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updateLinks="never" codeName="ThisWorkbook" defaultThemeVersion="124226"/>
  <xr:revisionPtr revIDLastSave="0" documentId="13_ncr:1_{5DC8A9C0-79A3-4666-8BAD-F0424753C20B}" xr6:coauthVersionLast="47" xr6:coauthVersionMax="47" xr10:uidLastSave="{00000000-0000-0000-0000-000000000000}"/>
  <bookViews>
    <workbookView xWindow="-110" yWindow="-110" windowWidth="19420" windowHeight="10420" tabRatio="852" xr2:uid="{00000000-000D-0000-FFFF-FFFF00000000}"/>
  </bookViews>
  <sheets>
    <sheet name="Data" sheetId="1" r:id="rId1"/>
    <sheet name="TRANSPOSE" sheetId="45" state="hidden" r:id="rId2"/>
    <sheet name="ARDT Cutter Entry" sheetId="2" r:id="rId3"/>
    <sheet name="Eng. Cutter Entry" sheetId="19" r:id="rId4"/>
    <sheet name="Eval &amp; Quot-AR" sheetId="51" r:id="rId5"/>
    <sheet name="Evaluation" sheetId="3" r:id="rId6"/>
    <sheet name="E checklist" sheetId="18" r:id="rId7"/>
    <sheet name="Router Sheet" sheetId="47" r:id="rId8"/>
    <sheet name="LPT Report" sheetId="46" r:id="rId9"/>
    <sheet name="API Thread Inspection" sheetId="53" r:id="rId10"/>
    <sheet name="Evaluation (2)" sheetId="36" r:id="rId11"/>
    <sheet name="Instructions" sheetId="56" r:id="rId12"/>
    <sheet name="Debrazed cutters" sheetId="59" r:id="rId13"/>
    <sheet name="Eval-LSTK" sheetId="27" r:id="rId14"/>
    <sheet name="Eval-LSTK (2)" sheetId="37" r:id="rId15"/>
    <sheet name="Quotation" sheetId="8" r:id="rId16"/>
    <sheet name="Qut. HALL." sheetId="35" r:id="rId17"/>
    <sheet name="LSTK-RC" sheetId="58" r:id="rId18"/>
    <sheet name="Rework Cutter Entry" sheetId="23" r:id="rId19"/>
    <sheet name="Rework" sheetId="48" r:id="rId20"/>
    <sheet name="Rework (2)" sheetId="49" r:id="rId21"/>
    <sheet name="Die Check Entry" sheetId="54" r:id="rId22"/>
    <sheet name="Delivery Tkt" sheetId="38" r:id="rId23"/>
    <sheet name="Brazing" sheetId="33" r:id="rId24"/>
    <sheet name="Hardfacing &amp; Build up" sheetId="34" r:id="rId25"/>
    <sheet name="Cutters LPT Report-not complete" sheetId="43" r:id="rId26"/>
    <sheet name="L3 bit material consume" sheetId="42" r:id="rId27"/>
    <sheet name="Sheet1" sheetId="55" r:id="rId28"/>
    <sheet name="ARAMCO-CONTRACT-6600048646" sheetId="50" state="hidden" r:id="rId29"/>
  </sheets>
  <externalReferences>
    <externalReference r:id="rId30"/>
    <externalReference r:id="rId31"/>
  </externalReferences>
  <definedNames>
    <definedName name="_xlnm._FilterDatabase" localSheetId="0" hidden="1">Data!$B$71:$B$86</definedName>
    <definedName name="BLADE1">TRANSPOSE!$C$4:$AJ$4</definedName>
    <definedName name="BLADE10">TRANSPOSE!$C$13:$AJ$13</definedName>
    <definedName name="BLADE11">TRANSPOSE!$C$14:$AJ$14</definedName>
    <definedName name="BLADE12">TRANSPOSE!$C$15:$AJ$15</definedName>
    <definedName name="BLADE2">TRANSPOSE!$C$5:$AJ$5</definedName>
    <definedName name="BLADE3">TRANSPOSE!$C$6:$AJ$6</definedName>
    <definedName name="BLADE4">TRANSPOSE!$C$7:$AJ$7</definedName>
    <definedName name="BLADE5">TRANSPOSE!$C$8:$AJ$8</definedName>
    <definedName name="BLADE6">TRANSPOSE!$C$9:$AJ$9</definedName>
    <definedName name="BLADE7">TRANSPOSE!$C$10:$AJ$10</definedName>
    <definedName name="BLADE8">TRANSPOSE!$C$11:$AJ$11</definedName>
    <definedName name="BLADE9">TRANSPOSE!$C$12:$AJ$12</definedName>
    <definedName name="_xlnm.Print_Area" localSheetId="9">'API Thread Inspection'!$A$1:$O$40</definedName>
    <definedName name="_xlnm.Print_Area" localSheetId="23">Brazing!$A$1:$GG$36</definedName>
    <definedName name="_xlnm.Print_Area" localSheetId="25">'Cutters LPT Report-not complete'!$A$1:$H$33</definedName>
    <definedName name="_xlnm.Print_Area" localSheetId="12">'Debrazed cutters'!$A$1:$I$39</definedName>
    <definedName name="_xlnm.Print_Area" localSheetId="6">'E checklist'!$A$1:$J$31</definedName>
    <definedName name="_xlnm.Print_Area" localSheetId="4">'Eval &amp; Quot-AR'!$A$1:$AJ$67</definedName>
    <definedName name="_xlnm.Print_Area" localSheetId="13">'Eval-LSTK'!$A$1:$AA$69</definedName>
    <definedName name="_xlnm.Print_Area" localSheetId="14">'Eval-LSTK (2)'!$A$1:$AI$51</definedName>
    <definedName name="_xlnm.Print_Area" localSheetId="5">Evaluation!$A$1:$AA$63</definedName>
    <definedName name="_xlnm.Print_Area" localSheetId="10">'Evaluation (2)'!$A$1:$AJ$47</definedName>
    <definedName name="_xlnm.Print_Area" localSheetId="24">'Hardfacing &amp; Build up'!$A$1:$GG$36</definedName>
    <definedName name="_xlnm.Print_Area" localSheetId="26">'L3 bit material consume'!$A$1:$D$28</definedName>
    <definedName name="_xlnm.Print_Area" localSheetId="8">'LPT Report'!$A$1:$H$32</definedName>
    <definedName name="_xlnm.Print_Area" localSheetId="15">Quotation!$A$1:$AA$62</definedName>
    <definedName name="_xlnm.Print_Area" localSheetId="16">'Qut. HALL.'!$A$1:$AI$58</definedName>
    <definedName name="_xlnm.Print_Area" localSheetId="19">Rework!$A$1:$X$57</definedName>
    <definedName name="_xlnm.Print_Area" localSheetId="20">'Rework (2)'!$A$1:$AJ$47</definedName>
    <definedName name="_xlnm.Print_Area" localSheetId="7">'Router Sheet'!$A$1:$J$60</definedName>
    <definedName name="TRANS2B1">TRANSPOSE!$AO$64:$AO$97</definedName>
    <definedName name="TRANS2B10">TRANSPOSE!$AX$64:$AX$97</definedName>
    <definedName name="TRANS2B11">TRANSPOSE!$AY$64:$AY$97</definedName>
    <definedName name="TRANS2B12">TRANSPOSE!$AZ$64:$AZ$97</definedName>
    <definedName name="TRANS2B2">TRANSPOSE!$AP$64:$AP$97</definedName>
    <definedName name="TRANS2B3">TRANSPOSE!$AQ$64:$AQ$97</definedName>
    <definedName name="TRANS2B4">TRANSPOSE!$AR$64:$AR$97</definedName>
    <definedName name="TRANS2B5">TRANSPOSE!$AS$64:$AS$97</definedName>
    <definedName name="TRANS2B6">TRANSPOSE!$AT$64:$AT$97</definedName>
    <definedName name="TRANS2B7">TRANSPOSE!$AU$64:$AU$97</definedName>
    <definedName name="TRANS2B8">TRANSPOSE!$AV$64:$AV$97</definedName>
    <definedName name="TRANS2B9">TRANSPOSE!$AW$64:$AW$97</definedName>
    <definedName name="TRAS1B1">TRANSPOSE!$O$64:$O$97</definedName>
    <definedName name="TRAS1B10">TRANSPOSE!$X$64:$X$97</definedName>
    <definedName name="TRAS1B11">TRANSPOSE!$Y$64:$Y$97</definedName>
    <definedName name="TRAS1B12">TRANSPOSE!$Z$64:$Z$97</definedName>
    <definedName name="TRAS1B2">TRANSPOSE!$P$64:$P$97</definedName>
    <definedName name="TRAS1B3">TRANSPOSE!$Q$64:$Q$97</definedName>
    <definedName name="TRAS1B4">TRANSPOSE!$R$64:$R$97</definedName>
    <definedName name="TRAS1B5">TRANSPOSE!$S$64:$S$97</definedName>
    <definedName name="TRAS1B6">TRANSPOSE!$T$64:$T$97</definedName>
    <definedName name="TRAS1B7">TRANSPOSE!$U$64:$U$97</definedName>
    <definedName name="TRAS1B8">TRANSPOSE!$V$64:$V$97</definedName>
    <definedName name="TRAS1B9">TRANSPOSE!$W$64:$W$97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S302" i="1" l="1"/>
  <c r="EF302" i="1"/>
  <c r="DR302" i="1"/>
  <c r="DR301" i="1" l="1"/>
  <c r="DS301" i="1"/>
  <c r="EF301" i="1"/>
  <c r="N2087" i="1"/>
  <c r="AB58" i="51"/>
  <c r="AS133" i="2" l="1"/>
  <c r="AS132" i="2"/>
  <c r="AU131" i="2"/>
  <c r="EF3" i="1"/>
  <c r="EF4" i="1"/>
  <c r="EF5" i="1"/>
  <c r="EF6" i="1"/>
  <c r="EF7" i="1"/>
  <c r="EF8" i="1"/>
  <c r="EF9" i="1"/>
  <c r="EF10" i="1"/>
  <c r="EF11" i="1"/>
  <c r="EF12" i="1"/>
  <c r="EF13" i="1"/>
  <c r="EF14" i="1"/>
  <c r="EF15" i="1"/>
  <c r="EF16" i="1"/>
  <c r="EF17" i="1"/>
  <c r="EF18" i="1"/>
  <c r="EF19" i="1"/>
  <c r="EF20" i="1"/>
  <c r="EF21" i="1"/>
  <c r="EF22" i="1"/>
  <c r="EF23" i="1"/>
  <c r="EF24" i="1"/>
  <c r="EF25" i="1"/>
  <c r="EF26" i="1"/>
  <c r="EF27" i="1"/>
  <c r="EF28" i="1"/>
  <c r="EF29" i="1"/>
  <c r="EF30" i="1"/>
  <c r="EF31" i="1"/>
  <c r="EF32" i="1"/>
  <c r="EF33" i="1"/>
  <c r="EF34" i="1"/>
  <c r="EF35" i="1"/>
  <c r="EF36" i="1"/>
  <c r="EF37" i="1"/>
  <c r="EF38" i="1"/>
  <c r="EF39" i="1"/>
  <c r="EF40" i="1"/>
  <c r="EF41" i="1"/>
  <c r="EF42" i="1"/>
  <c r="EF43" i="1"/>
  <c r="EF44" i="1"/>
  <c r="EF45" i="1"/>
  <c r="EF46" i="1"/>
  <c r="EF47" i="1"/>
  <c r="EF48" i="1"/>
  <c r="EF49" i="1"/>
  <c r="EF50" i="1"/>
  <c r="EF51" i="1"/>
  <c r="EF52" i="1"/>
  <c r="EF53" i="1"/>
  <c r="EF54" i="1"/>
  <c r="EF55" i="1"/>
  <c r="EF56" i="1"/>
  <c r="EF57" i="1"/>
  <c r="EF58" i="1"/>
  <c r="EF59" i="1"/>
  <c r="EF60" i="1"/>
  <c r="EF61" i="1"/>
  <c r="EF62" i="1"/>
  <c r="EF63" i="1"/>
  <c r="EF64" i="1"/>
  <c r="EF65" i="1"/>
  <c r="EF66" i="1"/>
  <c r="EF67" i="1"/>
  <c r="EF68" i="1"/>
  <c r="EF69" i="1"/>
  <c r="EF70" i="1"/>
  <c r="EF71" i="1"/>
  <c r="EF72" i="1"/>
  <c r="EF73" i="1"/>
  <c r="EF74" i="1"/>
  <c r="EF75" i="1"/>
  <c r="EF76" i="1"/>
  <c r="EF77" i="1"/>
  <c r="EF78" i="1"/>
  <c r="EF79" i="1"/>
  <c r="EF80" i="1"/>
  <c r="EF81" i="1"/>
  <c r="EF82" i="1"/>
  <c r="EF83" i="1"/>
  <c r="EF84" i="1"/>
  <c r="EF85" i="1"/>
  <c r="EF86" i="1"/>
  <c r="EF87" i="1"/>
  <c r="EF88" i="1"/>
  <c r="EF89" i="1"/>
  <c r="EF90" i="1"/>
  <c r="EF91" i="1"/>
  <c r="EF92" i="1"/>
  <c r="EF93" i="1"/>
  <c r="EF94" i="1"/>
  <c r="EF95" i="1"/>
  <c r="EF96" i="1"/>
  <c r="EF97" i="1"/>
  <c r="EF98" i="1"/>
  <c r="EF99" i="1"/>
  <c r="EF100" i="1"/>
  <c r="EF101" i="1"/>
  <c r="EF102" i="1"/>
  <c r="EF103" i="1"/>
  <c r="EF104" i="1"/>
  <c r="EF105" i="1"/>
  <c r="EF106" i="1"/>
  <c r="EF107" i="1"/>
  <c r="EF108" i="1"/>
  <c r="EF109" i="1"/>
  <c r="EF110" i="1"/>
  <c r="EF111" i="1"/>
  <c r="EF112" i="1"/>
  <c r="EF113" i="1"/>
  <c r="EF114" i="1"/>
  <c r="EF115" i="1"/>
  <c r="EF116" i="1"/>
  <c r="EF117" i="1"/>
  <c r="EF118" i="1"/>
  <c r="EF119" i="1"/>
  <c r="EF120" i="1"/>
  <c r="EF121" i="1"/>
  <c r="EF122" i="1"/>
  <c r="EF123" i="1"/>
  <c r="EF124" i="1"/>
  <c r="EF125" i="1"/>
  <c r="EF126" i="1"/>
  <c r="EF127" i="1"/>
  <c r="EF128" i="1"/>
  <c r="EF129" i="1"/>
  <c r="EF130" i="1"/>
  <c r="EF131" i="1"/>
  <c r="EF132" i="1"/>
  <c r="EF133" i="1"/>
  <c r="EF134" i="1"/>
  <c r="EF135" i="1"/>
  <c r="EF136" i="1"/>
  <c r="EF137" i="1"/>
  <c r="EF138" i="1"/>
  <c r="EF139" i="1"/>
  <c r="EF140" i="1"/>
  <c r="EF141" i="1"/>
  <c r="EF142" i="1"/>
  <c r="EF143" i="1"/>
  <c r="EF144" i="1"/>
  <c r="EF145" i="1"/>
  <c r="EF146" i="1"/>
  <c r="EF147" i="1"/>
  <c r="EF148" i="1"/>
  <c r="EF149" i="1"/>
  <c r="EF150" i="1"/>
  <c r="EF151" i="1"/>
  <c r="EF152" i="1"/>
  <c r="EF153" i="1"/>
  <c r="EF154" i="1"/>
  <c r="EF155" i="1"/>
  <c r="EF156" i="1"/>
  <c r="EF157" i="1"/>
  <c r="EF158" i="1"/>
  <c r="EF159" i="1"/>
  <c r="EF160" i="1"/>
  <c r="EF161" i="1"/>
  <c r="EF162" i="1"/>
  <c r="EF163" i="1"/>
  <c r="EF164" i="1"/>
  <c r="EF165" i="1"/>
  <c r="EF166" i="1"/>
  <c r="EF167" i="1"/>
  <c r="EF168" i="1"/>
  <c r="EF169" i="1"/>
  <c r="EF170" i="1"/>
  <c r="EF171" i="1"/>
  <c r="EF172" i="1"/>
  <c r="EF173" i="1"/>
  <c r="EF174" i="1"/>
  <c r="EF175" i="1"/>
  <c r="EF176" i="1"/>
  <c r="EF177" i="1"/>
  <c r="EF178" i="1"/>
  <c r="EF179" i="1"/>
  <c r="EF180" i="1"/>
  <c r="EF181" i="1"/>
  <c r="EF182" i="1"/>
  <c r="EF183" i="1"/>
  <c r="EF184" i="1"/>
  <c r="EF185" i="1"/>
  <c r="EF186" i="1"/>
  <c r="EF187" i="1"/>
  <c r="EF188" i="1"/>
  <c r="EF189" i="1"/>
  <c r="EF190" i="1"/>
  <c r="EF191" i="1"/>
  <c r="EF192" i="1"/>
  <c r="EF193" i="1"/>
  <c r="EF194" i="1"/>
  <c r="EF195" i="1"/>
  <c r="EF196" i="1"/>
  <c r="EF197" i="1"/>
  <c r="EF198" i="1"/>
  <c r="EF199" i="1"/>
  <c r="EF200" i="1"/>
  <c r="EF201" i="1"/>
  <c r="EF202" i="1"/>
  <c r="EF203" i="1"/>
  <c r="EF204" i="1"/>
  <c r="EF205" i="1"/>
  <c r="EF206" i="1"/>
  <c r="EF207" i="1"/>
  <c r="EF208" i="1"/>
  <c r="EF209" i="1"/>
  <c r="EF210" i="1"/>
  <c r="EF211" i="1"/>
  <c r="EF212" i="1"/>
  <c r="EF213" i="1"/>
  <c r="EF214" i="1"/>
  <c r="EF215" i="1"/>
  <c r="EF216" i="1"/>
  <c r="EF217" i="1"/>
  <c r="EF218" i="1"/>
  <c r="EF219" i="1"/>
  <c r="EF220" i="1"/>
  <c r="EF221" i="1"/>
  <c r="EF222" i="1"/>
  <c r="EF223" i="1"/>
  <c r="EF224" i="1"/>
  <c r="EF225" i="1"/>
  <c r="EF226" i="1"/>
  <c r="EF227" i="1"/>
  <c r="EF228" i="1"/>
  <c r="EF229" i="1"/>
  <c r="EF230" i="1"/>
  <c r="EF231" i="1"/>
  <c r="EF232" i="1"/>
  <c r="EF233" i="1"/>
  <c r="EF234" i="1"/>
  <c r="EF235" i="1"/>
  <c r="EF236" i="1"/>
  <c r="EF237" i="1"/>
  <c r="EF238" i="1"/>
  <c r="EF239" i="1"/>
  <c r="EF240" i="1"/>
  <c r="EF241" i="1"/>
  <c r="EF242" i="1"/>
  <c r="EF243" i="1"/>
  <c r="EF244" i="1"/>
  <c r="EF245" i="1"/>
  <c r="EF246" i="1"/>
  <c r="EF247" i="1"/>
  <c r="EF248" i="1"/>
  <c r="EF249" i="1"/>
  <c r="EF250" i="1"/>
  <c r="EF251" i="1"/>
  <c r="EF252" i="1"/>
  <c r="EF253" i="1"/>
  <c r="EF254" i="1"/>
  <c r="EF255" i="1"/>
  <c r="EF256" i="1"/>
  <c r="EF257" i="1"/>
  <c r="EF258" i="1"/>
  <c r="EF259" i="1"/>
  <c r="EF260" i="1"/>
  <c r="EF261" i="1"/>
  <c r="EF262" i="1"/>
  <c r="EF263" i="1"/>
  <c r="EF264" i="1"/>
  <c r="EF265" i="1"/>
  <c r="EF266" i="1"/>
  <c r="EF267" i="1"/>
  <c r="EF268" i="1"/>
  <c r="EF269" i="1"/>
  <c r="EF270" i="1"/>
  <c r="EF271" i="1"/>
  <c r="EF272" i="1"/>
  <c r="EF273" i="1"/>
  <c r="EF274" i="1"/>
  <c r="EF275" i="1"/>
  <c r="EF276" i="1"/>
  <c r="EF277" i="1"/>
  <c r="EF278" i="1"/>
  <c r="EF279" i="1"/>
  <c r="EF280" i="1"/>
  <c r="EF281" i="1"/>
  <c r="EF282" i="1"/>
  <c r="EF283" i="1"/>
  <c r="EF284" i="1"/>
  <c r="EF285" i="1"/>
  <c r="EF286" i="1"/>
  <c r="EF287" i="1"/>
  <c r="EF288" i="1"/>
  <c r="EF289" i="1"/>
  <c r="EF290" i="1"/>
  <c r="EF291" i="1"/>
  <c r="EF292" i="1"/>
  <c r="EF293" i="1"/>
  <c r="EF294" i="1"/>
  <c r="EF295" i="1"/>
  <c r="EF296" i="1"/>
  <c r="EF297" i="1"/>
  <c r="EF298" i="1"/>
  <c r="EF299" i="1"/>
  <c r="EF300" i="1"/>
  <c r="B16" i="1"/>
  <c r="N2081" i="1"/>
  <c r="N2082" i="1"/>
  <c r="N2083" i="1"/>
  <c r="N2084" i="1"/>
  <c r="N2085" i="1"/>
  <c r="N2086" i="1"/>
  <c r="U49" i="56"/>
  <c r="U50" i="56"/>
  <c r="U51" i="56"/>
  <c r="U52" i="56"/>
  <c r="U53" i="56"/>
  <c r="U54" i="56"/>
  <c r="U55" i="56"/>
  <c r="U56" i="56"/>
  <c r="U57" i="56"/>
  <c r="DS300" i="1" l="1"/>
  <c r="DR300" i="1"/>
  <c r="N2080" i="1" l="1"/>
  <c r="N2079" i="1"/>
  <c r="N2078" i="1"/>
  <c r="N2077" i="1"/>
  <c r="N2076" i="1"/>
  <c r="N2075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46" i="1"/>
  <c r="N2047" i="1"/>
  <c r="N2048" i="1"/>
  <c r="N2070" i="1"/>
  <c r="N2071" i="1"/>
  <c r="N2072" i="1"/>
  <c r="N2073" i="1"/>
  <c r="N2074" i="1"/>
  <c r="DR299" i="1"/>
  <c r="DS299" i="1"/>
  <c r="N2069" i="1"/>
  <c r="N2068" i="1"/>
  <c r="N2067" i="1"/>
  <c r="N2066" i="1"/>
  <c r="N2065" i="1"/>
  <c r="N2064" i="1"/>
  <c r="N1577" i="1" l="1"/>
  <c r="N1578" i="1"/>
  <c r="N1579" i="1"/>
  <c r="N1580" i="1"/>
  <c r="N1581" i="1"/>
  <c r="N1582" i="1"/>
  <c r="N1576" i="1"/>
  <c r="DS298" i="1"/>
  <c r="DR298" i="1"/>
  <c r="DS297" i="1"/>
  <c r="DR297" i="1"/>
  <c r="N892" i="1" l="1"/>
  <c r="N893" i="1"/>
  <c r="N894" i="1"/>
  <c r="N895" i="1"/>
  <c r="N896" i="1"/>
  <c r="N897" i="1"/>
  <c r="N891" i="1"/>
  <c r="AH59" i="27"/>
  <c r="AG57" i="27"/>
  <c r="AH57" i="27" s="1"/>
  <c r="AF57" i="27"/>
  <c r="AH58" i="27" s="1"/>
  <c r="T53" i="27"/>
  <c r="T54" i="27"/>
  <c r="T55" i="27"/>
  <c r="T56" i="27"/>
  <c r="T57" i="27"/>
  <c r="T58" i="27"/>
  <c r="T59" i="27"/>
  <c r="T60" i="27"/>
  <c r="T61" i="27"/>
  <c r="BJ68" i="1"/>
  <c r="BI68" i="1"/>
  <c r="BG1993" i="1" l="1"/>
  <c r="BG1994" i="1"/>
  <c r="BG1995" i="1"/>
  <c r="BG1996" i="1"/>
  <c r="BG1998" i="1"/>
  <c r="BG1999" i="1"/>
  <c r="BG2000" i="1"/>
  <c r="BG2002" i="1"/>
  <c r="BG2003" i="1"/>
  <c r="BG2004" i="1"/>
  <c r="BG2006" i="1"/>
  <c r="BG2007" i="1"/>
  <c r="BG2008" i="1"/>
  <c r="BG2009" i="1"/>
  <c r="BG2010" i="1"/>
  <c r="BG2011" i="1"/>
  <c r="BG2012" i="1"/>
  <c r="BG2013" i="1"/>
  <c r="BG2014" i="1"/>
  <c r="BG2015" i="1"/>
  <c r="BG2016" i="1"/>
  <c r="BG2017" i="1"/>
  <c r="BG2018" i="1"/>
  <c r="BG2019" i="1"/>
  <c r="BG2020" i="1"/>
  <c r="BG2021" i="1"/>
  <c r="BG2022" i="1"/>
  <c r="BG2023" i="1"/>
  <c r="BG2024" i="1"/>
  <c r="BG2025" i="1"/>
  <c r="BG2026" i="1"/>
  <c r="BG2027" i="1"/>
  <c r="BG2028" i="1"/>
  <c r="BG2029" i="1"/>
  <c r="BG2030" i="1"/>
  <c r="BG2031" i="1"/>
  <c r="BG2032" i="1"/>
  <c r="BG2033" i="1"/>
  <c r="BG2034" i="1"/>
  <c r="BG2035" i="1"/>
  <c r="BG2036" i="1"/>
  <c r="BG2037" i="1"/>
  <c r="BG2038" i="1"/>
  <c r="BG2039" i="1"/>
  <c r="BG2040" i="1"/>
  <c r="BG2041" i="1"/>
  <c r="BG2042" i="1"/>
  <c r="BG2043" i="1"/>
  <c r="BG2044" i="1"/>
  <c r="BG2045" i="1"/>
  <c r="BG2046" i="1"/>
  <c r="BG2047" i="1"/>
  <c r="BG2048" i="1"/>
  <c r="BG2049" i="1"/>
  <c r="BG2050" i="1"/>
  <c r="BG2051" i="1"/>
  <c r="BG2052" i="1"/>
  <c r="BG2053" i="1"/>
  <c r="BG2054" i="1"/>
  <c r="BG2055" i="1"/>
  <c r="BG2056" i="1"/>
  <c r="BG2057" i="1"/>
  <c r="BG2058" i="1"/>
  <c r="BG2059" i="1"/>
  <c r="BG2060" i="1"/>
  <c r="BG2061" i="1"/>
  <c r="BG2062" i="1"/>
  <c r="BG2063" i="1"/>
  <c r="BG2070" i="1"/>
  <c r="BG2071" i="1"/>
  <c r="BG2072" i="1"/>
  <c r="BG2073" i="1"/>
  <c r="BG2074" i="1"/>
  <c r="BG2075" i="1"/>
  <c r="BG2076" i="1"/>
  <c r="BG2077" i="1"/>
  <c r="BG2078" i="1"/>
  <c r="BG2079" i="1"/>
  <c r="BG2080" i="1"/>
  <c r="BG2081" i="1"/>
  <c r="BG2082" i="1"/>
  <c r="BG2083" i="1"/>
  <c r="BG2084" i="1"/>
  <c r="BG2085" i="1"/>
  <c r="BG2086" i="1"/>
  <c r="BG2087" i="1"/>
  <c r="BG2088" i="1"/>
  <c r="BG2089" i="1"/>
  <c r="BG2090" i="1"/>
  <c r="BG2091" i="1"/>
  <c r="BG2092" i="1"/>
  <c r="BG2093" i="1"/>
  <c r="BG2094" i="1"/>
  <c r="BG2095" i="1"/>
  <c r="BG2096" i="1"/>
  <c r="BG2097" i="1"/>
  <c r="BG2098" i="1"/>
  <c r="BG2099" i="1"/>
  <c r="BG2100" i="1"/>
  <c r="BG2101" i="1"/>
  <c r="BG2102" i="1"/>
  <c r="BG2103" i="1"/>
  <c r="BG2104" i="1"/>
  <c r="BG2105" i="1"/>
  <c r="BG2106" i="1"/>
  <c r="BG2107" i="1"/>
  <c r="BG2108" i="1"/>
  <c r="BG2109" i="1"/>
  <c r="BG2110" i="1"/>
  <c r="BG2111" i="1"/>
  <c r="BG2112" i="1"/>
  <c r="BG2113" i="1"/>
  <c r="BG2114" i="1"/>
  <c r="BG2115" i="1"/>
  <c r="BG2116" i="1"/>
  <c r="BG2117" i="1"/>
  <c r="BG2118" i="1"/>
  <c r="BG2119" i="1"/>
  <c r="BG2120" i="1"/>
  <c r="BG2121" i="1"/>
  <c r="BG2122" i="1"/>
  <c r="BG2123" i="1"/>
  <c r="BG2124" i="1"/>
  <c r="BG2125" i="1"/>
  <c r="BG2126" i="1"/>
  <c r="BG2127" i="1"/>
  <c r="BG2128" i="1"/>
  <c r="BG2129" i="1"/>
  <c r="BG2130" i="1"/>
  <c r="BG2131" i="1"/>
  <c r="BG2132" i="1"/>
  <c r="BG2133" i="1"/>
  <c r="BG2134" i="1"/>
  <c r="BG2135" i="1"/>
  <c r="BG2136" i="1"/>
  <c r="BG2137" i="1"/>
  <c r="BG2138" i="1"/>
  <c r="BG2139" i="1"/>
  <c r="BG2140" i="1"/>
  <c r="BG2141" i="1"/>
  <c r="BG2142" i="1"/>
  <c r="BG2143" i="1"/>
  <c r="BG2144" i="1"/>
  <c r="BG2145" i="1"/>
  <c r="BG2146" i="1"/>
  <c r="BG2147" i="1"/>
  <c r="BG2148" i="1"/>
  <c r="BG2149" i="1"/>
  <c r="BG2150" i="1"/>
  <c r="BG2151" i="1"/>
  <c r="BG2152" i="1"/>
  <c r="BG2153" i="1"/>
  <c r="BG2154" i="1"/>
  <c r="BG2155" i="1"/>
  <c r="BG2156" i="1"/>
  <c r="BG2157" i="1"/>
  <c r="BG2158" i="1"/>
  <c r="BG2159" i="1"/>
  <c r="BG2160" i="1"/>
  <c r="BG2161" i="1"/>
  <c r="BG2162" i="1"/>
  <c r="BG2163" i="1"/>
  <c r="BG2164" i="1"/>
  <c r="BG2165" i="1"/>
  <c r="BG2166" i="1"/>
  <c r="BG2167" i="1"/>
  <c r="BG2168" i="1"/>
  <c r="BG2169" i="1"/>
  <c r="BG2170" i="1"/>
  <c r="BG2171" i="1"/>
  <c r="BG2172" i="1"/>
  <c r="BG2173" i="1"/>
  <c r="BG2174" i="1"/>
  <c r="BG2175" i="1"/>
  <c r="BG2176" i="1"/>
  <c r="BG2177" i="1"/>
  <c r="BG2178" i="1"/>
  <c r="BG2179" i="1"/>
  <c r="BG2180" i="1"/>
  <c r="BG2181" i="1"/>
  <c r="BG2182" i="1"/>
  <c r="BG2183" i="1"/>
  <c r="BG2184" i="1"/>
  <c r="BG2185" i="1"/>
  <c r="BG2186" i="1"/>
  <c r="BG2187" i="1"/>
  <c r="BG2188" i="1"/>
  <c r="BG2189" i="1"/>
  <c r="BG2190" i="1"/>
  <c r="BG2191" i="1"/>
  <c r="BG2192" i="1"/>
  <c r="BG2193" i="1"/>
  <c r="BG2194" i="1"/>
  <c r="BG2195" i="1"/>
  <c r="BG2196" i="1"/>
  <c r="BG2197" i="1"/>
  <c r="BG2198" i="1"/>
  <c r="BG2199" i="1"/>
  <c r="BG2200" i="1"/>
  <c r="BG2201" i="1"/>
  <c r="BG2202" i="1"/>
  <c r="BG2203" i="1"/>
  <c r="BG2204" i="1"/>
  <c r="BG2205" i="1"/>
  <c r="BG2206" i="1"/>
  <c r="BG2207" i="1"/>
  <c r="BG2208" i="1"/>
  <c r="BG2209" i="1"/>
  <c r="BG2210" i="1"/>
  <c r="BG2211" i="1"/>
  <c r="BG2212" i="1"/>
  <c r="BG2213" i="1"/>
  <c r="BG2214" i="1"/>
  <c r="BG2215" i="1"/>
  <c r="BG2216" i="1"/>
  <c r="BG2217" i="1"/>
  <c r="BG2218" i="1"/>
  <c r="BG2219" i="1"/>
  <c r="BG2220" i="1"/>
  <c r="BG2221" i="1"/>
  <c r="BG2222" i="1"/>
  <c r="BG2223" i="1"/>
  <c r="BG2224" i="1"/>
  <c r="BG2225" i="1"/>
  <c r="BG2226" i="1"/>
  <c r="BG2227" i="1"/>
  <c r="BG2228" i="1"/>
  <c r="BG2229" i="1"/>
  <c r="BG2230" i="1"/>
  <c r="BG2231" i="1"/>
  <c r="BG2232" i="1"/>
  <c r="BG2233" i="1"/>
  <c r="BG2234" i="1"/>
  <c r="BG2235" i="1"/>
  <c r="BG2236" i="1"/>
  <c r="BG2237" i="1"/>
  <c r="BG2238" i="1"/>
  <c r="BG2239" i="1"/>
  <c r="BG2240" i="1"/>
  <c r="BG2241" i="1"/>
  <c r="BG2242" i="1"/>
  <c r="BG2243" i="1"/>
  <c r="BG2244" i="1"/>
  <c r="BG2245" i="1"/>
  <c r="BG2246" i="1"/>
  <c r="BG2247" i="1"/>
  <c r="BG2248" i="1"/>
  <c r="BG2249" i="1"/>
  <c r="BG2250" i="1"/>
  <c r="BG2251" i="1"/>
  <c r="BG2252" i="1"/>
  <c r="BG2253" i="1"/>
  <c r="BG2254" i="1"/>
  <c r="BG2255" i="1"/>
  <c r="BG2256" i="1"/>
  <c r="BG2257" i="1"/>
  <c r="BG2258" i="1"/>
  <c r="BG2259" i="1"/>
  <c r="BG2260" i="1"/>
  <c r="BG2261" i="1"/>
  <c r="BG2262" i="1"/>
  <c r="BG2263" i="1"/>
  <c r="BG2264" i="1"/>
  <c r="BG2265" i="1"/>
  <c r="BG2266" i="1"/>
  <c r="BG2267" i="1"/>
  <c r="BG2268" i="1"/>
  <c r="BG2269" i="1"/>
  <c r="BG2270" i="1"/>
  <c r="BG2271" i="1"/>
  <c r="BG2272" i="1"/>
  <c r="BG2273" i="1"/>
  <c r="BG2274" i="1"/>
  <c r="BG2275" i="1"/>
  <c r="BG2276" i="1"/>
  <c r="BG2277" i="1"/>
  <c r="BG2278" i="1"/>
  <c r="BG2279" i="1"/>
  <c r="BG2280" i="1"/>
  <c r="BG2281" i="1"/>
  <c r="BG2282" i="1"/>
  <c r="BG2283" i="1"/>
  <c r="BG2284" i="1"/>
  <c r="BG2285" i="1"/>
  <c r="BG2286" i="1"/>
  <c r="BG2287" i="1"/>
  <c r="BG2288" i="1"/>
  <c r="BG2289" i="1"/>
  <c r="BG2290" i="1"/>
  <c r="BG2291" i="1"/>
  <c r="BG2292" i="1"/>
  <c r="BG2293" i="1"/>
  <c r="BG2294" i="1"/>
  <c r="BG2295" i="1"/>
  <c r="BG2296" i="1"/>
  <c r="BG2297" i="1"/>
  <c r="BG2298" i="1"/>
  <c r="BG2299" i="1"/>
  <c r="BG2300" i="1"/>
  <c r="BG2301" i="1"/>
  <c r="BG2302" i="1"/>
  <c r="BG2303" i="1"/>
  <c r="BG2304" i="1"/>
  <c r="BG2305" i="1"/>
  <c r="BG2306" i="1"/>
  <c r="BG2307" i="1"/>
  <c r="BG2308" i="1"/>
  <c r="BG2309" i="1"/>
  <c r="BG2310" i="1"/>
  <c r="BG2311" i="1"/>
  <c r="BG2312" i="1"/>
  <c r="BG2313" i="1"/>
  <c r="BG2314" i="1"/>
  <c r="BG2315" i="1"/>
  <c r="BG2316" i="1"/>
  <c r="BG2317" i="1"/>
  <c r="BG2318" i="1"/>
  <c r="BG2319" i="1"/>
  <c r="BG2320" i="1"/>
  <c r="BG2321" i="1"/>
  <c r="BG2322" i="1"/>
  <c r="BG2323" i="1"/>
  <c r="BG2324" i="1"/>
  <c r="BG2325" i="1"/>
  <c r="BG2326" i="1"/>
  <c r="BG2327" i="1"/>
  <c r="BG2328" i="1"/>
  <c r="BF1994" i="1"/>
  <c r="BF1995" i="1"/>
  <c r="BF1996" i="1"/>
  <c r="BF1997" i="1"/>
  <c r="BG1997" i="1" s="1"/>
  <c r="BF1998" i="1"/>
  <c r="BF1999" i="1"/>
  <c r="BF2000" i="1"/>
  <c r="BF2001" i="1"/>
  <c r="BG2001" i="1" s="1"/>
  <c r="BF2002" i="1"/>
  <c r="BF2003" i="1"/>
  <c r="BF2004" i="1"/>
  <c r="BF2005" i="1"/>
  <c r="BG2005" i="1" s="1"/>
  <c r="BF2006" i="1"/>
  <c r="BF2007" i="1"/>
  <c r="BF2008" i="1"/>
  <c r="BF2009" i="1"/>
  <c r="BF2010" i="1"/>
  <c r="BF2011" i="1"/>
  <c r="BF2012" i="1"/>
  <c r="BF2013" i="1"/>
  <c r="BF2014" i="1"/>
  <c r="BF2015" i="1"/>
  <c r="BF2016" i="1"/>
  <c r="BF2017" i="1"/>
  <c r="BF2018" i="1"/>
  <c r="BF2019" i="1"/>
  <c r="BF2020" i="1"/>
  <c r="BF2021" i="1"/>
  <c r="BF2022" i="1"/>
  <c r="BF2023" i="1"/>
  <c r="BF2024" i="1"/>
  <c r="BF2025" i="1"/>
  <c r="BF2026" i="1"/>
  <c r="BF2027" i="1"/>
  <c r="BF2028" i="1"/>
  <c r="BF2029" i="1"/>
  <c r="BF2030" i="1"/>
  <c r="BF2031" i="1"/>
  <c r="BF2032" i="1"/>
  <c r="BF2033" i="1"/>
  <c r="BF2034" i="1"/>
  <c r="BF2035" i="1"/>
  <c r="BF2036" i="1"/>
  <c r="BF2037" i="1"/>
  <c r="BF2038" i="1"/>
  <c r="BF2039" i="1"/>
  <c r="BF2040" i="1"/>
  <c r="BF2041" i="1"/>
  <c r="BF2042" i="1"/>
  <c r="BF2043" i="1"/>
  <c r="BF2044" i="1"/>
  <c r="BF2045" i="1"/>
  <c r="BF2046" i="1"/>
  <c r="BF2047" i="1"/>
  <c r="BF2048" i="1"/>
  <c r="BF2049" i="1"/>
  <c r="BF2050" i="1"/>
  <c r="BF2051" i="1"/>
  <c r="BF2052" i="1"/>
  <c r="BF2053" i="1"/>
  <c r="BF2054" i="1"/>
  <c r="BF2055" i="1"/>
  <c r="BF2056" i="1"/>
  <c r="BF2057" i="1"/>
  <c r="BF2058" i="1"/>
  <c r="BF2059" i="1"/>
  <c r="BF2060" i="1"/>
  <c r="BF2061" i="1"/>
  <c r="BF2062" i="1"/>
  <c r="BF2063" i="1"/>
  <c r="BF2064" i="1"/>
  <c r="BG2064" i="1" s="1"/>
  <c r="BF2065" i="1"/>
  <c r="BG2065" i="1" s="1"/>
  <c r="BF2066" i="1"/>
  <c r="BG2066" i="1" s="1"/>
  <c r="BF2067" i="1"/>
  <c r="BG2067" i="1" s="1"/>
  <c r="BF2068" i="1"/>
  <c r="BG2068" i="1" s="1"/>
  <c r="BF2069" i="1"/>
  <c r="BG2069" i="1" s="1"/>
  <c r="BF2070" i="1"/>
  <c r="BF2071" i="1"/>
  <c r="BF2072" i="1"/>
  <c r="BF2073" i="1"/>
  <c r="BF2074" i="1"/>
  <c r="BF2075" i="1"/>
  <c r="BF2076" i="1"/>
  <c r="BF2077" i="1"/>
  <c r="BF2078" i="1"/>
  <c r="BF2079" i="1"/>
  <c r="BF2080" i="1"/>
  <c r="BF2081" i="1"/>
  <c r="BF2082" i="1"/>
  <c r="BF2083" i="1"/>
  <c r="BF2084" i="1"/>
  <c r="BF2085" i="1"/>
  <c r="BF2086" i="1"/>
  <c r="BF2087" i="1"/>
  <c r="BF2088" i="1"/>
  <c r="BF2089" i="1"/>
  <c r="BF2090" i="1"/>
  <c r="BF2091" i="1"/>
  <c r="BF2092" i="1"/>
  <c r="BF2093" i="1"/>
  <c r="BF2094" i="1"/>
  <c r="BF2095" i="1"/>
  <c r="BF2096" i="1"/>
  <c r="BF2097" i="1"/>
  <c r="BF2098" i="1"/>
  <c r="BF2099" i="1"/>
  <c r="BF2100" i="1"/>
  <c r="BF2101" i="1"/>
  <c r="BF2102" i="1"/>
  <c r="BF2103" i="1"/>
  <c r="BF2104" i="1"/>
  <c r="BF2105" i="1"/>
  <c r="BF2106" i="1"/>
  <c r="BF2107" i="1"/>
  <c r="BF2108" i="1"/>
  <c r="BF2109" i="1"/>
  <c r="BF2110" i="1"/>
  <c r="BF2111" i="1"/>
  <c r="BF2112" i="1"/>
  <c r="BF2113" i="1"/>
  <c r="BF2114" i="1"/>
  <c r="BF2115" i="1"/>
  <c r="BF2116" i="1"/>
  <c r="BF2117" i="1"/>
  <c r="BF2118" i="1"/>
  <c r="BF2119" i="1"/>
  <c r="BF2120" i="1"/>
  <c r="BF2121" i="1"/>
  <c r="BF2122" i="1"/>
  <c r="BF2123" i="1"/>
  <c r="BF2124" i="1"/>
  <c r="BF2125" i="1"/>
  <c r="BF2126" i="1"/>
  <c r="BF2127" i="1"/>
  <c r="BF2128" i="1"/>
  <c r="BF2129" i="1"/>
  <c r="BF2130" i="1"/>
  <c r="BF2131" i="1"/>
  <c r="BF2132" i="1"/>
  <c r="BF2133" i="1"/>
  <c r="BF2134" i="1"/>
  <c r="BF2135" i="1"/>
  <c r="BF2136" i="1"/>
  <c r="BF2137" i="1"/>
  <c r="BF2138" i="1"/>
  <c r="BF2139" i="1"/>
  <c r="BF2140" i="1"/>
  <c r="BF2141" i="1"/>
  <c r="BF2142" i="1"/>
  <c r="BF2143" i="1"/>
  <c r="BF2144" i="1"/>
  <c r="BF2145" i="1"/>
  <c r="BF2146" i="1"/>
  <c r="BF2147" i="1"/>
  <c r="BF2148" i="1"/>
  <c r="BF2149" i="1"/>
  <c r="BF2150" i="1"/>
  <c r="BF2151" i="1"/>
  <c r="BF2152" i="1"/>
  <c r="BF2153" i="1"/>
  <c r="BF2154" i="1"/>
  <c r="BF2155" i="1"/>
  <c r="BF2156" i="1"/>
  <c r="BF2157" i="1"/>
  <c r="BF2158" i="1"/>
  <c r="BF2159" i="1"/>
  <c r="BF2160" i="1"/>
  <c r="BF2161" i="1"/>
  <c r="BF2162" i="1"/>
  <c r="BF2163" i="1"/>
  <c r="BF2164" i="1"/>
  <c r="BF2165" i="1"/>
  <c r="BF2166" i="1"/>
  <c r="BF2167" i="1"/>
  <c r="BF2168" i="1"/>
  <c r="BF2169" i="1"/>
  <c r="BF2170" i="1"/>
  <c r="BF2171" i="1"/>
  <c r="BF2172" i="1"/>
  <c r="BF2173" i="1"/>
  <c r="BF2174" i="1"/>
  <c r="BF2175" i="1"/>
  <c r="BF2176" i="1"/>
  <c r="BF2177" i="1"/>
  <c r="BF2178" i="1"/>
  <c r="BF2179" i="1"/>
  <c r="BF2180" i="1"/>
  <c r="BF2181" i="1"/>
  <c r="BF2182" i="1"/>
  <c r="BF2183" i="1"/>
  <c r="BF2184" i="1"/>
  <c r="BF2185" i="1"/>
  <c r="BF2186" i="1"/>
  <c r="BF2187" i="1"/>
  <c r="BF2188" i="1"/>
  <c r="BF2189" i="1"/>
  <c r="BF2190" i="1"/>
  <c r="BF2191" i="1"/>
  <c r="BF2192" i="1"/>
  <c r="BF2193" i="1"/>
  <c r="BF2194" i="1"/>
  <c r="BF2195" i="1"/>
  <c r="BF2196" i="1"/>
  <c r="BF2197" i="1"/>
  <c r="BF2198" i="1"/>
  <c r="BF2199" i="1"/>
  <c r="BF2200" i="1"/>
  <c r="BF2201" i="1"/>
  <c r="BF2202" i="1"/>
  <c r="BF2203" i="1"/>
  <c r="BF2204" i="1"/>
  <c r="BF2205" i="1"/>
  <c r="BF2206" i="1"/>
  <c r="BF2207" i="1"/>
  <c r="BF2208" i="1"/>
  <c r="BF2209" i="1"/>
  <c r="BF2210" i="1"/>
  <c r="BF2211" i="1"/>
  <c r="BF2212" i="1"/>
  <c r="BF2213" i="1"/>
  <c r="BF2214" i="1"/>
  <c r="BF2215" i="1"/>
  <c r="BF2216" i="1"/>
  <c r="BF2217" i="1"/>
  <c r="BF2218" i="1"/>
  <c r="BF2219" i="1"/>
  <c r="BF2220" i="1"/>
  <c r="BF2221" i="1"/>
  <c r="BF2222" i="1"/>
  <c r="BF2223" i="1"/>
  <c r="BF2224" i="1"/>
  <c r="BF2225" i="1"/>
  <c r="BF2226" i="1"/>
  <c r="BF2227" i="1"/>
  <c r="BF2228" i="1"/>
  <c r="BF2229" i="1"/>
  <c r="BF2230" i="1"/>
  <c r="BF2231" i="1"/>
  <c r="BF2232" i="1"/>
  <c r="BF2233" i="1"/>
  <c r="BF2234" i="1"/>
  <c r="BF2235" i="1"/>
  <c r="BF2236" i="1"/>
  <c r="BF2237" i="1"/>
  <c r="BF2238" i="1"/>
  <c r="BF2239" i="1"/>
  <c r="BF2240" i="1"/>
  <c r="BF2241" i="1"/>
  <c r="BF2242" i="1"/>
  <c r="BF2243" i="1"/>
  <c r="BF2244" i="1"/>
  <c r="BF2245" i="1"/>
  <c r="BF2246" i="1"/>
  <c r="BF2247" i="1"/>
  <c r="BF2248" i="1"/>
  <c r="BF2249" i="1"/>
  <c r="BF2250" i="1"/>
  <c r="BF2251" i="1"/>
  <c r="BF2252" i="1"/>
  <c r="BF2253" i="1"/>
  <c r="BF2254" i="1"/>
  <c r="BF2255" i="1"/>
  <c r="BF2256" i="1"/>
  <c r="BF2257" i="1"/>
  <c r="BF2258" i="1"/>
  <c r="BF2259" i="1"/>
  <c r="BF2260" i="1"/>
  <c r="BF2261" i="1"/>
  <c r="BF2262" i="1"/>
  <c r="BF2263" i="1"/>
  <c r="BF2264" i="1"/>
  <c r="BF2265" i="1"/>
  <c r="BF2266" i="1"/>
  <c r="BF2267" i="1"/>
  <c r="BF2268" i="1"/>
  <c r="BF2269" i="1"/>
  <c r="BF2270" i="1"/>
  <c r="BF2271" i="1"/>
  <c r="BF2272" i="1"/>
  <c r="BF2273" i="1"/>
  <c r="BF2274" i="1"/>
  <c r="BF2275" i="1"/>
  <c r="BF2276" i="1"/>
  <c r="BF2277" i="1"/>
  <c r="BF2278" i="1"/>
  <c r="BF2279" i="1"/>
  <c r="BF2280" i="1"/>
  <c r="BF2281" i="1"/>
  <c r="BF2282" i="1"/>
  <c r="BF2283" i="1"/>
  <c r="BF2284" i="1"/>
  <c r="BF2285" i="1"/>
  <c r="BF2286" i="1"/>
  <c r="BF2287" i="1"/>
  <c r="BF2288" i="1"/>
  <c r="BF2289" i="1"/>
  <c r="BF2290" i="1"/>
  <c r="BF2291" i="1"/>
  <c r="BF2292" i="1"/>
  <c r="BF2293" i="1"/>
  <c r="BF2294" i="1"/>
  <c r="BF2295" i="1"/>
  <c r="BF2296" i="1"/>
  <c r="BF2297" i="1"/>
  <c r="BF2298" i="1"/>
  <c r="BF2299" i="1"/>
  <c r="BF2300" i="1"/>
  <c r="BF2301" i="1"/>
  <c r="BF2302" i="1"/>
  <c r="BF2303" i="1"/>
  <c r="BF2304" i="1"/>
  <c r="BF2305" i="1"/>
  <c r="BF2306" i="1"/>
  <c r="BF2307" i="1"/>
  <c r="BF2308" i="1"/>
  <c r="BF2309" i="1"/>
  <c r="BF2310" i="1"/>
  <c r="BF2311" i="1"/>
  <c r="BF2312" i="1"/>
  <c r="BF2313" i="1"/>
  <c r="BF2314" i="1"/>
  <c r="BF2315" i="1"/>
  <c r="BF2316" i="1"/>
  <c r="BF2317" i="1"/>
  <c r="BF2318" i="1"/>
  <c r="BF2319" i="1"/>
  <c r="BF2320" i="1"/>
  <c r="BF2321" i="1"/>
  <c r="BF2322" i="1"/>
  <c r="BF2323" i="1"/>
  <c r="BF2324" i="1"/>
  <c r="BF2325" i="1"/>
  <c r="BF2326" i="1"/>
  <c r="BF2327" i="1"/>
  <c r="BF2328" i="1"/>
  <c r="N2006" i="1" l="1"/>
  <c r="N2002" i="1"/>
  <c r="N2003" i="1"/>
  <c r="N2004" i="1"/>
  <c r="N2005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1" i="1"/>
  <c r="G12" i="59"/>
  <c r="G11" i="59"/>
  <c r="B11" i="59"/>
  <c r="DS296" i="1"/>
  <c r="DR296" i="1"/>
  <c r="DS295" i="1"/>
  <c r="DR295" i="1"/>
  <c r="E228" i="2" a="1"/>
  <c r="E228" i="2" s="1"/>
  <c r="F228" i="2" a="1"/>
  <c r="F228" i="2" s="1"/>
  <c r="G228" i="2" a="1"/>
  <c r="G228" i="2" s="1"/>
  <c r="H228" i="2" a="1"/>
  <c r="H228" i="2" s="1"/>
  <c r="I228" i="2" a="1"/>
  <c r="I228" i="2" s="1"/>
  <c r="J228" i="2" a="1"/>
  <c r="J228" i="2" s="1"/>
  <c r="K228" i="2" a="1"/>
  <c r="K228" i="2" s="1"/>
  <c r="L228" i="2" a="1"/>
  <c r="L228" i="2" s="1"/>
  <c r="M228" i="2" a="1"/>
  <c r="M228" i="2" s="1"/>
  <c r="N228" i="2" a="1"/>
  <c r="N228" i="2" s="1"/>
  <c r="O228" i="2" a="1"/>
  <c r="O228" i="2" s="1"/>
  <c r="P228" i="2" a="1"/>
  <c r="P228" i="2" s="1"/>
  <c r="Q228" i="2" a="1"/>
  <c r="Q228" i="2" s="1"/>
  <c r="R228" i="2" a="1"/>
  <c r="R228" i="2" s="1"/>
  <c r="S228" i="2" a="1"/>
  <c r="S228" i="2" s="1"/>
  <c r="T228" i="2" a="1"/>
  <c r="T228" i="2" s="1"/>
  <c r="U228" i="2" a="1"/>
  <c r="U228" i="2" s="1"/>
  <c r="V228" i="2" a="1"/>
  <c r="V228" i="2" s="1"/>
  <c r="W228" i="2" a="1"/>
  <c r="W228" i="2" s="1"/>
  <c r="X228" i="2" a="1"/>
  <c r="X228" i="2" s="1"/>
  <c r="Y228" i="2" a="1"/>
  <c r="Y228" i="2" s="1"/>
  <c r="Z228" i="2" a="1"/>
  <c r="Z228" i="2" s="1"/>
  <c r="AA228" i="2" a="1"/>
  <c r="AA228" i="2" s="1"/>
  <c r="AB228" i="2" a="1"/>
  <c r="AB228" i="2" s="1"/>
  <c r="AC228" i="2" a="1"/>
  <c r="AC228" i="2" s="1"/>
  <c r="AD228" i="2" a="1"/>
  <c r="AD228" i="2" s="1"/>
  <c r="AE228" i="2" a="1"/>
  <c r="AE228" i="2" s="1"/>
  <c r="AF228" i="2" a="1"/>
  <c r="AF228" i="2" s="1"/>
  <c r="AG228" i="2" a="1"/>
  <c r="AG228" i="2" s="1"/>
  <c r="AH228" i="2" a="1"/>
  <c r="AH228" i="2" s="1"/>
  <c r="AI228" i="2" a="1"/>
  <c r="AI228" i="2" s="1"/>
  <c r="AJ228" i="2" a="1"/>
  <c r="AJ228" i="2" s="1"/>
  <c r="AK228" i="2" a="1"/>
  <c r="AK228" i="2" s="1"/>
  <c r="E229" i="2" a="1"/>
  <c r="E229" i="2" s="1"/>
  <c r="F229" i="2" a="1"/>
  <c r="F229" i="2" s="1"/>
  <c r="G229" i="2" a="1"/>
  <c r="G229" i="2" s="1"/>
  <c r="H229" i="2" a="1"/>
  <c r="H229" i="2" s="1"/>
  <c r="I229" i="2" a="1"/>
  <c r="I229" i="2" s="1"/>
  <c r="J229" i="2" a="1"/>
  <c r="J229" i="2" s="1"/>
  <c r="K229" i="2" a="1"/>
  <c r="K229" i="2" s="1"/>
  <c r="L229" i="2" a="1"/>
  <c r="L229" i="2" s="1"/>
  <c r="M229" i="2" a="1"/>
  <c r="M229" i="2" s="1"/>
  <c r="N229" i="2" a="1"/>
  <c r="N229" i="2" s="1"/>
  <c r="O229" i="2" a="1"/>
  <c r="O229" i="2" s="1"/>
  <c r="P229" i="2" a="1"/>
  <c r="P229" i="2" s="1"/>
  <c r="Q229" i="2" a="1"/>
  <c r="Q229" i="2" s="1"/>
  <c r="R229" i="2" a="1"/>
  <c r="R229" i="2" s="1"/>
  <c r="S229" i="2" a="1"/>
  <c r="S229" i="2" s="1"/>
  <c r="T229" i="2" a="1"/>
  <c r="T229" i="2" s="1"/>
  <c r="U229" i="2" a="1"/>
  <c r="U229" i="2" s="1"/>
  <c r="V229" i="2" a="1"/>
  <c r="V229" i="2" s="1"/>
  <c r="W229" i="2" a="1"/>
  <c r="W229" i="2" s="1"/>
  <c r="X229" i="2" a="1"/>
  <c r="X229" i="2" s="1"/>
  <c r="Y229" i="2" a="1"/>
  <c r="Y229" i="2" s="1"/>
  <c r="Z229" i="2" a="1"/>
  <c r="Z229" i="2" s="1"/>
  <c r="AA229" i="2" a="1"/>
  <c r="AA229" i="2" s="1"/>
  <c r="AB229" i="2" a="1"/>
  <c r="AB229" i="2" s="1"/>
  <c r="AC229" i="2" a="1"/>
  <c r="AC229" i="2" s="1"/>
  <c r="AD229" i="2" a="1"/>
  <c r="AD229" i="2" s="1"/>
  <c r="AE229" i="2" a="1"/>
  <c r="AE229" i="2" s="1"/>
  <c r="AF229" i="2" a="1"/>
  <c r="AF229" i="2" s="1"/>
  <c r="AG229" i="2" a="1"/>
  <c r="AG229" i="2" s="1"/>
  <c r="AH229" i="2" a="1"/>
  <c r="AH229" i="2" s="1"/>
  <c r="AI229" i="2" a="1"/>
  <c r="AI229" i="2" s="1"/>
  <c r="AJ229" i="2" a="1"/>
  <c r="AJ229" i="2" s="1"/>
  <c r="AK229" i="2" a="1"/>
  <c r="AK229" i="2" s="1"/>
  <c r="E230" i="2" a="1"/>
  <c r="E230" i="2" s="1"/>
  <c r="F230" i="2" a="1"/>
  <c r="F230" i="2" s="1"/>
  <c r="G230" i="2" a="1"/>
  <c r="G230" i="2" s="1"/>
  <c r="H230" i="2" a="1"/>
  <c r="H230" i="2" s="1"/>
  <c r="I230" i="2" a="1"/>
  <c r="I230" i="2" s="1"/>
  <c r="J230" i="2" a="1"/>
  <c r="J230" i="2" s="1"/>
  <c r="K230" i="2" a="1"/>
  <c r="K230" i="2" s="1"/>
  <c r="L230" i="2" a="1"/>
  <c r="L230" i="2" s="1"/>
  <c r="M230" i="2" a="1"/>
  <c r="M230" i="2" s="1"/>
  <c r="N230" i="2" a="1"/>
  <c r="N230" i="2" s="1"/>
  <c r="O230" i="2" a="1"/>
  <c r="O230" i="2" s="1"/>
  <c r="P230" i="2" a="1"/>
  <c r="P230" i="2" s="1"/>
  <c r="Q230" i="2" a="1"/>
  <c r="Q230" i="2" s="1"/>
  <c r="R230" i="2" a="1"/>
  <c r="R230" i="2" s="1"/>
  <c r="S230" i="2" a="1"/>
  <c r="S230" i="2" s="1"/>
  <c r="T230" i="2" a="1"/>
  <c r="T230" i="2" s="1"/>
  <c r="U230" i="2" a="1"/>
  <c r="U230" i="2" s="1"/>
  <c r="V230" i="2" a="1"/>
  <c r="V230" i="2" s="1"/>
  <c r="W230" i="2" a="1"/>
  <c r="W230" i="2" s="1"/>
  <c r="X230" i="2" a="1"/>
  <c r="X230" i="2" s="1"/>
  <c r="Y230" i="2" a="1"/>
  <c r="Y230" i="2" s="1"/>
  <c r="Z230" i="2" a="1"/>
  <c r="Z230" i="2" s="1"/>
  <c r="AA230" i="2" a="1"/>
  <c r="AA230" i="2" s="1"/>
  <c r="AB230" i="2" a="1"/>
  <c r="AB230" i="2" s="1"/>
  <c r="AC230" i="2" a="1"/>
  <c r="AC230" i="2" s="1"/>
  <c r="AD230" i="2" a="1"/>
  <c r="AD230" i="2" s="1"/>
  <c r="AE230" i="2" a="1"/>
  <c r="AE230" i="2" s="1"/>
  <c r="AF230" i="2" a="1"/>
  <c r="AF230" i="2" s="1"/>
  <c r="AG230" i="2" a="1"/>
  <c r="AG230" i="2" s="1"/>
  <c r="AH230" i="2" a="1"/>
  <c r="AH230" i="2" s="1"/>
  <c r="AI230" i="2" a="1"/>
  <c r="AI230" i="2" s="1"/>
  <c r="AJ230" i="2" a="1"/>
  <c r="AJ230" i="2" s="1"/>
  <c r="AK230" i="2" a="1"/>
  <c r="AK230" i="2" s="1"/>
  <c r="E231" i="2" a="1"/>
  <c r="E231" i="2" s="1"/>
  <c r="F231" i="2" a="1"/>
  <c r="F231" i="2" s="1"/>
  <c r="G231" i="2" a="1"/>
  <c r="G231" i="2" s="1"/>
  <c r="H231" i="2" s="1" a="1"/>
  <c r="H231" i="2" s="1"/>
  <c r="I231" i="2" s="1" a="1"/>
  <c r="I231" i="2" s="1"/>
  <c r="J231" i="2" a="1"/>
  <c r="J231" i="2" s="1"/>
  <c r="K231" i="2" a="1"/>
  <c r="K231" i="2" s="1"/>
  <c r="L231" i="2" a="1"/>
  <c r="L231" i="2" s="1"/>
  <c r="M231" i="2" a="1"/>
  <c r="M231" i="2" s="1"/>
  <c r="N231" i="2" a="1"/>
  <c r="N231" i="2" s="1"/>
  <c r="O231" i="2" a="1"/>
  <c r="O231" i="2" s="1"/>
  <c r="P231" i="2" a="1"/>
  <c r="P231" i="2" s="1"/>
  <c r="Q231" i="2" a="1"/>
  <c r="Q231" i="2" s="1"/>
  <c r="R231" i="2" a="1"/>
  <c r="R231" i="2" s="1"/>
  <c r="S231" i="2" a="1"/>
  <c r="S231" i="2" s="1"/>
  <c r="T231" i="2" a="1"/>
  <c r="T231" i="2" s="1"/>
  <c r="U231" i="2" a="1"/>
  <c r="U231" i="2" s="1"/>
  <c r="V231" i="2" a="1"/>
  <c r="V231" i="2" s="1"/>
  <c r="W231" i="2" a="1"/>
  <c r="W231" i="2" s="1"/>
  <c r="X231" i="2" a="1"/>
  <c r="X231" i="2" s="1"/>
  <c r="Y231" i="2" a="1"/>
  <c r="Y231" i="2" s="1"/>
  <c r="Z231" i="2" a="1"/>
  <c r="Z231" i="2" s="1"/>
  <c r="AA231" i="2" a="1"/>
  <c r="AA231" i="2" s="1"/>
  <c r="AB231" i="2" a="1"/>
  <c r="AB231" i="2" s="1"/>
  <c r="AC231" i="2" a="1"/>
  <c r="AC231" i="2" s="1"/>
  <c r="AD231" i="2" a="1"/>
  <c r="AD231" i="2" s="1"/>
  <c r="AE231" i="2" a="1"/>
  <c r="AE231" i="2" s="1"/>
  <c r="AF231" i="2" a="1"/>
  <c r="AF231" i="2" s="1"/>
  <c r="AG231" i="2" a="1"/>
  <c r="AG231" i="2" s="1"/>
  <c r="AH231" i="2" a="1"/>
  <c r="AH231" i="2" s="1"/>
  <c r="AI231" i="2" a="1"/>
  <c r="AI231" i="2" s="1"/>
  <c r="AJ231" i="2" a="1"/>
  <c r="AJ231" i="2" s="1"/>
  <c r="AK231" i="2" a="1"/>
  <c r="AK231" i="2" s="1"/>
  <c r="E232" i="2" a="1"/>
  <c r="E232" i="2" s="1"/>
  <c r="F232" i="2" a="1"/>
  <c r="F232" i="2" s="1"/>
  <c r="G232" i="2" a="1"/>
  <c r="G232" i="2" s="1"/>
  <c r="H232" i="2" a="1"/>
  <c r="H232" i="2" s="1"/>
  <c r="I232" i="2" a="1"/>
  <c r="I232" i="2" s="1"/>
  <c r="J232" i="2" a="1"/>
  <c r="J232" i="2" s="1"/>
  <c r="K232" i="2" a="1"/>
  <c r="K232" i="2" s="1"/>
  <c r="L232" i="2" s="1" a="1"/>
  <c r="L232" i="2" s="1"/>
  <c r="M232" i="2" s="1" a="1"/>
  <c r="M232" i="2" s="1"/>
  <c r="N232" i="2" a="1"/>
  <c r="N232" i="2" s="1"/>
  <c r="O232" i="2" a="1"/>
  <c r="O232" i="2" s="1"/>
  <c r="P232" i="2" a="1"/>
  <c r="P232" i="2" s="1"/>
  <c r="Q232" i="2" a="1"/>
  <c r="Q232" i="2" s="1"/>
  <c r="R232" i="2" a="1"/>
  <c r="R232" i="2" s="1"/>
  <c r="S232" i="2" a="1"/>
  <c r="S232" i="2" s="1"/>
  <c r="T232" i="2" a="1"/>
  <c r="T232" i="2" s="1"/>
  <c r="U232" i="2" a="1"/>
  <c r="U232" i="2" s="1"/>
  <c r="V232" i="2" a="1"/>
  <c r="V232" i="2" s="1"/>
  <c r="W232" i="2" a="1"/>
  <c r="W232" i="2" s="1"/>
  <c r="X232" i="2" a="1"/>
  <c r="X232" i="2" s="1"/>
  <c r="Y232" i="2" a="1"/>
  <c r="Y232" i="2" s="1"/>
  <c r="Z232" i="2" a="1"/>
  <c r="Z232" i="2" s="1"/>
  <c r="AA232" i="2" a="1"/>
  <c r="AA232" i="2" s="1"/>
  <c r="AB232" i="2" a="1"/>
  <c r="AB232" i="2" s="1"/>
  <c r="AC232" i="2" a="1"/>
  <c r="AC232" i="2" s="1"/>
  <c r="AD232" i="2" a="1"/>
  <c r="AD232" i="2" s="1"/>
  <c r="AE232" i="2" a="1"/>
  <c r="AE232" i="2" s="1"/>
  <c r="AF232" i="2" a="1"/>
  <c r="AF232" i="2" s="1"/>
  <c r="AG232" i="2" a="1"/>
  <c r="AG232" i="2" s="1"/>
  <c r="AH232" i="2" a="1"/>
  <c r="AH232" i="2" s="1"/>
  <c r="AI232" i="2" a="1"/>
  <c r="AI232" i="2" s="1"/>
  <c r="AJ232" i="2" a="1"/>
  <c r="AJ232" i="2" s="1"/>
  <c r="AK232" i="2" a="1"/>
  <c r="AK232" i="2" s="1"/>
  <c r="E233" i="2" a="1"/>
  <c r="E233" i="2" s="1"/>
  <c r="F233" i="2" a="1"/>
  <c r="F233" i="2" s="1"/>
  <c r="G233" i="2" a="1"/>
  <c r="G233" i="2" s="1"/>
  <c r="H233" i="2" a="1"/>
  <c r="H233" i="2" s="1"/>
  <c r="I233" i="2" a="1"/>
  <c r="I233" i="2" s="1"/>
  <c r="J233" i="2" a="1"/>
  <c r="J233" i="2" s="1"/>
  <c r="K233" i="2" a="1"/>
  <c r="K233" i="2" s="1"/>
  <c r="L233" i="2" a="1"/>
  <c r="L233" i="2" s="1"/>
  <c r="M233" i="2" a="1"/>
  <c r="M233" i="2" s="1"/>
  <c r="N233" i="2" a="1"/>
  <c r="N233" i="2" s="1"/>
  <c r="O233" i="2" a="1"/>
  <c r="O233" i="2" s="1"/>
  <c r="P233" i="2" a="1"/>
  <c r="P233" i="2" s="1"/>
  <c r="Q233" i="2" a="1"/>
  <c r="Q233" i="2" s="1"/>
  <c r="R233" i="2" a="1"/>
  <c r="R233" i="2" s="1"/>
  <c r="S233" i="2" a="1"/>
  <c r="S233" i="2" s="1"/>
  <c r="T233" i="2" a="1"/>
  <c r="T233" i="2" s="1"/>
  <c r="U233" i="2" a="1"/>
  <c r="U233" i="2" s="1"/>
  <c r="V233" i="2" a="1"/>
  <c r="V233" i="2" s="1"/>
  <c r="W233" i="2" a="1"/>
  <c r="W233" i="2" s="1"/>
  <c r="X233" i="2" a="1"/>
  <c r="X233" i="2" s="1"/>
  <c r="Y233" i="2" a="1"/>
  <c r="Y233" i="2" s="1"/>
  <c r="Z233" i="2" a="1"/>
  <c r="Z233" i="2" s="1"/>
  <c r="AA233" i="2" a="1"/>
  <c r="AA233" i="2" s="1"/>
  <c r="AB233" i="2" a="1"/>
  <c r="AB233" i="2" s="1"/>
  <c r="AC233" i="2" a="1"/>
  <c r="AC233" i="2" s="1"/>
  <c r="AD233" i="2" a="1"/>
  <c r="AD233" i="2" s="1"/>
  <c r="AE233" i="2" a="1"/>
  <c r="AE233" i="2" s="1"/>
  <c r="AF233" i="2" a="1"/>
  <c r="AF233" i="2" s="1"/>
  <c r="AG233" i="2" a="1"/>
  <c r="AG233" i="2" s="1"/>
  <c r="AH233" i="2" a="1"/>
  <c r="AH233" i="2" s="1"/>
  <c r="AI233" i="2" a="1"/>
  <c r="AI233" i="2" s="1"/>
  <c r="AJ233" i="2" a="1"/>
  <c r="AJ233" i="2" s="1"/>
  <c r="AK233" i="2" a="1"/>
  <c r="AK233" i="2" s="1"/>
  <c r="E234" i="2" a="1"/>
  <c r="E234" i="2" s="1"/>
  <c r="F234" i="2" a="1"/>
  <c r="F234" i="2" s="1"/>
  <c r="G234" i="2" a="1"/>
  <c r="G234" i="2" s="1"/>
  <c r="H234" i="2" a="1"/>
  <c r="H234" i="2" s="1"/>
  <c r="I234" i="2" a="1"/>
  <c r="I234" i="2" s="1"/>
  <c r="J234" i="2" a="1"/>
  <c r="J234" i="2" s="1"/>
  <c r="K234" i="2" a="1"/>
  <c r="K234" i="2" s="1"/>
  <c r="L234" i="2" a="1"/>
  <c r="L234" i="2" s="1"/>
  <c r="M234" i="2" a="1"/>
  <c r="M234" i="2" s="1"/>
  <c r="N234" i="2" a="1"/>
  <c r="N234" i="2" s="1"/>
  <c r="O234" i="2" a="1"/>
  <c r="O234" i="2" s="1"/>
  <c r="P234" i="2" a="1"/>
  <c r="P234" i="2" s="1"/>
  <c r="Q234" i="2" a="1"/>
  <c r="Q234" i="2" s="1"/>
  <c r="R234" i="2" a="1"/>
  <c r="R234" i="2" s="1"/>
  <c r="S234" i="2" a="1"/>
  <c r="S234" i="2" s="1"/>
  <c r="T234" i="2" a="1"/>
  <c r="T234" i="2" s="1"/>
  <c r="U234" i="2" a="1"/>
  <c r="U234" i="2" s="1"/>
  <c r="V234" i="2" a="1"/>
  <c r="V234" i="2" s="1"/>
  <c r="W234" i="2" a="1"/>
  <c r="W234" i="2" s="1"/>
  <c r="X234" i="2" a="1"/>
  <c r="X234" i="2" s="1"/>
  <c r="Y234" i="2" a="1"/>
  <c r="Y234" i="2" s="1"/>
  <c r="Z234" i="2" a="1"/>
  <c r="Z234" i="2" s="1"/>
  <c r="AA234" i="2" a="1"/>
  <c r="AA234" i="2" s="1"/>
  <c r="AB234" i="2" a="1"/>
  <c r="AB234" i="2" s="1"/>
  <c r="AC234" i="2" a="1"/>
  <c r="AC234" i="2" s="1"/>
  <c r="AD234" i="2" a="1"/>
  <c r="AD234" i="2" s="1"/>
  <c r="AE234" i="2" a="1"/>
  <c r="AE234" i="2" s="1"/>
  <c r="AF234" i="2" a="1"/>
  <c r="AF234" i="2" s="1"/>
  <c r="AG234" i="2" a="1"/>
  <c r="AG234" i="2" s="1"/>
  <c r="AH234" i="2" a="1"/>
  <c r="AH234" i="2" s="1"/>
  <c r="AI234" i="2" a="1"/>
  <c r="AI234" i="2" s="1"/>
  <c r="AJ234" i="2" a="1"/>
  <c r="AJ234" i="2" s="1"/>
  <c r="AK234" i="2" a="1"/>
  <c r="AK234" i="2" s="1"/>
  <c r="E235" i="2" a="1"/>
  <c r="E235" i="2" s="1"/>
  <c r="F235" i="2" a="1"/>
  <c r="F235" i="2" s="1"/>
  <c r="G235" i="2" a="1"/>
  <c r="G235" i="2" s="1"/>
  <c r="H235" i="2" a="1"/>
  <c r="H235" i="2" s="1"/>
  <c r="I235" i="2" a="1"/>
  <c r="I235" i="2" s="1"/>
  <c r="J235" i="2" a="1"/>
  <c r="J235" i="2" s="1"/>
  <c r="K235" i="2" a="1"/>
  <c r="K235" i="2" s="1"/>
  <c r="L235" i="2" a="1"/>
  <c r="L235" i="2" s="1"/>
  <c r="M235" i="2" a="1"/>
  <c r="M235" i="2" s="1"/>
  <c r="N235" i="2" a="1"/>
  <c r="N235" i="2" s="1"/>
  <c r="O235" i="2" a="1"/>
  <c r="O235" i="2" s="1"/>
  <c r="P235" i="2" a="1"/>
  <c r="P235" i="2" s="1"/>
  <c r="Q235" i="2" a="1"/>
  <c r="Q235" i="2" s="1"/>
  <c r="R235" i="2" a="1"/>
  <c r="R235" i="2" s="1"/>
  <c r="S235" i="2" a="1"/>
  <c r="S235" i="2" s="1"/>
  <c r="T235" i="2" a="1"/>
  <c r="T235" i="2" s="1"/>
  <c r="U235" i="2" a="1"/>
  <c r="U235" i="2" s="1"/>
  <c r="V235" i="2" a="1"/>
  <c r="V235" i="2" s="1"/>
  <c r="W235" i="2" a="1"/>
  <c r="W235" i="2" s="1"/>
  <c r="X235" i="2" a="1"/>
  <c r="X235" i="2" s="1"/>
  <c r="Y235" i="2" a="1"/>
  <c r="Y235" i="2" s="1"/>
  <c r="Z235" i="2" a="1"/>
  <c r="Z235" i="2" s="1"/>
  <c r="AA235" i="2" a="1"/>
  <c r="AA235" i="2" s="1"/>
  <c r="AB235" i="2" a="1"/>
  <c r="AB235" i="2" s="1"/>
  <c r="AC235" i="2" a="1"/>
  <c r="AC235" i="2" s="1"/>
  <c r="AD235" i="2" a="1"/>
  <c r="AD235" i="2" s="1"/>
  <c r="AE235" i="2" a="1"/>
  <c r="AE235" i="2" s="1"/>
  <c r="AF235" i="2" a="1"/>
  <c r="AF235" i="2" s="1"/>
  <c r="AG235" i="2" a="1"/>
  <c r="AG235" i="2" s="1"/>
  <c r="AH235" i="2" a="1"/>
  <c r="AH235" i="2" s="1"/>
  <c r="AI235" i="2" a="1"/>
  <c r="AI235" i="2" s="1"/>
  <c r="AJ235" i="2" a="1"/>
  <c r="AJ235" i="2" s="1"/>
  <c r="AK235" i="2" a="1"/>
  <c r="AK235" i="2" s="1"/>
  <c r="E236" i="2" a="1"/>
  <c r="E236" i="2" s="1"/>
  <c r="F236" i="2" a="1"/>
  <c r="F236" i="2" s="1"/>
  <c r="G236" i="2" a="1"/>
  <c r="G236" i="2" s="1"/>
  <c r="H236" i="2" a="1"/>
  <c r="H236" i="2" s="1"/>
  <c r="I236" i="2" a="1"/>
  <c r="I236" i="2" s="1"/>
  <c r="J236" i="2" a="1"/>
  <c r="J236" i="2" s="1"/>
  <c r="K236" i="2" a="1"/>
  <c r="K236" i="2" s="1"/>
  <c r="L236" i="2" a="1"/>
  <c r="L236" i="2" s="1"/>
  <c r="M236" i="2" a="1"/>
  <c r="M236" i="2" s="1"/>
  <c r="N236" i="2" a="1"/>
  <c r="N236" i="2" s="1"/>
  <c r="O236" i="2" a="1"/>
  <c r="O236" i="2" s="1"/>
  <c r="P236" i="2" a="1"/>
  <c r="P236" i="2" s="1"/>
  <c r="Q236" i="2" a="1"/>
  <c r="Q236" i="2" s="1"/>
  <c r="R236" i="2" a="1"/>
  <c r="R236" i="2" s="1"/>
  <c r="S236" i="2" a="1"/>
  <c r="S236" i="2" s="1"/>
  <c r="T236" i="2" a="1"/>
  <c r="T236" i="2" s="1"/>
  <c r="U236" i="2" a="1"/>
  <c r="U236" i="2" s="1"/>
  <c r="V236" i="2" a="1"/>
  <c r="V236" i="2" s="1"/>
  <c r="W236" i="2" a="1"/>
  <c r="W236" i="2" s="1"/>
  <c r="X236" i="2" a="1"/>
  <c r="X236" i="2" s="1"/>
  <c r="Y236" i="2" a="1"/>
  <c r="Y236" i="2" s="1"/>
  <c r="Z236" i="2" a="1"/>
  <c r="Z236" i="2" s="1"/>
  <c r="AA236" i="2" a="1"/>
  <c r="AA236" i="2" s="1"/>
  <c r="AB236" i="2" a="1"/>
  <c r="AB236" i="2" s="1"/>
  <c r="AC236" i="2" a="1"/>
  <c r="AC236" i="2" s="1"/>
  <c r="AD236" i="2" a="1"/>
  <c r="AD236" i="2" s="1"/>
  <c r="AE236" i="2" a="1"/>
  <c r="AE236" i="2" s="1"/>
  <c r="AF236" i="2" a="1"/>
  <c r="AF236" i="2" s="1"/>
  <c r="AG236" i="2" a="1"/>
  <c r="AG236" i="2" s="1"/>
  <c r="AH236" i="2" a="1"/>
  <c r="AH236" i="2" s="1"/>
  <c r="AI236" i="2" a="1"/>
  <c r="AI236" i="2" s="1"/>
  <c r="AJ236" i="2" a="1"/>
  <c r="AJ236" i="2" s="1"/>
  <c r="AK236" i="2" a="1"/>
  <c r="AK236" i="2" s="1"/>
  <c r="E237" i="2" a="1"/>
  <c r="E237" i="2" s="1"/>
  <c r="F237" i="2" a="1"/>
  <c r="F237" i="2" s="1"/>
  <c r="G237" i="2" a="1"/>
  <c r="G237" i="2" s="1"/>
  <c r="H237" i="2" a="1"/>
  <c r="H237" i="2" s="1"/>
  <c r="I237" i="2" a="1"/>
  <c r="I237" i="2" s="1"/>
  <c r="J237" i="2" a="1"/>
  <c r="J237" i="2" s="1"/>
  <c r="K237" i="2" a="1"/>
  <c r="K237" i="2" s="1"/>
  <c r="L237" i="2" a="1"/>
  <c r="L237" i="2" s="1"/>
  <c r="M237" i="2" a="1"/>
  <c r="M237" i="2" s="1"/>
  <c r="N237" i="2" a="1"/>
  <c r="N237" i="2" s="1"/>
  <c r="O237" i="2" a="1"/>
  <c r="O237" i="2"/>
  <c r="P237" i="2" a="1"/>
  <c r="P237" i="2" s="1"/>
  <c r="Q237" i="2" a="1"/>
  <c r="Q237" i="2" s="1"/>
  <c r="R237" i="2" a="1"/>
  <c r="R237" i="2" s="1"/>
  <c r="S237" i="2" a="1"/>
  <c r="S237" i="2"/>
  <c r="T237" i="2" a="1"/>
  <c r="T237" i="2" s="1"/>
  <c r="U237" i="2" a="1"/>
  <c r="U237" i="2" s="1"/>
  <c r="V237" i="2" a="1"/>
  <c r="V237" i="2" s="1"/>
  <c r="W237" i="2" a="1"/>
  <c r="W237" i="2" s="1"/>
  <c r="X237" i="2" a="1"/>
  <c r="X237" i="2" s="1"/>
  <c r="Y237" i="2" a="1"/>
  <c r="Y237" i="2" s="1"/>
  <c r="Z237" i="2" a="1"/>
  <c r="Z237" i="2" s="1"/>
  <c r="AA237" i="2" a="1"/>
  <c r="AA237" i="2" s="1"/>
  <c r="AB237" i="2" a="1"/>
  <c r="AB237" i="2" s="1"/>
  <c r="AC237" i="2" a="1"/>
  <c r="AC237" i="2" s="1"/>
  <c r="AD237" i="2" a="1"/>
  <c r="AD237" i="2" s="1"/>
  <c r="AE237" i="2" a="1"/>
  <c r="AE237" i="2" s="1"/>
  <c r="AF237" i="2" a="1"/>
  <c r="AF237" i="2" s="1"/>
  <c r="AG237" i="2" a="1"/>
  <c r="AG237" i="2" s="1"/>
  <c r="AH237" i="2" a="1"/>
  <c r="AH237" i="2" s="1"/>
  <c r="AI237" i="2" a="1"/>
  <c r="AI237" i="2" s="1"/>
  <c r="AJ237" i="2" a="1"/>
  <c r="AJ237" i="2" s="1"/>
  <c r="AK237" i="2" a="1"/>
  <c r="AK237" i="2" s="1"/>
  <c r="E238" i="2" a="1"/>
  <c r="E238" i="2" s="1"/>
  <c r="F238" i="2" a="1"/>
  <c r="F238" i="2" s="1"/>
  <c r="G238" i="2" a="1"/>
  <c r="G238" i="2" s="1"/>
  <c r="H238" i="2" a="1"/>
  <c r="H238" i="2" s="1"/>
  <c r="I238" i="2" a="1"/>
  <c r="I238" i="2" s="1"/>
  <c r="J238" i="2" a="1"/>
  <c r="J238" i="2" s="1"/>
  <c r="K238" i="2" a="1"/>
  <c r="K238" i="2" s="1"/>
  <c r="L238" i="2" a="1"/>
  <c r="L238" i="2" s="1"/>
  <c r="M238" i="2" a="1"/>
  <c r="M238" i="2" s="1"/>
  <c r="N238" i="2" a="1"/>
  <c r="N238" i="2" s="1"/>
  <c r="O238" i="2" a="1"/>
  <c r="O238" i="2" s="1"/>
  <c r="P238" i="2" a="1"/>
  <c r="P238" i="2" s="1"/>
  <c r="Q238" i="2" a="1"/>
  <c r="Q238" i="2" s="1"/>
  <c r="R238" i="2" a="1"/>
  <c r="R238" i="2" s="1"/>
  <c r="S238" i="2" a="1"/>
  <c r="S238" i="2" s="1"/>
  <c r="T238" i="2" a="1"/>
  <c r="T238" i="2" s="1"/>
  <c r="U238" i="2" a="1"/>
  <c r="U238" i="2" s="1"/>
  <c r="V238" i="2" a="1"/>
  <c r="V238" i="2" s="1"/>
  <c r="W238" i="2" a="1"/>
  <c r="W238" i="2" s="1"/>
  <c r="X238" i="2" a="1"/>
  <c r="X238" i="2" s="1"/>
  <c r="Y238" i="2" a="1"/>
  <c r="Y238" i="2" s="1"/>
  <c r="Z238" i="2" a="1"/>
  <c r="Z238" i="2" s="1"/>
  <c r="AA238" i="2" a="1"/>
  <c r="AA238" i="2" s="1"/>
  <c r="AB238" i="2" a="1"/>
  <c r="AB238" i="2" s="1"/>
  <c r="AC238" i="2" a="1"/>
  <c r="AC238" i="2" s="1"/>
  <c r="AD238" i="2" a="1"/>
  <c r="AD238" i="2" s="1"/>
  <c r="AE238" i="2" a="1"/>
  <c r="AE238" i="2" s="1"/>
  <c r="AF238" i="2" a="1"/>
  <c r="AF238" i="2" s="1"/>
  <c r="AG238" i="2" a="1"/>
  <c r="AG238" i="2" s="1"/>
  <c r="AH238" i="2" a="1"/>
  <c r="AH238" i="2" s="1"/>
  <c r="AI238" i="2" a="1"/>
  <c r="AI238" i="2" s="1"/>
  <c r="AJ238" i="2" a="1"/>
  <c r="AJ238" i="2" s="1"/>
  <c r="AK238" i="2" a="1"/>
  <c r="AK238" i="2" s="1"/>
  <c r="D238" i="2" a="1"/>
  <c r="D238" i="2" s="1"/>
  <c r="D237" i="2" a="1"/>
  <c r="D237" i="2" s="1"/>
  <c r="D236" i="2" a="1"/>
  <c r="D236" i="2" s="1"/>
  <c r="D235" i="2" a="1"/>
  <c r="D235" i="2" s="1"/>
  <c r="D234" i="2" a="1"/>
  <c r="D234" i="2" s="1"/>
  <c r="D233" i="2" a="1"/>
  <c r="D233" i="2" s="1"/>
  <c r="D232" i="2" a="1"/>
  <c r="D232" i="2" s="1"/>
  <c r="D231" i="2" a="1"/>
  <c r="D231" i="2" s="1"/>
  <c r="D230" i="2" a="1"/>
  <c r="D230" i="2" s="1"/>
  <c r="D229" i="2" a="1"/>
  <c r="D229" i="2" s="1"/>
  <c r="D228" i="2" a="1"/>
  <c r="D228" i="2" s="1"/>
  <c r="D207" i="2" a="1"/>
  <c r="D207" i="2" s="1"/>
  <c r="E207" i="2" a="1"/>
  <c r="E207" i="2" s="1"/>
  <c r="F207" i="2" a="1"/>
  <c r="F207" i="2" s="1"/>
  <c r="G207" i="2" a="1"/>
  <c r="G207" i="2" s="1"/>
  <c r="H207" i="2" a="1"/>
  <c r="H207" i="2" s="1"/>
  <c r="I207" i="2" a="1"/>
  <c r="I207" i="2" s="1"/>
  <c r="J207" i="2" a="1"/>
  <c r="J207" i="2" s="1"/>
  <c r="K207" i="2" a="1"/>
  <c r="K207" i="2" s="1"/>
  <c r="L207" i="2" a="1"/>
  <c r="L207" i="2" s="1"/>
  <c r="M207" i="2" a="1"/>
  <c r="M207" i="2" s="1"/>
  <c r="N207" i="2" a="1"/>
  <c r="N207" i="2" s="1"/>
  <c r="O207" i="2" a="1"/>
  <c r="O207" i="2" s="1"/>
  <c r="P207" i="2" a="1"/>
  <c r="P207" i="2" s="1"/>
  <c r="Q207" i="2" a="1"/>
  <c r="Q207" i="2" s="1"/>
  <c r="R207" i="2" a="1"/>
  <c r="R207" i="2" s="1"/>
  <c r="S207" i="2" a="1"/>
  <c r="S207" i="2" s="1"/>
  <c r="T207" i="2" a="1"/>
  <c r="T207" i="2" s="1"/>
  <c r="U207" i="2" a="1"/>
  <c r="U207" i="2" s="1"/>
  <c r="V207" i="2" a="1"/>
  <c r="V207" i="2" s="1"/>
  <c r="W207" i="2" a="1"/>
  <c r="W207" i="2" s="1"/>
  <c r="X207" i="2" a="1"/>
  <c r="X207" i="2" s="1"/>
  <c r="Y207" i="2" a="1"/>
  <c r="Y207" i="2" s="1"/>
  <c r="Z207" i="2" a="1"/>
  <c r="Z207" i="2" s="1"/>
  <c r="AA207" i="2" a="1"/>
  <c r="AA207" i="2" s="1"/>
  <c r="AB207" i="2" a="1"/>
  <c r="AB207" i="2" s="1"/>
  <c r="AC207" i="2" a="1"/>
  <c r="AC207" i="2" s="1"/>
  <c r="AD207" i="2" a="1"/>
  <c r="AD207" i="2" s="1"/>
  <c r="AE207" i="2" a="1"/>
  <c r="AE207" i="2" s="1"/>
  <c r="AF207" i="2" a="1"/>
  <c r="AF207" i="2" s="1"/>
  <c r="AG207" i="2" a="1"/>
  <c r="AG207" i="2" s="1"/>
  <c r="AH207" i="2" a="1"/>
  <c r="AH207" i="2" s="1"/>
  <c r="AI207" i="2" a="1"/>
  <c r="AI207" i="2" s="1"/>
  <c r="AJ207" i="2" a="1"/>
  <c r="AJ207" i="2" s="1"/>
  <c r="D208" i="2" a="1"/>
  <c r="D208" i="2" s="1"/>
  <c r="E208" i="2" a="1"/>
  <c r="E208" i="2" s="1"/>
  <c r="F208" i="2" a="1"/>
  <c r="F208" i="2" s="1"/>
  <c r="G208" i="2" a="1"/>
  <c r="G208" i="2" s="1"/>
  <c r="H208" i="2" a="1"/>
  <c r="H208" i="2" s="1"/>
  <c r="I208" i="2" a="1"/>
  <c r="I208" i="2" s="1"/>
  <c r="J208" i="2" a="1"/>
  <c r="J208" i="2" s="1"/>
  <c r="K208" i="2" a="1"/>
  <c r="K208" i="2" s="1"/>
  <c r="L208" i="2" a="1"/>
  <c r="L208" i="2" s="1"/>
  <c r="M208" i="2" a="1"/>
  <c r="M208" i="2" s="1"/>
  <c r="N208" i="2" a="1"/>
  <c r="N208" i="2" s="1"/>
  <c r="O208" i="2" a="1"/>
  <c r="O208" i="2" s="1"/>
  <c r="P208" i="2" a="1"/>
  <c r="P208" i="2" s="1"/>
  <c r="Q208" i="2" a="1"/>
  <c r="Q208" i="2" s="1"/>
  <c r="R208" i="2" a="1"/>
  <c r="R208" i="2" s="1"/>
  <c r="S208" i="2" a="1"/>
  <c r="S208" i="2" s="1"/>
  <c r="T208" i="2" a="1"/>
  <c r="T208" i="2" s="1"/>
  <c r="U208" i="2" a="1"/>
  <c r="U208" i="2" s="1"/>
  <c r="V208" i="2" a="1"/>
  <c r="V208" i="2" s="1"/>
  <c r="W208" i="2" a="1"/>
  <c r="W208" i="2" s="1"/>
  <c r="X208" i="2" a="1"/>
  <c r="X208" i="2" s="1"/>
  <c r="Y208" i="2" a="1"/>
  <c r="Y208" i="2" s="1"/>
  <c r="Z208" i="2" a="1"/>
  <c r="Z208" i="2" s="1"/>
  <c r="AA208" i="2" a="1"/>
  <c r="AA208" i="2" s="1"/>
  <c r="AB208" i="2" a="1"/>
  <c r="AB208" i="2" s="1"/>
  <c r="AC208" i="2" a="1"/>
  <c r="AC208" i="2" s="1"/>
  <c r="AD208" i="2" a="1"/>
  <c r="AD208" i="2" s="1"/>
  <c r="AE208" i="2" a="1"/>
  <c r="AE208" i="2" s="1"/>
  <c r="AF208" i="2" a="1"/>
  <c r="AF208" i="2" s="1"/>
  <c r="AG208" i="2" a="1"/>
  <c r="AG208" i="2" s="1"/>
  <c r="AH208" i="2" a="1"/>
  <c r="AH208" i="2" s="1"/>
  <c r="AI208" i="2" a="1"/>
  <c r="AI208" i="2" s="1"/>
  <c r="AJ208" i="2" a="1"/>
  <c r="AJ208" i="2" s="1"/>
  <c r="D209" i="2" a="1"/>
  <c r="D209" i="2" s="1"/>
  <c r="E209" i="2" a="1"/>
  <c r="E209" i="2" s="1"/>
  <c r="F209" i="2" a="1"/>
  <c r="F209" i="2" s="1"/>
  <c r="G209" i="2" a="1"/>
  <c r="G209" i="2" s="1"/>
  <c r="H209" i="2" a="1"/>
  <c r="H209" i="2" s="1"/>
  <c r="I209" i="2" a="1"/>
  <c r="I209" i="2" s="1"/>
  <c r="J209" i="2" a="1"/>
  <c r="J209" i="2" s="1"/>
  <c r="K209" i="2" a="1"/>
  <c r="K209" i="2" s="1"/>
  <c r="L209" i="2" a="1"/>
  <c r="L209" i="2" s="1"/>
  <c r="M209" i="2" a="1"/>
  <c r="M209" i="2" s="1"/>
  <c r="N209" i="2" a="1"/>
  <c r="N209" i="2" s="1"/>
  <c r="O209" i="2" a="1"/>
  <c r="O209" i="2" s="1"/>
  <c r="P209" i="2" a="1"/>
  <c r="P209" i="2" s="1"/>
  <c r="Q209" i="2" a="1"/>
  <c r="Q209" i="2" s="1"/>
  <c r="R209" i="2" a="1"/>
  <c r="R209" i="2" s="1"/>
  <c r="S209" i="2" a="1"/>
  <c r="S209" i="2" s="1"/>
  <c r="T209" i="2" a="1"/>
  <c r="T209" i="2" s="1"/>
  <c r="U209" i="2" a="1"/>
  <c r="U209" i="2" s="1"/>
  <c r="V209" i="2" a="1"/>
  <c r="V209" i="2" s="1"/>
  <c r="W209" i="2" a="1"/>
  <c r="W209" i="2" s="1"/>
  <c r="X209" i="2" a="1"/>
  <c r="X209" i="2" s="1"/>
  <c r="Y209" i="2" a="1"/>
  <c r="Y209" i="2" s="1"/>
  <c r="Z209" i="2" a="1"/>
  <c r="Z209" i="2" s="1"/>
  <c r="AA209" i="2" a="1"/>
  <c r="AA209" i="2" s="1"/>
  <c r="AB209" i="2" a="1"/>
  <c r="AB209" i="2" s="1"/>
  <c r="AC209" i="2" a="1"/>
  <c r="AC209" i="2" s="1"/>
  <c r="AD209" i="2" a="1"/>
  <c r="AD209" i="2" s="1"/>
  <c r="AE209" i="2" a="1"/>
  <c r="AE209" i="2" s="1"/>
  <c r="AF209" i="2" a="1"/>
  <c r="AF209" i="2" s="1"/>
  <c r="AG209" i="2" a="1"/>
  <c r="AG209" i="2" s="1"/>
  <c r="AH209" i="2" a="1"/>
  <c r="AH209" i="2" s="1"/>
  <c r="AI209" i="2" a="1"/>
  <c r="AI209" i="2" s="1"/>
  <c r="AJ209" i="2" a="1"/>
  <c r="AJ209" i="2" s="1"/>
  <c r="D210" i="2" a="1"/>
  <c r="D210" i="2" s="1"/>
  <c r="E210" i="2" a="1"/>
  <c r="E210" i="2" s="1"/>
  <c r="F210" i="2" a="1"/>
  <c r="F210" i="2" s="1"/>
  <c r="G210" i="2" a="1"/>
  <c r="G210" i="2" s="1"/>
  <c r="H210" i="2" a="1"/>
  <c r="H210" i="2" s="1"/>
  <c r="I210" i="2" a="1"/>
  <c r="I210" i="2" s="1"/>
  <c r="J210" i="2" a="1"/>
  <c r="J210" i="2" s="1"/>
  <c r="K210" i="2" a="1"/>
  <c r="K210" i="2" s="1"/>
  <c r="L210" i="2" a="1"/>
  <c r="L210" i="2" s="1"/>
  <c r="M210" i="2" a="1"/>
  <c r="M210" i="2" s="1"/>
  <c r="N210" i="2" a="1"/>
  <c r="N210" i="2" s="1"/>
  <c r="O210" i="2" a="1"/>
  <c r="O210" i="2" s="1"/>
  <c r="P210" i="2" a="1"/>
  <c r="P210" i="2" s="1"/>
  <c r="Q210" i="2" a="1"/>
  <c r="Q210" i="2" s="1"/>
  <c r="R210" i="2" a="1"/>
  <c r="R210" i="2" s="1"/>
  <c r="S210" i="2" a="1"/>
  <c r="S210" i="2" s="1"/>
  <c r="T210" i="2" a="1"/>
  <c r="T210" i="2" s="1"/>
  <c r="U210" i="2" a="1"/>
  <c r="U210" i="2" s="1"/>
  <c r="V210" i="2" a="1"/>
  <c r="V210" i="2" s="1"/>
  <c r="W210" i="2" a="1"/>
  <c r="W210" i="2" s="1"/>
  <c r="X210" i="2" a="1"/>
  <c r="X210" i="2" s="1"/>
  <c r="Y210" i="2" a="1"/>
  <c r="Y210" i="2" s="1"/>
  <c r="Z210" i="2" a="1"/>
  <c r="Z210" i="2" s="1"/>
  <c r="AA210" i="2" a="1"/>
  <c r="AA210" i="2" s="1"/>
  <c r="AB210" i="2" a="1"/>
  <c r="AB210" i="2" s="1"/>
  <c r="AC210" i="2" a="1"/>
  <c r="AC210" i="2" s="1"/>
  <c r="AD210" i="2" a="1"/>
  <c r="AD210" i="2" s="1"/>
  <c r="AE210" i="2" a="1"/>
  <c r="AE210" i="2" s="1"/>
  <c r="AF210" i="2" a="1"/>
  <c r="AF210" i="2" s="1"/>
  <c r="AG210" i="2" a="1"/>
  <c r="AG210" i="2" s="1"/>
  <c r="AH210" i="2" a="1"/>
  <c r="AH210" i="2" s="1"/>
  <c r="AI210" i="2" a="1"/>
  <c r="AI210" i="2" s="1"/>
  <c r="AJ210" i="2" a="1"/>
  <c r="AJ210" i="2" s="1"/>
  <c r="D211" i="2" a="1"/>
  <c r="D211" i="2" s="1"/>
  <c r="E211" i="2" a="1"/>
  <c r="E211" i="2" s="1"/>
  <c r="F211" i="2" a="1"/>
  <c r="F211" i="2" s="1"/>
  <c r="G211" i="2" a="1"/>
  <c r="G211" i="2" s="1"/>
  <c r="H211" i="2" a="1"/>
  <c r="H211" i="2" s="1"/>
  <c r="I211" i="2" a="1"/>
  <c r="I211" i="2" s="1"/>
  <c r="J211" i="2" a="1"/>
  <c r="J211" i="2" s="1"/>
  <c r="K211" i="2" a="1"/>
  <c r="K211" i="2" s="1"/>
  <c r="L211" i="2" a="1"/>
  <c r="L211" i="2" s="1"/>
  <c r="M211" i="2" a="1"/>
  <c r="M211" i="2" s="1"/>
  <c r="N211" i="2" a="1"/>
  <c r="N211" i="2" s="1"/>
  <c r="O211" i="2" a="1"/>
  <c r="O211" i="2" s="1"/>
  <c r="P211" i="2" a="1"/>
  <c r="P211" i="2" s="1"/>
  <c r="Q211" i="2" a="1"/>
  <c r="Q211" i="2" s="1"/>
  <c r="R211" i="2" a="1"/>
  <c r="R211" i="2" s="1"/>
  <c r="S211" i="2" a="1"/>
  <c r="S211" i="2" s="1"/>
  <c r="T211" i="2" a="1"/>
  <c r="T211" i="2" s="1"/>
  <c r="U211" i="2" a="1"/>
  <c r="U211" i="2" s="1"/>
  <c r="V211" i="2" a="1"/>
  <c r="V211" i="2" s="1"/>
  <c r="W211" i="2" a="1"/>
  <c r="W211" i="2" s="1"/>
  <c r="X211" i="2" a="1"/>
  <c r="X211" i="2" s="1"/>
  <c r="Y211" i="2" a="1"/>
  <c r="Y211" i="2" s="1"/>
  <c r="Z211" i="2" a="1"/>
  <c r="Z211" i="2" s="1"/>
  <c r="AA211" i="2" a="1"/>
  <c r="AA211" i="2" s="1"/>
  <c r="AB211" i="2" a="1"/>
  <c r="AB211" i="2" s="1"/>
  <c r="AC211" i="2" a="1"/>
  <c r="AC211" i="2" s="1"/>
  <c r="AD211" i="2" a="1"/>
  <c r="AD211" i="2" s="1"/>
  <c r="AE211" i="2" a="1"/>
  <c r="AE211" i="2" s="1"/>
  <c r="AF211" i="2" a="1"/>
  <c r="AF211" i="2" s="1"/>
  <c r="AG211" i="2" a="1"/>
  <c r="AG211" i="2" s="1"/>
  <c r="AH211" i="2" a="1"/>
  <c r="AH211" i="2" s="1"/>
  <c r="AI211" i="2" a="1"/>
  <c r="AI211" i="2" s="1"/>
  <c r="AJ211" i="2" a="1"/>
  <c r="AJ211" i="2" s="1"/>
  <c r="D212" i="2" a="1"/>
  <c r="D212" i="2" s="1"/>
  <c r="E212" i="2" a="1"/>
  <c r="E212" i="2" s="1"/>
  <c r="F212" i="2" a="1"/>
  <c r="F212" i="2" s="1"/>
  <c r="G212" i="2" a="1"/>
  <c r="G212" i="2" s="1"/>
  <c r="H212" i="2" a="1"/>
  <c r="H212" i="2" s="1"/>
  <c r="I212" i="2" a="1"/>
  <c r="I212" i="2" s="1"/>
  <c r="J212" i="2" a="1"/>
  <c r="J212" i="2" s="1"/>
  <c r="K212" i="2" a="1"/>
  <c r="K212" i="2" s="1"/>
  <c r="L212" i="2" a="1"/>
  <c r="L212" i="2" s="1"/>
  <c r="M212" i="2" a="1"/>
  <c r="M212" i="2" s="1"/>
  <c r="N212" i="2" a="1"/>
  <c r="N212" i="2" s="1"/>
  <c r="O212" i="2" a="1"/>
  <c r="O212" i="2" s="1"/>
  <c r="P212" i="2" a="1"/>
  <c r="P212" i="2" s="1"/>
  <c r="Q212" i="2" a="1"/>
  <c r="Q212" i="2" s="1"/>
  <c r="R212" i="2" a="1"/>
  <c r="R212" i="2" s="1"/>
  <c r="S212" i="2" a="1"/>
  <c r="S212" i="2" s="1"/>
  <c r="T212" i="2" a="1"/>
  <c r="T212" i="2" s="1"/>
  <c r="U212" i="2" a="1"/>
  <c r="U212" i="2" s="1"/>
  <c r="V212" i="2" a="1"/>
  <c r="V212" i="2" s="1"/>
  <c r="W212" i="2" a="1"/>
  <c r="W212" i="2" s="1"/>
  <c r="X212" i="2" a="1"/>
  <c r="X212" i="2" s="1"/>
  <c r="Y212" i="2" a="1"/>
  <c r="Y212" i="2" s="1"/>
  <c r="Z212" i="2" a="1"/>
  <c r="Z212" i="2" s="1"/>
  <c r="AA212" i="2" a="1"/>
  <c r="AA212" i="2" s="1"/>
  <c r="AB212" i="2" a="1"/>
  <c r="AB212" i="2" s="1"/>
  <c r="AC212" i="2" a="1"/>
  <c r="AC212" i="2" s="1"/>
  <c r="AD212" i="2" a="1"/>
  <c r="AD212" i="2" s="1"/>
  <c r="AE212" i="2" a="1"/>
  <c r="AE212" i="2" s="1"/>
  <c r="AF212" i="2" a="1"/>
  <c r="AF212" i="2" s="1"/>
  <c r="AG212" i="2" a="1"/>
  <c r="AG212" i="2" s="1"/>
  <c r="AH212" i="2" a="1"/>
  <c r="AH212" i="2" s="1"/>
  <c r="AI212" i="2" a="1"/>
  <c r="AI212" i="2" s="1"/>
  <c r="AJ212" i="2" a="1"/>
  <c r="AJ212" i="2" s="1"/>
  <c r="D213" i="2" a="1"/>
  <c r="D213" i="2" s="1"/>
  <c r="E213" i="2" a="1"/>
  <c r="E213" i="2" s="1"/>
  <c r="F213" i="2" a="1"/>
  <c r="F213" i="2" s="1"/>
  <c r="G213" i="2" a="1"/>
  <c r="G213" i="2" s="1"/>
  <c r="H213" i="2" a="1"/>
  <c r="H213" i="2" s="1"/>
  <c r="I213" i="2" a="1"/>
  <c r="I213" i="2" s="1"/>
  <c r="J213" i="2" a="1"/>
  <c r="J213" i="2" s="1"/>
  <c r="K213" i="2" a="1"/>
  <c r="K213" i="2" s="1"/>
  <c r="L213" i="2" a="1"/>
  <c r="L213" i="2" s="1"/>
  <c r="M213" i="2" a="1"/>
  <c r="M213" i="2" s="1"/>
  <c r="N213" i="2" a="1"/>
  <c r="N213" i="2" s="1"/>
  <c r="O213" i="2" a="1"/>
  <c r="O213" i="2" s="1"/>
  <c r="P213" i="2" a="1"/>
  <c r="P213" i="2" s="1"/>
  <c r="Q213" i="2" a="1"/>
  <c r="Q213" i="2" s="1"/>
  <c r="R213" i="2" a="1"/>
  <c r="R213" i="2" s="1"/>
  <c r="S213" i="2" a="1"/>
  <c r="S213" i="2" s="1"/>
  <c r="T213" i="2" a="1"/>
  <c r="T213" i="2" s="1"/>
  <c r="U213" i="2" a="1"/>
  <c r="U213" i="2" s="1"/>
  <c r="V213" i="2" a="1"/>
  <c r="V213" i="2" s="1"/>
  <c r="W213" i="2" a="1"/>
  <c r="W213" i="2" s="1"/>
  <c r="X213" i="2" a="1"/>
  <c r="X213" i="2" s="1"/>
  <c r="Y213" i="2" a="1"/>
  <c r="Y213" i="2" s="1"/>
  <c r="Z213" i="2" a="1"/>
  <c r="Z213" i="2" s="1"/>
  <c r="AA213" i="2" a="1"/>
  <c r="AA213" i="2" s="1"/>
  <c r="AB213" i="2" a="1"/>
  <c r="AB213" i="2" s="1"/>
  <c r="AC213" i="2" a="1"/>
  <c r="AC213" i="2" s="1"/>
  <c r="AD213" i="2" a="1"/>
  <c r="AD213" i="2" s="1"/>
  <c r="AE213" i="2" a="1"/>
  <c r="AE213" i="2" s="1"/>
  <c r="AF213" i="2" a="1"/>
  <c r="AF213" i="2" s="1"/>
  <c r="AG213" i="2" a="1"/>
  <c r="AG213" i="2" s="1"/>
  <c r="AH213" i="2" a="1"/>
  <c r="AH213" i="2" s="1"/>
  <c r="AI213" i="2" a="1"/>
  <c r="AI213" i="2" s="1"/>
  <c r="AJ213" i="2" a="1"/>
  <c r="AJ213" i="2" s="1"/>
  <c r="D214" i="2" a="1"/>
  <c r="D214" i="2" s="1"/>
  <c r="E214" i="2" a="1"/>
  <c r="E214" i="2" s="1"/>
  <c r="F214" i="2" a="1"/>
  <c r="F214" i="2" s="1"/>
  <c r="G214" i="2" a="1"/>
  <c r="G214" i="2" s="1"/>
  <c r="H214" i="2" a="1"/>
  <c r="H214" i="2" s="1"/>
  <c r="I214" i="2" a="1"/>
  <c r="I214" i="2" s="1"/>
  <c r="J214" i="2" a="1"/>
  <c r="J214" i="2" s="1"/>
  <c r="K214" i="2" a="1"/>
  <c r="K214" i="2" s="1"/>
  <c r="L214" i="2" a="1"/>
  <c r="L214" i="2" s="1"/>
  <c r="M214" i="2" a="1"/>
  <c r="M214" i="2" s="1"/>
  <c r="N214" i="2" a="1"/>
  <c r="N214" i="2" s="1"/>
  <c r="O214" i="2" a="1"/>
  <c r="O214" i="2" s="1"/>
  <c r="P214" i="2" a="1"/>
  <c r="P214" i="2" s="1"/>
  <c r="Q214" i="2" a="1"/>
  <c r="Q214" i="2" s="1"/>
  <c r="R214" i="2" a="1"/>
  <c r="R214" i="2" s="1"/>
  <c r="S214" i="2" a="1"/>
  <c r="S214" i="2" s="1"/>
  <c r="T214" i="2" a="1"/>
  <c r="T214" i="2" s="1"/>
  <c r="U214" i="2" a="1"/>
  <c r="U214" i="2" s="1"/>
  <c r="V214" i="2" a="1"/>
  <c r="V214" i="2" s="1"/>
  <c r="W214" i="2" a="1"/>
  <c r="W214" i="2" s="1"/>
  <c r="X214" i="2" a="1"/>
  <c r="X214" i="2" s="1"/>
  <c r="Y214" i="2" a="1"/>
  <c r="Y214" i="2" s="1"/>
  <c r="Z214" i="2" a="1"/>
  <c r="Z214" i="2" s="1"/>
  <c r="AA214" i="2" a="1"/>
  <c r="AA214" i="2" s="1"/>
  <c r="AB214" i="2" a="1"/>
  <c r="AB214" i="2" s="1"/>
  <c r="AC214" i="2" a="1"/>
  <c r="AC214" i="2" s="1"/>
  <c r="AD214" i="2" a="1"/>
  <c r="AD214" i="2" s="1"/>
  <c r="AE214" i="2" a="1"/>
  <c r="AE214" i="2" s="1"/>
  <c r="AF214" i="2" a="1"/>
  <c r="AF214" i="2" s="1"/>
  <c r="AG214" i="2" a="1"/>
  <c r="AG214" i="2" s="1"/>
  <c r="AH214" i="2" a="1"/>
  <c r="AH214" i="2" s="1"/>
  <c r="AI214" i="2" a="1"/>
  <c r="AI214" i="2" s="1"/>
  <c r="AJ214" i="2" a="1"/>
  <c r="AJ214" i="2" s="1"/>
  <c r="D215" i="2" a="1"/>
  <c r="D215" i="2" s="1"/>
  <c r="E215" i="2" a="1"/>
  <c r="E215" i="2" s="1"/>
  <c r="F215" i="2" a="1"/>
  <c r="F215" i="2" s="1"/>
  <c r="G215" i="2" a="1"/>
  <c r="G215" i="2" s="1"/>
  <c r="H215" i="2" a="1"/>
  <c r="H215" i="2" s="1"/>
  <c r="I215" i="2" a="1"/>
  <c r="I215" i="2" s="1"/>
  <c r="J215" i="2" a="1"/>
  <c r="J215" i="2" s="1"/>
  <c r="K215" i="2" a="1"/>
  <c r="K215" i="2" s="1"/>
  <c r="L215" i="2" a="1"/>
  <c r="L215" i="2" s="1"/>
  <c r="M215" i="2" a="1"/>
  <c r="M215" i="2" s="1"/>
  <c r="N215" i="2" a="1"/>
  <c r="N215" i="2" s="1"/>
  <c r="O215" i="2" a="1"/>
  <c r="O215" i="2" s="1"/>
  <c r="P215" i="2" a="1"/>
  <c r="P215" i="2" s="1"/>
  <c r="Q215" i="2" a="1"/>
  <c r="Q215" i="2" s="1"/>
  <c r="R215" i="2" a="1"/>
  <c r="R215" i="2" s="1"/>
  <c r="S215" i="2" a="1"/>
  <c r="S215" i="2" s="1"/>
  <c r="T215" i="2" a="1"/>
  <c r="T215" i="2" s="1"/>
  <c r="U215" i="2" a="1"/>
  <c r="U215" i="2" s="1"/>
  <c r="V215" i="2" a="1"/>
  <c r="V215" i="2" s="1"/>
  <c r="W215" i="2" a="1"/>
  <c r="W215" i="2" s="1"/>
  <c r="X215" i="2" a="1"/>
  <c r="X215" i="2" s="1"/>
  <c r="Y215" i="2" a="1"/>
  <c r="Y215" i="2" s="1"/>
  <c r="Z215" i="2" a="1"/>
  <c r="Z215" i="2" s="1"/>
  <c r="AA215" i="2" a="1"/>
  <c r="AA215" i="2" s="1"/>
  <c r="AB215" i="2" a="1"/>
  <c r="AB215" i="2" s="1"/>
  <c r="AC215" i="2" a="1"/>
  <c r="AC215" i="2" s="1"/>
  <c r="AD215" i="2" a="1"/>
  <c r="AD215" i="2" s="1"/>
  <c r="AE215" i="2" a="1"/>
  <c r="AE215" i="2" s="1"/>
  <c r="AF215" i="2" a="1"/>
  <c r="AF215" i="2" s="1"/>
  <c r="AG215" i="2" a="1"/>
  <c r="AG215" i="2" s="1"/>
  <c r="AH215" i="2" a="1"/>
  <c r="AH215" i="2" s="1"/>
  <c r="AI215" i="2" a="1"/>
  <c r="AI215" i="2" s="1"/>
  <c r="AJ215" i="2" a="1"/>
  <c r="AJ215" i="2" s="1"/>
  <c r="D216" i="2" a="1"/>
  <c r="D216" i="2" s="1"/>
  <c r="E216" i="2" a="1"/>
  <c r="E216" i="2" s="1"/>
  <c r="F216" i="2" a="1"/>
  <c r="F216" i="2" s="1"/>
  <c r="G216" i="2" a="1"/>
  <c r="G216" i="2" s="1"/>
  <c r="H216" i="2" a="1"/>
  <c r="H216" i="2" s="1"/>
  <c r="I216" i="2" a="1"/>
  <c r="I216" i="2" s="1"/>
  <c r="J216" i="2" a="1"/>
  <c r="J216" i="2"/>
  <c r="K216" i="2" a="1"/>
  <c r="K216" i="2" s="1"/>
  <c r="L216" i="2" a="1"/>
  <c r="L216" i="2" s="1"/>
  <c r="M216" i="2" a="1"/>
  <c r="M216" i="2" s="1"/>
  <c r="N216" i="2" a="1"/>
  <c r="N216" i="2" s="1"/>
  <c r="O216" i="2" a="1"/>
  <c r="O216" i="2" s="1"/>
  <c r="P216" i="2" a="1"/>
  <c r="P216" i="2" s="1"/>
  <c r="Q216" i="2" a="1"/>
  <c r="Q216" i="2" s="1"/>
  <c r="R216" i="2" a="1"/>
  <c r="R216" i="2" s="1"/>
  <c r="S216" i="2" a="1"/>
  <c r="S216" i="2" s="1"/>
  <c r="T216" i="2" a="1"/>
  <c r="T216" i="2" s="1"/>
  <c r="U216" i="2" a="1"/>
  <c r="U216" i="2" s="1"/>
  <c r="V216" i="2" a="1"/>
  <c r="V216" i="2" s="1"/>
  <c r="W216" i="2" a="1"/>
  <c r="W216" i="2" s="1"/>
  <c r="X216" i="2" a="1"/>
  <c r="X216" i="2" s="1"/>
  <c r="Y216" i="2" a="1"/>
  <c r="Y216" i="2" s="1"/>
  <c r="Z216" i="2" a="1"/>
  <c r="Z216" i="2" s="1"/>
  <c r="AA216" i="2" a="1"/>
  <c r="AA216" i="2" s="1"/>
  <c r="AB216" i="2" a="1"/>
  <c r="AB216" i="2" s="1"/>
  <c r="AC216" i="2" a="1"/>
  <c r="AC216" i="2" s="1"/>
  <c r="AD216" i="2" a="1"/>
  <c r="AD216" i="2" s="1"/>
  <c r="AE216" i="2" a="1"/>
  <c r="AE216" i="2" s="1"/>
  <c r="AF216" i="2" a="1"/>
  <c r="AF216" i="2" s="1"/>
  <c r="AG216" i="2" a="1"/>
  <c r="AG216" i="2" s="1"/>
  <c r="AH216" i="2" a="1"/>
  <c r="AH216" i="2" s="1"/>
  <c r="AI216" i="2" a="1"/>
  <c r="AI216" i="2" s="1"/>
  <c r="AJ216" i="2" a="1"/>
  <c r="AJ216" i="2" s="1"/>
  <c r="D217" i="2" a="1"/>
  <c r="D217" i="2" s="1"/>
  <c r="E217" i="2" a="1"/>
  <c r="E217" i="2" s="1"/>
  <c r="F217" i="2" a="1"/>
  <c r="F217" i="2" s="1"/>
  <c r="G217" i="2" a="1"/>
  <c r="G217" i="2" s="1"/>
  <c r="H217" i="2" a="1"/>
  <c r="H217" i="2" s="1"/>
  <c r="I217" i="2" a="1"/>
  <c r="I217" i="2" s="1"/>
  <c r="J217" i="2" a="1"/>
  <c r="J217" i="2" s="1"/>
  <c r="K217" i="2" a="1"/>
  <c r="K217" i="2" s="1"/>
  <c r="L217" i="2" a="1"/>
  <c r="L217" i="2" s="1"/>
  <c r="M217" i="2" a="1"/>
  <c r="M217" i="2" s="1"/>
  <c r="N217" i="2" a="1"/>
  <c r="N217" i="2" s="1"/>
  <c r="O217" i="2" a="1"/>
  <c r="O217" i="2" s="1"/>
  <c r="P217" i="2" a="1"/>
  <c r="P217" i="2" s="1"/>
  <c r="Q217" i="2" a="1"/>
  <c r="Q217" i="2" s="1"/>
  <c r="R217" i="2" a="1"/>
  <c r="R217" i="2" s="1"/>
  <c r="S217" i="2" a="1"/>
  <c r="S217" i="2" s="1"/>
  <c r="T217" i="2" a="1"/>
  <c r="T217" i="2" s="1"/>
  <c r="U217" i="2" a="1"/>
  <c r="U217" i="2" s="1"/>
  <c r="V217" i="2" a="1"/>
  <c r="V217" i="2" s="1"/>
  <c r="W217" i="2" a="1"/>
  <c r="W217" i="2" s="1"/>
  <c r="X217" i="2" a="1"/>
  <c r="X217" i="2" s="1"/>
  <c r="Y217" i="2" a="1"/>
  <c r="Y217" i="2" s="1"/>
  <c r="Z217" i="2" a="1"/>
  <c r="Z217" i="2" s="1"/>
  <c r="AA217" i="2" a="1"/>
  <c r="AA217" i="2" s="1"/>
  <c r="AB217" i="2" a="1"/>
  <c r="AB217" i="2" s="1"/>
  <c r="AC217" i="2" a="1"/>
  <c r="AC217" i="2" s="1"/>
  <c r="AD217" i="2" a="1"/>
  <c r="AD217" i="2" s="1"/>
  <c r="AE217" i="2" a="1"/>
  <c r="AE217" i="2" s="1"/>
  <c r="AF217" i="2" a="1"/>
  <c r="AF217" i="2" s="1"/>
  <c r="AG217" i="2" a="1"/>
  <c r="AG217" i="2" s="1"/>
  <c r="AH217" i="2" a="1"/>
  <c r="AH217" i="2" s="1"/>
  <c r="AI217" i="2" a="1"/>
  <c r="AI217" i="2" s="1"/>
  <c r="AJ217" i="2" a="1"/>
  <c r="AJ217" i="2" s="1"/>
  <c r="C217" i="2" a="1"/>
  <c r="C217" i="2" s="1"/>
  <c r="C216" i="2" a="1"/>
  <c r="C216" i="2" s="1"/>
  <c r="C215" i="2" a="1"/>
  <c r="C215" i="2" s="1"/>
  <c r="C214" i="2" a="1"/>
  <c r="C214" i="2" s="1"/>
  <c r="C213" i="2" a="1"/>
  <c r="C213" i="2" s="1"/>
  <c r="C212" i="2" a="1"/>
  <c r="C212" i="2" s="1"/>
  <c r="C211" i="2" a="1"/>
  <c r="C211" i="2" s="1"/>
  <c r="C210" i="2" a="1"/>
  <c r="C210" i="2" s="1"/>
  <c r="C209" i="2" a="1"/>
  <c r="C209" i="2" s="1"/>
  <c r="C208" i="2" a="1"/>
  <c r="C208" i="2" s="1"/>
  <c r="C207" i="2" a="1"/>
  <c r="C207" i="2" s="1"/>
  <c r="D186" i="2" a="1"/>
  <c r="D186" i="2" s="1"/>
  <c r="E186" i="2" a="1"/>
  <c r="E186" i="2" s="1"/>
  <c r="F186" i="2" a="1"/>
  <c r="F186" i="2" s="1"/>
  <c r="G186" i="2" a="1"/>
  <c r="G186" i="2" s="1"/>
  <c r="H186" i="2" a="1"/>
  <c r="H186" i="2" s="1"/>
  <c r="I186" i="2" a="1"/>
  <c r="I186" i="2" s="1"/>
  <c r="J186" i="2" a="1"/>
  <c r="J186" i="2" s="1"/>
  <c r="K186" i="2" a="1"/>
  <c r="K186" i="2" s="1"/>
  <c r="L186" i="2" a="1"/>
  <c r="L186" i="2" s="1"/>
  <c r="M186" i="2" a="1"/>
  <c r="M186" i="2" s="1"/>
  <c r="N186" i="2" a="1"/>
  <c r="N186" i="2" s="1"/>
  <c r="O186" i="2" a="1"/>
  <c r="O186" i="2" s="1"/>
  <c r="P186" i="2" a="1"/>
  <c r="P186" i="2" s="1"/>
  <c r="Q186" i="2" a="1"/>
  <c r="Q186" i="2" s="1"/>
  <c r="R186" i="2" a="1"/>
  <c r="R186" i="2" s="1"/>
  <c r="S186" i="2" a="1"/>
  <c r="S186" i="2" s="1"/>
  <c r="T186" i="2" a="1"/>
  <c r="T186" i="2" s="1"/>
  <c r="U186" i="2" a="1"/>
  <c r="U186" i="2" s="1"/>
  <c r="V186" i="2" a="1"/>
  <c r="V186" i="2" s="1"/>
  <c r="W186" i="2" a="1"/>
  <c r="W186" i="2" s="1"/>
  <c r="X186" i="2" a="1"/>
  <c r="X186" i="2" s="1"/>
  <c r="Y186" i="2" a="1"/>
  <c r="Y186" i="2" s="1"/>
  <c r="Z186" i="2" a="1"/>
  <c r="Z186" i="2" s="1"/>
  <c r="AA186" i="2" a="1"/>
  <c r="AA186" i="2" s="1"/>
  <c r="AB186" i="2" a="1"/>
  <c r="AB186" i="2" s="1"/>
  <c r="AC186" i="2" a="1"/>
  <c r="AC186" i="2" s="1"/>
  <c r="AD186" i="2" a="1"/>
  <c r="AD186" i="2" s="1"/>
  <c r="AE186" i="2" a="1"/>
  <c r="AE186" i="2" s="1"/>
  <c r="AF186" i="2" a="1"/>
  <c r="AF186" i="2" s="1"/>
  <c r="AG186" i="2" a="1"/>
  <c r="AG186" i="2" s="1"/>
  <c r="AH186" i="2" a="1"/>
  <c r="AH186" i="2" s="1"/>
  <c r="AI186" i="2" a="1"/>
  <c r="AI186" i="2" s="1"/>
  <c r="AJ186" i="2" a="1"/>
  <c r="AJ186" i="2" s="1"/>
  <c r="D187" i="2" a="1"/>
  <c r="D187" i="2" s="1"/>
  <c r="E187" i="2" a="1"/>
  <c r="E187" i="2" s="1"/>
  <c r="F187" i="2" a="1"/>
  <c r="F187" i="2" s="1"/>
  <c r="G187" i="2" a="1"/>
  <c r="G187" i="2" s="1"/>
  <c r="H187" i="2" a="1"/>
  <c r="H187" i="2" s="1"/>
  <c r="I187" i="2" a="1"/>
  <c r="I187" i="2" s="1"/>
  <c r="J187" i="2" a="1"/>
  <c r="J187" i="2" s="1"/>
  <c r="K187" i="2" a="1"/>
  <c r="K187" i="2" s="1"/>
  <c r="L187" i="2" a="1"/>
  <c r="L187" i="2" s="1"/>
  <c r="M187" i="2" a="1"/>
  <c r="M187" i="2" s="1"/>
  <c r="N187" i="2" a="1"/>
  <c r="N187" i="2" s="1"/>
  <c r="O187" i="2" a="1"/>
  <c r="O187" i="2" s="1"/>
  <c r="P187" i="2" a="1"/>
  <c r="P187" i="2" s="1"/>
  <c r="Q187" i="2" a="1"/>
  <c r="Q187" i="2" s="1"/>
  <c r="R187" i="2" a="1"/>
  <c r="R187" i="2" s="1"/>
  <c r="S187" i="2" a="1"/>
  <c r="S187" i="2" s="1"/>
  <c r="T187" i="2" a="1"/>
  <c r="T187" i="2" s="1"/>
  <c r="U187" i="2" a="1"/>
  <c r="U187" i="2" s="1"/>
  <c r="V187" i="2" a="1"/>
  <c r="V187" i="2" s="1"/>
  <c r="W187" i="2" a="1"/>
  <c r="W187" i="2" s="1"/>
  <c r="X187" i="2" a="1"/>
  <c r="X187" i="2" s="1"/>
  <c r="Y187" i="2" a="1"/>
  <c r="Y187" i="2" s="1"/>
  <c r="Z187" i="2" a="1"/>
  <c r="Z187" i="2" s="1"/>
  <c r="AA187" i="2" a="1"/>
  <c r="AA187" i="2" s="1"/>
  <c r="AB187" i="2" a="1"/>
  <c r="AB187" i="2" s="1"/>
  <c r="AC187" i="2" a="1"/>
  <c r="AC187" i="2" s="1"/>
  <c r="AD187" i="2" a="1"/>
  <c r="AD187" i="2" s="1"/>
  <c r="AE187" i="2" a="1"/>
  <c r="AE187" i="2" s="1"/>
  <c r="AF187" i="2" a="1"/>
  <c r="AF187" i="2" s="1"/>
  <c r="AG187" i="2" a="1"/>
  <c r="AG187" i="2" s="1"/>
  <c r="AH187" i="2" a="1"/>
  <c r="AH187" i="2" s="1"/>
  <c r="AI187" i="2" a="1"/>
  <c r="AI187" i="2" s="1"/>
  <c r="AJ187" i="2" a="1"/>
  <c r="AJ187" i="2" s="1"/>
  <c r="D188" i="2" a="1"/>
  <c r="D188" i="2" s="1"/>
  <c r="E188" i="2" a="1"/>
  <c r="E188" i="2" s="1"/>
  <c r="F188" i="2" a="1"/>
  <c r="F188" i="2" s="1"/>
  <c r="G188" i="2" a="1"/>
  <c r="G188" i="2" s="1"/>
  <c r="H188" i="2" a="1"/>
  <c r="H188" i="2" s="1"/>
  <c r="I188" i="2" a="1"/>
  <c r="I188" i="2" s="1"/>
  <c r="J188" i="2" a="1"/>
  <c r="J188" i="2" s="1"/>
  <c r="K188" i="2" a="1"/>
  <c r="K188" i="2" s="1"/>
  <c r="L188" i="2" a="1"/>
  <c r="L188" i="2" s="1"/>
  <c r="M188" i="2" a="1"/>
  <c r="M188" i="2" s="1"/>
  <c r="N188" i="2" a="1"/>
  <c r="N188" i="2" s="1"/>
  <c r="O188" i="2" a="1"/>
  <c r="O188" i="2" s="1"/>
  <c r="P188" i="2" a="1"/>
  <c r="P188" i="2" s="1"/>
  <c r="Q188" i="2" a="1"/>
  <c r="Q188" i="2" s="1"/>
  <c r="R188" i="2" a="1"/>
  <c r="R188" i="2" s="1"/>
  <c r="S188" i="2" a="1"/>
  <c r="S188" i="2" s="1"/>
  <c r="T188" i="2" a="1"/>
  <c r="T188" i="2" s="1"/>
  <c r="U188" i="2" a="1"/>
  <c r="U188" i="2" s="1"/>
  <c r="V188" i="2" a="1"/>
  <c r="V188" i="2" s="1"/>
  <c r="W188" i="2" a="1"/>
  <c r="W188" i="2" s="1"/>
  <c r="X188" i="2" a="1"/>
  <c r="X188" i="2" s="1"/>
  <c r="Y188" i="2" a="1"/>
  <c r="Y188" i="2" s="1"/>
  <c r="Z188" i="2" a="1"/>
  <c r="Z188" i="2" s="1"/>
  <c r="AA188" i="2" a="1"/>
  <c r="AA188" i="2" s="1"/>
  <c r="AB188" i="2" a="1"/>
  <c r="AB188" i="2" s="1"/>
  <c r="AC188" i="2" a="1"/>
  <c r="AC188" i="2" s="1"/>
  <c r="AD188" i="2" a="1"/>
  <c r="AD188" i="2" s="1"/>
  <c r="AE188" i="2" a="1"/>
  <c r="AE188" i="2" s="1"/>
  <c r="AF188" i="2" a="1"/>
  <c r="AF188" i="2" s="1"/>
  <c r="AG188" i="2" a="1"/>
  <c r="AG188" i="2" s="1"/>
  <c r="AH188" i="2" a="1"/>
  <c r="AH188" i="2" s="1"/>
  <c r="AI188" i="2" a="1"/>
  <c r="AI188" i="2" s="1"/>
  <c r="AJ188" i="2" a="1"/>
  <c r="AJ188" i="2" s="1"/>
  <c r="D189" i="2" a="1"/>
  <c r="D189" i="2" s="1"/>
  <c r="E189" i="2" a="1"/>
  <c r="E189" i="2" s="1"/>
  <c r="F189" i="2" a="1"/>
  <c r="F189" i="2" s="1"/>
  <c r="G189" i="2" a="1"/>
  <c r="G189" i="2" s="1"/>
  <c r="H189" i="2" a="1"/>
  <c r="H189" i="2" s="1"/>
  <c r="I189" i="2" a="1"/>
  <c r="I189" i="2" s="1"/>
  <c r="J189" i="2" a="1"/>
  <c r="J189" i="2" s="1"/>
  <c r="K189" i="2" a="1"/>
  <c r="K189" i="2" s="1"/>
  <c r="L189" i="2" a="1"/>
  <c r="L189" i="2" s="1"/>
  <c r="M189" i="2" a="1"/>
  <c r="M189" i="2" s="1"/>
  <c r="N189" i="2" a="1"/>
  <c r="N189" i="2" s="1"/>
  <c r="O189" i="2" a="1"/>
  <c r="O189" i="2" s="1"/>
  <c r="P189" i="2" a="1"/>
  <c r="P189" i="2" s="1"/>
  <c r="Q189" i="2" a="1"/>
  <c r="Q189" i="2" s="1"/>
  <c r="R189" i="2" a="1"/>
  <c r="R189" i="2" s="1"/>
  <c r="S189" i="2" a="1"/>
  <c r="S189" i="2" s="1"/>
  <c r="T189" i="2" a="1"/>
  <c r="T189" i="2" s="1"/>
  <c r="U189" i="2" a="1"/>
  <c r="U189" i="2" s="1"/>
  <c r="V189" i="2" a="1"/>
  <c r="V189" i="2" s="1"/>
  <c r="W189" i="2" a="1"/>
  <c r="W189" i="2" s="1"/>
  <c r="X189" i="2" a="1"/>
  <c r="X189" i="2" s="1"/>
  <c r="Y189" i="2" a="1"/>
  <c r="Y189" i="2" s="1"/>
  <c r="Z189" i="2" a="1"/>
  <c r="Z189" i="2" s="1"/>
  <c r="AA189" i="2" a="1"/>
  <c r="AA189" i="2" s="1"/>
  <c r="AB189" i="2" a="1"/>
  <c r="AB189" i="2" s="1"/>
  <c r="AC189" i="2" a="1"/>
  <c r="AC189" i="2" s="1"/>
  <c r="AD189" i="2" a="1"/>
  <c r="AD189" i="2" s="1"/>
  <c r="AE189" i="2" a="1"/>
  <c r="AE189" i="2" s="1"/>
  <c r="AF189" i="2" a="1"/>
  <c r="AF189" i="2" s="1"/>
  <c r="AG189" i="2" a="1"/>
  <c r="AG189" i="2" s="1"/>
  <c r="AH189" i="2" a="1"/>
  <c r="AH189" i="2" s="1"/>
  <c r="AI189" i="2" a="1"/>
  <c r="AI189" i="2" s="1"/>
  <c r="AJ189" i="2" a="1"/>
  <c r="AJ189" i="2" s="1"/>
  <c r="D190" i="2" a="1"/>
  <c r="D190" i="2" s="1"/>
  <c r="E190" i="2" a="1"/>
  <c r="E190" i="2" s="1"/>
  <c r="F190" i="2" a="1"/>
  <c r="F190" i="2" s="1"/>
  <c r="G190" i="2" a="1"/>
  <c r="G190" i="2" s="1"/>
  <c r="H190" i="2" a="1"/>
  <c r="H190" i="2" s="1"/>
  <c r="I190" i="2" a="1"/>
  <c r="I190" i="2" s="1"/>
  <c r="J190" i="2" a="1"/>
  <c r="J190" i="2" s="1"/>
  <c r="K190" i="2" a="1"/>
  <c r="K190" i="2" s="1"/>
  <c r="L190" i="2" a="1"/>
  <c r="L190" i="2" s="1"/>
  <c r="M190" i="2" a="1"/>
  <c r="M190" i="2" s="1"/>
  <c r="N190" i="2" a="1"/>
  <c r="N190" i="2" s="1"/>
  <c r="O190" i="2" a="1"/>
  <c r="O190" i="2" s="1"/>
  <c r="P190" i="2" a="1"/>
  <c r="P190" i="2" s="1"/>
  <c r="Q190" i="2" a="1"/>
  <c r="Q190" i="2" s="1"/>
  <c r="R190" i="2" a="1"/>
  <c r="R190" i="2" s="1"/>
  <c r="S190" i="2" a="1"/>
  <c r="S190" i="2" s="1"/>
  <c r="T190" i="2" a="1"/>
  <c r="T190" i="2" s="1"/>
  <c r="U190" i="2" a="1"/>
  <c r="U190" i="2" s="1"/>
  <c r="V190" i="2" a="1"/>
  <c r="V190" i="2" s="1"/>
  <c r="W190" i="2" a="1"/>
  <c r="W190" i="2" s="1"/>
  <c r="X190" i="2" a="1"/>
  <c r="X190" i="2" s="1"/>
  <c r="Y190" i="2" a="1"/>
  <c r="Y190" i="2" s="1"/>
  <c r="Z190" i="2" a="1"/>
  <c r="Z190" i="2" s="1"/>
  <c r="AA190" i="2" a="1"/>
  <c r="AA190" i="2" s="1"/>
  <c r="AB190" i="2" a="1"/>
  <c r="AB190" i="2" s="1"/>
  <c r="AC190" i="2" a="1"/>
  <c r="AC190" i="2" s="1"/>
  <c r="AD190" i="2" a="1"/>
  <c r="AD190" i="2" s="1"/>
  <c r="AE190" i="2" a="1"/>
  <c r="AE190" i="2" s="1"/>
  <c r="AF190" i="2" a="1"/>
  <c r="AF190" i="2" s="1"/>
  <c r="AG190" i="2" a="1"/>
  <c r="AG190" i="2" s="1"/>
  <c r="AH190" i="2" a="1"/>
  <c r="AH190" i="2" s="1"/>
  <c r="AI190" i="2" a="1"/>
  <c r="AI190" i="2" s="1"/>
  <c r="AJ190" i="2" a="1"/>
  <c r="AJ190" i="2" s="1"/>
  <c r="D191" i="2" a="1"/>
  <c r="D191" i="2" s="1"/>
  <c r="E191" i="2" a="1"/>
  <c r="E191" i="2" s="1"/>
  <c r="F191" i="2" a="1"/>
  <c r="F191" i="2" s="1"/>
  <c r="G191" i="2" a="1"/>
  <c r="G191" i="2" s="1"/>
  <c r="H191" i="2" a="1"/>
  <c r="H191" i="2" s="1"/>
  <c r="I191" i="2" a="1"/>
  <c r="I191" i="2" s="1"/>
  <c r="J191" i="2" a="1"/>
  <c r="J191" i="2" s="1"/>
  <c r="K191" i="2" a="1"/>
  <c r="K191" i="2" s="1"/>
  <c r="L191" i="2" a="1"/>
  <c r="L191" i="2" s="1"/>
  <c r="M191" i="2" a="1"/>
  <c r="M191" i="2" s="1"/>
  <c r="N191" i="2" a="1"/>
  <c r="N191" i="2" s="1"/>
  <c r="O191" i="2" a="1"/>
  <c r="O191" i="2" s="1"/>
  <c r="P191" i="2" a="1"/>
  <c r="P191" i="2" s="1"/>
  <c r="Q191" i="2" a="1"/>
  <c r="Q191" i="2" s="1"/>
  <c r="R191" i="2" a="1"/>
  <c r="R191" i="2" s="1"/>
  <c r="S191" i="2" a="1"/>
  <c r="S191" i="2" s="1"/>
  <c r="T191" i="2" a="1"/>
  <c r="T191" i="2" s="1"/>
  <c r="U191" i="2" a="1"/>
  <c r="U191" i="2" s="1"/>
  <c r="V191" i="2" a="1"/>
  <c r="V191" i="2" s="1"/>
  <c r="W191" i="2" a="1"/>
  <c r="W191" i="2" s="1"/>
  <c r="X191" i="2" a="1"/>
  <c r="X191" i="2" s="1"/>
  <c r="Y191" i="2" a="1"/>
  <c r="Y191" i="2" s="1"/>
  <c r="Z191" i="2" a="1"/>
  <c r="Z191" i="2" s="1"/>
  <c r="AA191" i="2" a="1"/>
  <c r="AA191" i="2" s="1"/>
  <c r="AB191" i="2" a="1"/>
  <c r="AB191" i="2" s="1"/>
  <c r="AC191" i="2" a="1"/>
  <c r="AC191" i="2" s="1"/>
  <c r="AD191" i="2" a="1"/>
  <c r="AD191" i="2" s="1"/>
  <c r="AE191" i="2" a="1"/>
  <c r="AE191" i="2" s="1"/>
  <c r="AF191" i="2" a="1"/>
  <c r="AF191" i="2" s="1"/>
  <c r="AG191" i="2" a="1"/>
  <c r="AG191" i="2" s="1"/>
  <c r="AH191" i="2" a="1"/>
  <c r="AH191" i="2" s="1"/>
  <c r="AI191" i="2" a="1"/>
  <c r="AI191" i="2" s="1"/>
  <c r="AJ191" i="2" a="1"/>
  <c r="AJ191" i="2" s="1"/>
  <c r="D192" i="2" a="1"/>
  <c r="D192" i="2" s="1"/>
  <c r="E192" i="2" a="1"/>
  <c r="E192" i="2" s="1"/>
  <c r="F192" i="2" a="1"/>
  <c r="F192" i="2" s="1"/>
  <c r="G192" i="2" a="1"/>
  <c r="G192" i="2" s="1"/>
  <c r="H192" i="2" a="1"/>
  <c r="H192" i="2" s="1"/>
  <c r="I192" i="2" a="1"/>
  <c r="I192" i="2" s="1"/>
  <c r="J192" i="2" a="1"/>
  <c r="J192" i="2" s="1"/>
  <c r="K192" i="2" a="1"/>
  <c r="K192" i="2" s="1"/>
  <c r="L192" i="2" a="1"/>
  <c r="L192" i="2" s="1"/>
  <c r="M192" i="2" a="1"/>
  <c r="M192" i="2" s="1"/>
  <c r="N192" i="2" a="1"/>
  <c r="N192" i="2" s="1"/>
  <c r="O192" i="2" a="1"/>
  <c r="O192" i="2" s="1"/>
  <c r="P192" i="2" a="1"/>
  <c r="P192" i="2" s="1"/>
  <c r="Q192" i="2" a="1"/>
  <c r="Q192" i="2" s="1"/>
  <c r="R192" i="2" a="1"/>
  <c r="R192" i="2" s="1"/>
  <c r="S192" i="2" a="1"/>
  <c r="S192" i="2" s="1"/>
  <c r="T192" i="2" a="1"/>
  <c r="T192" i="2" s="1"/>
  <c r="U192" i="2" a="1"/>
  <c r="U192" i="2" s="1"/>
  <c r="V192" i="2" a="1"/>
  <c r="V192" i="2" s="1"/>
  <c r="W192" i="2" a="1"/>
  <c r="W192" i="2" s="1"/>
  <c r="X192" i="2" a="1"/>
  <c r="X192" i="2" s="1"/>
  <c r="Y192" i="2" a="1"/>
  <c r="Y192" i="2" s="1"/>
  <c r="Z192" i="2" a="1"/>
  <c r="Z192" i="2" s="1"/>
  <c r="AA192" i="2" a="1"/>
  <c r="AA192" i="2" s="1"/>
  <c r="AB192" i="2" a="1"/>
  <c r="AB192" i="2" s="1"/>
  <c r="AC192" i="2" a="1"/>
  <c r="AC192" i="2" s="1"/>
  <c r="AD192" i="2" a="1"/>
  <c r="AD192" i="2" s="1"/>
  <c r="AE192" i="2" a="1"/>
  <c r="AE192" i="2" s="1"/>
  <c r="AF192" i="2" a="1"/>
  <c r="AF192" i="2" s="1"/>
  <c r="AG192" i="2" a="1"/>
  <c r="AG192" i="2" s="1"/>
  <c r="AH192" i="2" a="1"/>
  <c r="AH192" i="2" s="1"/>
  <c r="AI192" i="2" a="1"/>
  <c r="AI192" i="2" s="1"/>
  <c r="AJ192" i="2" a="1"/>
  <c r="AJ192" i="2" s="1"/>
  <c r="D193" i="2" a="1"/>
  <c r="D193" i="2" s="1"/>
  <c r="E193" i="2" a="1"/>
  <c r="E193" i="2" s="1"/>
  <c r="F193" i="2" a="1"/>
  <c r="F193" i="2" s="1"/>
  <c r="G193" i="2" a="1"/>
  <c r="G193" i="2" s="1"/>
  <c r="H193" i="2" a="1"/>
  <c r="H193" i="2" s="1"/>
  <c r="I193" i="2" a="1"/>
  <c r="I193" i="2" s="1"/>
  <c r="J193" i="2" a="1"/>
  <c r="J193" i="2" s="1"/>
  <c r="K193" i="2" a="1"/>
  <c r="K193" i="2" s="1"/>
  <c r="L193" i="2" a="1"/>
  <c r="L193" i="2" s="1"/>
  <c r="M193" i="2" a="1"/>
  <c r="M193" i="2" s="1"/>
  <c r="N193" i="2" a="1"/>
  <c r="N193" i="2" s="1"/>
  <c r="O193" i="2" a="1"/>
  <c r="O193" i="2" s="1"/>
  <c r="P193" i="2" a="1"/>
  <c r="P193" i="2" s="1"/>
  <c r="Q193" i="2" a="1"/>
  <c r="Q193" i="2" s="1"/>
  <c r="R193" i="2" a="1"/>
  <c r="R193" i="2" s="1"/>
  <c r="S193" i="2" a="1"/>
  <c r="S193" i="2" s="1"/>
  <c r="T193" i="2" a="1"/>
  <c r="T193" i="2" s="1"/>
  <c r="U193" i="2" a="1"/>
  <c r="U193" i="2" s="1"/>
  <c r="V193" i="2" a="1"/>
  <c r="V193" i="2" s="1"/>
  <c r="W193" i="2" a="1"/>
  <c r="W193" i="2" s="1"/>
  <c r="X193" i="2" a="1"/>
  <c r="X193" i="2" s="1"/>
  <c r="Y193" i="2" a="1"/>
  <c r="Y193" i="2" s="1"/>
  <c r="Z193" i="2" a="1"/>
  <c r="Z193" i="2" s="1"/>
  <c r="AA193" i="2" a="1"/>
  <c r="AA193" i="2" s="1"/>
  <c r="AB193" i="2" a="1"/>
  <c r="AB193" i="2" s="1"/>
  <c r="AC193" i="2" a="1"/>
  <c r="AC193" i="2" s="1"/>
  <c r="AD193" i="2" a="1"/>
  <c r="AD193" i="2" s="1"/>
  <c r="AE193" i="2" a="1"/>
  <c r="AE193" i="2" s="1"/>
  <c r="AF193" i="2" a="1"/>
  <c r="AF193" i="2" s="1"/>
  <c r="AG193" i="2" a="1"/>
  <c r="AG193" i="2" s="1"/>
  <c r="AH193" i="2" a="1"/>
  <c r="AH193" i="2" s="1"/>
  <c r="AI193" i="2" a="1"/>
  <c r="AI193" i="2" s="1"/>
  <c r="AJ193" i="2" a="1"/>
  <c r="AJ193" i="2" s="1"/>
  <c r="D194" i="2" a="1"/>
  <c r="D194" i="2" s="1"/>
  <c r="E194" i="2" a="1"/>
  <c r="E194" i="2" s="1"/>
  <c r="F194" i="2" a="1"/>
  <c r="F194" i="2" s="1"/>
  <c r="G194" i="2" a="1"/>
  <c r="G194" i="2" s="1"/>
  <c r="H194" i="2" a="1"/>
  <c r="H194" i="2" s="1"/>
  <c r="I194" i="2" a="1"/>
  <c r="I194" i="2" s="1"/>
  <c r="J194" i="2" a="1"/>
  <c r="J194" i="2" s="1"/>
  <c r="K194" i="2" a="1"/>
  <c r="K194" i="2" s="1"/>
  <c r="L194" i="2" a="1"/>
  <c r="L194" i="2" s="1"/>
  <c r="M194" i="2" a="1"/>
  <c r="M194" i="2" s="1"/>
  <c r="N194" i="2" a="1"/>
  <c r="N194" i="2" s="1"/>
  <c r="O194" i="2" a="1"/>
  <c r="O194" i="2" s="1"/>
  <c r="P194" i="2" a="1"/>
  <c r="P194" i="2" s="1"/>
  <c r="Q194" i="2" a="1"/>
  <c r="Q194" i="2" s="1"/>
  <c r="R194" i="2" a="1"/>
  <c r="R194" i="2" s="1"/>
  <c r="S194" i="2" a="1"/>
  <c r="S194" i="2" s="1"/>
  <c r="T194" i="2" a="1"/>
  <c r="T194" i="2" s="1"/>
  <c r="U194" i="2" a="1"/>
  <c r="U194" i="2" s="1"/>
  <c r="V194" i="2" a="1"/>
  <c r="V194" i="2" s="1"/>
  <c r="W194" i="2" a="1"/>
  <c r="W194" i="2" s="1"/>
  <c r="X194" i="2" a="1"/>
  <c r="X194" i="2" s="1"/>
  <c r="Y194" i="2" a="1"/>
  <c r="Y194" i="2" s="1"/>
  <c r="Z194" i="2" a="1"/>
  <c r="Z194" i="2" s="1"/>
  <c r="AA194" i="2" a="1"/>
  <c r="AA194" i="2" s="1"/>
  <c r="AB194" i="2" a="1"/>
  <c r="AB194" i="2" s="1"/>
  <c r="AC194" i="2" a="1"/>
  <c r="AC194" i="2" s="1"/>
  <c r="AD194" i="2" a="1"/>
  <c r="AD194" i="2" s="1"/>
  <c r="AE194" i="2" a="1"/>
  <c r="AE194" i="2" s="1"/>
  <c r="AF194" i="2" a="1"/>
  <c r="AF194" i="2" s="1"/>
  <c r="AG194" i="2" a="1"/>
  <c r="AG194" i="2" s="1"/>
  <c r="AH194" i="2" a="1"/>
  <c r="AH194" i="2" s="1"/>
  <c r="AI194" i="2" a="1"/>
  <c r="AI194" i="2" s="1"/>
  <c r="AJ194" i="2" a="1"/>
  <c r="AJ194" i="2" s="1"/>
  <c r="D195" i="2" a="1"/>
  <c r="D195" i="2" s="1"/>
  <c r="E195" i="2" a="1"/>
  <c r="E195" i="2" s="1"/>
  <c r="F195" i="2" a="1"/>
  <c r="F195" i="2" s="1"/>
  <c r="G195" i="2" a="1"/>
  <c r="G195" i="2"/>
  <c r="H195" i="2" a="1"/>
  <c r="H195" i="2" s="1"/>
  <c r="I195" i="2" a="1"/>
  <c r="I195" i="2" s="1"/>
  <c r="J195" i="2" a="1"/>
  <c r="J195" i="2" s="1"/>
  <c r="K195" i="2" a="1"/>
  <c r="K195" i="2" s="1"/>
  <c r="L195" i="2" a="1"/>
  <c r="L195" i="2" s="1"/>
  <c r="M195" i="2" a="1"/>
  <c r="M195" i="2" s="1"/>
  <c r="N195" i="2" a="1"/>
  <c r="N195" i="2" s="1"/>
  <c r="O195" i="2" a="1"/>
  <c r="O195" i="2" s="1"/>
  <c r="P195" i="2" a="1"/>
  <c r="P195" i="2" s="1"/>
  <c r="Q195" i="2" a="1"/>
  <c r="Q195" i="2" s="1"/>
  <c r="R195" i="2" a="1"/>
  <c r="R195" i="2" s="1"/>
  <c r="S195" i="2" a="1"/>
  <c r="S195" i="2" s="1"/>
  <c r="T195" i="2" a="1"/>
  <c r="T195" i="2" s="1"/>
  <c r="U195" i="2" a="1"/>
  <c r="U195" i="2" s="1"/>
  <c r="V195" i="2" a="1"/>
  <c r="V195" i="2" s="1"/>
  <c r="W195" i="2" a="1"/>
  <c r="W195" i="2" s="1"/>
  <c r="X195" i="2" a="1"/>
  <c r="X195" i="2" s="1"/>
  <c r="Y195" i="2" a="1"/>
  <c r="Y195" i="2" s="1"/>
  <c r="Z195" i="2" a="1"/>
  <c r="Z195" i="2" s="1"/>
  <c r="AA195" i="2" a="1"/>
  <c r="AA195" i="2" s="1"/>
  <c r="AB195" i="2" a="1"/>
  <c r="AB195" i="2" s="1"/>
  <c r="AC195" i="2" a="1"/>
  <c r="AC195" i="2" s="1"/>
  <c r="AD195" i="2" a="1"/>
  <c r="AD195" i="2" s="1"/>
  <c r="AE195" i="2" a="1"/>
  <c r="AE195" i="2" s="1"/>
  <c r="AF195" i="2" a="1"/>
  <c r="AF195" i="2" s="1"/>
  <c r="AG195" i="2" a="1"/>
  <c r="AG195" i="2" s="1"/>
  <c r="AH195" i="2" a="1"/>
  <c r="AH195" i="2" s="1"/>
  <c r="AI195" i="2" a="1"/>
  <c r="AI195" i="2" s="1"/>
  <c r="AJ195" i="2" a="1"/>
  <c r="AJ195" i="2" s="1"/>
  <c r="D196" i="2" a="1"/>
  <c r="D196" i="2" s="1"/>
  <c r="E196" i="2" a="1"/>
  <c r="E196" i="2" s="1"/>
  <c r="F196" i="2" a="1"/>
  <c r="F196" i="2" s="1"/>
  <c r="G196" i="2" a="1"/>
  <c r="G196" i="2" s="1"/>
  <c r="H196" i="2" a="1"/>
  <c r="H196" i="2" s="1"/>
  <c r="I196" i="2" a="1"/>
  <c r="I196" i="2" s="1"/>
  <c r="J196" i="2" a="1"/>
  <c r="J196" i="2" s="1"/>
  <c r="K196" i="2" a="1"/>
  <c r="K196" i="2" s="1"/>
  <c r="L196" i="2" a="1"/>
  <c r="L196" i="2" s="1"/>
  <c r="M196" i="2" a="1"/>
  <c r="M196" i="2" s="1"/>
  <c r="N196" i="2" a="1"/>
  <c r="N196" i="2" s="1"/>
  <c r="O196" i="2" a="1"/>
  <c r="O196" i="2" s="1"/>
  <c r="P196" i="2" a="1"/>
  <c r="P196" i="2" s="1"/>
  <c r="Q196" i="2" a="1"/>
  <c r="Q196" i="2" s="1"/>
  <c r="R196" i="2" a="1"/>
  <c r="R196" i="2" s="1"/>
  <c r="S196" i="2" a="1"/>
  <c r="S196" i="2" s="1"/>
  <c r="T196" i="2" a="1"/>
  <c r="T196" i="2" s="1"/>
  <c r="U196" i="2" a="1"/>
  <c r="U196" i="2" s="1"/>
  <c r="V196" i="2" a="1"/>
  <c r="V196" i="2" s="1"/>
  <c r="W196" i="2" a="1"/>
  <c r="W196" i="2" s="1"/>
  <c r="X196" i="2" a="1"/>
  <c r="X196" i="2" s="1"/>
  <c r="Y196" i="2" a="1"/>
  <c r="Y196" i="2" s="1"/>
  <c r="Z196" i="2" a="1"/>
  <c r="Z196" i="2" s="1"/>
  <c r="AA196" i="2" a="1"/>
  <c r="AA196" i="2" s="1"/>
  <c r="AB196" i="2" a="1"/>
  <c r="AB196" i="2" s="1"/>
  <c r="AC196" i="2" a="1"/>
  <c r="AC196" i="2" s="1"/>
  <c r="AD196" i="2" a="1"/>
  <c r="AD196" i="2" s="1"/>
  <c r="AE196" i="2" a="1"/>
  <c r="AE196" i="2" s="1"/>
  <c r="AF196" i="2" a="1"/>
  <c r="AF196" i="2" s="1"/>
  <c r="AG196" i="2" a="1"/>
  <c r="AG196" i="2" s="1"/>
  <c r="AH196" i="2" a="1"/>
  <c r="AH196" i="2" s="1"/>
  <c r="AI196" i="2" a="1"/>
  <c r="AI196" i="2" s="1"/>
  <c r="AJ196" i="2" a="1"/>
  <c r="AJ196" i="2" s="1"/>
  <c r="C196" i="2" a="1"/>
  <c r="C196" i="2" s="1"/>
  <c r="C195" i="2" a="1"/>
  <c r="C195" i="2" s="1"/>
  <c r="C194" i="2" a="1"/>
  <c r="C194" i="2" s="1"/>
  <c r="C193" i="2" a="1"/>
  <c r="C193" i="2" s="1"/>
  <c r="C192" i="2" a="1"/>
  <c r="C192" i="2" s="1"/>
  <c r="C191" i="2" a="1"/>
  <c r="C191" i="2" s="1"/>
  <c r="C190" i="2" a="1"/>
  <c r="C190" i="2" s="1"/>
  <c r="C189" i="2" a="1"/>
  <c r="C189" i="2" s="1"/>
  <c r="C188" i="2" a="1"/>
  <c r="C188" i="2" s="1"/>
  <c r="C187" i="2" a="1"/>
  <c r="C187" i="2" s="1"/>
  <c r="C186" i="2" a="1"/>
  <c r="C186" i="2" s="1"/>
  <c r="C185" i="2" a="1"/>
  <c r="C185" i="2" s="1"/>
  <c r="D185" i="2" a="1"/>
  <c r="D185" i="2" s="1"/>
  <c r="E185" i="2" a="1"/>
  <c r="E185" i="2" s="1"/>
  <c r="F185" i="2" a="1"/>
  <c r="F185" i="2" s="1"/>
  <c r="G185" i="2" a="1"/>
  <c r="G185" i="2" s="1"/>
  <c r="H185" i="2" a="1"/>
  <c r="H185" i="2" s="1"/>
  <c r="I185" i="2" a="1"/>
  <c r="I185" i="2" s="1"/>
  <c r="J185" i="2" a="1"/>
  <c r="J185" i="2" s="1"/>
  <c r="K185" i="2" a="1"/>
  <c r="K185" i="2" s="1"/>
  <c r="L185" i="2" a="1"/>
  <c r="L185" i="2" s="1"/>
  <c r="M185" i="2" a="1"/>
  <c r="M185" i="2" s="1"/>
  <c r="N185" i="2" a="1"/>
  <c r="N185" i="2" s="1"/>
  <c r="O185" i="2" a="1"/>
  <c r="O185" i="2" s="1"/>
  <c r="P185" i="2" a="1"/>
  <c r="P185" i="2" s="1"/>
  <c r="Q185" i="2" a="1"/>
  <c r="Q185" i="2" s="1"/>
  <c r="R185" i="2" a="1"/>
  <c r="R185" i="2" s="1"/>
  <c r="S185" i="2" a="1"/>
  <c r="S185" i="2" s="1"/>
  <c r="T185" i="2" a="1"/>
  <c r="T185" i="2" s="1"/>
  <c r="U185" i="2" a="1"/>
  <c r="U185" i="2" s="1"/>
  <c r="V185" i="2" a="1"/>
  <c r="V185" i="2" s="1"/>
  <c r="W185" i="2" a="1"/>
  <c r="W185" i="2" s="1"/>
  <c r="X185" i="2" a="1"/>
  <c r="X185" i="2" s="1"/>
  <c r="Y185" i="2" a="1"/>
  <c r="Y185" i="2" s="1"/>
  <c r="Z185" i="2" a="1"/>
  <c r="Z185" i="2" s="1"/>
  <c r="AA185" i="2" a="1"/>
  <c r="AA185" i="2" s="1"/>
  <c r="AB185" i="2" a="1"/>
  <c r="AB185" i="2" s="1"/>
  <c r="AC185" i="2" a="1"/>
  <c r="AC185" i="2" s="1"/>
  <c r="AD185" i="2" a="1"/>
  <c r="AD185" i="2" s="1"/>
  <c r="AE185" i="2" a="1"/>
  <c r="AE185" i="2" s="1"/>
  <c r="AF185" i="2" a="1"/>
  <c r="AF185" i="2" s="1"/>
  <c r="AG185" i="2" a="1"/>
  <c r="AG185" i="2" s="1"/>
  <c r="AH185" i="2" a="1"/>
  <c r="AH185" i="2" s="1"/>
  <c r="AI185" i="2" a="1"/>
  <c r="AI185" i="2" s="1"/>
  <c r="AJ185" i="2" a="1"/>
  <c r="AJ185" i="2" s="1"/>
  <c r="D165" i="2" a="1"/>
  <c r="D165" i="2" s="1"/>
  <c r="E165" i="2" a="1"/>
  <c r="E165" i="2" s="1"/>
  <c r="F165" i="2" a="1"/>
  <c r="F165" i="2" s="1"/>
  <c r="G165" i="2" a="1"/>
  <c r="G165" i="2" s="1"/>
  <c r="H165" i="2" a="1"/>
  <c r="H165" i="2" s="1"/>
  <c r="I165" i="2" a="1"/>
  <c r="I165" i="2" s="1"/>
  <c r="J165" i="2" a="1"/>
  <c r="J165" i="2" s="1"/>
  <c r="K165" i="2" a="1"/>
  <c r="K165" i="2" s="1"/>
  <c r="L165" i="2" a="1"/>
  <c r="L165" i="2" s="1"/>
  <c r="M165" i="2" a="1"/>
  <c r="M165" i="2" s="1"/>
  <c r="N165" i="2" a="1"/>
  <c r="N165" i="2" s="1"/>
  <c r="O165" i="2" a="1"/>
  <c r="O165" i="2" s="1"/>
  <c r="P165" i="2" a="1"/>
  <c r="P165" i="2" s="1"/>
  <c r="Q165" i="2" a="1"/>
  <c r="Q165" i="2" s="1"/>
  <c r="R165" i="2" a="1"/>
  <c r="R165" i="2" s="1"/>
  <c r="S165" i="2" a="1"/>
  <c r="S165" i="2" s="1"/>
  <c r="T165" i="2" a="1"/>
  <c r="T165" i="2" s="1"/>
  <c r="U165" i="2" a="1"/>
  <c r="U165" i="2" s="1"/>
  <c r="V165" i="2" a="1"/>
  <c r="V165" i="2" s="1"/>
  <c r="W165" i="2" a="1"/>
  <c r="W165" i="2" s="1"/>
  <c r="X165" i="2" a="1"/>
  <c r="X165" i="2" s="1"/>
  <c r="Y165" i="2" a="1"/>
  <c r="Y165" i="2" s="1"/>
  <c r="Z165" i="2" a="1"/>
  <c r="Z165" i="2" s="1"/>
  <c r="AA165" i="2" a="1"/>
  <c r="AA165" i="2" s="1"/>
  <c r="AB165" i="2" a="1"/>
  <c r="AB165" i="2" s="1"/>
  <c r="AC165" i="2" a="1"/>
  <c r="AC165" i="2" s="1"/>
  <c r="AD165" i="2" a="1"/>
  <c r="AD165" i="2" s="1"/>
  <c r="AE165" i="2" a="1"/>
  <c r="AE165" i="2" s="1"/>
  <c r="AF165" i="2" a="1"/>
  <c r="AF165" i="2" s="1"/>
  <c r="AG165" i="2" a="1"/>
  <c r="AG165" i="2" s="1"/>
  <c r="AH165" i="2" a="1"/>
  <c r="AH165" i="2" s="1"/>
  <c r="AI165" i="2" a="1"/>
  <c r="AI165" i="2" s="1"/>
  <c r="D166" i="2" a="1"/>
  <c r="D166" i="2" s="1"/>
  <c r="E166" i="2" a="1"/>
  <c r="E166" i="2" s="1"/>
  <c r="F166" i="2" a="1"/>
  <c r="F166" i="2" s="1"/>
  <c r="G166" i="2" a="1"/>
  <c r="G166" i="2" s="1"/>
  <c r="H166" i="2" a="1"/>
  <c r="H166" i="2" s="1"/>
  <c r="I166" i="2" a="1"/>
  <c r="I166" i="2" s="1"/>
  <c r="J166" i="2" a="1"/>
  <c r="J166" i="2" s="1"/>
  <c r="K166" i="2" a="1"/>
  <c r="K166" i="2" s="1"/>
  <c r="L166" i="2" a="1"/>
  <c r="L166" i="2" s="1"/>
  <c r="M166" i="2" a="1"/>
  <c r="M166" i="2" s="1"/>
  <c r="N166" i="2" a="1"/>
  <c r="N166" i="2" s="1"/>
  <c r="O166" i="2" a="1"/>
  <c r="O166" i="2" s="1"/>
  <c r="P166" i="2" a="1"/>
  <c r="P166" i="2" s="1"/>
  <c r="Q166" i="2" a="1"/>
  <c r="Q166" i="2" s="1"/>
  <c r="R166" i="2" a="1"/>
  <c r="R166" i="2" s="1"/>
  <c r="S166" i="2" a="1"/>
  <c r="S166" i="2" s="1"/>
  <c r="T166" i="2" a="1"/>
  <c r="T166" i="2" s="1"/>
  <c r="U166" i="2" a="1"/>
  <c r="U166" i="2" s="1"/>
  <c r="V166" i="2" a="1"/>
  <c r="V166" i="2" s="1"/>
  <c r="W166" i="2" a="1"/>
  <c r="W166" i="2" s="1"/>
  <c r="X166" i="2" a="1"/>
  <c r="X166" i="2" s="1"/>
  <c r="Y166" i="2" a="1"/>
  <c r="Y166" i="2" s="1"/>
  <c r="Z166" i="2" a="1"/>
  <c r="Z166" i="2" s="1"/>
  <c r="AA166" i="2" a="1"/>
  <c r="AA166" i="2" s="1"/>
  <c r="AB166" i="2" a="1"/>
  <c r="AB166" i="2" s="1"/>
  <c r="AC166" i="2" a="1"/>
  <c r="AC166" i="2" s="1"/>
  <c r="AD166" i="2" a="1"/>
  <c r="AD166" i="2" s="1"/>
  <c r="AE166" i="2" a="1"/>
  <c r="AE166" i="2" s="1"/>
  <c r="AF166" i="2" a="1"/>
  <c r="AF166" i="2" s="1"/>
  <c r="AG166" i="2" a="1"/>
  <c r="AG166" i="2" s="1"/>
  <c r="AH166" i="2" a="1"/>
  <c r="AH166" i="2" s="1"/>
  <c r="AI166" i="2" a="1"/>
  <c r="AI166" i="2" s="1"/>
  <c r="D167" i="2" a="1"/>
  <c r="D167" i="2" s="1"/>
  <c r="E167" i="2" a="1"/>
  <c r="E167" i="2" s="1"/>
  <c r="F167" i="2" a="1"/>
  <c r="F167" i="2" s="1"/>
  <c r="G167" i="2" a="1"/>
  <c r="G167" i="2" s="1"/>
  <c r="H167" i="2" a="1"/>
  <c r="H167" i="2" s="1"/>
  <c r="I167" i="2" a="1"/>
  <c r="I167" i="2" s="1"/>
  <c r="J167" i="2" a="1"/>
  <c r="J167" i="2" s="1"/>
  <c r="K167" i="2" a="1"/>
  <c r="K167" i="2" s="1"/>
  <c r="L167" i="2" a="1"/>
  <c r="L167" i="2" s="1"/>
  <c r="M167" i="2" a="1"/>
  <c r="M167" i="2" s="1"/>
  <c r="N167" i="2" a="1"/>
  <c r="N167" i="2" s="1"/>
  <c r="O167" i="2" a="1"/>
  <c r="O167" i="2" s="1"/>
  <c r="P167" i="2" a="1"/>
  <c r="P167" i="2" s="1"/>
  <c r="Q167" i="2" a="1"/>
  <c r="Q167" i="2" s="1"/>
  <c r="R167" i="2" a="1"/>
  <c r="R167" i="2" s="1"/>
  <c r="S167" i="2" a="1"/>
  <c r="S167" i="2" s="1"/>
  <c r="T167" i="2" a="1"/>
  <c r="T167" i="2" s="1"/>
  <c r="U167" i="2" a="1"/>
  <c r="U167" i="2" s="1"/>
  <c r="V167" i="2" a="1"/>
  <c r="V167" i="2" s="1"/>
  <c r="W167" i="2" a="1"/>
  <c r="W167" i="2" s="1"/>
  <c r="X167" i="2" a="1"/>
  <c r="X167" i="2" s="1"/>
  <c r="Y167" i="2" a="1"/>
  <c r="Y167" i="2" s="1"/>
  <c r="Z167" i="2" a="1"/>
  <c r="Z167" i="2" s="1"/>
  <c r="AA167" i="2" a="1"/>
  <c r="AA167" i="2" s="1"/>
  <c r="AB167" i="2" a="1"/>
  <c r="AB167" i="2" s="1"/>
  <c r="AC167" i="2" a="1"/>
  <c r="AC167" i="2" s="1"/>
  <c r="AD167" i="2" a="1"/>
  <c r="AD167" i="2" s="1"/>
  <c r="AE167" i="2" a="1"/>
  <c r="AE167" i="2" s="1"/>
  <c r="AF167" i="2" a="1"/>
  <c r="AF167" i="2" s="1"/>
  <c r="AG167" i="2" a="1"/>
  <c r="AG167" i="2" s="1"/>
  <c r="AH167" i="2" a="1"/>
  <c r="AH167" i="2" s="1"/>
  <c r="AI167" i="2" a="1"/>
  <c r="AI167" i="2" s="1"/>
  <c r="D168" i="2" a="1"/>
  <c r="D168" i="2" s="1"/>
  <c r="E168" i="2" a="1"/>
  <c r="E168" i="2" s="1"/>
  <c r="F168" i="2" a="1"/>
  <c r="F168" i="2" s="1"/>
  <c r="G168" i="2" a="1"/>
  <c r="G168" i="2" s="1"/>
  <c r="H168" i="2" a="1"/>
  <c r="H168" i="2" s="1"/>
  <c r="I168" i="2" a="1"/>
  <c r="I168" i="2" s="1"/>
  <c r="J168" i="2" a="1"/>
  <c r="J168" i="2" s="1"/>
  <c r="K168" i="2" a="1"/>
  <c r="K168" i="2" s="1"/>
  <c r="L168" i="2" a="1"/>
  <c r="L168" i="2" s="1"/>
  <c r="M168" i="2" a="1"/>
  <c r="M168" i="2" s="1"/>
  <c r="N168" i="2" a="1"/>
  <c r="N168" i="2" s="1"/>
  <c r="O168" i="2" a="1"/>
  <c r="O168" i="2" s="1"/>
  <c r="P168" i="2" a="1"/>
  <c r="P168" i="2" s="1"/>
  <c r="Q168" i="2" a="1"/>
  <c r="Q168" i="2" s="1"/>
  <c r="R168" i="2" a="1"/>
  <c r="R168" i="2" s="1"/>
  <c r="S168" i="2" a="1"/>
  <c r="S168" i="2" s="1"/>
  <c r="T168" i="2" a="1"/>
  <c r="T168" i="2" s="1"/>
  <c r="U168" i="2" a="1"/>
  <c r="U168" i="2" s="1"/>
  <c r="V168" i="2" a="1"/>
  <c r="V168" i="2" s="1"/>
  <c r="W168" i="2" a="1"/>
  <c r="W168" i="2" s="1"/>
  <c r="X168" i="2" a="1"/>
  <c r="X168" i="2" s="1"/>
  <c r="Y168" i="2" a="1"/>
  <c r="Y168" i="2" s="1"/>
  <c r="Z168" i="2" a="1"/>
  <c r="Z168" i="2" s="1"/>
  <c r="AA168" i="2" a="1"/>
  <c r="AA168" i="2" s="1"/>
  <c r="AB168" i="2" a="1"/>
  <c r="AB168" i="2" s="1"/>
  <c r="AC168" i="2" a="1"/>
  <c r="AC168" i="2" s="1"/>
  <c r="AD168" i="2" a="1"/>
  <c r="AD168" i="2" s="1"/>
  <c r="AE168" i="2" a="1"/>
  <c r="AE168" i="2" s="1"/>
  <c r="AF168" i="2" a="1"/>
  <c r="AF168" i="2" s="1"/>
  <c r="AG168" i="2" a="1"/>
  <c r="AG168" i="2" s="1"/>
  <c r="AH168" i="2" a="1"/>
  <c r="AH168" i="2" s="1"/>
  <c r="AI168" i="2" a="1"/>
  <c r="AI168" i="2" s="1"/>
  <c r="D169" i="2" a="1"/>
  <c r="D169" i="2" s="1"/>
  <c r="E169" i="2" a="1"/>
  <c r="E169" i="2" s="1"/>
  <c r="F169" i="2" a="1"/>
  <c r="F169" i="2" s="1"/>
  <c r="G169" i="2" a="1"/>
  <c r="G169" i="2" s="1"/>
  <c r="H169" i="2" a="1"/>
  <c r="H169" i="2" s="1"/>
  <c r="I169" i="2" a="1"/>
  <c r="I169" i="2" s="1"/>
  <c r="J169" i="2" a="1"/>
  <c r="J169" i="2" s="1"/>
  <c r="K169" i="2" a="1"/>
  <c r="K169" i="2" s="1"/>
  <c r="L169" i="2" a="1"/>
  <c r="L169" i="2" s="1"/>
  <c r="M169" i="2" a="1"/>
  <c r="M169" i="2" s="1"/>
  <c r="N169" i="2" a="1"/>
  <c r="N169" i="2" s="1"/>
  <c r="O169" i="2" a="1"/>
  <c r="O169" i="2" s="1"/>
  <c r="P169" i="2" a="1"/>
  <c r="P169" i="2" s="1"/>
  <c r="Q169" i="2" a="1"/>
  <c r="Q169" i="2" s="1"/>
  <c r="R169" i="2" a="1"/>
  <c r="R169" i="2" s="1"/>
  <c r="S169" i="2" a="1"/>
  <c r="S169" i="2" s="1"/>
  <c r="T169" i="2" a="1"/>
  <c r="T169" i="2" s="1"/>
  <c r="U169" i="2" a="1"/>
  <c r="U169" i="2" s="1"/>
  <c r="V169" i="2" a="1"/>
  <c r="V169" i="2" s="1"/>
  <c r="W169" i="2" a="1"/>
  <c r="W169" i="2" s="1"/>
  <c r="X169" i="2" a="1"/>
  <c r="X169" i="2" s="1"/>
  <c r="Y169" i="2" a="1"/>
  <c r="Y169" i="2" s="1"/>
  <c r="Z169" i="2" a="1"/>
  <c r="Z169" i="2" s="1"/>
  <c r="AA169" i="2" a="1"/>
  <c r="AA169" i="2" s="1"/>
  <c r="AB169" i="2" a="1"/>
  <c r="AB169" i="2" s="1"/>
  <c r="AC169" i="2" a="1"/>
  <c r="AC169" i="2" s="1"/>
  <c r="AD169" i="2" a="1"/>
  <c r="AD169" i="2" s="1"/>
  <c r="AE169" i="2" a="1"/>
  <c r="AE169" i="2" s="1"/>
  <c r="AF169" i="2" a="1"/>
  <c r="AF169" i="2" s="1"/>
  <c r="AG169" i="2" a="1"/>
  <c r="AG169" i="2" s="1"/>
  <c r="AH169" i="2" a="1"/>
  <c r="AH169" i="2" s="1"/>
  <c r="AI169" i="2" a="1"/>
  <c r="AI169" i="2" s="1"/>
  <c r="D170" i="2" a="1"/>
  <c r="D170" i="2" s="1"/>
  <c r="E170" i="2" a="1"/>
  <c r="E170" i="2" s="1"/>
  <c r="F170" i="2" a="1"/>
  <c r="F170" i="2" s="1"/>
  <c r="G170" i="2" a="1"/>
  <c r="G170" i="2" s="1"/>
  <c r="H170" i="2" a="1"/>
  <c r="H170" i="2" s="1"/>
  <c r="I170" i="2" a="1"/>
  <c r="I170" i="2" s="1"/>
  <c r="J170" i="2" a="1"/>
  <c r="J170" i="2" s="1"/>
  <c r="K170" i="2" a="1"/>
  <c r="K170" i="2" s="1"/>
  <c r="L170" i="2" a="1"/>
  <c r="L170" i="2" s="1"/>
  <c r="M170" i="2" a="1"/>
  <c r="M170" i="2" s="1"/>
  <c r="N170" i="2" a="1"/>
  <c r="N170" i="2" s="1"/>
  <c r="O170" i="2" a="1"/>
  <c r="O170" i="2" s="1"/>
  <c r="P170" i="2" a="1"/>
  <c r="P170" i="2" s="1"/>
  <c r="Q170" i="2" a="1"/>
  <c r="Q170" i="2" s="1"/>
  <c r="R170" i="2" a="1"/>
  <c r="R170" i="2" s="1"/>
  <c r="S170" i="2" a="1"/>
  <c r="S170" i="2" s="1"/>
  <c r="T170" i="2" a="1"/>
  <c r="T170" i="2" s="1"/>
  <c r="U170" i="2" a="1"/>
  <c r="U170" i="2" s="1"/>
  <c r="V170" i="2" a="1"/>
  <c r="V170" i="2" s="1"/>
  <c r="W170" i="2" a="1"/>
  <c r="W170" i="2" s="1"/>
  <c r="X170" i="2" a="1"/>
  <c r="X170" i="2" s="1"/>
  <c r="Y170" i="2" a="1"/>
  <c r="Y170" i="2" s="1"/>
  <c r="Z170" i="2" a="1"/>
  <c r="Z170" i="2" s="1"/>
  <c r="AA170" i="2" a="1"/>
  <c r="AA170" i="2" s="1"/>
  <c r="AB170" i="2" a="1"/>
  <c r="AB170" i="2" s="1"/>
  <c r="AC170" i="2" a="1"/>
  <c r="AC170" i="2" s="1"/>
  <c r="AD170" i="2" a="1"/>
  <c r="AD170" i="2" s="1"/>
  <c r="AE170" i="2" a="1"/>
  <c r="AE170" i="2" s="1"/>
  <c r="AF170" i="2" a="1"/>
  <c r="AF170" i="2" s="1"/>
  <c r="AG170" i="2" a="1"/>
  <c r="AG170" i="2" s="1"/>
  <c r="AH170" i="2" a="1"/>
  <c r="AH170" i="2" s="1"/>
  <c r="AI170" i="2" a="1"/>
  <c r="AI170" i="2" s="1"/>
  <c r="D171" i="2" a="1"/>
  <c r="D171" i="2" s="1"/>
  <c r="E171" i="2" a="1"/>
  <c r="E171" i="2" s="1"/>
  <c r="F171" i="2" a="1"/>
  <c r="F171" i="2" s="1"/>
  <c r="G171" i="2" a="1"/>
  <c r="G171" i="2" s="1"/>
  <c r="H171" i="2" a="1"/>
  <c r="H171" i="2" s="1"/>
  <c r="I171" i="2" a="1"/>
  <c r="I171" i="2" s="1"/>
  <c r="J171" i="2" a="1"/>
  <c r="J171" i="2" s="1"/>
  <c r="K171" i="2" a="1"/>
  <c r="K171" i="2" s="1"/>
  <c r="L171" i="2" a="1"/>
  <c r="L171" i="2" s="1"/>
  <c r="M171" i="2" a="1"/>
  <c r="M171" i="2" s="1"/>
  <c r="N171" i="2" a="1"/>
  <c r="N171" i="2" s="1"/>
  <c r="O171" i="2" a="1"/>
  <c r="O171" i="2" s="1"/>
  <c r="P171" i="2" a="1"/>
  <c r="P171" i="2" s="1"/>
  <c r="Q171" i="2" a="1"/>
  <c r="Q171" i="2" s="1"/>
  <c r="R171" i="2" a="1"/>
  <c r="R171" i="2" s="1"/>
  <c r="S171" i="2" a="1"/>
  <c r="S171" i="2" s="1"/>
  <c r="T171" i="2" a="1"/>
  <c r="T171" i="2" s="1"/>
  <c r="U171" i="2" a="1"/>
  <c r="U171" i="2" s="1"/>
  <c r="V171" i="2" a="1"/>
  <c r="V171" i="2" s="1"/>
  <c r="W171" i="2" a="1"/>
  <c r="W171" i="2" s="1"/>
  <c r="X171" i="2" a="1"/>
  <c r="X171" i="2" s="1"/>
  <c r="Y171" i="2" a="1"/>
  <c r="Y171" i="2" s="1"/>
  <c r="Z171" i="2" a="1"/>
  <c r="Z171" i="2" s="1"/>
  <c r="AA171" i="2" a="1"/>
  <c r="AA171" i="2" s="1"/>
  <c r="AB171" i="2" a="1"/>
  <c r="AB171" i="2" s="1"/>
  <c r="AC171" i="2" a="1"/>
  <c r="AC171" i="2" s="1"/>
  <c r="AD171" i="2" a="1"/>
  <c r="AD171" i="2" s="1"/>
  <c r="AE171" i="2" a="1"/>
  <c r="AE171" i="2" s="1"/>
  <c r="AF171" i="2" a="1"/>
  <c r="AF171" i="2" s="1"/>
  <c r="AG171" i="2" a="1"/>
  <c r="AG171" i="2" s="1"/>
  <c r="AH171" i="2" a="1"/>
  <c r="AH171" i="2" s="1"/>
  <c r="AI171" i="2" a="1"/>
  <c r="AI171" i="2" s="1"/>
  <c r="D172" i="2" a="1"/>
  <c r="D172" i="2" s="1"/>
  <c r="E172" i="2" a="1"/>
  <c r="E172" i="2" s="1"/>
  <c r="F172" i="2" a="1"/>
  <c r="F172" i="2" s="1"/>
  <c r="G172" i="2" a="1"/>
  <c r="G172" i="2" s="1"/>
  <c r="H172" i="2" a="1"/>
  <c r="H172" i="2" s="1"/>
  <c r="I172" i="2" a="1"/>
  <c r="I172" i="2" s="1"/>
  <c r="J172" i="2" a="1"/>
  <c r="J172" i="2" s="1"/>
  <c r="K172" i="2" a="1"/>
  <c r="K172" i="2" s="1"/>
  <c r="L172" i="2" a="1"/>
  <c r="L172" i="2" s="1"/>
  <c r="M172" i="2" a="1"/>
  <c r="M172" i="2" s="1"/>
  <c r="N172" i="2" a="1"/>
  <c r="N172" i="2" s="1"/>
  <c r="O172" i="2" a="1"/>
  <c r="O172" i="2" s="1"/>
  <c r="P172" i="2" a="1"/>
  <c r="P172" i="2" s="1"/>
  <c r="Q172" i="2" a="1"/>
  <c r="Q172" i="2" s="1"/>
  <c r="R172" i="2" a="1"/>
  <c r="R172" i="2" s="1"/>
  <c r="S172" i="2" a="1"/>
  <c r="S172" i="2" s="1"/>
  <c r="T172" i="2" a="1"/>
  <c r="T172" i="2" s="1"/>
  <c r="U172" i="2" a="1"/>
  <c r="U172" i="2" s="1"/>
  <c r="V172" i="2" a="1"/>
  <c r="V172" i="2" s="1"/>
  <c r="W172" i="2" a="1"/>
  <c r="W172" i="2" s="1"/>
  <c r="X172" i="2" a="1"/>
  <c r="X172" i="2" s="1"/>
  <c r="Y172" i="2" a="1"/>
  <c r="Y172" i="2" s="1"/>
  <c r="Z172" i="2" a="1"/>
  <c r="Z172" i="2" s="1"/>
  <c r="AA172" i="2" a="1"/>
  <c r="AA172" i="2" s="1"/>
  <c r="AB172" i="2" a="1"/>
  <c r="AB172" i="2" s="1"/>
  <c r="AC172" i="2" a="1"/>
  <c r="AC172" i="2" s="1"/>
  <c r="AD172" i="2" a="1"/>
  <c r="AD172" i="2" s="1"/>
  <c r="AE172" i="2" a="1"/>
  <c r="AE172" i="2" s="1"/>
  <c r="AF172" i="2" a="1"/>
  <c r="AF172" i="2" s="1"/>
  <c r="AG172" i="2" a="1"/>
  <c r="AG172" i="2" s="1"/>
  <c r="AH172" i="2" a="1"/>
  <c r="AH172" i="2" s="1"/>
  <c r="AI172" i="2" a="1"/>
  <c r="AI172" i="2" s="1"/>
  <c r="D173" i="2" a="1"/>
  <c r="D173" i="2" s="1"/>
  <c r="E173" i="2" a="1"/>
  <c r="E173" i="2" s="1"/>
  <c r="F173" i="2" a="1"/>
  <c r="F173" i="2" s="1"/>
  <c r="G173" i="2" a="1"/>
  <c r="G173" i="2" s="1"/>
  <c r="H173" i="2" a="1"/>
  <c r="H173" i="2" s="1"/>
  <c r="I173" i="2" a="1"/>
  <c r="I173" i="2" s="1"/>
  <c r="J173" i="2" a="1"/>
  <c r="J173" i="2" s="1"/>
  <c r="K173" i="2" a="1"/>
  <c r="K173" i="2" s="1"/>
  <c r="L173" i="2" a="1"/>
  <c r="L173" i="2" s="1"/>
  <c r="M173" i="2" a="1"/>
  <c r="M173" i="2" s="1"/>
  <c r="N173" i="2" a="1"/>
  <c r="N173" i="2" s="1"/>
  <c r="O173" i="2" a="1"/>
  <c r="O173" i="2" s="1"/>
  <c r="P173" i="2" a="1"/>
  <c r="P173" i="2" s="1"/>
  <c r="Q173" i="2" a="1"/>
  <c r="Q173" i="2" s="1"/>
  <c r="R173" i="2" a="1"/>
  <c r="R173" i="2" s="1"/>
  <c r="S173" i="2" a="1"/>
  <c r="S173" i="2" s="1"/>
  <c r="T173" i="2" a="1"/>
  <c r="T173" i="2" s="1"/>
  <c r="U173" i="2" a="1"/>
  <c r="U173" i="2" s="1"/>
  <c r="V173" i="2" a="1"/>
  <c r="V173" i="2" s="1"/>
  <c r="W173" i="2" a="1"/>
  <c r="W173" i="2" s="1"/>
  <c r="X173" i="2" a="1"/>
  <c r="X173" i="2" s="1"/>
  <c r="Y173" i="2" a="1"/>
  <c r="Y173" i="2" s="1"/>
  <c r="Z173" i="2" a="1"/>
  <c r="Z173" i="2" s="1"/>
  <c r="AA173" i="2" a="1"/>
  <c r="AA173" i="2" s="1"/>
  <c r="AB173" i="2" a="1"/>
  <c r="AB173" i="2" s="1"/>
  <c r="AC173" i="2" a="1"/>
  <c r="AC173" i="2" s="1"/>
  <c r="AD173" i="2" a="1"/>
  <c r="AD173" i="2" s="1"/>
  <c r="AE173" i="2" a="1"/>
  <c r="AE173" i="2" s="1"/>
  <c r="AF173" i="2" a="1"/>
  <c r="AF173" i="2" s="1"/>
  <c r="AG173" i="2" a="1"/>
  <c r="AG173" i="2" s="1"/>
  <c r="AH173" i="2" a="1"/>
  <c r="AH173" i="2" s="1"/>
  <c r="AI173" i="2" a="1"/>
  <c r="AI173" i="2" s="1"/>
  <c r="D174" i="2" a="1"/>
  <c r="D174" i="2" s="1"/>
  <c r="E174" i="2" a="1"/>
  <c r="E174" i="2" s="1"/>
  <c r="F174" i="2" a="1"/>
  <c r="F174" i="2" s="1"/>
  <c r="G174" i="2" a="1"/>
  <c r="G174" i="2" s="1"/>
  <c r="H174" i="2" a="1"/>
  <c r="H174" i="2" s="1"/>
  <c r="I174" i="2" a="1"/>
  <c r="I174" i="2" s="1"/>
  <c r="J174" i="2" a="1"/>
  <c r="J174" i="2" s="1"/>
  <c r="K174" i="2" a="1"/>
  <c r="K174" i="2" s="1"/>
  <c r="L174" i="2" a="1"/>
  <c r="L174" i="2" s="1"/>
  <c r="M174" i="2" a="1"/>
  <c r="M174" i="2" s="1"/>
  <c r="N174" i="2" a="1"/>
  <c r="N174" i="2" s="1"/>
  <c r="O174" i="2" a="1"/>
  <c r="O174" i="2" s="1"/>
  <c r="P174" i="2" a="1"/>
  <c r="P174" i="2" s="1"/>
  <c r="Q174" i="2" a="1"/>
  <c r="Q174" i="2" s="1"/>
  <c r="R174" i="2" a="1"/>
  <c r="R174" i="2" s="1"/>
  <c r="S174" i="2" a="1"/>
  <c r="S174" i="2" s="1"/>
  <c r="T174" i="2" a="1"/>
  <c r="T174" i="2" s="1"/>
  <c r="U174" i="2" a="1"/>
  <c r="U174" i="2" s="1"/>
  <c r="V174" i="2" a="1"/>
  <c r="V174" i="2" s="1"/>
  <c r="W174" i="2" a="1"/>
  <c r="W174" i="2" s="1"/>
  <c r="X174" i="2" a="1"/>
  <c r="X174" i="2" s="1"/>
  <c r="Y174" i="2" a="1"/>
  <c r="Y174" i="2" s="1"/>
  <c r="Z174" i="2" a="1"/>
  <c r="Z174" i="2" s="1"/>
  <c r="AA174" i="2" a="1"/>
  <c r="AA174" i="2" s="1"/>
  <c r="AB174" i="2" a="1"/>
  <c r="AB174" i="2" s="1"/>
  <c r="AC174" i="2" a="1"/>
  <c r="AC174" i="2" s="1"/>
  <c r="AD174" i="2" a="1"/>
  <c r="AD174" i="2" s="1"/>
  <c r="AE174" i="2" a="1"/>
  <c r="AE174" i="2" s="1"/>
  <c r="AF174" i="2" a="1"/>
  <c r="AF174" i="2" s="1"/>
  <c r="AG174" i="2" a="1"/>
  <c r="AG174" i="2" s="1"/>
  <c r="AH174" i="2" a="1"/>
  <c r="AH174" i="2" s="1"/>
  <c r="AI174" i="2" a="1"/>
  <c r="AI174" i="2" s="1"/>
  <c r="D175" i="2" a="1"/>
  <c r="D175" i="2" s="1"/>
  <c r="E175" i="2" a="1"/>
  <c r="E175" i="2" s="1"/>
  <c r="F175" i="2" a="1"/>
  <c r="F175" i="2" s="1"/>
  <c r="G175" i="2" a="1"/>
  <c r="G175" i="2" s="1"/>
  <c r="H175" i="2" a="1"/>
  <c r="H175" i="2" s="1"/>
  <c r="I175" i="2" a="1"/>
  <c r="I175" i="2" s="1"/>
  <c r="J175" i="2" a="1"/>
  <c r="J175" i="2" s="1"/>
  <c r="K175" i="2" a="1"/>
  <c r="K175" i="2" s="1"/>
  <c r="L175" i="2" a="1"/>
  <c r="L175" i="2" s="1"/>
  <c r="M175" i="2" a="1"/>
  <c r="M175" i="2" s="1"/>
  <c r="N175" i="2" a="1"/>
  <c r="N175" i="2" s="1"/>
  <c r="O175" i="2" a="1"/>
  <c r="O175" i="2" s="1"/>
  <c r="P175" i="2" a="1"/>
  <c r="P175" i="2" s="1"/>
  <c r="Q175" i="2" a="1"/>
  <c r="Q175" i="2" s="1"/>
  <c r="R175" i="2" a="1"/>
  <c r="R175" i="2" s="1"/>
  <c r="S175" i="2" a="1"/>
  <c r="S175" i="2" s="1"/>
  <c r="T175" i="2" a="1"/>
  <c r="T175" i="2" s="1"/>
  <c r="U175" i="2" a="1"/>
  <c r="U175" i="2" s="1"/>
  <c r="V175" i="2" a="1"/>
  <c r="V175" i="2" s="1"/>
  <c r="W175" i="2" a="1"/>
  <c r="W175" i="2" s="1"/>
  <c r="X175" i="2" a="1"/>
  <c r="X175" i="2" s="1"/>
  <c r="Y175" i="2" a="1"/>
  <c r="Y175" i="2" s="1"/>
  <c r="Z175" i="2" a="1"/>
  <c r="Z175" i="2" s="1"/>
  <c r="AA175" i="2" a="1"/>
  <c r="AA175" i="2" s="1"/>
  <c r="AB175" i="2" a="1"/>
  <c r="AB175" i="2" s="1"/>
  <c r="AC175" i="2" a="1"/>
  <c r="AC175" i="2" s="1"/>
  <c r="AD175" i="2" a="1"/>
  <c r="AD175" i="2" s="1"/>
  <c r="AE175" i="2" a="1"/>
  <c r="AE175" i="2" s="1"/>
  <c r="AF175" i="2" a="1"/>
  <c r="AF175" i="2" s="1"/>
  <c r="AG175" i="2" a="1"/>
  <c r="AG175" i="2" s="1"/>
  <c r="AH175" i="2" a="1"/>
  <c r="AH175" i="2" s="1"/>
  <c r="AI175" i="2" a="1"/>
  <c r="AI175" i="2" s="1"/>
  <c r="C175" i="2" a="1"/>
  <c r="C175" i="2" s="1"/>
  <c r="C174" i="2" a="1"/>
  <c r="C174" i="2" s="1"/>
  <c r="C173" i="2" a="1"/>
  <c r="C173" i="2" s="1"/>
  <c r="C172" i="2" a="1"/>
  <c r="C172" i="2" s="1"/>
  <c r="C171" i="2" a="1"/>
  <c r="C171" i="2" s="1"/>
  <c r="C170" i="2" a="1"/>
  <c r="C170" i="2" s="1"/>
  <c r="C164" i="2" a="1"/>
  <c r="C164" i="2" s="1"/>
  <c r="C169" i="2" a="1"/>
  <c r="C169" i="2" s="1"/>
  <c r="C168" i="2" a="1"/>
  <c r="C168" i="2" s="1"/>
  <c r="C167" i="2" a="1"/>
  <c r="C167" i="2" s="1"/>
  <c r="C166" i="2" a="1"/>
  <c r="C166" i="2" s="1"/>
  <c r="C165" i="2" a="1"/>
  <c r="C165" i="2" s="1"/>
  <c r="D164" i="2" a="1"/>
  <c r="D164" i="2" s="1"/>
  <c r="E164" i="2" a="1"/>
  <c r="E164" i="2" s="1"/>
  <c r="F164" i="2" a="1"/>
  <c r="F164" i="2" s="1"/>
  <c r="G164" i="2" a="1"/>
  <c r="G164" i="2" s="1"/>
  <c r="H164" i="2" a="1"/>
  <c r="H164" i="2" s="1"/>
  <c r="I164" i="2" a="1"/>
  <c r="I164" i="2" s="1"/>
  <c r="J164" i="2" a="1"/>
  <c r="J164" i="2" s="1"/>
  <c r="K164" i="2" a="1"/>
  <c r="K164" i="2" s="1"/>
  <c r="L164" i="2" a="1"/>
  <c r="L164" i="2" s="1"/>
  <c r="M164" i="2" a="1"/>
  <c r="M164" i="2" s="1"/>
  <c r="N164" i="2" a="1"/>
  <c r="N164" i="2" s="1"/>
  <c r="O164" i="2" a="1"/>
  <c r="O164" i="2" s="1"/>
  <c r="P164" i="2" a="1"/>
  <c r="P164" i="2" s="1"/>
  <c r="Q164" i="2" a="1"/>
  <c r="Q164" i="2" s="1"/>
  <c r="R164" i="2" a="1"/>
  <c r="R164" i="2" s="1"/>
  <c r="S164" i="2" a="1"/>
  <c r="S164" i="2" s="1"/>
  <c r="T164" i="2" a="1"/>
  <c r="T164" i="2" s="1"/>
  <c r="U164" i="2" a="1"/>
  <c r="U164" i="2" s="1"/>
  <c r="V164" i="2" a="1"/>
  <c r="V164" i="2" s="1"/>
  <c r="W164" i="2" a="1"/>
  <c r="W164" i="2" s="1"/>
  <c r="X164" i="2" a="1"/>
  <c r="X164" i="2" s="1"/>
  <c r="Y164" i="2" a="1"/>
  <c r="Y164" i="2" s="1"/>
  <c r="Z164" i="2" a="1"/>
  <c r="Z164" i="2" s="1"/>
  <c r="AA164" i="2" a="1"/>
  <c r="AA164" i="2" s="1"/>
  <c r="AB164" i="2" a="1"/>
  <c r="AB164" i="2" s="1"/>
  <c r="AC164" i="2" a="1"/>
  <c r="AC164" i="2" s="1"/>
  <c r="AD164" i="2" a="1"/>
  <c r="AD164" i="2" s="1"/>
  <c r="AE164" i="2" a="1"/>
  <c r="AE164" i="2" s="1"/>
  <c r="AF164" i="2" a="1"/>
  <c r="AF164" i="2" s="1"/>
  <c r="AG164" i="2" a="1"/>
  <c r="AG164" i="2" s="1"/>
  <c r="AH164" i="2" a="1"/>
  <c r="AH164" i="2" s="1"/>
  <c r="AI164" i="2" a="1"/>
  <c r="AI164" i="2" s="1"/>
  <c r="AJ164" i="2" a="1"/>
  <c r="AJ164" i="2" s="1"/>
  <c r="AJ165" i="2" a="1"/>
  <c r="AJ165" i="2" s="1"/>
  <c r="AJ166" i="2" a="1"/>
  <c r="AJ166" i="2" s="1"/>
  <c r="AJ167" i="2" a="1"/>
  <c r="AJ167" i="2" s="1"/>
  <c r="AJ168" i="2" a="1"/>
  <c r="AJ168" i="2" s="1"/>
  <c r="AJ169" i="2" a="1"/>
  <c r="AJ169" i="2" s="1"/>
  <c r="AJ170" i="2" a="1"/>
  <c r="AJ170" i="2" s="1"/>
  <c r="AJ171" i="2" a="1"/>
  <c r="AJ171" i="2" s="1"/>
  <c r="AJ172" i="2" a="1"/>
  <c r="AJ172" i="2" s="1"/>
  <c r="AJ173" i="2" a="1"/>
  <c r="AJ173" i="2" s="1"/>
  <c r="AJ174" i="2" a="1"/>
  <c r="AJ174" i="2" s="1"/>
  <c r="AJ175" i="2" a="1"/>
  <c r="AJ175" i="2" s="1"/>
  <c r="D206" i="2" l="1" a="1"/>
  <c r="D206" i="2" s="1"/>
  <c r="E206" i="2" a="1"/>
  <c r="E206" i="2" s="1"/>
  <c r="F206" i="2" a="1"/>
  <c r="F206" i="2" s="1"/>
  <c r="G206" i="2" a="1"/>
  <c r="G206" i="2" s="1"/>
  <c r="H206" i="2" a="1"/>
  <c r="H206" i="2" s="1"/>
  <c r="I206" i="2" a="1"/>
  <c r="I206" i="2" s="1"/>
  <c r="J206" i="2" a="1"/>
  <c r="J206" i="2" s="1"/>
  <c r="K206" i="2" a="1"/>
  <c r="K206" i="2" s="1"/>
  <c r="L206" i="2" a="1"/>
  <c r="L206" i="2" s="1"/>
  <c r="M206" i="2" a="1"/>
  <c r="M206" i="2" s="1"/>
  <c r="N206" i="2" a="1"/>
  <c r="N206" i="2" s="1"/>
  <c r="O206" i="2" a="1"/>
  <c r="O206" i="2" s="1"/>
  <c r="P206" i="2" a="1"/>
  <c r="P206" i="2" s="1"/>
  <c r="Q206" i="2" a="1"/>
  <c r="Q206" i="2" s="1"/>
  <c r="R206" i="2" a="1"/>
  <c r="R206" i="2" s="1"/>
  <c r="S206" i="2" a="1"/>
  <c r="S206" i="2" s="1"/>
  <c r="T206" i="2" a="1"/>
  <c r="T206" i="2" s="1"/>
  <c r="U206" i="2" a="1"/>
  <c r="U206" i="2" s="1"/>
  <c r="V206" i="2" a="1"/>
  <c r="V206" i="2" s="1"/>
  <c r="W206" i="2" a="1"/>
  <c r="W206" i="2" s="1"/>
  <c r="X206" i="2" a="1"/>
  <c r="X206" i="2" s="1"/>
  <c r="Y206" i="2" a="1"/>
  <c r="Y206" i="2" s="1"/>
  <c r="Z206" i="2" a="1"/>
  <c r="Z206" i="2" s="1"/>
  <c r="AA206" i="2" a="1"/>
  <c r="AA206" i="2" s="1"/>
  <c r="AB206" i="2" a="1"/>
  <c r="AB206" i="2" s="1"/>
  <c r="AC206" i="2" a="1"/>
  <c r="AC206" i="2" s="1"/>
  <c r="AD206" i="2" a="1"/>
  <c r="AD206" i="2" s="1"/>
  <c r="AE206" i="2" a="1"/>
  <c r="AE206" i="2" s="1"/>
  <c r="AF206" i="2" a="1"/>
  <c r="AF206" i="2" s="1"/>
  <c r="AG206" i="2" a="1"/>
  <c r="AG206" i="2" s="1"/>
  <c r="AH206" i="2" a="1"/>
  <c r="AH206" i="2" s="1"/>
  <c r="AI206" i="2" a="1"/>
  <c r="AI206" i="2" s="1"/>
  <c r="AJ206" i="2" a="1"/>
  <c r="AJ206" i="2" s="1"/>
  <c r="C206" i="2" a="1"/>
  <c r="C206" i="2" s="1"/>
  <c r="E227" i="2" a="1"/>
  <c r="E227" i="2" s="1"/>
  <c r="F227" i="2" a="1"/>
  <c r="F227" i="2" s="1"/>
  <c r="G227" i="2" a="1"/>
  <c r="G227" i="2" s="1"/>
  <c r="H227" i="2" a="1"/>
  <c r="H227" i="2" s="1"/>
  <c r="I227" i="2" a="1"/>
  <c r="I227" i="2" s="1"/>
  <c r="J227" i="2" a="1"/>
  <c r="J227" i="2" s="1"/>
  <c r="K227" i="2" a="1"/>
  <c r="K227" i="2" s="1"/>
  <c r="L227" i="2" s="1" a="1"/>
  <c r="L227" i="2" s="1"/>
  <c r="M227" i="2" s="1" a="1"/>
  <c r="M227" i="2" s="1"/>
  <c r="N227" i="2" a="1"/>
  <c r="N227" i="2" s="1"/>
  <c r="O227" i="2" a="1"/>
  <c r="O227" i="2" s="1"/>
  <c r="P227" i="2" a="1"/>
  <c r="P227" i="2" s="1"/>
  <c r="Q227" i="2" a="1"/>
  <c r="Q227" i="2" s="1"/>
  <c r="R227" i="2" a="1"/>
  <c r="R227" i="2" s="1"/>
  <c r="S227" i="2" a="1"/>
  <c r="S227" i="2" s="1"/>
  <c r="T227" i="2" a="1"/>
  <c r="T227" i="2" s="1"/>
  <c r="U227" i="2" a="1"/>
  <c r="U227" i="2" s="1"/>
  <c r="V227" i="2" a="1"/>
  <c r="V227" i="2" s="1"/>
  <c r="W227" i="2" a="1"/>
  <c r="W227" i="2" s="1"/>
  <c r="X227" i="2" a="1"/>
  <c r="X227" i="2" s="1"/>
  <c r="Y227" i="2" a="1"/>
  <c r="Y227" i="2" s="1"/>
  <c r="Z227" i="2" a="1"/>
  <c r="Z227" i="2" s="1"/>
  <c r="AA227" i="2" a="1"/>
  <c r="AA227" i="2" s="1"/>
  <c r="AB227" i="2" a="1"/>
  <c r="AB227" i="2" s="1"/>
  <c r="AC227" i="2" a="1"/>
  <c r="AC227" i="2" s="1"/>
  <c r="AD227" i="2" a="1"/>
  <c r="AD227" i="2" s="1"/>
  <c r="AE227" i="2" a="1"/>
  <c r="AE227" i="2" s="1"/>
  <c r="AF227" i="2" a="1"/>
  <c r="AF227" i="2" s="1"/>
  <c r="AG227" i="2" a="1"/>
  <c r="AG227" i="2" s="1"/>
  <c r="AH227" i="2" a="1"/>
  <c r="AH227" i="2" s="1"/>
  <c r="AI227" i="2" a="1"/>
  <c r="AI227" i="2" s="1"/>
  <c r="AJ227" i="2" a="1"/>
  <c r="AJ227" i="2" s="1"/>
  <c r="AK248" i="2" s="1"/>
  <c r="AK227" i="2" a="1"/>
  <c r="AK227" i="2" s="1"/>
  <c r="D227" i="2" a="1"/>
  <c r="D227" i="2" s="1"/>
  <c r="AD27" i="2" a="1"/>
  <c r="AD27" i="2" s="1"/>
  <c r="AE27" i="2" a="1"/>
  <c r="AE27" i="2" s="1"/>
  <c r="AF27" i="2" a="1"/>
  <c r="AF27" i="2" s="1"/>
  <c r="AG27" i="2" a="1"/>
  <c r="AG27" i="2" s="1"/>
  <c r="AH27" i="2" a="1"/>
  <c r="AH27" i="2" s="1"/>
  <c r="AI27" i="2" a="1"/>
  <c r="AI27" i="2" s="1"/>
  <c r="AJ27" i="2" a="1"/>
  <c r="AJ27" i="2" s="1"/>
  <c r="AG28" i="2" a="1"/>
  <c r="AG28" i="2" s="1"/>
  <c r="AH28" i="2" a="1"/>
  <c r="AH28" i="2" s="1"/>
  <c r="AI28" i="2" a="1"/>
  <c r="AI28" i="2" s="1"/>
  <c r="AJ28" i="2" a="1"/>
  <c r="AJ28" i="2" s="1"/>
  <c r="AE29" i="2" a="1"/>
  <c r="AE29" i="2" s="1"/>
  <c r="AF29" i="2" a="1"/>
  <c r="AF29" i="2" s="1"/>
  <c r="AG29" i="2" a="1"/>
  <c r="AG29" i="2" s="1"/>
  <c r="AH29" i="2" a="1"/>
  <c r="AH29" i="2" s="1"/>
  <c r="AI29" i="2" a="1"/>
  <c r="AI29" i="2" s="1"/>
  <c r="AJ29" i="2" a="1"/>
  <c r="AJ29" i="2" s="1"/>
  <c r="AH30" i="2" a="1"/>
  <c r="AH30" i="2" s="1"/>
  <c r="AI30" i="2" a="1"/>
  <c r="AI30" i="2" s="1"/>
  <c r="AJ30" i="2" a="1"/>
  <c r="AJ30" i="2" s="1"/>
  <c r="AE31" i="2" a="1"/>
  <c r="AE31" i="2" s="1"/>
  <c r="AF31" i="2" a="1"/>
  <c r="AF31" i="2" s="1"/>
  <c r="AG31" i="2" a="1"/>
  <c r="AG31" i="2" s="1"/>
  <c r="AH31" i="2" a="1"/>
  <c r="AH31" i="2" s="1"/>
  <c r="AI31" i="2" a="1"/>
  <c r="AI31" i="2" s="1"/>
  <c r="AJ31" i="2" a="1"/>
  <c r="AJ31" i="2" s="1"/>
  <c r="M32" i="2" a="1"/>
  <c r="M32" i="2" s="1"/>
  <c r="N32" i="2" a="1"/>
  <c r="N32" i="2" s="1"/>
  <c r="O32" i="2" a="1"/>
  <c r="O32" i="2" s="1"/>
  <c r="P32" i="2" a="1"/>
  <c r="P32" i="2" s="1"/>
  <c r="AE32" i="2" a="1"/>
  <c r="AE32" i="2" s="1"/>
  <c r="AF32" i="2" a="1"/>
  <c r="AF32" i="2" s="1"/>
  <c r="AG32" i="2" a="1"/>
  <c r="AG32" i="2" s="1"/>
  <c r="AH32" i="2" a="1"/>
  <c r="AH32" i="2" s="1"/>
  <c r="AI32" i="2" a="1"/>
  <c r="AI32" i="2" s="1"/>
  <c r="AJ32" i="2" a="1"/>
  <c r="AJ32" i="2" s="1"/>
  <c r="C33" i="2" a="1"/>
  <c r="C33" i="2" s="1"/>
  <c r="D33" i="2" a="1"/>
  <c r="D33" i="2" s="1"/>
  <c r="E33" i="2" a="1"/>
  <c r="E33" i="2" s="1"/>
  <c r="F33" i="2" a="1"/>
  <c r="F33" i="2" s="1"/>
  <c r="G33" i="2" a="1"/>
  <c r="G33" i="2" s="1"/>
  <c r="H33" i="2" a="1"/>
  <c r="H33" i="2" s="1"/>
  <c r="I33" i="2" a="1"/>
  <c r="I33" i="2" s="1"/>
  <c r="J33" i="2" a="1"/>
  <c r="J33" i="2" s="1"/>
  <c r="K33" i="2" a="1"/>
  <c r="K33" i="2" s="1"/>
  <c r="L33" i="2" a="1"/>
  <c r="L33" i="2" s="1"/>
  <c r="M33" i="2" a="1"/>
  <c r="M33" i="2" s="1"/>
  <c r="N33" i="2" a="1"/>
  <c r="N33" i="2" s="1"/>
  <c r="O33" i="2" a="1"/>
  <c r="O33" i="2" s="1"/>
  <c r="P33" i="2" a="1"/>
  <c r="P33" i="2" s="1"/>
  <c r="Q33" i="2" a="1"/>
  <c r="Q33" i="2" s="1"/>
  <c r="R33" i="2" a="1"/>
  <c r="R33" i="2" s="1"/>
  <c r="S33" i="2" a="1"/>
  <c r="S33" i="2" s="1"/>
  <c r="T33" i="2" a="1"/>
  <c r="T33" i="2" s="1"/>
  <c r="U33" i="2" a="1"/>
  <c r="U33" i="2" s="1"/>
  <c r="V33" i="2" a="1"/>
  <c r="V33" i="2" s="1"/>
  <c r="W33" i="2" a="1"/>
  <c r="W33" i="2" s="1"/>
  <c r="X33" i="2" a="1"/>
  <c r="X33" i="2" s="1"/>
  <c r="Y33" i="2" a="1"/>
  <c r="Y33" i="2" s="1"/>
  <c r="Z33" i="2" a="1"/>
  <c r="Z33" i="2" s="1"/>
  <c r="AA33" i="2" a="1"/>
  <c r="AA33" i="2" s="1"/>
  <c r="AB33" i="2" a="1"/>
  <c r="AB33" i="2" s="1"/>
  <c r="AC33" i="2" a="1"/>
  <c r="AC33" i="2" s="1"/>
  <c r="AD33" i="2" a="1"/>
  <c r="AD33" i="2" s="1"/>
  <c r="AE33" i="2" a="1"/>
  <c r="AE33" i="2" s="1"/>
  <c r="AF33" i="2" a="1"/>
  <c r="AF33" i="2" s="1"/>
  <c r="AG33" i="2" a="1"/>
  <c r="AG33" i="2" s="1"/>
  <c r="AH33" i="2" a="1"/>
  <c r="AH33" i="2" s="1"/>
  <c r="AI33" i="2" a="1"/>
  <c r="AI33" i="2" s="1"/>
  <c r="AJ33" i="2" a="1"/>
  <c r="AJ33" i="2" s="1"/>
  <c r="C34" i="2" a="1"/>
  <c r="C34" i="2" s="1"/>
  <c r="D34" i="2" a="1"/>
  <c r="D34" i="2" s="1"/>
  <c r="E34" i="2" a="1"/>
  <c r="E34" i="2" s="1"/>
  <c r="F34" i="2" a="1"/>
  <c r="F34" i="2" s="1"/>
  <c r="G34" i="2" a="1"/>
  <c r="G34" i="2" s="1"/>
  <c r="H34" i="2" a="1"/>
  <c r="H34" i="2" s="1"/>
  <c r="I34" i="2" a="1"/>
  <c r="I34" i="2" s="1"/>
  <c r="J34" i="2" a="1"/>
  <c r="J34" i="2" s="1"/>
  <c r="K34" i="2" a="1"/>
  <c r="K34" i="2" s="1"/>
  <c r="L34" i="2" a="1"/>
  <c r="L34" i="2" s="1"/>
  <c r="M34" i="2" a="1"/>
  <c r="M34" i="2" s="1"/>
  <c r="N34" i="2" a="1"/>
  <c r="N34" i="2" s="1"/>
  <c r="O34" i="2" a="1"/>
  <c r="O34" i="2" s="1"/>
  <c r="P34" i="2" a="1"/>
  <c r="P34" i="2" s="1"/>
  <c r="Q34" i="2" a="1"/>
  <c r="Q34" i="2" s="1"/>
  <c r="R34" i="2" a="1"/>
  <c r="R34" i="2" s="1"/>
  <c r="S34" i="2" a="1"/>
  <c r="S34" i="2" s="1"/>
  <c r="T34" i="2" a="1"/>
  <c r="T34" i="2" s="1"/>
  <c r="U34" i="2" a="1"/>
  <c r="U34" i="2" s="1"/>
  <c r="V34" i="2" a="1"/>
  <c r="V34" i="2" s="1"/>
  <c r="W34" i="2" a="1"/>
  <c r="W34" i="2" s="1"/>
  <c r="X34" i="2" a="1"/>
  <c r="X34" i="2" s="1"/>
  <c r="Y34" i="2" a="1"/>
  <c r="Y34" i="2" s="1"/>
  <c r="Z34" i="2" a="1"/>
  <c r="Z34" i="2" s="1"/>
  <c r="AA34" i="2" a="1"/>
  <c r="AA34" i="2" s="1"/>
  <c r="AB34" i="2" a="1"/>
  <c r="AB34" i="2" s="1"/>
  <c r="AC34" i="2" a="1"/>
  <c r="AC34" i="2" s="1"/>
  <c r="AD34" i="2" a="1"/>
  <c r="AD34" i="2" s="1"/>
  <c r="AE34" i="2" a="1"/>
  <c r="AE34" i="2" s="1"/>
  <c r="AF34" i="2" a="1"/>
  <c r="AF34" i="2" s="1"/>
  <c r="AG34" i="2" a="1"/>
  <c r="AG34" i="2" s="1"/>
  <c r="AH34" i="2" a="1"/>
  <c r="AH34" i="2" s="1"/>
  <c r="AI34" i="2" a="1"/>
  <c r="AI34" i="2" s="1"/>
  <c r="AJ34" i="2" a="1"/>
  <c r="AJ34" i="2" s="1"/>
  <c r="C35" i="2" a="1"/>
  <c r="C35" i="2" s="1"/>
  <c r="D35" i="2" a="1"/>
  <c r="D35" i="2" s="1"/>
  <c r="E35" i="2" a="1"/>
  <c r="E35" i="2" s="1"/>
  <c r="F35" i="2" a="1"/>
  <c r="F35" i="2" s="1"/>
  <c r="G35" i="2" a="1"/>
  <c r="G35" i="2" s="1"/>
  <c r="H35" i="2" a="1"/>
  <c r="H35" i="2" s="1"/>
  <c r="I35" i="2" a="1"/>
  <c r="I35" i="2" s="1"/>
  <c r="J35" i="2" a="1"/>
  <c r="J35" i="2" s="1"/>
  <c r="K35" i="2" a="1"/>
  <c r="K35" i="2" s="1"/>
  <c r="L35" i="2" a="1"/>
  <c r="L35" i="2" s="1"/>
  <c r="M35" i="2" a="1"/>
  <c r="M35" i="2" s="1"/>
  <c r="N35" i="2" a="1"/>
  <c r="N35" i="2" s="1"/>
  <c r="O35" i="2" a="1"/>
  <c r="O35" i="2" s="1"/>
  <c r="P35" i="2" a="1"/>
  <c r="P35" i="2" s="1"/>
  <c r="Q35" i="2" a="1"/>
  <c r="Q35" i="2" s="1"/>
  <c r="R35" i="2" a="1"/>
  <c r="R35" i="2" s="1"/>
  <c r="S35" i="2" a="1"/>
  <c r="S35" i="2" s="1"/>
  <c r="T35" i="2" a="1"/>
  <c r="T35" i="2" s="1"/>
  <c r="U35" i="2" a="1"/>
  <c r="U35" i="2" s="1"/>
  <c r="V35" i="2" a="1"/>
  <c r="V35" i="2" s="1"/>
  <c r="W35" i="2" a="1"/>
  <c r="W35" i="2" s="1"/>
  <c r="X35" i="2" a="1"/>
  <c r="X35" i="2" s="1"/>
  <c r="Y35" i="2" a="1"/>
  <c r="Y35" i="2" s="1"/>
  <c r="Z35" i="2" a="1"/>
  <c r="Z35" i="2" s="1"/>
  <c r="AA35" i="2" a="1"/>
  <c r="AA35" i="2" s="1"/>
  <c r="AB35" i="2" a="1"/>
  <c r="AB35" i="2" s="1"/>
  <c r="AC35" i="2" a="1"/>
  <c r="AC35" i="2" s="1"/>
  <c r="AD35" i="2" a="1"/>
  <c r="AD35" i="2" s="1"/>
  <c r="AE35" i="2" a="1"/>
  <c r="AE35" i="2" s="1"/>
  <c r="AF35" i="2" a="1"/>
  <c r="AF35" i="2" s="1"/>
  <c r="AG35" i="2" a="1"/>
  <c r="AG35" i="2" s="1"/>
  <c r="AH35" i="2" a="1"/>
  <c r="AH35" i="2" s="1"/>
  <c r="AI35" i="2" a="1"/>
  <c r="AI35" i="2" s="1"/>
  <c r="AJ35" i="2" a="1"/>
  <c r="AJ35" i="2" s="1"/>
  <c r="C36" i="2" a="1"/>
  <c r="C36" i="2" s="1"/>
  <c r="D36" i="2" a="1"/>
  <c r="D36" i="2" s="1"/>
  <c r="E36" i="2" a="1"/>
  <c r="E36" i="2" s="1"/>
  <c r="F36" i="2" a="1"/>
  <c r="F36" i="2" s="1"/>
  <c r="G36" i="2" a="1"/>
  <c r="G36" i="2" s="1"/>
  <c r="H36" i="2" a="1"/>
  <c r="H36" i="2" s="1"/>
  <c r="I36" i="2" a="1"/>
  <c r="I36" i="2" s="1"/>
  <c r="J36" i="2" a="1"/>
  <c r="J36" i="2" s="1"/>
  <c r="K36" i="2" a="1"/>
  <c r="K36" i="2" s="1"/>
  <c r="L36" i="2" a="1"/>
  <c r="L36" i="2" s="1"/>
  <c r="M36" i="2" a="1"/>
  <c r="M36" i="2" s="1"/>
  <c r="N36" i="2" a="1"/>
  <c r="N36" i="2" s="1"/>
  <c r="O36" i="2" a="1"/>
  <c r="O36" i="2" s="1"/>
  <c r="P36" i="2" a="1"/>
  <c r="P36" i="2" s="1"/>
  <c r="Q36" i="2" a="1"/>
  <c r="Q36" i="2" s="1"/>
  <c r="R36" i="2" a="1"/>
  <c r="R36" i="2" s="1"/>
  <c r="S36" i="2" a="1"/>
  <c r="S36" i="2" s="1"/>
  <c r="T36" i="2" a="1"/>
  <c r="T36" i="2" s="1"/>
  <c r="U36" i="2" a="1"/>
  <c r="U36" i="2" s="1"/>
  <c r="V36" i="2" a="1"/>
  <c r="V36" i="2" s="1"/>
  <c r="W36" i="2" a="1"/>
  <c r="W36" i="2" s="1"/>
  <c r="X36" i="2" a="1"/>
  <c r="X36" i="2" s="1"/>
  <c r="Y36" i="2" a="1"/>
  <c r="Y36" i="2" s="1"/>
  <c r="Z36" i="2" a="1"/>
  <c r="Z36" i="2" s="1"/>
  <c r="AA36" i="2" a="1"/>
  <c r="AA36" i="2" s="1"/>
  <c r="AB36" i="2" a="1"/>
  <c r="AB36" i="2" s="1"/>
  <c r="AC36" i="2" a="1"/>
  <c r="AC36" i="2" s="1"/>
  <c r="AD36" i="2" a="1"/>
  <c r="AD36" i="2" s="1"/>
  <c r="AE36" i="2" a="1"/>
  <c r="AE36" i="2" s="1"/>
  <c r="AF36" i="2" a="1"/>
  <c r="AF36" i="2" s="1"/>
  <c r="AG36" i="2" a="1"/>
  <c r="AG36" i="2" s="1"/>
  <c r="AH36" i="2" a="1"/>
  <c r="AH36" i="2" s="1"/>
  <c r="AI36" i="2" a="1"/>
  <c r="AI36" i="2" s="1"/>
  <c r="AJ36" i="2" a="1"/>
  <c r="AJ36" i="2" s="1"/>
  <c r="C37" i="2" a="1"/>
  <c r="C37" i="2" s="1"/>
  <c r="D37" i="2" a="1"/>
  <c r="D37" i="2" s="1"/>
  <c r="E37" i="2" a="1"/>
  <c r="E37" i="2" s="1"/>
  <c r="F37" i="2" a="1"/>
  <c r="F37" i="2" s="1"/>
  <c r="G37" i="2" a="1"/>
  <c r="G37" i="2" s="1"/>
  <c r="H37" i="2" a="1"/>
  <c r="H37" i="2" s="1"/>
  <c r="I37" i="2" a="1"/>
  <c r="I37" i="2" s="1"/>
  <c r="J37" i="2" a="1"/>
  <c r="J37" i="2" s="1"/>
  <c r="K37" i="2" a="1"/>
  <c r="K37" i="2" s="1"/>
  <c r="L37" i="2" a="1"/>
  <c r="L37" i="2" s="1"/>
  <c r="M37" i="2" a="1"/>
  <c r="M37" i="2" s="1"/>
  <c r="N37" i="2" a="1"/>
  <c r="N37" i="2" s="1"/>
  <c r="O37" i="2" a="1"/>
  <c r="O37" i="2" s="1"/>
  <c r="P37" i="2" a="1"/>
  <c r="P37" i="2" s="1"/>
  <c r="Q37" i="2" a="1"/>
  <c r="Q37" i="2" s="1"/>
  <c r="R37" i="2" a="1"/>
  <c r="R37" i="2" s="1"/>
  <c r="S37" i="2" a="1"/>
  <c r="S37" i="2" s="1"/>
  <c r="T37" i="2" a="1"/>
  <c r="T37" i="2" s="1"/>
  <c r="U37" i="2" a="1"/>
  <c r="U37" i="2" s="1"/>
  <c r="V37" i="2" a="1"/>
  <c r="V37" i="2" s="1"/>
  <c r="W37" i="2" a="1"/>
  <c r="W37" i="2" s="1"/>
  <c r="X37" i="2" a="1"/>
  <c r="X37" i="2" s="1"/>
  <c r="Y37" i="2" a="1"/>
  <c r="Y37" i="2" s="1"/>
  <c r="Z37" i="2" a="1"/>
  <c r="Z37" i="2" s="1"/>
  <c r="AA37" i="2" a="1"/>
  <c r="AA37" i="2" s="1"/>
  <c r="AB37" i="2" a="1"/>
  <c r="AB37" i="2" s="1"/>
  <c r="AC37" i="2" a="1"/>
  <c r="AC37" i="2" s="1"/>
  <c r="AD37" i="2" a="1"/>
  <c r="AD37" i="2" s="1"/>
  <c r="AE37" i="2" a="1"/>
  <c r="AE37" i="2" s="1"/>
  <c r="AF37" i="2" a="1"/>
  <c r="AF37" i="2" s="1"/>
  <c r="AG37" i="2" a="1"/>
  <c r="AG37" i="2" s="1"/>
  <c r="AH37" i="2" a="1"/>
  <c r="AH37" i="2" s="1"/>
  <c r="AI37" i="2" a="1"/>
  <c r="AI37" i="2" s="1"/>
  <c r="AJ37" i="2" a="1"/>
  <c r="AJ37" i="2" s="1"/>
  <c r="AG26" i="2" a="1"/>
  <c r="AG26" i="2" s="1"/>
  <c r="AH26" i="2" a="1"/>
  <c r="AH26" i="2" s="1"/>
  <c r="AI26" i="2" a="1"/>
  <c r="AI26" i="2" s="1"/>
  <c r="AJ26" i="2" a="1"/>
  <c r="AJ26" i="2" s="1"/>
  <c r="DS292" i="1"/>
  <c r="DS293" i="1"/>
  <c r="DS294" i="1"/>
  <c r="DR294" i="1"/>
  <c r="DS291" i="1"/>
  <c r="BF47" i="1"/>
  <c r="BG47" i="1"/>
  <c r="BF48" i="1"/>
  <c r="BG48" i="1"/>
  <c r="BF49" i="1"/>
  <c r="BG49" i="1"/>
  <c r="BF50" i="1"/>
  <c r="BG50" i="1"/>
  <c r="BF51" i="1"/>
  <c r="BG51" i="1"/>
  <c r="BF52" i="1"/>
  <c r="BG52" i="1"/>
  <c r="BF53" i="1"/>
  <c r="BG53" i="1"/>
  <c r="BF54" i="1"/>
  <c r="BG54" i="1"/>
  <c r="BF55" i="1"/>
  <c r="BG55" i="1"/>
  <c r="BF56" i="1"/>
  <c r="BG56" i="1"/>
  <c r="BF57" i="1"/>
  <c r="BG57" i="1"/>
  <c r="BF58" i="1"/>
  <c r="BG58" i="1"/>
  <c r="BF59" i="1"/>
  <c r="BG59" i="1"/>
  <c r="BF60" i="1"/>
  <c r="BG60" i="1"/>
  <c r="BF61" i="1"/>
  <c r="BG61" i="1"/>
  <c r="BF62" i="1"/>
  <c r="BG62" i="1"/>
  <c r="BF63" i="1"/>
  <c r="BG63" i="1"/>
  <c r="BF64" i="1"/>
  <c r="BG64" i="1"/>
  <c r="BF65" i="1"/>
  <c r="BG65" i="1"/>
  <c r="BF66" i="1"/>
  <c r="BG66" i="1"/>
  <c r="BF67" i="1"/>
  <c r="BG67" i="1"/>
  <c r="BF68" i="1"/>
  <c r="BG68" i="1"/>
  <c r="BF69" i="1"/>
  <c r="BG69" i="1"/>
  <c r="BF70" i="1"/>
  <c r="BG70" i="1"/>
  <c r="BF71" i="1"/>
  <c r="BG71" i="1"/>
  <c r="BF72" i="1"/>
  <c r="BG72" i="1"/>
  <c r="BF73" i="1"/>
  <c r="BG73" i="1"/>
  <c r="BF74" i="1"/>
  <c r="BG74" i="1"/>
  <c r="BF75" i="1"/>
  <c r="BG75" i="1"/>
  <c r="BF76" i="1"/>
  <c r="BG76" i="1"/>
  <c r="BF77" i="1"/>
  <c r="BG77" i="1"/>
  <c r="BF78" i="1"/>
  <c r="BG78" i="1"/>
  <c r="BF79" i="1"/>
  <c r="BG79" i="1"/>
  <c r="BF80" i="1"/>
  <c r="BG80" i="1"/>
  <c r="BF81" i="1"/>
  <c r="BG81" i="1"/>
  <c r="BF82" i="1"/>
  <c r="BG82" i="1"/>
  <c r="BF83" i="1"/>
  <c r="BG83" i="1"/>
  <c r="BF84" i="1"/>
  <c r="BG84" i="1"/>
  <c r="BF85" i="1"/>
  <c r="BG85" i="1"/>
  <c r="BF86" i="1"/>
  <c r="BG86" i="1"/>
  <c r="BF87" i="1"/>
  <c r="BG87" i="1"/>
  <c r="BF88" i="1"/>
  <c r="BG88" i="1"/>
  <c r="BF89" i="1"/>
  <c r="BG89" i="1"/>
  <c r="BF90" i="1"/>
  <c r="BG90" i="1"/>
  <c r="BF91" i="1"/>
  <c r="BG91" i="1"/>
  <c r="BF92" i="1"/>
  <c r="BG92" i="1"/>
  <c r="BF93" i="1"/>
  <c r="BG93" i="1"/>
  <c r="BF94" i="1"/>
  <c r="BG94" i="1"/>
  <c r="BF95" i="1"/>
  <c r="BG95" i="1"/>
  <c r="BF96" i="1"/>
  <c r="BG96" i="1"/>
  <c r="BF97" i="1"/>
  <c r="BG97" i="1"/>
  <c r="BF98" i="1"/>
  <c r="BG98" i="1"/>
  <c r="BF99" i="1"/>
  <c r="BG99" i="1"/>
  <c r="BF100" i="1"/>
  <c r="BG100" i="1"/>
  <c r="BF101" i="1"/>
  <c r="BG101" i="1"/>
  <c r="BF102" i="1"/>
  <c r="BG102" i="1"/>
  <c r="BF103" i="1"/>
  <c r="BG103" i="1"/>
  <c r="BF104" i="1"/>
  <c r="BG104" i="1"/>
  <c r="BF105" i="1"/>
  <c r="BG105" i="1"/>
  <c r="BF106" i="1"/>
  <c r="BG106" i="1"/>
  <c r="BF107" i="1"/>
  <c r="BG107" i="1"/>
  <c r="BF108" i="1"/>
  <c r="BG108" i="1"/>
  <c r="BF109" i="1"/>
  <c r="BG109" i="1"/>
  <c r="BF110" i="1"/>
  <c r="BG110" i="1"/>
  <c r="BF111" i="1"/>
  <c r="BG111" i="1"/>
  <c r="BF112" i="1"/>
  <c r="BG112" i="1"/>
  <c r="BF113" i="1"/>
  <c r="BG113" i="1"/>
  <c r="BF114" i="1"/>
  <c r="BG114" i="1"/>
  <c r="BF115" i="1"/>
  <c r="BG115" i="1"/>
  <c r="BF116" i="1"/>
  <c r="BG116" i="1"/>
  <c r="BF117" i="1"/>
  <c r="BG117" i="1"/>
  <c r="BF118" i="1"/>
  <c r="BG118" i="1"/>
  <c r="BF119" i="1"/>
  <c r="BG119" i="1"/>
  <c r="BF120" i="1"/>
  <c r="BG120" i="1"/>
  <c r="BF121" i="1"/>
  <c r="BG121" i="1"/>
  <c r="BF122" i="1"/>
  <c r="BG122" i="1"/>
  <c r="BF123" i="1"/>
  <c r="BG123" i="1"/>
  <c r="BF124" i="1"/>
  <c r="BG124" i="1"/>
  <c r="BF125" i="1"/>
  <c r="BG125" i="1"/>
  <c r="BF126" i="1"/>
  <c r="BG126" i="1"/>
  <c r="BF127" i="1"/>
  <c r="BG127" i="1"/>
  <c r="BF128" i="1"/>
  <c r="BG128" i="1"/>
  <c r="BF129" i="1"/>
  <c r="BG129" i="1"/>
  <c r="BF130" i="1"/>
  <c r="BG130" i="1"/>
  <c r="BF131" i="1"/>
  <c r="BG131" i="1"/>
  <c r="BF132" i="1"/>
  <c r="BG132" i="1"/>
  <c r="BF133" i="1"/>
  <c r="BG133" i="1"/>
  <c r="BF134" i="1"/>
  <c r="BG134" i="1"/>
  <c r="BF135" i="1"/>
  <c r="BG135" i="1"/>
  <c r="BF136" i="1"/>
  <c r="BG136" i="1"/>
  <c r="BF137" i="1"/>
  <c r="BG137" i="1"/>
  <c r="BF138" i="1"/>
  <c r="BG138" i="1"/>
  <c r="BF139" i="1"/>
  <c r="BG139" i="1"/>
  <c r="BF140" i="1"/>
  <c r="BG140" i="1"/>
  <c r="BF141" i="1"/>
  <c r="BG141" i="1"/>
  <c r="BF142" i="1"/>
  <c r="BG142" i="1"/>
  <c r="BF143" i="1"/>
  <c r="BG143" i="1"/>
  <c r="BF144" i="1"/>
  <c r="BG144" i="1"/>
  <c r="BF145" i="1"/>
  <c r="BG145" i="1"/>
  <c r="BF146" i="1"/>
  <c r="BG146" i="1"/>
  <c r="BF147" i="1"/>
  <c r="BG147" i="1"/>
  <c r="BF148" i="1"/>
  <c r="BG148" i="1"/>
  <c r="BF149" i="1"/>
  <c r="BG149" i="1"/>
  <c r="BF150" i="1"/>
  <c r="BG150" i="1"/>
  <c r="BF151" i="1"/>
  <c r="BG151" i="1"/>
  <c r="BF152" i="1"/>
  <c r="BG152" i="1"/>
  <c r="BF153" i="1"/>
  <c r="BG153" i="1"/>
  <c r="BF154" i="1"/>
  <c r="BG154" i="1"/>
  <c r="BF155" i="1"/>
  <c r="BG155" i="1"/>
  <c r="BF156" i="1"/>
  <c r="BG156" i="1"/>
  <c r="BF157" i="1"/>
  <c r="BG157" i="1"/>
  <c r="BF158" i="1"/>
  <c r="BG158" i="1"/>
  <c r="BF159" i="1"/>
  <c r="BG159" i="1"/>
  <c r="BF160" i="1"/>
  <c r="BG160" i="1"/>
  <c r="BF161" i="1"/>
  <c r="BG161" i="1"/>
  <c r="BF162" i="1"/>
  <c r="BG162" i="1"/>
  <c r="BF163" i="1"/>
  <c r="BG163" i="1"/>
  <c r="BF164" i="1"/>
  <c r="BG164" i="1"/>
  <c r="BF165" i="1"/>
  <c r="BG165" i="1"/>
  <c r="BF166" i="1"/>
  <c r="BG166" i="1"/>
  <c r="BF167" i="1"/>
  <c r="BG167" i="1"/>
  <c r="BF168" i="1"/>
  <c r="BG168" i="1"/>
  <c r="BF169" i="1"/>
  <c r="BG169" i="1"/>
  <c r="BF170" i="1"/>
  <c r="BG170" i="1"/>
  <c r="BF171" i="1"/>
  <c r="BG171" i="1"/>
  <c r="BF172" i="1"/>
  <c r="BG172" i="1"/>
  <c r="BF173" i="1"/>
  <c r="BG173" i="1"/>
  <c r="BF174" i="1"/>
  <c r="BG174" i="1"/>
  <c r="BF175" i="1"/>
  <c r="BG175" i="1"/>
  <c r="BF176" i="1"/>
  <c r="BG176" i="1"/>
  <c r="BF177" i="1"/>
  <c r="BG177" i="1"/>
  <c r="BF178" i="1"/>
  <c r="BG178" i="1"/>
  <c r="BF179" i="1"/>
  <c r="BG179" i="1"/>
  <c r="BF180" i="1"/>
  <c r="BG180" i="1"/>
  <c r="BF181" i="1"/>
  <c r="BG181" i="1"/>
  <c r="BF182" i="1"/>
  <c r="BG182" i="1"/>
  <c r="BF183" i="1"/>
  <c r="BG183" i="1"/>
  <c r="BF184" i="1"/>
  <c r="BG184" i="1"/>
  <c r="BF185" i="1"/>
  <c r="BG185" i="1"/>
  <c r="BF186" i="1"/>
  <c r="BG186" i="1"/>
  <c r="BF187" i="1"/>
  <c r="BG187" i="1"/>
  <c r="BF188" i="1"/>
  <c r="BG188" i="1"/>
  <c r="BF189" i="1"/>
  <c r="BG189" i="1"/>
  <c r="BF190" i="1"/>
  <c r="BG190" i="1"/>
  <c r="BF191" i="1"/>
  <c r="BG191" i="1"/>
  <c r="BF192" i="1"/>
  <c r="BG192" i="1"/>
  <c r="BF193" i="1"/>
  <c r="BG193" i="1"/>
  <c r="BF194" i="1"/>
  <c r="BG194" i="1"/>
  <c r="BF195" i="1"/>
  <c r="BG195" i="1"/>
  <c r="BF196" i="1"/>
  <c r="BG196" i="1"/>
  <c r="BF197" i="1"/>
  <c r="BG197" i="1"/>
  <c r="BF198" i="1"/>
  <c r="BG198" i="1"/>
  <c r="BF199" i="1"/>
  <c r="BG199" i="1"/>
  <c r="BF200" i="1"/>
  <c r="BG200" i="1"/>
  <c r="BF201" i="1"/>
  <c r="BG201" i="1"/>
  <c r="BF202" i="1"/>
  <c r="BG202" i="1"/>
  <c r="BF203" i="1"/>
  <c r="BG203" i="1"/>
  <c r="BF204" i="1"/>
  <c r="BG204" i="1"/>
  <c r="BF205" i="1"/>
  <c r="BG205" i="1"/>
  <c r="BF206" i="1"/>
  <c r="BG206" i="1"/>
  <c r="BF207" i="1"/>
  <c r="BG207" i="1"/>
  <c r="BF208" i="1"/>
  <c r="BG208" i="1"/>
  <c r="BF209" i="1"/>
  <c r="BG209" i="1"/>
  <c r="BF210" i="1"/>
  <c r="BG210" i="1"/>
  <c r="BF211" i="1"/>
  <c r="BG211" i="1"/>
  <c r="BF212" i="1"/>
  <c r="BG212" i="1"/>
  <c r="BF213" i="1"/>
  <c r="BG213" i="1"/>
  <c r="BF214" i="1"/>
  <c r="BG214" i="1"/>
  <c r="BF215" i="1"/>
  <c r="BG215" i="1"/>
  <c r="BF216" i="1"/>
  <c r="BG216" i="1"/>
  <c r="BF217" i="1"/>
  <c r="BG217" i="1"/>
  <c r="BF218" i="1"/>
  <c r="BG218" i="1"/>
  <c r="BF219" i="1"/>
  <c r="BG219" i="1"/>
  <c r="BF220" i="1"/>
  <c r="BG220" i="1"/>
  <c r="BF221" i="1"/>
  <c r="BG221" i="1"/>
  <c r="BF222" i="1"/>
  <c r="BG222" i="1"/>
  <c r="BF223" i="1"/>
  <c r="BG223" i="1"/>
  <c r="BF224" i="1"/>
  <c r="BG224" i="1"/>
  <c r="BF225" i="1"/>
  <c r="BG225" i="1"/>
  <c r="BF226" i="1"/>
  <c r="BG226" i="1"/>
  <c r="BF227" i="1"/>
  <c r="BG227" i="1"/>
  <c r="BF228" i="1"/>
  <c r="BG228" i="1"/>
  <c r="BF229" i="1"/>
  <c r="BG229" i="1"/>
  <c r="BF230" i="1"/>
  <c r="BG230" i="1"/>
  <c r="BF231" i="1"/>
  <c r="BG231" i="1"/>
  <c r="BF232" i="1"/>
  <c r="BG232" i="1"/>
  <c r="BF233" i="1"/>
  <c r="BG233" i="1"/>
  <c r="BF234" i="1"/>
  <c r="BG234" i="1"/>
  <c r="BF235" i="1"/>
  <c r="BG235" i="1"/>
  <c r="BF236" i="1"/>
  <c r="BG236" i="1"/>
  <c r="BF237" i="1"/>
  <c r="BG237" i="1"/>
  <c r="BF238" i="1"/>
  <c r="BG238" i="1"/>
  <c r="BF239" i="1"/>
  <c r="BG239" i="1"/>
  <c r="BF240" i="1"/>
  <c r="BG240" i="1"/>
  <c r="BF241" i="1"/>
  <c r="BG241" i="1"/>
  <c r="BF242" i="1"/>
  <c r="BG242" i="1"/>
  <c r="BF243" i="1"/>
  <c r="BG243" i="1"/>
  <c r="BF244" i="1"/>
  <c r="BG244" i="1"/>
  <c r="BF245" i="1"/>
  <c r="BG245" i="1"/>
  <c r="BF246" i="1"/>
  <c r="BG246" i="1"/>
  <c r="BF247" i="1"/>
  <c r="BG247" i="1"/>
  <c r="BF248" i="1"/>
  <c r="BG248" i="1"/>
  <c r="BF249" i="1"/>
  <c r="BG249" i="1"/>
  <c r="BF250" i="1"/>
  <c r="BG250" i="1"/>
  <c r="BF251" i="1"/>
  <c r="BG251" i="1"/>
  <c r="BF252" i="1"/>
  <c r="BG252" i="1"/>
  <c r="BF253" i="1"/>
  <c r="BG253" i="1"/>
  <c r="BF254" i="1"/>
  <c r="BG254" i="1"/>
  <c r="BF255" i="1"/>
  <c r="BG255" i="1"/>
  <c r="BF256" i="1"/>
  <c r="BG256" i="1"/>
  <c r="BF257" i="1"/>
  <c r="BG257" i="1"/>
  <c r="BF258" i="1"/>
  <c r="BG258" i="1"/>
  <c r="BF259" i="1"/>
  <c r="BG259" i="1"/>
  <c r="BF260" i="1"/>
  <c r="BG260" i="1"/>
  <c r="BF261" i="1"/>
  <c r="BG261" i="1"/>
  <c r="BF262" i="1"/>
  <c r="BG262" i="1"/>
  <c r="BF263" i="1"/>
  <c r="BG263" i="1"/>
  <c r="BF264" i="1"/>
  <c r="BG264" i="1"/>
  <c r="BF265" i="1"/>
  <c r="BG265" i="1"/>
  <c r="BF266" i="1"/>
  <c r="BG266" i="1"/>
  <c r="BF267" i="1"/>
  <c r="BG267" i="1"/>
  <c r="BF268" i="1"/>
  <c r="BG268" i="1"/>
  <c r="BF269" i="1"/>
  <c r="BG269" i="1"/>
  <c r="BF270" i="1"/>
  <c r="BG270" i="1"/>
  <c r="BF271" i="1"/>
  <c r="BG271" i="1"/>
  <c r="BF272" i="1"/>
  <c r="BG272" i="1"/>
  <c r="BF273" i="1"/>
  <c r="BG273" i="1"/>
  <c r="BF274" i="1"/>
  <c r="BG274" i="1"/>
  <c r="BF275" i="1"/>
  <c r="BG275" i="1"/>
  <c r="BF276" i="1"/>
  <c r="BG276" i="1"/>
  <c r="BF277" i="1"/>
  <c r="BG277" i="1"/>
  <c r="BF278" i="1"/>
  <c r="BG278" i="1"/>
  <c r="BF279" i="1"/>
  <c r="BG279" i="1"/>
  <c r="BF280" i="1"/>
  <c r="BG280" i="1"/>
  <c r="BF281" i="1"/>
  <c r="BG281" i="1"/>
  <c r="BF282" i="1"/>
  <c r="BG282" i="1"/>
  <c r="BF283" i="1"/>
  <c r="BG283" i="1"/>
  <c r="BF284" i="1"/>
  <c r="BG284" i="1"/>
  <c r="BF285" i="1"/>
  <c r="BG285" i="1"/>
  <c r="BF286" i="1"/>
  <c r="BG286" i="1"/>
  <c r="BF287" i="1"/>
  <c r="BG287" i="1"/>
  <c r="BF288" i="1"/>
  <c r="BG288" i="1"/>
  <c r="BF289" i="1"/>
  <c r="BG289" i="1"/>
  <c r="BF290" i="1"/>
  <c r="BG290" i="1"/>
  <c r="BF291" i="1"/>
  <c r="BG291" i="1"/>
  <c r="BF292" i="1"/>
  <c r="BG292" i="1"/>
  <c r="BF293" i="1"/>
  <c r="BG293" i="1"/>
  <c r="BF294" i="1"/>
  <c r="BG294" i="1"/>
  <c r="BF295" i="1"/>
  <c r="BG295" i="1"/>
  <c r="BF296" i="1"/>
  <c r="BG296" i="1"/>
  <c r="BF297" i="1"/>
  <c r="BG297" i="1"/>
  <c r="BF298" i="1"/>
  <c r="BG298" i="1"/>
  <c r="BF299" i="1"/>
  <c r="BG299" i="1"/>
  <c r="BF300" i="1"/>
  <c r="BG300" i="1"/>
  <c r="BF301" i="1"/>
  <c r="BG301" i="1"/>
  <c r="BF302" i="1"/>
  <c r="BG302" i="1"/>
  <c r="BF303" i="1"/>
  <c r="BG303" i="1"/>
  <c r="BF304" i="1"/>
  <c r="BG304" i="1"/>
  <c r="BF305" i="1"/>
  <c r="BG305" i="1"/>
  <c r="BF306" i="1"/>
  <c r="BG306" i="1"/>
  <c r="BF307" i="1"/>
  <c r="BG307" i="1"/>
  <c r="BF308" i="1"/>
  <c r="BG308" i="1"/>
  <c r="BF309" i="1"/>
  <c r="BG309" i="1"/>
  <c r="BF310" i="1"/>
  <c r="BG310" i="1"/>
  <c r="BF311" i="1"/>
  <c r="BG311" i="1"/>
  <c r="BF312" i="1"/>
  <c r="BG312" i="1"/>
  <c r="BF313" i="1"/>
  <c r="BG313" i="1"/>
  <c r="BF314" i="1"/>
  <c r="BG314" i="1"/>
  <c r="BF315" i="1"/>
  <c r="BG315" i="1"/>
  <c r="BF316" i="1"/>
  <c r="BG316" i="1"/>
  <c r="BF317" i="1"/>
  <c r="BG317" i="1"/>
  <c r="BF318" i="1"/>
  <c r="BG318" i="1"/>
  <c r="BF319" i="1"/>
  <c r="BG319" i="1"/>
  <c r="BF320" i="1"/>
  <c r="BG320" i="1"/>
  <c r="BF321" i="1"/>
  <c r="BG321" i="1"/>
  <c r="BF322" i="1"/>
  <c r="BG322" i="1"/>
  <c r="BF323" i="1"/>
  <c r="BG323" i="1"/>
  <c r="BF324" i="1"/>
  <c r="BG324" i="1"/>
  <c r="BF325" i="1"/>
  <c r="BG325" i="1"/>
  <c r="BF326" i="1"/>
  <c r="BG326" i="1"/>
  <c r="BF327" i="1"/>
  <c r="BG327" i="1"/>
  <c r="BF328" i="1"/>
  <c r="BG328" i="1"/>
  <c r="BF329" i="1"/>
  <c r="BG329" i="1"/>
  <c r="BF330" i="1"/>
  <c r="BG330" i="1"/>
  <c r="BF331" i="1"/>
  <c r="BG331" i="1"/>
  <c r="BF332" i="1"/>
  <c r="BG332" i="1"/>
  <c r="BF333" i="1"/>
  <c r="BG333" i="1"/>
  <c r="BF334" i="1"/>
  <c r="BG334" i="1"/>
  <c r="BF335" i="1"/>
  <c r="BG335" i="1"/>
  <c r="BF336" i="1"/>
  <c r="BG336" i="1"/>
  <c r="BF337" i="1"/>
  <c r="BG337" i="1"/>
  <c r="BF338" i="1"/>
  <c r="BG338" i="1"/>
  <c r="BF339" i="1"/>
  <c r="BG339" i="1"/>
  <c r="BF340" i="1"/>
  <c r="BG340" i="1"/>
  <c r="BF341" i="1"/>
  <c r="BG341" i="1"/>
  <c r="BF342" i="1"/>
  <c r="BG342" i="1"/>
  <c r="BF343" i="1"/>
  <c r="BG343" i="1"/>
  <c r="BF344" i="1"/>
  <c r="BG344" i="1"/>
  <c r="BF345" i="1"/>
  <c r="BG345" i="1"/>
  <c r="BF346" i="1"/>
  <c r="BG346" i="1"/>
  <c r="BF347" i="1"/>
  <c r="BG347" i="1"/>
  <c r="BF348" i="1"/>
  <c r="BG348" i="1"/>
  <c r="BF349" i="1"/>
  <c r="BG349" i="1"/>
  <c r="BF350" i="1"/>
  <c r="BG350" i="1"/>
  <c r="BF351" i="1"/>
  <c r="BG351" i="1"/>
  <c r="BF352" i="1"/>
  <c r="BG352" i="1"/>
  <c r="BF353" i="1"/>
  <c r="BG353" i="1"/>
  <c r="BF354" i="1"/>
  <c r="BG354" i="1"/>
  <c r="BF355" i="1"/>
  <c r="BG355" i="1"/>
  <c r="BF356" i="1"/>
  <c r="BG356" i="1"/>
  <c r="BF357" i="1"/>
  <c r="BG357" i="1"/>
  <c r="BF358" i="1"/>
  <c r="BG358" i="1"/>
  <c r="BF359" i="1"/>
  <c r="BG359" i="1"/>
  <c r="BF360" i="1"/>
  <c r="BG360" i="1"/>
  <c r="BF361" i="1"/>
  <c r="BG361" i="1"/>
  <c r="BF362" i="1"/>
  <c r="BG362" i="1"/>
  <c r="BF363" i="1"/>
  <c r="BG363" i="1"/>
  <c r="BF364" i="1"/>
  <c r="BG364" i="1"/>
  <c r="BF365" i="1"/>
  <c r="BG365" i="1"/>
  <c r="BF366" i="1"/>
  <c r="BG366" i="1"/>
  <c r="BF367" i="1"/>
  <c r="BG367" i="1"/>
  <c r="BF368" i="1"/>
  <c r="BG368" i="1"/>
  <c r="BF369" i="1"/>
  <c r="BG369" i="1"/>
  <c r="BF370" i="1"/>
  <c r="BG370" i="1"/>
  <c r="BF371" i="1"/>
  <c r="BG371" i="1"/>
  <c r="BF372" i="1"/>
  <c r="BG372" i="1"/>
  <c r="BF373" i="1"/>
  <c r="BG373" i="1"/>
  <c r="BF374" i="1"/>
  <c r="BG374" i="1"/>
  <c r="BF375" i="1"/>
  <c r="BG375" i="1"/>
  <c r="BF376" i="1"/>
  <c r="BG376" i="1"/>
  <c r="BF377" i="1"/>
  <c r="BG377" i="1"/>
  <c r="BF378" i="1"/>
  <c r="BG378" i="1"/>
  <c r="BF379" i="1"/>
  <c r="BG379" i="1"/>
  <c r="BF380" i="1"/>
  <c r="BG380" i="1"/>
  <c r="BF381" i="1"/>
  <c r="BG381" i="1"/>
  <c r="BF382" i="1"/>
  <c r="BG382" i="1"/>
  <c r="BF383" i="1"/>
  <c r="BG383" i="1"/>
  <c r="BF384" i="1"/>
  <c r="BG384" i="1"/>
  <c r="BF385" i="1"/>
  <c r="BG385" i="1"/>
  <c r="BF386" i="1"/>
  <c r="BG386" i="1"/>
  <c r="BF387" i="1"/>
  <c r="BG387" i="1"/>
  <c r="BF388" i="1"/>
  <c r="BG388" i="1"/>
  <c r="BF389" i="1"/>
  <c r="BG389" i="1"/>
  <c r="BF390" i="1"/>
  <c r="BG390" i="1"/>
  <c r="BF391" i="1"/>
  <c r="BG391" i="1"/>
  <c r="BF392" i="1"/>
  <c r="BG392" i="1"/>
  <c r="BF393" i="1"/>
  <c r="BG393" i="1"/>
  <c r="BF394" i="1"/>
  <c r="BG394" i="1"/>
  <c r="BF395" i="1"/>
  <c r="BG395" i="1"/>
  <c r="BF396" i="1"/>
  <c r="BG396" i="1"/>
  <c r="BF397" i="1"/>
  <c r="BG397" i="1"/>
  <c r="BF398" i="1"/>
  <c r="BG398" i="1"/>
  <c r="BF399" i="1"/>
  <c r="BG399" i="1"/>
  <c r="BF400" i="1"/>
  <c r="BG400" i="1"/>
  <c r="BF401" i="1"/>
  <c r="BG401" i="1"/>
  <c r="BF402" i="1"/>
  <c r="BG402" i="1"/>
  <c r="BF403" i="1"/>
  <c r="BG403" i="1"/>
  <c r="BF404" i="1"/>
  <c r="BG404" i="1"/>
  <c r="BF405" i="1"/>
  <c r="BG405" i="1"/>
  <c r="BF406" i="1"/>
  <c r="BG406" i="1"/>
  <c r="BF407" i="1"/>
  <c r="BG407" i="1"/>
  <c r="BF408" i="1"/>
  <c r="BG408" i="1"/>
  <c r="BF409" i="1"/>
  <c r="BG409" i="1"/>
  <c r="BF410" i="1"/>
  <c r="BG410" i="1"/>
  <c r="BF411" i="1"/>
  <c r="BG411" i="1"/>
  <c r="BF412" i="1"/>
  <c r="BG412" i="1"/>
  <c r="BF413" i="1"/>
  <c r="BG413" i="1"/>
  <c r="BF414" i="1"/>
  <c r="BG414" i="1"/>
  <c r="BF415" i="1"/>
  <c r="BG415" i="1"/>
  <c r="BF416" i="1"/>
  <c r="BG416" i="1"/>
  <c r="BF417" i="1"/>
  <c r="BG417" i="1"/>
  <c r="BF418" i="1"/>
  <c r="BG418" i="1"/>
  <c r="BF419" i="1"/>
  <c r="BG419" i="1"/>
  <c r="BF420" i="1"/>
  <c r="BG420" i="1"/>
  <c r="BF421" i="1"/>
  <c r="BG421" i="1"/>
  <c r="BF422" i="1"/>
  <c r="BG422" i="1"/>
  <c r="BF423" i="1"/>
  <c r="BG423" i="1"/>
  <c r="BF424" i="1"/>
  <c r="BG424" i="1"/>
  <c r="BF425" i="1"/>
  <c r="BG425" i="1"/>
  <c r="BF426" i="1"/>
  <c r="BG426" i="1"/>
  <c r="BF427" i="1"/>
  <c r="BG427" i="1"/>
  <c r="BF428" i="1"/>
  <c r="BG428" i="1"/>
  <c r="BF429" i="1"/>
  <c r="BG429" i="1"/>
  <c r="BF430" i="1"/>
  <c r="BG430" i="1"/>
  <c r="BF431" i="1"/>
  <c r="BG431" i="1"/>
  <c r="BF432" i="1"/>
  <c r="BG432" i="1"/>
  <c r="BF433" i="1"/>
  <c r="BG433" i="1"/>
  <c r="BF434" i="1"/>
  <c r="BG434" i="1"/>
  <c r="BF435" i="1"/>
  <c r="BG435" i="1"/>
  <c r="BF436" i="1"/>
  <c r="BG436" i="1"/>
  <c r="BF437" i="1"/>
  <c r="BG437" i="1"/>
  <c r="BF438" i="1"/>
  <c r="BG438" i="1"/>
  <c r="BF439" i="1"/>
  <c r="BG439" i="1"/>
  <c r="BF440" i="1"/>
  <c r="BG440" i="1"/>
  <c r="BF441" i="1"/>
  <c r="BG441" i="1"/>
  <c r="BF442" i="1"/>
  <c r="BG442" i="1"/>
  <c r="BF443" i="1"/>
  <c r="BG443" i="1"/>
  <c r="BF444" i="1"/>
  <c r="BG444" i="1"/>
  <c r="BF445" i="1"/>
  <c r="BG445" i="1"/>
  <c r="BF446" i="1"/>
  <c r="BG446" i="1"/>
  <c r="BF447" i="1"/>
  <c r="BG447" i="1"/>
  <c r="BF448" i="1"/>
  <c r="BG448" i="1"/>
  <c r="BF449" i="1"/>
  <c r="BG449" i="1"/>
  <c r="BF450" i="1"/>
  <c r="BG450" i="1"/>
  <c r="BF451" i="1"/>
  <c r="BG451" i="1"/>
  <c r="BF452" i="1"/>
  <c r="BG452" i="1"/>
  <c r="BF453" i="1"/>
  <c r="BG453" i="1"/>
  <c r="BF454" i="1"/>
  <c r="BG454" i="1"/>
  <c r="BF455" i="1"/>
  <c r="BG455" i="1"/>
  <c r="BF456" i="1"/>
  <c r="BG456" i="1"/>
  <c r="BF457" i="1"/>
  <c r="BG457" i="1"/>
  <c r="BF458" i="1"/>
  <c r="BG458" i="1"/>
  <c r="BF459" i="1"/>
  <c r="BG459" i="1"/>
  <c r="BF460" i="1"/>
  <c r="BG460" i="1"/>
  <c r="BF461" i="1"/>
  <c r="BG461" i="1"/>
  <c r="BF462" i="1"/>
  <c r="BG462" i="1"/>
  <c r="BF463" i="1"/>
  <c r="BG463" i="1"/>
  <c r="BF464" i="1"/>
  <c r="BG464" i="1"/>
  <c r="BF465" i="1"/>
  <c r="BG465" i="1"/>
  <c r="BF466" i="1"/>
  <c r="BG466" i="1"/>
  <c r="BF467" i="1"/>
  <c r="BG467" i="1"/>
  <c r="BF468" i="1"/>
  <c r="BG468" i="1"/>
  <c r="BF469" i="1"/>
  <c r="BG469" i="1"/>
  <c r="BF470" i="1"/>
  <c r="BG470" i="1"/>
  <c r="BF471" i="1"/>
  <c r="BG471" i="1"/>
  <c r="BF472" i="1"/>
  <c r="BG472" i="1"/>
  <c r="BF473" i="1"/>
  <c r="BG473" i="1"/>
  <c r="BF474" i="1"/>
  <c r="BG474" i="1"/>
  <c r="BF475" i="1"/>
  <c r="BG475" i="1"/>
  <c r="BF476" i="1"/>
  <c r="BG476" i="1"/>
  <c r="BF477" i="1"/>
  <c r="BG477" i="1"/>
  <c r="BF478" i="1"/>
  <c r="BG478" i="1"/>
  <c r="BF479" i="1"/>
  <c r="BG479" i="1"/>
  <c r="BF480" i="1"/>
  <c r="BG480" i="1"/>
  <c r="BF481" i="1"/>
  <c r="BG481" i="1"/>
  <c r="BF482" i="1"/>
  <c r="BG482" i="1"/>
  <c r="BF483" i="1"/>
  <c r="BG483" i="1"/>
  <c r="BF484" i="1"/>
  <c r="BG484" i="1"/>
  <c r="BF485" i="1"/>
  <c r="BG485" i="1"/>
  <c r="BF486" i="1"/>
  <c r="BG486" i="1"/>
  <c r="BF487" i="1"/>
  <c r="BG487" i="1"/>
  <c r="BF488" i="1"/>
  <c r="BG488" i="1"/>
  <c r="BF489" i="1"/>
  <c r="BG489" i="1"/>
  <c r="BF490" i="1"/>
  <c r="BG490" i="1"/>
  <c r="BF491" i="1"/>
  <c r="BG491" i="1"/>
  <c r="BF492" i="1"/>
  <c r="BG492" i="1"/>
  <c r="BF493" i="1"/>
  <c r="BG493" i="1"/>
  <c r="BF494" i="1"/>
  <c r="BG494" i="1"/>
  <c r="BF495" i="1"/>
  <c r="BG495" i="1"/>
  <c r="BF496" i="1"/>
  <c r="BG496" i="1"/>
  <c r="BF497" i="1"/>
  <c r="BG497" i="1"/>
  <c r="BF498" i="1"/>
  <c r="BG498" i="1"/>
  <c r="BF499" i="1"/>
  <c r="BG499" i="1"/>
  <c r="BF500" i="1"/>
  <c r="BG500" i="1"/>
  <c r="BF501" i="1"/>
  <c r="BG501" i="1"/>
  <c r="BF502" i="1"/>
  <c r="BG502" i="1"/>
  <c r="BF503" i="1"/>
  <c r="BG503" i="1"/>
  <c r="BF504" i="1"/>
  <c r="BG504" i="1"/>
  <c r="BF505" i="1"/>
  <c r="BG505" i="1"/>
  <c r="BF506" i="1"/>
  <c r="BG506" i="1"/>
  <c r="BF507" i="1"/>
  <c r="BG507" i="1"/>
  <c r="BF508" i="1"/>
  <c r="BG508" i="1"/>
  <c r="BF509" i="1"/>
  <c r="BG509" i="1"/>
  <c r="BF510" i="1"/>
  <c r="BG510" i="1"/>
  <c r="BF511" i="1"/>
  <c r="BG511" i="1"/>
  <c r="BF512" i="1"/>
  <c r="BG512" i="1"/>
  <c r="BF513" i="1"/>
  <c r="BG513" i="1"/>
  <c r="BF514" i="1"/>
  <c r="BG514" i="1"/>
  <c r="BF515" i="1"/>
  <c r="BG515" i="1"/>
  <c r="BF516" i="1"/>
  <c r="BG516" i="1"/>
  <c r="BF517" i="1"/>
  <c r="BG517" i="1"/>
  <c r="BF518" i="1"/>
  <c r="BG518" i="1"/>
  <c r="BF519" i="1"/>
  <c r="BG519" i="1"/>
  <c r="BF520" i="1"/>
  <c r="BG520" i="1"/>
  <c r="BF521" i="1"/>
  <c r="BG521" i="1"/>
  <c r="BF522" i="1"/>
  <c r="BG522" i="1"/>
  <c r="BF523" i="1"/>
  <c r="BG523" i="1"/>
  <c r="BF524" i="1"/>
  <c r="BG524" i="1"/>
  <c r="BF525" i="1"/>
  <c r="BG525" i="1"/>
  <c r="BF526" i="1"/>
  <c r="BG526" i="1"/>
  <c r="BF527" i="1"/>
  <c r="BG527" i="1"/>
  <c r="BF528" i="1"/>
  <c r="BG528" i="1"/>
  <c r="BF529" i="1"/>
  <c r="BG529" i="1"/>
  <c r="BF530" i="1"/>
  <c r="BG530" i="1"/>
  <c r="BF531" i="1"/>
  <c r="BG531" i="1"/>
  <c r="BF532" i="1"/>
  <c r="BG532" i="1"/>
  <c r="BF533" i="1"/>
  <c r="BG533" i="1"/>
  <c r="BF534" i="1"/>
  <c r="BG534" i="1"/>
  <c r="BF535" i="1"/>
  <c r="BG535" i="1"/>
  <c r="BF536" i="1"/>
  <c r="BG536" i="1"/>
  <c r="BF537" i="1"/>
  <c r="BG537" i="1"/>
  <c r="BF538" i="1"/>
  <c r="BG538" i="1"/>
  <c r="BF539" i="1"/>
  <c r="BG539" i="1"/>
  <c r="BF540" i="1"/>
  <c r="BG540" i="1"/>
  <c r="BF541" i="1"/>
  <c r="BG541" i="1"/>
  <c r="BF542" i="1"/>
  <c r="BG542" i="1"/>
  <c r="BF543" i="1"/>
  <c r="BG543" i="1"/>
  <c r="BF544" i="1"/>
  <c r="BG544" i="1"/>
  <c r="BF545" i="1"/>
  <c r="BG545" i="1"/>
  <c r="BF546" i="1"/>
  <c r="BG546" i="1"/>
  <c r="BF547" i="1"/>
  <c r="BG547" i="1"/>
  <c r="BF548" i="1"/>
  <c r="BG548" i="1"/>
  <c r="BF549" i="1"/>
  <c r="BG549" i="1"/>
  <c r="BF550" i="1"/>
  <c r="BG550" i="1"/>
  <c r="BF551" i="1"/>
  <c r="BG551" i="1"/>
  <c r="BF552" i="1"/>
  <c r="BG552" i="1"/>
  <c r="BF553" i="1"/>
  <c r="BG553" i="1"/>
  <c r="BF554" i="1"/>
  <c r="BG554" i="1"/>
  <c r="BF555" i="1"/>
  <c r="BG555" i="1"/>
  <c r="BF556" i="1"/>
  <c r="BG556" i="1"/>
  <c r="BF557" i="1"/>
  <c r="BG557" i="1"/>
  <c r="BF558" i="1"/>
  <c r="BG558" i="1"/>
  <c r="BF559" i="1"/>
  <c r="BG559" i="1"/>
  <c r="BF560" i="1"/>
  <c r="BG560" i="1"/>
  <c r="BF561" i="1"/>
  <c r="BG561" i="1"/>
  <c r="BF562" i="1"/>
  <c r="BG562" i="1"/>
  <c r="BF563" i="1"/>
  <c r="BG563" i="1"/>
  <c r="BF564" i="1"/>
  <c r="BG564" i="1"/>
  <c r="BF565" i="1"/>
  <c r="BG565" i="1"/>
  <c r="BF566" i="1"/>
  <c r="BG566" i="1"/>
  <c r="BF567" i="1"/>
  <c r="BG567" i="1"/>
  <c r="BF568" i="1"/>
  <c r="BG568" i="1"/>
  <c r="BF569" i="1"/>
  <c r="BG569" i="1"/>
  <c r="BF570" i="1"/>
  <c r="BG570" i="1"/>
  <c r="BF571" i="1"/>
  <c r="BG571" i="1"/>
  <c r="BF572" i="1"/>
  <c r="BG572" i="1"/>
  <c r="BF573" i="1"/>
  <c r="BG573" i="1"/>
  <c r="BF574" i="1"/>
  <c r="BG574" i="1"/>
  <c r="BF575" i="1"/>
  <c r="BG575" i="1"/>
  <c r="BF576" i="1"/>
  <c r="BG576" i="1"/>
  <c r="BF577" i="1"/>
  <c r="BG577" i="1"/>
  <c r="BF578" i="1"/>
  <c r="BG578" i="1"/>
  <c r="BF579" i="1"/>
  <c r="BG579" i="1"/>
  <c r="BF580" i="1"/>
  <c r="BG580" i="1"/>
  <c r="BF581" i="1"/>
  <c r="BG581" i="1"/>
  <c r="BF582" i="1"/>
  <c r="BG582" i="1"/>
  <c r="BF583" i="1"/>
  <c r="BG583" i="1"/>
  <c r="BF584" i="1"/>
  <c r="BG584" i="1"/>
  <c r="BF585" i="1"/>
  <c r="BG585" i="1"/>
  <c r="BF586" i="1"/>
  <c r="BG586" i="1"/>
  <c r="BF587" i="1"/>
  <c r="BG587" i="1"/>
  <c r="BF588" i="1"/>
  <c r="BG588" i="1"/>
  <c r="BF589" i="1"/>
  <c r="BG589" i="1"/>
  <c r="BF590" i="1"/>
  <c r="BG590" i="1"/>
  <c r="BF591" i="1"/>
  <c r="BG591" i="1"/>
  <c r="BF592" i="1"/>
  <c r="BG592" i="1"/>
  <c r="BF593" i="1"/>
  <c r="BG593" i="1"/>
  <c r="BF594" i="1"/>
  <c r="BG594" i="1"/>
  <c r="BF595" i="1"/>
  <c r="BG595" i="1"/>
  <c r="BF596" i="1"/>
  <c r="BG596" i="1"/>
  <c r="BF597" i="1"/>
  <c r="BG597" i="1"/>
  <c r="BF598" i="1"/>
  <c r="BG598" i="1"/>
  <c r="BF599" i="1"/>
  <c r="BG599" i="1"/>
  <c r="BF600" i="1"/>
  <c r="BG600" i="1"/>
  <c r="BF601" i="1"/>
  <c r="BG601" i="1"/>
  <c r="BF602" i="1"/>
  <c r="BG602" i="1"/>
  <c r="BF603" i="1"/>
  <c r="BG603" i="1"/>
  <c r="BF604" i="1"/>
  <c r="BG604" i="1"/>
  <c r="BF605" i="1"/>
  <c r="BG605" i="1"/>
  <c r="BF606" i="1"/>
  <c r="BG606" i="1"/>
  <c r="BF607" i="1"/>
  <c r="BG607" i="1"/>
  <c r="BF608" i="1"/>
  <c r="BG608" i="1"/>
  <c r="BF609" i="1"/>
  <c r="BG609" i="1"/>
  <c r="BF610" i="1"/>
  <c r="BG610" i="1"/>
  <c r="BF611" i="1"/>
  <c r="BG611" i="1"/>
  <c r="BF612" i="1"/>
  <c r="BG612" i="1"/>
  <c r="BF613" i="1"/>
  <c r="BG613" i="1"/>
  <c r="BF614" i="1"/>
  <c r="BG614" i="1"/>
  <c r="BF615" i="1"/>
  <c r="BG615" i="1"/>
  <c r="BF616" i="1"/>
  <c r="BG616" i="1"/>
  <c r="BF617" i="1"/>
  <c r="BG617" i="1"/>
  <c r="BF618" i="1"/>
  <c r="BG618" i="1"/>
  <c r="BF619" i="1"/>
  <c r="BG619" i="1"/>
  <c r="BF620" i="1"/>
  <c r="BG620" i="1"/>
  <c r="BF621" i="1"/>
  <c r="BG621" i="1"/>
  <c r="BF622" i="1"/>
  <c r="BG622" i="1"/>
  <c r="BF623" i="1"/>
  <c r="BG623" i="1"/>
  <c r="BF624" i="1"/>
  <c r="BG624" i="1"/>
  <c r="BF625" i="1"/>
  <c r="BG625" i="1"/>
  <c r="BF626" i="1"/>
  <c r="BG626" i="1"/>
  <c r="BF627" i="1"/>
  <c r="BG627" i="1"/>
  <c r="BF628" i="1"/>
  <c r="BG628" i="1"/>
  <c r="BF629" i="1"/>
  <c r="BG629" i="1"/>
  <c r="BF630" i="1"/>
  <c r="BG630" i="1"/>
  <c r="BF631" i="1"/>
  <c r="BG631" i="1"/>
  <c r="BF632" i="1"/>
  <c r="BG632" i="1"/>
  <c r="BF633" i="1"/>
  <c r="BG633" i="1"/>
  <c r="BF634" i="1"/>
  <c r="BG634" i="1"/>
  <c r="BF635" i="1"/>
  <c r="BG635" i="1"/>
  <c r="BF636" i="1"/>
  <c r="BG636" i="1"/>
  <c r="BF637" i="1"/>
  <c r="BG637" i="1"/>
  <c r="BF638" i="1"/>
  <c r="BG638" i="1"/>
  <c r="BF639" i="1"/>
  <c r="BG639" i="1"/>
  <c r="BF640" i="1"/>
  <c r="BG640" i="1"/>
  <c r="BF641" i="1"/>
  <c r="BG641" i="1"/>
  <c r="BF642" i="1"/>
  <c r="BG642" i="1"/>
  <c r="BF643" i="1"/>
  <c r="BG643" i="1"/>
  <c r="BF644" i="1"/>
  <c r="BG644" i="1"/>
  <c r="BF645" i="1"/>
  <c r="BG645" i="1"/>
  <c r="BF646" i="1"/>
  <c r="BG646" i="1"/>
  <c r="BF647" i="1"/>
  <c r="BG647" i="1"/>
  <c r="BF648" i="1"/>
  <c r="BG648" i="1"/>
  <c r="BF649" i="1"/>
  <c r="BG649" i="1"/>
  <c r="BF650" i="1"/>
  <c r="BG650" i="1"/>
  <c r="BF651" i="1"/>
  <c r="BG651" i="1"/>
  <c r="BF652" i="1"/>
  <c r="BG652" i="1"/>
  <c r="BF653" i="1"/>
  <c r="BG653" i="1"/>
  <c r="BF654" i="1"/>
  <c r="BG654" i="1"/>
  <c r="BF655" i="1"/>
  <c r="BG655" i="1"/>
  <c r="BF656" i="1"/>
  <c r="BG656" i="1"/>
  <c r="BF657" i="1"/>
  <c r="BG657" i="1"/>
  <c r="BF658" i="1"/>
  <c r="BG658" i="1"/>
  <c r="BF659" i="1"/>
  <c r="BG659" i="1"/>
  <c r="BF660" i="1"/>
  <c r="BG660" i="1"/>
  <c r="BF661" i="1"/>
  <c r="BG661" i="1"/>
  <c r="BF662" i="1"/>
  <c r="BG662" i="1"/>
  <c r="BF663" i="1"/>
  <c r="BG663" i="1"/>
  <c r="BF664" i="1"/>
  <c r="BG664" i="1"/>
  <c r="BF665" i="1"/>
  <c r="BG665" i="1"/>
  <c r="BF666" i="1"/>
  <c r="BG666" i="1"/>
  <c r="BF667" i="1"/>
  <c r="BG667" i="1"/>
  <c r="BF668" i="1"/>
  <c r="BG668" i="1"/>
  <c r="BF669" i="1"/>
  <c r="BG669" i="1"/>
  <c r="BF670" i="1"/>
  <c r="BG670" i="1"/>
  <c r="BF671" i="1"/>
  <c r="BG671" i="1"/>
  <c r="BF672" i="1"/>
  <c r="BG672" i="1"/>
  <c r="BF673" i="1"/>
  <c r="BG673" i="1"/>
  <c r="BF674" i="1"/>
  <c r="BG674" i="1"/>
  <c r="BF675" i="1"/>
  <c r="BG675" i="1"/>
  <c r="BF676" i="1"/>
  <c r="BG676" i="1"/>
  <c r="BF677" i="1"/>
  <c r="BG677" i="1"/>
  <c r="BF678" i="1"/>
  <c r="BG678" i="1"/>
  <c r="BF679" i="1"/>
  <c r="BG679" i="1"/>
  <c r="BF680" i="1"/>
  <c r="BG680" i="1"/>
  <c r="BF681" i="1"/>
  <c r="BG681" i="1"/>
  <c r="BF682" i="1"/>
  <c r="BG682" i="1"/>
  <c r="BF683" i="1"/>
  <c r="BG683" i="1"/>
  <c r="BF684" i="1"/>
  <c r="BG684" i="1"/>
  <c r="BF685" i="1"/>
  <c r="BG685" i="1"/>
  <c r="BF686" i="1"/>
  <c r="BG686" i="1"/>
  <c r="BF687" i="1"/>
  <c r="BG687" i="1"/>
  <c r="BF688" i="1"/>
  <c r="BG688" i="1"/>
  <c r="BF689" i="1"/>
  <c r="BG689" i="1"/>
  <c r="BF690" i="1"/>
  <c r="BG690" i="1"/>
  <c r="BF691" i="1"/>
  <c r="BG691" i="1"/>
  <c r="BF692" i="1"/>
  <c r="BG692" i="1"/>
  <c r="BF693" i="1"/>
  <c r="BG693" i="1"/>
  <c r="BF694" i="1"/>
  <c r="BG694" i="1"/>
  <c r="BF695" i="1"/>
  <c r="BG695" i="1"/>
  <c r="BF696" i="1"/>
  <c r="BG696" i="1"/>
  <c r="BF697" i="1"/>
  <c r="BG697" i="1"/>
  <c r="BF698" i="1"/>
  <c r="BG698" i="1"/>
  <c r="BF699" i="1"/>
  <c r="BG699" i="1"/>
  <c r="BF700" i="1"/>
  <c r="BG700" i="1"/>
  <c r="BF701" i="1"/>
  <c r="BG701" i="1"/>
  <c r="BF702" i="1"/>
  <c r="BG702" i="1"/>
  <c r="BF703" i="1"/>
  <c r="BG703" i="1"/>
  <c r="BF704" i="1"/>
  <c r="BG704" i="1"/>
  <c r="BF705" i="1"/>
  <c r="BG705" i="1"/>
  <c r="BF706" i="1"/>
  <c r="BG706" i="1"/>
  <c r="BF707" i="1"/>
  <c r="BG707" i="1"/>
  <c r="BF708" i="1"/>
  <c r="BG708" i="1"/>
  <c r="BF709" i="1"/>
  <c r="BG709" i="1"/>
  <c r="BF710" i="1"/>
  <c r="BG710" i="1"/>
  <c r="BF711" i="1"/>
  <c r="BG711" i="1"/>
  <c r="BF712" i="1"/>
  <c r="BG712" i="1"/>
  <c r="BF713" i="1"/>
  <c r="BG713" i="1"/>
  <c r="BF714" i="1"/>
  <c r="BG714" i="1"/>
  <c r="BF715" i="1"/>
  <c r="BG715" i="1"/>
  <c r="BF716" i="1"/>
  <c r="BG716" i="1"/>
  <c r="BF717" i="1"/>
  <c r="BG717" i="1"/>
  <c r="BF718" i="1"/>
  <c r="BG718" i="1"/>
  <c r="BF719" i="1"/>
  <c r="BG719" i="1"/>
  <c r="BF720" i="1"/>
  <c r="BG720" i="1"/>
  <c r="BF721" i="1"/>
  <c r="BG721" i="1"/>
  <c r="BF722" i="1"/>
  <c r="BG722" i="1"/>
  <c r="BF723" i="1"/>
  <c r="BG723" i="1"/>
  <c r="BF724" i="1"/>
  <c r="BG724" i="1"/>
  <c r="BF725" i="1"/>
  <c r="BG725" i="1"/>
  <c r="BF726" i="1"/>
  <c r="BG726" i="1"/>
  <c r="BF727" i="1"/>
  <c r="BG727" i="1"/>
  <c r="BF728" i="1"/>
  <c r="BG728" i="1"/>
  <c r="BF729" i="1"/>
  <c r="BG729" i="1"/>
  <c r="BF730" i="1"/>
  <c r="BG730" i="1"/>
  <c r="BF731" i="1"/>
  <c r="BG731" i="1"/>
  <c r="BF732" i="1"/>
  <c r="BG732" i="1"/>
  <c r="BF733" i="1"/>
  <c r="BG733" i="1"/>
  <c r="BF734" i="1"/>
  <c r="BG734" i="1"/>
  <c r="BF735" i="1"/>
  <c r="BG735" i="1"/>
  <c r="BF736" i="1"/>
  <c r="BG736" i="1"/>
  <c r="BF737" i="1"/>
  <c r="BG737" i="1"/>
  <c r="BF738" i="1"/>
  <c r="BG738" i="1"/>
  <c r="BF739" i="1"/>
  <c r="BG739" i="1"/>
  <c r="BF740" i="1"/>
  <c r="BG740" i="1"/>
  <c r="BF741" i="1"/>
  <c r="BG741" i="1"/>
  <c r="BF742" i="1"/>
  <c r="BG742" i="1"/>
  <c r="BF743" i="1"/>
  <c r="BG743" i="1"/>
  <c r="BF744" i="1"/>
  <c r="BG744" i="1"/>
  <c r="BF745" i="1"/>
  <c r="BG745" i="1"/>
  <c r="BF746" i="1"/>
  <c r="BG746" i="1"/>
  <c r="BF747" i="1"/>
  <c r="BG747" i="1"/>
  <c r="BF748" i="1"/>
  <c r="BG748" i="1"/>
  <c r="BF749" i="1"/>
  <c r="BG749" i="1"/>
  <c r="BF750" i="1"/>
  <c r="BG750" i="1"/>
  <c r="BF751" i="1"/>
  <c r="BG751" i="1"/>
  <c r="BF752" i="1"/>
  <c r="BG752" i="1"/>
  <c r="BF753" i="1"/>
  <c r="BG753" i="1"/>
  <c r="BF754" i="1"/>
  <c r="BG754" i="1"/>
  <c r="BF755" i="1"/>
  <c r="BG755" i="1"/>
  <c r="BF756" i="1"/>
  <c r="BG756" i="1"/>
  <c r="BF757" i="1"/>
  <c r="BG757" i="1"/>
  <c r="BF758" i="1"/>
  <c r="BG758" i="1"/>
  <c r="BF759" i="1"/>
  <c r="BG759" i="1"/>
  <c r="BF760" i="1"/>
  <c r="BG760" i="1"/>
  <c r="BF761" i="1"/>
  <c r="BG761" i="1"/>
  <c r="BF762" i="1"/>
  <c r="BG762" i="1"/>
  <c r="BF763" i="1"/>
  <c r="BG763" i="1"/>
  <c r="BF764" i="1"/>
  <c r="BG764" i="1"/>
  <c r="BF765" i="1"/>
  <c r="BG765" i="1"/>
  <c r="BF766" i="1"/>
  <c r="BG766" i="1"/>
  <c r="BF767" i="1"/>
  <c r="BG767" i="1"/>
  <c r="BF768" i="1"/>
  <c r="BG768" i="1"/>
  <c r="BF769" i="1"/>
  <c r="BG769" i="1"/>
  <c r="BF770" i="1"/>
  <c r="BG770" i="1"/>
  <c r="BF771" i="1"/>
  <c r="BG771" i="1"/>
  <c r="BF772" i="1"/>
  <c r="BG772" i="1"/>
  <c r="BF773" i="1"/>
  <c r="BG773" i="1"/>
  <c r="BF774" i="1"/>
  <c r="BG774" i="1"/>
  <c r="BF775" i="1"/>
  <c r="BG775" i="1"/>
  <c r="BF776" i="1"/>
  <c r="BG776" i="1"/>
  <c r="BF777" i="1"/>
  <c r="BG777" i="1"/>
  <c r="BF778" i="1"/>
  <c r="BG778" i="1"/>
  <c r="BF779" i="1"/>
  <c r="BG779" i="1"/>
  <c r="BF780" i="1"/>
  <c r="BG780" i="1"/>
  <c r="BF781" i="1"/>
  <c r="BG781" i="1"/>
  <c r="BF782" i="1"/>
  <c r="BG782" i="1"/>
  <c r="BF783" i="1"/>
  <c r="BG783" i="1"/>
  <c r="BF784" i="1"/>
  <c r="BG784" i="1"/>
  <c r="BF785" i="1"/>
  <c r="BG785" i="1"/>
  <c r="BF786" i="1"/>
  <c r="BG786" i="1"/>
  <c r="BF787" i="1"/>
  <c r="BG787" i="1"/>
  <c r="BF788" i="1"/>
  <c r="BG788" i="1"/>
  <c r="BF789" i="1"/>
  <c r="BG789" i="1"/>
  <c r="BF790" i="1"/>
  <c r="BG790" i="1"/>
  <c r="BF791" i="1"/>
  <c r="BG791" i="1"/>
  <c r="BF792" i="1"/>
  <c r="BG792" i="1"/>
  <c r="BF793" i="1"/>
  <c r="BG793" i="1"/>
  <c r="BF794" i="1"/>
  <c r="BG794" i="1"/>
  <c r="BF795" i="1"/>
  <c r="BG795" i="1"/>
  <c r="BF796" i="1"/>
  <c r="BG796" i="1"/>
  <c r="BF797" i="1"/>
  <c r="BG797" i="1"/>
  <c r="BF798" i="1"/>
  <c r="BG798" i="1"/>
  <c r="BF799" i="1"/>
  <c r="BG799" i="1"/>
  <c r="BF800" i="1"/>
  <c r="BG800" i="1"/>
  <c r="BF801" i="1"/>
  <c r="BG801" i="1"/>
  <c r="BF802" i="1"/>
  <c r="BG802" i="1"/>
  <c r="BF803" i="1"/>
  <c r="BG803" i="1"/>
  <c r="BF804" i="1"/>
  <c r="BG804" i="1"/>
  <c r="BF805" i="1"/>
  <c r="BG805" i="1"/>
  <c r="BF806" i="1"/>
  <c r="BG806" i="1"/>
  <c r="BF807" i="1"/>
  <c r="BG807" i="1"/>
  <c r="BF808" i="1"/>
  <c r="BG808" i="1"/>
  <c r="BF809" i="1"/>
  <c r="BG809" i="1"/>
  <c r="BF810" i="1"/>
  <c r="BG810" i="1"/>
  <c r="BF811" i="1"/>
  <c r="BG811" i="1"/>
  <c r="BF812" i="1"/>
  <c r="BG812" i="1"/>
  <c r="BF813" i="1"/>
  <c r="BG813" i="1"/>
  <c r="BF814" i="1"/>
  <c r="BG814" i="1"/>
  <c r="BF815" i="1"/>
  <c r="BG815" i="1"/>
  <c r="BF816" i="1"/>
  <c r="BG816" i="1"/>
  <c r="BF817" i="1"/>
  <c r="BG817" i="1"/>
  <c r="BF818" i="1"/>
  <c r="BG818" i="1"/>
  <c r="BF819" i="1"/>
  <c r="BG819" i="1"/>
  <c r="BF820" i="1"/>
  <c r="BG820" i="1"/>
  <c r="BF821" i="1"/>
  <c r="BG821" i="1"/>
  <c r="BF822" i="1"/>
  <c r="BG822" i="1"/>
  <c r="BF823" i="1"/>
  <c r="BG823" i="1"/>
  <c r="BF824" i="1"/>
  <c r="BG824" i="1"/>
  <c r="BF825" i="1"/>
  <c r="BG825" i="1"/>
  <c r="BF826" i="1"/>
  <c r="BG826" i="1"/>
  <c r="BF827" i="1"/>
  <c r="BG827" i="1"/>
  <c r="BF828" i="1"/>
  <c r="BG828" i="1"/>
  <c r="BF829" i="1"/>
  <c r="BG829" i="1"/>
  <c r="BF830" i="1"/>
  <c r="BG830" i="1"/>
  <c r="BF831" i="1"/>
  <c r="BG831" i="1"/>
  <c r="BF832" i="1"/>
  <c r="BG832" i="1"/>
  <c r="BF833" i="1"/>
  <c r="BG833" i="1"/>
  <c r="BF834" i="1"/>
  <c r="BG834" i="1"/>
  <c r="BF835" i="1"/>
  <c r="BG835" i="1"/>
  <c r="BF836" i="1"/>
  <c r="BG836" i="1"/>
  <c r="BF837" i="1"/>
  <c r="BG837" i="1"/>
  <c r="BF838" i="1"/>
  <c r="BG838" i="1"/>
  <c r="BF839" i="1"/>
  <c r="BG839" i="1"/>
  <c r="BF840" i="1"/>
  <c r="BG840" i="1"/>
  <c r="BF841" i="1"/>
  <c r="BG841" i="1"/>
  <c r="BF842" i="1"/>
  <c r="BG842" i="1"/>
  <c r="BF843" i="1"/>
  <c r="BG843" i="1"/>
  <c r="BF844" i="1"/>
  <c r="BG844" i="1"/>
  <c r="BF845" i="1"/>
  <c r="BG845" i="1"/>
  <c r="BF846" i="1"/>
  <c r="BG846" i="1"/>
  <c r="BF847" i="1"/>
  <c r="BG847" i="1"/>
  <c r="BF848" i="1"/>
  <c r="BG848" i="1"/>
  <c r="BF849" i="1"/>
  <c r="BG849" i="1"/>
  <c r="BF850" i="1"/>
  <c r="BG850" i="1"/>
  <c r="BF851" i="1"/>
  <c r="BG851" i="1"/>
  <c r="BF852" i="1"/>
  <c r="BG852" i="1"/>
  <c r="BF853" i="1"/>
  <c r="BG853" i="1"/>
  <c r="BF854" i="1"/>
  <c r="BG854" i="1"/>
  <c r="BF855" i="1"/>
  <c r="BG855" i="1"/>
  <c r="BF856" i="1"/>
  <c r="BG856" i="1"/>
  <c r="BF857" i="1"/>
  <c r="BG857" i="1"/>
  <c r="BF858" i="1"/>
  <c r="BG858" i="1"/>
  <c r="BF859" i="1"/>
  <c r="BG859" i="1"/>
  <c r="BF860" i="1"/>
  <c r="BG860" i="1"/>
  <c r="BF861" i="1"/>
  <c r="BG861" i="1"/>
  <c r="BF862" i="1"/>
  <c r="BG862" i="1"/>
  <c r="BF863" i="1"/>
  <c r="BG863" i="1"/>
  <c r="BF864" i="1"/>
  <c r="BG864" i="1"/>
  <c r="BF865" i="1"/>
  <c r="BG865" i="1"/>
  <c r="BF866" i="1"/>
  <c r="BG866" i="1"/>
  <c r="BF867" i="1"/>
  <c r="BG867" i="1"/>
  <c r="BF868" i="1"/>
  <c r="BG868" i="1"/>
  <c r="BF869" i="1"/>
  <c r="BG869" i="1"/>
  <c r="BF870" i="1"/>
  <c r="BG870" i="1"/>
  <c r="BF871" i="1"/>
  <c r="BG871" i="1"/>
  <c r="BF872" i="1"/>
  <c r="BG872" i="1"/>
  <c r="BF873" i="1"/>
  <c r="BG873" i="1"/>
  <c r="BF874" i="1"/>
  <c r="BG874" i="1"/>
  <c r="BF875" i="1"/>
  <c r="BG875" i="1"/>
  <c r="BF876" i="1"/>
  <c r="BG876" i="1"/>
  <c r="BF877" i="1"/>
  <c r="BG877" i="1"/>
  <c r="BF878" i="1"/>
  <c r="BG878" i="1"/>
  <c r="BF879" i="1"/>
  <c r="BG879" i="1"/>
  <c r="BF880" i="1"/>
  <c r="BG880" i="1"/>
  <c r="BF881" i="1"/>
  <c r="BG881" i="1"/>
  <c r="BF882" i="1"/>
  <c r="BG882" i="1"/>
  <c r="BF883" i="1"/>
  <c r="BG883" i="1"/>
  <c r="BF884" i="1"/>
  <c r="BG884" i="1"/>
  <c r="BF885" i="1"/>
  <c r="BG885" i="1"/>
  <c r="BF886" i="1"/>
  <c r="BG886" i="1"/>
  <c r="BF887" i="1"/>
  <c r="BG887" i="1"/>
  <c r="BF888" i="1"/>
  <c r="BG888" i="1"/>
  <c r="BF889" i="1"/>
  <c r="BG889" i="1"/>
  <c r="BF890" i="1"/>
  <c r="BG890" i="1"/>
  <c r="BF891" i="1"/>
  <c r="BG891" i="1"/>
  <c r="BF892" i="1"/>
  <c r="BG892" i="1"/>
  <c r="BF893" i="1"/>
  <c r="BG893" i="1"/>
  <c r="BF894" i="1"/>
  <c r="BG894" i="1"/>
  <c r="BF895" i="1"/>
  <c r="BG895" i="1"/>
  <c r="BF896" i="1"/>
  <c r="BG896" i="1"/>
  <c r="BF897" i="1"/>
  <c r="BG897" i="1"/>
  <c r="BF898" i="1"/>
  <c r="BG898" i="1"/>
  <c r="BF899" i="1"/>
  <c r="BG899" i="1"/>
  <c r="BF900" i="1"/>
  <c r="BG900" i="1"/>
  <c r="BF901" i="1"/>
  <c r="BG901" i="1"/>
  <c r="BF902" i="1"/>
  <c r="BG902" i="1"/>
  <c r="BF903" i="1"/>
  <c r="BG903" i="1"/>
  <c r="BF904" i="1"/>
  <c r="BG904" i="1"/>
  <c r="BF905" i="1"/>
  <c r="BG905" i="1"/>
  <c r="BF906" i="1"/>
  <c r="BG906" i="1"/>
  <c r="BF907" i="1"/>
  <c r="BG907" i="1"/>
  <c r="BF908" i="1"/>
  <c r="BG908" i="1"/>
  <c r="BF909" i="1"/>
  <c r="BG909" i="1"/>
  <c r="BF910" i="1"/>
  <c r="BG910" i="1"/>
  <c r="BF911" i="1"/>
  <c r="BG911" i="1"/>
  <c r="BF912" i="1"/>
  <c r="BG912" i="1"/>
  <c r="BF913" i="1"/>
  <c r="BG913" i="1"/>
  <c r="BF914" i="1"/>
  <c r="BG914" i="1"/>
  <c r="BF915" i="1"/>
  <c r="BG915" i="1"/>
  <c r="BF916" i="1"/>
  <c r="BG916" i="1"/>
  <c r="BF917" i="1"/>
  <c r="BG917" i="1"/>
  <c r="BF918" i="1"/>
  <c r="BG918" i="1"/>
  <c r="BF919" i="1"/>
  <c r="BG919" i="1"/>
  <c r="BF920" i="1"/>
  <c r="BG920" i="1"/>
  <c r="BF921" i="1"/>
  <c r="BG921" i="1"/>
  <c r="BF922" i="1"/>
  <c r="BG922" i="1"/>
  <c r="BF923" i="1"/>
  <c r="BG923" i="1"/>
  <c r="BF924" i="1"/>
  <c r="BG924" i="1"/>
  <c r="BF925" i="1"/>
  <c r="BG925" i="1"/>
  <c r="BF926" i="1"/>
  <c r="BG926" i="1"/>
  <c r="BF927" i="1"/>
  <c r="BG927" i="1"/>
  <c r="BF928" i="1"/>
  <c r="BG928" i="1"/>
  <c r="BF929" i="1"/>
  <c r="BG929" i="1"/>
  <c r="BF930" i="1"/>
  <c r="BG930" i="1"/>
  <c r="BF931" i="1"/>
  <c r="BG931" i="1"/>
  <c r="BF932" i="1"/>
  <c r="BG932" i="1"/>
  <c r="BF933" i="1"/>
  <c r="BG933" i="1"/>
  <c r="BF934" i="1"/>
  <c r="BG934" i="1"/>
  <c r="BF935" i="1"/>
  <c r="BG935" i="1"/>
  <c r="BF936" i="1"/>
  <c r="BG936" i="1"/>
  <c r="BF937" i="1"/>
  <c r="BG937" i="1"/>
  <c r="BF938" i="1"/>
  <c r="BG938" i="1"/>
  <c r="BF939" i="1"/>
  <c r="BG939" i="1"/>
  <c r="BF940" i="1"/>
  <c r="BG940" i="1"/>
  <c r="BF941" i="1"/>
  <c r="BG941" i="1"/>
  <c r="BF942" i="1"/>
  <c r="BG942" i="1"/>
  <c r="BF943" i="1"/>
  <c r="BG943" i="1"/>
  <c r="BF944" i="1"/>
  <c r="BG944" i="1"/>
  <c r="BF945" i="1"/>
  <c r="BG945" i="1"/>
  <c r="BF946" i="1"/>
  <c r="BG946" i="1"/>
  <c r="BF947" i="1"/>
  <c r="BG947" i="1"/>
  <c r="BF948" i="1"/>
  <c r="BG948" i="1"/>
  <c r="BF949" i="1"/>
  <c r="BG949" i="1"/>
  <c r="BF950" i="1"/>
  <c r="BG950" i="1"/>
  <c r="BF951" i="1"/>
  <c r="BG951" i="1"/>
  <c r="BF952" i="1"/>
  <c r="BG952" i="1"/>
  <c r="BF953" i="1"/>
  <c r="BG953" i="1"/>
  <c r="BF954" i="1"/>
  <c r="BG954" i="1"/>
  <c r="BF955" i="1"/>
  <c r="BG955" i="1"/>
  <c r="BF956" i="1"/>
  <c r="BG956" i="1"/>
  <c r="BF957" i="1"/>
  <c r="BG957" i="1"/>
  <c r="BF958" i="1"/>
  <c r="BG958" i="1"/>
  <c r="BF959" i="1"/>
  <c r="BG959" i="1"/>
  <c r="BF960" i="1"/>
  <c r="BG960" i="1"/>
  <c r="BF961" i="1"/>
  <c r="BG961" i="1"/>
  <c r="BF962" i="1"/>
  <c r="BG962" i="1"/>
  <c r="BF963" i="1"/>
  <c r="BG963" i="1"/>
  <c r="BF964" i="1"/>
  <c r="BG964" i="1"/>
  <c r="BF965" i="1"/>
  <c r="BG965" i="1"/>
  <c r="BF966" i="1"/>
  <c r="BG966" i="1"/>
  <c r="BF967" i="1"/>
  <c r="BG967" i="1"/>
  <c r="BF968" i="1"/>
  <c r="BG968" i="1"/>
  <c r="BF969" i="1"/>
  <c r="BG969" i="1"/>
  <c r="BF970" i="1"/>
  <c r="BG970" i="1"/>
  <c r="BF971" i="1"/>
  <c r="BG971" i="1"/>
  <c r="BF972" i="1"/>
  <c r="BG972" i="1"/>
  <c r="BF973" i="1"/>
  <c r="BG973" i="1"/>
  <c r="BF974" i="1"/>
  <c r="BG974" i="1"/>
  <c r="BF975" i="1"/>
  <c r="BG975" i="1"/>
  <c r="BF976" i="1"/>
  <c r="BG976" i="1"/>
  <c r="BF977" i="1"/>
  <c r="BG977" i="1"/>
  <c r="BF978" i="1"/>
  <c r="BG978" i="1"/>
  <c r="BF979" i="1"/>
  <c r="BG979" i="1"/>
  <c r="BF980" i="1"/>
  <c r="BG980" i="1"/>
  <c r="BF981" i="1"/>
  <c r="BG981" i="1"/>
  <c r="BF982" i="1"/>
  <c r="BG982" i="1"/>
  <c r="BF983" i="1"/>
  <c r="BG983" i="1"/>
  <c r="BF984" i="1"/>
  <c r="BG984" i="1"/>
  <c r="BF985" i="1"/>
  <c r="BG985" i="1"/>
  <c r="BF986" i="1"/>
  <c r="BG986" i="1"/>
  <c r="BF987" i="1"/>
  <c r="BG987" i="1"/>
  <c r="BF988" i="1"/>
  <c r="BG988" i="1"/>
  <c r="BF989" i="1"/>
  <c r="BG989" i="1"/>
  <c r="BF990" i="1"/>
  <c r="BG990" i="1"/>
  <c r="BF991" i="1"/>
  <c r="BG991" i="1"/>
  <c r="BF992" i="1"/>
  <c r="BG992" i="1"/>
  <c r="BF993" i="1"/>
  <c r="BG993" i="1"/>
  <c r="BF994" i="1"/>
  <c r="BG994" i="1"/>
  <c r="BF995" i="1"/>
  <c r="BG995" i="1"/>
  <c r="BF996" i="1"/>
  <c r="BG996" i="1"/>
  <c r="BF997" i="1"/>
  <c r="BG997" i="1"/>
  <c r="BF998" i="1"/>
  <c r="BG998" i="1"/>
  <c r="BF999" i="1"/>
  <c r="BG999" i="1"/>
  <c r="BF1000" i="1"/>
  <c r="BG1000" i="1"/>
  <c r="BF1001" i="1"/>
  <c r="BG1001" i="1"/>
  <c r="BF1002" i="1"/>
  <c r="BG1002" i="1"/>
  <c r="BF1003" i="1"/>
  <c r="BG1003" i="1"/>
  <c r="BF1004" i="1"/>
  <c r="BG1004" i="1"/>
  <c r="BF1005" i="1"/>
  <c r="BG1005" i="1"/>
  <c r="BF1006" i="1"/>
  <c r="BG1006" i="1"/>
  <c r="BF1007" i="1"/>
  <c r="BG1007" i="1"/>
  <c r="BF1008" i="1"/>
  <c r="BG1008" i="1"/>
  <c r="BF1009" i="1"/>
  <c r="BG1009" i="1"/>
  <c r="BF1010" i="1"/>
  <c r="BG1010" i="1"/>
  <c r="BF1011" i="1"/>
  <c r="BG1011" i="1"/>
  <c r="BF1012" i="1"/>
  <c r="BG1012" i="1"/>
  <c r="BF1013" i="1"/>
  <c r="BG1013" i="1"/>
  <c r="BF1014" i="1"/>
  <c r="BG1014" i="1"/>
  <c r="BF1015" i="1"/>
  <c r="BG1015" i="1"/>
  <c r="BF1016" i="1"/>
  <c r="BG1016" i="1"/>
  <c r="BF1017" i="1"/>
  <c r="BG1017" i="1"/>
  <c r="BF1018" i="1"/>
  <c r="BG1018" i="1"/>
  <c r="BF1019" i="1"/>
  <c r="BG1019" i="1"/>
  <c r="BF1020" i="1"/>
  <c r="BG1020" i="1"/>
  <c r="BF1021" i="1"/>
  <c r="BG1021" i="1"/>
  <c r="BF1022" i="1"/>
  <c r="BG1022" i="1"/>
  <c r="BF1023" i="1"/>
  <c r="BG1023" i="1"/>
  <c r="BF1024" i="1"/>
  <c r="BG1024" i="1"/>
  <c r="BF1025" i="1"/>
  <c r="BG1025" i="1"/>
  <c r="BF1026" i="1"/>
  <c r="BG1026" i="1"/>
  <c r="BF1027" i="1"/>
  <c r="BG1027" i="1"/>
  <c r="BF1028" i="1"/>
  <c r="BG1028" i="1"/>
  <c r="BF1029" i="1"/>
  <c r="BG1029" i="1"/>
  <c r="BF1030" i="1"/>
  <c r="BG1030" i="1"/>
  <c r="BF1031" i="1"/>
  <c r="BG1031" i="1"/>
  <c r="BF1032" i="1"/>
  <c r="BG1032" i="1"/>
  <c r="BF1033" i="1"/>
  <c r="BG1033" i="1"/>
  <c r="BF1034" i="1"/>
  <c r="BG1034" i="1"/>
  <c r="BF1035" i="1"/>
  <c r="BG1035" i="1"/>
  <c r="BF1036" i="1"/>
  <c r="BG1036" i="1"/>
  <c r="BF1037" i="1"/>
  <c r="BG1037" i="1"/>
  <c r="BF1038" i="1"/>
  <c r="BG1038" i="1"/>
  <c r="BF1039" i="1"/>
  <c r="BG1039" i="1"/>
  <c r="BF1040" i="1"/>
  <c r="BG1040" i="1"/>
  <c r="BF1041" i="1"/>
  <c r="BG1041" i="1"/>
  <c r="BF1042" i="1"/>
  <c r="BG1042" i="1"/>
  <c r="BF1043" i="1"/>
  <c r="BG1043" i="1"/>
  <c r="BF1044" i="1"/>
  <c r="BG1044" i="1"/>
  <c r="BF1045" i="1"/>
  <c r="BG1045" i="1"/>
  <c r="BF1046" i="1"/>
  <c r="BG1046" i="1"/>
  <c r="BF1047" i="1"/>
  <c r="BG1047" i="1"/>
  <c r="BF1048" i="1"/>
  <c r="BG1048" i="1"/>
  <c r="BF1049" i="1"/>
  <c r="BG1049" i="1"/>
  <c r="BF1050" i="1"/>
  <c r="BG1050" i="1"/>
  <c r="BF1051" i="1"/>
  <c r="BG1051" i="1"/>
  <c r="BF1052" i="1"/>
  <c r="BG1052" i="1"/>
  <c r="BF1053" i="1"/>
  <c r="BG1053" i="1"/>
  <c r="BF1054" i="1"/>
  <c r="BG1054" i="1"/>
  <c r="BF1055" i="1"/>
  <c r="BG1055" i="1"/>
  <c r="BF1056" i="1"/>
  <c r="BG1056" i="1"/>
  <c r="BF1057" i="1"/>
  <c r="BG1057" i="1"/>
  <c r="BF1058" i="1"/>
  <c r="BG1058" i="1"/>
  <c r="BF1059" i="1"/>
  <c r="BG1059" i="1"/>
  <c r="BF1060" i="1"/>
  <c r="BG1060" i="1"/>
  <c r="BF1061" i="1"/>
  <c r="BG1061" i="1"/>
  <c r="BF1062" i="1"/>
  <c r="BG1062" i="1"/>
  <c r="BF1063" i="1"/>
  <c r="BG1063" i="1"/>
  <c r="BF1064" i="1"/>
  <c r="BG1064" i="1"/>
  <c r="BF1065" i="1"/>
  <c r="BG1065" i="1"/>
  <c r="BF1066" i="1"/>
  <c r="BG1066" i="1"/>
  <c r="BF1067" i="1"/>
  <c r="BG1067" i="1"/>
  <c r="BF1068" i="1"/>
  <c r="BG1068" i="1"/>
  <c r="BF1069" i="1"/>
  <c r="BG1069" i="1"/>
  <c r="BF1070" i="1"/>
  <c r="BG1070" i="1"/>
  <c r="BF1071" i="1"/>
  <c r="BG1071" i="1"/>
  <c r="BF1072" i="1"/>
  <c r="BG1072" i="1"/>
  <c r="BF1073" i="1"/>
  <c r="BG1073" i="1"/>
  <c r="BF1074" i="1"/>
  <c r="BG1074" i="1"/>
  <c r="BF1075" i="1"/>
  <c r="BG1075" i="1"/>
  <c r="BF1076" i="1"/>
  <c r="BG1076" i="1"/>
  <c r="BF1077" i="1"/>
  <c r="BG1077" i="1"/>
  <c r="BF1078" i="1"/>
  <c r="BG1078" i="1"/>
  <c r="BF1079" i="1"/>
  <c r="BG1079" i="1"/>
  <c r="BF1080" i="1"/>
  <c r="BG1080" i="1"/>
  <c r="BF1081" i="1"/>
  <c r="BG1081" i="1"/>
  <c r="BF1082" i="1"/>
  <c r="BG1082" i="1"/>
  <c r="BF1083" i="1"/>
  <c r="BG1083" i="1"/>
  <c r="BF1084" i="1"/>
  <c r="BG1084" i="1"/>
  <c r="BF1085" i="1"/>
  <c r="BG1085" i="1"/>
  <c r="BF1086" i="1"/>
  <c r="BG1086" i="1"/>
  <c r="BF1087" i="1"/>
  <c r="BG1087" i="1"/>
  <c r="BF1088" i="1"/>
  <c r="BG1088" i="1"/>
  <c r="BF1089" i="1"/>
  <c r="BG1089" i="1"/>
  <c r="BF1090" i="1"/>
  <c r="BG1090" i="1"/>
  <c r="BF1091" i="1"/>
  <c r="BG1091" i="1"/>
  <c r="BF1092" i="1"/>
  <c r="BG1092" i="1"/>
  <c r="BF1093" i="1"/>
  <c r="BG1093" i="1"/>
  <c r="BF1094" i="1"/>
  <c r="BG1094" i="1"/>
  <c r="BF1095" i="1"/>
  <c r="BG1095" i="1"/>
  <c r="BF1096" i="1"/>
  <c r="BG1096" i="1"/>
  <c r="BF1097" i="1"/>
  <c r="BG1097" i="1"/>
  <c r="BF1098" i="1"/>
  <c r="BG1098" i="1"/>
  <c r="BF1099" i="1"/>
  <c r="BG1099" i="1"/>
  <c r="BF1100" i="1"/>
  <c r="BG1100" i="1"/>
  <c r="BF1101" i="1"/>
  <c r="BG1101" i="1"/>
  <c r="BF1102" i="1"/>
  <c r="BG1102" i="1"/>
  <c r="BF1103" i="1"/>
  <c r="BG1103" i="1"/>
  <c r="BF1104" i="1"/>
  <c r="BG1104" i="1"/>
  <c r="BF1105" i="1"/>
  <c r="BG1105" i="1"/>
  <c r="BF1106" i="1"/>
  <c r="BG1106" i="1"/>
  <c r="BF1107" i="1"/>
  <c r="BG1107" i="1"/>
  <c r="BF1108" i="1"/>
  <c r="BG1108" i="1"/>
  <c r="BF1109" i="1"/>
  <c r="BG1109" i="1"/>
  <c r="BF1110" i="1"/>
  <c r="BG1110" i="1"/>
  <c r="BF1111" i="1"/>
  <c r="BG1111" i="1"/>
  <c r="BF1112" i="1"/>
  <c r="BG1112" i="1"/>
  <c r="BF1113" i="1"/>
  <c r="BG1113" i="1"/>
  <c r="BF1114" i="1"/>
  <c r="BG1114" i="1"/>
  <c r="BF1115" i="1"/>
  <c r="BG1115" i="1"/>
  <c r="BF1116" i="1"/>
  <c r="BG1116" i="1"/>
  <c r="BF1117" i="1"/>
  <c r="BG1117" i="1"/>
  <c r="BF1118" i="1"/>
  <c r="BG1118" i="1"/>
  <c r="BF1119" i="1"/>
  <c r="BG1119" i="1"/>
  <c r="BF1120" i="1"/>
  <c r="BG1120" i="1"/>
  <c r="BF1121" i="1"/>
  <c r="BG1121" i="1"/>
  <c r="BF1122" i="1"/>
  <c r="BG1122" i="1"/>
  <c r="BF1123" i="1"/>
  <c r="BG1123" i="1"/>
  <c r="BF1124" i="1"/>
  <c r="BG1124" i="1"/>
  <c r="BF1125" i="1"/>
  <c r="BG1125" i="1"/>
  <c r="BF1126" i="1"/>
  <c r="BG1126" i="1"/>
  <c r="BF1127" i="1"/>
  <c r="BG1127" i="1"/>
  <c r="BF1128" i="1"/>
  <c r="BG1128" i="1"/>
  <c r="BF1129" i="1"/>
  <c r="BG1129" i="1"/>
  <c r="BF1130" i="1"/>
  <c r="BG1130" i="1"/>
  <c r="BF1131" i="1"/>
  <c r="BG1131" i="1"/>
  <c r="BF1132" i="1"/>
  <c r="BG1132" i="1"/>
  <c r="BF1133" i="1"/>
  <c r="BG1133" i="1"/>
  <c r="BF1134" i="1"/>
  <c r="BG1134" i="1"/>
  <c r="BF1135" i="1"/>
  <c r="BG1135" i="1"/>
  <c r="BF1136" i="1"/>
  <c r="BG1136" i="1"/>
  <c r="BF1137" i="1"/>
  <c r="BG1137" i="1"/>
  <c r="BF1138" i="1"/>
  <c r="BG1138" i="1"/>
  <c r="BF1139" i="1"/>
  <c r="BG1139" i="1"/>
  <c r="BF1140" i="1"/>
  <c r="BG1140" i="1"/>
  <c r="BF1141" i="1"/>
  <c r="BG1141" i="1"/>
  <c r="BF1142" i="1"/>
  <c r="BG1142" i="1"/>
  <c r="BF1143" i="1"/>
  <c r="BG1143" i="1"/>
  <c r="BF1144" i="1"/>
  <c r="BG1144" i="1"/>
  <c r="BF1145" i="1"/>
  <c r="BG1145" i="1"/>
  <c r="BF1146" i="1"/>
  <c r="BG1146" i="1"/>
  <c r="BF1147" i="1"/>
  <c r="BG1147" i="1"/>
  <c r="BF1148" i="1"/>
  <c r="BG1148" i="1"/>
  <c r="BF1149" i="1"/>
  <c r="BG1149" i="1"/>
  <c r="BF1150" i="1"/>
  <c r="BG1150" i="1"/>
  <c r="BF1151" i="1"/>
  <c r="BG1151" i="1"/>
  <c r="BF1152" i="1"/>
  <c r="BG1152" i="1"/>
  <c r="BF1153" i="1"/>
  <c r="BG1153" i="1"/>
  <c r="BF1154" i="1"/>
  <c r="BG1154" i="1"/>
  <c r="BF1155" i="1"/>
  <c r="BG1155" i="1"/>
  <c r="BF1156" i="1"/>
  <c r="BG1156" i="1"/>
  <c r="BF1157" i="1"/>
  <c r="BG1157" i="1"/>
  <c r="BF1158" i="1"/>
  <c r="BG1158" i="1"/>
  <c r="BF1159" i="1"/>
  <c r="BG1159" i="1"/>
  <c r="BF1160" i="1"/>
  <c r="BG1160" i="1"/>
  <c r="BF1161" i="1"/>
  <c r="BG1161" i="1"/>
  <c r="BF1162" i="1"/>
  <c r="BG1162" i="1"/>
  <c r="BF1163" i="1"/>
  <c r="BG1163" i="1"/>
  <c r="BF1164" i="1"/>
  <c r="BG1164" i="1"/>
  <c r="BF1165" i="1"/>
  <c r="BG1165" i="1"/>
  <c r="BF1166" i="1"/>
  <c r="BG1166" i="1"/>
  <c r="BF1167" i="1"/>
  <c r="BG1167" i="1"/>
  <c r="BF1168" i="1"/>
  <c r="BG1168" i="1"/>
  <c r="BF1169" i="1"/>
  <c r="BG1169" i="1"/>
  <c r="BF1170" i="1"/>
  <c r="BG1170" i="1"/>
  <c r="BF1171" i="1"/>
  <c r="BG1171" i="1"/>
  <c r="BF1172" i="1"/>
  <c r="BG1172" i="1"/>
  <c r="BF1173" i="1"/>
  <c r="BG1173" i="1"/>
  <c r="BF1174" i="1"/>
  <c r="BG1174" i="1"/>
  <c r="BF1175" i="1"/>
  <c r="BG1175" i="1"/>
  <c r="BF1176" i="1"/>
  <c r="BG1176" i="1"/>
  <c r="BF1177" i="1"/>
  <c r="BG1177" i="1"/>
  <c r="BF1178" i="1"/>
  <c r="BG1178" i="1"/>
  <c r="BF1179" i="1"/>
  <c r="BG1179" i="1"/>
  <c r="BF1180" i="1"/>
  <c r="BG1180" i="1"/>
  <c r="BF1181" i="1"/>
  <c r="BG1181" i="1"/>
  <c r="BF1182" i="1"/>
  <c r="BG1182" i="1"/>
  <c r="BF1183" i="1"/>
  <c r="BG1183" i="1"/>
  <c r="BF1184" i="1"/>
  <c r="BG1184" i="1"/>
  <c r="BF1185" i="1"/>
  <c r="BG1185" i="1"/>
  <c r="BF1186" i="1"/>
  <c r="BG1186" i="1"/>
  <c r="BF1187" i="1"/>
  <c r="BG1187" i="1"/>
  <c r="BF1188" i="1"/>
  <c r="BG1188" i="1"/>
  <c r="BF1189" i="1"/>
  <c r="BG1189" i="1"/>
  <c r="BF1190" i="1"/>
  <c r="BG1190" i="1"/>
  <c r="BF1191" i="1"/>
  <c r="BG1191" i="1"/>
  <c r="BF1192" i="1"/>
  <c r="BG1192" i="1"/>
  <c r="BF1193" i="1"/>
  <c r="BG1193" i="1"/>
  <c r="BF1194" i="1"/>
  <c r="BG1194" i="1"/>
  <c r="BF1195" i="1"/>
  <c r="BG1195" i="1"/>
  <c r="BF1196" i="1"/>
  <c r="BG1196" i="1"/>
  <c r="BF1197" i="1"/>
  <c r="BG1197" i="1"/>
  <c r="BF1198" i="1"/>
  <c r="BG1198" i="1"/>
  <c r="BF1199" i="1"/>
  <c r="BG1199" i="1"/>
  <c r="BF1200" i="1"/>
  <c r="BG1200" i="1"/>
  <c r="BF1201" i="1"/>
  <c r="BG1201" i="1"/>
  <c r="BF1202" i="1"/>
  <c r="BG1202" i="1"/>
  <c r="BF1203" i="1"/>
  <c r="BG1203" i="1"/>
  <c r="BF1204" i="1"/>
  <c r="BG1204" i="1"/>
  <c r="BF1205" i="1"/>
  <c r="BG1205" i="1"/>
  <c r="BF1206" i="1"/>
  <c r="BG1206" i="1"/>
  <c r="BF1207" i="1"/>
  <c r="BG1207" i="1"/>
  <c r="BF1208" i="1"/>
  <c r="BG1208" i="1"/>
  <c r="BF1209" i="1"/>
  <c r="BG1209" i="1"/>
  <c r="BF1210" i="1"/>
  <c r="BG1210" i="1"/>
  <c r="BF1211" i="1"/>
  <c r="BG1211" i="1"/>
  <c r="BF1212" i="1"/>
  <c r="BG1212" i="1"/>
  <c r="BF1213" i="1"/>
  <c r="BG1213" i="1"/>
  <c r="BF1214" i="1"/>
  <c r="BG1214" i="1"/>
  <c r="BF1215" i="1"/>
  <c r="BG1215" i="1"/>
  <c r="BF1216" i="1"/>
  <c r="BG1216" i="1"/>
  <c r="BF1217" i="1"/>
  <c r="BG1217" i="1"/>
  <c r="BF1218" i="1"/>
  <c r="BG1218" i="1"/>
  <c r="BF1219" i="1"/>
  <c r="BG1219" i="1"/>
  <c r="BF1220" i="1"/>
  <c r="BG1220" i="1"/>
  <c r="BF1221" i="1"/>
  <c r="BG1221" i="1"/>
  <c r="BF1222" i="1"/>
  <c r="BG1222" i="1"/>
  <c r="BF1223" i="1"/>
  <c r="BG1223" i="1"/>
  <c r="BF1224" i="1"/>
  <c r="BG1224" i="1"/>
  <c r="BF1225" i="1"/>
  <c r="BG1225" i="1"/>
  <c r="BF1226" i="1"/>
  <c r="BG1226" i="1"/>
  <c r="BF1227" i="1"/>
  <c r="BG1227" i="1"/>
  <c r="BF1228" i="1"/>
  <c r="BG1228" i="1"/>
  <c r="BF1229" i="1"/>
  <c r="BG1229" i="1"/>
  <c r="BF1230" i="1"/>
  <c r="BG1230" i="1"/>
  <c r="BF1231" i="1"/>
  <c r="BG1231" i="1"/>
  <c r="BF1232" i="1"/>
  <c r="BG1232" i="1"/>
  <c r="BF1233" i="1"/>
  <c r="BG1233" i="1"/>
  <c r="BF1234" i="1"/>
  <c r="BG1234" i="1"/>
  <c r="BF1235" i="1"/>
  <c r="BG1235" i="1"/>
  <c r="BF1236" i="1"/>
  <c r="BG1236" i="1"/>
  <c r="BF1237" i="1"/>
  <c r="BG1237" i="1"/>
  <c r="BF1238" i="1"/>
  <c r="BG1238" i="1"/>
  <c r="BF1239" i="1"/>
  <c r="BG1239" i="1"/>
  <c r="BF1240" i="1"/>
  <c r="BG1240" i="1"/>
  <c r="BF1241" i="1"/>
  <c r="BG1241" i="1"/>
  <c r="BF1242" i="1"/>
  <c r="BG1242" i="1"/>
  <c r="BF1243" i="1"/>
  <c r="BG1243" i="1"/>
  <c r="BF1244" i="1"/>
  <c r="BG1244" i="1"/>
  <c r="BF1245" i="1"/>
  <c r="BG1245" i="1"/>
  <c r="BF1246" i="1"/>
  <c r="BG1246" i="1"/>
  <c r="BF1247" i="1"/>
  <c r="BG1247" i="1"/>
  <c r="BF1248" i="1"/>
  <c r="BG1248" i="1"/>
  <c r="BF1249" i="1"/>
  <c r="BG1249" i="1"/>
  <c r="BF1250" i="1"/>
  <c r="BG1250" i="1"/>
  <c r="BF1251" i="1"/>
  <c r="BG1251" i="1"/>
  <c r="BF1252" i="1"/>
  <c r="BG1252" i="1"/>
  <c r="BF1253" i="1"/>
  <c r="BG1253" i="1"/>
  <c r="BF1254" i="1"/>
  <c r="BG1254" i="1"/>
  <c r="BF1255" i="1"/>
  <c r="BG1255" i="1"/>
  <c r="BF1256" i="1"/>
  <c r="BG1256" i="1"/>
  <c r="BF1257" i="1"/>
  <c r="BG1257" i="1"/>
  <c r="BF1258" i="1"/>
  <c r="BG1258" i="1"/>
  <c r="BF1259" i="1"/>
  <c r="BG1259" i="1"/>
  <c r="BF1260" i="1"/>
  <c r="BG1260" i="1"/>
  <c r="BF1261" i="1"/>
  <c r="BG1261" i="1"/>
  <c r="BF1262" i="1"/>
  <c r="BG1262" i="1"/>
  <c r="BF1263" i="1"/>
  <c r="BG1263" i="1"/>
  <c r="BF1264" i="1"/>
  <c r="BG1264" i="1"/>
  <c r="BF1265" i="1"/>
  <c r="BG1265" i="1"/>
  <c r="BF1266" i="1"/>
  <c r="BG1266" i="1"/>
  <c r="BF1267" i="1"/>
  <c r="BG1267" i="1"/>
  <c r="BF1268" i="1"/>
  <c r="BG1268" i="1"/>
  <c r="BF1269" i="1"/>
  <c r="BG1269" i="1"/>
  <c r="BF1270" i="1"/>
  <c r="BG1270" i="1"/>
  <c r="BF1271" i="1"/>
  <c r="BG1271" i="1"/>
  <c r="BF1272" i="1"/>
  <c r="BG1272" i="1"/>
  <c r="BF1273" i="1"/>
  <c r="BG1273" i="1"/>
  <c r="BF1274" i="1"/>
  <c r="BG1274" i="1"/>
  <c r="BF1275" i="1"/>
  <c r="BG1275" i="1"/>
  <c r="BF1276" i="1"/>
  <c r="BG1276" i="1"/>
  <c r="BF1277" i="1"/>
  <c r="BG1277" i="1"/>
  <c r="BF1278" i="1"/>
  <c r="BG1278" i="1"/>
  <c r="BF1279" i="1"/>
  <c r="BG1279" i="1"/>
  <c r="BF1280" i="1"/>
  <c r="BG1280" i="1"/>
  <c r="BF1281" i="1"/>
  <c r="BG1281" i="1"/>
  <c r="BF1282" i="1"/>
  <c r="BG1282" i="1"/>
  <c r="BF1283" i="1"/>
  <c r="BG1283" i="1"/>
  <c r="BF1284" i="1"/>
  <c r="BG1284" i="1"/>
  <c r="BF1285" i="1"/>
  <c r="BG1285" i="1"/>
  <c r="BF1286" i="1"/>
  <c r="BG1286" i="1"/>
  <c r="BF1287" i="1"/>
  <c r="BG1287" i="1"/>
  <c r="BF1288" i="1"/>
  <c r="BG1288" i="1"/>
  <c r="BF1289" i="1"/>
  <c r="BG1289" i="1"/>
  <c r="BF1290" i="1"/>
  <c r="BG1290" i="1"/>
  <c r="BF1291" i="1"/>
  <c r="BG1291" i="1"/>
  <c r="BF1292" i="1"/>
  <c r="BG1292" i="1"/>
  <c r="BF1293" i="1"/>
  <c r="BG1293" i="1"/>
  <c r="BF1294" i="1"/>
  <c r="BG1294" i="1"/>
  <c r="BF1295" i="1"/>
  <c r="BG1295" i="1"/>
  <c r="BF1296" i="1"/>
  <c r="BG1296" i="1"/>
  <c r="BF1297" i="1"/>
  <c r="BG1297" i="1"/>
  <c r="BF1298" i="1"/>
  <c r="BG1298" i="1"/>
  <c r="BF1299" i="1"/>
  <c r="BG1299" i="1"/>
  <c r="BF1300" i="1"/>
  <c r="BG1300" i="1"/>
  <c r="BF1301" i="1"/>
  <c r="BG1301" i="1"/>
  <c r="BF1302" i="1"/>
  <c r="BG1302" i="1"/>
  <c r="BF1303" i="1"/>
  <c r="BG1303" i="1"/>
  <c r="BF1304" i="1"/>
  <c r="BG1304" i="1"/>
  <c r="BF1305" i="1"/>
  <c r="BG1305" i="1"/>
  <c r="BF1306" i="1"/>
  <c r="BG1306" i="1"/>
  <c r="BF1307" i="1"/>
  <c r="BG1307" i="1"/>
  <c r="BF1308" i="1"/>
  <c r="BG1308" i="1"/>
  <c r="BF1309" i="1"/>
  <c r="BG1309" i="1"/>
  <c r="BF1310" i="1"/>
  <c r="BG1310" i="1"/>
  <c r="BF1311" i="1"/>
  <c r="BG1311" i="1"/>
  <c r="BF1312" i="1"/>
  <c r="BG1312" i="1"/>
  <c r="BF1313" i="1"/>
  <c r="BG1313" i="1"/>
  <c r="BF1314" i="1"/>
  <c r="BG1314" i="1"/>
  <c r="BF1315" i="1"/>
  <c r="BG1315" i="1"/>
  <c r="BF1316" i="1"/>
  <c r="BG1316" i="1"/>
  <c r="BF1317" i="1"/>
  <c r="BG1317" i="1"/>
  <c r="BF1318" i="1"/>
  <c r="BG1318" i="1"/>
  <c r="BF1319" i="1"/>
  <c r="BG1319" i="1"/>
  <c r="BF1320" i="1"/>
  <c r="BG1320" i="1"/>
  <c r="BF1321" i="1"/>
  <c r="BG1321" i="1"/>
  <c r="BF1322" i="1"/>
  <c r="BG1322" i="1"/>
  <c r="BF1323" i="1"/>
  <c r="BG1323" i="1"/>
  <c r="BF1324" i="1"/>
  <c r="BG1324" i="1"/>
  <c r="BF1325" i="1"/>
  <c r="BG1325" i="1"/>
  <c r="BF1326" i="1"/>
  <c r="BG1326" i="1"/>
  <c r="BF1327" i="1"/>
  <c r="BG1327" i="1"/>
  <c r="BF1328" i="1"/>
  <c r="BG1328" i="1"/>
  <c r="BF1329" i="1"/>
  <c r="BG1329" i="1"/>
  <c r="BF1330" i="1"/>
  <c r="BG1330" i="1"/>
  <c r="BF1331" i="1"/>
  <c r="BG1331" i="1"/>
  <c r="BF1332" i="1"/>
  <c r="BG1332" i="1"/>
  <c r="BF1333" i="1"/>
  <c r="BG1333" i="1"/>
  <c r="BF1334" i="1"/>
  <c r="BG1334" i="1"/>
  <c r="BF1335" i="1"/>
  <c r="BG1335" i="1"/>
  <c r="BF1336" i="1"/>
  <c r="BG1336" i="1"/>
  <c r="BF1337" i="1"/>
  <c r="BG1337" i="1"/>
  <c r="BF1338" i="1"/>
  <c r="BG1338" i="1"/>
  <c r="BF1339" i="1"/>
  <c r="BG1339" i="1"/>
  <c r="BF1340" i="1"/>
  <c r="BG1340" i="1"/>
  <c r="BF1341" i="1"/>
  <c r="BG1341" i="1"/>
  <c r="BF1342" i="1"/>
  <c r="BG1342" i="1"/>
  <c r="BF1343" i="1"/>
  <c r="BG1343" i="1"/>
  <c r="BF1344" i="1"/>
  <c r="BG1344" i="1"/>
  <c r="BF1345" i="1"/>
  <c r="BG1345" i="1"/>
  <c r="BF1346" i="1"/>
  <c r="BG1346" i="1"/>
  <c r="BF1347" i="1"/>
  <c r="BG1347" i="1"/>
  <c r="BF1348" i="1"/>
  <c r="BG1348" i="1"/>
  <c r="BF1349" i="1"/>
  <c r="BG1349" i="1"/>
  <c r="BF1350" i="1"/>
  <c r="BG1350" i="1"/>
  <c r="BF1351" i="1"/>
  <c r="BG1351" i="1"/>
  <c r="BF1352" i="1"/>
  <c r="BG1352" i="1"/>
  <c r="BF1353" i="1"/>
  <c r="BG1353" i="1"/>
  <c r="BF1354" i="1"/>
  <c r="BG1354" i="1"/>
  <c r="BF1355" i="1"/>
  <c r="BG1355" i="1"/>
  <c r="BF1356" i="1"/>
  <c r="BG1356" i="1"/>
  <c r="BF1357" i="1"/>
  <c r="BG1357" i="1"/>
  <c r="BF1358" i="1"/>
  <c r="BG1358" i="1"/>
  <c r="BF1359" i="1"/>
  <c r="BG1359" i="1"/>
  <c r="BF1360" i="1"/>
  <c r="BG1360" i="1"/>
  <c r="BF1361" i="1"/>
  <c r="BG1361" i="1"/>
  <c r="BF1362" i="1"/>
  <c r="BG1362" i="1"/>
  <c r="BF1363" i="1"/>
  <c r="BG1363" i="1"/>
  <c r="BF1364" i="1"/>
  <c r="BG1364" i="1"/>
  <c r="BF1365" i="1"/>
  <c r="BG1365" i="1"/>
  <c r="BF1366" i="1"/>
  <c r="BG1366" i="1"/>
  <c r="BF1367" i="1"/>
  <c r="BG1367" i="1"/>
  <c r="BF1368" i="1"/>
  <c r="BG1368" i="1"/>
  <c r="BF1369" i="1"/>
  <c r="BG1369" i="1"/>
  <c r="BF1370" i="1"/>
  <c r="BG1370" i="1"/>
  <c r="BF1371" i="1"/>
  <c r="BG1371" i="1"/>
  <c r="BF1372" i="1"/>
  <c r="BG1372" i="1"/>
  <c r="BF1373" i="1"/>
  <c r="BG1373" i="1"/>
  <c r="BF1374" i="1"/>
  <c r="BG1374" i="1"/>
  <c r="BF1375" i="1"/>
  <c r="BG1375" i="1"/>
  <c r="BF1376" i="1"/>
  <c r="BG1376" i="1"/>
  <c r="BF1377" i="1"/>
  <c r="BG1377" i="1"/>
  <c r="BF1378" i="1"/>
  <c r="BG1378" i="1"/>
  <c r="BF1379" i="1"/>
  <c r="BG1379" i="1"/>
  <c r="BF1380" i="1"/>
  <c r="BG1380" i="1"/>
  <c r="BF1381" i="1"/>
  <c r="BG1381" i="1"/>
  <c r="BF1382" i="1"/>
  <c r="BG1382" i="1"/>
  <c r="BF1383" i="1"/>
  <c r="BG1383" i="1"/>
  <c r="BF1384" i="1"/>
  <c r="BG1384" i="1"/>
  <c r="BF1385" i="1"/>
  <c r="BG1385" i="1"/>
  <c r="BF1386" i="1"/>
  <c r="BG1386" i="1"/>
  <c r="BF1387" i="1"/>
  <c r="BG1387" i="1"/>
  <c r="BF1388" i="1"/>
  <c r="BG1388" i="1"/>
  <c r="BF1389" i="1"/>
  <c r="BG1389" i="1"/>
  <c r="BF1390" i="1"/>
  <c r="BG1390" i="1"/>
  <c r="BF1391" i="1"/>
  <c r="BG1391" i="1"/>
  <c r="BF1392" i="1"/>
  <c r="BG1392" i="1"/>
  <c r="BF1393" i="1"/>
  <c r="BG1393" i="1"/>
  <c r="BF1394" i="1"/>
  <c r="BG1394" i="1"/>
  <c r="BF1395" i="1"/>
  <c r="BG1395" i="1"/>
  <c r="BF1396" i="1"/>
  <c r="BG1396" i="1"/>
  <c r="BF1397" i="1"/>
  <c r="BG1397" i="1"/>
  <c r="BF1398" i="1"/>
  <c r="BG1398" i="1"/>
  <c r="BF1399" i="1"/>
  <c r="BG1399" i="1"/>
  <c r="BF1400" i="1"/>
  <c r="BG1400" i="1"/>
  <c r="BF1401" i="1"/>
  <c r="BG1401" i="1"/>
  <c r="BF1402" i="1"/>
  <c r="BG1402" i="1"/>
  <c r="BF1403" i="1"/>
  <c r="BG1403" i="1"/>
  <c r="BF1404" i="1"/>
  <c r="BG1404" i="1"/>
  <c r="BF1405" i="1"/>
  <c r="BG1405" i="1"/>
  <c r="BF1406" i="1"/>
  <c r="BG1406" i="1"/>
  <c r="BF1407" i="1"/>
  <c r="BG1407" i="1"/>
  <c r="BF1408" i="1"/>
  <c r="BG1408" i="1"/>
  <c r="BF1409" i="1"/>
  <c r="BG1409" i="1"/>
  <c r="BF1410" i="1"/>
  <c r="BG1410" i="1"/>
  <c r="BF1411" i="1"/>
  <c r="BG1411" i="1"/>
  <c r="BF1412" i="1"/>
  <c r="BG1412" i="1"/>
  <c r="BF1413" i="1"/>
  <c r="BG1413" i="1"/>
  <c r="BF1414" i="1"/>
  <c r="BG1414" i="1"/>
  <c r="BF1415" i="1"/>
  <c r="BG1415" i="1"/>
  <c r="BF1416" i="1"/>
  <c r="BG1416" i="1"/>
  <c r="BF1417" i="1"/>
  <c r="BG1417" i="1"/>
  <c r="BF1418" i="1"/>
  <c r="BG1418" i="1"/>
  <c r="BF1419" i="1"/>
  <c r="BG1419" i="1"/>
  <c r="BF1420" i="1"/>
  <c r="BG1420" i="1"/>
  <c r="BF1421" i="1"/>
  <c r="BG1421" i="1"/>
  <c r="BF1422" i="1"/>
  <c r="BG1422" i="1"/>
  <c r="BF1423" i="1"/>
  <c r="BG1423" i="1"/>
  <c r="BF1424" i="1"/>
  <c r="BG1424" i="1"/>
  <c r="BF1425" i="1"/>
  <c r="BG1425" i="1"/>
  <c r="BF1426" i="1"/>
  <c r="BG1426" i="1"/>
  <c r="BF1427" i="1"/>
  <c r="BG1427" i="1"/>
  <c r="BF1428" i="1"/>
  <c r="BG1428" i="1"/>
  <c r="BF1429" i="1"/>
  <c r="BG1429" i="1"/>
  <c r="BF1430" i="1"/>
  <c r="BG1430" i="1"/>
  <c r="BF1431" i="1"/>
  <c r="BG1431" i="1"/>
  <c r="BF1432" i="1"/>
  <c r="BG1432" i="1"/>
  <c r="BF1433" i="1"/>
  <c r="BG1433" i="1"/>
  <c r="BF1434" i="1"/>
  <c r="BG1434" i="1"/>
  <c r="BF1435" i="1"/>
  <c r="BG1435" i="1"/>
  <c r="BF1436" i="1"/>
  <c r="BG1436" i="1"/>
  <c r="BF1437" i="1"/>
  <c r="BG1437" i="1"/>
  <c r="BF1438" i="1"/>
  <c r="BG1438" i="1"/>
  <c r="BF1439" i="1"/>
  <c r="BG1439" i="1"/>
  <c r="BF1440" i="1"/>
  <c r="BG1440" i="1"/>
  <c r="BF1441" i="1"/>
  <c r="BG1441" i="1"/>
  <c r="BF1442" i="1"/>
  <c r="BG1442" i="1"/>
  <c r="BF1443" i="1"/>
  <c r="BG1443" i="1"/>
  <c r="BF1444" i="1"/>
  <c r="BG1444" i="1"/>
  <c r="BF1445" i="1"/>
  <c r="BG1445" i="1"/>
  <c r="BF1446" i="1"/>
  <c r="BG1446" i="1"/>
  <c r="BF1447" i="1"/>
  <c r="BG1447" i="1"/>
  <c r="BF1448" i="1"/>
  <c r="BG1448" i="1"/>
  <c r="BF1449" i="1"/>
  <c r="BG1449" i="1"/>
  <c r="BF1450" i="1"/>
  <c r="BG1450" i="1"/>
  <c r="BF1451" i="1"/>
  <c r="BG1451" i="1"/>
  <c r="BF1452" i="1"/>
  <c r="BG1452" i="1"/>
  <c r="BF1453" i="1"/>
  <c r="BG1453" i="1"/>
  <c r="BF1454" i="1"/>
  <c r="BG1454" i="1"/>
  <c r="BF1455" i="1"/>
  <c r="BG1455" i="1"/>
  <c r="BF1456" i="1"/>
  <c r="BG1456" i="1"/>
  <c r="BF1457" i="1"/>
  <c r="BG1457" i="1"/>
  <c r="BF1458" i="1"/>
  <c r="BG1458" i="1"/>
  <c r="BF1459" i="1"/>
  <c r="BG1459" i="1"/>
  <c r="BF1460" i="1"/>
  <c r="BG1460" i="1"/>
  <c r="BF1461" i="1"/>
  <c r="BG1461" i="1"/>
  <c r="BF1462" i="1"/>
  <c r="BG1462" i="1"/>
  <c r="BF1463" i="1"/>
  <c r="BG1463" i="1"/>
  <c r="BF1464" i="1"/>
  <c r="BG1464" i="1"/>
  <c r="BF1465" i="1"/>
  <c r="BG1465" i="1"/>
  <c r="BF1466" i="1"/>
  <c r="BG1466" i="1"/>
  <c r="BF1467" i="1"/>
  <c r="BG1467" i="1"/>
  <c r="BF1468" i="1"/>
  <c r="BG1468" i="1"/>
  <c r="BF1469" i="1"/>
  <c r="BG1469" i="1"/>
  <c r="BF1470" i="1"/>
  <c r="BG1470" i="1"/>
  <c r="BF1471" i="1"/>
  <c r="BG1471" i="1"/>
  <c r="BF1472" i="1"/>
  <c r="BG1472" i="1"/>
  <c r="BF1473" i="1"/>
  <c r="BG1473" i="1"/>
  <c r="BF1474" i="1"/>
  <c r="BG1474" i="1"/>
  <c r="BF1475" i="1"/>
  <c r="BG1475" i="1"/>
  <c r="BF1476" i="1"/>
  <c r="BG1476" i="1"/>
  <c r="BF1477" i="1"/>
  <c r="BG1477" i="1"/>
  <c r="BF1478" i="1"/>
  <c r="BG1478" i="1"/>
  <c r="BF1479" i="1"/>
  <c r="BG1479" i="1"/>
  <c r="BF1480" i="1"/>
  <c r="BG1480" i="1"/>
  <c r="BF1481" i="1"/>
  <c r="BG1481" i="1"/>
  <c r="BF1482" i="1"/>
  <c r="BG1482" i="1"/>
  <c r="BF1483" i="1"/>
  <c r="BG1483" i="1"/>
  <c r="BF1484" i="1"/>
  <c r="BG1484" i="1"/>
  <c r="BF1485" i="1"/>
  <c r="BG1485" i="1"/>
  <c r="BF1486" i="1"/>
  <c r="BG1486" i="1"/>
  <c r="BF1487" i="1"/>
  <c r="BG1487" i="1"/>
  <c r="BF1488" i="1"/>
  <c r="BG1488" i="1"/>
  <c r="BF1489" i="1"/>
  <c r="BG1489" i="1"/>
  <c r="BF1490" i="1"/>
  <c r="BG1490" i="1"/>
  <c r="BF1491" i="1"/>
  <c r="BG1491" i="1"/>
  <c r="BF1492" i="1"/>
  <c r="BG1492" i="1"/>
  <c r="BF1493" i="1"/>
  <c r="BG1493" i="1"/>
  <c r="BF1494" i="1"/>
  <c r="BG1494" i="1"/>
  <c r="BF1495" i="1"/>
  <c r="BG1495" i="1"/>
  <c r="BF1496" i="1"/>
  <c r="BG1496" i="1"/>
  <c r="BF1497" i="1"/>
  <c r="BG1497" i="1"/>
  <c r="BF1498" i="1"/>
  <c r="BG1498" i="1"/>
  <c r="BF1499" i="1"/>
  <c r="BG1499" i="1"/>
  <c r="BF1500" i="1"/>
  <c r="BG1500" i="1"/>
  <c r="BF1501" i="1"/>
  <c r="BG1501" i="1"/>
  <c r="BF1502" i="1"/>
  <c r="BG1502" i="1"/>
  <c r="BF1503" i="1"/>
  <c r="BG1503" i="1"/>
  <c r="BF1504" i="1"/>
  <c r="BG1504" i="1"/>
  <c r="BF1505" i="1"/>
  <c r="BG1505" i="1"/>
  <c r="BF1506" i="1"/>
  <c r="BG1506" i="1"/>
  <c r="BF1507" i="1"/>
  <c r="BG1507" i="1"/>
  <c r="BF1508" i="1"/>
  <c r="BG1508" i="1"/>
  <c r="BF1509" i="1"/>
  <c r="BG1509" i="1"/>
  <c r="BF1510" i="1"/>
  <c r="BG1510" i="1"/>
  <c r="BF1511" i="1"/>
  <c r="BG1511" i="1"/>
  <c r="BF1512" i="1"/>
  <c r="BG1512" i="1"/>
  <c r="BF1513" i="1"/>
  <c r="BG1513" i="1"/>
  <c r="BF1514" i="1"/>
  <c r="BG1514" i="1"/>
  <c r="BF1515" i="1"/>
  <c r="BG1515" i="1"/>
  <c r="BF1516" i="1"/>
  <c r="BG1516" i="1"/>
  <c r="BF1517" i="1"/>
  <c r="BG1517" i="1"/>
  <c r="BF1518" i="1"/>
  <c r="BG1518" i="1"/>
  <c r="BF1519" i="1"/>
  <c r="BG1519" i="1"/>
  <c r="BF1520" i="1"/>
  <c r="BG1520" i="1"/>
  <c r="BF1521" i="1"/>
  <c r="BG1521" i="1"/>
  <c r="BF1522" i="1"/>
  <c r="BG1522" i="1"/>
  <c r="BF1523" i="1"/>
  <c r="BG1523" i="1"/>
  <c r="BF1524" i="1"/>
  <c r="BG1524" i="1"/>
  <c r="BF1525" i="1"/>
  <c r="BG1525" i="1"/>
  <c r="BF1526" i="1"/>
  <c r="BG1526" i="1"/>
  <c r="BF1527" i="1"/>
  <c r="BG1527" i="1"/>
  <c r="BF1528" i="1"/>
  <c r="BG1528" i="1"/>
  <c r="BF1529" i="1"/>
  <c r="BG1529" i="1"/>
  <c r="BF1530" i="1"/>
  <c r="BG1530" i="1"/>
  <c r="BF1531" i="1"/>
  <c r="BG1531" i="1"/>
  <c r="BF1532" i="1"/>
  <c r="BG1532" i="1"/>
  <c r="BF1533" i="1"/>
  <c r="BG1533" i="1"/>
  <c r="BF1534" i="1"/>
  <c r="BG1534" i="1"/>
  <c r="BF1535" i="1"/>
  <c r="BG1535" i="1"/>
  <c r="BF1536" i="1"/>
  <c r="BG1536" i="1"/>
  <c r="BF1537" i="1"/>
  <c r="BG1537" i="1"/>
  <c r="BF1538" i="1"/>
  <c r="BG1538" i="1"/>
  <c r="BF1539" i="1"/>
  <c r="BG1539" i="1"/>
  <c r="BF1540" i="1"/>
  <c r="BG1540" i="1"/>
  <c r="BF1541" i="1"/>
  <c r="BG1541" i="1"/>
  <c r="BF1542" i="1"/>
  <c r="BG1542" i="1"/>
  <c r="BF1543" i="1"/>
  <c r="BG1543" i="1"/>
  <c r="BF1544" i="1"/>
  <c r="BG1544" i="1"/>
  <c r="BF1545" i="1"/>
  <c r="BG1545" i="1"/>
  <c r="BF1546" i="1"/>
  <c r="BG1546" i="1"/>
  <c r="BF1547" i="1"/>
  <c r="BG1547" i="1"/>
  <c r="BF1548" i="1"/>
  <c r="BG1548" i="1"/>
  <c r="BF1549" i="1"/>
  <c r="BG1549" i="1"/>
  <c r="BF1550" i="1"/>
  <c r="BG1550" i="1"/>
  <c r="BF1551" i="1"/>
  <c r="BG1551" i="1"/>
  <c r="BF1552" i="1"/>
  <c r="BG1552" i="1"/>
  <c r="BF1553" i="1"/>
  <c r="BG1553" i="1"/>
  <c r="BF1554" i="1"/>
  <c r="BG1554" i="1"/>
  <c r="BF1555" i="1"/>
  <c r="BG1555" i="1"/>
  <c r="BF1556" i="1"/>
  <c r="BG1556" i="1"/>
  <c r="BF1557" i="1"/>
  <c r="BG1557" i="1"/>
  <c r="BF1558" i="1"/>
  <c r="BG1558" i="1"/>
  <c r="BF1559" i="1"/>
  <c r="BG1559" i="1"/>
  <c r="BF1560" i="1"/>
  <c r="BG1560" i="1"/>
  <c r="BF1561" i="1"/>
  <c r="BG1561" i="1"/>
  <c r="BF1562" i="1"/>
  <c r="BG1562" i="1"/>
  <c r="BF1563" i="1"/>
  <c r="BG1563" i="1"/>
  <c r="BF1564" i="1"/>
  <c r="BG1564" i="1"/>
  <c r="BF1565" i="1"/>
  <c r="BG1565" i="1"/>
  <c r="BF1566" i="1"/>
  <c r="BG1566" i="1"/>
  <c r="BF1567" i="1"/>
  <c r="BG1567" i="1"/>
  <c r="BF1568" i="1"/>
  <c r="BG1568" i="1"/>
  <c r="BF1569" i="1"/>
  <c r="BG1569" i="1"/>
  <c r="BF1570" i="1"/>
  <c r="BG1570" i="1"/>
  <c r="BF1571" i="1"/>
  <c r="BG1571" i="1"/>
  <c r="BF1572" i="1"/>
  <c r="BG1572" i="1"/>
  <c r="BF1573" i="1"/>
  <c r="BG1573" i="1"/>
  <c r="BF1574" i="1"/>
  <c r="BG1574" i="1"/>
  <c r="BF1575" i="1"/>
  <c r="BG1575" i="1"/>
  <c r="BF1576" i="1"/>
  <c r="BG1576" i="1"/>
  <c r="BF1577" i="1"/>
  <c r="BG1577" i="1"/>
  <c r="BF1578" i="1"/>
  <c r="BG1578" i="1"/>
  <c r="BF1579" i="1"/>
  <c r="BG1579" i="1"/>
  <c r="BF1580" i="1"/>
  <c r="BG1580" i="1"/>
  <c r="BF1581" i="1"/>
  <c r="BG1581" i="1"/>
  <c r="BF1582" i="1"/>
  <c r="BG1582" i="1"/>
  <c r="BF1583" i="1"/>
  <c r="BG1583" i="1"/>
  <c r="BF1584" i="1"/>
  <c r="BG1584" i="1"/>
  <c r="BF1585" i="1"/>
  <c r="BG1585" i="1"/>
  <c r="BF1586" i="1"/>
  <c r="BG1586" i="1"/>
  <c r="BF1587" i="1"/>
  <c r="BG1587" i="1"/>
  <c r="BF1588" i="1"/>
  <c r="BG1588" i="1"/>
  <c r="BF1589" i="1"/>
  <c r="BG1589" i="1"/>
  <c r="BF1590" i="1"/>
  <c r="BG1590" i="1"/>
  <c r="BF1591" i="1"/>
  <c r="BG1591" i="1"/>
  <c r="BF1592" i="1"/>
  <c r="BG1592" i="1"/>
  <c r="BF1593" i="1"/>
  <c r="BG1593" i="1"/>
  <c r="BF1594" i="1"/>
  <c r="BG1594" i="1"/>
  <c r="BF1595" i="1"/>
  <c r="BG1595" i="1"/>
  <c r="BF1596" i="1"/>
  <c r="BG1596" i="1"/>
  <c r="BF1597" i="1"/>
  <c r="BG1597" i="1"/>
  <c r="BF1598" i="1"/>
  <c r="BG1598" i="1"/>
  <c r="BF1599" i="1"/>
  <c r="BG1599" i="1"/>
  <c r="BF1600" i="1"/>
  <c r="BG1600" i="1"/>
  <c r="BF1601" i="1"/>
  <c r="BG1601" i="1"/>
  <c r="BF1602" i="1"/>
  <c r="BG1602" i="1"/>
  <c r="BF1603" i="1"/>
  <c r="BG1603" i="1"/>
  <c r="BF1604" i="1"/>
  <c r="BG1604" i="1"/>
  <c r="BF1605" i="1"/>
  <c r="BG1605" i="1"/>
  <c r="BF1606" i="1"/>
  <c r="BG1606" i="1"/>
  <c r="BF1607" i="1"/>
  <c r="BG1607" i="1"/>
  <c r="BF1608" i="1"/>
  <c r="BG1608" i="1"/>
  <c r="BF1609" i="1"/>
  <c r="BG1609" i="1"/>
  <c r="BF1610" i="1"/>
  <c r="BG1610" i="1"/>
  <c r="BF1611" i="1"/>
  <c r="BG1611" i="1"/>
  <c r="BF1612" i="1"/>
  <c r="BG1612" i="1"/>
  <c r="BF1613" i="1"/>
  <c r="BG1613" i="1"/>
  <c r="BF1614" i="1"/>
  <c r="BG1614" i="1"/>
  <c r="BF1615" i="1"/>
  <c r="BG1615" i="1"/>
  <c r="BF1616" i="1"/>
  <c r="BG1616" i="1"/>
  <c r="BF1617" i="1"/>
  <c r="BG1617" i="1"/>
  <c r="BF1618" i="1"/>
  <c r="BG1618" i="1"/>
  <c r="BF1619" i="1"/>
  <c r="BG1619" i="1"/>
  <c r="BF1620" i="1"/>
  <c r="BG1620" i="1"/>
  <c r="BF1621" i="1"/>
  <c r="BG1621" i="1"/>
  <c r="BF1622" i="1"/>
  <c r="BG1622" i="1"/>
  <c r="BF1623" i="1"/>
  <c r="BG1623" i="1"/>
  <c r="BF1624" i="1"/>
  <c r="BG1624" i="1"/>
  <c r="BF1625" i="1"/>
  <c r="BG1625" i="1"/>
  <c r="BF1626" i="1"/>
  <c r="BG1626" i="1"/>
  <c r="BF1627" i="1"/>
  <c r="BG1627" i="1"/>
  <c r="BF1628" i="1"/>
  <c r="BG1628" i="1"/>
  <c r="BF1629" i="1"/>
  <c r="BG1629" i="1"/>
  <c r="BF1630" i="1"/>
  <c r="BG1630" i="1"/>
  <c r="BF1631" i="1"/>
  <c r="BG1631" i="1"/>
  <c r="BF1632" i="1"/>
  <c r="BG1632" i="1"/>
  <c r="BF1633" i="1"/>
  <c r="BG1633" i="1"/>
  <c r="BF1634" i="1"/>
  <c r="BG1634" i="1"/>
  <c r="BF1635" i="1"/>
  <c r="BG1635" i="1"/>
  <c r="BF1636" i="1"/>
  <c r="BG1636" i="1"/>
  <c r="BF1637" i="1"/>
  <c r="BG1637" i="1"/>
  <c r="BF1638" i="1"/>
  <c r="BG1638" i="1"/>
  <c r="BF1639" i="1"/>
  <c r="BG1639" i="1"/>
  <c r="BF1640" i="1"/>
  <c r="BG1640" i="1"/>
  <c r="BF1641" i="1"/>
  <c r="BG1641" i="1"/>
  <c r="BF1642" i="1"/>
  <c r="BG1642" i="1"/>
  <c r="BF1643" i="1"/>
  <c r="BG1643" i="1"/>
  <c r="BF1644" i="1"/>
  <c r="BG1644" i="1"/>
  <c r="BF1645" i="1"/>
  <c r="BG1645" i="1"/>
  <c r="BF1646" i="1"/>
  <c r="BG1646" i="1"/>
  <c r="BF1647" i="1"/>
  <c r="BG1647" i="1"/>
  <c r="BF1648" i="1"/>
  <c r="BG1648" i="1"/>
  <c r="BF1649" i="1"/>
  <c r="BG1649" i="1"/>
  <c r="BF1650" i="1"/>
  <c r="BG1650" i="1"/>
  <c r="BF1651" i="1"/>
  <c r="BG1651" i="1"/>
  <c r="BF1652" i="1"/>
  <c r="BG1652" i="1"/>
  <c r="BF1653" i="1"/>
  <c r="BG1653" i="1"/>
  <c r="BF1654" i="1"/>
  <c r="BG1654" i="1"/>
  <c r="BF1655" i="1"/>
  <c r="BG1655" i="1"/>
  <c r="BF1656" i="1"/>
  <c r="BG1656" i="1"/>
  <c r="BF1657" i="1"/>
  <c r="BG1657" i="1"/>
  <c r="BF1658" i="1"/>
  <c r="BG1658" i="1"/>
  <c r="BF1659" i="1"/>
  <c r="BG1659" i="1"/>
  <c r="BF1660" i="1"/>
  <c r="BG1660" i="1"/>
  <c r="BF1661" i="1"/>
  <c r="BG1661" i="1"/>
  <c r="BF1662" i="1"/>
  <c r="BG1662" i="1"/>
  <c r="BF1663" i="1"/>
  <c r="BG1663" i="1"/>
  <c r="BF1664" i="1"/>
  <c r="BG1664" i="1"/>
  <c r="BF1665" i="1"/>
  <c r="BG1665" i="1"/>
  <c r="BF1666" i="1"/>
  <c r="BG1666" i="1"/>
  <c r="BF1667" i="1"/>
  <c r="BG1667" i="1"/>
  <c r="BF1668" i="1"/>
  <c r="BG1668" i="1"/>
  <c r="BF1669" i="1"/>
  <c r="BG1669" i="1"/>
  <c r="BF1670" i="1"/>
  <c r="BG1670" i="1"/>
  <c r="BF1671" i="1"/>
  <c r="BG1671" i="1"/>
  <c r="BF1672" i="1"/>
  <c r="BG1672" i="1"/>
  <c r="BF1673" i="1"/>
  <c r="BG1673" i="1"/>
  <c r="BF1674" i="1"/>
  <c r="BG1674" i="1"/>
  <c r="BF1675" i="1"/>
  <c r="BG1675" i="1"/>
  <c r="BF1676" i="1"/>
  <c r="BG1676" i="1"/>
  <c r="BF1677" i="1"/>
  <c r="BG1677" i="1"/>
  <c r="BF1678" i="1"/>
  <c r="BG1678" i="1"/>
  <c r="BF1679" i="1"/>
  <c r="BG1679" i="1"/>
  <c r="BF1680" i="1"/>
  <c r="BG1680" i="1"/>
  <c r="BF1681" i="1"/>
  <c r="BG1681" i="1"/>
  <c r="BF1682" i="1"/>
  <c r="BG1682" i="1"/>
  <c r="BF1683" i="1"/>
  <c r="BG1683" i="1"/>
  <c r="BF1684" i="1"/>
  <c r="BG1684" i="1"/>
  <c r="BF1685" i="1"/>
  <c r="BG1685" i="1"/>
  <c r="BF1686" i="1"/>
  <c r="BG1686" i="1"/>
  <c r="BF1687" i="1"/>
  <c r="BG1687" i="1"/>
  <c r="BF1688" i="1"/>
  <c r="BG1688" i="1"/>
  <c r="BF1689" i="1"/>
  <c r="BG1689" i="1"/>
  <c r="BF1690" i="1"/>
  <c r="BG1690" i="1"/>
  <c r="BF1691" i="1"/>
  <c r="BG1691" i="1"/>
  <c r="BF1692" i="1"/>
  <c r="BG1692" i="1"/>
  <c r="BF1693" i="1"/>
  <c r="BG1693" i="1"/>
  <c r="BF1694" i="1"/>
  <c r="BG1694" i="1"/>
  <c r="BF1695" i="1"/>
  <c r="BG1695" i="1"/>
  <c r="BF1696" i="1"/>
  <c r="BG1696" i="1"/>
  <c r="BF1697" i="1"/>
  <c r="BG1697" i="1"/>
  <c r="BF1698" i="1"/>
  <c r="BG1698" i="1"/>
  <c r="BF1699" i="1"/>
  <c r="BG1699" i="1"/>
  <c r="BF1700" i="1"/>
  <c r="BG1700" i="1"/>
  <c r="BF1701" i="1"/>
  <c r="BG1701" i="1"/>
  <c r="BF1702" i="1"/>
  <c r="BG1702" i="1"/>
  <c r="BF1703" i="1"/>
  <c r="BG1703" i="1"/>
  <c r="BF1704" i="1"/>
  <c r="BG1704" i="1"/>
  <c r="BF1705" i="1"/>
  <c r="BG1705" i="1"/>
  <c r="BF1706" i="1"/>
  <c r="BG1706" i="1"/>
  <c r="BF1707" i="1"/>
  <c r="BG1707" i="1"/>
  <c r="BF1708" i="1"/>
  <c r="BG1708" i="1"/>
  <c r="BF1709" i="1"/>
  <c r="BG1709" i="1"/>
  <c r="BF1710" i="1"/>
  <c r="BG1710" i="1"/>
  <c r="BF1711" i="1"/>
  <c r="BG1711" i="1"/>
  <c r="BF1712" i="1"/>
  <c r="BG1712" i="1"/>
  <c r="BF1713" i="1"/>
  <c r="BG1713" i="1"/>
  <c r="BF1714" i="1"/>
  <c r="BG1714" i="1"/>
  <c r="BF1715" i="1"/>
  <c r="BG1715" i="1"/>
  <c r="BF1716" i="1"/>
  <c r="BG1716" i="1"/>
  <c r="BF1717" i="1"/>
  <c r="BG1717" i="1"/>
  <c r="BF1718" i="1"/>
  <c r="BG1718" i="1"/>
  <c r="BF1719" i="1"/>
  <c r="BG1719" i="1"/>
  <c r="BF1720" i="1"/>
  <c r="BG1720" i="1"/>
  <c r="BF1721" i="1"/>
  <c r="BG1721" i="1"/>
  <c r="BF1722" i="1"/>
  <c r="BG1722" i="1"/>
  <c r="BF1723" i="1"/>
  <c r="BG1723" i="1"/>
  <c r="BF1724" i="1"/>
  <c r="BG1724" i="1"/>
  <c r="BF1725" i="1"/>
  <c r="BG1725" i="1"/>
  <c r="BF1726" i="1"/>
  <c r="BG1726" i="1"/>
  <c r="BF1727" i="1"/>
  <c r="BG1727" i="1"/>
  <c r="BF1728" i="1"/>
  <c r="BG1728" i="1"/>
  <c r="BF1729" i="1"/>
  <c r="BG1729" i="1"/>
  <c r="BF1730" i="1"/>
  <c r="BG1730" i="1"/>
  <c r="BF1731" i="1"/>
  <c r="BG1731" i="1"/>
  <c r="BF1732" i="1"/>
  <c r="BG1732" i="1"/>
  <c r="BF1733" i="1"/>
  <c r="BG1733" i="1"/>
  <c r="BF1734" i="1"/>
  <c r="BG1734" i="1"/>
  <c r="BF1735" i="1"/>
  <c r="BG1735" i="1"/>
  <c r="BF1736" i="1"/>
  <c r="BG1736" i="1"/>
  <c r="BF1737" i="1"/>
  <c r="BG1737" i="1"/>
  <c r="BF1738" i="1"/>
  <c r="BG1738" i="1"/>
  <c r="BF1739" i="1"/>
  <c r="BG1739" i="1"/>
  <c r="BF1740" i="1"/>
  <c r="BG1740" i="1"/>
  <c r="BF1741" i="1"/>
  <c r="BG1741" i="1"/>
  <c r="BF1742" i="1"/>
  <c r="BG1742" i="1"/>
  <c r="BF1743" i="1"/>
  <c r="BG1743" i="1"/>
  <c r="BF1744" i="1"/>
  <c r="BG1744" i="1"/>
  <c r="BF1745" i="1"/>
  <c r="BG1745" i="1"/>
  <c r="BF1746" i="1"/>
  <c r="BG1746" i="1"/>
  <c r="BF1747" i="1"/>
  <c r="BG1747" i="1"/>
  <c r="BF1748" i="1"/>
  <c r="BG1748" i="1"/>
  <c r="BF1749" i="1"/>
  <c r="BG1749" i="1"/>
  <c r="BF1750" i="1"/>
  <c r="BG1750" i="1"/>
  <c r="BF1751" i="1"/>
  <c r="BG1751" i="1"/>
  <c r="BF1752" i="1"/>
  <c r="BG1752" i="1"/>
  <c r="BF1753" i="1"/>
  <c r="BG1753" i="1"/>
  <c r="BF1754" i="1"/>
  <c r="BG1754" i="1"/>
  <c r="BF1755" i="1"/>
  <c r="BG1755" i="1"/>
  <c r="BF1756" i="1"/>
  <c r="BG1756" i="1"/>
  <c r="BF1757" i="1"/>
  <c r="BG1757" i="1"/>
  <c r="BF1758" i="1"/>
  <c r="BG1758" i="1"/>
  <c r="BF1759" i="1"/>
  <c r="BG1759" i="1"/>
  <c r="BF1760" i="1"/>
  <c r="BG1760" i="1"/>
  <c r="BF1761" i="1"/>
  <c r="BG1761" i="1"/>
  <c r="BF1762" i="1"/>
  <c r="BG1762" i="1"/>
  <c r="BF1763" i="1"/>
  <c r="BG1763" i="1"/>
  <c r="BF1764" i="1"/>
  <c r="BG1764" i="1"/>
  <c r="BF1765" i="1"/>
  <c r="BG1765" i="1"/>
  <c r="BF1766" i="1"/>
  <c r="BG1766" i="1"/>
  <c r="BF1767" i="1"/>
  <c r="BG1767" i="1"/>
  <c r="BF1768" i="1"/>
  <c r="BG1768" i="1"/>
  <c r="BF1769" i="1"/>
  <c r="BG1769" i="1"/>
  <c r="BF1770" i="1"/>
  <c r="BG1770" i="1"/>
  <c r="BF1771" i="1"/>
  <c r="BG1771" i="1"/>
  <c r="BF1772" i="1"/>
  <c r="BG1772" i="1"/>
  <c r="BF1773" i="1"/>
  <c r="BG1773" i="1"/>
  <c r="BF1774" i="1"/>
  <c r="BG1774" i="1"/>
  <c r="BF1775" i="1"/>
  <c r="BG1775" i="1"/>
  <c r="BF1776" i="1"/>
  <c r="BG1776" i="1"/>
  <c r="BF1777" i="1"/>
  <c r="BG1777" i="1"/>
  <c r="BF1778" i="1"/>
  <c r="BG1778" i="1"/>
  <c r="BF1779" i="1"/>
  <c r="BG1779" i="1"/>
  <c r="BF1780" i="1"/>
  <c r="BG1780" i="1"/>
  <c r="BF1781" i="1"/>
  <c r="BG1781" i="1"/>
  <c r="BF1782" i="1"/>
  <c r="BG1782" i="1"/>
  <c r="BF1783" i="1"/>
  <c r="BG1783" i="1"/>
  <c r="BF1784" i="1"/>
  <c r="BG1784" i="1"/>
  <c r="BF1785" i="1"/>
  <c r="BG1785" i="1"/>
  <c r="BF1786" i="1"/>
  <c r="BG1786" i="1"/>
  <c r="BF1787" i="1"/>
  <c r="BG1787" i="1"/>
  <c r="BF1788" i="1"/>
  <c r="BG1788" i="1"/>
  <c r="BF1789" i="1"/>
  <c r="BG1789" i="1"/>
  <c r="BF1790" i="1"/>
  <c r="BG1790" i="1"/>
  <c r="BF1791" i="1"/>
  <c r="BG1791" i="1"/>
  <c r="BF1792" i="1"/>
  <c r="BG1792" i="1"/>
  <c r="BF1793" i="1"/>
  <c r="BG1793" i="1"/>
  <c r="BF1794" i="1"/>
  <c r="BG1794" i="1"/>
  <c r="BF1795" i="1"/>
  <c r="BG1795" i="1"/>
  <c r="BF1796" i="1"/>
  <c r="BG1796" i="1"/>
  <c r="BF1797" i="1"/>
  <c r="BG1797" i="1"/>
  <c r="BF1798" i="1"/>
  <c r="BG1798" i="1"/>
  <c r="BF1799" i="1"/>
  <c r="BG1799" i="1"/>
  <c r="BF1800" i="1"/>
  <c r="BG1800" i="1"/>
  <c r="BF1801" i="1"/>
  <c r="BG1801" i="1"/>
  <c r="BF1802" i="1"/>
  <c r="BG1802" i="1"/>
  <c r="BF1803" i="1"/>
  <c r="BG1803" i="1"/>
  <c r="BF1804" i="1"/>
  <c r="BG1804" i="1"/>
  <c r="BF1805" i="1"/>
  <c r="BG1805" i="1"/>
  <c r="BF1806" i="1"/>
  <c r="BG1806" i="1"/>
  <c r="BF1807" i="1"/>
  <c r="BG1807" i="1"/>
  <c r="BF1808" i="1"/>
  <c r="BG1808" i="1"/>
  <c r="BF1809" i="1"/>
  <c r="BG1809" i="1"/>
  <c r="BF1810" i="1"/>
  <c r="BG1810" i="1"/>
  <c r="BF1811" i="1"/>
  <c r="BG1811" i="1"/>
  <c r="BF1812" i="1"/>
  <c r="BG1812" i="1"/>
  <c r="BF1813" i="1"/>
  <c r="BG1813" i="1"/>
  <c r="BF1814" i="1"/>
  <c r="BG1814" i="1"/>
  <c r="BF1815" i="1"/>
  <c r="BG1815" i="1"/>
  <c r="BF1816" i="1"/>
  <c r="BG1816" i="1"/>
  <c r="BF1817" i="1"/>
  <c r="BG1817" i="1"/>
  <c r="BF1818" i="1"/>
  <c r="BG1818" i="1"/>
  <c r="BF1819" i="1"/>
  <c r="BG1819" i="1"/>
  <c r="BF1820" i="1"/>
  <c r="BG1820" i="1"/>
  <c r="BF1821" i="1"/>
  <c r="BG1821" i="1"/>
  <c r="BF1822" i="1"/>
  <c r="BG1822" i="1"/>
  <c r="BF1823" i="1"/>
  <c r="BG1823" i="1"/>
  <c r="BF1824" i="1"/>
  <c r="BG1824" i="1"/>
  <c r="BF1825" i="1"/>
  <c r="BG1825" i="1"/>
  <c r="BF1826" i="1"/>
  <c r="BG1826" i="1"/>
  <c r="BF1827" i="1"/>
  <c r="BG1827" i="1"/>
  <c r="BF1828" i="1"/>
  <c r="BG1828" i="1"/>
  <c r="BF1829" i="1"/>
  <c r="BG1829" i="1"/>
  <c r="BF1830" i="1"/>
  <c r="BG1830" i="1"/>
  <c r="BF1831" i="1"/>
  <c r="BG1831" i="1"/>
  <c r="BF1832" i="1"/>
  <c r="BG1832" i="1"/>
  <c r="BF1833" i="1"/>
  <c r="BG1833" i="1"/>
  <c r="BF1834" i="1"/>
  <c r="BG1834" i="1"/>
  <c r="BF1835" i="1"/>
  <c r="BG1835" i="1"/>
  <c r="BF1836" i="1"/>
  <c r="BG1836" i="1"/>
  <c r="BF1837" i="1"/>
  <c r="BG1837" i="1"/>
  <c r="BF1838" i="1"/>
  <c r="BG1838" i="1"/>
  <c r="BF1839" i="1"/>
  <c r="BG1839" i="1"/>
  <c r="BF1840" i="1"/>
  <c r="BG1840" i="1"/>
  <c r="BF1841" i="1"/>
  <c r="BG1841" i="1"/>
  <c r="BF1842" i="1"/>
  <c r="BG1842" i="1"/>
  <c r="BF1843" i="1"/>
  <c r="BG1843" i="1"/>
  <c r="BF1844" i="1"/>
  <c r="BG1844" i="1"/>
  <c r="BF1845" i="1"/>
  <c r="BG1845" i="1"/>
  <c r="BF1846" i="1"/>
  <c r="BG1846" i="1"/>
  <c r="BF1847" i="1"/>
  <c r="BG1847" i="1"/>
  <c r="BF1848" i="1"/>
  <c r="BG1848" i="1"/>
  <c r="BF1849" i="1"/>
  <c r="BG1849" i="1"/>
  <c r="BF1850" i="1"/>
  <c r="BG1850" i="1"/>
  <c r="BF1851" i="1"/>
  <c r="BG1851" i="1"/>
  <c r="BF1852" i="1"/>
  <c r="BG1852" i="1"/>
  <c r="BF1853" i="1"/>
  <c r="BG1853" i="1"/>
  <c r="BF1854" i="1"/>
  <c r="BG1854" i="1"/>
  <c r="BF1855" i="1"/>
  <c r="BG1855" i="1"/>
  <c r="BF1856" i="1"/>
  <c r="BG1856" i="1"/>
  <c r="BF1857" i="1"/>
  <c r="BG1857" i="1"/>
  <c r="BF1858" i="1"/>
  <c r="BG1858" i="1"/>
  <c r="BF1859" i="1"/>
  <c r="BG1859" i="1"/>
  <c r="BF1860" i="1"/>
  <c r="BG1860" i="1"/>
  <c r="BF1861" i="1"/>
  <c r="BG1861" i="1"/>
  <c r="BF1862" i="1"/>
  <c r="BG1862" i="1"/>
  <c r="BF1863" i="1"/>
  <c r="BG1863" i="1"/>
  <c r="BF1864" i="1"/>
  <c r="BG1864" i="1"/>
  <c r="BF1865" i="1"/>
  <c r="BG1865" i="1"/>
  <c r="BF1866" i="1"/>
  <c r="BG1866" i="1"/>
  <c r="BF1867" i="1"/>
  <c r="BG1867" i="1"/>
  <c r="BF1868" i="1"/>
  <c r="BG1868" i="1"/>
  <c r="BF1869" i="1"/>
  <c r="BG1869" i="1"/>
  <c r="BF1870" i="1"/>
  <c r="BG1870" i="1"/>
  <c r="BF1871" i="1"/>
  <c r="BG1871" i="1"/>
  <c r="BF1872" i="1"/>
  <c r="BG1872" i="1"/>
  <c r="BF1873" i="1"/>
  <c r="BG1873" i="1"/>
  <c r="BF1874" i="1"/>
  <c r="BG1874" i="1"/>
  <c r="BF1875" i="1"/>
  <c r="BG1875" i="1"/>
  <c r="BF1876" i="1"/>
  <c r="BG1876" i="1"/>
  <c r="BF1877" i="1"/>
  <c r="BG1877" i="1"/>
  <c r="BF1878" i="1"/>
  <c r="BG1878" i="1"/>
  <c r="BF1879" i="1"/>
  <c r="BG1879" i="1"/>
  <c r="BF1880" i="1"/>
  <c r="BG1880" i="1"/>
  <c r="BF1881" i="1"/>
  <c r="BG1881" i="1"/>
  <c r="BF1882" i="1"/>
  <c r="BG1882" i="1"/>
  <c r="BF1883" i="1"/>
  <c r="BG1883" i="1"/>
  <c r="BF1884" i="1"/>
  <c r="BG1884" i="1"/>
  <c r="BF1885" i="1"/>
  <c r="BG1885" i="1"/>
  <c r="BF1886" i="1"/>
  <c r="BG1886" i="1"/>
  <c r="BF1887" i="1"/>
  <c r="BG1887" i="1"/>
  <c r="BF1888" i="1"/>
  <c r="BG1888" i="1"/>
  <c r="BF1889" i="1"/>
  <c r="BG1889" i="1"/>
  <c r="BF1890" i="1"/>
  <c r="BG1890" i="1"/>
  <c r="BF1891" i="1"/>
  <c r="BG1891" i="1"/>
  <c r="BF1892" i="1"/>
  <c r="BG1892" i="1"/>
  <c r="BF1893" i="1"/>
  <c r="BG1893" i="1"/>
  <c r="BF1894" i="1"/>
  <c r="BG1894" i="1"/>
  <c r="BF1895" i="1"/>
  <c r="BG1895" i="1"/>
  <c r="BF1896" i="1"/>
  <c r="BG1896" i="1"/>
  <c r="BF1897" i="1"/>
  <c r="BG1897" i="1"/>
  <c r="BF1898" i="1"/>
  <c r="BG1898" i="1"/>
  <c r="BF1899" i="1"/>
  <c r="BG1899" i="1"/>
  <c r="BF1900" i="1"/>
  <c r="BG1900" i="1"/>
  <c r="BF1901" i="1"/>
  <c r="BG1901" i="1"/>
  <c r="BF1902" i="1"/>
  <c r="BG1902" i="1"/>
  <c r="BF1903" i="1"/>
  <c r="BG1903" i="1"/>
  <c r="BF1904" i="1"/>
  <c r="BG1904" i="1"/>
  <c r="BF1905" i="1"/>
  <c r="BG1905" i="1"/>
  <c r="BF1906" i="1"/>
  <c r="BG1906" i="1"/>
  <c r="BF1907" i="1"/>
  <c r="BG1907" i="1"/>
  <c r="BF1908" i="1"/>
  <c r="BG1908" i="1"/>
  <c r="BF1909" i="1"/>
  <c r="BG1909" i="1"/>
  <c r="BF1910" i="1"/>
  <c r="BG1910" i="1"/>
  <c r="BF1911" i="1"/>
  <c r="BG1911" i="1"/>
  <c r="BF1912" i="1"/>
  <c r="BG1912" i="1"/>
  <c r="BF1913" i="1"/>
  <c r="BG1913" i="1"/>
  <c r="BF1914" i="1"/>
  <c r="BG1914" i="1"/>
  <c r="BF1915" i="1"/>
  <c r="BG1915" i="1"/>
  <c r="BF1916" i="1"/>
  <c r="BG1916" i="1"/>
  <c r="BF1917" i="1"/>
  <c r="BG1917" i="1"/>
  <c r="BF1918" i="1"/>
  <c r="BG1918" i="1"/>
  <c r="BF1919" i="1"/>
  <c r="BG1919" i="1"/>
  <c r="BF1920" i="1"/>
  <c r="BG1920" i="1"/>
  <c r="BF1921" i="1"/>
  <c r="BG1921" i="1"/>
  <c r="BF1922" i="1"/>
  <c r="BG1922" i="1"/>
  <c r="BF1923" i="1"/>
  <c r="BG1923" i="1"/>
  <c r="BF1924" i="1"/>
  <c r="BG1924" i="1"/>
  <c r="BF1925" i="1"/>
  <c r="BG1925" i="1"/>
  <c r="BF1926" i="1"/>
  <c r="BG1926" i="1"/>
  <c r="BF1927" i="1"/>
  <c r="BG1927" i="1"/>
  <c r="BF1928" i="1"/>
  <c r="BG1928" i="1"/>
  <c r="BF1929" i="1"/>
  <c r="BG1929" i="1"/>
  <c r="BF1930" i="1"/>
  <c r="BG1930" i="1"/>
  <c r="BF1931" i="1"/>
  <c r="BG1931" i="1"/>
  <c r="BF1932" i="1"/>
  <c r="BG1932" i="1"/>
  <c r="BF1933" i="1"/>
  <c r="BG1933" i="1"/>
  <c r="BF1934" i="1"/>
  <c r="BG1934" i="1"/>
  <c r="BF1935" i="1"/>
  <c r="BG1935" i="1"/>
  <c r="BF1936" i="1"/>
  <c r="BG1936" i="1"/>
  <c r="BF1937" i="1"/>
  <c r="BG1937" i="1"/>
  <c r="BF1938" i="1"/>
  <c r="BG1938" i="1"/>
  <c r="BF1939" i="1"/>
  <c r="BG1939" i="1"/>
  <c r="BF1940" i="1"/>
  <c r="BG1940" i="1"/>
  <c r="BF1941" i="1"/>
  <c r="BG1941" i="1"/>
  <c r="BF1942" i="1"/>
  <c r="BG1942" i="1"/>
  <c r="BF1943" i="1"/>
  <c r="BG1943" i="1"/>
  <c r="BF1944" i="1"/>
  <c r="BG1944" i="1"/>
  <c r="BF1945" i="1"/>
  <c r="BG1945" i="1"/>
  <c r="BF1946" i="1"/>
  <c r="BG1946" i="1"/>
  <c r="BF1947" i="1"/>
  <c r="BG1947" i="1"/>
  <c r="BF1948" i="1"/>
  <c r="BG1948" i="1"/>
  <c r="BF1949" i="1"/>
  <c r="BG1949" i="1"/>
  <c r="BF1950" i="1"/>
  <c r="BG1950" i="1"/>
  <c r="BF1951" i="1"/>
  <c r="BG1951" i="1"/>
  <c r="BF1952" i="1"/>
  <c r="BG1952" i="1"/>
  <c r="BF1953" i="1"/>
  <c r="BG1953" i="1"/>
  <c r="BF1954" i="1"/>
  <c r="BG1954" i="1"/>
  <c r="BF1955" i="1"/>
  <c r="BG1955" i="1"/>
  <c r="BF1956" i="1"/>
  <c r="BG1956" i="1"/>
  <c r="BF1957" i="1"/>
  <c r="BG1957" i="1"/>
  <c r="BF1958" i="1"/>
  <c r="BG1958" i="1"/>
  <c r="BF1959" i="1"/>
  <c r="BG1959" i="1"/>
  <c r="BF1960" i="1"/>
  <c r="BG1960" i="1"/>
  <c r="BF1961" i="1"/>
  <c r="BG1961" i="1"/>
  <c r="BF1962" i="1"/>
  <c r="BG1962" i="1"/>
  <c r="BF1963" i="1"/>
  <c r="BG1963" i="1"/>
  <c r="BF1964" i="1"/>
  <c r="BG1964" i="1"/>
  <c r="BF1965" i="1"/>
  <c r="BG1965" i="1"/>
  <c r="BF1966" i="1"/>
  <c r="BG1966" i="1"/>
  <c r="BF1967" i="1"/>
  <c r="BG1967" i="1"/>
  <c r="BF1968" i="1"/>
  <c r="BG1968" i="1"/>
  <c r="BF1969" i="1"/>
  <c r="BG1969" i="1"/>
  <c r="BF1970" i="1"/>
  <c r="BG1970" i="1"/>
  <c r="BF1971" i="1"/>
  <c r="BG1971" i="1"/>
  <c r="BF1972" i="1"/>
  <c r="BG1972" i="1"/>
  <c r="BF1973" i="1"/>
  <c r="BG1973" i="1"/>
  <c r="BF1974" i="1"/>
  <c r="BG1974" i="1"/>
  <c r="BF1975" i="1"/>
  <c r="BG1975" i="1"/>
  <c r="BF1976" i="1"/>
  <c r="BG1976" i="1"/>
  <c r="BF1977" i="1"/>
  <c r="BG1977" i="1"/>
  <c r="BF1978" i="1"/>
  <c r="BG1978" i="1"/>
  <c r="BF1979" i="1"/>
  <c r="BG1979" i="1"/>
  <c r="BF1980" i="1"/>
  <c r="BG1980" i="1"/>
  <c r="BF1981" i="1"/>
  <c r="BG1981" i="1"/>
  <c r="BF1982" i="1"/>
  <c r="BG1982" i="1"/>
  <c r="BF1983" i="1"/>
  <c r="BG1983" i="1"/>
  <c r="BF1984" i="1"/>
  <c r="BG1984" i="1"/>
  <c r="BF1985" i="1"/>
  <c r="BG1985" i="1"/>
  <c r="BF1986" i="1"/>
  <c r="BG1986" i="1"/>
  <c r="BF1987" i="1"/>
  <c r="BG1987" i="1"/>
  <c r="BF1988" i="1"/>
  <c r="BG1988" i="1"/>
  <c r="BF1989" i="1"/>
  <c r="BG1989" i="1"/>
  <c r="BF1990" i="1"/>
  <c r="BG1990" i="1"/>
  <c r="BF1991" i="1"/>
  <c r="BG1991" i="1"/>
  <c r="BF1992" i="1"/>
  <c r="BG1992" i="1"/>
  <c r="BF1993" i="1"/>
  <c r="L5" i="58"/>
  <c r="D5" i="58"/>
  <c r="B5" i="58"/>
  <c r="DS288" i="1"/>
  <c r="DS289" i="1"/>
  <c r="DS290" i="1"/>
  <c r="DR288" i="1"/>
  <c r="DR289" i="1"/>
  <c r="DR290" i="1"/>
  <c r="DR291" i="1"/>
  <c r="DR292" i="1"/>
  <c r="DR293" i="1"/>
  <c r="DS286" i="1"/>
  <c r="DS287" i="1"/>
  <c r="DR287" i="1"/>
  <c r="DR286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H248" i="2" l="1"/>
  <c r="G248" i="2"/>
  <c r="Q248" i="2"/>
  <c r="AD248" i="2"/>
  <c r="U248" i="2"/>
  <c r="AG248" i="2"/>
  <c r="Y248" i="2"/>
  <c r="V248" i="2"/>
  <c r="S248" i="2"/>
  <c r="AI248" i="2"/>
  <c r="AA248" i="2"/>
  <c r="W248" i="2"/>
  <c r="I248" i="2"/>
  <c r="AE248" i="2"/>
  <c r="O248" i="2"/>
  <c r="J248" i="2"/>
  <c r="AJ248" i="2"/>
  <c r="AB248" i="2"/>
  <c r="T248" i="2"/>
  <c r="AF248" i="2"/>
  <c r="X248" i="2"/>
  <c r="P248" i="2"/>
  <c r="K248" i="2"/>
  <c r="F248" i="2"/>
  <c r="D248" i="2"/>
  <c r="E248" i="2"/>
  <c r="AC248" i="2"/>
  <c r="N248" i="2"/>
  <c r="M248" i="2"/>
  <c r="AH248" i="2"/>
  <c r="Z248" i="2"/>
  <c r="R248" i="2"/>
  <c r="L248" i="2"/>
  <c r="DR285" i="1"/>
  <c r="DS285" i="1"/>
  <c r="DS282" i="1" l="1"/>
  <c r="DS283" i="1"/>
  <c r="DS284" i="1"/>
  <c r="DR282" i="1"/>
  <c r="DR283" i="1"/>
  <c r="DR284" i="1"/>
  <c r="C5" i="1"/>
  <c r="DS281" i="1"/>
  <c r="DR281" i="1"/>
  <c r="DR279" i="1" l="1"/>
  <c r="DS279" i="1"/>
  <c r="DR280" i="1"/>
  <c r="DS280" i="1"/>
  <c r="DS277" i="1" l="1"/>
  <c r="DS278" i="1"/>
  <c r="DR278" i="1"/>
  <c r="DR277" i="1"/>
  <c r="C80" i="1"/>
  <c r="J61" i="2" l="1"/>
  <c r="J311" i="2" l="1" a="1"/>
  <c r="J311" i="2" s="1"/>
  <c r="J269" i="2" a="1"/>
  <c r="J269" i="2" s="1"/>
  <c r="J290" i="2" a="1"/>
  <c r="J290" i="2" s="1"/>
  <c r="N1973" i="1"/>
  <c r="N1972" i="1"/>
  <c r="N1971" i="1"/>
  <c r="N1970" i="1"/>
  <c r="DR275" i="1"/>
  <c r="DS275" i="1"/>
  <c r="DR276" i="1"/>
  <c r="DS276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DR274" i="1"/>
  <c r="DS274" i="1"/>
  <c r="N1947" i="1"/>
  <c r="N1954" i="1"/>
  <c r="N1953" i="1"/>
  <c r="N1952" i="1"/>
  <c r="N1951" i="1"/>
  <c r="N1950" i="1"/>
  <c r="N1949" i="1"/>
  <c r="N1948" i="1"/>
  <c r="N1944" i="1"/>
  <c r="N1945" i="1"/>
  <c r="N1946" i="1"/>
  <c r="N1941" i="1"/>
  <c r="N1942" i="1"/>
  <c r="N1943" i="1"/>
  <c r="N1940" i="1"/>
  <c r="DR273" i="1"/>
  <c r="DS273" i="1"/>
  <c r="N1935" i="1"/>
  <c r="N1936" i="1"/>
  <c r="N1937" i="1"/>
  <c r="N1938" i="1"/>
  <c r="N1939" i="1"/>
  <c r="N1934" i="1"/>
  <c r="N1931" i="1"/>
  <c r="N1932" i="1"/>
  <c r="N1933" i="1"/>
  <c r="N1927" i="1"/>
  <c r="N1928" i="1"/>
  <c r="N1929" i="1"/>
  <c r="N1930" i="1"/>
  <c r="N1926" i="1"/>
  <c r="DR271" i="1"/>
  <c r="DS271" i="1"/>
  <c r="DR272" i="1"/>
  <c r="DS272" i="1"/>
  <c r="N1896" i="1" l="1"/>
  <c r="N1897" i="1"/>
  <c r="N1898" i="1"/>
  <c r="N1899" i="1"/>
  <c r="N1900" i="1"/>
  <c r="N1901" i="1"/>
  <c r="N1902" i="1"/>
  <c r="N1903" i="1"/>
  <c r="DS270" i="1"/>
  <c r="DR270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1" i="1"/>
  <c r="N1740" i="1"/>
  <c r="N1739" i="1"/>
  <c r="N1738" i="1"/>
  <c r="N1737" i="1"/>
  <c r="N1736" i="1"/>
  <c r="N1735" i="1"/>
  <c r="N1734" i="1"/>
  <c r="N1733" i="1"/>
  <c r="N1732" i="1"/>
  <c r="N1477" i="1"/>
  <c r="N1476" i="1"/>
  <c r="N1475" i="1"/>
  <c r="N1474" i="1"/>
  <c r="N1473" i="1"/>
  <c r="N1472" i="1"/>
  <c r="N1471" i="1"/>
  <c r="N1470" i="1"/>
  <c r="R4" i="56" l="1"/>
  <c r="R5" i="56"/>
  <c r="R6" i="56"/>
  <c r="R7" i="56"/>
  <c r="R8" i="56"/>
  <c r="R9" i="56"/>
  <c r="R10" i="56"/>
  <c r="R11" i="56"/>
  <c r="R12" i="56"/>
  <c r="R13" i="56"/>
  <c r="R14" i="56"/>
  <c r="R15" i="56"/>
  <c r="R16" i="56"/>
  <c r="R17" i="56"/>
  <c r="R18" i="56"/>
  <c r="R19" i="56"/>
  <c r="R20" i="56"/>
  <c r="R21" i="56"/>
  <c r="R22" i="56"/>
  <c r="R23" i="56"/>
  <c r="R24" i="56"/>
  <c r="R25" i="56"/>
  <c r="R26" i="56"/>
  <c r="R27" i="56"/>
  <c r="R28" i="56"/>
  <c r="R29" i="56"/>
  <c r="R30" i="56"/>
  <c r="R31" i="56"/>
  <c r="R32" i="56"/>
  <c r="R33" i="56"/>
  <c r="R34" i="56"/>
  <c r="R35" i="56"/>
  <c r="R36" i="56"/>
  <c r="R37" i="56"/>
  <c r="R38" i="56"/>
  <c r="R39" i="56"/>
  <c r="R40" i="56"/>
  <c r="R41" i="56"/>
  <c r="R42" i="56"/>
  <c r="R43" i="56"/>
  <c r="R44" i="56"/>
  <c r="R45" i="56"/>
  <c r="R46" i="56"/>
  <c r="R47" i="56"/>
  <c r="R48" i="56"/>
  <c r="R49" i="56"/>
  <c r="R50" i="56"/>
  <c r="R51" i="56"/>
  <c r="R52" i="56"/>
  <c r="R53" i="56"/>
  <c r="R54" i="56"/>
  <c r="R55" i="56"/>
  <c r="R56" i="56"/>
  <c r="R57" i="56"/>
  <c r="R58" i="56"/>
  <c r="R59" i="56"/>
  <c r="R60" i="56"/>
  <c r="R61" i="56"/>
  <c r="R62" i="56"/>
  <c r="R63" i="56"/>
  <c r="R64" i="56"/>
  <c r="R65" i="56"/>
  <c r="R66" i="56"/>
  <c r="R67" i="56"/>
  <c r="R68" i="56"/>
  <c r="R69" i="56"/>
  <c r="R70" i="56"/>
  <c r="R71" i="56"/>
  <c r="R72" i="56"/>
  <c r="R73" i="56"/>
  <c r="R74" i="56"/>
  <c r="R75" i="56"/>
  <c r="R76" i="56"/>
  <c r="R77" i="56"/>
  <c r="R78" i="56"/>
  <c r="R79" i="56"/>
  <c r="R80" i="56"/>
  <c r="R81" i="56"/>
  <c r="R82" i="56"/>
  <c r="R83" i="56"/>
  <c r="R84" i="56"/>
  <c r="R85" i="56"/>
  <c r="R86" i="56"/>
  <c r="R87" i="56"/>
  <c r="R88" i="56"/>
  <c r="R89" i="56"/>
  <c r="R90" i="56"/>
  <c r="R91" i="56"/>
  <c r="R92" i="56"/>
  <c r="R93" i="56"/>
  <c r="R94" i="56"/>
  <c r="R95" i="56"/>
  <c r="R96" i="56"/>
  <c r="R97" i="56"/>
  <c r="R98" i="56"/>
  <c r="R99" i="56"/>
  <c r="R100" i="56"/>
  <c r="R101" i="56"/>
  <c r="R102" i="56"/>
  <c r="R103" i="56"/>
  <c r="R104" i="56"/>
  <c r="R105" i="56"/>
  <c r="R106" i="56"/>
  <c r="R107" i="56"/>
  <c r="R108" i="56"/>
  <c r="R109" i="56"/>
  <c r="R110" i="56"/>
  <c r="R111" i="56"/>
  <c r="R112" i="56"/>
  <c r="R113" i="56"/>
  <c r="R114" i="56"/>
  <c r="R115" i="56"/>
  <c r="R116" i="56"/>
  <c r="R117" i="56"/>
  <c r="R118" i="56"/>
  <c r="R119" i="56"/>
  <c r="R120" i="56"/>
  <c r="R121" i="56"/>
  <c r="R122" i="56"/>
  <c r="R123" i="56"/>
  <c r="R124" i="56"/>
  <c r="R125" i="56"/>
  <c r="R126" i="56"/>
  <c r="R127" i="56"/>
  <c r="R128" i="56"/>
  <c r="R129" i="56"/>
  <c r="R130" i="56"/>
  <c r="R131" i="56"/>
  <c r="R132" i="56"/>
  <c r="R133" i="56"/>
  <c r="R134" i="56"/>
  <c r="R135" i="56"/>
  <c r="R136" i="56"/>
  <c r="R137" i="56"/>
  <c r="R138" i="56"/>
  <c r="R139" i="56"/>
  <c r="R140" i="56"/>
  <c r="R141" i="56"/>
  <c r="R142" i="56"/>
  <c r="R143" i="56"/>
  <c r="R144" i="56"/>
  <c r="R145" i="56"/>
  <c r="R146" i="56"/>
  <c r="R147" i="56"/>
  <c r="R148" i="56"/>
  <c r="R149" i="56"/>
  <c r="R150" i="56"/>
  <c r="R151" i="56"/>
  <c r="R152" i="56"/>
  <c r="R153" i="56"/>
  <c r="R154" i="56"/>
  <c r="R155" i="56"/>
  <c r="R156" i="56"/>
  <c r="R157" i="56"/>
  <c r="R158" i="56"/>
  <c r="R159" i="56"/>
  <c r="R160" i="56"/>
  <c r="R161" i="56"/>
  <c r="R162" i="56"/>
  <c r="R163" i="56"/>
  <c r="R164" i="56"/>
  <c r="R165" i="56"/>
  <c r="R166" i="56"/>
  <c r="R167" i="56"/>
  <c r="R168" i="56"/>
  <c r="R169" i="56"/>
  <c r="R170" i="56"/>
  <c r="R171" i="56"/>
  <c r="R172" i="56"/>
  <c r="R173" i="56"/>
  <c r="R174" i="56"/>
  <c r="R175" i="56"/>
  <c r="R176" i="56"/>
  <c r="R177" i="56"/>
  <c r="R178" i="56"/>
  <c r="R179" i="56"/>
  <c r="R180" i="56"/>
  <c r="R181" i="56"/>
  <c r="R182" i="56"/>
  <c r="R183" i="56"/>
  <c r="R184" i="56"/>
  <c r="R185" i="56"/>
  <c r="R186" i="56"/>
  <c r="R187" i="56"/>
  <c r="R188" i="56"/>
  <c r="R189" i="56"/>
  <c r="R190" i="56"/>
  <c r="R191" i="56"/>
  <c r="R192" i="56"/>
  <c r="R193" i="56"/>
  <c r="R194" i="56"/>
  <c r="R195" i="56"/>
  <c r="R196" i="56"/>
  <c r="R197" i="56"/>
  <c r="R198" i="56"/>
  <c r="R199" i="56"/>
  <c r="R200" i="56"/>
  <c r="R201" i="56"/>
  <c r="R202" i="56"/>
  <c r="R203" i="56"/>
  <c r="R204" i="56"/>
  <c r="R205" i="56"/>
  <c r="R206" i="56"/>
  <c r="R207" i="56"/>
  <c r="R208" i="56"/>
  <c r="R209" i="56"/>
  <c r="R210" i="56"/>
  <c r="R211" i="56"/>
  <c r="R212" i="56"/>
  <c r="R213" i="56"/>
  <c r="R214" i="56"/>
  <c r="R215" i="56"/>
  <c r="R216" i="56"/>
  <c r="R217" i="56"/>
  <c r="R218" i="56"/>
  <c r="R219" i="56"/>
  <c r="R220" i="56"/>
  <c r="R221" i="56"/>
  <c r="R222" i="56"/>
  <c r="R223" i="56"/>
  <c r="R224" i="56"/>
  <c r="R225" i="56"/>
  <c r="R226" i="56"/>
  <c r="R227" i="56"/>
  <c r="R228" i="56"/>
  <c r="R229" i="56"/>
  <c r="R230" i="56"/>
  <c r="R231" i="56"/>
  <c r="R232" i="56"/>
  <c r="R233" i="56"/>
  <c r="R234" i="56"/>
  <c r="R235" i="56"/>
  <c r="R236" i="56"/>
  <c r="R237" i="56"/>
  <c r="R238" i="56"/>
  <c r="R239" i="56"/>
  <c r="R240" i="56"/>
  <c r="R241" i="56"/>
  <c r="R242" i="56"/>
  <c r="R243" i="56"/>
  <c r="R244" i="56"/>
  <c r="R245" i="56"/>
  <c r="R246" i="56"/>
  <c r="R247" i="56"/>
  <c r="R248" i="56"/>
  <c r="R249" i="56"/>
  <c r="R250" i="56"/>
  <c r="R251" i="56"/>
  <c r="R252" i="56"/>
  <c r="R253" i="56"/>
  <c r="R254" i="56"/>
  <c r="R255" i="56"/>
  <c r="R256" i="56"/>
  <c r="R257" i="56"/>
  <c r="R258" i="56"/>
  <c r="R259" i="56"/>
  <c r="R260" i="56"/>
  <c r="R261" i="56"/>
  <c r="R262" i="56"/>
  <c r="R263" i="56"/>
  <c r="R264" i="56"/>
  <c r="R265" i="56"/>
  <c r="R266" i="56"/>
  <c r="R267" i="56"/>
  <c r="R268" i="56"/>
  <c r="R269" i="56"/>
  <c r="R270" i="56"/>
  <c r="R271" i="56"/>
  <c r="R272" i="56"/>
  <c r="R273" i="56"/>
  <c r="R274" i="56"/>
  <c r="R275" i="56"/>
  <c r="R276" i="56"/>
  <c r="R277" i="56"/>
  <c r="R278" i="56"/>
  <c r="R279" i="56"/>
  <c r="R280" i="56"/>
  <c r="R281" i="56"/>
  <c r="R282" i="56"/>
  <c r="R283" i="56"/>
  <c r="R284" i="56"/>
  <c r="R285" i="56"/>
  <c r="R286" i="56"/>
  <c r="R287" i="56"/>
  <c r="R288" i="56"/>
  <c r="R289" i="56"/>
  <c r="R290" i="56"/>
  <c r="R291" i="56"/>
  <c r="R292" i="56"/>
  <c r="R293" i="56"/>
  <c r="R294" i="56"/>
  <c r="R295" i="56"/>
  <c r="R296" i="56"/>
  <c r="R297" i="56"/>
  <c r="R298" i="56"/>
  <c r="R299" i="56"/>
  <c r="R300" i="56"/>
  <c r="R301" i="56"/>
  <c r="R302" i="56"/>
  <c r="R303" i="56"/>
  <c r="R304" i="56"/>
  <c r="R305" i="56"/>
  <c r="R306" i="56"/>
  <c r="R307" i="56"/>
  <c r="R308" i="56"/>
  <c r="R309" i="56"/>
  <c r="R310" i="56"/>
  <c r="R311" i="56"/>
  <c r="R312" i="56"/>
  <c r="R313" i="56"/>
  <c r="R314" i="56"/>
  <c r="R315" i="56"/>
  <c r="R316" i="56"/>
  <c r="R317" i="56"/>
  <c r="R318" i="56"/>
  <c r="R319" i="56"/>
  <c r="R320" i="56"/>
  <c r="DR269" i="1" l="1"/>
  <c r="DS269" i="1"/>
  <c r="DS268" i="1"/>
  <c r="DR268" i="1"/>
  <c r="DS267" i="1"/>
  <c r="DR267" i="1"/>
  <c r="DS266" i="1"/>
  <c r="DR266" i="1"/>
  <c r="DS265" i="1"/>
  <c r="DR265" i="1"/>
  <c r="DS264" i="1"/>
  <c r="DR264" i="1"/>
  <c r="DS263" i="1" l="1"/>
  <c r="DR263" i="1"/>
  <c r="P4" i="56"/>
  <c r="P5" i="56"/>
  <c r="P6" i="56"/>
  <c r="P7" i="56"/>
  <c r="P8" i="56"/>
  <c r="P9" i="56"/>
  <c r="P10" i="56"/>
  <c r="P11" i="56"/>
  <c r="P12" i="56"/>
  <c r="P13" i="56"/>
  <c r="P14" i="56"/>
  <c r="P15" i="56"/>
  <c r="P16" i="56"/>
  <c r="P17" i="56"/>
  <c r="P18" i="56"/>
  <c r="P19" i="56"/>
  <c r="P20" i="56"/>
  <c r="P21" i="56"/>
  <c r="P22" i="56"/>
  <c r="P23" i="56"/>
  <c r="P24" i="56"/>
  <c r="P25" i="56"/>
  <c r="P26" i="56"/>
  <c r="P27" i="56"/>
  <c r="P28" i="56"/>
  <c r="P29" i="56"/>
  <c r="P30" i="56"/>
  <c r="P31" i="56"/>
  <c r="P32" i="56"/>
  <c r="P33" i="56"/>
  <c r="P34" i="56"/>
  <c r="P35" i="56"/>
  <c r="P36" i="56"/>
  <c r="P37" i="56"/>
  <c r="P38" i="56"/>
  <c r="P39" i="56"/>
  <c r="P40" i="56"/>
  <c r="P41" i="56"/>
  <c r="P42" i="56"/>
  <c r="P43" i="56"/>
  <c r="P44" i="56"/>
  <c r="P45" i="56"/>
  <c r="P46" i="56"/>
  <c r="P47" i="56"/>
  <c r="P48" i="56"/>
  <c r="P49" i="56"/>
  <c r="P50" i="56"/>
  <c r="P51" i="56"/>
  <c r="P52" i="56"/>
  <c r="P53" i="56"/>
  <c r="P54" i="56"/>
  <c r="P55" i="56"/>
  <c r="P56" i="56"/>
  <c r="P57" i="56"/>
  <c r="P58" i="56"/>
  <c r="P59" i="56"/>
  <c r="P60" i="56"/>
  <c r="P61" i="56"/>
  <c r="P62" i="56"/>
  <c r="P63" i="56"/>
  <c r="P64" i="56"/>
  <c r="P65" i="56"/>
  <c r="P66" i="56"/>
  <c r="P67" i="56"/>
  <c r="P68" i="56"/>
  <c r="P69" i="56"/>
  <c r="P70" i="56"/>
  <c r="P71" i="56"/>
  <c r="P72" i="56"/>
  <c r="P73" i="56"/>
  <c r="P74" i="56"/>
  <c r="P75" i="56"/>
  <c r="P76" i="56"/>
  <c r="P77" i="56"/>
  <c r="P78" i="56"/>
  <c r="P79" i="56"/>
  <c r="P80" i="56"/>
  <c r="P81" i="56"/>
  <c r="P82" i="56"/>
  <c r="P83" i="56"/>
  <c r="P84" i="56"/>
  <c r="P85" i="56"/>
  <c r="P86" i="56"/>
  <c r="P87" i="56"/>
  <c r="P88" i="56"/>
  <c r="P89" i="56"/>
  <c r="P90" i="56"/>
  <c r="P91" i="56"/>
  <c r="P92" i="56"/>
  <c r="P93" i="56"/>
  <c r="P94" i="56"/>
  <c r="P95" i="56"/>
  <c r="P96" i="56"/>
  <c r="P97" i="56"/>
  <c r="P98" i="56"/>
  <c r="P99" i="56"/>
  <c r="P100" i="56"/>
  <c r="P101" i="56"/>
  <c r="P102" i="56"/>
  <c r="P103" i="56"/>
  <c r="P104" i="56"/>
  <c r="P105" i="56"/>
  <c r="P106" i="56"/>
  <c r="P107" i="56"/>
  <c r="P108" i="56"/>
  <c r="P109" i="56"/>
  <c r="P110" i="56"/>
  <c r="P111" i="56"/>
  <c r="P112" i="56"/>
  <c r="P113" i="56"/>
  <c r="P114" i="56"/>
  <c r="P115" i="56"/>
  <c r="P116" i="56"/>
  <c r="P117" i="56"/>
  <c r="P118" i="56"/>
  <c r="P119" i="56"/>
  <c r="P120" i="56"/>
  <c r="P121" i="56"/>
  <c r="P122" i="56"/>
  <c r="P123" i="56"/>
  <c r="P124" i="56"/>
  <c r="P125" i="56"/>
  <c r="P126" i="56"/>
  <c r="P127" i="56"/>
  <c r="P128" i="56"/>
  <c r="P129" i="56"/>
  <c r="P130" i="56"/>
  <c r="P131" i="56"/>
  <c r="P132" i="56"/>
  <c r="P133" i="56"/>
  <c r="P134" i="56"/>
  <c r="P135" i="56"/>
  <c r="P136" i="56"/>
  <c r="P137" i="56"/>
  <c r="P138" i="56"/>
  <c r="P139" i="56"/>
  <c r="P140" i="56"/>
  <c r="P141" i="56"/>
  <c r="P142" i="56"/>
  <c r="P143" i="56"/>
  <c r="P144" i="56"/>
  <c r="P145" i="56"/>
  <c r="P146" i="56"/>
  <c r="P147" i="56"/>
  <c r="P148" i="56"/>
  <c r="P149" i="56"/>
  <c r="P150" i="56"/>
  <c r="P151" i="56"/>
  <c r="P152" i="56"/>
  <c r="P153" i="56"/>
  <c r="P154" i="56"/>
  <c r="P155" i="56"/>
  <c r="P156" i="56"/>
  <c r="P157" i="56"/>
  <c r="P158" i="56"/>
  <c r="P159" i="56"/>
  <c r="P160" i="56"/>
  <c r="P161" i="56"/>
  <c r="P162" i="56"/>
  <c r="P163" i="56"/>
  <c r="P164" i="56"/>
  <c r="P165" i="56"/>
  <c r="P166" i="56"/>
  <c r="P167" i="56"/>
  <c r="P168" i="56"/>
  <c r="P169" i="56"/>
  <c r="P170" i="56"/>
  <c r="P171" i="56"/>
  <c r="P172" i="56"/>
  <c r="P173" i="56"/>
  <c r="P174" i="56"/>
  <c r="P175" i="56"/>
  <c r="P176" i="56"/>
  <c r="P177" i="56"/>
  <c r="P178" i="56"/>
  <c r="P179" i="56"/>
  <c r="P180" i="56"/>
  <c r="P181" i="56"/>
  <c r="P182" i="56"/>
  <c r="P183" i="56"/>
  <c r="P184" i="56"/>
  <c r="P185" i="56"/>
  <c r="P186" i="56"/>
  <c r="P187" i="56"/>
  <c r="P188" i="56"/>
  <c r="P189" i="56"/>
  <c r="P190" i="56"/>
  <c r="P191" i="56"/>
  <c r="P192" i="56"/>
  <c r="P193" i="56"/>
  <c r="P194" i="56"/>
  <c r="P195" i="56"/>
  <c r="P196" i="56"/>
  <c r="P197" i="56"/>
  <c r="P198" i="56"/>
  <c r="P199" i="56"/>
  <c r="P200" i="56"/>
  <c r="P201" i="56"/>
  <c r="P202" i="56"/>
  <c r="P203" i="56"/>
  <c r="P204" i="56"/>
  <c r="P205" i="56"/>
  <c r="P206" i="56"/>
  <c r="P207" i="56"/>
  <c r="P208" i="56"/>
  <c r="P209" i="56"/>
  <c r="P210" i="56"/>
  <c r="P211" i="56"/>
  <c r="P212" i="56"/>
  <c r="P213" i="56"/>
  <c r="P214" i="56"/>
  <c r="P215" i="56"/>
  <c r="P216" i="56"/>
  <c r="P217" i="56"/>
  <c r="P218" i="56"/>
  <c r="P219" i="56"/>
  <c r="P220" i="56"/>
  <c r="P221" i="56"/>
  <c r="P222" i="56"/>
  <c r="P223" i="56"/>
  <c r="P224" i="56"/>
  <c r="P225" i="56"/>
  <c r="P226" i="56"/>
  <c r="P227" i="56"/>
  <c r="P228" i="56"/>
  <c r="P229" i="56"/>
  <c r="P230" i="56"/>
  <c r="P231" i="56"/>
  <c r="P232" i="56"/>
  <c r="P233" i="56"/>
  <c r="P234" i="56"/>
  <c r="P235" i="56"/>
  <c r="P236" i="56"/>
  <c r="P237" i="56"/>
  <c r="P238" i="56"/>
  <c r="P239" i="56"/>
  <c r="P240" i="56"/>
  <c r="P241" i="56"/>
  <c r="P242" i="56"/>
  <c r="P243" i="56"/>
  <c r="P244" i="56"/>
  <c r="P245" i="56"/>
  <c r="P246" i="56"/>
  <c r="P247" i="56"/>
  <c r="P248" i="56"/>
  <c r="P249" i="56"/>
  <c r="P250" i="56"/>
  <c r="P251" i="56"/>
  <c r="P252" i="56"/>
  <c r="P253" i="56"/>
  <c r="P254" i="56"/>
  <c r="P255" i="56"/>
  <c r="P256" i="56"/>
  <c r="P257" i="56"/>
  <c r="P258" i="56"/>
  <c r="P259" i="56"/>
  <c r="P260" i="56"/>
  <c r="P261" i="56"/>
  <c r="P262" i="56"/>
  <c r="P263" i="56"/>
  <c r="P264" i="56"/>
  <c r="P265" i="56"/>
  <c r="P266" i="56"/>
  <c r="P267" i="56"/>
  <c r="P268" i="56"/>
  <c r="P269" i="56"/>
  <c r="P270" i="56"/>
  <c r="P271" i="56"/>
  <c r="P272" i="56"/>
  <c r="P273" i="56"/>
  <c r="P274" i="56"/>
  <c r="P275" i="56"/>
  <c r="P276" i="56"/>
  <c r="P277" i="56"/>
  <c r="P278" i="56"/>
  <c r="P279" i="56"/>
  <c r="P280" i="56"/>
  <c r="P281" i="56"/>
  <c r="P282" i="56"/>
  <c r="P283" i="56"/>
  <c r="P284" i="56"/>
  <c r="P285" i="56"/>
  <c r="P286" i="56"/>
  <c r="P287" i="56"/>
  <c r="P288" i="56"/>
  <c r="P289" i="56"/>
  <c r="P290" i="56"/>
  <c r="P291" i="56"/>
  <c r="P292" i="56"/>
  <c r="P293" i="56"/>
  <c r="P294" i="56"/>
  <c r="P295" i="56"/>
  <c r="P296" i="56"/>
  <c r="P297" i="56"/>
  <c r="P298" i="56"/>
  <c r="P299" i="56"/>
  <c r="P300" i="56"/>
  <c r="P301" i="56"/>
  <c r="P302" i="56"/>
  <c r="P303" i="56"/>
  <c r="P304" i="56"/>
  <c r="P305" i="56"/>
  <c r="P306" i="56"/>
  <c r="P307" i="56"/>
  <c r="P308" i="56"/>
  <c r="P309" i="56"/>
  <c r="P310" i="56"/>
  <c r="P311" i="56"/>
  <c r="P312" i="56"/>
  <c r="P313" i="56"/>
  <c r="P314" i="56"/>
  <c r="P315" i="56"/>
  <c r="P316" i="56"/>
  <c r="P317" i="56"/>
  <c r="P318" i="56"/>
  <c r="P319" i="56"/>
  <c r="P320" i="56"/>
  <c r="DR262" i="1"/>
  <c r="DS262" i="1"/>
  <c r="A103" i="1"/>
  <c r="M58" i="56" s="1"/>
  <c r="Q4" i="56"/>
  <c r="Q5" i="56"/>
  <c r="Q6" i="56"/>
  <c r="Q7" i="56"/>
  <c r="Q8" i="56"/>
  <c r="Q9" i="56"/>
  <c r="Q10" i="56"/>
  <c r="Q11" i="56"/>
  <c r="Q12" i="56"/>
  <c r="Q13" i="56"/>
  <c r="Q14" i="56"/>
  <c r="Q15" i="56"/>
  <c r="Q16" i="56"/>
  <c r="Q17" i="56"/>
  <c r="Q18" i="56"/>
  <c r="Q19" i="56"/>
  <c r="Q20" i="56"/>
  <c r="Q21" i="56"/>
  <c r="Q22" i="56"/>
  <c r="Q23" i="56"/>
  <c r="Q24" i="56"/>
  <c r="Q25" i="56"/>
  <c r="Q26" i="56"/>
  <c r="Q27" i="56"/>
  <c r="Q28" i="56"/>
  <c r="Q29" i="56"/>
  <c r="Q30" i="56"/>
  <c r="Q31" i="56"/>
  <c r="Q32" i="56"/>
  <c r="Q33" i="56"/>
  <c r="Q34" i="56"/>
  <c r="Q35" i="56"/>
  <c r="Q36" i="56"/>
  <c r="Q37" i="56"/>
  <c r="Q38" i="56"/>
  <c r="Q39" i="56"/>
  <c r="Q40" i="56"/>
  <c r="Q41" i="56"/>
  <c r="Q42" i="56"/>
  <c r="Q43" i="56"/>
  <c r="Q44" i="56"/>
  <c r="Q45" i="56"/>
  <c r="Q46" i="56"/>
  <c r="Q47" i="56"/>
  <c r="Q48" i="56"/>
  <c r="Q49" i="56"/>
  <c r="Q50" i="56"/>
  <c r="Q51" i="56"/>
  <c r="Q52" i="56"/>
  <c r="Q53" i="56"/>
  <c r="Q54" i="56"/>
  <c r="Q55" i="56"/>
  <c r="Q56" i="56"/>
  <c r="Q57" i="56"/>
  <c r="Q58" i="56"/>
  <c r="Q59" i="56"/>
  <c r="Q60" i="56"/>
  <c r="Q61" i="56"/>
  <c r="Q62" i="56"/>
  <c r="Q63" i="56"/>
  <c r="Q64" i="56"/>
  <c r="Q65" i="56"/>
  <c r="Q66" i="56"/>
  <c r="Q67" i="56"/>
  <c r="Q68" i="56"/>
  <c r="Q69" i="56"/>
  <c r="Q70" i="56"/>
  <c r="Q71" i="56"/>
  <c r="Q72" i="56"/>
  <c r="Q73" i="56"/>
  <c r="Q74" i="56"/>
  <c r="Q75" i="56"/>
  <c r="Q76" i="56"/>
  <c r="Q77" i="56"/>
  <c r="Q78" i="56"/>
  <c r="Q79" i="56"/>
  <c r="Q80" i="56"/>
  <c r="Q81" i="56"/>
  <c r="Q82" i="56"/>
  <c r="Q83" i="56"/>
  <c r="Q84" i="56"/>
  <c r="Q85" i="56"/>
  <c r="Q86" i="56"/>
  <c r="Q87" i="56"/>
  <c r="Q88" i="56"/>
  <c r="Q89" i="56"/>
  <c r="Q90" i="56"/>
  <c r="Q91" i="56"/>
  <c r="Q92" i="56"/>
  <c r="Q93" i="56"/>
  <c r="Q94" i="56"/>
  <c r="Q95" i="56"/>
  <c r="Q96" i="56"/>
  <c r="Q97" i="56"/>
  <c r="Q98" i="56"/>
  <c r="Q99" i="56"/>
  <c r="Q100" i="56"/>
  <c r="Q101" i="56"/>
  <c r="Q102" i="56"/>
  <c r="Q103" i="56"/>
  <c r="Q104" i="56"/>
  <c r="Q105" i="56"/>
  <c r="Q106" i="56"/>
  <c r="Q107" i="56"/>
  <c r="Q108" i="56"/>
  <c r="Q109" i="56"/>
  <c r="Q110" i="56"/>
  <c r="Q111" i="56"/>
  <c r="Q112" i="56"/>
  <c r="Q113" i="56"/>
  <c r="Q114" i="56"/>
  <c r="Q115" i="56"/>
  <c r="Q116" i="56"/>
  <c r="Q117" i="56"/>
  <c r="Q118" i="56"/>
  <c r="Q119" i="56"/>
  <c r="Q120" i="56"/>
  <c r="Q121" i="56"/>
  <c r="Q122" i="56"/>
  <c r="Q123" i="56"/>
  <c r="Q124" i="56"/>
  <c r="Q125" i="56"/>
  <c r="Q126" i="56"/>
  <c r="Q127" i="56"/>
  <c r="Q128" i="56"/>
  <c r="Q129" i="56"/>
  <c r="Q130" i="56"/>
  <c r="Q131" i="56"/>
  <c r="Q132" i="56"/>
  <c r="Q133" i="56"/>
  <c r="Q134" i="56"/>
  <c r="Q135" i="56"/>
  <c r="Q136" i="56"/>
  <c r="Q137" i="56"/>
  <c r="Q138" i="56"/>
  <c r="Q139" i="56"/>
  <c r="Q140" i="56"/>
  <c r="Q141" i="56"/>
  <c r="Q142" i="56"/>
  <c r="Q143" i="56"/>
  <c r="Q144" i="56"/>
  <c r="Q145" i="56"/>
  <c r="Q146" i="56"/>
  <c r="Q147" i="56"/>
  <c r="Q148" i="56"/>
  <c r="Q149" i="56"/>
  <c r="Q150" i="56"/>
  <c r="Q151" i="56"/>
  <c r="Q152" i="56"/>
  <c r="Q153" i="56"/>
  <c r="Q154" i="56"/>
  <c r="Q155" i="56"/>
  <c r="Q156" i="56"/>
  <c r="Q157" i="56"/>
  <c r="Q158" i="56"/>
  <c r="Q159" i="56"/>
  <c r="Q160" i="56"/>
  <c r="Q161" i="56"/>
  <c r="Q162" i="56"/>
  <c r="Q163" i="56"/>
  <c r="Q164" i="56"/>
  <c r="Q165" i="56"/>
  <c r="Q166" i="56"/>
  <c r="Q167" i="56"/>
  <c r="Q168" i="56"/>
  <c r="Q169" i="56"/>
  <c r="Q170" i="56"/>
  <c r="Q171" i="56"/>
  <c r="Q172" i="56"/>
  <c r="Q173" i="56"/>
  <c r="Q174" i="56"/>
  <c r="Q175" i="56"/>
  <c r="Q176" i="56"/>
  <c r="Q177" i="56"/>
  <c r="Q178" i="56"/>
  <c r="Q179" i="56"/>
  <c r="Q180" i="56"/>
  <c r="Q181" i="56"/>
  <c r="Q182" i="56"/>
  <c r="Q183" i="56"/>
  <c r="Q184" i="56"/>
  <c r="Q185" i="56"/>
  <c r="Q186" i="56"/>
  <c r="Q187" i="56"/>
  <c r="Q188" i="56"/>
  <c r="Q189" i="56"/>
  <c r="Q190" i="56"/>
  <c r="Q191" i="56"/>
  <c r="Q192" i="56"/>
  <c r="Q193" i="56"/>
  <c r="Q194" i="56"/>
  <c r="Q195" i="56"/>
  <c r="Q196" i="56"/>
  <c r="Q197" i="56"/>
  <c r="Q198" i="56"/>
  <c r="Q199" i="56"/>
  <c r="Q200" i="56"/>
  <c r="Q201" i="56"/>
  <c r="Q202" i="56"/>
  <c r="Q203" i="56"/>
  <c r="Q204" i="56"/>
  <c r="Q205" i="56"/>
  <c r="Q206" i="56"/>
  <c r="Q207" i="56"/>
  <c r="Q208" i="56"/>
  <c r="Q209" i="56"/>
  <c r="Q210" i="56"/>
  <c r="Q211" i="56"/>
  <c r="Q212" i="56"/>
  <c r="Q213" i="56"/>
  <c r="Q214" i="56"/>
  <c r="Q215" i="56"/>
  <c r="Q216" i="56"/>
  <c r="Q217" i="56"/>
  <c r="Q218" i="56"/>
  <c r="Q219" i="56"/>
  <c r="Q220" i="56"/>
  <c r="Q221" i="56"/>
  <c r="Q222" i="56"/>
  <c r="Q223" i="56"/>
  <c r="Q224" i="56"/>
  <c r="Q225" i="56"/>
  <c r="Q226" i="56"/>
  <c r="Q227" i="56"/>
  <c r="Q228" i="56"/>
  <c r="Q229" i="56"/>
  <c r="Q230" i="56"/>
  <c r="Q231" i="56"/>
  <c r="Q232" i="56"/>
  <c r="Q233" i="56"/>
  <c r="Q234" i="56"/>
  <c r="Q235" i="56"/>
  <c r="Q236" i="56"/>
  <c r="Q237" i="56"/>
  <c r="Q238" i="56"/>
  <c r="Q239" i="56"/>
  <c r="Q240" i="56"/>
  <c r="Q241" i="56"/>
  <c r="Q242" i="56"/>
  <c r="Q243" i="56"/>
  <c r="Q244" i="56"/>
  <c r="Q245" i="56"/>
  <c r="Q246" i="56"/>
  <c r="Q247" i="56"/>
  <c r="Q248" i="56"/>
  <c r="Q249" i="56"/>
  <c r="Q250" i="56"/>
  <c r="Q251" i="56"/>
  <c r="Q252" i="56"/>
  <c r="Q253" i="56"/>
  <c r="Q254" i="56"/>
  <c r="Q255" i="56"/>
  <c r="Q256" i="56"/>
  <c r="Q257" i="56"/>
  <c r="Q258" i="56"/>
  <c r="Q259" i="56"/>
  <c r="Q260" i="56"/>
  <c r="Q261" i="56"/>
  <c r="Q262" i="56"/>
  <c r="Q263" i="56"/>
  <c r="Q264" i="56"/>
  <c r="Q265" i="56"/>
  <c r="Q266" i="56"/>
  <c r="Q267" i="56"/>
  <c r="Q268" i="56"/>
  <c r="Q269" i="56"/>
  <c r="Q270" i="56"/>
  <c r="Q271" i="56"/>
  <c r="Q272" i="56"/>
  <c r="Q273" i="56"/>
  <c r="Q274" i="56"/>
  <c r="Q275" i="56"/>
  <c r="Q276" i="56"/>
  <c r="Q277" i="56"/>
  <c r="Q278" i="56"/>
  <c r="Q279" i="56"/>
  <c r="Q280" i="56"/>
  <c r="Q281" i="56"/>
  <c r="Q282" i="56"/>
  <c r="Q283" i="56"/>
  <c r="Q284" i="56"/>
  <c r="Q285" i="56"/>
  <c r="Q286" i="56"/>
  <c r="Q287" i="56"/>
  <c r="Q288" i="56"/>
  <c r="Q289" i="56"/>
  <c r="Q290" i="56"/>
  <c r="Q291" i="56"/>
  <c r="Q292" i="56"/>
  <c r="Q293" i="56"/>
  <c r="Q294" i="56"/>
  <c r="Q295" i="56"/>
  <c r="Q296" i="56"/>
  <c r="Q297" i="56"/>
  <c r="Q298" i="56"/>
  <c r="Q299" i="56"/>
  <c r="Q300" i="56"/>
  <c r="Q301" i="56"/>
  <c r="Q302" i="56"/>
  <c r="Q303" i="56"/>
  <c r="Q304" i="56"/>
  <c r="Q305" i="56"/>
  <c r="Q306" i="56"/>
  <c r="Q307" i="56"/>
  <c r="Q308" i="56"/>
  <c r="Q309" i="56"/>
  <c r="Q310" i="56"/>
  <c r="Q311" i="56"/>
  <c r="Q312" i="56"/>
  <c r="Q313" i="56"/>
  <c r="Q314" i="56"/>
  <c r="Q315" i="56"/>
  <c r="Q316" i="56"/>
  <c r="Q317" i="56"/>
  <c r="Q318" i="56"/>
  <c r="Q319" i="56"/>
  <c r="Q320" i="56"/>
  <c r="O4" i="56"/>
  <c r="O5" i="56"/>
  <c r="O6" i="56"/>
  <c r="O7" i="56"/>
  <c r="O8" i="56"/>
  <c r="O9" i="56"/>
  <c r="O10" i="56"/>
  <c r="O11" i="56"/>
  <c r="O12" i="56"/>
  <c r="O13" i="56"/>
  <c r="O14" i="56"/>
  <c r="O15" i="56"/>
  <c r="O16" i="56"/>
  <c r="O17" i="56"/>
  <c r="O18" i="56"/>
  <c r="O19" i="56"/>
  <c r="O20" i="56"/>
  <c r="O21" i="56"/>
  <c r="O22" i="56"/>
  <c r="O23" i="56"/>
  <c r="O24" i="56"/>
  <c r="O25" i="56"/>
  <c r="O26" i="56"/>
  <c r="O27" i="56"/>
  <c r="O28" i="56"/>
  <c r="O29" i="56"/>
  <c r="O30" i="56"/>
  <c r="O31" i="56"/>
  <c r="O32" i="56"/>
  <c r="O33" i="56"/>
  <c r="O34" i="56"/>
  <c r="O35" i="56"/>
  <c r="O36" i="56"/>
  <c r="O37" i="56"/>
  <c r="O38" i="56"/>
  <c r="O39" i="56"/>
  <c r="O40" i="56"/>
  <c r="O41" i="56"/>
  <c r="O42" i="56"/>
  <c r="O43" i="56"/>
  <c r="O44" i="56"/>
  <c r="O45" i="56"/>
  <c r="O46" i="56"/>
  <c r="O47" i="56"/>
  <c r="O48" i="56"/>
  <c r="O49" i="56"/>
  <c r="O50" i="56"/>
  <c r="O51" i="56"/>
  <c r="O52" i="56"/>
  <c r="O53" i="56"/>
  <c r="O54" i="56"/>
  <c r="O55" i="56"/>
  <c r="O56" i="56"/>
  <c r="O57" i="56"/>
  <c r="O58" i="56"/>
  <c r="O59" i="56"/>
  <c r="O60" i="56"/>
  <c r="O61" i="56"/>
  <c r="O62" i="56"/>
  <c r="O63" i="56"/>
  <c r="O64" i="56"/>
  <c r="O65" i="56"/>
  <c r="O66" i="56"/>
  <c r="O67" i="56"/>
  <c r="O68" i="56"/>
  <c r="O69" i="56"/>
  <c r="O70" i="56"/>
  <c r="O71" i="56"/>
  <c r="O72" i="56"/>
  <c r="O73" i="56"/>
  <c r="O74" i="56"/>
  <c r="O75" i="56"/>
  <c r="O76" i="56"/>
  <c r="O77" i="56"/>
  <c r="O78" i="56"/>
  <c r="O79" i="56"/>
  <c r="O80" i="56"/>
  <c r="O81" i="56"/>
  <c r="O82" i="56"/>
  <c r="O83" i="56"/>
  <c r="O84" i="56"/>
  <c r="O85" i="56"/>
  <c r="O86" i="56"/>
  <c r="O87" i="56"/>
  <c r="O88" i="56"/>
  <c r="O89" i="56"/>
  <c r="O90" i="56"/>
  <c r="O91" i="56"/>
  <c r="O92" i="56"/>
  <c r="O93" i="56"/>
  <c r="O94" i="56"/>
  <c r="O95" i="56"/>
  <c r="O96" i="56"/>
  <c r="O97" i="56"/>
  <c r="O98" i="56"/>
  <c r="O99" i="56"/>
  <c r="O100" i="56"/>
  <c r="O101" i="56"/>
  <c r="O102" i="56"/>
  <c r="O103" i="56"/>
  <c r="O104" i="56"/>
  <c r="O105" i="56"/>
  <c r="O106" i="56"/>
  <c r="O107" i="56"/>
  <c r="O108" i="56"/>
  <c r="O109" i="56"/>
  <c r="O110" i="56"/>
  <c r="O111" i="56"/>
  <c r="O112" i="56"/>
  <c r="O113" i="56"/>
  <c r="O114" i="56"/>
  <c r="O115" i="56"/>
  <c r="O116" i="56"/>
  <c r="O117" i="56"/>
  <c r="O118" i="56"/>
  <c r="O119" i="56"/>
  <c r="O120" i="56"/>
  <c r="O121" i="56"/>
  <c r="O122" i="56"/>
  <c r="O123" i="56"/>
  <c r="O124" i="56"/>
  <c r="O125" i="56"/>
  <c r="O126" i="56"/>
  <c r="O127" i="56"/>
  <c r="O128" i="56"/>
  <c r="O129" i="56"/>
  <c r="O130" i="56"/>
  <c r="O131" i="56"/>
  <c r="O132" i="56"/>
  <c r="O133" i="56"/>
  <c r="O134" i="56"/>
  <c r="O135" i="56"/>
  <c r="O136" i="56"/>
  <c r="O137" i="56"/>
  <c r="O138" i="56"/>
  <c r="O139" i="56"/>
  <c r="O140" i="56"/>
  <c r="O141" i="56"/>
  <c r="O142" i="56"/>
  <c r="O143" i="56"/>
  <c r="O144" i="56"/>
  <c r="O145" i="56"/>
  <c r="O146" i="56"/>
  <c r="O147" i="56"/>
  <c r="O148" i="56"/>
  <c r="O149" i="56"/>
  <c r="O150" i="56"/>
  <c r="O151" i="56"/>
  <c r="O152" i="56"/>
  <c r="O153" i="56"/>
  <c r="O154" i="56"/>
  <c r="O155" i="56"/>
  <c r="O156" i="56"/>
  <c r="O157" i="56"/>
  <c r="O158" i="56"/>
  <c r="O159" i="56"/>
  <c r="O160" i="56"/>
  <c r="O161" i="56"/>
  <c r="O162" i="56"/>
  <c r="O163" i="56"/>
  <c r="O164" i="56"/>
  <c r="O165" i="56"/>
  <c r="O166" i="56"/>
  <c r="O167" i="56"/>
  <c r="O168" i="56"/>
  <c r="O169" i="56"/>
  <c r="O170" i="56"/>
  <c r="O171" i="56"/>
  <c r="O172" i="56"/>
  <c r="O173" i="56"/>
  <c r="O174" i="56"/>
  <c r="O175" i="56"/>
  <c r="O176" i="56"/>
  <c r="O177" i="56"/>
  <c r="O178" i="56"/>
  <c r="O179" i="56"/>
  <c r="O180" i="56"/>
  <c r="O181" i="56"/>
  <c r="O182" i="56"/>
  <c r="O183" i="56"/>
  <c r="O184" i="56"/>
  <c r="O185" i="56"/>
  <c r="O186" i="56"/>
  <c r="O187" i="56"/>
  <c r="O188" i="56"/>
  <c r="O189" i="56"/>
  <c r="O190" i="56"/>
  <c r="O191" i="56"/>
  <c r="O192" i="56"/>
  <c r="O193" i="56"/>
  <c r="O194" i="56"/>
  <c r="O195" i="56"/>
  <c r="O196" i="56"/>
  <c r="O197" i="56"/>
  <c r="O198" i="56"/>
  <c r="O199" i="56"/>
  <c r="O200" i="56"/>
  <c r="O201" i="56"/>
  <c r="O202" i="56"/>
  <c r="O203" i="56"/>
  <c r="O204" i="56"/>
  <c r="O205" i="56"/>
  <c r="O206" i="56"/>
  <c r="O207" i="56"/>
  <c r="O208" i="56"/>
  <c r="O209" i="56"/>
  <c r="O210" i="56"/>
  <c r="O211" i="56"/>
  <c r="O212" i="56"/>
  <c r="O213" i="56"/>
  <c r="O214" i="56"/>
  <c r="O215" i="56"/>
  <c r="O216" i="56"/>
  <c r="O217" i="56"/>
  <c r="O218" i="56"/>
  <c r="O219" i="56"/>
  <c r="O220" i="56"/>
  <c r="O221" i="56"/>
  <c r="O222" i="56"/>
  <c r="O223" i="56"/>
  <c r="O224" i="56"/>
  <c r="O225" i="56"/>
  <c r="O226" i="56"/>
  <c r="O227" i="56"/>
  <c r="O228" i="56"/>
  <c r="O229" i="56"/>
  <c r="O230" i="56"/>
  <c r="O231" i="56"/>
  <c r="O232" i="56"/>
  <c r="O233" i="56"/>
  <c r="O234" i="56"/>
  <c r="O235" i="56"/>
  <c r="O236" i="56"/>
  <c r="O237" i="56"/>
  <c r="O238" i="56"/>
  <c r="O239" i="56"/>
  <c r="O240" i="56"/>
  <c r="O241" i="56"/>
  <c r="O242" i="56"/>
  <c r="O243" i="56"/>
  <c r="O244" i="56"/>
  <c r="O245" i="56"/>
  <c r="O246" i="56"/>
  <c r="O247" i="56"/>
  <c r="O248" i="56"/>
  <c r="O249" i="56"/>
  <c r="O250" i="56"/>
  <c r="O251" i="56"/>
  <c r="O252" i="56"/>
  <c r="O253" i="56"/>
  <c r="O254" i="56"/>
  <c r="O255" i="56"/>
  <c r="O256" i="56"/>
  <c r="O257" i="56"/>
  <c r="O258" i="56"/>
  <c r="O259" i="56"/>
  <c r="O260" i="56"/>
  <c r="O261" i="56"/>
  <c r="O262" i="56"/>
  <c r="O263" i="56"/>
  <c r="O264" i="56"/>
  <c r="O265" i="56"/>
  <c r="O266" i="56"/>
  <c r="O267" i="56"/>
  <c r="O268" i="56"/>
  <c r="O269" i="56"/>
  <c r="O270" i="56"/>
  <c r="O271" i="56"/>
  <c r="O272" i="56"/>
  <c r="O273" i="56"/>
  <c r="O274" i="56"/>
  <c r="O275" i="56"/>
  <c r="O276" i="56"/>
  <c r="O277" i="56"/>
  <c r="O278" i="56"/>
  <c r="O279" i="56"/>
  <c r="O280" i="56"/>
  <c r="O281" i="56"/>
  <c r="O282" i="56"/>
  <c r="O283" i="56"/>
  <c r="O284" i="56"/>
  <c r="O285" i="56"/>
  <c r="O286" i="56"/>
  <c r="O287" i="56"/>
  <c r="O288" i="56"/>
  <c r="O289" i="56"/>
  <c r="O290" i="56"/>
  <c r="O291" i="56"/>
  <c r="O292" i="56"/>
  <c r="O293" i="56"/>
  <c r="O294" i="56"/>
  <c r="O295" i="56"/>
  <c r="O296" i="56"/>
  <c r="O297" i="56"/>
  <c r="O298" i="56"/>
  <c r="O299" i="56"/>
  <c r="O300" i="56"/>
  <c r="O301" i="56"/>
  <c r="O302" i="56"/>
  <c r="O303" i="56"/>
  <c r="O304" i="56"/>
  <c r="O305" i="56"/>
  <c r="O306" i="56"/>
  <c r="O307" i="56"/>
  <c r="O308" i="56"/>
  <c r="O309" i="56"/>
  <c r="O310" i="56"/>
  <c r="O311" i="56"/>
  <c r="O312" i="56"/>
  <c r="O313" i="56"/>
  <c r="O314" i="56"/>
  <c r="O315" i="56"/>
  <c r="O316" i="56"/>
  <c r="O317" i="56"/>
  <c r="O318" i="56"/>
  <c r="O319" i="56"/>
  <c r="O320" i="56"/>
  <c r="N4" i="56"/>
  <c r="N5" i="56"/>
  <c r="N6" i="56"/>
  <c r="N7" i="56"/>
  <c r="N8" i="56"/>
  <c r="N9" i="56"/>
  <c r="N10" i="56"/>
  <c r="N11" i="56"/>
  <c r="N12" i="56"/>
  <c r="N13" i="56"/>
  <c r="N14" i="56"/>
  <c r="N15" i="56"/>
  <c r="N16" i="56"/>
  <c r="N17" i="56"/>
  <c r="N18" i="56"/>
  <c r="N19" i="56"/>
  <c r="N20" i="56"/>
  <c r="N21" i="56"/>
  <c r="N22" i="56"/>
  <c r="N23" i="56"/>
  <c r="N24" i="56"/>
  <c r="N25" i="56"/>
  <c r="N26" i="56"/>
  <c r="N27" i="56"/>
  <c r="N28" i="56"/>
  <c r="N29" i="56"/>
  <c r="N30" i="56"/>
  <c r="N31" i="56"/>
  <c r="N32" i="56"/>
  <c r="N33" i="56"/>
  <c r="N34" i="56"/>
  <c r="N35" i="56"/>
  <c r="N36" i="56"/>
  <c r="N37" i="56"/>
  <c r="N38" i="56"/>
  <c r="N39" i="56"/>
  <c r="N40" i="56"/>
  <c r="N41" i="56"/>
  <c r="N42" i="56"/>
  <c r="N43" i="56"/>
  <c r="N44" i="56"/>
  <c r="N45" i="56"/>
  <c r="N46" i="56"/>
  <c r="N47" i="56"/>
  <c r="N48" i="56"/>
  <c r="N49" i="56"/>
  <c r="N50" i="56"/>
  <c r="N51" i="56"/>
  <c r="N52" i="56"/>
  <c r="N53" i="56"/>
  <c r="N54" i="56"/>
  <c r="N55" i="56"/>
  <c r="N56" i="56"/>
  <c r="N57" i="56"/>
  <c r="N58" i="56"/>
  <c r="N59" i="56"/>
  <c r="N60" i="56"/>
  <c r="N61" i="56"/>
  <c r="N62" i="56"/>
  <c r="N63" i="56"/>
  <c r="N64" i="56"/>
  <c r="N65" i="56"/>
  <c r="N66" i="56"/>
  <c r="N67" i="56"/>
  <c r="N68" i="56"/>
  <c r="N69" i="56"/>
  <c r="N70" i="56"/>
  <c r="N71" i="56"/>
  <c r="N72" i="56"/>
  <c r="N73" i="56"/>
  <c r="N74" i="56"/>
  <c r="N75" i="56"/>
  <c r="N76" i="56"/>
  <c r="N77" i="56"/>
  <c r="N78" i="56"/>
  <c r="N79" i="56"/>
  <c r="N80" i="56"/>
  <c r="N81" i="56"/>
  <c r="N82" i="56"/>
  <c r="N83" i="56"/>
  <c r="N84" i="56"/>
  <c r="N85" i="56"/>
  <c r="N86" i="56"/>
  <c r="N87" i="56"/>
  <c r="N88" i="56"/>
  <c r="N89" i="56"/>
  <c r="N90" i="56"/>
  <c r="N91" i="56"/>
  <c r="N92" i="56"/>
  <c r="N93" i="56"/>
  <c r="N94" i="56"/>
  <c r="N95" i="56"/>
  <c r="N96" i="56"/>
  <c r="N97" i="56"/>
  <c r="N98" i="56"/>
  <c r="N99" i="56"/>
  <c r="N100" i="56"/>
  <c r="N101" i="56"/>
  <c r="N102" i="56"/>
  <c r="N103" i="56"/>
  <c r="N104" i="56"/>
  <c r="N105" i="56"/>
  <c r="N106" i="56"/>
  <c r="N107" i="56"/>
  <c r="N108" i="56"/>
  <c r="N109" i="56"/>
  <c r="N110" i="56"/>
  <c r="N111" i="56"/>
  <c r="N112" i="56"/>
  <c r="N113" i="56"/>
  <c r="N114" i="56"/>
  <c r="N115" i="56"/>
  <c r="N116" i="56"/>
  <c r="N117" i="56"/>
  <c r="N118" i="56"/>
  <c r="N119" i="56"/>
  <c r="N120" i="56"/>
  <c r="N121" i="56"/>
  <c r="N122" i="56"/>
  <c r="N123" i="56"/>
  <c r="N124" i="56"/>
  <c r="N125" i="56"/>
  <c r="N126" i="56"/>
  <c r="N127" i="56"/>
  <c r="N128" i="56"/>
  <c r="N129" i="56"/>
  <c r="N130" i="56"/>
  <c r="N131" i="56"/>
  <c r="N132" i="56"/>
  <c r="N133" i="56"/>
  <c r="N134" i="56"/>
  <c r="N135" i="56"/>
  <c r="N136" i="56"/>
  <c r="N137" i="56"/>
  <c r="N138" i="56"/>
  <c r="N139" i="56"/>
  <c r="N140" i="56"/>
  <c r="N141" i="56"/>
  <c r="N142" i="56"/>
  <c r="N143" i="56"/>
  <c r="N144" i="56"/>
  <c r="N145" i="56"/>
  <c r="N146" i="56"/>
  <c r="N147" i="56"/>
  <c r="N148" i="56"/>
  <c r="N149" i="56"/>
  <c r="N150" i="56"/>
  <c r="N151" i="56"/>
  <c r="N152" i="56"/>
  <c r="N153" i="56"/>
  <c r="N154" i="56"/>
  <c r="N155" i="56"/>
  <c r="N156" i="56"/>
  <c r="N157" i="56"/>
  <c r="N158" i="56"/>
  <c r="N159" i="56"/>
  <c r="N160" i="56"/>
  <c r="N161" i="56"/>
  <c r="N162" i="56"/>
  <c r="N163" i="56"/>
  <c r="N164" i="56"/>
  <c r="N165" i="56"/>
  <c r="N166" i="56"/>
  <c r="N167" i="56"/>
  <c r="N168" i="56"/>
  <c r="N169" i="56"/>
  <c r="N170" i="56"/>
  <c r="N171" i="56"/>
  <c r="N172" i="56"/>
  <c r="N173" i="56"/>
  <c r="N174" i="56"/>
  <c r="N175" i="56"/>
  <c r="N176" i="56"/>
  <c r="N177" i="56"/>
  <c r="N178" i="56"/>
  <c r="N179" i="56"/>
  <c r="N180" i="56"/>
  <c r="N181" i="56"/>
  <c r="N182" i="56"/>
  <c r="N183" i="56"/>
  <c r="N184" i="56"/>
  <c r="N185" i="56"/>
  <c r="N186" i="56"/>
  <c r="N187" i="56"/>
  <c r="N188" i="56"/>
  <c r="N189" i="56"/>
  <c r="N190" i="56"/>
  <c r="N191" i="56"/>
  <c r="N192" i="56"/>
  <c r="N193" i="56"/>
  <c r="N194" i="56"/>
  <c r="N195" i="56"/>
  <c r="N196" i="56"/>
  <c r="N197" i="56"/>
  <c r="N198" i="56"/>
  <c r="N199" i="56"/>
  <c r="N200" i="56"/>
  <c r="N201" i="56"/>
  <c r="N202" i="56"/>
  <c r="N203" i="56"/>
  <c r="N204" i="56"/>
  <c r="N205" i="56"/>
  <c r="N206" i="56"/>
  <c r="N207" i="56"/>
  <c r="N208" i="56"/>
  <c r="N209" i="56"/>
  <c r="N210" i="56"/>
  <c r="N211" i="56"/>
  <c r="N212" i="56"/>
  <c r="N213" i="56"/>
  <c r="N214" i="56"/>
  <c r="N215" i="56"/>
  <c r="N216" i="56"/>
  <c r="N217" i="56"/>
  <c r="N218" i="56"/>
  <c r="N219" i="56"/>
  <c r="N220" i="56"/>
  <c r="N221" i="56"/>
  <c r="N222" i="56"/>
  <c r="N223" i="56"/>
  <c r="N224" i="56"/>
  <c r="N225" i="56"/>
  <c r="N226" i="56"/>
  <c r="N227" i="56"/>
  <c r="N228" i="56"/>
  <c r="N229" i="56"/>
  <c r="N230" i="56"/>
  <c r="N231" i="56"/>
  <c r="N232" i="56"/>
  <c r="N233" i="56"/>
  <c r="N234" i="56"/>
  <c r="N235" i="56"/>
  <c r="N236" i="56"/>
  <c r="N237" i="56"/>
  <c r="N238" i="56"/>
  <c r="N239" i="56"/>
  <c r="N240" i="56"/>
  <c r="N241" i="56"/>
  <c r="N242" i="56"/>
  <c r="N243" i="56"/>
  <c r="N244" i="56"/>
  <c r="N245" i="56"/>
  <c r="N246" i="56"/>
  <c r="N247" i="56"/>
  <c r="N248" i="56"/>
  <c r="N249" i="56"/>
  <c r="N250" i="56"/>
  <c r="N251" i="56"/>
  <c r="N252" i="56"/>
  <c r="N253" i="56"/>
  <c r="N254" i="56"/>
  <c r="N255" i="56"/>
  <c r="N256" i="56"/>
  <c r="N257" i="56"/>
  <c r="N258" i="56"/>
  <c r="N259" i="56"/>
  <c r="N260" i="56"/>
  <c r="N261" i="56"/>
  <c r="N262" i="56"/>
  <c r="N263" i="56"/>
  <c r="N264" i="56"/>
  <c r="N265" i="56"/>
  <c r="N266" i="56"/>
  <c r="N267" i="56"/>
  <c r="N268" i="56"/>
  <c r="N269" i="56"/>
  <c r="N270" i="56"/>
  <c r="N271" i="56"/>
  <c r="N272" i="56"/>
  <c r="N273" i="56"/>
  <c r="N274" i="56"/>
  <c r="N275" i="56"/>
  <c r="N276" i="56"/>
  <c r="N277" i="56"/>
  <c r="N278" i="56"/>
  <c r="N279" i="56"/>
  <c r="N280" i="56"/>
  <c r="N281" i="56"/>
  <c r="N282" i="56"/>
  <c r="N283" i="56"/>
  <c r="N284" i="56"/>
  <c r="N285" i="56"/>
  <c r="N286" i="56"/>
  <c r="N287" i="56"/>
  <c r="N288" i="56"/>
  <c r="N289" i="56"/>
  <c r="N290" i="56"/>
  <c r="N291" i="56"/>
  <c r="N292" i="56"/>
  <c r="N293" i="56"/>
  <c r="N294" i="56"/>
  <c r="N295" i="56"/>
  <c r="N296" i="56"/>
  <c r="N297" i="56"/>
  <c r="N298" i="56"/>
  <c r="N299" i="56"/>
  <c r="N300" i="56"/>
  <c r="N301" i="56"/>
  <c r="N302" i="56"/>
  <c r="N303" i="56"/>
  <c r="N304" i="56"/>
  <c r="N305" i="56"/>
  <c r="N306" i="56"/>
  <c r="N307" i="56"/>
  <c r="N308" i="56"/>
  <c r="N309" i="56"/>
  <c r="N310" i="56"/>
  <c r="N311" i="56"/>
  <c r="N312" i="56"/>
  <c r="N313" i="56"/>
  <c r="N314" i="56"/>
  <c r="N315" i="56"/>
  <c r="N316" i="56"/>
  <c r="N317" i="56"/>
  <c r="N318" i="56"/>
  <c r="N319" i="56"/>
  <c r="N320" i="56"/>
  <c r="L4" i="56"/>
  <c r="L5" i="56"/>
  <c r="L6" i="56"/>
  <c r="L7" i="56"/>
  <c r="L8" i="56"/>
  <c r="L9" i="56"/>
  <c r="L10" i="56"/>
  <c r="L11" i="56"/>
  <c r="L12" i="56"/>
  <c r="L13" i="56"/>
  <c r="L14" i="56"/>
  <c r="L15" i="56"/>
  <c r="L16" i="56"/>
  <c r="L17" i="56"/>
  <c r="L18" i="56"/>
  <c r="L19" i="56"/>
  <c r="L20" i="56"/>
  <c r="L21" i="56"/>
  <c r="L22" i="56"/>
  <c r="L23" i="56"/>
  <c r="L24" i="56"/>
  <c r="L25" i="56"/>
  <c r="L26" i="56"/>
  <c r="L27" i="56"/>
  <c r="L28" i="56"/>
  <c r="L29" i="56"/>
  <c r="L30" i="56"/>
  <c r="L31" i="56"/>
  <c r="L32" i="56"/>
  <c r="L33" i="56"/>
  <c r="L34" i="56"/>
  <c r="L35" i="56"/>
  <c r="L36" i="56"/>
  <c r="L37" i="56"/>
  <c r="L38" i="56"/>
  <c r="L39" i="56"/>
  <c r="L40" i="56"/>
  <c r="L41" i="56"/>
  <c r="L42" i="56"/>
  <c r="L43" i="56"/>
  <c r="L44" i="56"/>
  <c r="L45" i="56"/>
  <c r="L46" i="56"/>
  <c r="L47" i="56"/>
  <c r="L48" i="56"/>
  <c r="L49" i="56"/>
  <c r="L50" i="56"/>
  <c r="L51" i="56"/>
  <c r="L52" i="56"/>
  <c r="L53" i="56"/>
  <c r="L54" i="56"/>
  <c r="L55" i="56"/>
  <c r="L56" i="56"/>
  <c r="L57" i="56"/>
  <c r="L58" i="56"/>
  <c r="L59" i="56"/>
  <c r="L60" i="56"/>
  <c r="L61" i="56"/>
  <c r="L62" i="56"/>
  <c r="L63" i="56"/>
  <c r="L64" i="56"/>
  <c r="L65" i="56"/>
  <c r="L66" i="56"/>
  <c r="L67" i="56"/>
  <c r="L68" i="56"/>
  <c r="L69" i="56"/>
  <c r="L70" i="56"/>
  <c r="L71" i="56"/>
  <c r="L72" i="56"/>
  <c r="L73" i="56"/>
  <c r="L74" i="56"/>
  <c r="L75" i="56"/>
  <c r="L76" i="56"/>
  <c r="L77" i="56"/>
  <c r="L78" i="56"/>
  <c r="L79" i="56"/>
  <c r="L80" i="56"/>
  <c r="L81" i="56"/>
  <c r="L82" i="56"/>
  <c r="L83" i="56"/>
  <c r="L84" i="56"/>
  <c r="L85" i="56"/>
  <c r="L86" i="56"/>
  <c r="L87" i="56"/>
  <c r="L88" i="56"/>
  <c r="L89" i="56"/>
  <c r="L90" i="56"/>
  <c r="L91" i="56"/>
  <c r="L92" i="56"/>
  <c r="L93" i="56"/>
  <c r="L94" i="56"/>
  <c r="L95" i="56"/>
  <c r="L96" i="56"/>
  <c r="L97" i="56"/>
  <c r="L98" i="56"/>
  <c r="L99" i="56"/>
  <c r="L100" i="56"/>
  <c r="L101" i="56"/>
  <c r="L102" i="56"/>
  <c r="L103" i="56"/>
  <c r="L104" i="56"/>
  <c r="L105" i="56"/>
  <c r="L106" i="56"/>
  <c r="L107" i="56"/>
  <c r="L108" i="56"/>
  <c r="L109" i="56"/>
  <c r="L110" i="56"/>
  <c r="L111" i="56"/>
  <c r="L112" i="56"/>
  <c r="L113" i="56"/>
  <c r="L114" i="56"/>
  <c r="L115" i="56"/>
  <c r="L116" i="56"/>
  <c r="L117" i="56"/>
  <c r="L118" i="56"/>
  <c r="L119" i="56"/>
  <c r="L120" i="56"/>
  <c r="L121" i="56"/>
  <c r="L122" i="56"/>
  <c r="L123" i="56"/>
  <c r="L124" i="56"/>
  <c r="L125" i="56"/>
  <c r="L126" i="56"/>
  <c r="L127" i="56"/>
  <c r="L128" i="56"/>
  <c r="L129" i="56"/>
  <c r="L130" i="56"/>
  <c r="L131" i="56"/>
  <c r="L132" i="56"/>
  <c r="L133" i="56"/>
  <c r="L134" i="56"/>
  <c r="L135" i="56"/>
  <c r="L136" i="56"/>
  <c r="L137" i="56"/>
  <c r="L138" i="56"/>
  <c r="L139" i="56"/>
  <c r="L140" i="56"/>
  <c r="L141" i="56"/>
  <c r="L142" i="56"/>
  <c r="L143" i="56"/>
  <c r="L144" i="56"/>
  <c r="L145" i="56"/>
  <c r="L146" i="56"/>
  <c r="L147" i="56"/>
  <c r="L148" i="56"/>
  <c r="L149" i="56"/>
  <c r="L150" i="56"/>
  <c r="L151" i="56"/>
  <c r="L152" i="56"/>
  <c r="L153" i="56"/>
  <c r="L154" i="56"/>
  <c r="L155" i="56"/>
  <c r="L156" i="56"/>
  <c r="L157" i="56"/>
  <c r="L158" i="56"/>
  <c r="L159" i="56"/>
  <c r="L160" i="56"/>
  <c r="L161" i="56"/>
  <c r="L162" i="56"/>
  <c r="L163" i="56"/>
  <c r="L164" i="56"/>
  <c r="L165" i="56"/>
  <c r="L166" i="56"/>
  <c r="L167" i="56"/>
  <c r="L168" i="56"/>
  <c r="L169" i="56"/>
  <c r="L170" i="56"/>
  <c r="L171" i="56"/>
  <c r="L172" i="56"/>
  <c r="L173" i="56"/>
  <c r="L174" i="56"/>
  <c r="L175" i="56"/>
  <c r="L176" i="56"/>
  <c r="L177" i="56"/>
  <c r="L178" i="56"/>
  <c r="L179" i="56"/>
  <c r="L180" i="56"/>
  <c r="L181" i="56"/>
  <c r="L182" i="56"/>
  <c r="L183" i="56"/>
  <c r="L184" i="56"/>
  <c r="L185" i="56"/>
  <c r="L186" i="56"/>
  <c r="L187" i="56"/>
  <c r="L188" i="56"/>
  <c r="L189" i="56"/>
  <c r="L190" i="56"/>
  <c r="L191" i="56"/>
  <c r="L192" i="56"/>
  <c r="L193" i="56"/>
  <c r="L194" i="56"/>
  <c r="L195" i="56"/>
  <c r="L196" i="56"/>
  <c r="L197" i="56"/>
  <c r="L198" i="56"/>
  <c r="L199" i="56"/>
  <c r="L200" i="56"/>
  <c r="L201" i="56"/>
  <c r="L202" i="56"/>
  <c r="L203" i="56"/>
  <c r="L204" i="56"/>
  <c r="L205" i="56"/>
  <c r="L206" i="56"/>
  <c r="L207" i="56"/>
  <c r="L208" i="56"/>
  <c r="L209" i="56"/>
  <c r="L210" i="56"/>
  <c r="L211" i="56"/>
  <c r="L212" i="56"/>
  <c r="L213" i="56"/>
  <c r="L214" i="56"/>
  <c r="L215" i="56"/>
  <c r="L216" i="56"/>
  <c r="L217" i="56"/>
  <c r="L218" i="56"/>
  <c r="L219" i="56"/>
  <c r="L220" i="56"/>
  <c r="L221" i="56"/>
  <c r="L222" i="56"/>
  <c r="L223" i="56"/>
  <c r="L224" i="56"/>
  <c r="L225" i="56"/>
  <c r="L226" i="56"/>
  <c r="L227" i="56"/>
  <c r="L228" i="56"/>
  <c r="L229" i="56"/>
  <c r="L230" i="56"/>
  <c r="L231" i="56"/>
  <c r="L232" i="56"/>
  <c r="L233" i="56"/>
  <c r="L234" i="56"/>
  <c r="L235" i="56"/>
  <c r="L236" i="56"/>
  <c r="L237" i="56"/>
  <c r="L238" i="56"/>
  <c r="L239" i="56"/>
  <c r="L240" i="56"/>
  <c r="L241" i="56"/>
  <c r="L242" i="56"/>
  <c r="L243" i="56"/>
  <c r="L244" i="56"/>
  <c r="L245" i="56"/>
  <c r="L246" i="56"/>
  <c r="L247" i="56"/>
  <c r="L248" i="56"/>
  <c r="L249" i="56"/>
  <c r="L250" i="56"/>
  <c r="L251" i="56"/>
  <c r="L252" i="56"/>
  <c r="L253" i="56"/>
  <c r="L254" i="56"/>
  <c r="L255" i="56"/>
  <c r="L256" i="56"/>
  <c r="L257" i="56"/>
  <c r="L258" i="56"/>
  <c r="L259" i="56"/>
  <c r="L260" i="56"/>
  <c r="L261" i="56"/>
  <c r="L262" i="56"/>
  <c r="L263" i="56"/>
  <c r="L264" i="56"/>
  <c r="L265" i="56"/>
  <c r="L266" i="56"/>
  <c r="L267" i="56"/>
  <c r="L268" i="56"/>
  <c r="L269" i="56"/>
  <c r="L270" i="56"/>
  <c r="L271" i="56"/>
  <c r="L272" i="56"/>
  <c r="L273" i="56"/>
  <c r="L274" i="56"/>
  <c r="L275" i="56"/>
  <c r="L276" i="56"/>
  <c r="L277" i="56"/>
  <c r="L278" i="56"/>
  <c r="L279" i="56"/>
  <c r="L280" i="56"/>
  <c r="L281" i="56"/>
  <c r="L282" i="56"/>
  <c r="L283" i="56"/>
  <c r="L284" i="56"/>
  <c r="L285" i="56"/>
  <c r="L286" i="56"/>
  <c r="L287" i="56"/>
  <c r="L288" i="56"/>
  <c r="L289" i="56"/>
  <c r="L290" i="56"/>
  <c r="L291" i="56"/>
  <c r="L292" i="56"/>
  <c r="L293" i="56"/>
  <c r="L294" i="56"/>
  <c r="L295" i="56"/>
  <c r="L296" i="56"/>
  <c r="L297" i="56"/>
  <c r="L298" i="56"/>
  <c r="L299" i="56"/>
  <c r="L300" i="56"/>
  <c r="L301" i="56"/>
  <c r="L302" i="56"/>
  <c r="L303" i="56"/>
  <c r="L304" i="56"/>
  <c r="L305" i="56"/>
  <c r="L306" i="56"/>
  <c r="L307" i="56"/>
  <c r="L308" i="56"/>
  <c r="L309" i="56"/>
  <c r="L310" i="56"/>
  <c r="L311" i="56"/>
  <c r="L312" i="56"/>
  <c r="L313" i="56"/>
  <c r="L314" i="56"/>
  <c r="L315" i="56"/>
  <c r="L316" i="56"/>
  <c r="L317" i="56"/>
  <c r="L318" i="56"/>
  <c r="L319" i="56"/>
  <c r="L320" i="56"/>
  <c r="DS261" i="1"/>
  <c r="DR261" i="1"/>
  <c r="DS260" i="1"/>
  <c r="DR260" i="1"/>
  <c r="DS259" i="1"/>
  <c r="DR259" i="1"/>
  <c r="DS256" i="1"/>
  <c r="DS257" i="1"/>
  <c r="DS258" i="1"/>
  <c r="DR258" i="1"/>
  <c r="DR257" i="1"/>
  <c r="DR256" i="1"/>
  <c r="DS255" i="1"/>
  <c r="DR255" i="1"/>
  <c r="M4" i="56" l="1"/>
  <c r="U4" i="56" s="1"/>
  <c r="M8" i="56"/>
  <c r="U8" i="56" s="1"/>
  <c r="M12" i="56"/>
  <c r="U12" i="56" s="1"/>
  <c r="M16" i="56"/>
  <c r="U16" i="56" s="1"/>
  <c r="M20" i="56"/>
  <c r="U20" i="56" s="1"/>
  <c r="M24" i="56"/>
  <c r="U24" i="56" s="1"/>
  <c r="M28" i="56"/>
  <c r="M32" i="56"/>
  <c r="U32" i="56" s="1"/>
  <c r="M36" i="56"/>
  <c r="U36" i="56" s="1"/>
  <c r="M40" i="56"/>
  <c r="U40" i="56" s="1"/>
  <c r="M44" i="56"/>
  <c r="U44" i="56" s="1"/>
  <c r="M48" i="56"/>
  <c r="U48" i="56" s="1"/>
  <c r="M52" i="56"/>
  <c r="M56" i="56"/>
  <c r="M61" i="56"/>
  <c r="U61" i="56" s="1"/>
  <c r="M65" i="56"/>
  <c r="U65" i="56" s="1"/>
  <c r="M69" i="56"/>
  <c r="U69" i="56" s="1"/>
  <c r="M73" i="56"/>
  <c r="U73" i="56" s="1"/>
  <c r="M77" i="56"/>
  <c r="U77" i="56" s="1"/>
  <c r="M81" i="56"/>
  <c r="U81" i="56" s="1"/>
  <c r="M85" i="56"/>
  <c r="U85" i="56" s="1"/>
  <c r="M89" i="56"/>
  <c r="U89" i="56" s="1"/>
  <c r="M93" i="56"/>
  <c r="U93" i="56" s="1"/>
  <c r="M97" i="56"/>
  <c r="U97" i="56" s="1"/>
  <c r="M101" i="56"/>
  <c r="U101" i="56" s="1"/>
  <c r="M105" i="56"/>
  <c r="U105" i="56" s="1"/>
  <c r="M109" i="56"/>
  <c r="U109" i="56" s="1"/>
  <c r="M113" i="56"/>
  <c r="U113" i="56" s="1"/>
  <c r="M117" i="56"/>
  <c r="U117" i="56" s="1"/>
  <c r="M121" i="56"/>
  <c r="U121" i="56" s="1"/>
  <c r="M125" i="56"/>
  <c r="U125" i="56" s="1"/>
  <c r="M129" i="56"/>
  <c r="U129" i="56" s="1"/>
  <c r="M133" i="56"/>
  <c r="U133" i="56" s="1"/>
  <c r="M137" i="56"/>
  <c r="U137" i="56" s="1"/>
  <c r="M141" i="56"/>
  <c r="U141" i="56" s="1"/>
  <c r="M145" i="56"/>
  <c r="U145" i="56" s="1"/>
  <c r="M149" i="56"/>
  <c r="U149" i="56" s="1"/>
  <c r="M153" i="56"/>
  <c r="U153" i="56" s="1"/>
  <c r="M157" i="56"/>
  <c r="U157" i="56" s="1"/>
  <c r="M161" i="56"/>
  <c r="U161" i="56" s="1"/>
  <c r="M165" i="56"/>
  <c r="U165" i="56" s="1"/>
  <c r="M169" i="56"/>
  <c r="U169" i="56" s="1"/>
  <c r="M173" i="56"/>
  <c r="U173" i="56" s="1"/>
  <c r="M177" i="56"/>
  <c r="U177" i="56" s="1"/>
  <c r="M5" i="56"/>
  <c r="U5" i="56" s="1"/>
  <c r="M9" i="56"/>
  <c r="U9" i="56" s="1"/>
  <c r="M13" i="56"/>
  <c r="U13" i="56" s="1"/>
  <c r="M17" i="56"/>
  <c r="U17" i="56" s="1"/>
  <c r="M21" i="56"/>
  <c r="U21" i="56" s="1"/>
  <c r="M25" i="56"/>
  <c r="U25" i="56" s="1"/>
  <c r="M29" i="56"/>
  <c r="M33" i="56"/>
  <c r="U33" i="56" s="1"/>
  <c r="M37" i="56"/>
  <c r="U37" i="56" s="1"/>
  <c r="M41" i="56"/>
  <c r="U41" i="56" s="1"/>
  <c r="M45" i="56"/>
  <c r="U45" i="56" s="1"/>
  <c r="M49" i="56"/>
  <c r="M53" i="56"/>
  <c r="M57" i="56"/>
  <c r="M62" i="56"/>
  <c r="U62" i="56" s="1"/>
  <c r="M66" i="56"/>
  <c r="U66" i="56" s="1"/>
  <c r="M70" i="56"/>
  <c r="U70" i="56" s="1"/>
  <c r="M74" i="56"/>
  <c r="U74" i="56" s="1"/>
  <c r="M78" i="56"/>
  <c r="U78" i="56" s="1"/>
  <c r="M82" i="56"/>
  <c r="U82" i="56" s="1"/>
  <c r="M86" i="56"/>
  <c r="U86" i="56" s="1"/>
  <c r="M90" i="56"/>
  <c r="U90" i="56" s="1"/>
  <c r="M94" i="56"/>
  <c r="U94" i="56" s="1"/>
  <c r="M98" i="56"/>
  <c r="U98" i="56" s="1"/>
  <c r="M102" i="56"/>
  <c r="U102" i="56" s="1"/>
  <c r="M106" i="56"/>
  <c r="U106" i="56" s="1"/>
  <c r="M110" i="56"/>
  <c r="U110" i="56" s="1"/>
  <c r="M114" i="56"/>
  <c r="U114" i="56" s="1"/>
  <c r="M118" i="56"/>
  <c r="U118" i="56" s="1"/>
  <c r="M122" i="56"/>
  <c r="U122" i="56" s="1"/>
  <c r="M126" i="56"/>
  <c r="U126" i="56" s="1"/>
  <c r="M130" i="56"/>
  <c r="U130" i="56" s="1"/>
  <c r="M134" i="56"/>
  <c r="U134" i="56" s="1"/>
  <c r="M138" i="56"/>
  <c r="U138" i="56" s="1"/>
  <c r="M142" i="56"/>
  <c r="U142" i="56" s="1"/>
  <c r="M146" i="56"/>
  <c r="U146" i="56" s="1"/>
  <c r="M150" i="56"/>
  <c r="U150" i="56" s="1"/>
  <c r="M154" i="56"/>
  <c r="U154" i="56" s="1"/>
  <c r="M158" i="56"/>
  <c r="U158" i="56" s="1"/>
  <c r="M162" i="56"/>
  <c r="U162" i="56" s="1"/>
  <c r="M166" i="56"/>
  <c r="U166" i="56" s="1"/>
  <c r="M170" i="56"/>
  <c r="U170" i="56" s="1"/>
  <c r="M174" i="56"/>
  <c r="U174" i="56" s="1"/>
  <c r="M178" i="56"/>
  <c r="U178" i="56" s="1"/>
  <c r="M182" i="56"/>
  <c r="U182" i="56" s="1"/>
  <c r="M186" i="56"/>
  <c r="U186" i="56" s="1"/>
  <c r="M190" i="56"/>
  <c r="U190" i="56" s="1"/>
  <c r="M194" i="56"/>
  <c r="U194" i="56" s="1"/>
  <c r="M198" i="56"/>
  <c r="U198" i="56" s="1"/>
  <c r="M202" i="56"/>
  <c r="U202" i="56" s="1"/>
  <c r="M206" i="56"/>
  <c r="U206" i="56" s="1"/>
  <c r="M210" i="56"/>
  <c r="U210" i="56" s="1"/>
  <c r="M214" i="56"/>
  <c r="U214" i="56" s="1"/>
  <c r="M218" i="56"/>
  <c r="U218" i="56" s="1"/>
  <c r="M222" i="56"/>
  <c r="U222" i="56" s="1"/>
  <c r="M226" i="56"/>
  <c r="U226" i="56" s="1"/>
  <c r="M230" i="56"/>
  <c r="U230" i="56" s="1"/>
  <c r="M234" i="56"/>
  <c r="U234" i="56" s="1"/>
  <c r="M238" i="56"/>
  <c r="U238" i="56" s="1"/>
  <c r="M242" i="56"/>
  <c r="U242" i="56" s="1"/>
  <c r="M246" i="56"/>
  <c r="U246" i="56" s="1"/>
  <c r="M250" i="56"/>
  <c r="U250" i="56" s="1"/>
  <c r="M254" i="56"/>
  <c r="U254" i="56" s="1"/>
  <c r="M258" i="56"/>
  <c r="U258" i="56" s="1"/>
  <c r="M262" i="56"/>
  <c r="U262" i="56" s="1"/>
  <c r="M266" i="56"/>
  <c r="U266" i="56" s="1"/>
  <c r="M270" i="56"/>
  <c r="U270" i="56" s="1"/>
  <c r="M274" i="56"/>
  <c r="U274" i="56" s="1"/>
  <c r="M278" i="56"/>
  <c r="U278" i="56" s="1"/>
  <c r="M282" i="56"/>
  <c r="U282" i="56" s="1"/>
  <c r="M286" i="56"/>
  <c r="U286" i="56" s="1"/>
  <c r="M290" i="56"/>
  <c r="U290" i="56" s="1"/>
  <c r="M294" i="56"/>
  <c r="U294" i="56" s="1"/>
  <c r="M298" i="56"/>
  <c r="U298" i="56" s="1"/>
  <c r="M302" i="56"/>
  <c r="U302" i="56" s="1"/>
  <c r="M306" i="56"/>
  <c r="U306" i="56" s="1"/>
  <c r="M310" i="56"/>
  <c r="U310" i="56" s="1"/>
  <c r="M314" i="56"/>
  <c r="U314" i="56" s="1"/>
  <c r="M318" i="56"/>
  <c r="U318" i="56" s="1"/>
  <c r="M6" i="56"/>
  <c r="U6" i="56" s="1"/>
  <c r="M10" i="56"/>
  <c r="U10" i="56" s="1"/>
  <c r="M14" i="56"/>
  <c r="U14" i="56" s="1"/>
  <c r="M18" i="56"/>
  <c r="U18" i="56" s="1"/>
  <c r="M22" i="56"/>
  <c r="U22" i="56" s="1"/>
  <c r="M26" i="56"/>
  <c r="U26" i="56" s="1"/>
  <c r="M7" i="56"/>
  <c r="U7" i="56" s="1"/>
  <c r="M23" i="56"/>
  <c r="U23" i="56" s="1"/>
  <c r="M34" i="56"/>
  <c r="U34" i="56" s="1"/>
  <c r="M42" i="56"/>
  <c r="M50" i="56"/>
  <c r="M59" i="56"/>
  <c r="U59" i="56" s="1"/>
  <c r="M67" i="56"/>
  <c r="U67" i="56" s="1"/>
  <c r="M75" i="56"/>
  <c r="M83" i="56"/>
  <c r="U83" i="56" s="1"/>
  <c r="M91" i="56"/>
  <c r="U91" i="56" s="1"/>
  <c r="M99" i="56"/>
  <c r="U99" i="56" s="1"/>
  <c r="M107" i="56"/>
  <c r="M115" i="56"/>
  <c r="U115" i="56" s="1"/>
  <c r="M123" i="56"/>
  <c r="U123" i="56" s="1"/>
  <c r="M131" i="56"/>
  <c r="U131" i="56" s="1"/>
  <c r="M139" i="56"/>
  <c r="M147" i="56"/>
  <c r="U147" i="56" s="1"/>
  <c r="M155" i="56"/>
  <c r="U155" i="56" s="1"/>
  <c r="M163" i="56"/>
  <c r="U163" i="56" s="1"/>
  <c r="M171" i="56"/>
  <c r="M179" i="56"/>
  <c r="U179" i="56" s="1"/>
  <c r="M184" i="56"/>
  <c r="U184" i="56" s="1"/>
  <c r="M189" i="56"/>
  <c r="U189" i="56" s="1"/>
  <c r="M195" i="56"/>
  <c r="M200" i="56"/>
  <c r="U200" i="56" s="1"/>
  <c r="M205" i="56"/>
  <c r="U205" i="56" s="1"/>
  <c r="M211" i="56"/>
  <c r="U211" i="56" s="1"/>
  <c r="M216" i="56"/>
  <c r="M221" i="56"/>
  <c r="U221" i="56" s="1"/>
  <c r="M227" i="56"/>
  <c r="U227" i="56" s="1"/>
  <c r="M232" i="56"/>
  <c r="U232" i="56" s="1"/>
  <c r="M237" i="56"/>
  <c r="M243" i="56"/>
  <c r="U243" i="56" s="1"/>
  <c r="M248" i="56"/>
  <c r="U248" i="56" s="1"/>
  <c r="M253" i="56"/>
  <c r="U253" i="56" s="1"/>
  <c r="M259" i="56"/>
  <c r="M264" i="56"/>
  <c r="M269" i="56"/>
  <c r="U269" i="56" s="1"/>
  <c r="M275" i="56"/>
  <c r="U275" i="56" s="1"/>
  <c r="M280" i="56"/>
  <c r="M285" i="56"/>
  <c r="M291" i="56"/>
  <c r="U291" i="56" s="1"/>
  <c r="M296" i="56"/>
  <c r="U296" i="56" s="1"/>
  <c r="M301" i="56"/>
  <c r="M307" i="56"/>
  <c r="U307" i="56" s="1"/>
  <c r="M312" i="56"/>
  <c r="U312" i="56" s="1"/>
  <c r="M317" i="56"/>
  <c r="U317" i="56" s="1"/>
  <c r="M11" i="56"/>
  <c r="M27" i="56"/>
  <c r="U27" i="56" s="1"/>
  <c r="M35" i="56"/>
  <c r="U35" i="56" s="1"/>
  <c r="M43" i="56"/>
  <c r="U43" i="56" s="1"/>
  <c r="M51" i="56"/>
  <c r="M60" i="56"/>
  <c r="U60" i="56" s="1"/>
  <c r="M68" i="56"/>
  <c r="U68" i="56" s="1"/>
  <c r="M76" i="56"/>
  <c r="U76" i="56" s="1"/>
  <c r="M84" i="56"/>
  <c r="U84" i="56" s="1"/>
  <c r="M92" i="56"/>
  <c r="U92" i="56" s="1"/>
  <c r="M100" i="56"/>
  <c r="U100" i="56" s="1"/>
  <c r="M108" i="56"/>
  <c r="U108" i="56" s="1"/>
  <c r="M116" i="56"/>
  <c r="U116" i="56" s="1"/>
  <c r="M124" i="56"/>
  <c r="U124" i="56" s="1"/>
  <c r="M132" i="56"/>
  <c r="U132" i="56" s="1"/>
  <c r="M140" i="56"/>
  <c r="U140" i="56" s="1"/>
  <c r="M148" i="56"/>
  <c r="M156" i="56"/>
  <c r="M164" i="56"/>
  <c r="U164" i="56" s="1"/>
  <c r="M172" i="56"/>
  <c r="U172" i="56" s="1"/>
  <c r="M180" i="56"/>
  <c r="M185" i="56"/>
  <c r="M191" i="56"/>
  <c r="U191" i="56" s="1"/>
  <c r="M196" i="56"/>
  <c r="U196" i="56" s="1"/>
  <c r="M201" i="56"/>
  <c r="M207" i="56"/>
  <c r="U207" i="56" s="1"/>
  <c r="M212" i="56"/>
  <c r="U212" i="56" s="1"/>
  <c r="M217" i="56"/>
  <c r="U217" i="56" s="1"/>
  <c r="M223" i="56"/>
  <c r="M228" i="56"/>
  <c r="U228" i="56" s="1"/>
  <c r="M233" i="56"/>
  <c r="U233" i="56" s="1"/>
  <c r="M239" i="56"/>
  <c r="U239" i="56" s="1"/>
  <c r="M244" i="56"/>
  <c r="M249" i="56"/>
  <c r="U249" i="56" s="1"/>
  <c r="M255" i="56"/>
  <c r="U255" i="56" s="1"/>
  <c r="M260" i="56"/>
  <c r="U260" i="56" s="1"/>
  <c r="M265" i="56"/>
  <c r="M271" i="56"/>
  <c r="U271" i="56" s="1"/>
  <c r="M15" i="56"/>
  <c r="U15" i="56" s="1"/>
  <c r="M38" i="56"/>
  <c r="U38" i="56" s="1"/>
  <c r="M54" i="56"/>
  <c r="M71" i="56"/>
  <c r="U71" i="56" s="1"/>
  <c r="M87" i="56"/>
  <c r="U87" i="56" s="1"/>
  <c r="M103" i="56"/>
  <c r="U103" i="56" s="1"/>
  <c r="M119" i="56"/>
  <c r="M135" i="56"/>
  <c r="U135" i="56" s="1"/>
  <c r="M151" i="56"/>
  <c r="U151" i="56" s="1"/>
  <c r="M167" i="56"/>
  <c r="U167" i="56" s="1"/>
  <c r="M181" i="56"/>
  <c r="M192" i="56"/>
  <c r="U192" i="56" s="1"/>
  <c r="M203" i="56"/>
  <c r="U203" i="56" s="1"/>
  <c r="M213" i="56"/>
  <c r="U213" i="56" s="1"/>
  <c r="M224" i="56"/>
  <c r="M235" i="56"/>
  <c r="U235" i="56" s="1"/>
  <c r="M245" i="56"/>
  <c r="U245" i="56" s="1"/>
  <c r="M256" i="56"/>
  <c r="U256" i="56" s="1"/>
  <c r="M267" i="56"/>
  <c r="M276" i="56"/>
  <c r="U276" i="56" s="1"/>
  <c r="M283" i="56"/>
  <c r="U283" i="56" s="1"/>
  <c r="M289" i="56"/>
  <c r="U289" i="56" s="1"/>
  <c r="M297" i="56"/>
  <c r="M304" i="56"/>
  <c r="U304" i="56" s="1"/>
  <c r="M311" i="56"/>
  <c r="U311" i="56" s="1"/>
  <c r="M319" i="56"/>
  <c r="U319" i="56" s="1"/>
  <c r="M19" i="56"/>
  <c r="M39" i="56"/>
  <c r="U39" i="56" s="1"/>
  <c r="M55" i="56"/>
  <c r="M72" i="56"/>
  <c r="U72" i="56" s="1"/>
  <c r="M88" i="56"/>
  <c r="M104" i="56"/>
  <c r="U104" i="56" s="1"/>
  <c r="M120" i="56"/>
  <c r="U120" i="56" s="1"/>
  <c r="M136" i="56"/>
  <c r="U136" i="56" s="1"/>
  <c r="M152" i="56"/>
  <c r="M168" i="56"/>
  <c r="U168" i="56" s="1"/>
  <c r="M183" i="56"/>
  <c r="U183" i="56" s="1"/>
  <c r="M193" i="56"/>
  <c r="U193" i="56" s="1"/>
  <c r="M204" i="56"/>
  <c r="M215" i="56"/>
  <c r="U215" i="56" s="1"/>
  <c r="M225" i="56"/>
  <c r="U225" i="56" s="1"/>
  <c r="M236" i="56"/>
  <c r="U236" i="56" s="1"/>
  <c r="M247" i="56"/>
  <c r="M257" i="56"/>
  <c r="U257" i="56" s="1"/>
  <c r="M268" i="56"/>
  <c r="U268" i="56" s="1"/>
  <c r="M277" i="56"/>
  <c r="U277" i="56" s="1"/>
  <c r="M284" i="56"/>
  <c r="M292" i="56"/>
  <c r="U292" i="56" s="1"/>
  <c r="M299" i="56"/>
  <c r="U299" i="56" s="1"/>
  <c r="M305" i="56"/>
  <c r="U305" i="56" s="1"/>
  <c r="M313" i="56"/>
  <c r="U313" i="56" s="1"/>
  <c r="M320" i="56"/>
  <c r="U320" i="56" s="1"/>
  <c r="M30" i="56"/>
  <c r="U30" i="56" s="1"/>
  <c r="M46" i="56"/>
  <c r="U46" i="56" s="1"/>
  <c r="M63" i="56"/>
  <c r="M79" i="56"/>
  <c r="U79" i="56" s="1"/>
  <c r="M95" i="56"/>
  <c r="U95" i="56" s="1"/>
  <c r="M111" i="56"/>
  <c r="U111" i="56" s="1"/>
  <c r="M127" i="56"/>
  <c r="M143" i="56"/>
  <c r="U143" i="56" s="1"/>
  <c r="M159" i="56"/>
  <c r="U159" i="56" s="1"/>
  <c r="M175" i="56"/>
  <c r="U175" i="56" s="1"/>
  <c r="M187" i="56"/>
  <c r="U187" i="56" s="1"/>
  <c r="M197" i="56"/>
  <c r="U197" i="56" s="1"/>
  <c r="M208" i="56"/>
  <c r="U208" i="56" s="1"/>
  <c r="M219" i="56"/>
  <c r="U219" i="56" s="1"/>
  <c r="M229" i="56"/>
  <c r="M240" i="56"/>
  <c r="U240" i="56" s="1"/>
  <c r="M251" i="56"/>
  <c r="U251" i="56" s="1"/>
  <c r="M261" i="56"/>
  <c r="U261" i="56" s="1"/>
  <c r="M272" i="56"/>
  <c r="M279" i="56"/>
  <c r="U279" i="56" s="1"/>
  <c r="M287" i="56"/>
  <c r="U287" i="56" s="1"/>
  <c r="M293" i="56"/>
  <c r="U293" i="56" s="1"/>
  <c r="M300" i="56"/>
  <c r="M308" i="56"/>
  <c r="U308" i="56" s="1"/>
  <c r="M315" i="56"/>
  <c r="U315" i="56" s="1"/>
  <c r="U58" i="56"/>
  <c r="Z34" i="3" s="1"/>
  <c r="M31" i="56"/>
  <c r="U31" i="56" s="1"/>
  <c r="M47" i="56"/>
  <c r="U47" i="56" s="1"/>
  <c r="M64" i="56"/>
  <c r="U64" i="56" s="1"/>
  <c r="M80" i="56"/>
  <c r="U80" i="56" s="1"/>
  <c r="M96" i="56"/>
  <c r="M112" i="56"/>
  <c r="U112" i="56" s="1"/>
  <c r="M128" i="56"/>
  <c r="U128" i="56" s="1"/>
  <c r="M144" i="56"/>
  <c r="U144" i="56" s="1"/>
  <c r="M160" i="56"/>
  <c r="M176" i="56"/>
  <c r="U176" i="56" s="1"/>
  <c r="M188" i="56"/>
  <c r="U188" i="56" s="1"/>
  <c r="M199" i="56"/>
  <c r="U199" i="56" s="1"/>
  <c r="M209" i="56"/>
  <c r="U209" i="56" s="1"/>
  <c r="M220" i="56"/>
  <c r="U220" i="56" s="1"/>
  <c r="M231" i="56"/>
  <c r="U231" i="56" s="1"/>
  <c r="M241" i="56"/>
  <c r="U241" i="56" s="1"/>
  <c r="M252" i="56"/>
  <c r="U252" i="56" s="1"/>
  <c r="M263" i="56"/>
  <c r="U263" i="56" s="1"/>
  <c r="M273" i="56"/>
  <c r="U273" i="56" s="1"/>
  <c r="M281" i="56"/>
  <c r="U281" i="56" s="1"/>
  <c r="M288" i="56"/>
  <c r="M295" i="56"/>
  <c r="U295" i="56" s="1"/>
  <c r="M303" i="56"/>
  <c r="U303" i="56" s="1"/>
  <c r="M309" i="56"/>
  <c r="U309" i="56" s="1"/>
  <c r="M316" i="56"/>
  <c r="U297" i="56"/>
  <c r="U265" i="56"/>
  <c r="U201" i="56"/>
  <c r="U148" i="56"/>
  <c r="U285" i="56"/>
  <c r="U264" i="56"/>
  <c r="U185" i="56"/>
  <c r="U301" i="56"/>
  <c r="U280" i="56"/>
  <c r="U237" i="56"/>
  <c r="U152" i="56"/>
  <c r="U88" i="56"/>
  <c r="U11" i="56"/>
  <c r="U19" i="56"/>
  <c r="U63" i="56"/>
  <c r="U75" i="56"/>
  <c r="U107" i="56"/>
  <c r="U119" i="56"/>
  <c r="U127" i="56"/>
  <c r="U139" i="56"/>
  <c r="U171" i="56"/>
  <c r="U195" i="56"/>
  <c r="U223" i="56"/>
  <c r="U247" i="56"/>
  <c r="U259" i="56"/>
  <c r="U267" i="56"/>
  <c r="U316" i="56"/>
  <c r="U300" i="56"/>
  <c r="U284" i="56"/>
  <c r="U204" i="56"/>
  <c r="U156" i="56"/>
  <c r="U288" i="56"/>
  <c r="U272" i="56"/>
  <c r="U229" i="56"/>
  <c r="U224" i="56"/>
  <c r="U181" i="56"/>
  <c r="U160" i="56"/>
  <c r="U96" i="56"/>
  <c r="U42" i="56"/>
  <c r="U244" i="56"/>
  <c r="U216" i="56"/>
  <c r="U180" i="56"/>
  <c r="DS251" i="1"/>
  <c r="DS252" i="1"/>
  <c r="DS253" i="1"/>
  <c r="DS254" i="1"/>
  <c r="DR253" i="1"/>
  <c r="DR254" i="1"/>
  <c r="DR252" i="1"/>
  <c r="DR251" i="1"/>
  <c r="DS250" i="1" l="1"/>
  <c r="DR250" i="1"/>
  <c r="N1215" i="1"/>
  <c r="N1216" i="1"/>
  <c r="N1217" i="1"/>
  <c r="N1218" i="1"/>
  <c r="N1219" i="1"/>
  <c r="N1214" i="1"/>
  <c r="DS247" i="1"/>
  <c r="DS248" i="1"/>
  <c r="DS249" i="1"/>
  <c r="DR249" i="1"/>
  <c r="DR248" i="1"/>
  <c r="DR247" i="1"/>
  <c r="B41" i="1"/>
  <c r="DS246" i="1" l="1"/>
  <c r="DR246" i="1"/>
  <c r="DS242" i="1" l="1"/>
  <c r="DS243" i="1"/>
  <c r="DS244" i="1"/>
  <c r="DS245" i="1"/>
  <c r="DR245" i="1"/>
  <c r="DR244" i="1"/>
  <c r="DR243" i="1"/>
  <c r="DR242" i="1"/>
  <c r="DR241" i="1"/>
  <c r="DS241" i="1"/>
  <c r="DR240" i="1"/>
  <c r="DS240" i="1"/>
  <c r="DR239" i="1" l="1"/>
  <c r="DS239" i="1"/>
  <c r="G31" i="1"/>
  <c r="C30" i="8" l="1"/>
  <c r="A30" i="8"/>
  <c r="H52" i="1" l="1"/>
  <c r="DS238" i="1"/>
  <c r="DR238" i="1"/>
  <c r="DS237" i="1"/>
  <c r="DR237" i="1"/>
  <c r="DS236" i="1"/>
  <c r="DR236" i="1"/>
  <c r="DS235" i="1"/>
  <c r="DR235" i="1"/>
  <c r="DS233" i="1" l="1"/>
  <c r="DS234" i="1"/>
  <c r="DR234" i="1"/>
  <c r="DR233" i="1"/>
  <c r="DS231" i="1"/>
  <c r="DS232" i="1"/>
  <c r="DR230" i="1"/>
  <c r="DR231" i="1"/>
  <c r="DR232" i="1"/>
  <c r="N355" i="1"/>
  <c r="N356" i="1"/>
  <c r="N357" i="1"/>
  <c r="N358" i="1"/>
  <c r="N359" i="1"/>
  <c r="N354" i="1"/>
  <c r="DS230" i="1" l="1"/>
  <c r="DR229" i="1" l="1"/>
  <c r="DS229" i="1"/>
  <c r="DS226" i="1"/>
  <c r="DS227" i="1"/>
  <c r="DS228" i="1"/>
  <c r="DR228" i="1"/>
  <c r="DR227" i="1"/>
  <c r="DR226" i="1"/>
  <c r="DS224" i="1"/>
  <c r="DS225" i="1"/>
  <c r="DR225" i="1"/>
  <c r="DR224" i="1"/>
  <c r="DR223" i="1"/>
  <c r="DS223" i="1"/>
  <c r="DR222" i="1"/>
  <c r="DS222" i="1"/>
  <c r="AG44" i="3"/>
  <c r="AF44" i="3"/>
  <c r="DR221" i="1"/>
  <c r="DS221" i="1"/>
  <c r="AI24" i="36"/>
  <c r="AE24" i="36"/>
  <c r="DR216" i="1"/>
  <c r="DS216" i="1"/>
  <c r="DR217" i="1"/>
  <c r="DS217" i="1"/>
  <c r="DR218" i="1"/>
  <c r="DS218" i="1"/>
  <c r="DR219" i="1"/>
  <c r="DS219" i="1"/>
  <c r="DR220" i="1"/>
  <c r="DS220" i="1"/>
  <c r="DR214" i="1"/>
  <c r="DS214" i="1"/>
  <c r="DR215" i="1"/>
  <c r="DS215" i="1"/>
  <c r="DS213" i="1"/>
  <c r="DR213" i="1"/>
  <c r="DR209" i="1"/>
  <c r="DR210" i="1"/>
  <c r="DR211" i="1"/>
  <c r="DR212" i="1"/>
  <c r="DS210" i="1"/>
  <c r="DS211" i="1"/>
  <c r="DS212" i="1"/>
  <c r="F12" i="51"/>
  <c r="G17" i="47"/>
  <c r="F17" i="47"/>
  <c r="D17" i="47"/>
  <c r="G16" i="47"/>
  <c r="F16" i="47"/>
  <c r="D16" i="47"/>
  <c r="G15" i="47"/>
  <c r="F15" i="47"/>
  <c r="D15" i="47"/>
  <c r="G14" i="47"/>
  <c r="F14" i="47"/>
  <c r="D14" i="47"/>
  <c r="G12" i="47"/>
  <c r="F12" i="47"/>
  <c r="D12" i="47"/>
  <c r="G11" i="47"/>
  <c r="F11" i="47"/>
  <c r="D11" i="47"/>
  <c r="G13" i="47"/>
  <c r="F13" i="47"/>
  <c r="D13" i="47"/>
  <c r="DR172" i="1"/>
  <c r="DR173" i="1"/>
  <c r="DR174" i="1"/>
  <c r="DR175" i="1"/>
  <c r="DR176" i="1"/>
  <c r="DR177" i="1"/>
  <c r="DR178" i="1"/>
  <c r="DR179" i="1"/>
  <c r="DR180" i="1"/>
  <c r="DR181" i="1"/>
  <c r="DR182" i="1"/>
  <c r="DR183" i="1"/>
  <c r="DR184" i="1"/>
  <c r="DR185" i="1"/>
  <c r="DR186" i="1"/>
  <c r="DR187" i="1"/>
  <c r="DR188" i="1"/>
  <c r="DR189" i="1"/>
  <c r="DR190" i="1"/>
  <c r="DR191" i="1"/>
  <c r="DR192" i="1"/>
  <c r="DR193" i="1"/>
  <c r="DR194" i="1"/>
  <c r="DR195" i="1"/>
  <c r="DR196" i="1"/>
  <c r="DR197" i="1"/>
  <c r="DR198" i="1"/>
  <c r="DR199" i="1"/>
  <c r="DR200" i="1"/>
  <c r="DR201" i="1"/>
  <c r="DR202" i="1"/>
  <c r="DR203" i="1"/>
  <c r="DR204" i="1"/>
  <c r="DR205" i="1"/>
  <c r="DR206" i="1"/>
  <c r="DR207" i="1"/>
  <c r="DR208" i="1"/>
  <c r="AA24" i="36" l="1"/>
  <c r="DS197" i="1"/>
  <c r="B122" i="1" l="1"/>
  <c r="B121" i="1"/>
  <c r="B19" i="38"/>
  <c r="W60" i="8"/>
  <c r="B42" i="1" l="1"/>
  <c r="B43" i="1" s="1"/>
  <c r="B12" i="59" s="1"/>
  <c r="C43" i="1" l="1"/>
  <c r="F109" i="1" s="1"/>
  <c r="G5" i="58"/>
  <c r="F9" i="43"/>
  <c r="F8" i="48"/>
  <c r="C8" i="18"/>
  <c r="EP1" i="34"/>
  <c r="P7" i="35"/>
  <c r="F7" i="36"/>
  <c r="F7" i="3"/>
  <c r="F7" i="53"/>
  <c r="EP1" i="33"/>
  <c r="F8" i="27"/>
  <c r="F6" i="46"/>
  <c r="F8" i="51"/>
  <c r="B5" i="42"/>
  <c r="F7" i="37"/>
  <c r="S5" i="49"/>
  <c r="C8" i="47"/>
  <c r="A43" i="1"/>
  <c r="C109" i="1" l="1"/>
  <c r="E109" i="1"/>
  <c r="AK17" i="2" l="1"/>
  <c r="L7" i="53"/>
  <c r="I7" i="53"/>
  <c r="B7" i="53"/>
  <c r="AV27" i="51"/>
  <c r="B24" i="1" l="1"/>
  <c r="W9" i="3" l="1"/>
  <c r="AS130" i="2"/>
  <c r="AT131" i="2"/>
  <c r="AS131" i="2" s="1"/>
  <c r="O5" i="1"/>
  <c r="C202" i="23" l="1"/>
  <c r="C219" i="23" s="1"/>
  <c r="D202" i="23"/>
  <c r="D219" i="23" s="1"/>
  <c r="E202" i="23"/>
  <c r="E219" i="23" s="1"/>
  <c r="F202" i="23"/>
  <c r="G202" i="23"/>
  <c r="G219" i="23" s="1"/>
  <c r="H202" i="23"/>
  <c r="H219" i="23" s="1"/>
  <c r="I202" i="23"/>
  <c r="I219" i="23" s="1"/>
  <c r="J202" i="23"/>
  <c r="J219" i="23" s="1"/>
  <c r="K202" i="23"/>
  <c r="K219" i="23" s="1"/>
  <c r="L202" i="23"/>
  <c r="L219" i="23" s="1"/>
  <c r="M202" i="23"/>
  <c r="M219" i="23" s="1"/>
  <c r="N202" i="23"/>
  <c r="N219" i="23" s="1"/>
  <c r="O202" i="23"/>
  <c r="O219" i="23" s="1"/>
  <c r="P202" i="23"/>
  <c r="P219" i="23" s="1"/>
  <c r="Q202" i="23"/>
  <c r="Q219" i="23" s="1"/>
  <c r="R202" i="23"/>
  <c r="R219" i="23" s="1"/>
  <c r="S202" i="23"/>
  <c r="S219" i="23" s="1"/>
  <c r="T202" i="23"/>
  <c r="T219" i="23" s="1"/>
  <c r="U202" i="23"/>
  <c r="U219" i="23" s="1"/>
  <c r="V202" i="23"/>
  <c r="V219" i="23" s="1"/>
  <c r="W202" i="23"/>
  <c r="W219" i="23" s="1"/>
  <c r="X202" i="23"/>
  <c r="X219" i="23" s="1"/>
  <c r="Y202" i="23"/>
  <c r="Y219" i="23" s="1"/>
  <c r="Z202" i="23"/>
  <c r="Z219" i="23" s="1"/>
  <c r="AA202" i="23"/>
  <c r="AA219" i="23" s="1"/>
  <c r="AB202" i="23"/>
  <c r="AB219" i="23" s="1"/>
  <c r="AC202" i="23"/>
  <c r="AC219" i="23" s="1"/>
  <c r="AD202" i="23"/>
  <c r="AD219" i="23" s="1"/>
  <c r="AE202" i="23"/>
  <c r="AE219" i="23" s="1"/>
  <c r="AF202" i="23"/>
  <c r="AF219" i="23" s="1"/>
  <c r="AG202" i="23"/>
  <c r="AG219" i="23" s="1"/>
  <c r="AH202" i="23"/>
  <c r="AH219" i="23" s="1"/>
  <c r="AI202" i="23"/>
  <c r="AI219" i="23" s="1"/>
  <c r="AJ202" i="23"/>
  <c r="AJ219" i="23" s="1"/>
  <c r="C203" i="23"/>
  <c r="C220" i="23" s="1"/>
  <c r="D203" i="23"/>
  <c r="D220" i="23" s="1"/>
  <c r="E203" i="23"/>
  <c r="E220" i="23" s="1"/>
  <c r="F203" i="23"/>
  <c r="F220" i="23" s="1"/>
  <c r="G203" i="23"/>
  <c r="G220" i="23" s="1"/>
  <c r="H203" i="23"/>
  <c r="H220" i="23" s="1"/>
  <c r="I203" i="23"/>
  <c r="I220" i="23" s="1"/>
  <c r="J203" i="23"/>
  <c r="J220" i="23" s="1"/>
  <c r="K203" i="23"/>
  <c r="K220" i="23" s="1"/>
  <c r="L203" i="23"/>
  <c r="L220" i="23" s="1"/>
  <c r="M203" i="23"/>
  <c r="M220" i="23" s="1"/>
  <c r="N203" i="23"/>
  <c r="N220" i="23" s="1"/>
  <c r="O203" i="23"/>
  <c r="O220" i="23" s="1"/>
  <c r="P203" i="23"/>
  <c r="P220" i="23" s="1"/>
  <c r="Q203" i="23"/>
  <c r="Q220" i="23" s="1"/>
  <c r="R203" i="23"/>
  <c r="R220" i="23" s="1"/>
  <c r="S203" i="23"/>
  <c r="S220" i="23" s="1"/>
  <c r="T203" i="23"/>
  <c r="T220" i="23" s="1"/>
  <c r="U203" i="23"/>
  <c r="U220" i="23" s="1"/>
  <c r="V203" i="23"/>
  <c r="V220" i="23" s="1"/>
  <c r="W203" i="23"/>
  <c r="W220" i="23" s="1"/>
  <c r="X203" i="23"/>
  <c r="X220" i="23" s="1"/>
  <c r="Y203" i="23"/>
  <c r="Y220" i="23" s="1"/>
  <c r="Z203" i="23"/>
  <c r="Z220" i="23" s="1"/>
  <c r="AA203" i="23"/>
  <c r="AA220" i="23" s="1"/>
  <c r="AB203" i="23"/>
  <c r="AB220" i="23" s="1"/>
  <c r="AC203" i="23"/>
  <c r="AC220" i="23" s="1"/>
  <c r="AD203" i="23"/>
  <c r="AD220" i="23" s="1"/>
  <c r="AE203" i="23"/>
  <c r="AE220" i="23" s="1"/>
  <c r="AF203" i="23"/>
  <c r="AF220" i="23" s="1"/>
  <c r="AG203" i="23"/>
  <c r="AG220" i="23" s="1"/>
  <c r="AH203" i="23"/>
  <c r="AH220" i="23" s="1"/>
  <c r="AI203" i="23"/>
  <c r="AI220" i="23" s="1"/>
  <c r="AJ203" i="23"/>
  <c r="AJ220" i="23" s="1"/>
  <c r="C204" i="23"/>
  <c r="C221" i="23" s="1"/>
  <c r="D204" i="23"/>
  <c r="D221" i="23" s="1"/>
  <c r="E204" i="23"/>
  <c r="E221" i="23" s="1"/>
  <c r="F204" i="23"/>
  <c r="F221" i="23" s="1"/>
  <c r="G204" i="23"/>
  <c r="G221" i="23" s="1"/>
  <c r="H204" i="23"/>
  <c r="H221" i="23" s="1"/>
  <c r="I204" i="23"/>
  <c r="I221" i="23" s="1"/>
  <c r="J204" i="23"/>
  <c r="J221" i="23" s="1"/>
  <c r="K204" i="23"/>
  <c r="K221" i="23" s="1"/>
  <c r="L204" i="23"/>
  <c r="L221" i="23" s="1"/>
  <c r="M204" i="23"/>
  <c r="M221" i="23" s="1"/>
  <c r="N204" i="23"/>
  <c r="N221" i="23" s="1"/>
  <c r="O204" i="23"/>
  <c r="O221" i="23" s="1"/>
  <c r="P204" i="23"/>
  <c r="P221" i="23" s="1"/>
  <c r="Q204" i="23"/>
  <c r="Q221" i="23" s="1"/>
  <c r="R204" i="23"/>
  <c r="R221" i="23" s="1"/>
  <c r="S204" i="23"/>
  <c r="S221" i="23" s="1"/>
  <c r="T204" i="23"/>
  <c r="T221" i="23" s="1"/>
  <c r="U204" i="23"/>
  <c r="U221" i="23" s="1"/>
  <c r="V204" i="23"/>
  <c r="V221" i="23" s="1"/>
  <c r="W204" i="23"/>
  <c r="W221" i="23" s="1"/>
  <c r="X204" i="23"/>
  <c r="X221" i="23" s="1"/>
  <c r="Y204" i="23"/>
  <c r="Y221" i="23" s="1"/>
  <c r="Z204" i="23"/>
  <c r="Z221" i="23" s="1"/>
  <c r="AA204" i="23"/>
  <c r="AA221" i="23" s="1"/>
  <c r="AB204" i="23"/>
  <c r="AB221" i="23" s="1"/>
  <c r="AC204" i="23"/>
  <c r="AC221" i="23" s="1"/>
  <c r="AD204" i="23"/>
  <c r="AD221" i="23" s="1"/>
  <c r="AE204" i="23"/>
  <c r="AE221" i="23" s="1"/>
  <c r="AF204" i="23"/>
  <c r="AF221" i="23" s="1"/>
  <c r="AG204" i="23"/>
  <c r="AG221" i="23" s="1"/>
  <c r="AH204" i="23"/>
  <c r="AH221" i="23" s="1"/>
  <c r="AI204" i="23"/>
  <c r="AI221" i="23" s="1"/>
  <c r="AJ204" i="23"/>
  <c r="AJ221" i="23" s="1"/>
  <c r="C205" i="23"/>
  <c r="C222" i="23" s="1"/>
  <c r="D205" i="23"/>
  <c r="D222" i="23" s="1"/>
  <c r="E205" i="23"/>
  <c r="E222" i="23" s="1"/>
  <c r="F205" i="23"/>
  <c r="F222" i="23" s="1"/>
  <c r="G205" i="23"/>
  <c r="G222" i="23" s="1"/>
  <c r="H205" i="23"/>
  <c r="H222" i="23" s="1"/>
  <c r="I205" i="23"/>
  <c r="I222" i="23" s="1"/>
  <c r="J205" i="23"/>
  <c r="J222" i="23" s="1"/>
  <c r="K205" i="23"/>
  <c r="K222" i="23" s="1"/>
  <c r="L205" i="23"/>
  <c r="L222" i="23" s="1"/>
  <c r="M205" i="23"/>
  <c r="M222" i="23" s="1"/>
  <c r="N205" i="23"/>
  <c r="N222" i="23" s="1"/>
  <c r="O205" i="23"/>
  <c r="O222" i="23" s="1"/>
  <c r="P205" i="23"/>
  <c r="P222" i="23" s="1"/>
  <c r="Q205" i="23"/>
  <c r="Q222" i="23" s="1"/>
  <c r="R205" i="23"/>
  <c r="R222" i="23" s="1"/>
  <c r="S205" i="23"/>
  <c r="S222" i="23" s="1"/>
  <c r="T205" i="23"/>
  <c r="T222" i="23" s="1"/>
  <c r="U205" i="23"/>
  <c r="U222" i="23" s="1"/>
  <c r="V205" i="23"/>
  <c r="V222" i="23" s="1"/>
  <c r="W205" i="23"/>
  <c r="W222" i="23" s="1"/>
  <c r="X205" i="23"/>
  <c r="X222" i="23" s="1"/>
  <c r="Y205" i="23"/>
  <c r="Y222" i="23" s="1"/>
  <c r="Z205" i="23"/>
  <c r="Z222" i="23" s="1"/>
  <c r="AA205" i="23"/>
  <c r="AA222" i="23" s="1"/>
  <c r="AB205" i="23"/>
  <c r="AB222" i="23" s="1"/>
  <c r="AC205" i="23"/>
  <c r="AC222" i="23" s="1"/>
  <c r="AD205" i="23"/>
  <c r="AD222" i="23" s="1"/>
  <c r="AE205" i="23"/>
  <c r="AE222" i="23" s="1"/>
  <c r="AF205" i="23"/>
  <c r="AF222" i="23" s="1"/>
  <c r="AG205" i="23"/>
  <c r="AG222" i="23" s="1"/>
  <c r="AH205" i="23"/>
  <c r="AH222" i="23" s="1"/>
  <c r="AI205" i="23"/>
  <c r="AI222" i="23" s="1"/>
  <c r="AJ205" i="23"/>
  <c r="AJ222" i="23" s="1"/>
  <c r="C206" i="23"/>
  <c r="C223" i="23" s="1"/>
  <c r="D206" i="23"/>
  <c r="D223" i="23" s="1"/>
  <c r="E206" i="23"/>
  <c r="E223" i="23" s="1"/>
  <c r="F206" i="23"/>
  <c r="F223" i="23" s="1"/>
  <c r="G206" i="23"/>
  <c r="G223" i="23" s="1"/>
  <c r="H206" i="23"/>
  <c r="H223" i="23" s="1"/>
  <c r="I206" i="23"/>
  <c r="I223" i="23" s="1"/>
  <c r="J206" i="23"/>
  <c r="J223" i="23" s="1"/>
  <c r="K206" i="23"/>
  <c r="K223" i="23" s="1"/>
  <c r="L206" i="23"/>
  <c r="L223" i="23" s="1"/>
  <c r="M206" i="23"/>
  <c r="M223" i="23" s="1"/>
  <c r="N206" i="23"/>
  <c r="N223" i="23" s="1"/>
  <c r="O206" i="23"/>
  <c r="O223" i="23" s="1"/>
  <c r="P206" i="23"/>
  <c r="P223" i="23" s="1"/>
  <c r="Q206" i="23"/>
  <c r="Q223" i="23" s="1"/>
  <c r="R206" i="23"/>
  <c r="R223" i="23" s="1"/>
  <c r="S206" i="23"/>
  <c r="S223" i="23" s="1"/>
  <c r="T206" i="23"/>
  <c r="T223" i="23" s="1"/>
  <c r="U206" i="23"/>
  <c r="U223" i="23" s="1"/>
  <c r="V206" i="23"/>
  <c r="V223" i="23" s="1"/>
  <c r="W206" i="23"/>
  <c r="W223" i="23" s="1"/>
  <c r="X206" i="23"/>
  <c r="X223" i="23" s="1"/>
  <c r="Y206" i="23"/>
  <c r="Y223" i="23" s="1"/>
  <c r="Z206" i="23"/>
  <c r="Z223" i="23" s="1"/>
  <c r="AA206" i="23"/>
  <c r="AA223" i="23" s="1"/>
  <c r="AB206" i="23"/>
  <c r="AB223" i="23" s="1"/>
  <c r="AC206" i="23"/>
  <c r="AC223" i="23" s="1"/>
  <c r="AD206" i="23"/>
  <c r="AD223" i="23" s="1"/>
  <c r="AE206" i="23"/>
  <c r="AE223" i="23" s="1"/>
  <c r="AF206" i="23"/>
  <c r="AF223" i="23" s="1"/>
  <c r="AG206" i="23"/>
  <c r="AG223" i="23" s="1"/>
  <c r="AH206" i="23"/>
  <c r="AH223" i="23" s="1"/>
  <c r="AI206" i="23"/>
  <c r="AI223" i="23" s="1"/>
  <c r="AJ206" i="23"/>
  <c r="AJ223" i="23" s="1"/>
  <c r="C207" i="23"/>
  <c r="C224" i="23" s="1"/>
  <c r="D207" i="23"/>
  <c r="D224" i="23" s="1"/>
  <c r="E207" i="23"/>
  <c r="E224" i="23" s="1"/>
  <c r="F207" i="23"/>
  <c r="F224" i="23" s="1"/>
  <c r="G207" i="23"/>
  <c r="G224" i="23" s="1"/>
  <c r="H207" i="23"/>
  <c r="H224" i="23" s="1"/>
  <c r="I207" i="23"/>
  <c r="I224" i="23" s="1"/>
  <c r="J207" i="23"/>
  <c r="J224" i="23" s="1"/>
  <c r="K207" i="23"/>
  <c r="K224" i="23" s="1"/>
  <c r="L207" i="23"/>
  <c r="L224" i="23" s="1"/>
  <c r="M207" i="23"/>
  <c r="M224" i="23" s="1"/>
  <c r="N207" i="23"/>
  <c r="N224" i="23" s="1"/>
  <c r="O207" i="23"/>
  <c r="O224" i="23" s="1"/>
  <c r="P207" i="23"/>
  <c r="P224" i="23" s="1"/>
  <c r="Q207" i="23"/>
  <c r="Q224" i="23" s="1"/>
  <c r="R207" i="23"/>
  <c r="R224" i="23" s="1"/>
  <c r="S207" i="23"/>
  <c r="S224" i="23" s="1"/>
  <c r="T207" i="23"/>
  <c r="T224" i="23" s="1"/>
  <c r="U207" i="23"/>
  <c r="U224" i="23" s="1"/>
  <c r="V207" i="23"/>
  <c r="V224" i="23" s="1"/>
  <c r="W207" i="23"/>
  <c r="W224" i="23" s="1"/>
  <c r="X207" i="23"/>
  <c r="X224" i="23" s="1"/>
  <c r="Y207" i="23"/>
  <c r="Y224" i="23" s="1"/>
  <c r="Z207" i="23"/>
  <c r="Z224" i="23" s="1"/>
  <c r="AA207" i="23"/>
  <c r="AA224" i="23" s="1"/>
  <c r="AB207" i="23"/>
  <c r="AB224" i="23" s="1"/>
  <c r="AC207" i="23"/>
  <c r="AC224" i="23" s="1"/>
  <c r="AD207" i="23"/>
  <c r="AD224" i="23" s="1"/>
  <c r="AE207" i="23"/>
  <c r="AE224" i="23" s="1"/>
  <c r="AF207" i="23"/>
  <c r="AF224" i="23" s="1"/>
  <c r="AG207" i="23"/>
  <c r="AG224" i="23" s="1"/>
  <c r="AH207" i="23"/>
  <c r="AH224" i="23" s="1"/>
  <c r="AI207" i="23"/>
  <c r="AI224" i="23" s="1"/>
  <c r="AJ207" i="23"/>
  <c r="AJ224" i="23" s="1"/>
  <c r="C208" i="23"/>
  <c r="C225" i="23" s="1"/>
  <c r="D208" i="23"/>
  <c r="D225" i="23" s="1"/>
  <c r="E208" i="23"/>
  <c r="E225" i="23" s="1"/>
  <c r="F208" i="23"/>
  <c r="F225" i="23" s="1"/>
  <c r="G208" i="23"/>
  <c r="G225" i="23" s="1"/>
  <c r="H208" i="23"/>
  <c r="H225" i="23" s="1"/>
  <c r="I208" i="23"/>
  <c r="I225" i="23" s="1"/>
  <c r="J208" i="23"/>
  <c r="J225" i="23" s="1"/>
  <c r="K208" i="23"/>
  <c r="K225" i="23" s="1"/>
  <c r="L208" i="23"/>
  <c r="L225" i="23" s="1"/>
  <c r="M208" i="23"/>
  <c r="M225" i="23" s="1"/>
  <c r="N208" i="23"/>
  <c r="N225" i="23" s="1"/>
  <c r="O208" i="23"/>
  <c r="O225" i="23" s="1"/>
  <c r="P208" i="23"/>
  <c r="P225" i="23" s="1"/>
  <c r="Q208" i="23"/>
  <c r="Q225" i="23" s="1"/>
  <c r="R208" i="23"/>
  <c r="R225" i="23" s="1"/>
  <c r="S208" i="23"/>
  <c r="S225" i="23" s="1"/>
  <c r="T208" i="23"/>
  <c r="T225" i="23" s="1"/>
  <c r="U208" i="23"/>
  <c r="U225" i="23" s="1"/>
  <c r="V208" i="23"/>
  <c r="V225" i="23" s="1"/>
  <c r="W208" i="23"/>
  <c r="W225" i="23" s="1"/>
  <c r="X208" i="23"/>
  <c r="X225" i="23" s="1"/>
  <c r="Y208" i="23"/>
  <c r="Y225" i="23" s="1"/>
  <c r="Z208" i="23"/>
  <c r="Z225" i="23" s="1"/>
  <c r="AA208" i="23"/>
  <c r="AA225" i="23" s="1"/>
  <c r="AB208" i="23"/>
  <c r="AB225" i="23" s="1"/>
  <c r="AC208" i="23"/>
  <c r="AC225" i="23" s="1"/>
  <c r="AD208" i="23"/>
  <c r="AD225" i="23" s="1"/>
  <c r="AE208" i="23"/>
  <c r="AE225" i="23" s="1"/>
  <c r="AF208" i="23"/>
  <c r="AF225" i="23" s="1"/>
  <c r="AG208" i="23"/>
  <c r="AG225" i="23" s="1"/>
  <c r="AH208" i="23"/>
  <c r="AH225" i="23" s="1"/>
  <c r="AI208" i="23"/>
  <c r="AI225" i="23" s="1"/>
  <c r="AJ208" i="23"/>
  <c r="AJ225" i="23" s="1"/>
  <c r="C209" i="23"/>
  <c r="C226" i="23" s="1"/>
  <c r="D209" i="23"/>
  <c r="D226" i="23" s="1"/>
  <c r="E209" i="23"/>
  <c r="E226" i="23" s="1"/>
  <c r="F209" i="23"/>
  <c r="F226" i="23" s="1"/>
  <c r="G209" i="23"/>
  <c r="G226" i="23" s="1"/>
  <c r="H209" i="23"/>
  <c r="H226" i="23" s="1"/>
  <c r="I209" i="23"/>
  <c r="I226" i="23" s="1"/>
  <c r="J209" i="23"/>
  <c r="J226" i="23" s="1"/>
  <c r="K209" i="23"/>
  <c r="K226" i="23" s="1"/>
  <c r="L209" i="23"/>
  <c r="L226" i="23" s="1"/>
  <c r="M209" i="23"/>
  <c r="M226" i="23" s="1"/>
  <c r="N209" i="23"/>
  <c r="N226" i="23" s="1"/>
  <c r="O209" i="23"/>
  <c r="O226" i="23" s="1"/>
  <c r="P209" i="23"/>
  <c r="P226" i="23" s="1"/>
  <c r="Q209" i="23"/>
  <c r="Q226" i="23" s="1"/>
  <c r="R209" i="23"/>
  <c r="R226" i="23" s="1"/>
  <c r="S209" i="23"/>
  <c r="S226" i="23" s="1"/>
  <c r="T209" i="23"/>
  <c r="T226" i="23" s="1"/>
  <c r="U209" i="23"/>
  <c r="U226" i="23" s="1"/>
  <c r="V209" i="23"/>
  <c r="V226" i="23" s="1"/>
  <c r="W209" i="23"/>
  <c r="W226" i="23" s="1"/>
  <c r="X209" i="23"/>
  <c r="X226" i="23" s="1"/>
  <c r="Y209" i="23"/>
  <c r="Y226" i="23" s="1"/>
  <c r="Z209" i="23"/>
  <c r="Z226" i="23" s="1"/>
  <c r="AA209" i="23"/>
  <c r="AA226" i="23" s="1"/>
  <c r="AB209" i="23"/>
  <c r="AB226" i="23" s="1"/>
  <c r="AC209" i="23"/>
  <c r="AC226" i="23" s="1"/>
  <c r="AD209" i="23"/>
  <c r="AD226" i="23" s="1"/>
  <c r="AE209" i="23"/>
  <c r="AE226" i="23" s="1"/>
  <c r="AF209" i="23"/>
  <c r="AF226" i="23" s="1"/>
  <c r="AG209" i="23"/>
  <c r="AG226" i="23" s="1"/>
  <c r="AH209" i="23"/>
  <c r="AH226" i="23" s="1"/>
  <c r="AI209" i="23"/>
  <c r="AI226" i="23" s="1"/>
  <c r="AJ209" i="23"/>
  <c r="AJ226" i="23" s="1"/>
  <c r="C210" i="23"/>
  <c r="C227" i="23" s="1"/>
  <c r="D210" i="23"/>
  <c r="D227" i="23" s="1"/>
  <c r="E210" i="23"/>
  <c r="E227" i="23" s="1"/>
  <c r="F210" i="23"/>
  <c r="F227" i="23" s="1"/>
  <c r="G210" i="23"/>
  <c r="G227" i="23" s="1"/>
  <c r="H210" i="23"/>
  <c r="H227" i="23" s="1"/>
  <c r="I210" i="23"/>
  <c r="I227" i="23" s="1"/>
  <c r="J210" i="23"/>
  <c r="J227" i="23" s="1"/>
  <c r="K210" i="23"/>
  <c r="K227" i="23" s="1"/>
  <c r="L210" i="23"/>
  <c r="L227" i="23" s="1"/>
  <c r="M210" i="23"/>
  <c r="M227" i="23" s="1"/>
  <c r="N210" i="23"/>
  <c r="N227" i="23" s="1"/>
  <c r="O210" i="23"/>
  <c r="O227" i="23" s="1"/>
  <c r="P210" i="23"/>
  <c r="P227" i="23" s="1"/>
  <c r="Q210" i="23"/>
  <c r="Q227" i="23" s="1"/>
  <c r="R210" i="23"/>
  <c r="R227" i="23" s="1"/>
  <c r="S210" i="23"/>
  <c r="S227" i="23" s="1"/>
  <c r="T210" i="23"/>
  <c r="T227" i="23" s="1"/>
  <c r="U210" i="23"/>
  <c r="U227" i="23" s="1"/>
  <c r="V210" i="23"/>
  <c r="V227" i="23" s="1"/>
  <c r="W210" i="23"/>
  <c r="W227" i="23" s="1"/>
  <c r="X210" i="23"/>
  <c r="X227" i="23" s="1"/>
  <c r="Y210" i="23"/>
  <c r="Y227" i="23" s="1"/>
  <c r="Z210" i="23"/>
  <c r="Z227" i="23" s="1"/>
  <c r="AA210" i="23"/>
  <c r="AA227" i="23" s="1"/>
  <c r="AB210" i="23"/>
  <c r="AB227" i="23" s="1"/>
  <c r="AC210" i="23"/>
  <c r="AC227" i="23" s="1"/>
  <c r="AD210" i="23"/>
  <c r="AD227" i="23" s="1"/>
  <c r="AE210" i="23"/>
  <c r="AE227" i="23" s="1"/>
  <c r="AF210" i="23"/>
  <c r="AF227" i="23" s="1"/>
  <c r="AG210" i="23"/>
  <c r="AG227" i="23" s="1"/>
  <c r="AH210" i="23"/>
  <c r="AH227" i="23" s="1"/>
  <c r="AI210" i="23"/>
  <c r="AI227" i="23" s="1"/>
  <c r="AJ210" i="23"/>
  <c r="AJ227" i="23" s="1"/>
  <c r="C211" i="23"/>
  <c r="C228" i="23" s="1"/>
  <c r="D211" i="23"/>
  <c r="D228" i="23" s="1"/>
  <c r="E211" i="23"/>
  <c r="E228" i="23" s="1"/>
  <c r="F211" i="23"/>
  <c r="F228" i="23" s="1"/>
  <c r="G211" i="23"/>
  <c r="G228" i="23" s="1"/>
  <c r="H211" i="23"/>
  <c r="H228" i="23" s="1"/>
  <c r="I211" i="23"/>
  <c r="I228" i="23" s="1"/>
  <c r="J211" i="23"/>
  <c r="J228" i="23" s="1"/>
  <c r="K211" i="23"/>
  <c r="K228" i="23" s="1"/>
  <c r="L211" i="23"/>
  <c r="L228" i="23" s="1"/>
  <c r="M211" i="23"/>
  <c r="M228" i="23" s="1"/>
  <c r="N211" i="23"/>
  <c r="N228" i="23" s="1"/>
  <c r="O211" i="23"/>
  <c r="O228" i="23" s="1"/>
  <c r="P211" i="23"/>
  <c r="P228" i="23" s="1"/>
  <c r="Q211" i="23"/>
  <c r="Q228" i="23" s="1"/>
  <c r="R211" i="23"/>
  <c r="R228" i="23" s="1"/>
  <c r="S211" i="23"/>
  <c r="S228" i="23" s="1"/>
  <c r="T211" i="23"/>
  <c r="T228" i="23" s="1"/>
  <c r="U211" i="23"/>
  <c r="U228" i="23" s="1"/>
  <c r="V211" i="23"/>
  <c r="V228" i="23" s="1"/>
  <c r="W211" i="23"/>
  <c r="W228" i="23" s="1"/>
  <c r="X211" i="23"/>
  <c r="X228" i="23" s="1"/>
  <c r="Y211" i="23"/>
  <c r="Y228" i="23" s="1"/>
  <c r="Z211" i="23"/>
  <c r="Z228" i="23" s="1"/>
  <c r="AA211" i="23"/>
  <c r="AA228" i="23" s="1"/>
  <c r="AB211" i="23"/>
  <c r="AB228" i="23" s="1"/>
  <c r="AC211" i="23"/>
  <c r="AC228" i="23" s="1"/>
  <c r="AD211" i="23"/>
  <c r="AD228" i="23" s="1"/>
  <c r="AE211" i="23"/>
  <c r="AE228" i="23" s="1"/>
  <c r="AF211" i="23"/>
  <c r="AF228" i="23" s="1"/>
  <c r="AG211" i="23"/>
  <c r="AG228" i="23" s="1"/>
  <c r="AH211" i="23"/>
  <c r="AH228" i="23" s="1"/>
  <c r="AI211" i="23"/>
  <c r="AI228" i="23" s="1"/>
  <c r="AJ211" i="23"/>
  <c r="AJ228" i="23" s="1"/>
  <c r="C212" i="23"/>
  <c r="C229" i="23" s="1"/>
  <c r="D212" i="23"/>
  <c r="D229" i="23" s="1"/>
  <c r="E212" i="23"/>
  <c r="E229" i="23" s="1"/>
  <c r="F212" i="23"/>
  <c r="F229" i="23" s="1"/>
  <c r="G212" i="23"/>
  <c r="G229" i="23" s="1"/>
  <c r="H212" i="23"/>
  <c r="H229" i="23" s="1"/>
  <c r="I212" i="23"/>
  <c r="I229" i="23" s="1"/>
  <c r="J212" i="23"/>
  <c r="J229" i="23" s="1"/>
  <c r="K212" i="23"/>
  <c r="K229" i="23" s="1"/>
  <c r="L212" i="23"/>
  <c r="L229" i="23" s="1"/>
  <c r="M212" i="23"/>
  <c r="M229" i="23" s="1"/>
  <c r="N212" i="23"/>
  <c r="N229" i="23" s="1"/>
  <c r="O212" i="23"/>
  <c r="O229" i="23" s="1"/>
  <c r="P212" i="23"/>
  <c r="P229" i="23" s="1"/>
  <c r="Q212" i="23"/>
  <c r="Q229" i="23" s="1"/>
  <c r="R212" i="23"/>
  <c r="R229" i="23" s="1"/>
  <c r="S212" i="23"/>
  <c r="S229" i="23" s="1"/>
  <c r="T212" i="23"/>
  <c r="T229" i="23" s="1"/>
  <c r="U212" i="23"/>
  <c r="U229" i="23" s="1"/>
  <c r="V212" i="23"/>
  <c r="V229" i="23" s="1"/>
  <c r="W212" i="23"/>
  <c r="W229" i="23" s="1"/>
  <c r="X212" i="23"/>
  <c r="X229" i="23" s="1"/>
  <c r="Y212" i="23"/>
  <c r="Y229" i="23" s="1"/>
  <c r="Z212" i="23"/>
  <c r="Z229" i="23" s="1"/>
  <c r="AA212" i="23"/>
  <c r="AA229" i="23" s="1"/>
  <c r="AB212" i="23"/>
  <c r="AB229" i="23" s="1"/>
  <c r="AC212" i="23"/>
  <c r="AC229" i="23" s="1"/>
  <c r="AD212" i="23"/>
  <c r="AD229" i="23" s="1"/>
  <c r="AE212" i="23"/>
  <c r="AE229" i="23" s="1"/>
  <c r="AF212" i="23"/>
  <c r="AF229" i="23" s="1"/>
  <c r="AG212" i="23"/>
  <c r="AG229" i="23" s="1"/>
  <c r="AH212" i="23"/>
  <c r="AH229" i="23" s="1"/>
  <c r="AI212" i="23"/>
  <c r="AI229" i="23" s="1"/>
  <c r="AJ212" i="23"/>
  <c r="AJ229" i="23" s="1"/>
  <c r="D201" i="23"/>
  <c r="D218" i="23" s="1"/>
  <c r="E201" i="23"/>
  <c r="E218" i="23" s="1"/>
  <c r="F201" i="23"/>
  <c r="F218" i="23" s="1"/>
  <c r="G201" i="23"/>
  <c r="G218" i="23" s="1"/>
  <c r="H201" i="23"/>
  <c r="H218" i="23" s="1"/>
  <c r="I201" i="23"/>
  <c r="I218" i="23" s="1"/>
  <c r="J201" i="23"/>
  <c r="J218" i="23" s="1"/>
  <c r="K201" i="23"/>
  <c r="K218" i="23" s="1"/>
  <c r="L201" i="23"/>
  <c r="L218" i="23" s="1"/>
  <c r="M201" i="23"/>
  <c r="M218" i="23" s="1"/>
  <c r="N201" i="23"/>
  <c r="N218" i="23" s="1"/>
  <c r="O201" i="23"/>
  <c r="O218" i="23" s="1"/>
  <c r="P201" i="23"/>
  <c r="P218" i="23" s="1"/>
  <c r="Q201" i="23"/>
  <c r="Q218" i="23" s="1"/>
  <c r="R201" i="23"/>
  <c r="R218" i="23" s="1"/>
  <c r="S201" i="23"/>
  <c r="S218" i="23" s="1"/>
  <c r="T201" i="23"/>
  <c r="T218" i="23" s="1"/>
  <c r="U201" i="23"/>
  <c r="U218" i="23" s="1"/>
  <c r="V201" i="23"/>
  <c r="V218" i="23" s="1"/>
  <c r="W201" i="23"/>
  <c r="W218" i="23" s="1"/>
  <c r="X201" i="23"/>
  <c r="X218" i="23" s="1"/>
  <c r="Y201" i="23"/>
  <c r="Y218" i="23" s="1"/>
  <c r="Z201" i="23"/>
  <c r="Z218" i="23" s="1"/>
  <c r="AA201" i="23"/>
  <c r="AA218" i="23" s="1"/>
  <c r="AB201" i="23"/>
  <c r="AB218" i="23" s="1"/>
  <c r="AC201" i="23"/>
  <c r="AC218" i="23" s="1"/>
  <c r="AD201" i="23"/>
  <c r="AD218" i="23" s="1"/>
  <c r="AE201" i="23"/>
  <c r="AE218" i="23" s="1"/>
  <c r="AF201" i="23"/>
  <c r="AF218" i="23" s="1"/>
  <c r="AG201" i="23"/>
  <c r="AG218" i="23" s="1"/>
  <c r="AH201" i="23"/>
  <c r="AH218" i="23" s="1"/>
  <c r="AI201" i="23"/>
  <c r="AI218" i="23" s="1"/>
  <c r="AJ201" i="23"/>
  <c r="AJ218" i="23" s="1"/>
  <c r="D151" i="23"/>
  <c r="E151" i="23"/>
  <c r="F151" i="23"/>
  <c r="G151" i="23"/>
  <c r="H151" i="23"/>
  <c r="I151" i="23"/>
  <c r="J151" i="23"/>
  <c r="K151" i="23"/>
  <c r="L151" i="23"/>
  <c r="M151" i="23"/>
  <c r="N151" i="23"/>
  <c r="O151" i="23"/>
  <c r="P151" i="23"/>
  <c r="Q151" i="23"/>
  <c r="R151" i="23"/>
  <c r="S151" i="23"/>
  <c r="T151" i="23"/>
  <c r="U151" i="23"/>
  <c r="V151" i="23"/>
  <c r="W151" i="23"/>
  <c r="X151" i="23"/>
  <c r="Y151" i="23"/>
  <c r="Z151" i="23"/>
  <c r="AA151" i="23"/>
  <c r="AB151" i="23"/>
  <c r="AC151" i="23"/>
  <c r="AD151" i="23"/>
  <c r="AE151" i="23"/>
  <c r="AF151" i="23"/>
  <c r="AG151" i="23"/>
  <c r="AH151" i="23"/>
  <c r="AI151" i="23"/>
  <c r="AJ151" i="23"/>
  <c r="AK172" i="23" s="1"/>
  <c r="AK151" i="23"/>
  <c r="D152" i="23"/>
  <c r="E152" i="23"/>
  <c r="D173" i="23" s="1"/>
  <c r="F152" i="23"/>
  <c r="G152" i="23"/>
  <c r="H152" i="23"/>
  <c r="I152" i="23"/>
  <c r="J152" i="23"/>
  <c r="K152" i="23"/>
  <c r="L152" i="23"/>
  <c r="M152" i="23"/>
  <c r="N152" i="23"/>
  <c r="O152" i="23"/>
  <c r="P152" i="23"/>
  <c r="Q152" i="23"/>
  <c r="R152" i="23"/>
  <c r="S152" i="23"/>
  <c r="T152" i="23"/>
  <c r="U152" i="23"/>
  <c r="V173" i="23" s="1"/>
  <c r="V152" i="23"/>
  <c r="W152" i="23"/>
  <c r="X152" i="23"/>
  <c r="Y152" i="23"/>
  <c r="Z152" i="23"/>
  <c r="AA152" i="23"/>
  <c r="AB152" i="23"/>
  <c r="AC152" i="23"/>
  <c r="AD152" i="23"/>
  <c r="AE152" i="23"/>
  <c r="AF152" i="23"/>
  <c r="AG152" i="23"/>
  <c r="AH152" i="23"/>
  <c r="AI152" i="23"/>
  <c r="AJ152" i="23"/>
  <c r="AK173" i="23" s="1"/>
  <c r="AK152" i="23"/>
  <c r="D153" i="23"/>
  <c r="E153" i="23"/>
  <c r="F153" i="23"/>
  <c r="G153" i="23"/>
  <c r="H153" i="23"/>
  <c r="I153" i="23"/>
  <c r="J153" i="23"/>
  <c r="K153" i="23"/>
  <c r="L153" i="23"/>
  <c r="M153" i="23"/>
  <c r="N153" i="23"/>
  <c r="O153" i="23"/>
  <c r="P153" i="23"/>
  <c r="Q153" i="23"/>
  <c r="R153" i="23"/>
  <c r="S153" i="23"/>
  <c r="T153" i="23"/>
  <c r="U153" i="23"/>
  <c r="V153" i="23"/>
  <c r="W153" i="23"/>
  <c r="X153" i="23"/>
  <c r="Y153" i="23"/>
  <c r="Z153" i="23"/>
  <c r="AA153" i="23"/>
  <c r="AB153" i="23"/>
  <c r="AC153" i="23"/>
  <c r="AD153" i="23"/>
  <c r="AE153" i="23"/>
  <c r="AF153" i="23"/>
  <c r="AG153" i="23"/>
  <c r="AH153" i="23"/>
  <c r="AI153" i="23"/>
  <c r="AJ153" i="23"/>
  <c r="AK174" i="23" s="1"/>
  <c r="AK153" i="23"/>
  <c r="D154" i="23"/>
  <c r="E154" i="23"/>
  <c r="D175" i="23" s="1"/>
  <c r="F154" i="23"/>
  <c r="G154" i="23"/>
  <c r="H154" i="23"/>
  <c r="I154" i="23"/>
  <c r="J154" i="23"/>
  <c r="K154" i="23"/>
  <c r="L154" i="23"/>
  <c r="M154" i="23"/>
  <c r="N154" i="23"/>
  <c r="O154" i="23"/>
  <c r="P154" i="23"/>
  <c r="Q154" i="23"/>
  <c r="R154" i="23"/>
  <c r="S154" i="23"/>
  <c r="T154" i="23"/>
  <c r="U154" i="23"/>
  <c r="V154" i="23"/>
  <c r="W154" i="23"/>
  <c r="X154" i="23"/>
  <c r="Y154" i="23"/>
  <c r="Z175" i="23" s="1"/>
  <c r="Z154" i="23"/>
  <c r="AA154" i="23"/>
  <c r="AB154" i="23"/>
  <c r="AC154" i="23"/>
  <c r="AD154" i="23"/>
  <c r="AE154" i="23"/>
  <c r="AF154" i="23"/>
  <c r="AG154" i="23"/>
  <c r="AH154" i="23"/>
  <c r="AI154" i="23"/>
  <c r="AJ154" i="23"/>
  <c r="AK175" i="23" s="1"/>
  <c r="AK154" i="23"/>
  <c r="D155" i="23"/>
  <c r="E155" i="23"/>
  <c r="F155" i="23"/>
  <c r="G155" i="23"/>
  <c r="H176" i="23" s="1"/>
  <c r="H155" i="23"/>
  <c r="I155" i="23"/>
  <c r="J155" i="23"/>
  <c r="K155" i="23"/>
  <c r="L155" i="23"/>
  <c r="M155" i="23"/>
  <c r="N155" i="23"/>
  <c r="O155" i="23"/>
  <c r="P155" i="23"/>
  <c r="Q155" i="23"/>
  <c r="R155" i="23"/>
  <c r="S155" i="23"/>
  <c r="T155" i="23"/>
  <c r="U155" i="23"/>
  <c r="V155" i="23"/>
  <c r="W155" i="23"/>
  <c r="X155" i="23"/>
  <c r="Y155" i="23"/>
  <c r="Z155" i="23"/>
  <c r="AA155" i="23"/>
  <c r="AB155" i="23"/>
  <c r="AC155" i="23"/>
  <c r="AD155" i="23"/>
  <c r="AE155" i="23"/>
  <c r="AF155" i="23"/>
  <c r="AG155" i="23"/>
  <c r="AH155" i="23"/>
  <c r="AI155" i="23"/>
  <c r="AJ155" i="23"/>
  <c r="AK176" i="23" s="1"/>
  <c r="AK155" i="23"/>
  <c r="D156" i="23"/>
  <c r="E156" i="23"/>
  <c r="D177" i="23" s="1"/>
  <c r="F156" i="23"/>
  <c r="G156" i="23"/>
  <c r="H156" i="23"/>
  <c r="I156" i="23"/>
  <c r="J156" i="23"/>
  <c r="K156" i="23"/>
  <c r="L156" i="23"/>
  <c r="M156" i="23"/>
  <c r="N156" i="23"/>
  <c r="O156" i="23"/>
  <c r="P156" i="23"/>
  <c r="Q156" i="23"/>
  <c r="R156" i="23"/>
  <c r="S156" i="23"/>
  <c r="T156" i="23"/>
  <c r="U156" i="23"/>
  <c r="V177" i="23" s="1"/>
  <c r="V156" i="23"/>
  <c r="W156" i="23"/>
  <c r="X156" i="23"/>
  <c r="Y156" i="23"/>
  <c r="Z156" i="23"/>
  <c r="AA156" i="23"/>
  <c r="AB156" i="23"/>
  <c r="AC156" i="23"/>
  <c r="AD156" i="23"/>
  <c r="AE156" i="23"/>
  <c r="AF156" i="23"/>
  <c r="AG156" i="23"/>
  <c r="AH156" i="23"/>
  <c r="AI156" i="23"/>
  <c r="AJ156" i="23"/>
  <c r="AK177" i="23" s="1"/>
  <c r="AK156" i="23"/>
  <c r="D157" i="23"/>
  <c r="E157" i="23"/>
  <c r="D178" i="23" s="1"/>
  <c r="F157" i="23"/>
  <c r="G157" i="23"/>
  <c r="H157" i="23"/>
  <c r="I157" i="23"/>
  <c r="J157" i="23"/>
  <c r="K157" i="23"/>
  <c r="L157" i="23"/>
  <c r="M157" i="23"/>
  <c r="N157" i="23"/>
  <c r="O157" i="23"/>
  <c r="P157" i="23"/>
  <c r="Q157" i="23"/>
  <c r="R157" i="23"/>
  <c r="S157" i="23"/>
  <c r="T157" i="23"/>
  <c r="U157" i="23"/>
  <c r="V157" i="23"/>
  <c r="W157" i="23"/>
  <c r="X157" i="23"/>
  <c r="Y157" i="23"/>
  <c r="Z157" i="23"/>
  <c r="AA157" i="23"/>
  <c r="AB157" i="23"/>
  <c r="AC157" i="23"/>
  <c r="AD157" i="23"/>
  <c r="AE157" i="23"/>
  <c r="AF157" i="23"/>
  <c r="AG157" i="23"/>
  <c r="AH157" i="23"/>
  <c r="AI157" i="23"/>
  <c r="AJ157" i="23"/>
  <c r="AK178" i="23" s="1"/>
  <c r="AK157" i="23"/>
  <c r="D158" i="23"/>
  <c r="E158" i="23"/>
  <c r="D179" i="23" s="1"/>
  <c r="F158" i="23"/>
  <c r="G158" i="23"/>
  <c r="H158" i="23"/>
  <c r="I158" i="23"/>
  <c r="J158" i="23"/>
  <c r="K158" i="23"/>
  <c r="L158" i="23"/>
  <c r="M158" i="23"/>
  <c r="N158" i="23"/>
  <c r="O158" i="23"/>
  <c r="P158" i="23"/>
  <c r="Q158" i="23"/>
  <c r="R158" i="23"/>
  <c r="S158" i="23"/>
  <c r="T158" i="23"/>
  <c r="U158" i="23"/>
  <c r="V158" i="23"/>
  <c r="W158" i="23"/>
  <c r="X158" i="23"/>
  <c r="Y158" i="23"/>
  <c r="Z158" i="23"/>
  <c r="AA158" i="23"/>
  <c r="AB158" i="23"/>
  <c r="AC158" i="23"/>
  <c r="AD158" i="23"/>
  <c r="AE158" i="23"/>
  <c r="AF158" i="23"/>
  <c r="AG158" i="23"/>
  <c r="AH158" i="23"/>
  <c r="AI158" i="23"/>
  <c r="AJ158" i="23"/>
  <c r="AK179" i="23" s="1"/>
  <c r="AK158" i="23"/>
  <c r="D159" i="23"/>
  <c r="E159" i="23"/>
  <c r="F159" i="23"/>
  <c r="G159" i="23"/>
  <c r="H159" i="23"/>
  <c r="I159" i="23"/>
  <c r="J159" i="23"/>
  <c r="K159" i="23"/>
  <c r="L159" i="23"/>
  <c r="M159" i="23"/>
  <c r="N159" i="23"/>
  <c r="O159" i="23"/>
  <c r="P159" i="23"/>
  <c r="Q159" i="23"/>
  <c r="R159" i="23"/>
  <c r="S159" i="23"/>
  <c r="T159" i="23"/>
  <c r="U159" i="23"/>
  <c r="V159" i="23"/>
  <c r="W159" i="23"/>
  <c r="X159" i="23"/>
  <c r="Y159" i="23"/>
  <c r="Z159" i="23"/>
  <c r="AA159" i="23"/>
  <c r="AB159" i="23"/>
  <c r="AC159" i="23"/>
  <c r="AD159" i="23"/>
  <c r="AE159" i="23"/>
  <c r="AF159" i="23"/>
  <c r="AG159" i="23"/>
  <c r="AH159" i="23"/>
  <c r="AI159" i="23"/>
  <c r="AJ159" i="23"/>
  <c r="AK180" i="23" s="1"/>
  <c r="AK159" i="23"/>
  <c r="D160" i="23"/>
  <c r="E160" i="23"/>
  <c r="D181" i="23" s="1"/>
  <c r="F160" i="23"/>
  <c r="G160" i="23"/>
  <c r="H160" i="23"/>
  <c r="I160" i="23"/>
  <c r="J160" i="23"/>
  <c r="K160" i="23"/>
  <c r="L160" i="23"/>
  <c r="M160" i="23"/>
  <c r="N160" i="23"/>
  <c r="O160" i="23"/>
  <c r="P160" i="23"/>
  <c r="Q160" i="23"/>
  <c r="R160" i="23"/>
  <c r="S160" i="23"/>
  <c r="T160" i="23"/>
  <c r="U160" i="23"/>
  <c r="V160" i="23"/>
  <c r="W160" i="23"/>
  <c r="X160" i="23"/>
  <c r="Y160" i="23"/>
  <c r="Z160" i="23"/>
  <c r="AA160" i="23"/>
  <c r="AB160" i="23"/>
  <c r="AC160" i="23"/>
  <c r="AD160" i="23"/>
  <c r="AE160" i="23"/>
  <c r="AF160" i="23"/>
  <c r="AG160" i="23"/>
  <c r="AH160" i="23"/>
  <c r="AI160" i="23"/>
  <c r="AJ160" i="23"/>
  <c r="AK181" i="23" s="1"/>
  <c r="AK160" i="23"/>
  <c r="D161" i="23"/>
  <c r="E161" i="23"/>
  <c r="F161" i="23"/>
  <c r="G161" i="23"/>
  <c r="H161" i="23"/>
  <c r="I161" i="23"/>
  <c r="J161" i="23"/>
  <c r="K161" i="23"/>
  <c r="L161" i="23"/>
  <c r="M161" i="23"/>
  <c r="N161" i="23"/>
  <c r="O161" i="23"/>
  <c r="P161" i="23"/>
  <c r="Q161" i="23"/>
  <c r="R161" i="23"/>
  <c r="S161" i="23"/>
  <c r="T161" i="23"/>
  <c r="U161" i="23"/>
  <c r="V161" i="23"/>
  <c r="W161" i="23"/>
  <c r="X161" i="23"/>
  <c r="Y161" i="23"/>
  <c r="Z161" i="23"/>
  <c r="AA161" i="23"/>
  <c r="AB161" i="23"/>
  <c r="AC161" i="23"/>
  <c r="AD161" i="23"/>
  <c r="AE161" i="23"/>
  <c r="AF161" i="23"/>
  <c r="AG161" i="23"/>
  <c r="AH161" i="23"/>
  <c r="AI161" i="23"/>
  <c r="AJ161" i="23"/>
  <c r="AK182" i="23" s="1"/>
  <c r="AK161" i="23"/>
  <c r="E150" i="23"/>
  <c r="F150" i="23"/>
  <c r="G150" i="23"/>
  <c r="H150" i="23"/>
  <c r="I150" i="23"/>
  <c r="J150" i="23"/>
  <c r="K150" i="23"/>
  <c r="L150" i="23"/>
  <c r="M150" i="23"/>
  <c r="N150" i="23"/>
  <c r="O150" i="23"/>
  <c r="P150" i="23"/>
  <c r="Q150" i="23"/>
  <c r="R150" i="23"/>
  <c r="S150" i="23"/>
  <c r="T150" i="23"/>
  <c r="U150" i="23"/>
  <c r="V150" i="23"/>
  <c r="W150" i="23"/>
  <c r="X150" i="23"/>
  <c r="Y150" i="23"/>
  <c r="Z150" i="23"/>
  <c r="AA150" i="23"/>
  <c r="AB150" i="23"/>
  <c r="AC150" i="23"/>
  <c r="AD150" i="23"/>
  <c r="AE150" i="23"/>
  <c r="AF150" i="23"/>
  <c r="AG150" i="23"/>
  <c r="AH150" i="23"/>
  <c r="AI150" i="23"/>
  <c r="AJ150" i="23"/>
  <c r="AK171" i="23" s="1"/>
  <c r="AK150" i="23"/>
  <c r="C129" i="23"/>
  <c r="D129" i="23"/>
  <c r="E129" i="23"/>
  <c r="F129" i="23"/>
  <c r="G129" i="23"/>
  <c r="H129" i="23"/>
  <c r="I129" i="23"/>
  <c r="J129" i="23"/>
  <c r="K129" i="23"/>
  <c r="L129" i="23"/>
  <c r="M129" i="23"/>
  <c r="N129" i="23"/>
  <c r="O129" i="23"/>
  <c r="P129" i="23"/>
  <c r="Q129" i="23"/>
  <c r="R129" i="23"/>
  <c r="S129" i="23"/>
  <c r="T129" i="23"/>
  <c r="U129" i="23"/>
  <c r="V129" i="23"/>
  <c r="W129" i="23"/>
  <c r="X129" i="23"/>
  <c r="Y129" i="23"/>
  <c r="Z129" i="23"/>
  <c r="AA129" i="23"/>
  <c r="AB129" i="23"/>
  <c r="AC129" i="23"/>
  <c r="AD129" i="23"/>
  <c r="AE129" i="23"/>
  <c r="AF129" i="23"/>
  <c r="AG129" i="23"/>
  <c r="AH129" i="23"/>
  <c r="AI129" i="23"/>
  <c r="AJ129" i="23"/>
  <c r="C130" i="23"/>
  <c r="D130" i="23"/>
  <c r="E130" i="23"/>
  <c r="F130" i="23"/>
  <c r="G130" i="23"/>
  <c r="H130" i="23"/>
  <c r="I130" i="23"/>
  <c r="J130" i="23"/>
  <c r="K130" i="23"/>
  <c r="L130" i="23"/>
  <c r="M130" i="23"/>
  <c r="N130" i="23"/>
  <c r="O130" i="23"/>
  <c r="P130" i="23"/>
  <c r="Q130" i="23"/>
  <c r="R130" i="23"/>
  <c r="S130" i="23"/>
  <c r="T130" i="23"/>
  <c r="U130" i="23"/>
  <c r="V130" i="23"/>
  <c r="W130" i="23"/>
  <c r="X130" i="23"/>
  <c r="Y130" i="23"/>
  <c r="Z130" i="23"/>
  <c r="AA130" i="23"/>
  <c r="AB130" i="23"/>
  <c r="AC130" i="23"/>
  <c r="AD130" i="23"/>
  <c r="AE130" i="23"/>
  <c r="AF130" i="23"/>
  <c r="AG130" i="23"/>
  <c r="AH130" i="23"/>
  <c r="AI130" i="23"/>
  <c r="AJ130" i="23"/>
  <c r="C131" i="23"/>
  <c r="D131" i="23"/>
  <c r="E131" i="23"/>
  <c r="F131" i="23"/>
  <c r="G131" i="23"/>
  <c r="H131" i="23"/>
  <c r="I131" i="23"/>
  <c r="J131" i="23"/>
  <c r="K131" i="23"/>
  <c r="L131" i="23"/>
  <c r="M131" i="23"/>
  <c r="N131" i="23"/>
  <c r="O131" i="23"/>
  <c r="P131" i="23"/>
  <c r="Q131" i="23"/>
  <c r="R131" i="23"/>
  <c r="S131" i="23"/>
  <c r="T131" i="23"/>
  <c r="U131" i="23"/>
  <c r="V131" i="23"/>
  <c r="W131" i="23"/>
  <c r="X131" i="23"/>
  <c r="Y131" i="23"/>
  <c r="Z131" i="23"/>
  <c r="AA131" i="23"/>
  <c r="AB131" i="23"/>
  <c r="AC131" i="23"/>
  <c r="AD131" i="23"/>
  <c r="AE131" i="23"/>
  <c r="AF131" i="23"/>
  <c r="AG131" i="23"/>
  <c r="AH131" i="23"/>
  <c r="AI131" i="23"/>
  <c r="AJ131" i="23"/>
  <c r="C132" i="23"/>
  <c r="D132" i="23"/>
  <c r="E132" i="23"/>
  <c r="F132" i="23"/>
  <c r="G132" i="23"/>
  <c r="H132" i="23"/>
  <c r="I132" i="23"/>
  <c r="J132" i="23"/>
  <c r="K132" i="23"/>
  <c r="L132" i="23"/>
  <c r="M132" i="23"/>
  <c r="N132" i="23"/>
  <c r="O132" i="23"/>
  <c r="P132" i="23"/>
  <c r="Q132" i="23"/>
  <c r="R132" i="23"/>
  <c r="S132" i="23"/>
  <c r="T132" i="23"/>
  <c r="U132" i="23"/>
  <c r="V132" i="23"/>
  <c r="W132" i="23"/>
  <c r="X132" i="23"/>
  <c r="Y132" i="23"/>
  <c r="Z132" i="23"/>
  <c r="AA132" i="23"/>
  <c r="AB132" i="23"/>
  <c r="AC132" i="23"/>
  <c r="AD132" i="23"/>
  <c r="AE132" i="23"/>
  <c r="AF132" i="23"/>
  <c r="AG132" i="23"/>
  <c r="AH132" i="23"/>
  <c r="AI132" i="23"/>
  <c r="AJ132" i="23"/>
  <c r="C133" i="23"/>
  <c r="D133" i="23"/>
  <c r="E133" i="23"/>
  <c r="F133" i="23"/>
  <c r="G133" i="23"/>
  <c r="H133" i="23"/>
  <c r="I133" i="23"/>
  <c r="J133" i="23"/>
  <c r="K133" i="23"/>
  <c r="L133" i="23"/>
  <c r="M133" i="23"/>
  <c r="N133" i="23"/>
  <c r="O133" i="23"/>
  <c r="P133" i="23"/>
  <c r="Q133" i="23"/>
  <c r="R133" i="23"/>
  <c r="S133" i="23"/>
  <c r="T133" i="23"/>
  <c r="U133" i="23"/>
  <c r="V133" i="23"/>
  <c r="W133" i="23"/>
  <c r="X133" i="23"/>
  <c r="Y133" i="23"/>
  <c r="Z133" i="23"/>
  <c r="AA133" i="23"/>
  <c r="AB133" i="23"/>
  <c r="AC133" i="23"/>
  <c r="AD133" i="23"/>
  <c r="AE133" i="23"/>
  <c r="AF133" i="23"/>
  <c r="AG133" i="23"/>
  <c r="AH133" i="23"/>
  <c r="AI133" i="23"/>
  <c r="AJ133" i="23"/>
  <c r="C134" i="23"/>
  <c r="D134" i="23"/>
  <c r="E134" i="23"/>
  <c r="F134" i="23"/>
  <c r="G134" i="23"/>
  <c r="H134" i="23"/>
  <c r="I134" i="23"/>
  <c r="J134" i="23"/>
  <c r="K134" i="23"/>
  <c r="L134" i="23"/>
  <c r="M134" i="23"/>
  <c r="N134" i="23"/>
  <c r="O134" i="23"/>
  <c r="P134" i="23"/>
  <c r="Q134" i="23"/>
  <c r="R134" i="23"/>
  <c r="S134" i="23"/>
  <c r="T134" i="23"/>
  <c r="U134" i="23"/>
  <c r="V134" i="23"/>
  <c r="W134" i="23"/>
  <c r="X134" i="23"/>
  <c r="Y134" i="23"/>
  <c r="Z134" i="23"/>
  <c r="AA134" i="23"/>
  <c r="AB134" i="23"/>
  <c r="AC134" i="23"/>
  <c r="AD134" i="23"/>
  <c r="AE134" i="23"/>
  <c r="AF134" i="23"/>
  <c r="AG134" i="23"/>
  <c r="AH134" i="23"/>
  <c r="AI134" i="23"/>
  <c r="AJ134" i="23"/>
  <c r="C135" i="23"/>
  <c r="D135" i="23"/>
  <c r="E135" i="23"/>
  <c r="F135" i="23"/>
  <c r="G135" i="23"/>
  <c r="H135" i="23"/>
  <c r="I135" i="23"/>
  <c r="J135" i="23"/>
  <c r="K135" i="23"/>
  <c r="L135" i="23"/>
  <c r="M135" i="23"/>
  <c r="N135" i="23"/>
  <c r="O135" i="23"/>
  <c r="P135" i="23"/>
  <c r="Q135" i="23"/>
  <c r="R135" i="23"/>
  <c r="S135" i="23"/>
  <c r="T135" i="23"/>
  <c r="U135" i="23"/>
  <c r="V135" i="23"/>
  <c r="W135" i="23"/>
  <c r="X135" i="23"/>
  <c r="Y135" i="23"/>
  <c r="Z135" i="23"/>
  <c r="AA135" i="23"/>
  <c r="AB135" i="23"/>
  <c r="AC135" i="23"/>
  <c r="AD135" i="23"/>
  <c r="AE135" i="23"/>
  <c r="AF135" i="23"/>
  <c r="AG135" i="23"/>
  <c r="AH135" i="23"/>
  <c r="AI135" i="23"/>
  <c r="AJ135" i="23"/>
  <c r="C136" i="23"/>
  <c r="D136" i="23"/>
  <c r="E136" i="23"/>
  <c r="F136" i="23"/>
  <c r="G136" i="23"/>
  <c r="H136" i="23"/>
  <c r="I136" i="23"/>
  <c r="J136" i="23"/>
  <c r="K136" i="23"/>
  <c r="L136" i="23"/>
  <c r="M136" i="23"/>
  <c r="N136" i="23"/>
  <c r="O136" i="23"/>
  <c r="P136" i="23"/>
  <c r="Q136" i="23"/>
  <c r="R136" i="23"/>
  <c r="S136" i="23"/>
  <c r="T136" i="23"/>
  <c r="U136" i="23"/>
  <c r="V136" i="23"/>
  <c r="W136" i="23"/>
  <c r="X136" i="23"/>
  <c r="Y136" i="23"/>
  <c r="Z136" i="23"/>
  <c r="AA136" i="23"/>
  <c r="AB136" i="23"/>
  <c r="AC136" i="23"/>
  <c r="AD136" i="23"/>
  <c r="AE136" i="23"/>
  <c r="AF136" i="23"/>
  <c r="AG136" i="23"/>
  <c r="AH136" i="23"/>
  <c r="AI136" i="23"/>
  <c r="AJ136" i="23"/>
  <c r="C137" i="23"/>
  <c r="D137" i="23"/>
  <c r="E137" i="23"/>
  <c r="F137" i="23"/>
  <c r="G137" i="23"/>
  <c r="H137" i="23"/>
  <c r="I137" i="23"/>
  <c r="J137" i="23"/>
  <c r="K137" i="23"/>
  <c r="L137" i="23"/>
  <c r="M137" i="23"/>
  <c r="N137" i="23"/>
  <c r="O137" i="23"/>
  <c r="P137" i="23"/>
  <c r="Q137" i="23"/>
  <c r="R137" i="23"/>
  <c r="S137" i="23"/>
  <c r="T137" i="23"/>
  <c r="U137" i="23"/>
  <c r="V137" i="23"/>
  <c r="W137" i="23"/>
  <c r="X137" i="23"/>
  <c r="Y137" i="23"/>
  <c r="Z137" i="23"/>
  <c r="AA137" i="23"/>
  <c r="AB137" i="23"/>
  <c r="AC137" i="23"/>
  <c r="AD137" i="23"/>
  <c r="AE137" i="23"/>
  <c r="AF137" i="23"/>
  <c r="AG137" i="23"/>
  <c r="AH137" i="23"/>
  <c r="AI137" i="23"/>
  <c r="AJ137" i="23"/>
  <c r="C138" i="23"/>
  <c r="D138" i="23"/>
  <c r="E138" i="23"/>
  <c r="F138" i="23"/>
  <c r="G138" i="23"/>
  <c r="H138" i="23"/>
  <c r="I138" i="23"/>
  <c r="J138" i="23"/>
  <c r="K138" i="23"/>
  <c r="L138" i="23"/>
  <c r="M138" i="23"/>
  <c r="N138" i="23"/>
  <c r="O138" i="23"/>
  <c r="P138" i="23"/>
  <c r="Q138" i="23"/>
  <c r="R138" i="23"/>
  <c r="S138" i="23"/>
  <c r="T138" i="23"/>
  <c r="U138" i="23"/>
  <c r="V138" i="23"/>
  <c r="W138" i="23"/>
  <c r="X138" i="23"/>
  <c r="Y138" i="23"/>
  <c r="Z138" i="23"/>
  <c r="AA138" i="23"/>
  <c r="AB138" i="23"/>
  <c r="AC138" i="23"/>
  <c r="AD138" i="23"/>
  <c r="AE138" i="23"/>
  <c r="AF138" i="23"/>
  <c r="AG138" i="23"/>
  <c r="AH138" i="23"/>
  <c r="AI138" i="23"/>
  <c r="AJ138" i="23"/>
  <c r="C139" i="23"/>
  <c r="D139" i="23"/>
  <c r="E139" i="23"/>
  <c r="F139" i="23"/>
  <c r="G139" i="23"/>
  <c r="H139" i="23"/>
  <c r="I139" i="23"/>
  <c r="J139" i="23"/>
  <c r="K139" i="23"/>
  <c r="L139" i="23"/>
  <c r="M139" i="23"/>
  <c r="N139" i="23"/>
  <c r="O139" i="23"/>
  <c r="P139" i="23"/>
  <c r="Q139" i="23"/>
  <c r="R139" i="23"/>
  <c r="S139" i="23"/>
  <c r="T139" i="23"/>
  <c r="U139" i="23"/>
  <c r="V139" i="23"/>
  <c r="W139" i="23"/>
  <c r="X139" i="23"/>
  <c r="Y139" i="23"/>
  <c r="Z139" i="23"/>
  <c r="AA139" i="23"/>
  <c r="AB139" i="23"/>
  <c r="AC139" i="23"/>
  <c r="AD139" i="23"/>
  <c r="AE139" i="23"/>
  <c r="AF139" i="23"/>
  <c r="AG139" i="23"/>
  <c r="AH139" i="23"/>
  <c r="AI139" i="23"/>
  <c r="AJ139" i="23"/>
  <c r="D128" i="23"/>
  <c r="E128" i="23"/>
  <c r="F128" i="23"/>
  <c r="G128" i="23"/>
  <c r="H128" i="23"/>
  <c r="I128" i="23"/>
  <c r="J128" i="23"/>
  <c r="K128" i="23"/>
  <c r="L128" i="23"/>
  <c r="M128" i="23"/>
  <c r="N128" i="23"/>
  <c r="O128" i="23"/>
  <c r="P128" i="23"/>
  <c r="Q128" i="23"/>
  <c r="R128" i="23"/>
  <c r="S128" i="23"/>
  <c r="T128" i="23"/>
  <c r="U128" i="23"/>
  <c r="V128" i="23"/>
  <c r="W128" i="23"/>
  <c r="X128" i="23"/>
  <c r="Y128" i="23"/>
  <c r="Z128" i="23"/>
  <c r="AA128" i="23"/>
  <c r="AB128" i="23"/>
  <c r="AC128" i="23"/>
  <c r="AD128" i="23"/>
  <c r="AE128" i="23"/>
  <c r="AF128" i="23"/>
  <c r="AG128" i="23"/>
  <c r="AH128" i="23"/>
  <c r="AI128" i="23"/>
  <c r="AJ128" i="23"/>
  <c r="C108" i="23"/>
  <c r="D108" i="23"/>
  <c r="E108" i="23"/>
  <c r="F108" i="23"/>
  <c r="G108" i="23"/>
  <c r="H108" i="23"/>
  <c r="I108" i="23"/>
  <c r="J108" i="23"/>
  <c r="K108" i="23"/>
  <c r="L108" i="23"/>
  <c r="M108" i="23"/>
  <c r="N108" i="23"/>
  <c r="O108" i="23"/>
  <c r="P108" i="23"/>
  <c r="Q108" i="23"/>
  <c r="R108" i="23"/>
  <c r="S108" i="23"/>
  <c r="T108" i="23"/>
  <c r="U108" i="23"/>
  <c r="V108" i="23"/>
  <c r="W108" i="23"/>
  <c r="X108" i="23"/>
  <c r="Y108" i="23"/>
  <c r="Z108" i="23"/>
  <c r="AA108" i="23"/>
  <c r="AB108" i="23"/>
  <c r="AC108" i="23"/>
  <c r="AD108" i="23"/>
  <c r="AE108" i="23"/>
  <c r="AF108" i="23"/>
  <c r="AG108" i="23"/>
  <c r="AH108" i="23"/>
  <c r="AI108" i="23"/>
  <c r="AJ108" i="23"/>
  <c r="C109" i="23"/>
  <c r="D109" i="23"/>
  <c r="E109" i="23"/>
  <c r="F109" i="23"/>
  <c r="G109" i="23"/>
  <c r="H109" i="23"/>
  <c r="I109" i="23"/>
  <c r="J109" i="23"/>
  <c r="K109" i="23"/>
  <c r="L109" i="23"/>
  <c r="M109" i="23"/>
  <c r="N109" i="23"/>
  <c r="O109" i="23"/>
  <c r="P109" i="23"/>
  <c r="Q109" i="23"/>
  <c r="R109" i="23"/>
  <c r="S109" i="23"/>
  <c r="T109" i="23"/>
  <c r="U109" i="23"/>
  <c r="V109" i="23"/>
  <c r="W109" i="23"/>
  <c r="X109" i="23"/>
  <c r="Y109" i="23"/>
  <c r="Z109" i="23"/>
  <c r="AA109" i="23"/>
  <c r="AB109" i="23"/>
  <c r="AC109" i="23"/>
  <c r="AD109" i="23"/>
  <c r="AE109" i="23"/>
  <c r="AF109" i="23"/>
  <c r="AG109" i="23"/>
  <c r="AH109" i="23"/>
  <c r="AI109" i="23"/>
  <c r="AJ109" i="23"/>
  <c r="C110" i="23"/>
  <c r="D110" i="23"/>
  <c r="E110" i="23"/>
  <c r="F110" i="23"/>
  <c r="G110" i="23"/>
  <c r="H110" i="23"/>
  <c r="I110" i="23"/>
  <c r="J110" i="23"/>
  <c r="K110" i="23"/>
  <c r="L110" i="23"/>
  <c r="M110" i="23"/>
  <c r="N110" i="23"/>
  <c r="O110" i="23"/>
  <c r="P110" i="23"/>
  <c r="Q110" i="23"/>
  <c r="R110" i="23"/>
  <c r="S110" i="23"/>
  <c r="T110" i="23"/>
  <c r="U110" i="23"/>
  <c r="V110" i="23"/>
  <c r="W110" i="23"/>
  <c r="X110" i="23"/>
  <c r="Y110" i="23"/>
  <c r="Z110" i="23"/>
  <c r="AA110" i="23"/>
  <c r="AB110" i="23"/>
  <c r="AC110" i="23"/>
  <c r="AD110" i="23"/>
  <c r="AE110" i="23"/>
  <c r="AF110" i="23"/>
  <c r="AG110" i="23"/>
  <c r="AH110" i="23"/>
  <c r="AI110" i="23"/>
  <c r="AJ110" i="23"/>
  <c r="C111" i="23"/>
  <c r="D111" i="23"/>
  <c r="E111" i="23"/>
  <c r="F111" i="23"/>
  <c r="G111" i="23"/>
  <c r="H111" i="23"/>
  <c r="I111" i="23"/>
  <c r="J111" i="23"/>
  <c r="K111" i="23"/>
  <c r="L111" i="23"/>
  <c r="M111" i="23"/>
  <c r="N111" i="23"/>
  <c r="O111" i="23"/>
  <c r="P111" i="23"/>
  <c r="Q111" i="23"/>
  <c r="R111" i="23"/>
  <c r="S111" i="23"/>
  <c r="T111" i="23"/>
  <c r="U111" i="23"/>
  <c r="V111" i="23"/>
  <c r="W111" i="23"/>
  <c r="X111" i="23"/>
  <c r="Y111" i="23"/>
  <c r="Z111" i="23"/>
  <c r="AA111" i="23"/>
  <c r="AB111" i="23"/>
  <c r="AC111" i="23"/>
  <c r="AD111" i="23"/>
  <c r="AE111" i="23"/>
  <c r="AF111" i="23"/>
  <c r="AG111" i="23"/>
  <c r="AH111" i="23"/>
  <c r="AI111" i="23"/>
  <c r="AJ111" i="23"/>
  <c r="C112" i="23"/>
  <c r="D112" i="23"/>
  <c r="E112" i="23"/>
  <c r="F112" i="23"/>
  <c r="G112" i="23"/>
  <c r="H112" i="23"/>
  <c r="I112" i="23"/>
  <c r="J112" i="23"/>
  <c r="K112" i="23"/>
  <c r="L112" i="23"/>
  <c r="M112" i="23"/>
  <c r="N112" i="23"/>
  <c r="O112" i="23"/>
  <c r="P112" i="23"/>
  <c r="Q112" i="23"/>
  <c r="R112" i="23"/>
  <c r="S112" i="23"/>
  <c r="T112" i="23"/>
  <c r="U112" i="23"/>
  <c r="V112" i="23"/>
  <c r="W112" i="23"/>
  <c r="X112" i="23"/>
  <c r="Y112" i="23"/>
  <c r="Z112" i="23"/>
  <c r="AA112" i="23"/>
  <c r="AB112" i="23"/>
  <c r="AC112" i="23"/>
  <c r="AD112" i="23"/>
  <c r="AE112" i="23"/>
  <c r="AF112" i="23"/>
  <c r="AG112" i="23"/>
  <c r="AH112" i="23"/>
  <c r="AI112" i="23"/>
  <c r="AJ112" i="23"/>
  <c r="C113" i="23"/>
  <c r="D113" i="23"/>
  <c r="E113" i="23"/>
  <c r="F113" i="23"/>
  <c r="G113" i="23"/>
  <c r="H113" i="23"/>
  <c r="I113" i="23"/>
  <c r="J113" i="23"/>
  <c r="K113" i="23"/>
  <c r="L113" i="23"/>
  <c r="M113" i="23"/>
  <c r="N113" i="23"/>
  <c r="O113" i="23"/>
  <c r="P113" i="23"/>
  <c r="Q113" i="23"/>
  <c r="R113" i="23"/>
  <c r="S113" i="23"/>
  <c r="T113" i="23"/>
  <c r="U113" i="23"/>
  <c r="V113" i="23"/>
  <c r="W113" i="23"/>
  <c r="X113" i="23"/>
  <c r="Y113" i="23"/>
  <c r="Z113" i="23"/>
  <c r="AA113" i="23"/>
  <c r="AB113" i="23"/>
  <c r="AC113" i="23"/>
  <c r="AD113" i="23"/>
  <c r="AE113" i="23"/>
  <c r="AF113" i="23"/>
  <c r="AG113" i="23"/>
  <c r="AH113" i="23"/>
  <c r="AI113" i="23"/>
  <c r="AJ113" i="23"/>
  <c r="C114" i="23"/>
  <c r="D114" i="23"/>
  <c r="E114" i="23"/>
  <c r="F114" i="23"/>
  <c r="G114" i="23"/>
  <c r="H114" i="23"/>
  <c r="I114" i="23"/>
  <c r="J114" i="23"/>
  <c r="K114" i="23"/>
  <c r="L114" i="23"/>
  <c r="M114" i="23"/>
  <c r="N114" i="23"/>
  <c r="O114" i="23"/>
  <c r="P114" i="23"/>
  <c r="Q114" i="23"/>
  <c r="R114" i="23"/>
  <c r="S114" i="23"/>
  <c r="T114" i="23"/>
  <c r="U114" i="23"/>
  <c r="V114" i="23"/>
  <c r="W114" i="23"/>
  <c r="X114" i="23"/>
  <c r="Y114" i="23"/>
  <c r="Z114" i="23"/>
  <c r="AA114" i="23"/>
  <c r="AB114" i="23"/>
  <c r="AC114" i="23"/>
  <c r="AD114" i="23"/>
  <c r="AE114" i="23"/>
  <c r="AF114" i="23"/>
  <c r="AG114" i="23"/>
  <c r="AH114" i="23"/>
  <c r="AI114" i="23"/>
  <c r="AJ114" i="23"/>
  <c r="C115" i="23"/>
  <c r="D115" i="23"/>
  <c r="E115" i="23"/>
  <c r="F115" i="23"/>
  <c r="G115" i="23"/>
  <c r="H115" i="23"/>
  <c r="I115" i="23"/>
  <c r="J115" i="23"/>
  <c r="K115" i="23"/>
  <c r="L115" i="23"/>
  <c r="M115" i="23"/>
  <c r="N115" i="23"/>
  <c r="O115" i="23"/>
  <c r="P115" i="23"/>
  <c r="Q115" i="23"/>
  <c r="R115" i="23"/>
  <c r="S115" i="23"/>
  <c r="T115" i="23"/>
  <c r="U115" i="23"/>
  <c r="V115" i="23"/>
  <c r="W115" i="23"/>
  <c r="X115" i="23"/>
  <c r="Y115" i="23"/>
  <c r="Z115" i="23"/>
  <c r="AA115" i="23"/>
  <c r="AB115" i="23"/>
  <c r="AC115" i="23"/>
  <c r="AD115" i="23"/>
  <c r="AE115" i="23"/>
  <c r="AF115" i="23"/>
  <c r="AG115" i="23"/>
  <c r="AH115" i="23"/>
  <c r="AI115" i="23"/>
  <c r="AJ115" i="23"/>
  <c r="C116" i="23"/>
  <c r="D116" i="23"/>
  <c r="E116" i="23"/>
  <c r="F116" i="23"/>
  <c r="G116" i="23"/>
  <c r="H116" i="23"/>
  <c r="I116" i="23"/>
  <c r="J116" i="23"/>
  <c r="K116" i="23"/>
  <c r="L116" i="23"/>
  <c r="M116" i="23"/>
  <c r="N116" i="23"/>
  <c r="O116" i="23"/>
  <c r="P116" i="23"/>
  <c r="Q116" i="23"/>
  <c r="R116" i="23"/>
  <c r="S116" i="23"/>
  <c r="T116" i="23"/>
  <c r="U116" i="23"/>
  <c r="V116" i="23"/>
  <c r="W116" i="23"/>
  <c r="X116" i="23"/>
  <c r="Y116" i="23"/>
  <c r="Z116" i="23"/>
  <c r="AA116" i="23"/>
  <c r="AB116" i="23"/>
  <c r="AC116" i="23"/>
  <c r="AD116" i="23"/>
  <c r="AE116" i="23"/>
  <c r="AF116" i="23"/>
  <c r="AG116" i="23"/>
  <c r="AH116" i="23"/>
  <c r="AI116" i="23"/>
  <c r="AJ116" i="23"/>
  <c r="C117" i="23"/>
  <c r="D117" i="23"/>
  <c r="E117" i="23"/>
  <c r="F117" i="23"/>
  <c r="G117" i="23"/>
  <c r="H117" i="23"/>
  <c r="I117" i="23"/>
  <c r="J117" i="23"/>
  <c r="K117" i="23"/>
  <c r="L117" i="23"/>
  <c r="M117" i="23"/>
  <c r="N117" i="23"/>
  <c r="O117" i="23"/>
  <c r="P117" i="23"/>
  <c r="Q117" i="23"/>
  <c r="R117" i="23"/>
  <c r="S117" i="23"/>
  <c r="T117" i="23"/>
  <c r="U117" i="23"/>
  <c r="V117" i="23"/>
  <c r="W117" i="23"/>
  <c r="X117" i="23"/>
  <c r="Y117" i="23"/>
  <c r="Z117" i="23"/>
  <c r="AA117" i="23"/>
  <c r="AB117" i="23"/>
  <c r="AC117" i="23"/>
  <c r="AD117" i="23"/>
  <c r="AE117" i="23"/>
  <c r="AF117" i="23"/>
  <c r="AG117" i="23"/>
  <c r="AH117" i="23"/>
  <c r="AI117" i="23"/>
  <c r="AJ117" i="23"/>
  <c r="C118" i="23"/>
  <c r="D118" i="23"/>
  <c r="E118" i="23"/>
  <c r="F118" i="23"/>
  <c r="G118" i="23"/>
  <c r="H118" i="23"/>
  <c r="I118" i="23"/>
  <c r="J118" i="23"/>
  <c r="K118" i="23"/>
  <c r="L118" i="23"/>
  <c r="M118" i="23"/>
  <c r="N118" i="23"/>
  <c r="O118" i="23"/>
  <c r="P118" i="23"/>
  <c r="Q118" i="23"/>
  <c r="R118" i="23"/>
  <c r="S118" i="23"/>
  <c r="T118" i="23"/>
  <c r="U118" i="23"/>
  <c r="V118" i="23"/>
  <c r="W118" i="23"/>
  <c r="X118" i="23"/>
  <c r="Y118" i="23"/>
  <c r="Z118" i="23"/>
  <c r="AA118" i="23"/>
  <c r="AB118" i="23"/>
  <c r="AC118" i="23"/>
  <c r="AD118" i="23"/>
  <c r="AE118" i="23"/>
  <c r="AF118" i="23"/>
  <c r="AG118" i="23"/>
  <c r="AH118" i="23"/>
  <c r="AI118" i="23"/>
  <c r="AJ118" i="23"/>
  <c r="D107" i="23"/>
  <c r="E107" i="23"/>
  <c r="F107" i="23"/>
  <c r="G107" i="23"/>
  <c r="H107" i="23"/>
  <c r="I107" i="23"/>
  <c r="J107" i="23"/>
  <c r="K107" i="23"/>
  <c r="L107" i="23"/>
  <c r="M107" i="23"/>
  <c r="N107" i="23"/>
  <c r="O107" i="23"/>
  <c r="P107" i="23"/>
  <c r="Q107" i="23"/>
  <c r="R107" i="23"/>
  <c r="S107" i="23"/>
  <c r="T107" i="23"/>
  <c r="U107" i="23"/>
  <c r="V107" i="23"/>
  <c r="W107" i="23"/>
  <c r="X107" i="23"/>
  <c r="Y107" i="23"/>
  <c r="Z107" i="23"/>
  <c r="AA107" i="23"/>
  <c r="AB107" i="23"/>
  <c r="AC107" i="23"/>
  <c r="AD107" i="23"/>
  <c r="AE107" i="23"/>
  <c r="AF107" i="23"/>
  <c r="AG107" i="23"/>
  <c r="AH107" i="23"/>
  <c r="AI107" i="23"/>
  <c r="AJ107" i="23"/>
  <c r="C87" i="23"/>
  <c r="D87" i="23"/>
  <c r="E87" i="23"/>
  <c r="F87" i="23"/>
  <c r="G87" i="23"/>
  <c r="H87" i="23"/>
  <c r="I87" i="23"/>
  <c r="J87" i="23"/>
  <c r="K87" i="23"/>
  <c r="L87" i="23"/>
  <c r="M87" i="23"/>
  <c r="N87" i="23"/>
  <c r="O87" i="23"/>
  <c r="P87" i="23"/>
  <c r="Q87" i="23"/>
  <c r="R87" i="23"/>
  <c r="S87" i="23"/>
  <c r="T87" i="23"/>
  <c r="U87" i="23"/>
  <c r="V87" i="23"/>
  <c r="W87" i="23"/>
  <c r="X87" i="23"/>
  <c r="Y87" i="23"/>
  <c r="Z87" i="23"/>
  <c r="AA87" i="23"/>
  <c r="AB87" i="23"/>
  <c r="AC87" i="23"/>
  <c r="AD87" i="23"/>
  <c r="AE87" i="23"/>
  <c r="AF87" i="23"/>
  <c r="AG87" i="23"/>
  <c r="AH87" i="23"/>
  <c r="AI87" i="23"/>
  <c r="AJ87" i="23"/>
  <c r="C88" i="23"/>
  <c r="D88" i="23"/>
  <c r="E88" i="23"/>
  <c r="F88" i="23"/>
  <c r="G88" i="23"/>
  <c r="H88" i="23"/>
  <c r="I88" i="23"/>
  <c r="J88" i="23"/>
  <c r="K88" i="23"/>
  <c r="L88" i="23"/>
  <c r="M88" i="23"/>
  <c r="N88" i="23"/>
  <c r="O88" i="23"/>
  <c r="P88" i="23"/>
  <c r="Q88" i="23"/>
  <c r="R88" i="23"/>
  <c r="S88" i="23"/>
  <c r="T88" i="23"/>
  <c r="U88" i="23"/>
  <c r="V88" i="23"/>
  <c r="W88" i="23"/>
  <c r="X88" i="23"/>
  <c r="Y88" i="23"/>
  <c r="Z88" i="23"/>
  <c r="AA88" i="23"/>
  <c r="AB88" i="23"/>
  <c r="AC88" i="23"/>
  <c r="AD88" i="23"/>
  <c r="AE88" i="23"/>
  <c r="AF88" i="23"/>
  <c r="AG88" i="23"/>
  <c r="AH88" i="23"/>
  <c r="AI88" i="23"/>
  <c r="AJ88" i="23"/>
  <c r="C89" i="23"/>
  <c r="D89" i="23"/>
  <c r="E89" i="23"/>
  <c r="AK89" i="23" s="1"/>
  <c r="F89" i="23"/>
  <c r="G89" i="23"/>
  <c r="H89" i="23"/>
  <c r="I89" i="23"/>
  <c r="J89" i="23"/>
  <c r="K89" i="23"/>
  <c r="L89" i="23"/>
  <c r="M89" i="23"/>
  <c r="N89" i="23"/>
  <c r="O89" i="23"/>
  <c r="P89" i="23"/>
  <c r="Q89" i="23"/>
  <c r="R89" i="23"/>
  <c r="S89" i="23"/>
  <c r="T89" i="23"/>
  <c r="U89" i="23"/>
  <c r="V89" i="23"/>
  <c r="W89" i="23"/>
  <c r="X89" i="23"/>
  <c r="Y89" i="23"/>
  <c r="Z89" i="23"/>
  <c r="AA89" i="23"/>
  <c r="AB89" i="23"/>
  <c r="AC89" i="23"/>
  <c r="AD89" i="23"/>
  <c r="AE89" i="23"/>
  <c r="AF89" i="23"/>
  <c r="AG89" i="23"/>
  <c r="AH89" i="23"/>
  <c r="AI89" i="23"/>
  <c r="AJ89" i="23"/>
  <c r="C90" i="23"/>
  <c r="D90" i="23"/>
  <c r="E90" i="23"/>
  <c r="F90" i="23"/>
  <c r="G90" i="23"/>
  <c r="H90" i="23"/>
  <c r="I90" i="23"/>
  <c r="J90" i="23"/>
  <c r="K90" i="23"/>
  <c r="L90" i="23"/>
  <c r="M90" i="23"/>
  <c r="N90" i="23"/>
  <c r="O90" i="23"/>
  <c r="P90" i="23"/>
  <c r="Q90" i="23"/>
  <c r="R90" i="23"/>
  <c r="S90" i="23"/>
  <c r="T90" i="23"/>
  <c r="U90" i="23"/>
  <c r="V90" i="23"/>
  <c r="W90" i="23"/>
  <c r="X90" i="23"/>
  <c r="Y90" i="23"/>
  <c r="Z90" i="23"/>
  <c r="AA90" i="23"/>
  <c r="AB90" i="23"/>
  <c r="AC90" i="23"/>
  <c r="AD90" i="23"/>
  <c r="AE90" i="23"/>
  <c r="AF90" i="23"/>
  <c r="AG90" i="23"/>
  <c r="AH90" i="23"/>
  <c r="AI90" i="23"/>
  <c r="AJ90" i="23"/>
  <c r="C91" i="23"/>
  <c r="D91" i="23"/>
  <c r="E91" i="23"/>
  <c r="F91" i="23"/>
  <c r="G91" i="23"/>
  <c r="H91" i="23"/>
  <c r="I91" i="23"/>
  <c r="J91" i="23"/>
  <c r="K91" i="23"/>
  <c r="L91" i="23"/>
  <c r="M91" i="23"/>
  <c r="N91" i="23"/>
  <c r="O91" i="23"/>
  <c r="P91" i="23"/>
  <c r="Q91" i="23"/>
  <c r="R91" i="23"/>
  <c r="S91" i="23"/>
  <c r="T91" i="23"/>
  <c r="U91" i="23"/>
  <c r="V91" i="23"/>
  <c r="W91" i="23"/>
  <c r="X91" i="23"/>
  <c r="Y91" i="23"/>
  <c r="Z91" i="23"/>
  <c r="AA91" i="23"/>
  <c r="AB91" i="23"/>
  <c r="AC91" i="23"/>
  <c r="AD91" i="23"/>
  <c r="AE91" i="23"/>
  <c r="AF91" i="23"/>
  <c r="AG91" i="23"/>
  <c r="AH91" i="23"/>
  <c r="AI91" i="23"/>
  <c r="AJ91" i="23"/>
  <c r="C92" i="23"/>
  <c r="D92" i="23"/>
  <c r="E92" i="23"/>
  <c r="F92" i="23"/>
  <c r="G92" i="23"/>
  <c r="H92" i="23"/>
  <c r="I92" i="23"/>
  <c r="J92" i="23"/>
  <c r="K92" i="23"/>
  <c r="L92" i="23"/>
  <c r="M92" i="23"/>
  <c r="N92" i="23"/>
  <c r="O92" i="23"/>
  <c r="P92" i="23"/>
  <c r="Q92" i="23"/>
  <c r="R92" i="23"/>
  <c r="S92" i="23"/>
  <c r="T92" i="23"/>
  <c r="U92" i="23"/>
  <c r="V92" i="23"/>
  <c r="W92" i="23"/>
  <c r="X92" i="23"/>
  <c r="Y92" i="23"/>
  <c r="Z92" i="23"/>
  <c r="AA92" i="23"/>
  <c r="AB92" i="23"/>
  <c r="AC92" i="23"/>
  <c r="AD92" i="23"/>
  <c r="AE92" i="23"/>
  <c r="AF92" i="23"/>
  <c r="AG92" i="23"/>
  <c r="AH92" i="23"/>
  <c r="AI92" i="23"/>
  <c r="AJ92" i="23"/>
  <c r="C93" i="23"/>
  <c r="D93" i="23"/>
  <c r="E93" i="23"/>
  <c r="F93" i="23"/>
  <c r="G93" i="23"/>
  <c r="H93" i="23"/>
  <c r="I93" i="23"/>
  <c r="J93" i="23"/>
  <c r="K93" i="23"/>
  <c r="L93" i="23"/>
  <c r="M93" i="23"/>
  <c r="N93" i="23"/>
  <c r="O93" i="23"/>
  <c r="P93" i="23"/>
  <c r="Q93" i="23"/>
  <c r="R93" i="23"/>
  <c r="S93" i="23"/>
  <c r="T93" i="23"/>
  <c r="U93" i="23"/>
  <c r="V93" i="23"/>
  <c r="W93" i="23"/>
  <c r="X93" i="23"/>
  <c r="Y93" i="23"/>
  <c r="Z93" i="23"/>
  <c r="AA93" i="23"/>
  <c r="AB93" i="23"/>
  <c r="AC93" i="23"/>
  <c r="AD93" i="23"/>
  <c r="AE93" i="23"/>
  <c r="AF93" i="23"/>
  <c r="AG93" i="23"/>
  <c r="AH93" i="23"/>
  <c r="AI93" i="23"/>
  <c r="AJ93" i="23"/>
  <c r="C94" i="23"/>
  <c r="D94" i="23"/>
  <c r="E94" i="23"/>
  <c r="F94" i="23"/>
  <c r="G94" i="23"/>
  <c r="H94" i="23"/>
  <c r="I94" i="23"/>
  <c r="J94" i="23"/>
  <c r="K94" i="23"/>
  <c r="L94" i="23"/>
  <c r="M94" i="23"/>
  <c r="N94" i="23"/>
  <c r="O94" i="23"/>
  <c r="P94" i="23"/>
  <c r="Q94" i="23"/>
  <c r="R94" i="23"/>
  <c r="S94" i="23"/>
  <c r="T94" i="23"/>
  <c r="U94" i="23"/>
  <c r="V94" i="23"/>
  <c r="W94" i="23"/>
  <c r="X94" i="23"/>
  <c r="Y94" i="23"/>
  <c r="Z94" i="23"/>
  <c r="AA94" i="23"/>
  <c r="AB94" i="23"/>
  <c r="AC94" i="23"/>
  <c r="AD94" i="23"/>
  <c r="AE94" i="23"/>
  <c r="AF94" i="23"/>
  <c r="AG94" i="23"/>
  <c r="AH94" i="23"/>
  <c r="AI94" i="23"/>
  <c r="AJ94" i="23"/>
  <c r="C95" i="23"/>
  <c r="D95" i="23"/>
  <c r="E95" i="23"/>
  <c r="F95" i="23"/>
  <c r="G95" i="23"/>
  <c r="H95" i="23"/>
  <c r="I95" i="23"/>
  <c r="J95" i="23"/>
  <c r="K95" i="23"/>
  <c r="L95" i="23"/>
  <c r="M95" i="23"/>
  <c r="N95" i="23"/>
  <c r="O95" i="23"/>
  <c r="P95" i="23"/>
  <c r="Q95" i="23"/>
  <c r="R95" i="23"/>
  <c r="S95" i="23"/>
  <c r="T95" i="23"/>
  <c r="U95" i="23"/>
  <c r="V95" i="23"/>
  <c r="W95" i="23"/>
  <c r="X95" i="23"/>
  <c r="Y95" i="23"/>
  <c r="Z95" i="23"/>
  <c r="AA95" i="23"/>
  <c r="AB95" i="23"/>
  <c r="AC95" i="23"/>
  <c r="AD95" i="23"/>
  <c r="AE95" i="23"/>
  <c r="AF95" i="23"/>
  <c r="AG95" i="23"/>
  <c r="AH95" i="23"/>
  <c r="AI95" i="23"/>
  <c r="AJ95" i="23"/>
  <c r="C96" i="23"/>
  <c r="AK96" i="23" s="1"/>
  <c r="D96" i="23"/>
  <c r="E96" i="23"/>
  <c r="F96" i="23"/>
  <c r="G96" i="23"/>
  <c r="H96" i="23"/>
  <c r="I96" i="23"/>
  <c r="J96" i="23"/>
  <c r="K96" i="23"/>
  <c r="L96" i="23"/>
  <c r="M96" i="23"/>
  <c r="N96" i="23"/>
  <c r="O96" i="23"/>
  <c r="P96" i="23"/>
  <c r="Q96" i="23"/>
  <c r="R96" i="23"/>
  <c r="S96" i="23"/>
  <c r="T96" i="23"/>
  <c r="U96" i="23"/>
  <c r="V96" i="23"/>
  <c r="W96" i="23"/>
  <c r="X96" i="23"/>
  <c r="Y96" i="23"/>
  <c r="Z96" i="23"/>
  <c r="AA96" i="23"/>
  <c r="AB96" i="23"/>
  <c r="AC96" i="23"/>
  <c r="AD96" i="23"/>
  <c r="AE96" i="23"/>
  <c r="AF96" i="23"/>
  <c r="AG96" i="23"/>
  <c r="AH96" i="23"/>
  <c r="AI96" i="23"/>
  <c r="AJ96" i="23"/>
  <c r="C97" i="23"/>
  <c r="D97" i="23"/>
  <c r="E97" i="23"/>
  <c r="F97" i="23"/>
  <c r="G97" i="23"/>
  <c r="H97" i="23"/>
  <c r="I97" i="23"/>
  <c r="J97" i="23"/>
  <c r="K97" i="23"/>
  <c r="L97" i="23"/>
  <c r="M97" i="23"/>
  <c r="N97" i="23"/>
  <c r="O97" i="23"/>
  <c r="P97" i="23"/>
  <c r="Q97" i="23"/>
  <c r="R97" i="23"/>
  <c r="S97" i="23"/>
  <c r="T97" i="23"/>
  <c r="U97" i="23"/>
  <c r="V97" i="23"/>
  <c r="W97" i="23"/>
  <c r="X97" i="23"/>
  <c r="Y97" i="23"/>
  <c r="Z97" i="23"/>
  <c r="AA97" i="23"/>
  <c r="AB97" i="23"/>
  <c r="AC97" i="23"/>
  <c r="AD97" i="23"/>
  <c r="AE97" i="23"/>
  <c r="AF97" i="23"/>
  <c r="AG97" i="23"/>
  <c r="AH97" i="23"/>
  <c r="AI97" i="23"/>
  <c r="AJ97" i="23"/>
  <c r="D86" i="23"/>
  <c r="E86" i="23"/>
  <c r="F86" i="23"/>
  <c r="G86" i="23"/>
  <c r="H86" i="23"/>
  <c r="I86" i="23"/>
  <c r="J86" i="23"/>
  <c r="K86" i="23"/>
  <c r="L86" i="23"/>
  <c r="M86" i="23"/>
  <c r="N86" i="23"/>
  <c r="O86" i="23"/>
  <c r="P86" i="23"/>
  <c r="Q86" i="23"/>
  <c r="R86" i="23"/>
  <c r="S86" i="23"/>
  <c r="T86" i="23"/>
  <c r="U86" i="23"/>
  <c r="V86" i="23"/>
  <c r="W86" i="23"/>
  <c r="X86" i="23"/>
  <c r="Y86" i="23"/>
  <c r="Z86" i="23"/>
  <c r="AA86" i="23"/>
  <c r="AB86" i="23"/>
  <c r="AC86" i="23"/>
  <c r="AD86" i="23"/>
  <c r="AE86" i="23"/>
  <c r="AF86" i="23"/>
  <c r="AG86" i="23"/>
  <c r="AH86" i="23"/>
  <c r="AI86" i="23"/>
  <c r="AJ86" i="23"/>
  <c r="AK88" i="23"/>
  <c r="AK87" i="23" l="1"/>
  <c r="AH171" i="23"/>
  <c r="AD171" i="23"/>
  <c r="Z171" i="23"/>
  <c r="V171" i="23"/>
  <c r="R171" i="23"/>
  <c r="N171" i="23"/>
  <c r="J171" i="23"/>
  <c r="F171" i="23"/>
  <c r="AI182" i="23"/>
  <c r="AE182" i="23"/>
  <c r="AA182" i="23"/>
  <c r="W182" i="23"/>
  <c r="S182" i="23"/>
  <c r="O182" i="23"/>
  <c r="K182" i="23"/>
  <c r="G182" i="23"/>
  <c r="AG181" i="23"/>
  <c r="AC181" i="23"/>
  <c r="Y181" i="23"/>
  <c r="U181" i="23"/>
  <c r="Q181" i="23"/>
  <c r="M181" i="23"/>
  <c r="I181" i="23"/>
  <c r="E181" i="23"/>
  <c r="AI180" i="23"/>
  <c r="AE180" i="23"/>
  <c r="AA180" i="23"/>
  <c r="W180" i="23"/>
  <c r="S180" i="23"/>
  <c r="O180" i="23"/>
  <c r="K180" i="23"/>
  <c r="G180" i="23"/>
  <c r="AG179" i="23"/>
  <c r="AC179" i="23"/>
  <c r="Y179" i="23"/>
  <c r="U179" i="23"/>
  <c r="Q179" i="23"/>
  <c r="M179" i="23"/>
  <c r="I179" i="23"/>
  <c r="E179" i="23"/>
  <c r="AI178" i="23"/>
  <c r="AE178" i="23"/>
  <c r="AA178" i="23"/>
  <c r="W178" i="23"/>
  <c r="S178" i="23"/>
  <c r="O178" i="23"/>
  <c r="K178" i="23"/>
  <c r="G178" i="23"/>
  <c r="AG177" i="23"/>
  <c r="AC177" i="23"/>
  <c r="Y177" i="23"/>
  <c r="U177" i="23"/>
  <c r="Q177" i="23"/>
  <c r="M177" i="23"/>
  <c r="I177" i="23"/>
  <c r="E177" i="23"/>
  <c r="AI176" i="23"/>
  <c r="AE176" i="23"/>
  <c r="AA176" i="23"/>
  <c r="W176" i="23"/>
  <c r="S176" i="23"/>
  <c r="O176" i="23"/>
  <c r="K176" i="23"/>
  <c r="G176" i="23"/>
  <c r="AG175" i="23"/>
  <c r="AC175" i="23"/>
  <c r="Y175" i="23"/>
  <c r="U175" i="23"/>
  <c r="Q175" i="23"/>
  <c r="M175" i="23"/>
  <c r="I175" i="23"/>
  <c r="E175" i="23"/>
  <c r="AI174" i="23"/>
  <c r="AE174" i="23"/>
  <c r="AA174" i="23"/>
  <c r="W174" i="23"/>
  <c r="S174" i="23"/>
  <c r="O174" i="23"/>
  <c r="K174" i="23"/>
  <c r="G174" i="23"/>
  <c r="AG173" i="23"/>
  <c r="AC173" i="23"/>
  <c r="Y173" i="23"/>
  <c r="U173" i="23"/>
  <c r="Q173" i="23"/>
  <c r="M173" i="23"/>
  <c r="I173" i="23"/>
  <c r="E173" i="23"/>
  <c r="AK93" i="23"/>
  <c r="AK92" i="23"/>
  <c r="F177" i="23"/>
  <c r="X176" i="23"/>
  <c r="J175" i="23"/>
  <c r="AB174" i="23"/>
  <c r="J174" i="23"/>
  <c r="AB173" i="23"/>
  <c r="X172" i="23"/>
  <c r="AI172" i="23"/>
  <c r="AE172" i="23"/>
  <c r="AA172" i="23"/>
  <c r="W172" i="23"/>
  <c r="S172" i="23"/>
  <c r="O172" i="23"/>
  <c r="K172" i="23"/>
  <c r="G172" i="23"/>
  <c r="AK91" i="23"/>
  <c r="AK94" i="23"/>
  <c r="AK95" i="23"/>
  <c r="AK90" i="23"/>
  <c r="AJ171" i="23"/>
  <c r="AF171" i="23"/>
  <c r="AB171" i="23"/>
  <c r="X171" i="23"/>
  <c r="T171" i="23"/>
  <c r="P171" i="23"/>
  <c r="L171" i="23"/>
  <c r="H171" i="23"/>
  <c r="AG182" i="23"/>
  <c r="E174" i="23"/>
  <c r="AI171" i="23"/>
  <c r="AE171" i="23"/>
  <c r="AA171" i="23"/>
  <c r="W171" i="23"/>
  <c r="S171" i="23"/>
  <c r="O171" i="23"/>
  <c r="K171" i="23"/>
  <c r="G171" i="23"/>
  <c r="AJ182" i="23"/>
  <c r="AF182" i="23"/>
  <c r="AB182" i="23"/>
  <c r="X182" i="23"/>
  <c r="T182" i="23"/>
  <c r="P182" i="23"/>
  <c r="L182" i="23"/>
  <c r="H182" i="23"/>
  <c r="AH181" i="23"/>
  <c r="AD181" i="23"/>
  <c r="Z181" i="23"/>
  <c r="V181" i="23"/>
  <c r="R181" i="23"/>
  <c r="N181" i="23"/>
  <c r="J181" i="23"/>
  <c r="AJ180" i="23"/>
  <c r="AF180" i="23"/>
  <c r="AB180" i="23"/>
  <c r="X180" i="23"/>
  <c r="T180" i="23"/>
  <c r="P180" i="23"/>
  <c r="L180" i="23"/>
  <c r="H180" i="23"/>
  <c r="AH179" i="23"/>
  <c r="AD179" i="23"/>
  <c r="Z179" i="23"/>
  <c r="V179" i="23"/>
  <c r="R179" i="23"/>
  <c r="N179" i="23"/>
  <c r="J179" i="23"/>
  <c r="AJ178" i="23"/>
  <c r="AF178" i="23"/>
  <c r="AB178" i="23"/>
  <c r="X178" i="23"/>
  <c r="T178" i="23"/>
  <c r="P178" i="23"/>
  <c r="L178" i="23"/>
  <c r="H178" i="23"/>
  <c r="AH177" i="23"/>
  <c r="AD177" i="23"/>
  <c r="Z177" i="23"/>
  <c r="R177" i="23"/>
  <c r="N177" i="23"/>
  <c r="J177" i="23"/>
  <c r="AJ176" i="23"/>
  <c r="AF176" i="23"/>
  <c r="AB176" i="23"/>
  <c r="T176" i="23"/>
  <c r="P176" i="23"/>
  <c r="L176" i="23"/>
  <c r="AH175" i="23"/>
  <c r="AD175" i="23"/>
  <c r="V175" i="23"/>
  <c r="R175" i="23"/>
  <c r="N175" i="23"/>
  <c r="AJ174" i="23"/>
  <c r="AF174" i="23"/>
  <c r="X174" i="23"/>
  <c r="T174" i="23"/>
  <c r="P174" i="23"/>
  <c r="L174" i="23"/>
  <c r="H174" i="23"/>
  <c r="AH173" i="23"/>
  <c r="AD173" i="23"/>
  <c r="Z173" i="23"/>
  <c r="R173" i="23"/>
  <c r="N173" i="23"/>
  <c r="J173" i="23"/>
  <c r="AF172" i="23"/>
  <c r="P172" i="23"/>
  <c r="AK118" i="23"/>
  <c r="AK116" i="23"/>
  <c r="AK114" i="23"/>
  <c r="AK112" i="23"/>
  <c r="AK110" i="23"/>
  <c r="AK108" i="23"/>
  <c r="AK138" i="23"/>
  <c r="AK136" i="23"/>
  <c r="AK134" i="23"/>
  <c r="AK132" i="23"/>
  <c r="AK130" i="23"/>
  <c r="AG171" i="23"/>
  <c r="AC171" i="23"/>
  <c r="Y171" i="23"/>
  <c r="U171" i="23"/>
  <c r="Q171" i="23"/>
  <c r="M171" i="23"/>
  <c r="I171" i="23"/>
  <c r="AH182" i="23"/>
  <c r="AD182" i="23"/>
  <c r="Z182" i="23"/>
  <c r="V182" i="23"/>
  <c r="R182" i="23"/>
  <c r="N182" i="23"/>
  <c r="J182" i="23"/>
  <c r="F182" i="23"/>
  <c r="AJ181" i="23"/>
  <c r="AF181" i="23"/>
  <c r="AB181" i="23"/>
  <c r="X181" i="23"/>
  <c r="T181" i="23"/>
  <c r="P181" i="23"/>
  <c r="L181" i="23"/>
  <c r="H181" i="23"/>
  <c r="AH180" i="23"/>
  <c r="AD180" i="23"/>
  <c r="Z180" i="23"/>
  <c r="V180" i="23"/>
  <c r="R180" i="23"/>
  <c r="N180" i="23"/>
  <c r="J180" i="23"/>
  <c r="F180" i="23"/>
  <c r="AJ179" i="23"/>
  <c r="AF179" i="23"/>
  <c r="AB179" i="23"/>
  <c r="X179" i="23"/>
  <c r="T179" i="23"/>
  <c r="P179" i="23"/>
  <c r="L179" i="23"/>
  <c r="H179" i="23"/>
  <c r="AH178" i="23"/>
  <c r="AD178" i="23"/>
  <c r="Z178" i="23"/>
  <c r="V178" i="23"/>
  <c r="R178" i="23"/>
  <c r="N178" i="23"/>
  <c r="J178" i="23"/>
  <c r="F178" i="23"/>
  <c r="AJ177" i="23"/>
  <c r="AF177" i="23"/>
  <c r="AB177" i="23"/>
  <c r="X177" i="23"/>
  <c r="T177" i="23"/>
  <c r="P177" i="23"/>
  <c r="L177" i="23"/>
  <c r="H177" i="23"/>
  <c r="AH176" i="23"/>
  <c r="AD176" i="23"/>
  <c r="Z176" i="23"/>
  <c r="V176" i="23"/>
  <c r="R176" i="23"/>
  <c r="N176" i="23"/>
  <c r="J176" i="23"/>
  <c r="F176" i="23"/>
  <c r="AJ175" i="23"/>
  <c r="AF175" i="23"/>
  <c r="AB175" i="23"/>
  <c r="X175" i="23"/>
  <c r="T175" i="23"/>
  <c r="P175" i="23"/>
  <c r="L175" i="23"/>
  <c r="H175" i="23"/>
  <c r="AH174" i="23"/>
  <c r="AD174" i="23"/>
  <c r="Z174" i="23"/>
  <c r="V174" i="23"/>
  <c r="R174" i="23"/>
  <c r="N174" i="23"/>
  <c r="F174" i="23"/>
  <c r="D174" i="23"/>
  <c r="AJ173" i="23"/>
  <c r="AF173" i="23"/>
  <c r="X173" i="23"/>
  <c r="T173" i="23"/>
  <c r="P173" i="23"/>
  <c r="L173" i="23"/>
  <c r="H173" i="23"/>
  <c r="AH172" i="23"/>
  <c r="AD172" i="23"/>
  <c r="Z172" i="23"/>
  <c r="V172" i="23"/>
  <c r="R172" i="23"/>
  <c r="N172" i="23"/>
  <c r="J172" i="23"/>
  <c r="D172" i="23"/>
  <c r="F172" i="23"/>
  <c r="D176" i="23"/>
  <c r="F175" i="23"/>
  <c r="AK117" i="23"/>
  <c r="AK115" i="23"/>
  <c r="AK113" i="23"/>
  <c r="AK111" i="23"/>
  <c r="AK109" i="23"/>
  <c r="AC182" i="23"/>
  <c r="Y182" i="23"/>
  <c r="U182" i="23"/>
  <c r="Q182" i="23"/>
  <c r="M182" i="23"/>
  <c r="I182" i="23"/>
  <c r="E182" i="23"/>
  <c r="AI181" i="23"/>
  <c r="AE181" i="23"/>
  <c r="AA181" i="23"/>
  <c r="W181" i="23"/>
  <c r="S181" i="23"/>
  <c r="O181" i="23"/>
  <c r="K181" i="23"/>
  <c r="G181" i="23"/>
  <c r="AG180" i="23"/>
  <c r="AC180" i="23"/>
  <c r="Y180" i="23"/>
  <c r="U180" i="23"/>
  <c r="Q180" i="23"/>
  <c r="M180" i="23"/>
  <c r="I180" i="23"/>
  <c r="E180" i="23"/>
  <c r="AI179" i="23"/>
  <c r="AE179" i="23"/>
  <c r="AA179" i="23"/>
  <c r="W179" i="23"/>
  <c r="S179" i="23"/>
  <c r="O179" i="23"/>
  <c r="K179" i="23"/>
  <c r="G179" i="23"/>
  <c r="AG178" i="23"/>
  <c r="AC178" i="23"/>
  <c r="Y178" i="23"/>
  <c r="U178" i="23"/>
  <c r="Q178" i="23"/>
  <c r="M178" i="23"/>
  <c r="I178" i="23"/>
  <c r="E178" i="23"/>
  <c r="AI177" i="23"/>
  <c r="AE177" i="23"/>
  <c r="AA177" i="23"/>
  <c r="W177" i="23"/>
  <c r="S177" i="23"/>
  <c r="O177" i="23"/>
  <c r="K177" i="23"/>
  <c r="G177" i="23"/>
  <c r="AG176" i="23"/>
  <c r="AC176" i="23"/>
  <c r="Y176" i="23"/>
  <c r="U176" i="23"/>
  <c r="Q176" i="23"/>
  <c r="M176" i="23"/>
  <c r="I176" i="23"/>
  <c r="E176" i="23"/>
  <c r="AI175" i="23"/>
  <c r="AE175" i="23"/>
  <c r="AA175" i="23"/>
  <c r="W175" i="23"/>
  <c r="S175" i="23"/>
  <c r="O175" i="23"/>
  <c r="K175" i="23"/>
  <c r="G175" i="23"/>
  <c r="AG174" i="23"/>
  <c r="AC174" i="23"/>
  <c r="Y174" i="23"/>
  <c r="U174" i="23"/>
  <c r="Q174" i="23"/>
  <c r="M174" i="23"/>
  <c r="I174" i="23"/>
  <c r="AI173" i="23"/>
  <c r="AE173" i="23"/>
  <c r="AA173" i="23"/>
  <c r="W173" i="23"/>
  <c r="S173" i="23"/>
  <c r="O173" i="23"/>
  <c r="K173" i="23"/>
  <c r="G173" i="23"/>
  <c r="AG172" i="23"/>
  <c r="AC172" i="23"/>
  <c r="Y172" i="23"/>
  <c r="U172" i="23"/>
  <c r="Q172" i="23"/>
  <c r="M172" i="23"/>
  <c r="I172" i="23"/>
  <c r="E172" i="23"/>
  <c r="D182" i="23"/>
  <c r="F181" i="23"/>
  <c r="F173" i="23"/>
  <c r="H172" i="23"/>
  <c r="AK139" i="23"/>
  <c r="AK137" i="23"/>
  <c r="AK135" i="23"/>
  <c r="AK133" i="23"/>
  <c r="AK131" i="23"/>
  <c r="AK129" i="23"/>
  <c r="AJ172" i="23"/>
  <c r="AB172" i="23"/>
  <c r="T172" i="23"/>
  <c r="L172" i="23"/>
  <c r="D180" i="23"/>
  <c r="F179" i="23"/>
  <c r="AK97" i="23"/>
  <c r="AL178" i="23" l="1"/>
  <c r="AL179" i="23"/>
  <c r="AL180" i="23"/>
  <c r="AL175" i="23"/>
  <c r="AL177" i="23"/>
  <c r="AL173" i="23"/>
  <c r="AL181" i="23"/>
  <c r="AL174" i="23"/>
  <c r="AL172" i="23"/>
  <c r="AL176" i="23"/>
  <c r="AL182" i="23"/>
  <c r="C35" i="45"/>
  <c r="D35" i="45"/>
  <c r="E35" i="45"/>
  <c r="F35" i="45"/>
  <c r="G35" i="45"/>
  <c r="H35" i="45"/>
  <c r="I35" i="45"/>
  <c r="J35" i="45"/>
  <c r="K35" i="45"/>
  <c r="L35" i="45"/>
  <c r="M35" i="45"/>
  <c r="N35" i="45"/>
  <c r="O35" i="45"/>
  <c r="P35" i="45"/>
  <c r="Q35" i="45"/>
  <c r="R35" i="45"/>
  <c r="S35" i="45"/>
  <c r="T35" i="45"/>
  <c r="U35" i="45"/>
  <c r="V35" i="45"/>
  <c r="W35" i="45"/>
  <c r="X35" i="45"/>
  <c r="Y35" i="45"/>
  <c r="Z35" i="45"/>
  <c r="AA35" i="45"/>
  <c r="AB35" i="45"/>
  <c r="AC35" i="45"/>
  <c r="AD35" i="45"/>
  <c r="AE35" i="45"/>
  <c r="AF35" i="45"/>
  <c r="AG35" i="45"/>
  <c r="AH35" i="45"/>
  <c r="AI35" i="45"/>
  <c r="C36" i="45"/>
  <c r="D36" i="45"/>
  <c r="E36" i="45"/>
  <c r="F36" i="45"/>
  <c r="G36" i="45"/>
  <c r="H36" i="45"/>
  <c r="I36" i="45"/>
  <c r="J36" i="45"/>
  <c r="K36" i="45"/>
  <c r="L36" i="45"/>
  <c r="M36" i="45"/>
  <c r="N36" i="45"/>
  <c r="O36" i="45"/>
  <c r="P36" i="45"/>
  <c r="Q36" i="45"/>
  <c r="R36" i="45"/>
  <c r="S36" i="45"/>
  <c r="T36" i="45"/>
  <c r="U36" i="45"/>
  <c r="V36" i="45"/>
  <c r="W36" i="45"/>
  <c r="X36" i="45"/>
  <c r="Y36" i="45"/>
  <c r="Z36" i="45"/>
  <c r="AA36" i="45"/>
  <c r="AB36" i="45"/>
  <c r="AC36" i="45"/>
  <c r="AD36" i="45"/>
  <c r="AE36" i="45"/>
  <c r="AF36" i="45"/>
  <c r="AG36" i="45"/>
  <c r="AH36" i="45"/>
  <c r="AI36" i="45"/>
  <c r="C37" i="45"/>
  <c r="D37" i="45"/>
  <c r="E37" i="45"/>
  <c r="F37" i="45"/>
  <c r="G37" i="45"/>
  <c r="H37" i="45"/>
  <c r="I37" i="45"/>
  <c r="J37" i="45"/>
  <c r="K37" i="45"/>
  <c r="L37" i="45"/>
  <c r="M37" i="45"/>
  <c r="N37" i="45"/>
  <c r="O37" i="45"/>
  <c r="P37" i="45"/>
  <c r="Q37" i="45"/>
  <c r="R37" i="45"/>
  <c r="S37" i="45"/>
  <c r="T37" i="45"/>
  <c r="U37" i="45"/>
  <c r="V37" i="45"/>
  <c r="W37" i="45"/>
  <c r="X37" i="45"/>
  <c r="Y37" i="45"/>
  <c r="Z37" i="45"/>
  <c r="AA37" i="45"/>
  <c r="AB37" i="45"/>
  <c r="AC37" i="45"/>
  <c r="AD37" i="45"/>
  <c r="AE37" i="45"/>
  <c r="AF37" i="45"/>
  <c r="AG37" i="45"/>
  <c r="AH37" i="45"/>
  <c r="AI37" i="45"/>
  <c r="AJ27" i="19"/>
  <c r="AJ28" i="19"/>
  <c r="AJ29" i="19"/>
  <c r="AJ30" i="19"/>
  <c r="AJ31" i="19"/>
  <c r="AJ32" i="19"/>
  <c r="AJ33" i="19"/>
  <c r="AJ34" i="19"/>
  <c r="AJ35" i="19"/>
  <c r="AJ36" i="19"/>
  <c r="AJ37" i="19"/>
  <c r="AJ38" i="19"/>
  <c r="C370" i="2"/>
  <c r="D370" i="2"/>
  <c r="E370" i="2"/>
  <c r="F370" i="2"/>
  <c r="G370" i="2"/>
  <c r="H370" i="2"/>
  <c r="I370" i="2"/>
  <c r="J370" i="2"/>
  <c r="K370" i="2"/>
  <c r="L370" i="2"/>
  <c r="M370" i="2"/>
  <c r="N370" i="2"/>
  <c r="O370" i="2"/>
  <c r="P370" i="2"/>
  <c r="Q370" i="2"/>
  <c r="R370" i="2"/>
  <c r="S370" i="2"/>
  <c r="T370" i="2"/>
  <c r="U370" i="2"/>
  <c r="V370" i="2"/>
  <c r="W370" i="2"/>
  <c r="X370" i="2"/>
  <c r="Y370" i="2"/>
  <c r="Z370" i="2"/>
  <c r="AA370" i="2"/>
  <c r="AB370" i="2"/>
  <c r="AC370" i="2"/>
  <c r="AD370" i="2"/>
  <c r="AE370" i="2"/>
  <c r="AF370" i="2"/>
  <c r="AG370" i="2"/>
  <c r="AH370" i="2"/>
  <c r="AI370" i="2"/>
  <c r="AJ370" i="2"/>
  <c r="C371" i="2"/>
  <c r="D371" i="2"/>
  <c r="E371" i="2"/>
  <c r="F371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U371" i="2"/>
  <c r="V371" i="2"/>
  <c r="W371" i="2"/>
  <c r="X371" i="2"/>
  <c r="Y371" i="2"/>
  <c r="Z371" i="2"/>
  <c r="AA371" i="2"/>
  <c r="AB371" i="2"/>
  <c r="AC371" i="2"/>
  <c r="AD371" i="2"/>
  <c r="AE371" i="2"/>
  <c r="AF371" i="2"/>
  <c r="AG371" i="2"/>
  <c r="AH371" i="2"/>
  <c r="AI371" i="2"/>
  <c r="AJ371" i="2"/>
  <c r="C372" i="2"/>
  <c r="D372" i="2"/>
  <c r="E372" i="2"/>
  <c r="F372" i="2"/>
  <c r="G372" i="2"/>
  <c r="H372" i="2"/>
  <c r="I372" i="2"/>
  <c r="J372" i="2"/>
  <c r="K372" i="2"/>
  <c r="L372" i="2"/>
  <c r="M372" i="2"/>
  <c r="N372" i="2"/>
  <c r="O372" i="2"/>
  <c r="P372" i="2"/>
  <c r="Q372" i="2"/>
  <c r="R372" i="2"/>
  <c r="S372" i="2"/>
  <c r="T372" i="2"/>
  <c r="U372" i="2"/>
  <c r="V372" i="2"/>
  <c r="W372" i="2"/>
  <c r="X372" i="2"/>
  <c r="Y372" i="2"/>
  <c r="Z372" i="2"/>
  <c r="AA372" i="2"/>
  <c r="AB372" i="2"/>
  <c r="AC372" i="2"/>
  <c r="AD372" i="2"/>
  <c r="AE372" i="2"/>
  <c r="AF372" i="2"/>
  <c r="AG372" i="2"/>
  <c r="AH372" i="2"/>
  <c r="AI372" i="2"/>
  <c r="AJ372" i="2"/>
  <c r="C373" i="2"/>
  <c r="D373" i="2"/>
  <c r="E373" i="2"/>
  <c r="F373" i="2"/>
  <c r="G373" i="2"/>
  <c r="H373" i="2"/>
  <c r="I373" i="2"/>
  <c r="J373" i="2"/>
  <c r="K373" i="2"/>
  <c r="L373" i="2"/>
  <c r="M373" i="2"/>
  <c r="N373" i="2"/>
  <c r="O373" i="2"/>
  <c r="P373" i="2"/>
  <c r="Q373" i="2"/>
  <c r="R373" i="2"/>
  <c r="S373" i="2"/>
  <c r="T373" i="2"/>
  <c r="U373" i="2"/>
  <c r="V373" i="2"/>
  <c r="W373" i="2"/>
  <c r="X373" i="2"/>
  <c r="Y373" i="2"/>
  <c r="Z373" i="2"/>
  <c r="AA373" i="2"/>
  <c r="AB373" i="2"/>
  <c r="AC373" i="2"/>
  <c r="AD373" i="2"/>
  <c r="AE373" i="2"/>
  <c r="AF373" i="2"/>
  <c r="AG373" i="2"/>
  <c r="AH373" i="2"/>
  <c r="AI373" i="2"/>
  <c r="AJ373" i="2"/>
  <c r="C374" i="2"/>
  <c r="D374" i="2"/>
  <c r="E374" i="2"/>
  <c r="F374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S374" i="2"/>
  <c r="T374" i="2"/>
  <c r="U374" i="2"/>
  <c r="V374" i="2"/>
  <c r="W374" i="2"/>
  <c r="X374" i="2"/>
  <c r="Y374" i="2"/>
  <c r="Z374" i="2"/>
  <c r="AA374" i="2"/>
  <c r="AB374" i="2"/>
  <c r="AC374" i="2"/>
  <c r="AD374" i="2"/>
  <c r="AE374" i="2"/>
  <c r="AF374" i="2"/>
  <c r="AG374" i="2"/>
  <c r="AH374" i="2"/>
  <c r="AI374" i="2"/>
  <c r="AJ374" i="2"/>
  <c r="C375" i="2"/>
  <c r="D375" i="2"/>
  <c r="E375" i="2"/>
  <c r="F375" i="2"/>
  <c r="G375" i="2"/>
  <c r="H375" i="2"/>
  <c r="I375" i="2"/>
  <c r="J375" i="2"/>
  <c r="K375" i="2"/>
  <c r="L375" i="2"/>
  <c r="M375" i="2"/>
  <c r="N375" i="2"/>
  <c r="O375" i="2"/>
  <c r="P375" i="2"/>
  <c r="Q375" i="2"/>
  <c r="R375" i="2"/>
  <c r="S375" i="2"/>
  <c r="T375" i="2"/>
  <c r="U375" i="2"/>
  <c r="V375" i="2"/>
  <c r="W375" i="2"/>
  <c r="X375" i="2"/>
  <c r="Y375" i="2"/>
  <c r="Z375" i="2"/>
  <c r="AA375" i="2"/>
  <c r="AB375" i="2"/>
  <c r="AC375" i="2"/>
  <c r="AD375" i="2"/>
  <c r="AE375" i="2"/>
  <c r="AF375" i="2"/>
  <c r="AG375" i="2"/>
  <c r="AH375" i="2"/>
  <c r="AI375" i="2"/>
  <c r="C376" i="2"/>
  <c r="D376" i="2"/>
  <c r="E376" i="2"/>
  <c r="F376" i="2"/>
  <c r="G376" i="2"/>
  <c r="H376" i="2"/>
  <c r="I376" i="2"/>
  <c r="J376" i="2"/>
  <c r="K376" i="2"/>
  <c r="L376" i="2"/>
  <c r="M376" i="2"/>
  <c r="N376" i="2"/>
  <c r="O376" i="2"/>
  <c r="P376" i="2"/>
  <c r="Q376" i="2"/>
  <c r="R376" i="2"/>
  <c r="S376" i="2"/>
  <c r="T376" i="2"/>
  <c r="U376" i="2"/>
  <c r="V376" i="2"/>
  <c r="W376" i="2"/>
  <c r="X376" i="2"/>
  <c r="Y376" i="2"/>
  <c r="Z376" i="2"/>
  <c r="AA376" i="2"/>
  <c r="AB376" i="2"/>
  <c r="AC376" i="2"/>
  <c r="AD376" i="2"/>
  <c r="AE376" i="2"/>
  <c r="AF376" i="2"/>
  <c r="AG376" i="2"/>
  <c r="AH376" i="2"/>
  <c r="AI376" i="2"/>
  <c r="C377" i="2"/>
  <c r="D377" i="2"/>
  <c r="E377" i="2"/>
  <c r="F377" i="2"/>
  <c r="G377" i="2"/>
  <c r="H377" i="2"/>
  <c r="I377" i="2"/>
  <c r="J377" i="2"/>
  <c r="K377" i="2"/>
  <c r="L377" i="2"/>
  <c r="M377" i="2"/>
  <c r="N377" i="2"/>
  <c r="O377" i="2"/>
  <c r="P377" i="2"/>
  <c r="Q377" i="2"/>
  <c r="R377" i="2"/>
  <c r="S377" i="2"/>
  <c r="T377" i="2"/>
  <c r="U377" i="2"/>
  <c r="V377" i="2"/>
  <c r="W377" i="2"/>
  <c r="X377" i="2"/>
  <c r="Y377" i="2"/>
  <c r="Z377" i="2"/>
  <c r="AA377" i="2"/>
  <c r="AB377" i="2"/>
  <c r="AC377" i="2"/>
  <c r="AD377" i="2"/>
  <c r="AE377" i="2"/>
  <c r="AF377" i="2"/>
  <c r="AG377" i="2"/>
  <c r="AH377" i="2"/>
  <c r="AI377" i="2"/>
  <c r="C378" i="2"/>
  <c r="D378" i="2"/>
  <c r="E378" i="2"/>
  <c r="F378" i="2"/>
  <c r="G378" i="2"/>
  <c r="H378" i="2"/>
  <c r="I378" i="2"/>
  <c r="J378" i="2"/>
  <c r="K378" i="2"/>
  <c r="L378" i="2"/>
  <c r="M378" i="2"/>
  <c r="N378" i="2"/>
  <c r="O378" i="2"/>
  <c r="P378" i="2"/>
  <c r="Q378" i="2"/>
  <c r="R378" i="2"/>
  <c r="S378" i="2"/>
  <c r="T378" i="2"/>
  <c r="U378" i="2"/>
  <c r="V378" i="2"/>
  <c r="W378" i="2"/>
  <c r="X378" i="2"/>
  <c r="Y378" i="2"/>
  <c r="Z378" i="2"/>
  <c r="AA378" i="2"/>
  <c r="AB378" i="2"/>
  <c r="AC378" i="2"/>
  <c r="AD378" i="2"/>
  <c r="AE378" i="2"/>
  <c r="AF378" i="2"/>
  <c r="AG378" i="2"/>
  <c r="AH378" i="2"/>
  <c r="AI378" i="2"/>
  <c r="C379" i="2"/>
  <c r="D379" i="2"/>
  <c r="E379" i="2"/>
  <c r="F379" i="2"/>
  <c r="G379" i="2"/>
  <c r="H379" i="2"/>
  <c r="I379" i="2"/>
  <c r="J379" i="2"/>
  <c r="K379" i="2"/>
  <c r="L379" i="2"/>
  <c r="M379" i="2"/>
  <c r="N379" i="2"/>
  <c r="O379" i="2"/>
  <c r="P379" i="2"/>
  <c r="Q379" i="2"/>
  <c r="R379" i="2"/>
  <c r="S379" i="2"/>
  <c r="T379" i="2"/>
  <c r="U379" i="2"/>
  <c r="V379" i="2"/>
  <c r="W379" i="2"/>
  <c r="X379" i="2"/>
  <c r="Y379" i="2"/>
  <c r="Z379" i="2"/>
  <c r="AA379" i="2"/>
  <c r="AB379" i="2"/>
  <c r="AC379" i="2"/>
  <c r="AD379" i="2"/>
  <c r="AE379" i="2"/>
  <c r="AF379" i="2"/>
  <c r="AG379" i="2"/>
  <c r="AH379" i="2"/>
  <c r="AI379" i="2"/>
  <c r="C380" i="2"/>
  <c r="D380" i="2"/>
  <c r="E380" i="2"/>
  <c r="F380" i="2"/>
  <c r="G380" i="2"/>
  <c r="H380" i="2"/>
  <c r="I380" i="2"/>
  <c r="J380" i="2"/>
  <c r="K380" i="2"/>
  <c r="L380" i="2"/>
  <c r="M380" i="2"/>
  <c r="N380" i="2"/>
  <c r="O380" i="2"/>
  <c r="P380" i="2"/>
  <c r="Q380" i="2"/>
  <c r="R380" i="2"/>
  <c r="S380" i="2"/>
  <c r="T380" i="2"/>
  <c r="U380" i="2"/>
  <c r="V380" i="2"/>
  <c r="W380" i="2"/>
  <c r="X380" i="2"/>
  <c r="Y380" i="2"/>
  <c r="Z380" i="2"/>
  <c r="AA380" i="2"/>
  <c r="AB380" i="2"/>
  <c r="AC380" i="2"/>
  <c r="AD380" i="2"/>
  <c r="AE380" i="2"/>
  <c r="AF380" i="2"/>
  <c r="AG380" i="2"/>
  <c r="AH380" i="2"/>
  <c r="AI380" i="2"/>
  <c r="D369" i="2"/>
  <c r="E369" i="2"/>
  <c r="F369" i="2"/>
  <c r="G369" i="2"/>
  <c r="H369" i="2"/>
  <c r="I369" i="2"/>
  <c r="J369" i="2"/>
  <c r="K369" i="2"/>
  <c r="L369" i="2"/>
  <c r="M369" i="2"/>
  <c r="N369" i="2"/>
  <c r="O369" i="2"/>
  <c r="P369" i="2"/>
  <c r="Q369" i="2"/>
  <c r="R369" i="2"/>
  <c r="S369" i="2"/>
  <c r="T369" i="2"/>
  <c r="U369" i="2"/>
  <c r="V369" i="2"/>
  <c r="W369" i="2"/>
  <c r="X369" i="2"/>
  <c r="Y369" i="2"/>
  <c r="Z369" i="2"/>
  <c r="AA369" i="2"/>
  <c r="AB369" i="2"/>
  <c r="AC369" i="2"/>
  <c r="AD369" i="2"/>
  <c r="AE369" i="2"/>
  <c r="AF369" i="2"/>
  <c r="AG369" i="2"/>
  <c r="AH369" i="2"/>
  <c r="AI369" i="2"/>
  <c r="AJ369" i="2"/>
  <c r="D249" i="2"/>
  <c r="AK249" i="2"/>
  <c r="D250" i="2"/>
  <c r="AK250" i="2"/>
  <c r="D251" i="2"/>
  <c r="AK251" i="2"/>
  <c r="D252" i="2"/>
  <c r="AK252" i="2"/>
  <c r="D253" i="2"/>
  <c r="AK253" i="2"/>
  <c r="D254" i="2"/>
  <c r="AK254" i="2"/>
  <c r="AK255" i="2"/>
  <c r="AK256" i="2"/>
  <c r="AK257" i="2"/>
  <c r="AK258" i="2"/>
  <c r="AK259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D61" i="2"/>
  <c r="E61" i="2"/>
  <c r="F61" i="2"/>
  <c r="G61" i="2"/>
  <c r="H61" i="2"/>
  <c r="I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K315" i="2" l="1" a="1"/>
  <c r="K315" i="2" s="1"/>
  <c r="G314" i="2" a="1"/>
  <c r="G314" i="2" s="1"/>
  <c r="C133" i="2" a="1"/>
  <c r="C133" i="2" s="1"/>
  <c r="C131" i="2" a="1"/>
  <c r="C131" i="2" s="1"/>
  <c r="C132" i="2" a="1"/>
  <c r="C132" i="2" s="1"/>
  <c r="AF269" i="2" a="1"/>
  <c r="AF269" i="2" s="1"/>
  <c r="AF311" i="2" a="1"/>
  <c r="AF311" i="2" s="1"/>
  <c r="AF290" i="2" a="1"/>
  <c r="AF290" i="2" s="1"/>
  <c r="AB269" i="2" a="1"/>
  <c r="AB269" i="2" s="1"/>
  <c r="AB311" i="2" a="1"/>
  <c r="AB311" i="2" s="1"/>
  <c r="AB290" i="2" a="1"/>
  <c r="AB290" i="2" s="1"/>
  <c r="P269" i="2" a="1"/>
  <c r="P269" i="2" s="1"/>
  <c r="P290" i="2" a="1"/>
  <c r="P290" i="2" s="1"/>
  <c r="P311" i="2" a="1"/>
  <c r="P311" i="2" s="1"/>
  <c r="AF322" i="2" a="1"/>
  <c r="AF322" i="2" s="1"/>
  <c r="AF301" i="2" a="1"/>
  <c r="AF301" i="2" s="1"/>
  <c r="AF280" i="2" a="1"/>
  <c r="AF280" i="2" s="1"/>
  <c r="X322" i="2" a="1"/>
  <c r="X322" i="2" s="1"/>
  <c r="X301" i="2" a="1"/>
  <c r="X301" i="2" s="1"/>
  <c r="X280" i="2" a="1"/>
  <c r="X280" i="2" s="1"/>
  <c r="P322" i="2" a="1"/>
  <c r="P322" i="2" s="1"/>
  <c r="P301" i="2" a="1"/>
  <c r="P301" i="2" s="1"/>
  <c r="P280" i="2" a="1"/>
  <c r="P280" i="2" s="1"/>
  <c r="H322" i="2" a="1"/>
  <c r="H322" i="2" s="1"/>
  <c r="H301" i="2" a="1"/>
  <c r="H301" i="2" s="1"/>
  <c r="H280" i="2" a="1"/>
  <c r="H280" i="2" s="1"/>
  <c r="AH321" i="2" a="1"/>
  <c r="AH321" i="2" s="1"/>
  <c r="AH279" i="2" a="1"/>
  <c r="AH279" i="2" s="1"/>
  <c r="AH300" i="2" a="1"/>
  <c r="AH300" i="2" s="1"/>
  <c r="Z321" i="2" a="1"/>
  <c r="Z321" i="2" s="1"/>
  <c r="Z279" i="2" a="1"/>
  <c r="Z279" i="2" s="1"/>
  <c r="Z300" i="2" a="1"/>
  <c r="Z300" i="2" s="1"/>
  <c r="R321" i="2" a="1"/>
  <c r="R321" i="2" s="1"/>
  <c r="R279" i="2" a="1"/>
  <c r="R279" i="2" s="1"/>
  <c r="R300" i="2" a="1"/>
  <c r="R300" i="2" s="1"/>
  <c r="N321" i="2" a="1"/>
  <c r="N321" i="2" s="1"/>
  <c r="N279" i="2" a="1"/>
  <c r="N279" i="2" s="1"/>
  <c r="N300" i="2" a="1"/>
  <c r="N300" i="2" s="1"/>
  <c r="F279" i="2" a="1"/>
  <c r="F279" i="2" s="1"/>
  <c r="F321" i="2" a="1"/>
  <c r="F321" i="2" s="1"/>
  <c r="F300" i="2" a="1"/>
  <c r="F300" i="2" s="1"/>
  <c r="AB278" i="2" a="1"/>
  <c r="AB278" i="2" s="1"/>
  <c r="AB320" i="2" a="1"/>
  <c r="AB320" i="2" s="1"/>
  <c r="AB299" i="2" a="1"/>
  <c r="AB299" i="2" s="1"/>
  <c r="X320" i="2" a="1"/>
  <c r="X320" i="2" s="1"/>
  <c r="X278" i="2" a="1"/>
  <c r="X278" i="2" s="1"/>
  <c r="X299" i="2" a="1"/>
  <c r="X299" i="2" s="1"/>
  <c r="L278" i="2" a="1"/>
  <c r="L278" i="2" s="1"/>
  <c r="L299" i="2" a="1"/>
  <c r="L299" i="2" s="1"/>
  <c r="L320" i="2" a="1"/>
  <c r="L320" i="2" s="1"/>
  <c r="D320" i="2" a="1"/>
  <c r="D320" i="2" s="1"/>
  <c r="D278" i="2" a="1"/>
  <c r="D278" i="2" s="1"/>
  <c r="D299" i="2" a="1"/>
  <c r="D299" i="2" s="1"/>
  <c r="AD319" i="2" a="1"/>
  <c r="AD319" i="2" s="1"/>
  <c r="AD298" i="2" a="1"/>
  <c r="AD298" i="2" s="1"/>
  <c r="AD277" i="2" a="1"/>
  <c r="AD277" i="2" s="1"/>
  <c r="V319" i="2" a="1"/>
  <c r="V319" i="2" s="1"/>
  <c r="V298" i="2" a="1"/>
  <c r="V298" i="2" s="1"/>
  <c r="V277" i="2" a="1"/>
  <c r="V277" i="2" s="1"/>
  <c r="R319" i="2" a="1"/>
  <c r="R319" i="2" s="1"/>
  <c r="R298" i="2" a="1"/>
  <c r="R298" i="2" s="1"/>
  <c r="R277" i="2" a="1"/>
  <c r="R277" i="2" s="1"/>
  <c r="J319" i="2" a="1"/>
  <c r="J319" i="2" s="1"/>
  <c r="J298" i="2" a="1"/>
  <c r="J298" i="2" s="1"/>
  <c r="J277" i="2" a="1"/>
  <c r="J277" i="2" s="1"/>
  <c r="AJ318" i="2" a="1"/>
  <c r="AJ318" i="2" s="1"/>
  <c r="AJ297" i="2" a="1"/>
  <c r="AJ297" i="2" s="1"/>
  <c r="AJ276" i="2" a="1"/>
  <c r="AJ276" i="2" s="1"/>
  <c r="AB318" i="2" a="1"/>
  <c r="AB318" i="2" s="1"/>
  <c r="AB297" i="2" a="1"/>
  <c r="AB297" i="2" s="1"/>
  <c r="AB276" i="2" a="1"/>
  <c r="AB276" i="2" s="1"/>
  <c r="T318" i="2" a="1"/>
  <c r="T318" i="2" s="1"/>
  <c r="T297" i="2" a="1"/>
  <c r="T297" i="2" s="1"/>
  <c r="T276" i="2" a="1"/>
  <c r="T276" i="2" s="1"/>
  <c r="L318" i="2" a="1"/>
  <c r="L318" i="2" s="1"/>
  <c r="L297" i="2" a="1"/>
  <c r="L297" i="2" s="1"/>
  <c r="L276" i="2" a="1"/>
  <c r="L276" i="2" s="1"/>
  <c r="D318" i="2" a="1"/>
  <c r="D318" i="2" s="1"/>
  <c r="D297" i="2" a="1"/>
  <c r="D297" i="2" s="1"/>
  <c r="D276" i="2" a="1"/>
  <c r="D276" i="2" s="1"/>
  <c r="AD317" i="2" a="1"/>
  <c r="AD317" i="2" s="1"/>
  <c r="AD275" i="2" a="1"/>
  <c r="AD275" i="2" s="1"/>
  <c r="AD296" i="2" a="1"/>
  <c r="AD296" i="2" s="1"/>
  <c r="V317" i="2" a="1"/>
  <c r="V317" i="2" s="1"/>
  <c r="V275" i="2" a="1"/>
  <c r="V275" i="2" s="1"/>
  <c r="V296" i="2" a="1"/>
  <c r="V296" i="2" s="1"/>
  <c r="N317" i="2" a="1"/>
  <c r="N317" i="2" s="1"/>
  <c r="N275" i="2" a="1"/>
  <c r="N275" i="2" s="1"/>
  <c r="N296" i="2" a="1"/>
  <c r="N296" i="2" s="1"/>
  <c r="F317" i="2" a="1"/>
  <c r="F317" i="2" s="1"/>
  <c r="F275" i="2" a="1"/>
  <c r="F275" i="2" s="1"/>
  <c r="F296" i="2" a="1"/>
  <c r="F296" i="2" s="1"/>
  <c r="AF295" i="2" a="1"/>
  <c r="AF295" i="2" s="1"/>
  <c r="AF274" i="2" a="1"/>
  <c r="AF274" i="2" s="1"/>
  <c r="AF316" i="2" a="1"/>
  <c r="AF316" i="2" s="1"/>
  <c r="AB316" i="2" a="1"/>
  <c r="AB316" i="2" s="1"/>
  <c r="AB274" i="2" a="1"/>
  <c r="AB274" i="2" s="1"/>
  <c r="AB295" i="2" a="1"/>
  <c r="AB295" i="2" s="1"/>
  <c r="P295" i="2" a="1"/>
  <c r="P295" i="2" s="1"/>
  <c r="P274" i="2" a="1"/>
  <c r="P274" i="2" s="1"/>
  <c r="P316" i="2" a="1"/>
  <c r="P316" i="2" s="1"/>
  <c r="AH273" i="2" a="1"/>
  <c r="AH273" i="2" s="1"/>
  <c r="AH315" i="2" a="1"/>
  <c r="AH315" i="2" s="1"/>
  <c r="AH294" i="2" a="1"/>
  <c r="AH294" i="2" s="1"/>
  <c r="Z273" i="2" a="1"/>
  <c r="Z273" i="2" s="1"/>
  <c r="Z294" i="2" a="1"/>
  <c r="Z294" i="2" s="1"/>
  <c r="Z315" i="2" a="1"/>
  <c r="Z315" i="2" s="1"/>
  <c r="R273" i="2" a="1"/>
  <c r="R273" i="2" s="1"/>
  <c r="R315" i="2" a="1"/>
  <c r="R315" i="2" s="1"/>
  <c r="R294" i="2" a="1"/>
  <c r="R294" i="2" s="1"/>
  <c r="AJ314" i="2" a="1"/>
  <c r="AJ314" i="2" s="1"/>
  <c r="AJ293" i="2" a="1"/>
  <c r="AJ293" i="2" s="1"/>
  <c r="AJ272" i="2" a="1"/>
  <c r="AJ272" i="2" s="1"/>
  <c r="AF314" i="2" a="1"/>
  <c r="AF314" i="2" s="1"/>
  <c r="AF293" i="2" a="1"/>
  <c r="AF293" i="2" s="1"/>
  <c r="AF272" i="2" a="1"/>
  <c r="AF272" i="2" s="1"/>
  <c r="X314" i="2" a="1"/>
  <c r="X314" i="2" s="1"/>
  <c r="X293" i="2" a="1"/>
  <c r="X293" i="2" s="1"/>
  <c r="X272" i="2" a="1"/>
  <c r="X272" i="2" s="1"/>
  <c r="P314" i="2" a="1"/>
  <c r="P314" i="2" s="1"/>
  <c r="P293" i="2" a="1"/>
  <c r="P293" i="2" s="1"/>
  <c r="P272" i="2" a="1"/>
  <c r="P272" i="2" s="1"/>
  <c r="AH313" i="2" a="1"/>
  <c r="AH313" i="2" s="1"/>
  <c r="AH292" i="2" a="1"/>
  <c r="AH292" i="2" s="1"/>
  <c r="AH271" i="2" a="1"/>
  <c r="AH271" i="2" s="1"/>
  <c r="Z313" i="2" a="1"/>
  <c r="Z313" i="2" s="1"/>
  <c r="Z292" i="2" a="1"/>
  <c r="Z292" i="2" s="1"/>
  <c r="Z271" i="2" a="1"/>
  <c r="Z271" i="2" s="1"/>
  <c r="R313" i="2" a="1"/>
  <c r="R313" i="2" s="1"/>
  <c r="R292" i="2" a="1"/>
  <c r="R292" i="2" s="1"/>
  <c r="R271" i="2" a="1"/>
  <c r="R271" i="2" s="1"/>
  <c r="AJ312" i="2" a="1"/>
  <c r="AJ312" i="2" s="1"/>
  <c r="AJ291" i="2" a="1"/>
  <c r="AJ291" i="2" s="1"/>
  <c r="AJ270" i="2" a="1"/>
  <c r="AJ270" i="2" s="1"/>
  <c r="AB291" i="2" a="1"/>
  <c r="AB291" i="2" s="1"/>
  <c r="AB270" i="2" a="1"/>
  <c r="AB270" i="2" s="1"/>
  <c r="AB312" i="2" a="1"/>
  <c r="AB312" i="2" s="1"/>
  <c r="X312" i="2" a="1"/>
  <c r="X312" i="2" s="1"/>
  <c r="X270" i="2" a="1"/>
  <c r="X270" i="2" s="1"/>
  <c r="X291" i="2" a="1"/>
  <c r="X291" i="2" s="1"/>
  <c r="P312" i="2" a="1"/>
  <c r="P312" i="2" s="1"/>
  <c r="P270" i="2" a="1"/>
  <c r="P270" i="2" s="1"/>
  <c r="P291" i="2" a="1"/>
  <c r="P291" i="2" s="1"/>
  <c r="AE290" i="2" a="1"/>
  <c r="AE290" i="2" s="1"/>
  <c r="AE269" i="2" a="1"/>
  <c r="AE269" i="2" s="1"/>
  <c r="AE311" i="2" a="1"/>
  <c r="AE311" i="2" s="1"/>
  <c r="W290" i="2" a="1"/>
  <c r="W290" i="2" s="1"/>
  <c r="W269" i="2" a="1"/>
  <c r="W269" i="2" s="1"/>
  <c r="W311" i="2" a="1"/>
  <c r="W311" i="2" s="1"/>
  <c r="O290" i="2" a="1"/>
  <c r="O290" i="2" s="1"/>
  <c r="O311" i="2" a="1"/>
  <c r="O311" i="2" s="1"/>
  <c r="O269" i="2" a="1"/>
  <c r="O269" i="2" s="1"/>
  <c r="AI322" i="2" a="1"/>
  <c r="AI322" i="2" s="1"/>
  <c r="AI301" i="2" a="1"/>
  <c r="AI301" i="2" s="1"/>
  <c r="AI280" i="2" a="1"/>
  <c r="AI280" i="2" s="1"/>
  <c r="AA322" i="2" a="1"/>
  <c r="AA322" i="2" s="1"/>
  <c r="AA301" i="2" a="1"/>
  <c r="AA301" i="2" s="1"/>
  <c r="AA280" i="2" a="1"/>
  <c r="AA280" i="2" s="1"/>
  <c r="S322" i="2" a="1"/>
  <c r="S322" i="2" s="1"/>
  <c r="S301" i="2" a="1"/>
  <c r="S301" i="2" s="1"/>
  <c r="S280" i="2" a="1"/>
  <c r="S280" i="2" s="1"/>
  <c r="K322" i="2" a="1"/>
  <c r="K322" i="2" s="1"/>
  <c r="K301" i="2" a="1"/>
  <c r="K301" i="2" s="1"/>
  <c r="K280" i="2" a="1"/>
  <c r="K280" i="2" s="1"/>
  <c r="C322" i="2" a="1"/>
  <c r="C322" i="2" s="1"/>
  <c r="C280" i="2" a="1"/>
  <c r="C280" i="2" s="1"/>
  <c r="C301" i="2" a="1"/>
  <c r="C301" i="2" s="1"/>
  <c r="AC300" i="2" a="1"/>
  <c r="AC300" i="2" s="1"/>
  <c r="AC321" i="2" a="1"/>
  <c r="AC321" i="2" s="1"/>
  <c r="AC279" i="2" a="1"/>
  <c r="AC279" i="2" s="1"/>
  <c r="U321" i="2" a="1"/>
  <c r="U321" i="2" s="1"/>
  <c r="U300" i="2" a="1"/>
  <c r="U300" i="2" s="1"/>
  <c r="U279" i="2" a="1"/>
  <c r="U279" i="2" s="1"/>
  <c r="M321" i="2" a="1"/>
  <c r="M321" i="2" s="1"/>
  <c r="M300" i="2" a="1"/>
  <c r="M300" i="2" s="1"/>
  <c r="M279" i="2" a="1"/>
  <c r="M279" i="2" s="1"/>
  <c r="E321" i="2" a="1"/>
  <c r="E321" i="2" s="1"/>
  <c r="E300" i="2" a="1"/>
  <c r="E300" i="2" s="1"/>
  <c r="E279" i="2" a="1"/>
  <c r="E279" i="2" s="1"/>
  <c r="AI320" i="2" a="1"/>
  <c r="AI320" i="2" s="1"/>
  <c r="AI278" i="2" a="1"/>
  <c r="AI278" i="2" s="1"/>
  <c r="AI299" i="2" a="1"/>
  <c r="AI299" i="2" s="1"/>
  <c r="S320" i="2" a="1"/>
  <c r="S320" i="2" s="1"/>
  <c r="S278" i="2" a="1"/>
  <c r="S278" i="2" s="1"/>
  <c r="S299" i="2" a="1"/>
  <c r="S299" i="2" s="1"/>
  <c r="K320" i="2" a="1"/>
  <c r="K320" i="2" s="1"/>
  <c r="K278" i="2" a="1"/>
  <c r="K278" i="2" s="1"/>
  <c r="K299" i="2" a="1"/>
  <c r="K299" i="2" s="1"/>
  <c r="C299" i="2" a="1"/>
  <c r="C299" i="2" s="1"/>
  <c r="C278" i="2" a="1"/>
  <c r="C278" i="2" s="1"/>
  <c r="C320" i="2" a="1"/>
  <c r="C320" i="2" s="1"/>
  <c r="AC277" i="2" a="1"/>
  <c r="AC277" i="2" s="1"/>
  <c r="AC319" i="2" a="1"/>
  <c r="AC319" i="2" s="1"/>
  <c r="AC298" i="2" a="1"/>
  <c r="AC298" i="2" s="1"/>
  <c r="U319" i="2" a="1"/>
  <c r="U319" i="2" s="1"/>
  <c r="U277" i="2" a="1"/>
  <c r="U277" i="2" s="1"/>
  <c r="U298" i="2" a="1"/>
  <c r="U298" i="2" s="1"/>
  <c r="M277" i="2" a="1"/>
  <c r="M277" i="2" s="1"/>
  <c r="M298" i="2" a="1"/>
  <c r="M298" i="2" s="1"/>
  <c r="M319" i="2" a="1"/>
  <c r="M319" i="2" s="1"/>
  <c r="E319" i="2" a="1"/>
  <c r="E319" i="2" s="1"/>
  <c r="E277" i="2" a="1"/>
  <c r="E277" i="2" s="1"/>
  <c r="E298" i="2" a="1"/>
  <c r="E298" i="2" s="1"/>
  <c r="AE318" i="2" a="1"/>
  <c r="AE318" i="2" s="1"/>
  <c r="AE297" i="2" a="1"/>
  <c r="AE297" i="2" s="1"/>
  <c r="AE276" i="2" a="1"/>
  <c r="AE276" i="2" s="1"/>
  <c r="W318" i="2" a="1"/>
  <c r="W318" i="2" s="1"/>
  <c r="W297" i="2" a="1"/>
  <c r="W297" i="2" s="1"/>
  <c r="W276" i="2" a="1"/>
  <c r="W276" i="2" s="1"/>
  <c r="S318" i="2" a="1"/>
  <c r="S318" i="2" s="1"/>
  <c r="S297" i="2" a="1"/>
  <c r="S297" i="2" s="1"/>
  <c r="S276" i="2" a="1"/>
  <c r="S276" i="2" s="1"/>
  <c r="K318" i="2" a="1"/>
  <c r="K318" i="2" s="1"/>
  <c r="K297" i="2" a="1"/>
  <c r="K297" i="2" s="1"/>
  <c r="K276" i="2" a="1"/>
  <c r="K276" i="2" s="1"/>
  <c r="C318" i="2" a="1"/>
  <c r="C318" i="2" s="1"/>
  <c r="C276" i="2" a="1"/>
  <c r="C276" i="2" s="1"/>
  <c r="C297" i="2" a="1"/>
  <c r="C297" i="2" s="1"/>
  <c r="AC317" i="2" a="1"/>
  <c r="AC317" i="2" s="1"/>
  <c r="AC296" i="2" a="1"/>
  <c r="AC296" i="2" s="1"/>
  <c r="AC275" i="2" a="1"/>
  <c r="AC275" i="2" s="1"/>
  <c r="U317" i="2" a="1"/>
  <c r="U317" i="2" s="1"/>
  <c r="U296" i="2" a="1"/>
  <c r="U296" i="2" s="1"/>
  <c r="U275" i="2" a="1"/>
  <c r="U275" i="2" s="1"/>
  <c r="M317" i="2" a="1"/>
  <c r="M317" i="2" s="1"/>
  <c r="M296" i="2" a="1"/>
  <c r="M296" i="2" s="1"/>
  <c r="M275" i="2" a="1"/>
  <c r="M275" i="2" s="1"/>
  <c r="E317" i="2" a="1"/>
  <c r="E317" i="2" s="1"/>
  <c r="E296" i="2" a="1"/>
  <c r="E296" i="2" s="1"/>
  <c r="E275" i="2" a="1"/>
  <c r="E275" i="2" s="1"/>
  <c r="AE316" i="2" a="1"/>
  <c r="AE316" i="2" s="1"/>
  <c r="AE274" i="2" a="1"/>
  <c r="AE274" i="2" s="1"/>
  <c r="AE295" i="2" a="1"/>
  <c r="AE295" i="2" s="1"/>
  <c r="W316" i="2" a="1"/>
  <c r="W316" i="2" s="1"/>
  <c r="W274" i="2" a="1"/>
  <c r="W274" i="2" s="1"/>
  <c r="W295" i="2" a="1"/>
  <c r="W295" i="2" s="1"/>
  <c r="S274" i="2" a="1"/>
  <c r="S274" i="2" s="1"/>
  <c r="S295" i="2" a="1"/>
  <c r="S295" i="2" s="1"/>
  <c r="S316" i="2" a="1"/>
  <c r="S316" i="2" s="1"/>
  <c r="AG315" i="2" a="1"/>
  <c r="AG315" i="2" s="1"/>
  <c r="AG294" i="2" a="1"/>
  <c r="AG294" i="2" s="1"/>
  <c r="AG273" i="2" a="1"/>
  <c r="AG273" i="2" s="1"/>
  <c r="AC315" i="2" a="1"/>
  <c r="AC315" i="2" s="1"/>
  <c r="AC294" i="2" a="1"/>
  <c r="AC294" i="2" s="1"/>
  <c r="AC273" i="2" a="1"/>
  <c r="AC273" i="2" s="1"/>
  <c r="Y315" i="2" a="1"/>
  <c r="Y315" i="2" s="1"/>
  <c r="Y294" i="2" a="1"/>
  <c r="Y294" i="2" s="1"/>
  <c r="Y273" i="2" a="1"/>
  <c r="Y273" i="2" s="1"/>
  <c r="U315" i="2" a="1"/>
  <c r="U315" i="2" s="1"/>
  <c r="U294" i="2" a="1"/>
  <c r="U294" i="2" s="1"/>
  <c r="U273" i="2" a="1"/>
  <c r="U273" i="2" s="1"/>
  <c r="Q315" i="2" a="1"/>
  <c r="Q315" i="2" s="1"/>
  <c r="Q294" i="2" a="1"/>
  <c r="Q294" i="2" s="1"/>
  <c r="Q273" i="2" a="1"/>
  <c r="Q273" i="2" s="1"/>
  <c r="AI314" i="2" a="1"/>
  <c r="AI314" i="2" s="1"/>
  <c r="AI293" i="2" a="1"/>
  <c r="AI293" i="2" s="1"/>
  <c r="AI272" i="2" a="1"/>
  <c r="AI272" i="2" s="1"/>
  <c r="AE314" i="2" a="1"/>
  <c r="AE314" i="2" s="1"/>
  <c r="AE293" i="2" a="1"/>
  <c r="AE293" i="2" s="1"/>
  <c r="AE272" i="2" a="1"/>
  <c r="AE272" i="2" s="1"/>
  <c r="AA314" i="2" a="1"/>
  <c r="AA314" i="2" s="1"/>
  <c r="AA293" i="2" a="1"/>
  <c r="AA293" i="2" s="1"/>
  <c r="AA272" i="2" a="1"/>
  <c r="AA272" i="2" s="1"/>
  <c r="W314" i="2" a="1"/>
  <c r="W314" i="2" s="1"/>
  <c r="W293" i="2" a="1"/>
  <c r="W293" i="2" s="1"/>
  <c r="W272" i="2" a="1"/>
  <c r="W272" i="2" s="1"/>
  <c r="S314" i="2" a="1"/>
  <c r="S314" i="2" s="1"/>
  <c r="S293" i="2" a="1"/>
  <c r="S293" i="2" s="1"/>
  <c r="S272" i="2" a="1"/>
  <c r="S272" i="2" s="1"/>
  <c r="O314" i="2" a="1"/>
  <c r="O314" i="2" s="1"/>
  <c r="O293" i="2" a="1"/>
  <c r="O293" i="2" s="1"/>
  <c r="O272" i="2" a="1"/>
  <c r="O272" i="2" s="1"/>
  <c r="AC313" i="2" a="1"/>
  <c r="AC313" i="2" s="1"/>
  <c r="AC292" i="2" a="1"/>
  <c r="AC292" i="2" s="1"/>
  <c r="AC271" i="2" a="1"/>
  <c r="AC271" i="2" s="1"/>
  <c r="U292" i="2" a="1"/>
  <c r="U292" i="2" s="1"/>
  <c r="U271" i="2" a="1"/>
  <c r="U271" i="2" s="1"/>
  <c r="U313" i="2" a="1"/>
  <c r="U313" i="2" s="1"/>
  <c r="Q313" i="2" a="1"/>
  <c r="Q313" i="2" s="1"/>
  <c r="Q271" i="2" a="1"/>
  <c r="Q271" i="2" s="1"/>
  <c r="Q292" i="2" a="1"/>
  <c r="Q292" i="2" s="1"/>
  <c r="AI312" i="2" a="1"/>
  <c r="AI312" i="2" s="1"/>
  <c r="AI270" i="2" a="1"/>
  <c r="AI270" i="2" s="1"/>
  <c r="AI291" i="2" a="1"/>
  <c r="AI291" i="2" s="1"/>
  <c r="AA312" i="2" a="1"/>
  <c r="AA312" i="2" s="1"/>
  <c r="AA270" i="2" a="1"/>
  <c r="AA270" i="2" s="1"/>
  <c r="AA291" i="2" a="1"/>
  <c r="AA291" i="2" s="1"/>
  <c r="S312" i="2" a="1"/>
  <c r="S312" i="2" s="1"/>
  <c r="S270" i="2" a="1"/>
  <c r="S270" i="2" s="1"/>
  <c r="S291" i="2" a="1"/>
  <c r="S291" i="2" s="1"/>
  <c r="AJ269" i="2" a="1"/>
  <c r="AJ269" i="2" s="1"/>
  <c r="AJ290" i="2" a="1"/>
  <c r="AJ290" i="2" s="1"/>
  <c r="AJ311" i="2" a="1"/>
  <c r="AJ311" i="2" s="1"/>
  <c r="X269" i="2" a="1"/>
  <c r="X269" i="2" s="1"/>
  <c r="X290" i="2" a="1"/>
  <c r="X290" i="2" s="1"/>
  <c r="X311" i="2" a="1"/>
  <c r="X311" i="2" s="1"/>
  <c r="T269" i="2" a="1"/>
  <c r="T269" i="2" s="1"/>
  <c r="T311" i="2" a="1"/>
  <c r="T311" i="2" s="1"/>
  <c r="T290" i="2" a="1"/>
  <c r="T290" i="2" s="1"/>
  <c r="AJ322" i="2" a="1"/>
  <c r="AJ322" i="2" s="1"/>
  <c r="AJ301" i="2" a="1"/>
  <c r="AJ301" i="2" s="1"/>
  <c r="AJ280" i="2" a="1"/>
  <c r="AJ280" i="2" s="1"/>
  <c r="AB301" i="2" a="1"/>
  <c r="AB301" i="2" s="1"/>
  <c r="AB322" i="2" a="1"/>
  <c r="AB322" i="2" s="1"/>
  <c r="AB280" i="2" a="1"/>
  <c r="AB280" i="2" s="1"/>
  <c r="T322" i="2" a="1"/>
  <c r="T322" i="2" s="1"/>
  <c r="T301" i="2" a="1"/>
  <c r="T301" i="2" s="1"/>
  <c r="T280" i="2" a="1"/>
  <c r="T280" i="2" s="1"/>
  <c r="L301" i="2" a="1"/>
  <c r="L301" i="2" s="1"/>
  <c r="L322" i="2" a="1"/>
  <c r="L322" i="2" s="1"/>
  <c r="L280" i="2" a="1"/>
  <c r="L280" i="2" s="1"/>
  <c r="D322" i="2" a="1"/>
  <c r="D322" i="2" s="1"/>
  <c r="D301" i="2" a="1"/>
  <c r="D301" i="2" s="1"/>
  <c r="D280" i="2" a="1"/>
  <c r="D280" i="2" s="1"/>
  <c r="AD321" i="2" a="1"/>
  <c r="AD321" i="2" s="1"/>
  <c r="AD279" i="2" a="1"/>
  <c r="AD279" i="2" s="1"/>
  <c r="AD300" i="2" a="1"/>
  <c r="AD300" i="2" s="1"/>
  <c r="V279" i="2" a="1"/>
  <c r="V279" i="2" s="1"/>
  <c r="V321" i="2" a="1"/>
  <c r="V321" i="2" s="1"/>
  <c r="V300" i="2" a="1"/>
  <c r="V300" i="2" s="1"/>
  <c r="J321" i="2" a="1"/>
  <c r="J321" i="2" s="1"/>
  <c r="J279" i="2" a="1"/>
  <c r="J279" i="2" s="1"/>
  <c r="J300" i="2" a="1"/>
  <c r="J300" i="2" s="1"/>
  <c r="AJ320" i="2" a="1"/>
  <c r="AJ320" i="2" s="1"/>
  <c r="AJ278" i="2" a="1"/>
  <c r="AJ278" i="2" s="1"/>
  <c r="AJ299" i="2" a="1"/>
  <c r="AJ299" i="2" s="1"/>
  <c r="AF320" i="2" a="1"/>
  <c r="AF320" i="2" s="1"/>
  <c r="AF278" i="2" a="1"/>
  <c r="AF278" i="2" s="1"/>
  <c r="AF299" i="2" a="1"/>
  <c r="AF299" i="2" s="1"/>
  <c r="T320" i="2" a="1"/>
  <c r="T320" i="2" s="1"/>
  <c r="T278" i="2" a="1"/>
  <c r="T278" i="2" s="1"/>
  <c r="T299" i="2" a="1"/>
  <c r="T299" i="2" s="1"/>
  <c r="P320" i="2" a="1"/>
  <c r="P320" i="2" s="1"/>
  <c r="P278" i="2" a="1"/>
  <c r="P278" i="2" s="1"/>
  <c r="P299" i="2" a="1"/>
  <c r="P299" i="2" s="1"/>
  <c r="H320" i="2" a="1"/>
  <c r="H320" i="2" s="1"/>
  <c r="H278" i="2" a="1"/>
  <c r="H278" i="2" s="1"/>
  <c r="H299" i="2" a="1"/>
  <c r="H299" i="2" s="1"/>
  <c r="AH319" i="2" a="1"/>
  <c r="AH319" i="2" s="1"/>
  <c r="AH298" i="2" a="1"/>
  <c r="AH298" i="2" s="1"/>
  <c r="AH277" i="2" a="1"/>
  <c r="AH277" i="2" s="1"/>
  <c r="Z319" i="2" a="1"/>
  <c r="Z319" i="2" s="1"/>
  <c r="Z298" i="2" a="1"/>
  <c r="Z298" i="2" s="1"/>
  <c r="Z277" i="2" a="1"/>
  <c r="Z277" i="2" s="1"/>
  <c r="N319" i="2" a="1"/>
  <c r="N319" i="2" s="1"/>
  <c r="N298" i="2" a="1"/>
  <c r="N298" i="2" s="1"/>
  <c r="N277" i="2" a="1"/>
  <c r="N277" i="2" s="1"/>
  <c r="F319" i="2" a="1"/>
  <c r="F319" i="2" s="1"/>
  <c r="F298" i="2" a="1"/>
  <c r="F298" i="2" s="1"/>
  <c r="F277" i="2" a="1"/>
  <c r="F277" i="2" s="1"/>
  <c r="AF318" i="2" a="1"/>
  <c r="AF318" i="2" s="1"/>
  <c r="AF297" i="2" a="1"/>
  <c r="AF297" i="2" s="1"/>
  <c r="AF276" i="2" a="1"/>
  <c r="AF276" i="2" s="1"/>
  <c r="X318" i="2" a="1"/>
  <c r="X318" i="2" s="1"/>
  <c r="X297" i="2" a="1"/>
  <c r="X297" i="2" s="1"/>
  <c r="X276" i="2" a="1"/>
  <c r="X276" i="2" s="1"/>
  <c r="P318" i="2" a="1"/>
  <c r="P318" i="2" s="1"/>
  <c r="P297" i="2" a="1"/>
  <c r="P297" i="2" s="1"/>
  <c r="P276" i="2" a="1"/>
  <c r="P276" i="2" s="1"/>
  <c r="H318" i="2" a="1"/>
  <c r="H318" i="2" s="1"/>
  <c r="H297" i="2" a="1"/>
  <c r="H297" i="2" s="1"/>
  <c r="H276" i="2" a="1"/>
  <c r="H276" i="2" s="1"/>
  <c r="AH275" i="2" a="1"/>
  <c r="AH275" i="2" s="1"/>
  <c r="AH317" i="2" a="1"/>
  <c r="AH317" i="2" s="1"/>
  <c r="AH296" i="2" a="1"/>
  <c r="AH296" i="2" s="1"/>
  <c r="Z275" i="2" a="1"/>
  <c r="Z275" i="2" s="1"/>
  <c r="Z317" i="2" a="1"/>
  <c r="Z317" i="2" s="1"/>
  <c r="Z296" i="2" a="1"/>
  <c r="Z296" i="2" s="1"/>
  <c r="R275" i="2" a="1"/>
  <c r="R275" i="2" s="1"/>
  <c r="R296" i="2" a="1"/>
  <c r="R296" i="2" s="1"/>
  <c r="R317" i="2" a="1"/>
  <c r="R317" i="2" s="1"/>
  <c r="J275" i="2" a="1"/>
  <c r="J275" i="2" s="1"/>
  <c r="J317" i="2" a="1"/>
  <c r="J317" i="2" s="1"/>
  <c r="J296" i="2" a="1"/>
  <c r="J296" i="2" s="1"/>
  <c r="AJ316" i="2" a="1"/>
  <c r="AJ316" i="2" s="1"/>
  <c r="AJ274" i="2" a="1"/>
  <c r="AJ274" i="2" s="1"/>
  <c r="AJ295" i="2" a="1"/>
  <c r="AJ295" i="2" s="1"/>
  <c r="X316" i="2" a="1"/>
  <c r="X316" i="2" s="1"/>
  <c r="X295" i="2" a="1"/>
  <c r="X295" i="2" s="1"/>
  <c r="X274" i="2" a="1"/>
  <c r="X274" i="2" s="1"/>
  <c r="T316" i="2" a="1"/>
  <c r="T316" i="2" s="1"/>
  <c r="T274" i="2" a="1"/>
  <c r="T274" i="2" s="1"/>
  <c r="T295" i="2" a="1"/>
  <c r="T295" i="2" s="1"/>
  <c r="AD315" i="2" a="1"/>
  <c r="AD315" i="2" s="1"/>
  <c r="AD273" i="2" a="1"/>
  <c r="AD273" i="2" s="1"/>
  <c r="AD294" i="2" a="1"/>
  <c r="AD294" i="2" s="1"/>
  <c r="V315" i="2" a="1"/>
  <c r="V315" i="2" s="1"/>
  <c r="V273" i="2" a="1"/>
  <c r="V273" i="2" s="1"/>
  <c r="V294" i="2" a="1"/>
  <c r="V294" i="2" s="1"/>
  <c r="N315" i="2" a="1"/>
  <c r="N315" i="2" s="1"/>
  <c r="N273" i="2" a="1"/>
  <c r="N273" i="2" s="1"/>
  <c r="N294" i="2" a="1"/>
  <c r="N294" i="2" s="1"/>
  <c r="AB314" i="2" a="1"/>
  <c r="AB314" i="2" s="1"/>
  <c r="AB293" i="2" a="1"/>
  <c r="AB293" i="2" s="1"/>
  <c r="AB272" i="2" a="1"/>
  <c r="AB272" i="2" s="1"/>
  <c r="T314" i="2" a="1"/>
  <c r="T314" i="2" s="1"/>
  <c r="T293" i="2" a="1"/>
  <c r="T293" i="2" s="1"/>
  <c r="T272" i="2" a="1"/>
  <c r="T272" i="2" s="1"/>
  <c r="AD313" i="2" a="1"/>
  <c r="AD313" i="2" s="1"/>
  <c r="AD292" i="2" a="1"/>
  <c r="AD292" i="2" s="1"/>
  <c r="AD271" i="2" a="1"/>
  <c r="AD271" i="2" s="1"/>
  <c r="V313" i="2" a="1"/>
  <c r="V313" i="2" s="1"/>
  <c r="V292" i="2" a="1"/>
  <c r="V292" i="2" s="1"/>
  <c r="V271" i="2" a="1"/>
  <c r="V271" i="2" s="1"/>
  <c r="N313" i="2" a="1"/>
  <c r="N313" i="2" s="1"/>
  <c r="N292" i="2" a="1"/>
  <c r="N292" i="2" s="1"/>
  <c r="N271" i="2" a="1"/>
  <c r="N271" i="2" s="1"/>
  <c r="AF312" i="2" a="1"/>
  <c r="AF312" i="2" s="1"/>
  <c r="AF270" i="2" a="1"/>
  <c r="AF270" i="2" s="1"/>
  <c r="AF291" i="2" a="1"/>
  <c r="AF291" i="2" s="1"/>
  <c r="T312" i="2" a="1"/>
  <c r="T312" i="2" s="1"/>
  <c r="T291" i="2" a="1"/>
  <c r="T291" i="2" s="1"/>
  <c r="T270" i="2" a="1"/>
  <c r="T270" i="2" s="1"/>
  <c r="AI290" i="2" a="1"/>
  <c r="AI290" i="2" s="1"/>
  <c r="AI311" i="2" a="1"/>
  <c r="AI311" i="2" s="1"/>
  <c r="AI269" i="2" a="1"/>
  <c r="AI269" i="2" s="1"/>
  <c r="AA290" i="2" a="1"/>
  <c r="AA290" i="2" s="1"/>
  <c r="AA311" i="2" a="1"/>
  <c r="AA311" i="2" s="1"/>
  <c r="AA269" i="2" a="1"/>
  <c r="AA269" i="2" s="1"/>
  <c r="S290" i="2" a="1"/>
  <c r="S290" i="2" s="1"/>
  <c r="S269" i="2" a="1"/>
  <c r="S269" i="2" s="1"/>
  <c r="S311" i="2" a="1"/>
  <c r="S311" i="2" s="1"/>
  <c r="AE301" i="2" a="1"/>
  <c r="AE301" i="2" s="1"/>
  <c r="AE322" i="2" a="1"/>
  <c r="AE322" i="2" s="1"/>
  <c r="AE280" i="2" a="1"/>
  <c r="AE280" i="2" s="1"/>
  <c r="W301" i="2" a="1"/>
  <c r="W301" i="2" s="1"/>
  <c r="W280" i="2" a="1"/>
  <c r="W280" i="2" s="1"/>
  <c r="W322" i="2" a="1"/>
  <c r="W322" i="2" s="1"/>
  <c r="O301" i="2" a="1"/>
  <c r="O301" i="2" s="1"/>
  <c r="O322" i="2" a="1"/>
  <c r="O322" i="2" s="1"/>
  <c r="O280" i="2" a="1"/>
  <c r="O280" i="2" s="1"/>
  <c r="G301" i="2" a="1"/>
  <c r="G301" i="2" s="1"/>
  <c r="G322" i="2" a="1"/>
  <c r="G322" i="2" s="1"/>
  <c r="G280" i="2" a="1"/>
  <c r="G280" i="2" s="1"/>
  <c r="AG321" i="2" a="1"/>
  <c r="AG321" i="2" s="1"/>
  <c r="AG300" i="2" a="1"/>
  <c r="AG300" i="2" s="1"/>
  <c r="AG279" i="2" a="1"/>
  <c r="AG279" i="2" s="1"/>
  <c r="Y321" i="2" a="1"/>
  <c r="Y321" i="2" s="1"/>
  <c r="Y300" i="2" a="1"/>
  <c r="Y300" i="2" s="1"/>
  <c r="Y279" i="2" a="1"/>
  <c r="Y279" i="2" s="1"/>
  <c r="Q321" i="2" a="1"/>
  <c r="Q321" i="2" s="1"/>
  <c r="Q300" i="2" a="1"/>
  <c r="Q300" i="2" s="1"/>
  <c r="Q279" i="2" a="1"/>
  <c r="Q279" i="2" s="1"/>
  <c r="I300" i="2" a="1"/>
  <c r="I300" i="2" s="1"/>
  <c r="I279" i="2" a="1"/>
  <c r="I279" i="2" s="1"/>
  <c r="I321" i="2" a="1"/>
  <c r="I321" i="2" s="1"/>
  <c r="AE278" i="2" a="1"/>
  <c r="AE278" i="2" s="1"/>
  <c r="AE320" i="2" a="1"/>
  <c r="AE320" i="2" s="1"/>
  <c r="AE299" i="2" a="1"/>
  <c r="AE299" i="2" s="1"/>
  <c r="AA320" i="2" a="1"/>
  <c r="AA320" i="2" s="1"/>
  <c r="AA278" i="2" a="1"/>
  <c r="AA278" i="2" s="1"/>
  <c r="AA299" i="2" a="1"/>
  <c r="AA299" i="2" s="1"/>
  <c r="W278" i="2" a="1"/>
  <c r="W278" i="2" s="1"/>
  <c r="W320" i="2" a="1"/>
  <c r="W320" i="2" s="1"/>
  <c r="W299" i="2" a="1"/>
  <c r="W299" i="2" s="1"/>
  <c r="O278" i="2" a="1"/>
  <c r="O278" i="2" s="1"/>
  <c r="O299" i="2" a="1"/>
  <c r="O299" i="2" s="1"/>
  <c r="O320" i="2" a="1"/>
  <c r="O320" i="2" s="1"/>
  <c r="G278" i="2" a="1"/>
  <c r="G278" i="2" s="1"/>
  <c r="G320" i="2" a="1"/>
  <c r="G320" i="2" s="1"/>
  <c r="G299" i="2" a="1"/>
  <c r="G299" i="2" s="1"/>
  <c r="AG319" i="2" a="1"/>
  <c r="AG319" i="2" s="1"/>
  <c r="AG277" i="2" a="1"/>
  <c r="AG277" i="2" s="1"/>
  <c r="AG298" i="2" a="1"/>
  <c r="AG298" i="2" s="1"/>
  <c r="Y319" i="2" a="1"/>
  <c r="Y319" i="2" s="1"/>
  <c r="Y277" i="2" a="1"/>
  <c r="Y277" i="2" s="1"/>
  <c r="Y298" i="2" a="1"/>
  <c r="Y298" i="2" s="1"/>
  <c r="Q319" i="2" a="1"/>
  <c r="Q319" i="2" s="1"/>
  <c r="Q277" i="2" a="1"/>
  <c r="Q277" i="2" s="1"/>
  <c r="Q298" i="2" a="1"/>
  <c r="Q298" i="2" s="1"/>
  <c r="I319" i="2" a="1"/>
  <c r="I319" i="2" s="1"/>
  <c r="I277" i="2" a="1"/>
  <c r="I277" i="2" s="1"/>
  <c r="I298" i="2" a="1"/>
  <c r="I298" i="2" s="1"/>
  <c r="AI318" i="2" a="1"/>
  <c r="AI318" i="2" s="1"/>
  <c r="AI297" i="2" a="1"/>
  <c r="AI297" i="2" s="1"/>
  <c r="AI276" i="2" a="1"/>
  <c r="AI276" i="2" s="1"/>
  <c r="AA318" i="2" a="1"/>
  <c r="AA318" i="2" s="1"/>
  <c r="AA297" i="2" a="1"/>
  <c r="AA297" i="2" s="1"/>
  <c r="AA276" i="2" a="1"/>
  <c r="AA276" i="2" s="1"/>
  <c r="O318" i="2" a="1"/>
  <c r="O318" i="2" s="1"/>
  <c r="O297" i="2" a="1"/>
  <c r="O297" i="2" s="1"/>
  <c r="O276" i="2" a="1"/>
  <c r="O276" i="2" s="1"/>
  <c r="G318" i="2" a="1"/>
  <c r="G318" i="2" s="1"/>
  <c r="G297" i="2" a="1"/>
  <c r="G297" i="2" s="1"/>
  <c r="G276" i="2" a="1"/>
  <c r="G276" i="2" s="1"/>
  <c r="AG317" i="2" a="1"/>
  <c r="AG317" i="2" s="1"/>
  <c r="AG296" i="2" a="1"/>
  <c r="AG296" i="2" s="1"/>
  <c r="AG275" i="2" a="1"/>
  <c r="AG275" i="2" s="1"/>
  <c r="Y317" i="2" a="1"/>
  <c r="Y317" i="2" s="1"/>
  <c r="Y296" i="2" a="1"/>
  <c r="Y296" i="2" s="1"/>
  <c r="Y275" i="2" a="1"/>
  <c r="Y275" i="2" s="1"/>
  <c r="Q317" i="2" a="1"/>
  <c r="Q317" i="2" s="1"/>
  <c r="Q296" i="2" a="1"/>
  <c r="Q296" i="2" s="1"/>
  <c r="Q275" i="2" a="1"/>
  <c r="Q275" i="2" s="1"/>
  <c r="I317" i="2" a="1"/>
  <c r="I317" i="2" s="1"/>
  <c r="I296" i="2" a="1"/>
  <c r="I296" i="2" s="1"/>
  <c r="I275" i="2" a="1"/>
  <c r="I275" i="2" s="1"/>
  <c r="AI274" i="2" a="1"/>
  <c r="AI274" i="2" s="1"/>
  <c r="AI295" i="2" a="1"/>
  <c r="AI295" i="2" s="1"/>
  <c r="AI316" i="2" a="1"/>
  <c r="AI316" i="2" s="1"/>
  <c r="AA274" i="2" a="1"/>
  <c r="AA274" i="2" s="1"/>
  <c r="AA316" i="2" a="1"/>
  <c r="AA316" i="2" s="1"/>
  <c r="AA295" i="2" a="1"/>
  <c r="AA295" i="2" s="1"/>
  <c r="O316" i="2" a="1"/>
  <c r="O316" i="2" s="1"/>
  <c r="O274" i="2" a="1"/>
  <c r="O274" i="2" s="1"/>
  <c r="O295" i="2" a="1"/>
  <c r="O295" i="2" s="1"/>
  <c r="AG313" i="2" a="1"/>
  <c r="AG313" i="2" s="1"/>
  <c r="AG271" i="2" a="1"/>
  <c r="AG271" i="2" s="1"/>
  <c r="AG292" i="2" a="1"/>
  <c r="AG292" i="2" s="1"/>
  <c r="Y313" i="2" a="1"/>
  <c r="Y313" i="2" s="1"/>
  <c r="Y271" i="2" a="1"/>
  <c r="Y271" i="2" s="1"/>
  <c r="Y292" i="2" a="1"/>
  <c r="Y292" i="2" s="1"/>
  <c r="AE270" i="2" a="1"/>
  <c r="AE270" i="2" s="1"/>
  <c r="AE291" i="2" a="1"/>
  <c r="AE291" i="2" s="1"/>
  <c r="AE312" i="2" a="1"/>
  <c r="AE312" i="2" s="1"/>
  <c r="W270" i="2" a="1"/>
  <c r="W270" i="2" s="1"/>
  <c r="W312" i="2" a="1"/>
  <c r="W312" i="2" s="1"/>
  <c r="W291" i="2" a="1"/>
  <c r="W291" i="2" s="1"/>
  <c r="O270" i="2" a="1"/>
  <c r="O270" i="2" s="1"/>
  <c r="O291" i="2" a="1"/>
  <c r="O291" i="2" s="1"/>
  <c r="O312" i="2" a="1"/>
  <c r="O312" i="2" s="1"/>
  <c r="AH311" i="2" a="1"/>
  <c r="AH311" i="2" s="1"/>
  <c r="AH269" i="2" a="1"/>
  <c r="AH269" i="2" s="1"/>
  <c r="AH290" i="2" a="1"/>
  <c r="AH290" i="2" s="1"/>
  <c r="AD311" i="2" a="1"/>
  <c r="AD311" i="2" s="1"/>
  <c r="AD269" i="2" a="1"/>
  <c r="AD269" i="2" s="1"/>
  <c r="AD290" i="2" a="1"/>
  <c r="AD290" i="2" s="1"/>
  <c r="Z311" i="2" a="1"/>
  <c r="Z311" i="2" s="1"/>
  <c r="Z290" i="2" a="1"/>
  <c r="Z290" i="2" s="1"/>
  <c r="Z269" i="2" a="1"/>
  <c r="Z269" i="2" s="1"/>
  <c r="V311" i="2" a="1"/>
  <c r="V311" i="2" s="1"/>
  <c r="V269" i="2" a="1"/>
  <c r="V269" i="2" s="1"/>
  <c r="V290" i="2" a="1"/>
  <c r="V290" i="2" s="1"/>
  <c r="R311" i="2" a="1"/>
  <c r="R311" i="2" s="1"/>
  <c r="R290" i="2" a="1"/>
  <c r="R290" i="2" s="1"/>
  <c r="R269" i="2" a="1"/>
  <c r="R269" i="2" s="1"/>
  <c r="N311" i="2" a="1"/>
  <c r="N311" i="2" s="1"/>
  <c r="N269" i="2" a="1"/>
  <c r="N269" i="2" s="1"/>
  <c r="N290" i="2" a="1"/>
  <c r="N290" i="2" s="1"/>
  <c r="AH322" i="2" a="1"/>
  <c r="AH322" i="2" s="1"/>
  <c r="AH301" i="2" a="1"/>
  <c r="AH301" i="2" s="1"/>
  <c r="AH280" i="2" a="1"/>
  <c r="AH280" i="2" s="1"/>
  <c r="AD322" i="2" a="1"/>
  <c r="AD322" i="2" s="1"/>
  <c r="AD301" i="2" a="1"/>
  <c r="AD301" i="2" s="1"/>
  <c r="AD280" i="2" a="1"/>
  <c r="AD280" i="2" s="1"/>
  <c r="Z322" i="2" a="1"/>
  <c r="Z322" i="2" s="1"/>
  <c r="Z301" i="2" a="1"/>
  <c r="Z301" i="2" s="1"/>
  <c r="Z280" i="2" a="1"/>
  <c r="Z280" i="2" s="1"/>
  <c r="V322" i="2" a="1"/>
  <c r="V322" i="2" s="1"/>
  <c r="V280" i="2" a="1"/>
  <c r="V280" i="2" s="1"/>
  <c r="V301" i="2" a="1"/>
  <c r="V301" i="2" s="1"/>
  <c r="R322" i="2" a="1"/>
  <c r="R322" i="2" s="1"/>
  <c r="R301" i="2" a="1"/>
  <c r="R301" i="2" s="1"/>
  <c r="R280" i="2" a="1"/>
  <c r="R280" i="2" s="1"/>
  <c r="N322" i="2" a="1"/>
  <c r="N322" i="2" s="1"/>
  <c r="N301" i="2" a="1"/>
  <c r="N301" i="2" s="1"/>
  <c r="N280" i="2" a="1"/>
  <c r="N280" i="2" s="1"/>
  <c r="J322" i="2" a="1"/>
  <c r="J322" i="2" s="1"/>
  <c r="J301" i="2" a="1"/>
  <c r="J301" i="2" s="1"/>
  <c r="J280" i="2" a="1"/>
  <c r="J280" i="2" s="1"/>
  <c r="F301" i="2" a="1"/>
  <c r="F301" i="2" s="1"/>
  <c r="F280" i="2" a="1"/>
  <c r="F280" i="2" s="1"/>
  <c r="F322" i="2" a="1"/>
  <c r="F322" i="2" s="1"/>
  <c r="AJ321" i="2" a="1"/>
  <c r="AJ321" i="2" s="1"/>
  <c r="AJ300" i="2" a="1"/>
  <c r="AJ300" i="2" s="1"/>
  <c r="AJ279" i="2" a="1"/>
  <c r="AJ279" i="2" s="1"/>
  <c r="AF300" i="2" a="1"/>
  <c r="AF300" i="2" s="1"/>
  <c r="AF321" i="2" a="1"/>
  <c r="AF321" i="2" s="1"/>
  <c r="AF279" i="2" a="1"/>
  <c r="AF279" i="2" s="1"/>
  <c r="AB300" i="2" a="1"/>
  <c r="AB300" i="2" s="1"/>
  <c r="AB279" i="2" a="1"/>
  <c r="AB279" i="2" s="1"/>
  <c r="AB321" i="2" a="1"/>
  <c r="AB321" i="2" s="1"/>
  <c r="X321" i="2" a="1"/>
  <c r="X321" i="2" s="1"/>
  <c r="X300" i="2" a="1"/>
  <c r="X300" i="2" s="1"/>
  <c r="X279" i="2" a="1"/>
  <c r="X279" i="2" s="1"/>
  <c r="T300" i="2" a="1"/>
  <c r="T300" i="2" s="1"/>
  <c r="T321" i="2" a="1"/>
  <c r="T321" i="2" s="1"/>
  <c r="T279" i="2" a="1"/>
  <c r="T279" i="2" s="1"/>
  <c r="P321" i="2" a="1"/>
  <c r="P321" i="2" s="1"/>
  <c r="P300" i="2" a="1"/>
  <c r="P300" i="2" s="1"/>
  <c r="P279" i="2" a="1"/>
  <c r="P279" i="2" s="1"/>
  <c r="L321" i="2" a="1"/>
  <c r="L321" i="2" s="1"/>
  <c r="L300" i="2" a="1"/>
  <c r="L300" i="2" s="1"/>
  <c r="L279" i="2" a="1"/>
  <c r="L279" i="2" s="1"/>
  <c r="H321" i="2" a="1"/>
  <c r="H321" i="2" s="1"/>
  <c r="H300" i="2" a="1"/>
  <c r="H300" i="2" s="1"/>
  <c r="H279" i="2" a="1"/>
  <c r="H279" i="2" s="1"/>
  <c r="D321" i="2" a="1"/>
  <c r="D321" i="2" s="1"/>
  <c r="D300" i="2" a="1"/>
  <c r="D300" i="2" s="1"/>
  <c r="D279" i="2" a="1"/>
  <c r="D279" i="2" s="1"/>
  <c r="AH320" i="2" a="1"/>
  <c r="AH320" i="2" s="1"/>
  <c r="AH299" i="2" a="1"/>
  <c r="AH299" i="2" s="1"/>
  <c r="AH278" i="2" a="1"/>
  <c r="AH278" i="2" s="1"/>
  <c r="AD320" i="2" a="1"/>
  <c r="AD320" i="2" s="1"/>
  <c r="AD299" i="2" a="1"/>
  <c r="AD299" i="2" s="1"/>
  <c r="AD278" i="2" a="1"/>
  <c r="AD278" i="2" s="1"/>
  <c r="Z320" i="2" a="1"/>
  <c r="Z320" i="2" s="1"/>
  <c r="Z299" i="2" a="1"/>
  <c r="Z299" i="2" s="1"/>
  <c r="Z278" i="2" a="1"/>
  <c r="Z278" i="2" s="1"/>
  <c r="V320" i="2" a="1"/>
  <c r="V320" i="2" s="1"/>
  <c r="V299" i="2" a="1"/>
  <c r="V299" i="2" s="1"/>
  <c r="V278" i="2" a="1"/>
  <c r="V278" i="2" s="1"/>
  <c r="R320" i="2" a="1"/>
  <c r="R320" i="2" s="1"/>
  <c r="R299" i="2" a="1"/>
  <c r="R299" i="2" s="1"/>
  <c r="R278" i="2" a="1"/>
  <c r="R278" i="2" s="1"/>
  <c r="N320" i="2" a="1"/>
  <c r="N320" i="2" s="1"/>
  <c r="N299" i="2" a="1"/>
  <c r="N299" i="2" s="1"/>
  <c r="N278" i="2" a="1"/>
  <c r="N278" i="2" s="1"/>
  <c r="J320" i="2" a="1"/>
  <c r="J320" i="2" s="1"/>
  <c r="J299" i="2" a="1"/>
  <c r="J299" i="2" s="1"/>
  <c r="J278" i="2" a="1"/>
  <c r="J278" i="2" s="1"/>
  <c r="F320" i="2" a="1"/>
  <c r="F320" i="2" s="1"/>
  <c r="F299" i="2" a="1"/>
  <c r="F299" i="2" s="1"/>
  <c r="F278" i="2" a="1"/>
  <c r="F278" i="2" s="1"/>
  <c r="AJ319" i="2" a="1"/>
  <c r="AJ319" i="2" s="1"/>
  <c r="AJ277" i="2" a="1"/>
  <c r="AJ277" i="2" s="1"/>
  <c r="AJ298" i="2" a="1"/>
  <c r="AJ298" i="2" s="1"/>
  <c r="AF277" i="2" a="1"/>
  <c r="AF277" i="2" s="1"/>
  <c r="AF319" i="2" a="1"/>
  <c r="AF319" i="2" s="1"/>
  <c r="AF298" i="2" a="1"/>
  <c r="AF298" i="2" s="1"/>
  <c r="AB319" i="2" a="1"/>
  <c r="AB319" i="2" s="1"/>
  <c r="AB277" i="2" a="1"/>
  <c r="AB277" i="2" s="1"/>
  <c r="AB298" i="2" a="1"/>
  <c r="AB298" i="2" s="1"/>
  <c r="X277" i="2" a="1"/>
  <c r="X277" i="2" s="1"/>
  <c r="X319" i="2" a="1"/>
  <c r="X319" i="2" s="1"/>
  <c r="X298" i="2" a="1"/>
  <c r="X298" i="2" s="1"/>
  <c r="T319" i="2" a="1"/>
  <c r="T319" i="2" s="1"/>
  <c r="T277" i="2" a="1"/>
  <c r="T277" i="2" s="1"/>
  <c r="T298" i="2" a="1"/>
  <c r="T298" i="2" s="1"/>
  <c r="P277" i="2" a="1"/>
  <c r="P277" i="2" s="1"/>
  <c r="P319" i="2" a="1"/>
  <c r="P319" i="2" s="1"/>
  <c r="P298" i="2" a="1"/>
  <c r="P298" i="2" s="1"/>
  <c r="L319" i="2" a="1"/>
  <c r="L319" i="2" s="1"/>
  <c r="L277" i="2" a="1"/>
  <c r="L277" i="2" s="1"/>
  <c r="L298" i="2" a="1"/>
  <c r="L298" i="2" s="1"/>
  <c r="H277" i="2" a="1"/>
  <c r="H277" i="2" s="1"/>
  <c r="H319" i="2" a="1"/>
  <c r="H319" i="2" s="1"/>
  <c r="H298" i="2" a="1"/>
  <c r="H298" i="2" s="1"/>
  <c r="D319" i="2" a="1"/>
  <c r="D319" i="2" s="1"/>
  <c r="D277" i="2" a="1"/>
  <c r="D277" i="2" s="1"/>
  <c r="D298" i="2" a="1"/>
  <c r="D298" i="2" s="1"/>
  <c r="AH318" i="2" a="1"/>
  <c r="AH318" i="2" s="1"/>
  <c r="AH276" i="2" a="1"/>
  <c r="AH276" i="2" s="1"/>
  <c r="AH297" i="2" a="1"/>
  <c r="AH297" i="2" s="1"/>
  <c r="AD276" i="2" a="1"/>
  <c r="AD276" i="2" s="1"/>
  <c r="AD318" i="2" a="1"/>
  <c r="AD318" i="2" s="1"/>
  <c r="AD297" i="2" a="1"/>
  <c r="AD297" i="2" s="1"/>
  <c r="Z318" i="2" a="1"/>
  <c r="Z318" i="2" s="1"/>
  <c r="Z276" i="2" a="1"/>
  <c r="Z276" i="2" s="1"/>
  <c r="Z297" i="2" a="1"/>
  <c r="Z297" i="2" s="1"/>
  <c r="V318" i="2" a="1"/>
  <c r="V318" i="2" s="1"/>
  <c r="V276" i="2" a="1"/>
  <c r="V276" i="2" s="1"/>
  <c r="V297" i="2" a="1"/>
  <c r="V297" i="2" s="1"/>
  <c r="R318" i="2" a="1"/>
  <c r="R318" i="2" s="1"/>
  <c r="R276" i="2" a="1"/>
  <c r="R276" i="2" s="1"/>
  <c r="R297" i="2" a="1"/>
  <c r="R297" i="2" s="1"/>
  <c r="N276" i="2" a="1"/>
  <c r="N276" i="2" s="1"/>
  <c r="N297" i="2" a="1"/>
  <c r="N297" i="2" s="1"/>
  <c r="N318" i="2" a="1"/>
  <c r="N318" i="2" s="1"/>
  <c r="J318" i="2" a="1"/>
  <c r="J318" i="2" s="1"/>
  <c r="J276" i="2" a="1"/>
  <c r="J276" i="2" s="1"/>
  <c r="J297" i="2" a="1"/>
  <c r="J297" i="2" s="1"/>
  <c r="F318" i="2" a="1"/>
  <c r="F318" i="2" s="1"/>
  <c r="F276" i="2" a="1"/>
  <c r="F276" i="2" s="1"/>
  <c r="F297" i="2" a="1"/>
  <c r="F297" i="2" s="1"/>
  <c r="AJ317" i="2" a="1"/>
  <c r="AJ317" i="2" s="1"/>
  <c r="AJ296" i="2" a="1"/>
  <c r="AJ296" i="2" s="1"/>
  <c r="AJ275" i="2" a="1"/>
  <c r="AJ275" i="2" s="1"/>
  <c r="AF317" i="2" a="1"/>
  <c r="AF317" i="2" s="1"/>
  <c r="AF296" i="2" a="1"/>
  <c r="AF296" i="2" s="1"/>
  <c r="AF275" i="2" a="1"/>
  <c r="AF275" i="2" s="1"/>
  <c r="AB317" i="2" a="1"/>
  <c r="AB317" i="2" s="1"/>
  <c r="AB296" i="2" a="1"/>
  <c r="AB296" i="2" s="1"/>
  <c r="AB275" i="2" a="1"/>
  <c r="AB275" i="2" s="1"/>
  <c r="X317" i="2" a="1"/>
  <c r="X317" i="2" s="1"/>
  <c r="X296" i="2" a="1"/>
  <c r="X296" i="2" s="1"/>
  <c r="X275" i="2" a="1"/>
  <c r="X275" i="2" s="1"/>
  <c r="T317" i="2" a="1"/>
  <c r="T317" i="2" s="1"/>
  <c r="T296" i="2" a="1"/>
  <c r="T296" i="2" s="1"/>
  <c r="T275" i="2" a="1"/>
  <c r="T275" i="2" s="1"/>
  <c r="P317" i="2" a="1"/>
  <c r="P317" i="2" s="1"/>
  <c r="P296" i="2" a="1"/>
  <c r="P296" i="2" s="1"/>
  <c r="P275" i="2" a="1"/>
  <c r="P275" i="2" s="1"/>
  <c r="L317" i="2" a="1"/>
  <c r="L317" i="2" s="1"/>
  <c r="L296" i="2" a="1"/>
  <c r="L296" i="2" s="1"/>
  <c r="L275" i="2" a="1"/>
  <c r="L275" i="2" s="1"/>
  <c r="H317" i="2" a="1"/>
  <c r="H317" i="2" s="1"/>
  <c r="H296" i="2" a="1"/>
  <c r="H296" i="2" s="1"/>
  <c r="H275" i="2" a="1"/>
  <c r="H275" i="2" s="1"/>
  <c r="D317" i="2" a="1"/>
  <c r="D317" i="2" s="1"/>
  <c r="D296" i="2" a="1"/>
  <c r="D296" i="2" s="1"/>
  <c r="D275" i="2" a="1"/>
  <c r="D275" i="2" s="1"/>
  <c r="AH316" i="2" a="1"/>
  <c r="AH316" i="2" s="1"/>
  <c r="AH295" i="2" a="1"/>
  <c r="AH295" i="2" s="1"/>
  <c r="AH274" i="2" a="1"/>
  <c r="AH274" i="2" s="1"/>
  <c r="AD316" i="2" a="1"/>
  <c r="AD316" i="2" s="1"/>
  <c r="AD295" i="2" a="1"/>
  <c r="AD295" i="2" s="1"/>
  <c r="AD274" i="2" a="1"/>
  <c r="AD274" i="2" s="1"/>
  <c r="Z316" i="2" a="1"/>
  <c r="Z316" i="2" s="1"/>
  <c r="Z295" i="2" a="1"/>
  <c r="Z295" i="2" s="1"/>
  <c r="Z274" i="2" a="1"/>
  <c r="Z274" i="2" s="1"/>
  <c r="V316" i="2" a="1"/>
  <c r="V316" i="2" s="1"/>
  <c r="V295" i="2" a="1"/>
  <c r="V295" i="2" s="1"/>
  <c r="V274" i="2" a="1"/>
  <c r="V274" i="2" s="1"/>
  <c r="R316" i="2" a="1"/>
  <c r="R316" i="2" s="1"/>
  <c r="R295" i="2" a="1"/>
  <c r="R295" i="2" s="1"/>
  <c r="R274" i="2" a="1"/>
  <c r="R274" i="2" s="1"/>
  <c r="N316" i="2" a="1"/>
  <c r="N316" i="2" s="1"/>
  <c r="N295" i="2" a="1"/>
  <c r="N295" i="2" s="1"/>
  <c r="N274" i="2" a="1"/>
  <c r="N274" i="2" s="1"/>
  <c r="AJ315" i="2" a="1"/>
  <c r="AJ315" i="2" s="1"/>
  <c r="AJ294" i="2" a="1"/>
  <c r="AJ294" i="2" s="1"/>
  <c r="AJ273" i="2" a="1"/>
  <c r="AJ273" i="2" s="1"/>
  <c r="AF315" i="2" a="1"/>
  <c r="AF315" i="2" s="1"/>
  <c r="AF294" i="2" a="1"/>
  <c r="AF294" i="2" s="1"/>
  <c r="AF273" i="2" a="1"/>
  <c r="AF273" i="2" s="1"/>
  <c r="AB315" i="2" a="1"/>
  <c r="AB315" i="2" s="1"/>
  <c r="AB294" i="2" a="1"/>
  <c r="AB294" i="2" s="1"/>
  <c r="AB273" i="2" a="1"/>
  <c r="AB273" i="2" s="1"/>
  <c r="X315" i="2" a="1"/>
  <c r="X315" i="2" s="1"/>
  <c r="X294" i="2" a="1"/>
  <c r="X294" i="2" s="1"/>
  <c r="X273" i="2" a="1"/>
  <c r="X273" i="2" s="1"/>
  <c r="T315" i="2" a="1"/>
  <c r="T315" i="2" s="1"/>
  <c r="T294" i="2" a="1"/>
  <c r="T294" i="2" s="1"/>
  <c r="T273" i="2" a="1"/>
  <c r="T273" i="2" s="1"/>
  <c r="P315" i="2" a="1"/>
  <c r="P315" i="2" s="1"/>
  <c r="P294" i="2" a="1"/>
  <c r="P294" i="2" s="1"/>
  <c r="P273" i="2" a="1"/>
  <c r="P273" i="2" s="1"/>
  <c r="AH314" i="2" a="1"/>
  <c r="AH314" i="2" s="1"/>
  <c r="AH272" i="2" a="1"/>
  <c r="AH272" i="2" s="1"/>
  <c r="AH293" i="2" a="1"/>
  <c r="AH293" i="2" s="1"/>
  <c r="AD293" i="2" a="1"/>
  <c r="AD293" i="2" s="1"/>
  <c r="AD272" i="2" a="1"/>
  <c r="AD272" i="2" s="1"/>
  <c r="AD314" i="2" a="1"/>
  <c r="AD314" i="2" s="1"/>
  <c r="Z314" i="2" a="1"/>
  <c r="Z314" i="2" s="1"/>
  <c r="Z272" i="2" a="1"/>
  <c r="Z272" i="2" s="1"/>
  <c r="Z293" i="2" a="1"/>
  <c r="Z293" i="2" s="1"/>
  <c r="V314" i="2" a="1"/>
  <c r="V314" i="2" s="1"/>
  <c r="V293" i="2" a="1"/>
  <c r="V293" i="2" s="1"/>
  <c r="V272" i="2" a="1"/>
  <c r="V272" i="2" s="1"/>
  <c r="R314" i="2" a="1"/>
  <c r="R314" i="2" s="1"/>
  <c r="R272" i="2" a="1"/>
  <c r="R272" i="2" s="1"/>
  <c r="R293" i="2" a="1"/>
  <c r="R293" i="2" s="1"/>
  <c r="N293" i="2" a="1"/>
  <c r="N293" i="2" s="1"/>
  <c r="N272" i="2" a="1"/>
  <c r="N272" i="2" s="1"/>
  <c r="N314" i="2" a="1"/>
  <c r="N314" i="2" s="1"/>
  <c r="AJ313" i="2" a="1"/>
  <c r="AJ313" i="2" s="1"/>
  <c r="AJ271" i="2" a="1"/>
  <c r="AJ271" i="2" s="1"/>
  <c r="AJ292" i="2" a="1"/>
  <c r="AJ292" i="2" s="1"/>
  <c r="AF271" i="2" a="1"/>
  <c r="AF271" i="2" s="1"/>
  <c r="AF313" i="2" a="1"/>
  <c r="AF313" i="2" s="1"/>
  <c r="AF292" i="2" a="1"/>
  <c r="AF292" i="2" s="1"/>
  <c r="AB313" i="2" a="1"/>
  <c r="AB313" i="2" s="1"/>
  <c r="AB271" i="2" a="1"/>
  <c r="AB271" i="2" s="1"/>
  <c r="AB292" i="2" a="1"/>
  <c r="AB292" i="2" s="1"/>
  <c r="X271" i="2" a="1"/>
  <c r="X271" i="2" s="1"/>
  <c r="X292" i="2" a="1"/>
  <c r="X292" i="2" s="1"/>
  <c r="X313" i="2" a="1"/>
  <c r="X313" i="2" s="1"/>
  <c r="T313" i="2" a="1"/>
  <c r="T313" i="2" s="1"/>
  <c r="T271" i="2" a="1"/>
  <c r="T271" i="2" s="1"/>
  <c r="T292" i="2" a="1"/>
  <c r="T292" i="2" s="1"/>
  <c r="P271" i="2" a="1"/>
  <c r="P271" i="2" s="1"/>
  <c r="P313" i="2" a="1"/>
  <c r="P313" i="2" s="1"/>
  <c r="P292" i="2" a="1"/>
  <c r="P292" i="2" s="1"/>
  <c r="AH312" i="2" a="1"/>
  <c r="AH312" i="2" s="1"/>
  <c r="AH291" i="2" a="1"/>
  <c r="AH291" i="2" s="1"/>
  <c r="AH270" i="2" a="1"/>
  <c r="AH270" i="2" s="1"/>
  <c r="AD312" i="2" a="1"/>
  <c r="AD312" i="2" s="1"/>
  <c r="AD291" i="2" a="1"/>
  <c r="AD291" i="2" s="1"/>
  <c r="AD270" i="2" a="1"/>
  <c r="AD270" i="2" s="1"/>
  <c r="Z312" i="2" a="1"/>
  <c r="Z312" i="2" s="1"/>
  <c r="Z291" i="2" a="1"/>
  <c r="Z291" i="2" s="1"/>
  <c r="Z270" i="2" a="1"/>
  <c r="Z270" i="2" s="1"/>
  <c r="V312" i="2" a="1"/>
  <c r="V312" i="2" s="1"/>
  <c r="V291" i="2" a="1"/>
  <c r="V291" i="2" s="1"/>
  <c r="V270" i="2" a="1"/>
  <c r="V270" i="2" s="1"/>
  <c r="R312" i="2" a="1"/>
  <c r="R312" i="2" s="1"/>
  <c r="R291" i="2" a="1"/>
  <c r="R291" i="2" s="1"/>
  <c r="R270" i="2" a="1"/>
  <c r="R270" i="2" s="1"/>
  <c r="N312" i="2" a="1"/>
  <c r="N312" i="2" s="1"/>
  <c r="N291" i="2" a="1"/>
  <c r="N291" i="2" s="1"/>
  <c r="N270" i="2" a="1"/>
  <c r="N270" i="2" s="1"/>
  <c r="AG311" i="2" a="1"/>
  <c r="AG311" i="2" s="1"/>
  <c r="AG269" i="2" a="1"/>
  <c r="AG269" i="2" s="1"/>
  <c r="AG290" i="2" a="1"/>
  <c r="AG290" i="2" s="1"/>
  <c r="AC290" i="2" a="1"/>
  <c r="AC290" i="2" s="1"/>
  <c r="AC311" i="2" a="1"/>
  <c r="AC311" i="2" s="1"/>
  <c r="AC269" i="2" a="1"/>
  <c r="AC269" i="2" s="1"/>
  <c r="Y311" i="2" a="1"/>
  <c r="Y311" i="2" s="1"/>
  <c r="Y269" i="2" a="1"/>
  <c r="Y269" i="2" s="1"/>
  <c r="Y290" i="2" a="1"/>
  <c r="Y290" i="2" s="1"/>
  <c r="U290" i="2" a="1"/>
  <c r="U290" i="2" s="1"/>
  <c r="U269" i="2" a="1"/>
  <c r="U269" i="2" s="1"/>
  <c r="U311" i="2" a="1"/>
  <c r="U311" i="2" s="1"/>
  <c r="Q311" i="2" a="1"/>
  <c r="Q311" i="2" s="1"/>
  <c r="Q269" i="2" a="1"/>
  <c r="Q269" i="2" s="1"/>
  <c r="Q290" i="2" a="1"/>
  <c r="Q290" i="2" s="1"/>
  <c r="AG322" i="2" a="1"/>
  <c r="AG322" i="2" s="1"/>
  <c r="AG280" i="2" a="1"/>
  <c r="AG280" i="2" s="1"/>
  <c r="AG301" i="2" a="1"/>
  <c r="AG301" i="2" s="1"/>
  <c r="AC322" i="2" a="1"/>
  <c r="AC322" i="2" s="1"/>
  <c r="AC280" i="2" a="1"/>
  <c r="AC280" i="2" s="1"/>
  <c r="AC301" i="2" a="1"/>
  <c r="AC301" i="2" s="1"/>
  <c r="Y322" i="2" a="1"/>
  <c r="Y322" i="2" s="1"/>
  <c r="Y280" i="2" a="1"/>
  <c r="Y280" i="2" s="1"/>
  <c r="Y301" i="2" a="1"/>
  <c r="Y301" i="2" s="1"/>
  <c r="U322" i="2" a="1"/>
  <c r="U322" i="2" s="1"/>
  <c r="U280" i="2" a="1"/>
  <c r="U280" i="2" s="1"/>
  <c r="U301" i="2" a="1"/>
  <c r="U301" i="2" s="1"/>
  <c r="Q280" i="2" a="1"/>
  <c r="Q280" i="2" s="1"/>
  <c r="Q322" i="2" a="1"/>
  <c r="Q322" i="2" s="1"/>
  <c r="Q301" i="2" a="1"/>
  <c r="Q301" i="2" s="1"/>
  <c r="M322" i="2" a="1"/>
  <c r="M322" i="2" s="1"/>
  <c r="M280" i="2" a="1"/>
  <c r="M280" i="2" s="1"/>
  <c r="M301" i="2" a="1"/>
  <c r="M301" i="2" s="1"/>
  <c r="I322" i="2" a="1"/>
  <c r="I322" i="2" s="1"/>
  <c r="I280" i="2" a="1"/>
  <c r="I280" i="2" s="1"/>
  <c r="I301" i="2" a="1"/>
  <c r="I301" i="2" s="1"/>
  <c r="E322" i="2" a="1"/>
  <c r="E322" i="2" s="1"/>
  <c r="E280" i="2" a="1"/>
  <c r="E280" i="2" s="1"/>
  <c r="E301" i="2" a="1"/>
  <c r="E301" i="2" s="1"/>
  <c r="AI321" i="2" a="1"/>
  <c r="AI321" i="2" s="1"/>
  <c r="AI300" i="2" a="1"/>
  <c r="AI300" i="2" s="1"/>
  <c r="AI279" i="2" a="1"/>
  <c r="AI279" i="2" s="1"/>
  <c r="AE321" i="2" a="1"/>
  <c r="AE321" i="2" s="1"/>
  <c r="AE279" i="2" a="1"/>
  <c r="AE279" i="2" s="1"/>
  <c r="AE300" i="2" a="1"/>
  <c r="AE300" i="2" s="1"/>
  <c r="AA321" i="2" a="1"/>
  <c r="AA321" i="2" s="1"/>
  <c r="AA300" i="2" a="1"/>
  <c r="AA300" i="2" s="1"/>
  <c r="AA279" i="2" a="1"/>
  <c r="AA279" i="2" s="1"/>
  <c r="W321" i="2" a="1"/>
  <c r="W321" i="2" s="1"/>
  <c r="W279" i="2" a="1"/>
  <c r="W279" i="2" s="1"/>
  <c r="W300" i="2" a="1"/>
  <c r="W300" i="2" s="1"/>
  <c r="S321" i="2" a="1"/>
  <c r="S321" i="2" s="1"/>
  <c r="S300" i="2" a="1"/>
  <c r="S300" i="2" s="1"/>
  <c r="S279" i="2" a="1"/>
  <c r="S279" i="2" s="1"/>
  <c r="O321" i="2" a="1"/>
  <c r="O321" i="2" s="1"/>
  <c r="O279" i="2" a="1"/>
  <c r="O279" i="2" s="1"/>
  <c r="O300" i="2" a="1"/>
  <c r="O300" i="2" s="1"/>
  <c r="K279" i="2" a="1"/>
  <c r="K279" i="2" s="1"/>
  <c r="K300" i="2" a="1"/>
  <c r="K300" i="2" s="1"/>
  <c r="K321" i="2" a="1"/>
  <c r="K321" i="2" s="1"/>
  <c r="G321" i="2" a="1"/>
  <c r="G321" i="2" s="1"/>
  <c r="G279" i="2" a="1"/>
  <c r="G279" i="2" s="1"/>
  <c r="G300" i="2" a="1"/>
  <c r="G300" i="2" s="1"/>
  <c r="C321" i="2" a="1"/>
  <c r="C321" i="2" s="1"/>
  <c r="C279" i="2" a="1"/>
  <c r="C279" i="2" s="1"/>
  <c r="C300" i="2" a="1"/>
  <c r="C300" i="2" s="1"/>
  <c r="AG320" i="2" a="1"/>
  <c r="AG320" i="2" s="1"/>
  <c r="AG299" i="2" a="1"/>
  <c r="AG299" i="2" s="1"/>
  <c r="AG278" i="2" a="1"/>
  <c r="AG278" i="2" s="1"/>
  <c r="AC320" i="2" a="1"/>
  <c r="AC320" i="2" s="1"/>
  <c r="AC299" i="2" a="1"/>
  <c r="AC299" i="2" s="1"/>
  <c r="AC278" i="2" a="1"/>
  <c r="AC278" i="2" s="1"/>
  <c r="Y320" i="2" a="1"/>
  <c r="Y320" i="2" s="1"/>
  <c r="Y299" i="2" a="1"/>
  <c r="Y299" i="2" s="1"/>
  <c r="Y278" i="2" a="1"/>
  <c r="Y278" i="2" s="1"/>
  <c r="U320" i="2" a="1"/>
  <c r="U320" i="2" s="1"/>
  <c r="U299" i="2" a="1"/>
  <c r="U299" i="2" s="1"/>
  <c r="U278" i="2" a="1"/>
  <c r="U278" i="2" s="1"/>
  <c r="Q320" i="2" a="1"/>
  <c r="Q320" i="2" s="1"/>
  <c r="Q299" i="2" a="1"/>
  <c r="Q299" i="2" s="1"/>
  <c r="Q278" i="2" a="1"/>
  <c r="Q278" i="2" s="1"/>
  <c r="M320" i="2" a="1"/>
  <c r="M320" i="2" s="1"/>
  <c r="M299" i="2" a="1"/>
  <c r="M299" i="2" s="1"/>
  <c r="M278" i="2" a="1"/>
  <c r="M278" i="2" s="1"/>
  <c r="I320" i="2" a="1"/>
  <c r="I320" i="2" s="1"/>
  <c r="I299" i="2" a="1"/>
  <c r="I299" i="2" s="1"/>
  <c r="I278" i="2" a="1"/>
  <c r="I278" i="2" s="1"/>
  <c r="E320" i="2" a="1"/>
  <c r="E320" i="2" s="1"/>
  <c r="E299" i="2" a="1"/>
  <c r="E299" i="2" s="1"/>
  <c r="E278" i="2" a="1"/>
  <c r="E278" i="2" s="1"/>
  <c r="AI319" i="2" a="1"/>
  <c r="AI319" i="2" s="1"/>
  <c r="AI298" i="2" a="1"/>
  <c r="AI298" i="2" s="1"/>
  <c r="AI277" i="2" a="1"/>
  <c r="AI277" i="2" s="1"/>
  <c r="AE319" i="2" a="1"/>
  <c r="AE319" i="2" s="1"/>
  <c r="AE298" i="2" a="1"/>
  <c r="AE298" i="2" s="1"/>
  <c r="AE277" i="2" a="1"/>
  <c r="AE277" i="2" s="1"/>
  <c r="AA319" i="2" a="1"/>
  <c r="AA319" i="2" s="1"/>
  <c r="AA298" i="2" a="1"/>
  <c r="AA298" i="2" s="1"/>
  <c r="AA277" i="2" a="1"/>
  <c r="AA277" i="2" s="1"/>
  <c r="W319" i="2" a="1"/>
  <c r="W319" i="2" s="1"/>
  <c r="W298" i="2" a="1"/>
  <c r="W298" i="2" s="1"/>
  <c r="W277" i="2" a="1"/>
  <c r="W277" i="2" s="1"/>
  <c r="S319" i="2" a="1"/>
  <c r="S319" i="2" s="1"/>
  <c r="S298" i="2" a="1"/>
  <c r="S298" i="2" s="1"/>
  <c r="S277" i="2" a="1"/>
  <c r="S277" i="2" s="1"/>
  <c r="O319" i="2" a="1"/>
  <c r="O319" i="2" s="1"/>
  <c r="O298" i="2" a="1"/>
  <c r="O298" i="2" s="1"/>
  <c r="O277" i="2" a="1"/>
  <c r="O277" i="2" s="1"/>
  <c r="K319" i="2" a="1"/>
  <c r="K319" i="2" s="1"/>
  <c r="K298" i="2" a="1"/>
  <c r="K298" i="2" s="1"/>
  <c r="K277" i="2" a="1"/>
  <c r="K277" i="2" s="1"/>
  <c r="G319" i="2" a="1"/>
  <c r="G319" i="2" s="1"/>
  <c r="G298" i="2" a="1"/>
  <c r="G298" i="2" s="1"/>
  <c r="G277" i="2" a="1"/>
  <c r="G277" i="2" s="1"/>
  <c r="C298" i="2" a="1"/>
  <c r="C298" i="2" s="1"/>
  <c r="C319" i="2" a="1"/>
  <c r="C319" i="2" s="1"/>
  <c r="C277" i="2" a="1"/>
  <c r="C277" i="2" s="1"/>
  <c r="AG276" i="2" a="1"/>
  <c r="AG276" i="2" s="1"/>
  <c r="AG318" i="2" a="1"/>
  <c r="AG318" i="2" s="1"/>
  <c r="AG297" i="2" a="1"/>
  <c r="AG297" i="2" s="1"/>
  <c r="AC318" i="2" a="1"/>
  <c r="AC318" i="2" s="1"/>
  <c r="AC276" i="2" a="1"/>
  <c r="AC276" i="2" s="1"/>
  <c r="AC297" i="2" a="1"/>
  <c r="AC297" i="2" s="1"/>
  <c r="Y276" i="2" a="1"/>
  <c r="Y276" i="2" s="1"/>
  <c r="Y318" i="2" a="1"/>
  <c r="Y318" i="2" s="1"/>
  <c r="Y297" i="2" a="1"/>
  <c r="Y297" i="2" s="1"/>
  <c r="U318" i="2" a="1"/>
  <c r="U318" i="2" s="1"/>
  <c r="U276" i="2" a="1"/>
  <c r="U276" i="2" s="1"/>
  <c r="U297" i="2" a="1"/>
  <c r="U297" i="2" s="1"/>
  <c r="Q276" i="2" a="1"/>
  <c r="Q276" i="2" s="1"/>
  <c r="Q318" i="2" a="1"/>
  <c r="Q318" i="2" s="1"/>
  <c r="Q297" i="2" a="1"/>
  <c r="Q297" i="2" s="1"/>
  <c r="M318" i="2" a="1"/>
  <c r="M318" i="2" s="1"/>
  <c r="M276" i="2" a="1"/>
  <c r="M276" i="2" s="1"/>
  <c r="M297" i="2" a="1"/>
  <c r="M297" i="2" s="1"/>
  <c r="I276" i="2" a="1"/>
  <c r="I276" i="2" s="1"/>
  <c r="I318" i="2" a="1"/>
  <c r="I318" i="2" s="1"/>
  <c r="I297" i="2" a="1"/>
  <c r="I297" i="2" s="1"/>
  <c r="E318" i="2" a="1"/>
  <c r="E318" i="2" s="1"/>
  <c r="E276" i="2" a="1"/>
  <c r="E276" i="2" s="1"/>
  <c r="E297" i="2" a="1"/>
  <c r="E297" i="2" s="1"/>
  <c r="AI317" i="2" a="1"/>
  <c r="AI317" i="2" s="1"/>
  <c r="AI275" i="2" a="1"/>
  <c r="AI275" i="2" s="1"/>
  <c r="AI296" i="2" a="1"/>
  <c r="AI296" i="2" s="1"/>
  <c r="AE275" i="2" a="1"/>
  <c r="AE275" i="2" s="1"/>
  <c r="AE317" i="2" a="1"/>
  <c r="AE317" i="2" s="1"/>
  <c r="AE296" i="2" a="1"/>
  <c r="AE296" i="2" s="1"/>
  <c r="AA317" i="2" a="1"/>
  <c r="AA317" i="2" s="1"/>
  <c r="AA275" i="2" a="1"/>
  <c r="AA275" i="2" s="1"/>
  <c r="AA296" i="2" a="1"/>
  <c r="AA296" i="2" s="1"/>
  <c r="W317" i="2" a="1"/>
  <c r="W317" i="2" s="1"/>
  <c r="W275" i="2" a="1"/>
  <c r="W275" i="2" s="1"/>
  <c r="W296" i="2" a="1"/>
  <c r="W296" i="2" s="1"/>
  <c r="S317" i="2" a="1"/>
  <c r="S317" i="2" s="1"/>
  <c r="S275" i="2" a="1"/>
  <c r="S275" i="2" s="1"/>
  <c r="S296" i="2" a="1"/>
  <c r="S296" i="2" s="1"/>
  <c r="O296" i="2" a="1"/>
  <c r="O296" i="2" s="1"/>
  <c r="O275" i="2" a="1"/>
  <c r="O275" i="2" s="1"/>
  <c r="O317" i="2" a="1"/>
  <c r="O317" i="2" s="1"/>
  <c r="K317" i="2" a="1"/>
  <c r="K317" i="2" s="1"/>
  <c r="K275" i="2" a="1"/>
  <c r="K275" i="2" s="1"/>
  <c r="K296" i="2" a="1"/>
  <c r="K296" i="2" s="1"/>
  <c r="G317" i="2" a="1"/>
  <c r="G317" i="2" s="1"/>
  <c r="G296" i="2" a="1"/>
  <c r="G296" i="2" s="1"/>
  <c r="G275" i="2" a="1"/>
  <c r="G275" i="2" s="1"/>
  <c r="C317" i="2" a="1"/>
  <c r="C317" i="2" s="1"/>
  <c r="C296" i="2" a="1"/>
  <c r="C296" i="2" s="1"/>
  <c r="C275" i="2" a="1"/>
  <c r="C275" i="2" s="1"/>
  <c r="AG316" i="2" a="1"/>
  <c r="AG316" i="2" s="1"/>
  <c r="AG295" i="2" a="1"/>
  <c r="AG295" i="2" s="1"/>
  <c r="AG274" i="2" a="1"/>
  <c r="AG274" i="2" s="1"/>
  <c r="AC316" i="2" a="1"/>
  <c r="AC316" i="2" s="1"/>
  <c r="AC295" i="2" a="1"/>
  <c r="AC295" i="2" s="1"/>
  <c r="AC274" i="2" a="1"/>
  <c r="AC274" i="2" s="1"/>
  <c r="Y316" i="2" a="1"/>
  <c r="Y316" i="2" s="1"/>
  <c r="Y295" i="2" a="1"/>
  <c r="Y295" i="2" s="1"/>
  <c r="Y274" i="2" a="1"/>
  <c r="Y274" i="2" s="1"/>
  <c r="U316" i="2" a="1"/>
  <c r="U316" i="2" s="1"/>
  <c r="U295" i="2" a="1"/>
  <c r="U295" i="2" s="1"/>
  <c r="U274" i="2" a="1"/>
  <c r="U274" i="2" s="1"/>
  <c r="Q316" i="2" a="1"/>
  <c r="Q316" i="2" s="1"/>
  <c r="Q295" i="2" a="1"/>
  <c r="Q295" i="2" s="1"/>
  <c r="Q274" i="2" a="1"/>
  <c r="Q274" i="2" s="1"/>
  <c r="AI315" i="2" a="1"/>
  <c r="AI315" i="2" s="1"/>
  <c r="AI273" i="2" a="1"/>
  <c r="AI273" i="2" s="1"/>
  <c r="AI294" i="2" a="1"/>
  <c r="AI294" i="2" s="1"/>
  <c r="AE315" i="2" a="1"/>
  <c r="AE315" i="2" s="1"/>
  <c r="AE294" i="2" a="1"/>
  <c r="AE294" i="2" s="1"/>
  <c r="AE273" i="2" a="1"/>
  <c r="AE273" i="2" s="1"/>
  <c r="AA315" i="2" a="1"/>
  <c r="AA315" i="2" s="1"/>
  <c r="AA273" i="2" a="1"/>
  <c r="AA273" i="2" s="1"/>
  <c r="AA294" i="2" a="1"/>
  <c r="AA294" i="2" s="1"/>
  <c r="W294" i="2" a="1"/>
  <c r="W294" i="2" s="1"/>
  <c r="W273" i="2" a="1"/>
  <c r="W273" i="2" s="1"/>
  <c r="W315" i="2" a="1"/>
  <c r="W315" i="2" s="1"/>
  <c r="S315" i="2" a="1"/>
  <c r="S315" i="2" s="1"/>
  <c r="S273" i="2" a="1"/>
  <c r="S273" i="2" s="1"/>
  <c r="S294" i="2" a="1"/>
  <c r="S294" i="2" s="1"/>
  <c r="O315" i="2" a="1"/>
  <c r="O315" i="2" s="1"/>
  <c r="O294" i="2" a="1"/>
  <c r="O294" i="2" s="1"/>
  <c r="O273" i="2" a="1"/>
  <c r="O273" i="2" s="1"/>
  <c r="AG272" i="2" a="1"/>
  <c r="AG272" i="2" s="1"/>
  <c r="AG293" i="2" a="1"/>
  <c r="AG293" i="2" s="1"/>
  <c r="AG314" i="2" a="1"/>
  <c r="AG314" i="2" s="1"/>
  <c r="AC314" i="2" a="1"/>
  <c r="AC314" i="2" s="1"/>
  <c r="AC272" i="2" a="1"/>
  <c r="AC272" i="2" s="1"/>
  <c r="AC293" i="2" a="1"/>
  <c r="AC293" i="2" s="1"/>
  <c r="Y272" i="2" a="1"/>
  <c r="Y272" i="2" s="1"/>
  <c r="Y314" i="2" a="1"/>
  <c r="Y314" i="2" s="1"/>
  <c r="Y293" i="2" a="1"/>
  <c r="Y293" i="2" s="1"/>
  <c r="U314" i="2" a="1"/>
  <c r="U314" i="2" s="1"/>
  <c r="U272" i="2" a="1"/>
  <c r="U272" i="2" s="1"/>
  <c r="U293" i="2" a="1"/>
  <c r="U293" i="2" s="1"/>
  <c r="Q272" i="2" a="1"/>
  <c r="Q272" i="2" s="1"/>
  <c r="Q293" i="2" a="1"/>
  <c r="Q293" i="2" s="1"/>
  <c r="Q314" i="2" a="1"/>
  <c r="Q314" i="2" s="1"/>
  <c r="AI313" i="2" a="1"/>
  <c r="AI313" i="2" s="1"/>
  <c r="AI292" i="2" a="1"/>
  <c r="AI292" i="2" s="1"/>
  <c r="AI271" i="2" a="1"/>
  <c r="AI271" i="2" s="1"/>
  <c r="AE313" i="2" a="1"/>
  <c r="AE313" i="2" s="1"/>
  <c r="AE292" i="2" a="1"/>
  <c r="AE292" i="2" s="1"/>
  <c r="AE271" i="2" a="1"/>
  <c r="AE271" i="2" s="1"/>
  <c r="AA313" i="2" a="1"/>
  <c r="AA313" i="2" s="1"/>
  <c r="AA292" i="2" a="1"/>
  <c r="AA292" i="2" s="1"/>
  <c r="AA271" i="2" a="1"/>
  <c r="AA271" i="2" s="1"/>
  <c r="W313" i="2" a="1"/>
  <c r="W313" i="2" s="1"/>
  <c r="W292" i="2" a="1"/>
  <c r="W292" i="2" s="1"/>
  <c r="W271" i="2" a="1"/>
  <c r="W271" i="2" s="1"/>
  <c r="S313" i="2" a="1"/>
  <c r="S313" i="2" s="1"/>
  <c r="S292" i="2" a="1"/>
  <c r="S292" i="2" s="1"/>
  <c r="S271" i="2" a="1"/>
  <c r="S271" i="2" s="1"/>
  <c r="O313" i="2" a="1"/>
  <c r="O313" i="2" s="1"/>
  <c r="O292" i="2" a="1"/>
  <c r="O292" i="2" s="1"/>
  <c r="O271" i="2" a="1"/>
  <c r="O271" i="2" s="1"/>
  <c r="AG312" i="2" a="1"/>
  <c r="AG312" i="2" s="1"/>
  <c r="AG291" i="2" a="1"/>
  <c r="AG291" i="2" s="1"/>
  <c r="AG270" i="2" a="1"/>
  <c r="AG270" i="2" s="1"/>
  <c r="AC312" i="2" a="1"/>
  <c r="AC312" i="2" s="1"/>
  <c r="AC291" i="2" a="1"/>
  <c r="AC291" i="2" s="1"/>
  <c r="AC270" i="2" a="1"/>
  <c r="AC270" i="2" s="1"/>
  <c r="Y312" i="2" a="1"/>
  <c r="Y312" i="2" s="1"/>
  <c r="Y291" i="2" a="1"/>
  <c r="Y291" i="2" s="1"/>
  <c r="Y270" i="2" a="1"/>
  <c r="Y270" i="2" s="1"/>
  <c r="U312" i="2" a="1"/>
  <c r="U312" i="2" s="1"/>
  <c r="U291" i="2" a="1"/>
  <c r="U291" i="2" s="1"/>
  <c r="U270" i="2" a="1"/>
  <c r="U270" i="2" s="1"/>
  <c r="Q312" i="2" a="1"/>
  <c r="Q312" i="2" s="1"/>
  <c r="Q291" i="2" a="1"/>
  <c r="Q291" i="2" s="1"/>
  <c r="Q270" i="2" a="1"/>
  <c r="Q270" i="2" s="1"/>
  <c r="M311" i="2" a="1"/>
  <c r="M311" i="2" s="1"/>
  <c r="M269" i="2" a="1"/>
  <c r="M269" i="2" s="1"/>
  <c r="M290" i="2" a="1"/>
  <c r="M290" i="2" s="1"/>
  <c r="D290" i="2" a="1"/>
  <c r="D290" i="2" s="1"/>
  <c r="D269" i="2" a="1"/>
  <c r="D269" i="2" s="1"/>
  <c r="D311" i="2" a="1"/>
  <c r="D311" i="2" s="1"/>
  <c r="M295" i="2" a="1"/>
  <c r="M295" i="2" s="1"/>
  <c r="M274" i="2" a="1"/>
  <c r="M274" i="2" s="1"/>
  <c r="M316" i="2" a="1"/>
  <c r="M316" i="2" s="1"/>
  <c r="G311" i="2" a="1"/>
  <c r="G311" i="2" s="1"/>
  <c r="G290" i="2" a="1"/>
  <c r="G290" i="2" s="1"/>
  <c r="G269" i="2" a="1"/>
  <c r="G269" i="2" s="1"/>
  <c r="L274" i="2" a="1"/>
  <c r="L274" i="2" s="1"/>
  <c r="L316" i="2" a="1"/>
  <c r="L316" i="2" s="1"/>
  <c r="L295" i="2" a="1"/>
  <c r="L295" i="2" s="1"/>
  <c r="H274" i="2" a="1"/>
  <c r="H274" i="2" s="1"/>
  <c r="H316" i="2" a="1"/>
  <c r="H316" i="2" s="1"/>
  <c r="H295" i="2" a="1"/>
  <c r="H295" i="2" s="1"/>
  <c r="D274" i="2" a="1"/>
  <c r="D274" i="2" s="1"/>
  <c r="D316" i="2" a="1"/>
  <c r="D316" i="2" s="1"/>
  <c r="D295" i="2" a="1"/>
  <c r="D295" i="2" s="1"/>
  <c r="J315" i="2" a="1"/>
  <c r="J315" i="2" s="1"/>
  <c r="J294" i="2" a="1"/>
  <c r="J294" i="2" s="1"/>
  <c r="J273" i="2" a="1"/>
  <c r="J273" i="2" s="1"/>
  <c r="F294" i="2" a="1"/>
  <c r="F294" i="2" s="1"/>
  <c r="F315" i="2" a="1"/>
  <c r="F315" i="2" s="1"/>
  <c r="F273" i="2" a="1"/>
  <c r="F273" i="2" s="1"/>
  <c r="L293" i="2" a="1"/>
  <c r="L293" i="2" s="1"/>
  <c r="L314" i="2" a="1"/>
  <c r="L314" i="2" s="1"/>
  <c r="L272" i="2" a="1"/>
  <c r="L272" i="2" s="1"/>
  <c r="H314" i="2" a="1"/>
  <c r="H314" i="2" s="1"/>
  <c r="H272" i="2" a="1"/>
  <c r="H272" i="2" s="1"/>
  <c r="H293" i="2" a="1"/>
  <c r="H293" i="2" s="1"/>
  <c r="D293" i="2" a="1"/>
  <c r="D293" i="2" s="1"/>
  <c r="D272" i="2" a="1"/>
  <c r="D272" i="2" s="1"/>
  <c r="D314" i="2" a="1"/>
  <c r="D314" i="2" s="1"/>
  <c r="J271" i="2" a="1"/>
  <c r="J271" i="2" s="1"/>
  <c r="J313" i="2" a="1"/>
  <c r="J313" i="2" s="1"/>
  <c r="J292" i="2" a="1"/>
  <c r="J292" i="2" s="1"/>
  <c r="F271" i="2" a="1"/>
  <c r="F271" i="2" s="1"/>
  <c r="F313" i="2" a="1"/>
  <c r="F313" i="2" s="1"/>
  <c r="F292" i="2" a="1"/>
  <c r="F292" i="2" s="1"/>
  <c r="L312" i="2" a="1"/>
  <c r="L312" i="2" s="1"/>
  <c r="L270" i="2" a="1"/>
  <c r="L270" i="2" s="1"/>
  <c r="L291" i="2" a="1"/>
  <c r="L291" i="2" s="1"/>
  <c r="H270" i="2" a="1"/>
  <c r="H270" i="2" s="1"/>
  <c r="H312" i="2" a="1"/>
  <c r="H312" i="2" s="1"/>
  <c r="H291" i="2" a="1"/>
  <c r="H291" i="2" s="1"/>
  <c r="D270" i="2" a="1"/>
  <c r="D270" i="2" s="1"/>
  <c r="D312" i="2" a="1"/>
  <c r="D312" i="2" s="1"/>
  <c r="D291" i="2" a="1"/>
  <c r="D291" i="2" s="1"/>
  <c r="K274" i="2" a="1"/>
  <c r="K274" i="2" s="1"/>
  <c r="K316" i="2" a="1"/>
  <c r="K316" i="2" s="1"/>
  <c r="K295" i="2" a="1"/>
  <c r="K295" i="2" s="1"/>
  <c r="G316" i="2" a="1"/>
  <c r="G316" i="2" s="1"/>
  <c r="G295" i="2" a="1"/>
  <c r="G295" i="2" s="1"/>
  <c r="G274" i="2" a="1"/>
  <c r="G274" i="2" s="1"/>
  <c r="M273" i="2" a="1"/>
  <c r="M273" i="2" s="1"/>
  <c r="M294" i="2" a="1"/>
  <c r="M294" i="2" s="1"/>
  <c r="M315" i="2" a="1"/>
  <c r="M315" i="2" s="1"/>
  <c r="E294" i="2" a="1"/>
  <c r="E294" i="2" s="1"/>
  <c r="E315" i="2" a="1"/>
  <c r="E315" i="2" s="1"/>
  <c r="E273" i="2" a="1"/>
  <c r="E273" i="2" s="1"/>
  <c r="K314" i="2" a="1"/>
  <c r="K314" i="2" s="1"/>
  <c r="K272" i="2" a="1"/>
  <c r="K272" i="2" s="1"/>
  <c r="K293" i="2" a="1"/>
  <c r="K293" i="2" s="1"/>
  <c r="C314" i="2" a="1"/>
  <c r="C314" i="2" s="1"/>
  <c r="C293" i="2" a="1"/>
  <c r="C293" i="2" s="1"/>
  <c r="C272" i="2" a="1"/>
  <c r="C272" i="2" s="1"/>
  <c r="M313" i="2" a="1"/>
  <c r="M313" i="2" s="1"/>
  <c r="M292" i="2" a="1"/>
  <c r="M292" i="2" s="1"/>
  <c r="M271" i="2" a="1"/>
  <c r="M271" i="2" s="1"/>
  <c r="I313" i="2" a="1"/>
  <c r="I313" i="2" s="1"/>
  <c r="I292" i="2" a="1"/>
  <c r="I292" i="2" s="1"/>
  <c r="I271" i="2" a="1"/>
  <c r="I271" i="2" s="1"/>
  <c r="E313" i="2" a="1"/>
  <c r="E313" i="2" s="1"/>
  <c r="E292" i="2" a="1"/>
  <c r="E292" i="2" s="1"/>
  <c r="E271" i="2" a="1"/>
  <c r="E271" i="2" s="1"/>
  <c r="K270" i="2" a="1"/>
  <c r="K270" i="2" s="1"/>
  <c r="K312" i="2" a="1"/>
  <c r="K312" i="2" s="1"/>
  <c r="K291" i="2" a="1"/>
  <c r="K291" i="2" s="1"/>
  <c r="G270" i="2" a="1"/>
  <c r="G270" i="2" s="1"/>
  <c r="G312" i="2" a="1"/>
  <c r="G312" i="2" s="1"/>
  <c r="G291" i="2" a="1"/>
  <c r="G291" i="2" s="1"/>
  <c r="C312" i="2" a="1"/>
  <c r="C312" i="2" s="1"/>
  <c r="C270" i="2" a="1"/>
  <c r="C270" i="2" s="1"/>
  <c r="C291" i="2" a="1"/>
  <c r="C291" i="2" s="1"/>
  <c r="F290" i="2" a="1"/>
  <c r="F290" i="2" s="1"/>
  <c r="F269" i="2" a="1"/>
  <c r="F269" i="2" s="1"/>
  <c r="F311" i="2" a="1"/>
  <c r="F311" i="2" s="1"/>
  <c r="C274" i="2" a="1"/>
  <c r="C274" i="2" s="1"/>
  <c r="C316" i="2" a="1"/>
  <c r="C316" i="2" s="1"/>
  <c r="C295" i="2" a="1"/>
  <c r="C295" i="2" s="1"/>
  <c r="I294" i="2" a="1"/>
  <c r="I294" i="2" s="1"/>
  <c r="I315" i="2" a="1"/>
  <c r="I315" i="2" s="1"/>
  <c r="I273" i="2" a="1"/>
  <c r="I273" i="2" s="1"/>
  <c r="I290" i="2" a="1"/>
  <c r="I290" i="2" s="1"/>
  <c r="I269" i="2" a="1"/>
  <c r="I269" i="2" s="1"/>
  <c r="I311" i="2" a="1"/>
  <c r="I311" i="2" s="1"/>
  <c r="J316" i="2" a="1"/>
  <c r="J316" i="2" s="1"/>
  <c r="J295" i="2" a="1"/>
  <c r="J295" i="2" s="1"/>
  <c r="J274" i="2" a="1"/>
  <c r="J274" i="2" s="1"/>
  <c r="F295" i="2" a="1"/>
  <c r="F295" i="2" s="1"/>
  <c r="F274" i="2" a="1"/>
  <c r="F274" i="2" s="1"/>
  <c r="F316" i="2" a="1"/>
  <c r="F316" i="2" s="1"/>
  <c r="L315" i="2" a="1"/>
  <c r="L315" i="2" s="1"/>
  <c r="L273" i="2" a="1"/>
  <c r="L273" i="2" s="1"/>
  <c r="L294" i="2" a="1"/>
  <c r="L294" i="2" s="1"/>
  <c r="H315" i="2" a="1"/>
  <c r="H315" i="2" s="1"/>
  <c r="H273" i="2" a="1"/>
  <c r="H273" i="2" s="1"/>
  <c r="H294" i="2" a="1"/>
  <c r="H294" i="2" s="1"/>
  <c r="D315" i="2" a="1"/>
  <c r="D315" i="2" s="1"/>
  <c r="D273" i="2" a="1"/>
  <c r="D273" i="2" s="1"/>
  <c r="D294" i="2" a="1"/>
  <c r="D294" i="2" s="1"/>
  <c r="J293" i="2" a="1"/>
  <c r="J293" i="2" s="1"/>
  <c r="J314" i="2" a="1"/>
  <c r="J314" i="2" s="1"/>
  <c r="J272" i="2" a="1"/>
  <c r="J272" i="2" s="1"/>
  <c r="F314" i="2" a="1"/>
  <c r="F314" i="2" s="1"/>
  <c r="F293" i="2" a="1"/>
  <c r="F293" i="2" s="1"/>
  <c r="F272" i="2" a="1"/>
  <c r="F272" i="2" s="1"/>
  <c r="L313" i="2" a="1"/>
  <c r="L313" i="2" s="1"/>
  <c r="L292" i="2" a="1"/>
  <c r="L292" i="2" s="1"/>
  <c r="L271" i="2" a="1"/>
  <c r="L271" i="2" s="1"/>
  <c r="H313" i="2" a="1"/>
  <c r="H313" i="2" s="1"/>
  <c r="H271" i="2" a="1"/>
  <c r="H271" i="2" s="1"/>
  <c r="H292" i="2" a="1"/>
  <c r="H292" i="2" s="1"/>
  <c r="D271" i="2" a="1"/>
  <c r="D271" i="2" s="1"/>
  <c r="D313" i="2" a="1"/>
  <c r="D313" i="2" s="1"/>
  <c r="D292" i="2" a="1"/>
  <c r="D292" i="2" s="1"/>
  <c r="J312" i="2" a="1"/>
  <c r="J312" i="2" s="1"/>
  <c r="J291" i="2" a="1"/>
  <c r="J291" i="2" s="1"/>
  <c r="J270" i="2" a="1"/>
  <c r="J270" i="2" s="1"/>
  <c r="F312" i="2" a="1"/>
  <c r="F312" i="2" s="1"/>
  <c r="F291" i="2" a="1"/>
  <c r="F291" i="2" s="1"/>
  <c r="F270" i="2" a="1"/>
  <c r="F270" i="2" s="1"/>
  <c r="H269" i="2" a="1"/>
  <c r="H269" i="2" s="1"/>
  <c r="H311" i="2" a="1"/>
  <c r="H311" i="2" s="1"/>
  <c r="H290" i="2" a="1"/>
  <c r="H290" i="2" s="1"/>
  <c r="I295" i="2" a="1"/>
  <c r="I295" i="2" s="1"/>
  <c r="I274" i="2" a="1"/>
  <c r="I274" i="2" s="1"/>
  <c r="I316" i="2" a="1"/>
  <c r="I316" i="2" s="1"/>
  <c r="E274" i="2" a="1"/>
  <c r="E274" i="2" s="1"/>
  <c r="E316" i="2" a="1"/>
  <c r="E316" i="2" s="1"/>
  <c r="E295" i="2" a="1"/>
  <c r="E295" i="2" s="1"/>
  <c r="G315" i="2" a="1"/>
  <c r="G315" i="2" s="1"/>
  <c r="G273" i="2" a="1"/>
  <c r="G273" i="2" s="1"/>
  <c r="G294" i="2" a="1"/>
  <c r="G294" i="2" s="1"/>
  <c r="C273" i="2" a="1"/>
  <c r="C273" i="2" s="1"/>
  <c r="C294" i="2" a="1"/>
  <c r="C294" i="2" s="1"/>
  <c r="C315" i="2" a="1"/>
  <c r="C315" i="2" s="1"/>
  <c r="M293" i="2" a="1"/>
  <c r="M293" i="2" s="1"/>
  <c r="M314" i="2" a="1"/>
  <c r="M314" i="2" s="1"/>
  <c r="M272" i="2" a="1"/>
  <c r="M272" i="2" s="1"/>
  <c r="I293" i="2" a="1"/>
  <c r="I293" i="2" s="1"/>
  <c r="I314" i="2" a="1"/>
  <c r="I314" i="2" s="1"/>
  <c r="I272" i="2" a="1"/>
  <c r="I272" i="2" s="1"/>
  <c r="E314" i="2" a="1"/>
  <c r="E314" i="2" s="1"/>
  <c r="E293" i="2" a="1"/>
  <c r="E293" i="2" s="1"/>
  <c r="E272" i="2" a="1"/>
  <c r="E272" i="2" s="1"/>
  <c r="K271" i="2" a="1"/>
  <c r="K271" i="2" s="1"/>
  <c r="K313" i="2" a="1"/>
  <c r="K313" i="2" s="1"/>
  <c r="K292" i="2" a="1"/>
  <c r="K292" i="2" s="1"/>
  <c r="G271" i="2" a="1"/>
  <c r="G271" i="2" s="1"/>
  <c r="G313" i="2" a="1"/>
  <c r="G313" i="2" s="1"/>
  <c r="G292" i="2" a="1"/>
  <c r="G292" i="2" s="1"/>
  <c r="C271" i="2" a="1"/>
  <c r="C271" i="2" s="1"/>
  <c r="C313" i="2" a="1"/>
  <c r="C313" i="2" s="1"/>
  <c r="C292" i="2" a="1"/>
  <c r="C292" i="2" s="1"/>
  <c r="M312" i="2" a="1"/>
  <c r="M312" i="2" s="1"/>
  <c r="M291" i="2" a="1"/>
  <c r="M291" i="2" s="1"/>
  <c r="M270" i="2" a="1"/>
  <c r="M270" i="2" s="1"/>
  <c r="I312" i="2" a="1"/>
  <c r="I312" i="2" s="1"/>
  <c r="I270" i="2" a="1"/>
  <c r="I270" i="2" s="1"/>
  <c r="I291" i="2" a="1"/>
  <c r="I291" i="2" s="1"/>
  <c r="E270" i="2" a="1"/>
  <c r="E270" i="2" s="1"/>
  <c r="E312" i="2" a="1"/>
  <c r="E312" i="2" s="1"/>
  <c r="E291" i="2" a="1"/>
  <c r="E291" i="2" s="1"/>
  <c r="K294" i="2" a="1"/>
  <c r="K294" i="2" s="1"/>
  <c r="K273" i="2" a="1"/>
  <c r="K273" i="2" s="1"/>
  <c r="G272" i="2" a="1"/>
  <c r="G272" i="2" s="1"/>
  <c r="G293" i="2" a="1"/>
  <c r="G293" i="2" s="1"/>
  <c r="E311" i="2" a="1"/>
  <c r="E311" i="2" s="1"/>
  <c r="E290" i="2" a="1"/>
  <c r="E290" i="2" s="1"/>
  <c r="E269" i="2" a="1"/>
  <c r="E269" i="2" s="1"/>
  <c r="L269" i="2" a="1"/>
  <c r="L269" i="2" s="1"/>
  <c r="L311" i="2" a="1"/>
  <c r="L311" i="2" s="1"/>
  <c r="L290" i="2" a="1"/>
  <c r="L290" i="2" s="1"/>
  <c r="K269" i="2" a="1"/>
  <c r="K269" i="2" s="1"/>
  <c r="K311" i="2" a="1"/>
  <c r="K311" i="2" s="1"/>
  <c r="K290" i="2" a="1"/>
  <c r="K290" i="2" s="1"/>
  <c r="AG259" i="2"/>
  <c r="AC259" i="2"/>
  <c r="Y259" i="2"/>
  <c r="U259" i="2"/>
  <c r="Q259" i="2"/>
  <c r="M259" i="2"/>
  <c r="I259" i="2"/>
  <c r="E259" i="2"/>
  <c r="AI258" i="2"/>
  <c r="AE258" i="2"/>
  <c r="AA258" i="2"/>
  <c r="W258" i="2"/>
  <c r="S258" i="2"/>
  <c r="O258" i="2"/>
  <c r="K258" i="2"/>
  <c r="G258" i="2"/>
  <c r="AG257" i="2"/>
  <c r="AC257" i="2"/>
  <c r="Y257" i="2"/>
  <c r="U257" i="2"/>
  <c r="Q257" i="2"/>
  <c r="M257" i="2"/>
  <c r="I257" i="2"/>
  <c r="E257" i="2"/>
  <c r="AI256" i="2"/>
  <c r="AE256" i="2"/>
  <c r="AA256" i="2"/>
  <c r="W256" i="2"/>
  <c r="S256" i="2"/>
  <c r="O256" i="2"/>
  <c r="K256" i="2"/>
  <c r="G256" i="2"/>
  <c r="AJ259" i="2"/>
  <c r="AF259" i="2"/>
  <c r="AB259" i="2"/>
  <c r="X259" i="2"/>
  <c r="T259" i="2"/>
  <c r="P259" i="2"/>
  <c r="L259" i="2"/>
  <c r="H259" i="2"/>
  <c r="AH258" i="2"/>
  <c r="AD258" i="2"/>
  <c r="Z258" i="2"/>
  <c r="V258" i="2"/>
  <c r="R258" i="2"/>
  <c r="N258" i="2"/>
  <c r="J258" i="2"/>
  <c r="AJ257" i="2"/>
  <c r="AF257" i="2"/>
  <c r="AB257" i="2"/>
  <c r="X257" i="2"/>
  <c r="T257" i="2"/>
  <c r="P257" i="2"/>
  <c r="L257" i="2"/>
  <c r="H257" i="2"/>
  <c r="AH256" i="2"/>
  <c r="AD256" i="2"/>
  <c r="Z256" i="2"/>
  <c r="V256" i="2"/>
  <c r="R256" i="2"/>
  <c r="N256" i="2"/>
  <c r="J256" i="2"/>
  <c r="AC394" i="2"/>
  <c r="M394" i="2"/>
  <c r="AK214" i="2"/>
  <c r="AH393" i="2"/>
  <c r="V393" i="2"/>
  <c r="X392" i="2"/>
  <c r="P252" i="2"/>
  <c r="Z251" i="2"/>
  <c r="AB250" i="2"/>
  <c r="AD249" i="2"/>
  <c r="O255" i="2"/>
  <c r="K255" i="2"/>
  <c r="G255" i="2"/>
  <c r="Q254" i="2"/>
  <c r="M254" i="2"/>
  <c r="I254" i="2"/>
  <c r="E254" i="2"/>
  <c r="O253" i="2"/>
  <c r="K253" i="2"/>
  <c r="G253" i="2"/>
  <c r="U252" i="2"/>
  <c r="Q252" i="2"/>
  <c r="M252" i="2"/>
  <c r="I252" i="2"/>
  <c r="E252" i="2"/>
  <c r="O251" i="2"/>
  <c r="K251" i="2"/>
  <c r="G251" i="2"/>
  <c r="U250" i="2"/>
  <c r="Q250" i="2"/>
  <c r="M250" i="2"/>
  <c r="I250" i="2"/>
  <c r="E250" i="2"/>
  <c r="O249" i="2"/>
  <c r="K249" i="2"/>
  <c r="G249" i="2"/>
  <c r="AJ392" i="2"/>
  <c r="D392" i="2"/>
  <c r="K395" i="2"/>
  <c r="AH384" i="2"/>
  <c r="AD384" i="2"/>
  <c r="Z384" i="2"/>
  <c r="V384" i="2"/>
  <c r="R384" i="2"/>
  <c r="N384" i="2"/>
  <c r="AE395" i="2"/>
  <c r="O395" i="2"/>
  <c r="AG394" i="2"/>
  <c r="Q394" i="2"/>
  <c r="AH395" i="2"/>
  <c r="AD395" i="2"/>
  <c r="Z395" i="2"/>
  <c r="V395" i="2"/>
  <c r="R395" i="2"/>
  <c r="N395" i="2"/>
  <c r="J395" i="2"/>
  <c r="F395" i="2"/>
  <c r="AJ394" i="2"/>
  <c r="AF394" i="2"/>
  <c r="AB394" i="2"/>
  <c r="X394" i="2"/>
  <c r="T394" i="2"/>
  <c r="P394" i="2"/>
  <c r="L394" i="2"/>
  <c r="H394" i="2"/>
  <c r="D394" i="2"/>
  <c r="AJ395" i="2"/>
  <c r="AF395" i="2"/>
  <c r="AB395" i="2"/>
  <c r="X395" i="2"/>
  <c r="T395" i="2"/>
  <c r="P395" i="2"/>
  <c r="L395" i="2"/>
  <c r="H395" i="2"/>
  <c r="D395" i="2"/>
  <c r="AH394" i="2"/>
  <c r="AD394" i="2"/>
  <c r="Z394" i="2"/>
  <c r="V394" i="2"/>
  <c r="R394" i="2"/>
  <c r="N394" i="2"/>
  <c r="J394" i="2"/>
  <c r="F394" i="2"/>
  <c r="AA395" i="2"/>
  <c r="W395" i="2"/>
  <c r="G395" i="2"/>
  <c r="Y394" i="2"/>
  <c r="I394" i="2"/>
  <c r="AI395" i="2"/>
  <c r="S395" i="2"/>
  <c r="C395" i="2"/>
  <c r="U394" i="2"/>
  <c r="E394" i="2"/>
  <c r="AG395" i="2"/>
  <c r="AC395" i="2"/>
  <c r="Y395" i="2"/>
  <c r="U395" i="2"/>
  <c r="Q395" i="2"/>
  <c r="M395" i="2"/>
  <c r="I395" i="2"/>
  <c r="E395" i="2"/>
  <c r="AI394" i="2"/>
  <c r="AE394" i="2"/>
  <c r="AA394" i="2"/>
  <c r="W394" i="2"/>
  <c r="S394" i="2"/>
  <c r="O394" i="2"/>
  <c r="K394" i="2"/>
  <c r="G394" i="2"/>
  <c r="C394" i="2"/>
  <c r="AG393" i="2"/>
  <c r="AC393" i="2"/>
  <c r="Y393" i="2"/>
  <c r="U393" i="2"/>
  <c r="Q393" i="2"/>
  <c r="M393" i="2"/>
  <c r="I393" i="2"/>
  <c r="E393" i="2"/>
  <c r="AI392" i="2"/>
  <c r="AE392" i="2"/>
  <c r="AA392" i="2"/>
  <c r="W392" i="2"/>
  <c r="S392" i="2"/>
  <c r="O392" i="2"/>
  <c r="K392" i="2"/>
  <c r="G392" i="2"/>
  <c r="C392" i="2"/>
  <c r="AF393" i="2"/>
  <c r="L393" i="2"/>
  <c r="H389" i="2"/>
  <c r="Z388" i="2"/>
  <c r="AJ393" i="2"/>
  <c r="X393" i="2"/>
  <c r="T393" i="2"/>
  <c r="P393" i="2"/>
  <c r="H393" i="2"/>
  <c r="D393" i="2"/>
  <c r="AH392" i="2"/>
  <c r="AD392" i="2"/>
  <c r="Z392" i="2"/>
  <c r="V392" i="2"/>
  <c r="R392" i="2"/>
  <c r="N392" i="2"/>
  <c r="J392" i="2"/>
  <c r="F392" i="2"/>
  <c r="AB393" i="2"/>
  <c r="AE393" i="2"/>
  <c r="W393" i="2"/>
  <c r="O393" i="2"/>
  <c r="G393" i="2"/>
  <c r="AG392" i="2"/>
  <c r="Y392" i="2"/>
  <c r="M392" i="2"/>
  <c r="E392" i="2"/>
  <c r="AI393" i="2"/>
  <c r="AA393" i="2"/>
  <c r="S393" i="2"/>
  <c r="K393" i="2"/>
  <c r="C393" i="2"/>
  <c r="AC392" i="2"/>
  <c r="U392" i="2"/>
  <c r="Q392" i="2"/>
  <c r="I392" i="2"/>
  <c r="AD393" i="2"/>
  <c r="Z393" i="2"/>
  <c r="N393" i="2"/>
  <c r="J393" i="2"/>
  <c r="AF392" i="2"/>
  <c r="AB392" i="2"/>
  <c r="P392" i="2"/>
  <c r="L392" i="2"/>
  <c r="R393" i="2"/>
  <c r="T392" i="2"/>
  <c r="F393" i="2"/>
  <c r="H392" i="2"/>
  <c r="AJ384" i="2"/>
  <c r="AF384" i="2"/>
  <c r="AB384" i="2"/>
  <c r="X384" i="2"/>
  <c r="T384" i="2"/>
  <c r="P384" i="2"/>
  <c r="L384" i="2"/>
  <c r="H384" i="2"/>
  <c r="D384" i="2"/>
  <c r="AG391" i="2"/>
  <c r="AC391" i="2"/>
  <c r="Y391" i="2"/>
  <c r="U391" i="2"/>
  <c r="Q391" i="2"/>
  <c r="M391" i="2"/>
  <c r="I391" i="2"/>
  <c r="E391" i="2"/>
  <c r="AI390" i="2"/>
  <c r="AE390" i="2"/>
  <c r="AA390" i="2"/>
  <c r="W390" i="2"/>
  <c r="S390" i="2"/>
  <c r="O390" i="2"/>
  <c r="K390" i="2"/>
  <c r="G390" i="2"/>
  <c r="C390" i="2"/>
  <c r="AG389" i="2"/>
  <c r="AC389" i="2"/>
  <c r="Y389" i="2"/>
  <c r="U389" i="2"/>
  <c r="Q389" i="2"/>
  <c r="M389" i="2"/>
  <c r="I389" i="2"/>
  <c r="E389" i="2"/>
  <c r="AI388" i="2"/>
  <c r="AE388" i="2"/>
  <c r="AA388" i="2"/>
  <c r="W388" i="2"/>
  <c r="S388" i="2"/>
  <c r="O388" i="2"/>
  <c r="K388" i="2"/>
  <c r="G388" i="2"/>
  <c r="C388" i="2"/>
  <c r="AG387" i="2"/>
  <c r="AC387" i="2"/>
  <c r="Y387" i="2"/>
  <c r="U387" i="2"/>
  <c r="Q387" i="2"/>
  <c r="M387" i="2"/>
  <c r="I387" i="2"/>
  <c r="E387" i="2"/>
  <c r="AI386" i="2"/>
  <c r="AE386" i="2"/>
  <c r="AA386" i="2"/>
  <c r="W386" i="2"/>
  <c r="S386" i="2"/>
  <c r="O386" i="2"/>
  <c r="K386" i="2"/>
  <c r="G386" i="2"/>
  <c r="C386" i="2"/>
  <c r="AG385" i="2"/>
  <c r="AC385" i="2"/>
  <c r="Y385" i="2"/>
  <c r="U385" i="2"/>
  <c r="Q385" i="2"/>
  <c r="M385" i="2"/>
  <c r="I385" i="2"/>
  <c r="E385" i="2"/>
  <c r="AI384" i="2"/>
  <c r="AE384" i="2"/>
  <c r="AA384" i="2"/>
  <c r="W384" i="2"/>
  <c r="S384" i="2"/>
  <c r="O384" i="2"/>
  <c r="K384" i="2"/>
  <c r="G384" i="2"/>
  <c r="AJ391" i="2"/>
  <c r="AF391" i="2"/>
  <c r="AB391" i="2"/>
  <c r="X391" i="2"/>
  <c r="T391" i="2"/>
  <c r="P391" i="2"/>
  <c r="L391" i="2"/>
  <c r="H391" i="2"/>
  <c r="D391" i="2"/>
  <c r="AH390" i="2"/>
  <c r="AD390" i="2"/>
  <c r="Z390" i="2"/>
  <c r="V390" i="2"/>
  <c r="R390" i="2"/>
  <c r="N390" i="2"/>
  <c r="J390" i="2"/>
  <c r="F390" i="2"/>
  <c r="AJ389" i="2"/>
  <c r="AF389" i="2"/>
  <c r="AB389" i="2"/>
  <c r="X389" i="2"/>
  <c r="T389" i="2"/>
  <c r="P389" i="2"/>
  <c r="L389" i="2"/>
  <c r="D389" i="2"/>
  <c r="AH388" i="2"/>
  <c r="AD388" i="2"/>
  <c r="V388" i="2"/>
  <c r="R388" i="2"/>
  <c r="N388" i="2"/>
  <c r="J388" i="2"/>
  <c r="F388" i="2"/>
  <c r="AJ387" i="2"/>
  <c r="AF387" i="2"/>
  <c r="AB387" i="2"/>
  <c r="X387" i="2"/>
  <c r="T387" i="2"/>
  <c r="P387" i="2"/>
  <c r="L387" i="2"/>
  <c r="H387" i="2"/>
  <c r="D387" i="2"/>
  <c r="AH386" i="2"/>
  <c r="AD386" i="2"/>
  <c r="Z386" i="2"/>
  <c r="V386" i="2"/>
  <c r="R386" i="2"/>
  <c r="N386" i="2"/>
  <c r="J386" i="2"/>
  <c r="F386" i="2"/>
  <c r="AJ385" i="2"/>
  <c r="AF385" i="2"/>
  <c r="AB385" i="2"/>
  <c r="X385" i="2"/>
  <c r="T385" i="2"/>
  <c r="P385" i="2"/>
  <c r="L385" i="2"/>
  <c r="H385" i="2"/>
  <c r="D385" i="2"/>
  <c r="J384" i="2"/>
  <c r="F384" i="2"/>
  <c r="AI391" i="2"/>
  <c r="AE391" i="2"/>
  <c r="AA391" i="2"/>
  <c r="W391" i="2"/>
  <c r="S391" i="2"/>
  <c r="O391" i="2"/>
  <c r="K391" i="2"/>
  <c r="G391" i="2"/>
  <c r="C391" i="2"/>
  <c r="AG390" i="2"/>
  <c r="AC390" i="2"/>
  <c r="Y390" i="2"/>
  <c r="U390" i="2"/>
  <c r="Q390" i="2"/>
  <c r="M390" i="2"/>
  <c r="I390" i="2"/>
  <c r="E390" i="2"/>
  <c r="AI389" i="2"/>
  <c r="AE389" i="2"/>
  <c r="AA389" i="2"/>
  <c r="W389" i="2"/>
  <c r="S389" i="2"/>
  <c r="O389" i="2"/>
  <c r="K389" i="2"/>
  <c r="G389" i="2"/>
  <c r="C389" i="2"/>
  <c r="AG388" i="2"/>
  <c r="AC388" i="2"/>
  <c r="Y388" i="2"/>
  <c r="U388" i="2"/>
  <c r="Q388" i="2"/>
  <c r="M388" i="2"/>
  <c r="I388" i="2"/>
  <c r="E388" i="2"/>
  <c r="AI387" i="2"/>
  <c r="AE387" i="2"/>
  <c r="AA387" i="2"/>
  <c r="W387" i="2"/>
  <c r="S387" i="2"/>
  <c r="O387" i="2"/>
  <c r="K387" i="2"/>
  <c r="G387" i="2"/>
  <c r="C387" i="2"/>
  <c r="AG386" i="2"/>
  <c r="AC386" i="2"/>
  <c r="Y386" i="2"/>
  <c r="U386" i="2"/>
  <c r="Q386" i="2"/>
  <c r="M386" i="2"/>
  <c r="I386" i="2"/>
  <c r="E386" i="2"/>
  <c r="AI385" i="2"/>
  <c r="AE385" i="2"/>
  <c r="AA385" i="2"/>
  <c r="W385" i="2"/>
  <c r="S385" i="2"/>
  <c r="O385" i="2"/>
  <c r="K385" i="2"/>
  <c r="G385" i="2"/>
  <c r="C385" i="2"/>
  <c r="AG384" i="2"/>
  <c r="AC384" i="2"/>
  <c r="Y384" i="2"/>
  <c r="U384" i="2"/>
  <c r="Q384" i="2"/>
  <c r="M384" i="2"/>
  <c r="I384" i="2"/>
  <c r="E384" i="2"/>
  <c r="AH391" i="2"/>
  <c r="AD391" i="2"/>
  <c r="Z391" i="2"/>
  <c r="V391" i="2"/>
  <c r="R391" i="2"/>
  <c r="N391" i="2"/>
  <c r="J391" i="2"/>
  <c r="F391" i="2"/>
  <c r="AJ390" i="2"/>
  <c r="AF390" i="2"/>
  <c r="AB390" i="2"/>
  <c r="X390" i="2"/>
  <c r="T390" i="2"/>
  <c r="P390" i="2"/>
  <c r="L390" i="2"/>
  <c r="H390" i="2"/>
  <c r="D390" i="2"/>
  <c r="AH389" i="2"/>
  <c r="AD389" i="2"/>
  <c r="Z389" i="2"/>
  <c r="V389" i="2"/>
  <c r="R389" i="2"/>
  <c r="N389" i="2"/>
  <c r="J389" i="2"/>
  <c r="F389" i="2"/>
  <c r="AJ388" i="2"/>
  <c r="AF388" i="2"/>
  <c r="AB388" i="2"/>
  <c r="X388" i="2"/>
  <c r="T388" i="2"/>
  <c r="P388" i="2"/>
  <c r="L388" i="2"/>
  <c r="H388" i="2"/>
  <c r="D388" i="2"/>
  <c r="AH387" i="2"/>
  <c r="AD387" i="2"/>
  <c r="Z387" i="2"/>
  <c r="V387" i="2"/>
  <c r="R387" i="2"/>
  <c r="N387" i="2"/>
  <c r="J387" i="2"/>
  <c r="F387" i="2"/>
  <c r="AJ386" i="2"/>
  <c r="AF386" i="2"/>
  <c r="AB386" i="2"/>
  <c r="X386" i="2"/>
  <c r="T386" i="2"/>
  <c r="P386" i="2"/>
  <c r="L386" i="2"/>
  <c r="H386" i="2"/>
  <c r="D386" i="2"/>
  <c r="AH385" i="2"/>
  <c r="AD385" i="2"/>
  <c r="Z385" i="2"/>
  <c r="V385" i="2"/>
  <c r="R385" i="2"/>
  <c r="N385" i="2"/>
  <c r="J385" i="2"/>
  <c r="F385" i="2"/>
  <c r="AK172" i="2"/>
  <c r="AK194" i="2"/>
  <c r="AI259" i="2"/>
  <c r="AE259" i="2"/>
  <c r="AA259" i="2"/>
  <c r="W259" i="2"/>
  <c r="S259" i="2"/>
  <c r="O259" i="2"/>
  <c r="K259" i="2"/>
  <c r="G259" i="2"/>
  <c r="AG258" i="2"/>
  <c r="AC258" i="2"/>
  <c r="Y258" i="2"/>
  <c r="U258" i="2"/>
  <c r="Q258" i="2"/>
  <c r="M258" i="2"/>
  <c r="I258" i="2"/>
  <c r="E258" i="2"/>
  <c r="AI257" i="2"/>
  <c r="AE257" i="2"/>
  <c r="AA257" i="2"/>
  <c r="W257" i="2"/>
  <c r="S257" i="2"/>
  <c r="O257" i="2"/>
  <c r="K257" i="2"/>
  <c r="G257" i="2"/>
  <c r="AG256" i="2"/>
  <c r="AC256" i="2"/>
  <c r="Y256" i="2"/>
  <c r="U256" i="2"/>
  <c r="Q256" i="2"/>
  <c r="M256" i="2"/>
  <c r="I256" i="2"/>
  <c r="E256" i="2"/>
  <c r="AI255" i="2"/>
  <c r="AE255" i="2"/>
  <c r="AA255" i="2"/>
  <c r="W255" i="2"/>
  <c r="S255" i="2"/>
  <c r="AG254" i="2"/>
  <c r="AC254" i="2"/>
  <c r="Y254" i="2"/>
  <c r="U254" i="2"/>
  <c r="AI253" i="2"/>
  <c r="AE253" i="2"/>
  <c r="AA253" i="2"/>
  <c r="W253" i="2"/>
  <c r="S253" i="2"/>
  <c r="AG252" i="2"/>
  <c r="AC252" i="2"/>
  <c r="Y252" i="2"/>
  <c r="AI251" i="2"/>
  <c r="AE251" i="2"/>
  <c r="AA251" i="2"/>
  <c r="W251" i="2"/>
  <c r="S251" i="2"/>
  <c r="AG250" i="2"/>
  <c r="AC250" i="2"/>
  <c r="Y250" i="2"/>
  <c r="AK174" i="2"/>
  <c r="AI249" i="2"/>
  <c r="AE249" i="2"/>
  <c r="AA249" i="2"/>
  <c r="W249" i="2"/>
  <c r="S249" i="2"/>
  <c r="AK189" i="2"/>
  <c r="D258" i="2"/>
  <c r="F258" i="2"/>
  <c r="D256" i="2"/>
  <c r="F256" i="2"/>
  <c r="AK195" i="2"/>
  <c r="AK193" i="2"/>
  <c r="AK216" i="2"/>
  <c r="AK175" i="2"/>
  <c r="AK173" i="2"/>
  <c r="AK171" i="2"/>
  <c r="AK170" i="2"/>
  <c r="AK169" i="2"/>
  <c r="AK167" i="2"/>
  <c r="AK165" i="2"/>
  <c r="AK196" i="2"/>
  <c r="AH259" i="2"/>
  <c r="AD259" i="2"/>
  <c r="Z259" i="2"/>
  <c r="V259" i="2"/>
  <c r="R259" i="2"/>
  <c r="N259" i="2"/>
  <c r="J259" i="2"/>
  <c r="F259" i="2"/>
  <c r="AJ258" i="2"/>
  <c r="AF258" i="2"/>
  <c r="AB258" i="2"/>
  <c r="X258" i="2"/>
  <c r="T258" i="2"/>
  <c r="P258" i="2"/>
  <c r="L258" i="2"/>
  <c r="H258" i="2"/>
  <c r="AH257" i="2"/>
  <c r="AD257" i="2"/>
  <c r="Z257" i="2"/>
  <c r="V257" i="2"/>
  <c r="R257" i="2"/>
  <c r="N257" i="2"/>
  <c r="J257" i="2"/>
  <c r="F257" i="2"/>
  <c r="AJ256" i="2"/>
  <c r="AF256" i="2"/>
  <c r="AB256" i="2"/>
  <c r="X256" i="2"/>
  <c r="T256" i="2"/>
  <c r="P256" i="2"/>
  <c r="L256" i="2"/>
  <c r="H256" i="2"/>
  <c r="AF252" i="2"/>
  <c r="X252" i="2"/>
  <c r="H252" i="2"/>
  <c r="AH251" i="2"/>
  <c r="R251" i="2"/>
  <c r="J251" i="2"/>
  <c r="AJ250" i="2"/>
  <c r="T250" i="2"/>
  <c r="L250" i="2"/>
  <c r="V249" i="2"/>
  <c r="N249" i="2"/>
  <c r="AK217" i="2"/>
  <c r="AK215" i="2"/>
  <c r="AK211" i="2"/>
  <c r="AK207" i="2"/>
  <c r="AK166" i="2"/>
  <c r="AK192" i="2"/>
  <c r="AK188" i="2"/>
  <c r="AK186" i="2"/>
  <c r="AK210" i="2"/>
  <c r="D259" i="2"/>
  <c r="D257" i="2"/>
  <c r="AK213" i="2"/>
  <c r="AK212" i="2"/>
  <c r="AK209" i="2"/>
  <c r="AK208" i="2"/>
  <c r="AJ255" i="2"/>
  <c r="AH255" i="2"/>
  <c r="AD255" i="2"/>
  <c r="Z255" i="2"/>
  <c r="V255" i="2"/>
  <c r="R255" i="2"/>
  <c r="N255" i="2"/>
  <c r="J255" i="2"/>
  <c r="F255" i="2"/>
  <c r="AJ254" i="2"/>
  <c r="AF254" i="2"/>
  <c r="AB254" i="2"/>
  <c r="X254" i="2"/>
  <c r="T254" i="2"/>
  <c r="P254" i="2"/>
  <c r="L254" i="2"/>
  <c r="H254" i="2"/>
  <c r="AH253" i="2"/>
  <c r="AD253" i="2"/>
  <c r="Z253" i="2"/>
  <c r="V253" i="2"/>
  <c r="R253" i="2"/>
  <c r="N253" i="2"/>
  <c r="J253" i="2"/>
  <c r="AJ252" i="2"/>
  <c r="AB252" i="2"/>
  <c r="T252" i="2"/>
  <c r="L252" i="2"/>
  <c r="AD251" i="2"/>
  <c r="V251" i="2"/>
  <c r="N251" i="2"/>
  <c r="AF250" i="2"/>
  <c r="X250" i="2"/>
  <c r="P250" i="2"/>
  <c r="H250" i="2"/>
  <c r="AH249" i="2"/>
  <c r="Z249" i="2"/>
  <c r="R249" i="2"/>
  <c r="J249" i="2"/>
  <c r="AK168" i="2"/>
  <c r="AK191" i="2"/>
  <c r="AK187" i="2"/>
  <c r="F249" i="2"/>
  <c r="AG255" i="2"/>
  <c r="AC255" i="2"/>
  <c r="Y255" i="2"/>
  <c r="U255" i="2"/>
  <c r="Q255" i="2"/>
  <c r="M255" i="2"/>
  <c r="I255" i="2"/>
  <c r="E255" i="2"/>
  <c r="AI254" i="2"/>
  <c r="AE254" i="2"/>
  <c r="Z254" i="2"/>
  <c r="F253" i="2"/>
  <c r="AF255" i="2"/>
  <c r="AB255" i="2"/>
  <c r="X255" i="2"/>
  <c r="T255" i="2"/>
  <c r="P255" i="2"/>
  <c r="L255" i="2"/>
  <c r="H255" i="2"/>
  <c r="D255" i="2"/>
  <c r="AH254" i="2"/>
  <c r="AD254" i="2"/>
  <c r="AA254" i="2"/>
  <c r="W254" i="2"/>
  <c r="S254" i="2"/>
  <c r="O254" i="2"/>
  <c r="K254" i="2"/>
  <c r="G254" i="2"/>
  <c r="AG253" i="2"/>
  <c r="AC253" i="2"/>
  <c r="Y253" i="2"/>
  <c r="U253" i="2"/>
  <c r="Q253" i="2"/>
  <c r="M253" i="2"/>
  <c r="I253" i="2"/>
  <c r="E253" i="2"/>
  <c r="AI252" i="2"/>
  <c r="AE252" i="2"/>
  <c r="AA252" i="2"/>
  <c r="W252" i="2"/>
  <c r="S252" i="2"/>
  <c r="O252" i="2"/>
  <c r="K252" i="2"/>
  <c r="G252" i="2"/>
  <c r="AG251" i="2"/>
  <c r="AC251" i="2"/>
  <c r="Y251" i="2"/>
  <c r="U251" i="2"/>
  <c r="Q251" i="2"/>
  <c r="M251" i="2"/>
  <c r="I251" i="2"/>
  <c r="E251" i="2"/>
  <c r="AI250" i="2"/>
  <c r="AE250" i="2"/>
  <c r="AA250" i="2"/>
  <c r="W250" i="2"/>
  <c r="S250" i="2"/>
  <c r="O250" i="2"/>
  <c r="K250" i="2"/>
  <c r="G250" i="2"/>
  <c r="AG249" i="2"/>
  <c r="AC249" i="2"/>
  <c r="Y249" i="2"/>
  <c r="U249" i="2"/>
  <c r="Q249" i="2"/>
  <c r="M249" i="2"/>
  <c r="I249" i="2"/>
  <c r="E249" i="2"/>
  <c r="F251" i="2"/>
  <c r="V254" i="2"/>
  <c r="R254" i="2"/>
  <c r="N254" i="2"/>
  <c r="J254" i="2"/>
  <c r="F254" i="2"/>
  <c r="AJ253" i="2"/>
  <c r="AF253" i="2"/>
  <c r="AB253" i="2"/>
  <c r="X253" i="2"/>
  <c r="T253" i="2"/>
  <c r="P253" i="2"/>
  <c r="L253" i="2"/>
  <c r="H253" i="2"/>
  <c r="AH252" i="2"/>
  <c r="AD252" i="2"/>
  <c r="Z252" i="2"/>
  <c r="V252" i="2"/>
  <c r="R252" i="2"/>
  <c r="N252" i="2"/>
  <c r="J252" i="2"/>
  <c r="F252" i="2"/>
  <c r="AJ251" i="2"/>
  <c r="AF251" i="2"/>
  <c r="AB251" i="2"/>
  <c r="X251" i="2"/>
  <c r="T251" i="2"/>
  <c r="P251" i="2"/>
  <c r="L251" i="2"/>
  <c r="H251" i="2"/>
  <c r="AH250" i="2"/>
  <c r="AD250" i="2"/>
  <c r="Z250" i="2"/>
  <c r="V250" i="2"/>
  <c r="R250" i="2"/>
  <c r="N250" i="2"/>
  <c r="J250" i="2"/>
  <c r="F250" i="2"/>
  <c r="AJ249" i="2"/>
  <c r="AF249" i="2"/>
  <c r="AB249" i="2"/>
  <c r="X249" i="2"/>
  <c r="T249" i="2"/>
  <c r="P249" i="2"/>
  <c r="L249" i="2"/>
  <c r="H249" i="2"/>
  <c r="P55" i="51"/>
  <c r="GS20" i="1"/>
  <c r="AL259" i="2" l="1"/>
  <c r="AK279" i="2"/>
  <c r="AK280" i="2"/>
  <c r="AK278" i="2"/>
  <c r="AK277" i="2"/>
  <c r="AK274" i="2"/>
  <c r="AK273" i="2"/>
  <c r="AK271" i="2"/>
  <c r="AK276" i="2"/>
  <c r="AK270" i="2"/>
  <c r="AK272" i="2"/>
  <c r="AK275" i="2"/>
  <c r="AL257" i="2"/>
  <c r="AL250" i="2"/>
  <c r="AL252" i="2"/>
  <c r="AL254" i="2"/>
  <c r="AL256" i="2"/>
  <c r="AL249" i="2"/>
  <c r="AL251" i="2"/>
  <c r="AL253" i="2"/>
  <c r="AL258" i="2"/>
  <c r="AL255" i="2"/>
  <c r="GF21" i="1"/>
  <c r="GF22" i="1"/>
  <c r="GF23" i="1"/>
  <c r="GF24" i="1"/>
  <c r="GF25" i="1"/>
  <c r="GF26" i="1"/>
  <c r="GF27" i="1"/>
  <c r="GF28" i="1"/>
  <c r="GF29" i="1"/>
  <c r="GF30" i="1"/>
  <c r="GF31" i="1"/>
  <c r="GF32" i="1"/>
  <c r="GF33" i="1"/>
  <c r="GF34" i="1"/>
  <c r="GF35" i="1"/>
  <c r="GF36" i="1"/>
  <c r="GF37" i="1"/>
  <c r="GF38" i="1"/>
  <c r="GF39" i="1"/>
  <c r="GF40" i="1"/>
  <c r="GF41" i="1"/>
  <c r="GF42" i="1"/>
  <c r="GF43" i="1"/>
  <c r="GF44" i="1"/>
  <c r="GF45" i="1"/>
  <c r="GF46" i="1"/>
  <c r="GF47" i="1"/>
  <c r="GF48" i="1"/>
  <c r="GF49" i="1"/>
  <c r="GF50" i="1"/>
  <c r="GF51" i="1"/>
  <c r="GF52" i="1"/>
  <c r="GF53" i="1"/>
  <c r="GF54" i="1"/>
  <c r="GF55" i="1"/>
  <c r="GF56" i="1"/>
  <c r="GF57" i="1"/>
  <c r="GF58" i="1"/>
  <c r="GF59" i="1"/>
  <c r="GF60" i="1"/>
  <c r="GF61" i="1"/>
  <c r="GF62" i="1"/>
  <c r="GF63" i="1"/>
  <c r="GF64" i="1"/>
  <c r="GF65" i="1"/>
  <c r="GF66" i="1"/>
  <c r="GF67" i="1"/>
  <c r="GF68" i="1"/>
  <c r="GF69" i="1"/>
  <c r="GF70" i="1"/>
  <c r="GF71" i="1"/>
  <c r="GF72" i="1"/>
  <c r="GF73" i="1"/>
  <c r="GF74" i="1"/>
  <c r="GF75" i="1"/>
  <c r="GF76" i="1"/>
  <c r="GF77" i="1"/>
  <c r="GF78" i="1"/>
  <c r="GF79" i="1"/>
  <c r="GF80" i="1"/>
  <c r="GF81" i="1"/>
  <c r="GF82" i="1"/>
  <c r="GF83" i="1"/>
  <c r="GF20" i="1"/>
  <c r="P45" i="51" s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GG37" i="1"/>
  <c r="GG38" i="1"/>
  <c r="GG39" i="1"/>
  <c r="GG40" i="1"/>
  <c r="GG41" i="1"/>
  <c r="GG42" i="1"/>
  <c r="GG43" i="1"/>
  <c r="GG44" i="1"/>
  <c r="GG45" i="1"/>
  <c r="GG46" i="1"/>
  <c r="GG47" i="1"/>
  <c r="GG48" i="1"/>
  <c r="GG49" i="1"/>
  <c r="GG50" i="1"/>
  <c r="GG51" i="1"/>
  <c r="GG52" i="1"/>
  <c r="GG53" i="1"/>
  <c r="GG54" i="1"/>
  <c r="GG55" i="1"/>
  <c r="GG56" i="1"/>
  <c r="GG57" i="1"/>
  <c r="GG58" i="1"/>
  <c r="GG59" i="1"/>
  <c r="GG60" i="1"/>
  <c r="GG61" i="1"/>
  <c r="GG62" i="1"/>
  <c r="GG63" i="1"/>
  <c r="GG64" i="1"/>
  <c r="GG65" i="1"/>
  <c r="GG66" i="1"/>
  <c r="GG67" i="1"/>
  <c r="GG68" i="1"/>
  <c r="GG69" i="1"/>
  <c r="GG70" i="1"/>
  <c r="GG71" i="1"/>
  <c r="GG72" i="1"/>
  <c r="GG73" i="1"/>
  <c r="GG74" i="1"/>
  <c r="GG75" i="1"/>
  <c r="GG76" i="1"/>
  <c r="GG77" i="1"/>
  <c r="GG78" i="1"/>
  <c r="GG79" i="1"/>
  <c r="GG80" i="1"/>
  <c r="GG81" i="1"/>
  <c r="GG82" i="1"/>
  <c r="GG83" i="1"/>
  <c r="AI62" i="51" l="1"/>
  <c r="AI63" i="51"/>
  <c r="T45" i="51"/>
  <c r="V45" i="51"/>
  <c r="X45" i="51"/>
  <c r="C45" i="51"/>
  <c r="AD10" i="51" l="1"/>
  <c r="F52" i="1"/>
  <c r="GT30" i="1"/>
  <c r="GT31" i="1"/>
  <c r="GT32" i="1"/>
  <c r="GT29" i="1"/>
  <c r="GT68" i="1"/>
  <c r="GT63" i="1"/>
  <c r="GT64" i="1"/>
  <c r="GT66" i="1"/>
  <c r="GS57" i="1"/>
  <c r="GS58" i="1"/>
  <c r="GS59" i="1"/>
  <c r="GS60" i="1"/>
  <c r="GS61" i="1"/>
  <c r="GS62" i="1"/>
  <c r="GS63" i="1"/>
  <c r="GS64" i="1"/>
  <c r="GS65" i="1"/>
  <c r="GT65" i="1" s="1"/>
  <c r="GS66" i="1"/>
  <c r="GS67" i="1"/>
  <c r="GT67" i="1" s="1"/>
  <c r="GS68" i="1"/>
  <c r="GS69" i="1"/>
  <c r="GT69" i="1" s="1"/>
  <c r="GS70" i="1"/>
  <c r="GS71" i="1"/>
  <c r="GS72" i="1"/>
  <c r="GS73" i="1"/>
  <c r="GS74" i="1"/>
  <c r="GS75" i="1"/>
  <c r="GS76" i="1"/>
  <c r="GS77" i="1"/>
  <c r="GS78" i="1"/>
  <c r="GS79" i="1"/>
  <c r="GS80" i="1"/>
  <c r="GS81" i="1"/>
  <c r="GS82" i="1"/>
  <c r="GS83" i="1"/>
  <c r="GS44" i="1"/>
  <c r="GS45" i="1"/>
  <c r="GS46" i="1"/>
  <c r="GS47" i="1"/>
  <c r="GS48" i="1"/>
  <c r="GS49" i="1"/>
  <c r="GS50" i="1"/>
  <c r="GS51" i="1"/>
  <c r="GS52" i="1"/>
  <c r="GS53" i="1"/>
  <c r="GS54" i="1"/>
  <c r="GS55" i="1"/>
  <c r="GS56" i="1"/>
  <c r="GO34" i="1"/>
  <c r="GT34" i="1" s="1"/>
  <c r="GO36" i="1"/>
  <c r="GT36" i="1" s="1"/>
  <c r="GO37" i="1"/>
  <c r="GT37" i="1" s="1"/>
  <c r="GO42" i="1"/>
  <c r="GT42" i="1" s="1"/>
  <c r="GO43" i="1"/>
  <c r="GT43" i="1" s="1"/>
  <c r="GO44" i="1"/>
  <c r="GT44" i="1" s="1"/>
  <c r="GO55" i="1"/>
  <c r="GT55" i="1" s="1"/>
  <c r="GO56" i="1"/>
  <c r="GT56" i="1" s="1"/>
  <c r="GO60" i="1"/>
  <c r="GT60" i="1" s="1"/>
  <c r="GO61" i="1"/>
  <c r="GT61" i="1" s="1"/>
  <c r="GO62" i="1"/>
  <c r="GT62" i="1" s="1"/>
  <c r="GO70" i="1"/>
  <c r="GO71" i="1"/>
  <c r="GO72" i="1"/>
  <c r="GO73" i="1"/>
  <c r="GO74" i="1"/>
  <c r="GO75" i="1"/>
  <c r="GO76" i="1"/>
  <c r="GO77" i="1"/>
  <c r="GO78" i="1"/>
  <c r="GO79" i="1"/>
  <c r="GO80" i="1"/>
  <c r="GO81" i="1"/>
  <c r="GO82" i="1"/>
  <c r="GO83" i="1"/>
  <c r="R58" i="51"/>
  <c r="L58" i="51"/>
  <c r="Z45" i="51"/>
  <c r="AI36" i="51"/>
  <c r="AI35" i="51"/>
  <c r="W29" i="51"/>
  <c r="M29" i="51"/>
  <c r="E29" i="51"/>
  <c r="AK14" i="51"/>
  <c r="AD12" i="51"/>
  <c r="Q12" i="51"/>
  <c r="Q10" i="51"/>
  <c r="F10" i="51"/>
  <c r="AD8" i="51"/>
  <c r="Q8" i="51"/>
  <c r="Q6" i="51"/>
  <c r="AD6" i="51" s="1"/>
  <c r="F6" i="51"/>
  <c r="M12" i="48"/>
  <c r="F12" i="48"/>
  <c r="F6" i="48"/>
  <c r="F30" i="3"/>
  <c r="AK218" i="23"/>
  <c r="AK201" i="23"/>
  <c r="C201" i="23"/>
  <c r="AK188" i="23"/>
  <c r="D150" i="23"/>
  <c r="E171" i="23" s="1"/>
  <c r="C128" i="23"/>
  <c r="AK128" i="23" s="1"/>
  <c r="C107" i="23"/>
  <c r="AK107" i="23" s="1"/>
  <c r="C86" i="23"/>
  <c r="AK86" i="23" s="1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AL4" i="19"/>
  <c r="BQ63" i="2"/>
  <c r="BP63" i="2"/>
  <c r="BO63" i="2"/>
  <c r="BP7" i="2"/>
  <c r="BO7" i="2"/>
  <c r="N836" i="1"/>
  <c r="N835" i="1"/>
  <c r="N834" i="1"/>
  <c r="N833" i="1"/>
  <c r="N832" i="1"/>
  <c r="DS208" i="1"/>
  <c r="DS198" i="1"/>
  <c r="DS189" i="1"/>
  <c r="DS184" i="1"/>
  <c r="DS183" i="1"/>
  <c r="DS182" i="1"/>
  <c r="DS181" i="1"/>
  <c r="DS180" i="1"/>
  <c r="DS178" i="1"/>
  <c r="DS168" i="1"/>
  <c r="DR168" i="1"/>
  <c r="DS158" i="1"/>
  <c r="DR158" i="1"/>
  <c r="DS148" i="1"/>
  <c r="DR148" i="1"/>
  <c r="DS138" i="1"/>
  <c r="DR138" i="1"/>
  <c r="DS128" i="1"/>
  <c r="DR128" i="1"/>
  <c r="DS118" i="1"/>
  <c r="DR118" i="1"/>
  <c r="DS108" i="1"/>
  <c r="DR108" i="1"/>
  <c r="DS98" i="1"/>
  <c r="DR98" i="1"/>
  <c r="DS89" i="1"/>
  <c r="DS88" i="1"/>
  <c r="DR88" i="1"/>
  <c r="DG88" i="1" s="1"/>
  <c r="DS87" i="1"/>
  <c r="DR87" i="1"/>
  <c r="DG87" i="1" s="1"/>
  <c r="DS86" i="1"/>
  <c r="DR86" i="1"/>
  <c r="DG86" i="1" s="1"/>
  <c r="DS85" i="1"/>
  <c r="DR85" i="1"/>
  <c r="DG85" i="1" s="1"/>
  <c r="DS84" i="1"/>
  <c r="DR84" i="1"/>
  <c r="DG84" i="1" s="1"/>
  <c r="DS83" i="1"/>
  <c r="DR83" i="1"/>
  <c r="DG83" i="1" s="1"/>
  <c r="DS82" i="1"/>
  <c r="DR82" i="1"/>
  <c r="DG82" i="1" s="1"/>
  <c r="DS81" i="1"/>
  <c r="DR81" i="1"/>
  <c r="DG81" i="1" s="1"/>
  <c r="DS80" i="1"/>
  <c r="DR80" i="1"/>
  <c r="DG80" i="1" s="1"/>
  <c r="DS78" i="1"/>
  <c r="DR78" i="1"/>
  <c r="DG78" i="1" s="1"/>
  <c r="DS68" i="1"/>
  <c r="DR68" i="1"/>
  <c r="DG68" i="1" s="1"/>
  <c r="DS58" i="1"/>
  <c r="DR58" i="1"/>
  <c r="DG58" i="1" s="1"/>
  <c r="DS48" i="1"/>
  <c r="DR48" i="1"/>
  <c r="DG48" i="1" s="1"/>
  <c r="GS38" i="1"/>
  <c r="DS38" i="1"/>
  <c r="DR38" i="1"/>
  <c r="DG38" i="1" s="1"/>
  <c r="GS28" i="1"/>
  <c r="DS28" i="1"/>
  <c r="DR28" i="1"/>
  <c r="DG28" i="1" s="1"/>
  <c r="DS18" i="1"/>
  <c r="DR18" i="1"/>
  <c r="AI31" i="19"/>
  <c r="AH31" i="19"/>
  <c r="AG31" i="19"/>
  <c r="AF31" i="19"/>
  <c r="AE31" i="19"/>
  <c r="C6" i="47"/>
  <c r="B6" i="46"/>
  <c r="DG18" i="1" l="1"/>
  <c r="U10" i="48"/>
  <c r="C218" i="23"/>
  <c r="D29" i="48"/>
  <c r="AJ19" i="49" l="1"/>
  <c r="AH5" i="49" l="1"/>
  <c r="AH3" i="49"/>
  <c r="Z7" i="49"/>
  <c r="Z5" i="49"/>
  <c r="S7" i="49"/>
  <c r="M7" i="49"/>
  <c r="M5" i="49"/>
  <c r="E7" i="49"/>
  <c r="E5" i="49"/>
  <c r="U8" i="48"/>
  <c r="M10" i="48"/>
  <c r="M8" i="48"/>
  <c r="M6" i="48"/>
  <c r="F10" i="48"/>
  <c r="H6" i="46"/>
  <c r="D6" i="46"/>
  <c r="J6" i="47"/>
  <c r="F8" i="47"/>
  <c r="F6" i="47"/>
  <c r="D23" i="49"/>
  <c r="BF5" i="45" l="1"/>
  <c r="BG5" i="45"/>
  <c r="BH5" i="45"/>
  <c r="BI5" i="45"/>
  <c r="BJ5" i="45"/>
  <c r="BK5" i="45"/>
  <c r="BL5" i="45"/>
  <c r="BM5" i="45"/>
  <c r="BN5" i="45"/>
  <c r="BO5" i="45"/>
  <c r="BP5" i="45"/>
  <c r="BQ5" i="45"/>
  <c r="BR5" i="45"/>
  <c r="BS5" i="45"/>
  <c r="BT5" i="45"/>
  <c r="BU5" i="45"/>
  <c r="BV5" i="45"/>
  <c r="BW5" i="45"/>
  <c r="BX5" i="45"/>
  <c r="BY5" i="45"/>
  <c r="BZ5" i="45"/>
  <c r="CA5" i="45"/>
  <c r="CB5" i="45"/>
  <c r="CC5" i="45"/>
  <c r="CD5" i="45"/>
  <c r="CE5" i="45"/>
  <c r="CF5" i="45"/>
  <c r="CG5" i="45"/>
  <c r="CH5" i="45"/>
  <c r="CI5" i="45"/>
  <c r="CJ5" i="45"/>
  <c r="CK5" i="45"/>
  <c r="CL5" i="45"/>
  <c r="BF6" i="45"/>
  <c r="BG6" i="45"/>
  <c r="BH6" i="45"/>
  <c r="BI6" i="45"/>
  <c r="BJ6" i="45"/>
  <c r="BK6" i="45"/>
  <c r="BL6" i="45"/>
  <c r="BM6" i="45"/>
  <c r="BN6" i="45"/>
  <c r="BO6" i="45"/>
  <c r="BP6" i="45"/>
  <c r="BQ6" i="45"/>
  <c r="BR6" i="45"/>
  <c r="BS6" i="45"/>
  <c r="BT6" i="45"/>
  <c r="BU6" i="45"/>
  <c r="BV6" i="45"/>
  <c r="BW6" i="45"/>
  <c r="BX6" i="45"/>
  <c r="BY6" i="45"/>
  <c r="BZ6" i="45"/>
  <c r="CA6" i="45"/>
  <c r="CB6" i="45"/>
  <c r="CC6" i="45"/>
  <c r="CD6" i="45"/>
  <c r="CE6" i="45"/>
  <c r="CF6" i="45"/>
  <c r="CG6" i="45"/>
  <c r="CH6" i="45"/>
  <c r="CI6" i="45"/>
  <c r="CJ6" i="45"/>
  <c r="CK6" i="45"/>
  <c r="CL6" i="45"/>
  <c r="BF7" i="45"/>
  <c r="BG7" i="45"/>
  <c r="BH7" i="45"/>
  <c r="BI7" i="45"/>
  <c r="BJ7" i="45"/>
  <c r="BK7" i="45"/>
  <c r="BL7" i="45"/>
  <c r="BM7" i="45"/>
  <c r="BN7" i="45"/>
  <c r="BO7" i="45"/>
  <c r="BP7" i="45"/>
  <c r="BQ7" i="45"/>
  <c r="BR7" i="45"/>
  <c r="BS7" i="45"/>
  <c r="BT7" i="45"/>
  <c r="BU7" i="45"/>
  <c r="BV7" i="45"/>
  <c r="BW7" i="45"/>
  <c r="BX7" i="45"/>
  <c r="BY7" i="45"/>
  <c r="BZ7" i="45"/>
  <c r="CA7" i="45"/>
  <c r="CB7" i="45"/>
  <c r="CC7" i="45"/>
  <c r="CD7" i="45"/>
  <c r="CE7" i="45"/>
  <c r="CF7" i="45"/>
  <c r="CG7" i="45"/>
  <c r="CH7" i="45"/>
  <c r="CI7" i="45"/>
  <c r="CJ7" i="45"/>
  <c r="CK7" i="45"/>
  <c r="CL7" i="45"/>
  <c r="BF8" i="45"/>
  <c r="BG8" i="45"/>
  <c r="BH8" i="45"/>
  <c r="BI8" i="45"/>
  <c r="BJ8" i="45"/>
  <c r="BK8" i="45"/>
  <c r="BL8" i="45"/>
  <c r="BM8" i="45"/>
  <c r="BN8" i="45"/>
  <c r="BO8" i="45"/>
  <c r="BP8" i="45"/>
  <c r="BQ8" i="45"/>
  <c r="BR8" i="45"/>
  <c r="BS8" i="45"/>
  <c r="BT8" i="45"/>
  <c r="BU8" i="45"/>
  <c r="BV8" i="45"/>
  <c r="BW8" i="45"/>
  <c r="BX8" i="45"/>
  <c r="BY8" i="45"/>
  <c r="BZ8" i="45"/>
  <c r="CA8" i="45"/>
  <c r="CB8" i="45"/>
  <c r="CC8" i="45"/>
  <c r="CD8" i="45"/>
  <c r="CE8" i="45"/>
  <c r="CF8" i="45"/>
  <c r="CG8" i="45"/>
  <c r="CH8" i="45"/>
  <c r="CI8" i="45"/>
  <c r="CJ8" i="45"/>
  <c r="CK8" i="45"/>
  <c r="CL8" i="45"/>
  <c r="BF9" i="45"/>
  <c r="BG9" i="45"/>
  <c r="BH9" i="45"/>
  <c r="BI9" i="45"/>
  <c r="BJ9" i="45"/>
  <c r="BK9" i="45"/>
  <c r="BL9" i="45"/>
  <c r="BM9" i="45"/>
  <c r="BN9" i="45"/>
  <c r="BO9" i="45"/>
  <c r="BP9" i="45"/>
  <c r="BQ9" i="45"/>
  <c r="BR9" i="45"/>
  <c r="BS9" i="45"/>
  <c r="BT9" i="45"/>
  <c r="BU9" i="45"/>
  <c r="BV9" i="45"/>
  <c r="BW9" i="45"/>
  <c r="BX9" i="45"/>
  <c r="BY9" i="45"/>
  <c r="BZ9" i="45"/>
  <c r="CA9" i="45"/>
  <c r="CB9" i="45"/>
  <c r="CC9" i="45"/>
  <c r="CD9" i="45"/>
  <c r="CE9" i="45"/>
  <c r="CF9" i="45"/>
  <c r="CG9" i="45"/>
  <c r="CH9" i="45"/>
  <c r="CI9" i="45"/>
  <c r="CJ9" i="45"/>
  <c r="CK9" i="45"/>
  <c r="CL9" i="45"/>
  <c r="BF10" i="45"/>
  <c r="BG10" i="45"/>
  <c r="BH10" i="45"/>
  <c r="BI10" i="45"/>
  <c r="BJ10" i="45"/>
  <c r="BK10" i="45"/>
  <c r="BL10" i="45"/>
  <c r="BM10" i="45"/>
  <c r="BN10" i="45"/>
  <c r="BO10" i="45"/>
  <c r="BP10" i="45"/>
  <c r="BQ10" i="45"/>
  <c r="BR10" i="45"/>
  <c r="BS10" i="45"/>
  <c r="BT10" i="45"/>
  <c r="BU10" i="45"/>
  <c r="BV10" i="45"/>
  <c r="BW10" i="45"/>
  <c r="BX10" i="45"/>
  <c r="BY10" i="45"/>
  <c r="BZ10" i="45"/>
  <c r="CA10" i="45"/>
  <c r="CB10" i="45"/>
  <c r="CC10" i="45"/>
  <c r="CD10" i="45"/>
  <c r="CE10" i="45"/>
  <c r="CF10" i="45"/>
  <c r="CG10" i="45"/>
  <c r="CH10" i="45"/>
  <c r="CI10" i="45"/>
  <c r="CJ10" i="45"/>
  <c r="CK10" i="45"/>
  <c r="CL10" i="45"/>
  <c r="BF11" i="45"/>
  <c r="BG11" i="45"/>
  <c r="BH11" i="45"/>
  <c r="BI11" i="45"/>
  <c r="BJ11" i="45"/>
  <c r="BK11" i="45"/>
  <c r="BL11" i="45"/>
  <c r="BM11" i="45"/>
  <c r="BN11" i="45"/>
  <c r="BO11" i="45"/>
  <c r="BP11" i="45"/>
  <c r="BQ11" i="45"/>
  <c r="BR11" i="45"/>
  <c r="BS11" i="45"/>
  <c r="BT11" i="45"/>
  <c r="BU11" i="45"/>
  <c r="BV11" i="45"/>
  <c r="BW11" i="45"/>
  <c r="BX11" i="45"/>
  <c r="BY11" i="45"/>
  <c r="BZ11" i="45"/>
  <c r="CA11" i="45"/>
  <c r="CB11" i="45"/>
  <c r="CC11" i="45"/>
  <c r="CD11" i="45"/>
  <c r="CE11" i="45"/>
  <c r="CF11" i="45"/>
  <c r="CG11" i="45"/>
  <c r="CH11" i="45"/>
  <c r="CI11" i="45"/>
  <c r="CJ11" i="45"/>
  <c r="CK11" i="45"/>
  <c r="CL11" i="45"/>
  <c r="BF12" i="45"/>
  <c r="BG12" i="45"/>
  <c r="BH12" i="45"/>
  <c r="BI12" i="45"/>
  <c r="BJ12" i="45"/>
  <c r="BK12" i="45"/>
  <c r="BL12" i="45"/>
  <c r="BM12" i="45"/>
  <c r="BN12" i="45"/>
  <c r="BO12" i="45"/>
  <c r="BP12" i="45"/>
  <c r="BQ12" i="45"/>
  <c r="BR12" i="45"/>
  <c r="BS12" i="45"/>
  <c r="BT12" i="45"/>
  <c r="BU12" i="45"/>
  <c r="BV12" i="45"/>
  <c r="BW12" i="45"/>
  <c r="BX12" i="45"/>
  <c r="BY12" i="45"/>
  <c r="BZ12" i="45"/>
  <c r="CA12" i="45"/>
  <c r="CB12" i="45"/>
  <c r="CC12" i="45"/>
  <c r="CD12" i="45"/>
  <c r="CE12" i="45"/>
  <c r="CF12" i="45"/>
  <c r="CG12" i="45"/>
  <c r="CH12" i="45"/>
  <c r="CI12" i="45"/>
  <c r="CJ12" i="45"/>
  <c r="CK12" i="45"/>
  <c r="CL12" i="45"/>
  <c r="BF13" i="45"/>
  <c r="BG13" i="45"/>
  <c r="BH13" i="45"/>
  <c r="BI13" i="45"/>
  <c r="BJ13" i="45"/>
  <c r="BK13" i="45"/>
  <c r="BL13" i="45"/>
  <c r="BM13" i="45"/>
  <c r="BN13" i="45"/>
  <c r="BO13" i="45"/>
  <c r="BP13" i="45"/>
  <c r="BQ13" i="45"/>
  <c r="BR13" i="45"/>
  <c r="BS13" i="45"/>
  <c r="BT13" i="45"/>
  <c r="BU13" i="45"/>
  <c r="BV13" i="45"/>
  <c r="BW13" i="45"/>
  <c r="BX13" i="45"/>
  <c r="BY13" i="45"/>
  <c r="BZ13" i="45"/>
  <c r="CA13" i="45"/>
  <c r="CB13" i="45"/>
  <c r="CC13" i="45"/>
  <c r="CD13" i="45"/>
  <c r="CE13" i="45"/>
  <c r="CF13" i="45"/>
  <c r="CG13" i="45"/>
  <c r="CH13" i="45"/>
  <c r="CI13" i="45"/>
  <c r="CJ13" i="45"/>
  <c r="CK13" i="45"/>
  <c r="CL13" i="45"/>
  <c r="BF14" i="45"/>
  <c r="BG14" i="45"/>
  <c r="BH14" i="45"/>
  <c r="BI14" i="45"/>
  <c r="BJ14" i="45"/>
  <c r="BK14" i="45"/>
  <c r="BL14" i="45"/>
  <c r="BM14" i="45"/>
  <c r="BN14" i="45"/>
  <c r="BO14" i="45"/>
  <c r="BP14" i="45"/>
  <c r="BQ14" i="45"/>
  <c r="BR14" i="45"/>
  <c r="BS14" i="45"/>
  <c r="BT14" i="45"/>
  <c r="BU14" i="45"/>
  <c r="BV14" i="45"/>
  <c r="BW14" i="45"/>
  <c r="BX14" i="45"/>
  <c r="BY14" i="45"/>
  <c r="BZ14" i="45"/>
  <c r="CA14" i="45"/>
  <c r="CB14" i="45"/>
  <c r="CC14" i="45"/>
  <c r="CD14" i="45"/>
  <c r="CE14" i="45"/>
  <c r="CF14" i="45"/>
  <c r="CG14" i="45"/>
  <c r="CH14" i="45"/>
  <c r="CI14" i="45"/>
  <c r="CJ14" i="45"/>
  <c r="CK14" i="45"/>
  <c r="CL14" i="45"/>
  <c r="BF15" i="45"/>
  <c r="BG15" i="45"/>
  <c r="BH15" i="45"/>
  <c r="BI15" i="45"/>
  <c r="BJ15" i="45"/>
  <c r="BK15" i="45"/>
  <c r="BL15" i="45"/>
  <c r="BM15" i="45"/>
  <c r="BN15" i="45"/>
  <c r="BO15" i="45"/>
  <c r="BP15" i="45"/>
  <c r="BQ15" i="45"/>
  <c r="BR15" i="45"/>
  <c r="BS15" i="45"/>
  <c r="BT15" i="45"/>
  <c r="BU15" i="45"/>
  <c r="BV15" i="45"/>
  <c r="BW15" i="45"/>
  <c r="BX15" i="45"/>
  <c r="BY15" i="45"/>
  <c r="BZ15" i="45"/>
  <c r="CA15" i="45"/>
  <c r="CB15" i="45"/>
  <c r="CC15" i="45"/>
  <c r="CD15" i="45"/>
  <c r="CE15" i="45"/>
  <c r="CF15" i="45"/>
  <c r="CG15" i="45"/>
  <c r="CH15" i="45"/>
  <c r="CI15" i="45"/>
  <c r="CJ15" i="45"/>
  <c r="CK15" i="45"/>
  <c r="CL15" i="45"/>
  <c r="BG4" i="45"/>
  <c r="BH4" i="45"/>
  <c r="BI4" i="45"/>
  <c r="BJ4" i="45"/>
  <c r="BK4" i="45"/>
  <c r="BL4" i="45"/>
  <c r="BM4" i="45"/>
  <c r="BN4" i="45"/>
  <c r="BO4" i="45"/>
  <c r="BP4" i="45"/>
  <c r="BQ4" i="45"/>
  <c r="BR4" i="45"/>
  <c r="BS4" i="45"/>
  <c r="BT4" i="45"/>
  <c r="BU4" i="45"/>
  <c r="BV4" i="45"/>
  <c r="BW4" i="45"/>
  <c r="BX4" i="45"/>
  <c r="BY4" i="45"/>
  <c r="BZ4" i="45"/>
  <c r="CA4" i="45"/>
  <c r="CB4" i="45"/>
  <c r="CC4" i="45"/>
  <c r="CD4" i="45"/>
  <c r="CE4" i="45"/>
  <c r="CF4" i="45"/>
  <c r="CG4" i="45"/>
  <c r="CH4" i="45"/>
  <c r="CI4" i="45"/>
  <c r="CJ4" i="45"/>
  <c r="CK4" i="45"/>
  <c r="CL4" i="45"/>
  <c r="BF4" i="45"/>
  <c r="GS21" i="1" l="1"/>
  <c r="GS22" i="1"/>
  <c r="GS23" i="1"/>
  <c r="GS24" i="1"/>
  <c r="GS25" i="1"/>
  <c r="GS26" i="1"/>
  <c r="GS27" i="1"/>
  <c r="GS29" i="1"/>
  <c r="GS30" i="1"/>
  <c r="GS31" i="1"/>
  <c r="GS32" i="1"/>
  <c r="GS33" i="1"/>
  <c r="GS34" i="1"/>
  <c r="GS35" i="1"/>
  <c r="GS36" i="1"/>
  <c r="GS37" i="1"/>
  <c r="GS39" i="1"/>
  <c r="GS40" i="1"/>
  <c r="GS41" i="1"/>
  <c r="GS42" i="1"/>
  <c r="GS43" i="1"/>
  <c r="GT20" i="1"/>
  <c r="C13" i="38" l="1"/>
  <c r="C11" i="38"/>
  <c r="A14" i="1"/>
  <c r="K13" i="38"/>
  <c r="AB9" i="35"/>
  <c r="W3" i="8"/>
  <c r="AE7" i="37"/>
  <c r="W10" i="27"/>
  <c r="W8" i="27"/>
  <c r="N10" i="27"/>
  <c r="J68" i="27" l="1"/>
  <c r="W64" i="27"/>
  <c r="J64" i="27"/>
  <c r="H9" i="43" l="1"/>
  <c r="D9" i="43"/>
  <c r="B9" i="43"/>
  <c r="C41" i="8" l="1"/>
  <c r="I7" i="1"/>
  <c r="DS156" i="1" l="1"/>
  <c r="DS157" i="1"/>
  <c r="DS159" i="1"/>
  <c r="DS160" i="1"/>
  <c r="DS161" i="1"/>
  <c r="DS162" i="1"/>
  <c r="DS163" i="1"/>
  <c r="DS164" i="1"/>
  <c r="DS165" i="1"/>
  <c r="DS166" i="1"/>
  <c r="DS167" i="1"/>
  <c r="DS169" i="1"/>
  <c r="DS170" i="1"/>
  <c r="DS171" i="1"/>
  <c r="DS172" i="1"/>
  <c r="DS173" i="1"/>
  <c r="DS174" i="1"/>
  <c r="DS175" i="1"/>
  <c r="DS176" i="1"/>
  <c r="DS177" i="1"/>
  <c r="DS179" i="1"/>
  <c r="DS190" i="1"/>
  <c r="DS191" i="1"/>
  <c r="DS192" i="1"/>
  <c r="DS193" i="1"/>
  <c r="DS194" i="1"/>
  <c r="DS195" i="1"/>
  <c r="DS196" i="1"/>
  <c r="DS199" i="1"/>
  <c r="DS200" i="1"/>
  <c r="DS201" i="1"/>
  <c r="DS202" i="1"/>
  <c r="DS203" i="1"/>
  <c r="DS204" i="1"/>
  <c r="DS205" i="1"/>
  <c r="DS206" i="1"/>
  <c r="DS207" i="1"/>
  <c r="DS209" i="1"/>
  <c r="W55" i="35" l="1"/>
  <c r="Y55" i="35"/>
  <c r="X54" i="35" l="1"/>
  <c r="AE54" i="35" l="1"/>
  <c r="AE53" i="35"/>
  <c r="DS16" i="1" l="1"/>
  <c r="DS17" i="1"/>
  <c r="DS19" i="1"/>
  <c r="DS20" i="1"/>
  <c r="DS21" i="1"/>
  <c r="DS22" i="1"/>
  <c r="DS23" i="1"/>
  <c r="DS24" i="1"/>
  <c r="DS25" i="1"/>
  <c r="DS26" i="1"/>
  <c r="DS27" i="1"/>
  <c r="DS29" i="1"/>
  <c r="DS30" i="1"/>
  <c r="DS31" i="1"/>
  <c r="DS32" i="1"/>
  <c r="DS33" i="1"/>
  <c r="DS34" i="1"/>
  <c r="DS35" i="1"/>
  <c r="DS36" i="1"/>
  <c r="DS37" i="1"/>
  <c r="DS39" i="1"/>
  <c r="DS40" i="1"/>
  <c r="DS41" i="1"/>
  <c r="DS42" i="1"/>
  <c r="DS43" i="1"/>
  <c r="DS44" i="1"/>
  <c r="DS45" i="1"/>
  <c r="DS46" i="1"/>
  <c r="DS47" i="1"/>
  <c r="DS49" i="1"/>
  <c r="DS50" i="1"/>
  <c r="DS51" i="1"/>
  <c r="DS52" i="1"/>
  <c r="DS53" i="1"/>
  <c r="DS54" i="1"/>
  <c r="DS55" i="1"/>
  <c r="DS56" i="1"/>
  <c r="DS57" i="1"/>
  <c r="DS59" i="1"/>
  <c r="DS60" i="1"/>
  <c r="DS61" i="1"/>
  <c r="DS62" i="1"/>
  <c r="DS63" i="1"/>
  <c r="DS64" i="1"/>
  <c r="DS65" i="1"/>
  <c r="DS66" i="1"/>
  <c r="DS67" i="1"/>
  <c r="DS69" i="1"/>
  <c r="DS70" i="1"/>
  <c r="DS71" i="1"/>
  <c r="DS72" i="1"/>
  <c r="DS73" i="1"/>
  <c r="DS74" i="1"/>
  <c r="DS75" i="1"/>
  <c r="DS76" i="1"/>
  <c r="DS77" i="1"/>
  <c r="DS79" i="1"/>
  <c r="DS90" i="1"/>
  <c r="DS91" i="1"/>
  <c r="DS92" i="1"/>
  <c r="DS93" i="1"/>
  <c r="DS94" i="1"/>
  <c r="DS95" i="1"/>
  <c r="DS96" i="1"/>
  <c r="DS97" i="1"/>
  <c r="DS99" i="1"/>
  <c r="DS100" i="1"/>
  <c r="DS101" i="1"/>
  <c r="DS102" i="1"/>
  <c r="DS103" i="1"/>
  <c r="DS104" i="1"/>
  <c r="DS105" i="1"/>
  <c r="DS106" i="1"/>
  <c r="DS107" i="1"/>
  <c r="DS109" i="1"/>
  <c r="DS110" i="1"/>
  <c r="DS111" i="1"/>
  <c r="DS112" i="1"/>
  <c r="DS113" i="1"/>
  <c r="DS114" i="1"/>
  <c r="DS115" i="1"/>
  <c r="DS116" i="1"/>
  <c r="DS117" i="1"/>
  <c r="DS119" i="1"/>
  <c r="DS120" i="1"/>
  <c r="DS121" i="1"/>
  <c r="DS122" i="1"/>
  <c r="DS123" i="1"/>
  <c r="DS124" i="1"/>
  <c r="DS125" i="1"/>
  <c r="DS126" i="1"/>
  <c r="DS127" i="1"/>
  <c r="DS129" i="1"/>
  <c r="DS130" i="1"/>
  <c r="DS131" i="1"/>
  <c r="DS132" i="1"/>
  <c r="DS133" i="1"/>
  <c r="DS134" i="1"/>
  <c r="DS135" i="1"/>
  <c r="DS136" i="1"/>
  <c r="DS137" i="1"/>
  <c r="DS139" i="1"/>
  <c r="DS140" i="1"/>
  <c r="DS141" i="1"/>
  <c r="DS142" i="1"/>
  <c r="DS143" i="1"/>
  <c r="DS144" i="1"/>
  <c r="DS145" i="1"/>
  <c r="DS146" i="1"/>
  <c r="DS147" i="1"/>
  <c r="DS149" i="1"/>
  <c r="DS150" i="1"/>
  <c r="DS151" i="1"/>
  <c r="DS152" i="1"/>
  <c r="DS153" i="1"/>
  <c r="DS154" i="1"/>
  <c r="DS155" i="1"/>
  <c r="DS14" i="1"/>
  <c r="DS15" i="1"/>
  <c r="DS13" i="1"/>
  <c r="J44" i="35"/>
  <c r="J45" i="35"/>
  <c r="J46" i="35"/>
  <c r="J47" i="35"/>
  <c r="J48" i="35"/>
  <c r="J49" i="35"/>
  <c r="G764" i="1" l="1"/>
  <c r="G765" i="1" s="1"/>
  <c r="G766" i="1" s="1"/>
  <c r="D3" i="42" l="1"/>
  <c r="B3" i="42"/>
  <c r="A5" i="42"/>
  <c r="A3" i="42"/>
  <c r="C53" i="1" l="1"/>
  <c r="D53" i="1"/>
  <c r="AE50" i="35"/>
  <c r="G109" i="1"/>
  <c r="G108" i="1" s="1"/>
  <c r="X51" i="35"/>
  <c r="GT22" i="1" l="1"/>
  <c r="GT23" i="1"/>
  <c r="GT24" i="1"/>
  <c r="GT21" i="1"/>
  <c r="GT27" i="1"/>
  <c r="GT28" i="1"/>
  <c r="GT25" i="1"/>
  <c r="GT26" i="1"/>
  <c r="Z47" i="37"/>
  <c r="Z46" i="37"/>
  <c r="Z45" i="37"/>
  <c r="AX104" i="2"/>
  <c r="P32" i="1"/>
  <c r="AC25" i="37" l="1"/>
  <c r="D68" i="27"/>
  <c r="D66" i="27"/>
  <c r="N7" i="8" s="1"/>
  <c r="Z32" i="3"/>
  <c r="Z30" i="3" l="1"/>
  <c r="BO6" i="2"/>
  <c r="BP6" i="2"/>
  <c r="BO62" i="2"/>
  <c r="BP62" i="2"/>
  <c r="BJ66" i="1" s="1"/>
  <c r="BQ62" i="2"/>
  <c r="T52" i="27" l="1"/>
  <c r="L29" i="1"/>
  <c r="M32" i="1" s="1"/>
  <c r="K19" i="38" l="1"/>
  <c r="Q57" i="35"/>
  <c r="C15" i="38" l="1"/>
  <c r="AG33" i="35"/>
  <c r="DR124" i="1" l="1"/>
  <c r="DR123" i="1" l="1"/>
  <c r="C369" i="2" l="1"/>
  <c r="AK5" i="23" l="1"/>
  <c r="S27" i="8" l="1"/>
  <c r="W27" i="8" s="1"/>
  <c r="C31" i="8"/>
  <c r="A31" i="8"/>
  <c r="S30" i="8" l="1"/>
  <c r="W30" i="8" s="1"/>
  <c r="Y30" i="8" s="1"/>
  <c r="J43" i="35"/>
  <c r="Q56" i="8"/>
  <c r="Q55" i="8"/>
  <c r="Q54" i="8"/>
  <c r="C27" i="8"/>
  <c r="U30" i="8" l="1"/>
  <c r="S30" i="3"/>
  <c r="M30" i="3"/>
  <c r="J39" i="3"/>
  <c r="DR122" i="1" l="1"/>
  <c r="V7" i="36" l="1"/>
  <c r="N7" i="36"/>
  <c r="AE5" i="36"/>
  <c r="V5" i="36"/>
  <c r="N5" i="36" l="1"/>
  <c r="F5" i="36"/>
  <c r="H19" i="38" l="1"/>
  <c r="F19" i="38"/>
  <c r="C19" i="38"/>
  <c r="K11" i="38"/>
  <c r="Q40" i="27" l="1"/>
  <c r="H40" i="27"/>
  <c r="Q31" i="27"/>
  <c r="K31" i="27"/>
  <c r="E31" i="27"/>
  <c r="CZ25" i="34" l="1"/>
  <c r="AY25" i="34"/>
  <c r="H25" i="34"/>
  <c r="DJ13" i="34"/>
  <c r="BI13" i="34"/>
  <c r="R13" i="34"/>
  <c r="DJ1" i="34"/>
  <c r="BI1" i="34"/>
  <c r="R1" i="34"/>
  <c r="CZ25" i="33"/>
  <c r="AY25" i="33"/>
  <c r="H25" i="33"/>
  <c r="DJ13" i="33"/>
  <c r="BI13" i="33"/>
  <c r="R13" i="33"/>
  <c r="DJ1" i="33"/>
  <c r="BI1" i="33"/>
  <c r="R1" i="33"/>
  <c r="AB57" i="35"/>
  <c r="H57" i="35"/>
  <c r="AG31" i="35"/>
  <c r="S31" i="35"/>
  <c r="L31" i="35"/>
  <c r="F31" i="35"/>
  <c r="P9" i="35"/>
  <c r="F9" i="35"/>
  <c r="AC7" i="35"/>
  <c r="F7" i="35"/>
  <c r="Z5" i="35"/>
  <c r="P5" i="35"/>
  <c r="F5" i="35"/>
  <c r="N60" i="8"/>
  <c r="E60" i="8"/>
  <c r="X43" i="8"/>
  <c r="N43" i="8"/>
  <c r="E43" i="8"/>
  <c r="W39" i="8"/>
  <c r="O39" i="8"/>
  <c r="E39" i="8"/>
  <c r="C37" i="8"/>
  <c r="R35" i="8"/>
  <c r="E35" i="8"/>
  <c r="AL29" i="8"/>
  <c r="E7" i="8"/>
  <c r="W5" i="8"/>
  <c r="K5" i="8"/>
  <c r="AG25" i="37"/>
  <c r="Y25" i="37" s="1"/>
  <c r="Z44" i="37"/>
  <c r="Z43" i="37"/>
  <c r="Z42" i="37"/>
  <c r="Z41" i="37"/>
  <c r="Z40" i="37"/>
  <c r="Z39" i="37"/>
  <c r="Z38" i="37"/>
  <c r="Q33" i="37"/>
  <c r="H33" i="37"/>
  <c r="Q25" i="37"/>
  <c r="K25" i="37"/>
  <c r="E25" i="37"/>
  <c r="V7" i="37"/>
  <c r="N7" i="37"/>
  <c r="R27" i="37" s="1"/>
  <c r="AE5" i="37"/>
  <c r="V5" i="37"/>
  <c r="N5" i="37"/>
  <c r="F5" i="37"/>
  <c r="R7" i="8"/>
  <c r="T51" i="27"/>
  <c r="T50" i="27"/>
  <c r="T49" i="27"/>
  <c r="T48" i="27"/>
  <c r="T47" i="27"/>
  <c r="T46" i="27"/>
  <c r="T45" i="27"/>
  <c r="F10" i="27"/>
  <c r="U33" i="27" s="1"/>
  <c r="N8" i="27"/>
  <c r="N6" i="27"/>
  <c r="F6" i="27"/>
  <c r="F8" i="18"/>
  <c r="I6" i="18"/>
  <c r="F6" i="18"/>
  <c r="C6" i="18"/>
  <c r="H47" i="36"/>
  <c r="E62" i="3"/>
  <c r="N9" i="3"/>
  <c r="F9" i="3"/>
  <c r="W7" i="3"/>
  <c r="N7" i="3"/>
  <c r="N5" i="3"/>
  <c r="F5" i="3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AI37" i="19"/>
  <c r="AH37" i="19"/>
  <c r="AG37" i="19"/>
  <c r="AF37" i="19"/>
  <c r="AE37" i="19"/>
  <c r="AD37" i="19"/>
  <c r="AC37" i="19"/>
  <c r="AB37" i="19"/>
  <c r="AA37" i="19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AI36" i="19"/>
  <c r="AH36" i="19"/>
  <c r="AG36" i="19"/>
  <c r="AF36" i="19"/>
  <c r="AE36" i="19"/>
  <c r="AD36" i="19"/>
  <c r="AC36" i="19"/>
  <c r="AB36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AI35" i="19"/>
  <c r="AH35" i="19"/>
  <c r="AG35" i="19"/>
  <c r="AF35" i="19"/>
  <c r="AE35" i="19"/>
  <c r="AD35" i="19"/>
  <c r="AC35" i="19"/>
  <c r="AB35" i="19"/>
  <c r="AA35" i="19"/>
  <c r="Z35" i="19"/>
  <c r="Y35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AL5" i="19"/>
  <c r="AL3" i="19"/>
  <c r="AL2" i="19"/>
  <c r="AK265" i="2"/>
  <c r="AK206" i="2"/>
  <c r="AK185" i="2"/>
  <c r="AK164" i="2"/>
  <c r="BQ61" i="2"/>
  <c r="BP61" i="2"/>
  <c r="BJ65" i="1" s="1"/>
  <c r="BO61" i="2"/>
  <c r="C61" i="2"/>
  <c r="BQ60" i="2"/>
  <c r="BP60" i="2"/>
  <c r="BJ64" i="1" s="1"/>
  <c r="BO60" i="2"/>
  <c r="BQ59" i="2"/>
  <c r="BP59" i="2"/>
  <c r="BJ63" i="1" s="1"/>
  <c r="BO59" i="2"/>
  <c r="Y57" i="2"/>
  <c r="BP5" i="2"/>
  <c r="BO5" i="2"/>
  <c r="BP4" i="2"/>
  <c r="BO4" i="2"/>
  <c r="BP3" i="2"/>
  <c r="BO3" i="2"/>
  <c r="DR171" i="1"/>
  <c r="DR170" i="1"/>
  <c r="DR169" i="1"/>
  <c r="DR167" i="1"/>
  <c r="DR166" i="1"/>
  <c r="DR165" i="1"/>
  <c r="DR164" i="1"/>
  <c r="DR163" i="1"/>
  <c r="DR162" i="1"/>
  <c r="DR161" i="1"/>
  <c r="DR160" i="1"/>
  <c r="DR159" i="1"/>
  <c r="DR157" i="1"/>
  <c r="DR156" i="1"/>
  <c r="DR155" i="1"/>
  <c r="DR154" i="1"/>
  <c r="DR153" i="1"/>
  <c r="DR152" i="1"/>
  <c r="DR151" i="1"/>
  <c r="DR150" i="1"/>
  <c r="DR149" i="1"/>
  <c r="DR147" i="1"/>
  <c r="DR146" i="1"/>
  <c r="DR145" i="1"/>
  <c r="DR144" i="1"/>
  <c r="DR143" i="1"/>
  <c r="DR142" i="1"/>
  <c r="DR141" i="1"/>
  <c r="DR140" i="1"/>
  <c r="DR139" i="1"/>
  <c r="DR137" i="1"/>
  <c r="DR136" i="1"/>
  <c r="DR135" i="1"/>
  <c r="DR134" i="1"/>
  <c r="DR133" i="1"/>
  <c r="DR132" i="1"/>
  <c r="DR131" i="1"/>
  <c r="DR130" i="1"/>
  <c r="DR129" i="1"/>
  <c r="DR127" i="1"/>
  <c r="DR126" i="1"/>
  <c r="DR125" i="1"/>
  <c r="DR121" i="1"/>
  <c r="DR120" i="1"/>
  <c r="DR119" i="1"/>
  <c r="DR117" i="1"/>
  <c r="DR116" i="1"/>
  <c r="DR115" i="1"/>
  <c r="DR114" i="1"/>
  <c r="DR113" i="1"/>
  <c r="DR112" i="1"/>
  <c r="DR111" i="1"/>
  <c r="DR110" i="1"/>
  <c r="DR109" i="1"/>
  <c r="DR107" i="1"/>
  <c r="DR106" i="1"/>
  <c r="DR105" i="1"/>
  <c r="DR104" i="1"/>
  <c r="DR103" i="1"/>
  <c r="DR102" i="1"/>
  <c r="DR101" i="1"/>
  <c r="DR100" i="1"/>
  <c r="DR99" i="1"/>
  <c r="DR97" i="1"/>
  <c r="DR96" i="1"/>
  <c r="DR95" i="1"/>
  <c r="DR79" i="1"/>
  <c r="DG79" i="1" s="1"/>
  <c r="DR77" i="1"/>
  <c r="DG77" i="1" s="1"/>
  <c r="DR76" i="1"/>
  <c r="DG76" i="1" s="1"/>
  <c r="DR75" i="1"/>
  <c r="DG75" i="1" s="1"/>
  <c r="DR74" i="1"/>
  <c r="DG74" i="1" s="1"/>
  <c r="DR73" i="1"/>
  <c r="DG73" i="1" s="1"/>
  <c r="DR72" i="1"/>
  <c r="DG72" i="1" s="1"/>
  <c r="DR71" i="1"/>
  <c r="DG71" i="1" s="1"/>
  <c r="DR70" i="1"/>
  <c r="DG70" i="1" s="1"/>
  <c r="DR69" i="1"/>
  <c r="DG69" i="1" s="1"/>
  <c r="DR67" i="1"/>
  <c r="DG67" i="1" s="1"/>
  <c r="DR66" i="1"/>
  <c r="DG66" i="1" s="1"/>
  <c r="DR65" i="1"/>
  <c r="DG65" i="1" s="1"/>
  <c r="DR64" i="1"/>
  <c r="DG64" i="1" s="1"/>
  <c r="DR63" i="1"/>
  <c r="DG63" i="1" s="1"/>
  <c r="DR62" i="1"/>
  <c r="DG62" i="1" s="1"/>
  <c r="DR61" i="1"/>
  <c r="DG61" i="1" s="1"/>
  <c r="DR60" i="1"/>
  <c r="DG60" i="1" s="1"/>
  <c r="DR59" i="1"/>
  <c r="DG59" i="1" s="1"/>
  <c r="DR57" i="1"/>
  <c r="DG57" i="1" s="1"/>
  <c r="DR56" i="1"/>
  <c r="DG56" i="1" s="1"/>
  <c r="DR55" i="1"/>
  <c r="DG55" i="1" s="1"/>
  <c r="DR54" i="1"/>
  <c r="DG54" i="1" s="1"/>
  <c r="DR53" i="1"/>
  <c r="DG53" i="1" s="1"/>
  <c r="DR52" i="1"/>
  <c r="DG52" i="1" s="1"/>
  <c r="DR51" i="1"/>
  <c r="DG51" i="1" s="1"/>
  <c r="DR50" i="1"/>
  <c r="DG50" i="1" s="1"/>
  <c r="DR49" i="1"/>
  <c r="DG49" i="1" s="1"/>
  <c r="DR47" i="1"/>
  <c r="DG47" i="1" s="1"/>
  <c r="DR46" i="1"/>
  <c r="DG46" i="1" s="1"/>
  <c r="DR45" i="1"/>
  <c r="DG45" i="1" s="1"/>
  <c r="DR44" i="1"/>
  <c r="DG44" i="1" s="1"/>
  <c r="DR43" i="1"/>
  <c r="DG43" i="1" s="1"/>
  <c r="DR42" i="1"/>
  <c r="DG42" i="1" s="1"/>
  <c r="DR41" i="1"/>
  <c r="DG41" i="1" s="1"/>
  <c r="DR40" i="1"/>
  <c r="DG40" i="1" s="1"/>
  <c r="DR39" i="1"/>
  <c r="DG39" i="1" s="1"/>
  <c r="DR37" i="1"/>
  <c r="DG37" i="1" s="1"/>
  <c r="DR36" i="1"/>
  <c r="DG36" i="1" s="1"/>
  <c r="DR35" i="1"/>
  <c r="DG35" i="1" s="1"/>
  <c r="DR34" i="1"/>
  <c r="DG34" i="1" s="1"/>
  <c r="AE52" i="35"/>
  <c r="DR33" i="1"/>
  <c r="DG33" i="1" s="1"/>
  <c r="DR32" i="1"/>
  <c r="DG32" i="1" s="1"/>
  <c r="DR31" i="1"/>
  <c r="DG31" i="1" s="1"/>
  <c r="DR30" i="1"/>
  <c r="DG30" i="1" s="1"/>
  <c r="DR29" i="1"/>
  <c r="DG29" i="1" s="1"/>
  <c r="BG46" i="1"/>
  <c r="BF46" i="1"/>
  <c r="DA45" i="1"/>
  <c r="DR27" i="1"/>
  <c r="DG27" i="1" s="1"/>
  <c r="DR26" i="1"/>
  <c r="DG26" i="1" s="1"/>
  <c r="DR25" i="1"/>
  <c r="DG25" i="1" s="1"/>
  <c r="DR24" i="1"/>
  <c r="DG24" i="1" s="1"/>
  <c r="DR23" i="1"/>
  <c r="DG23" i="1" s="1"/>
  <c r="B44" i="1"/>
  <c r="DR22" i="1"/>
  <c r="DG22" i="1" s="1"/>
  <c r="DR21" i="1"/>
  <c r="DG21" i="1" s="1"/>
  <c r="DR20" i="1"/>
  <c r="DG20" i="1" s="1"/>
  <c r="DR19" i="1"/>
  <c r="DG19" i="1" s="1"/>
  <c r="DR17" i="1"/>
  <c r="DR16" i="1"/>
  <c r="DR15" i="1"/>
  <c r="DR14" i="1"/>
  <c r="DR13" i="1"/>
  <c r="DR12" i="1"/>
  <c r="DR11" i="1"/>
  <c r="DG11" i="1" s="1"/>
  <c r="DR10" i="1"/>
  <c r="DG10" i="1" s="1"/>
  <c r="DR9" i="1"/>
  <c r="DG9" i="1" s="1"/>
  <c r="I8" i="1"/>
  <c r="EF2" i="1"/>
  <c r="DR2" i="1"/>
  <c r="M116" i="2" l="1" a="1"/>
  <c r="M116" i="2" s="1"/>
  <c r="M135" i="2" s="1"/>
  <c r="N116" i="2" a="1"/>
  <c r="N116" i="2" s="1"/>
  <c r="N135" i="2" s="1"/>
  <c r="O116" i="2" a="1"/>
  <c r="O116" i="2" s="1"/>
  <c r="O135" i="2" s="1"/>
  <c r="P116" i="2" a="1"/>
  <c r="P116" i="2" s="1"/>
  <c r="P135" i="2" s="1"/>
  <c r="T116" i="2" a="1"/>
  <c r="T116" i="2" s="1"/>
  <c r="T135" i="2" s="1"/>
  <c r="X116" i="2" a="1"/>
  <c r="X116" i="2" s="1"/>
  <c r="X135" i="2" s="1"/>
  <c r="AB116" i="2" a="1"/>
  <c r="AB116" i="2" s="1"/>
  <c r="AB135" i="2" s="1"/>
  <c r="AF116" i="2" a="1"/>
  <c r="AF116" i="2" s="1"/>
  <c r="AF135" i="2" s="1"/>
  <c r="AJ116" i="2" a="1"/>
  <c r="AJ116" i="2" s="1"/>
  <c r="F117" i="2" a="1"/>
  <c r="F117" i="2" s="1"/>
  <c r="F136" i="2" s="1"/>
  <c r="J117" i="2" a="1"/>
  <c r="J117" i="2" s="1"/>
  <c r="J136" i="2" s="1"/>
  <c r="N117" i="2" a="1"/>
  <c r="N117" i="2" s="1"/>
  <c r="N136" i="2" s="1"/>
  <c r="R117" i="2" a="1"/>
  <c r="R117" i="2" s="1"/>
  <c r="R136" i="2" s="1"/>
  <c r="V117" i="2" a="1"/>
  <c r="V117" i="2" s="1"/>
  <c r="V136" i="2" s="1"/>
  <c r="Z117" i="2" a="1"/>
  <c r="Z117" i="2" s="1"/>
  <c r="Z136" i="2" s="1"/>
  <c r="AD117" i="2" a="1"/>
  <c r="AD117" i="2" s="1"/>
  <c r="AD136" i="2" s="1"/>
  <c r="AH117" i="2" a="1"/>
  <c r="AH117" i="2" s="1"/>
  <c r="D118" i="2" a="1"/>
  <c r="D118" i="2" s="1"/>
  <c r="D137" i="2" s="1"/>
  <c r="H118" i="2" a="1"/>
  <c r="H118" i="2" s="1"/>
  <c r="H137" i="2" s="1"/>
  <c r="L118" i="2" a="1"/>
  <c r="L118" i="2" s="1"/>
  <c r="L137" i="2" s="1"/>
  <c r="P118" i="2" a="1"/>
  <c r="P118" i="2" s="1"/>
  <c r="P137" i="2" s="1"/>
  <c r="T118" i="2" a="1"/>
  <c r="T118" i="2" s="1"/>
  <c r="T137" i="2" s="1"/>
  <c r="X118" i="2" a="1"/>
  <c r="X118" i="2" s="1"/>
  <c r="X137" i="2" s="1"/>
  <c r="AB118" i="2" a="1"/>
  <c r="AB118" i="2" s="1"/>
  <c r="AB137" i="2" s="1"/>
  <c r="AF118" i="2" a="1"/>
  <c r="AF118" i="2" s="1"/>
  <c r="AJ118" i="2" a="1"/>
  <c r="AJ118" i="2" s="1"/>
  <c r="F119" i="2" a="1"/>
  <c r="F119" i="2" s="1"/>
  <c r="F138" i="2" s="1"/>
  <c r="J119" i="2" a="1"/>
  <c r="J119" i="2" s="1"/>
  <c r="J138" i="2" s="1"/>
  <c r="N119" i="2" a="1"/>
  <c r="N119" i="2" s="1"/>
  <c r="N138" i="2" s="1"/>
  <c r="R119" i="2" a="1"/>
  <c r="R119" i="2" s="1"/>
  <c r="R138" i="2" s="1"/>
  <c r="V119" i="2" a="1"/>
  <c r="V119" i="2" s="1"/>
  <c r="V138" i="2" s="1"/>
  <c r="Z119" i="2" a="1"/>
  <c r="Z119" i="2" s="1"/>
  <c r="Z138" i="2" s="1"/>
  <c r="AD119" i="2" a="1"/>
  <c r="AD119" i="2" s="1"/>
  <c r="AH119" i="2" a="1"/>
  <c r="AH119" i="2" s="1"/>
  <c r="D120" i="2" a="1"/>
  <c r="D120" i="2" s="1"/>
  <c r="D139" i="2" s="1"/>
  <c r="H120" i="2" a="1"/>
  <c r="H120" i="2" s="1"/>
  <c r="H139" i="2" s="1"/>
  <c r="L120" i="2" a="1"/>
  <c r="L120" i="2" s="1"/>
  <c r="L139" i="2" s="1"/>
  <c r="P120" i="2" a="1"/>
  <c r="P120" i="2" s="1"/>
  <c r="P139" i="2" s="1"/>
  <c r="T120" i="2" a="1"/>
  <c r="T120" i="2" s="1"/>
  <c r="T139" i="2" s="1"/>
  <c r="X120" i="2" a="1"/>
  <c r="X120" i="2" s="1"/>
  <c r="X139" i="2" s="1"/>
  <c r="AB120" i="2" a="1"/>
  <c r="AB120" i="2" s="1"/>
  <c r="AB139" i="2" s="1"/>
  <c r="AF120" i="2" a="1"/>
  <c r="AF120" i="2" s="1"/>
  <c r="AF139" i="2" s="1"/>
  <c r="AJ120" i="2" a="1"/>
  <c r="AJ120" i="2" s="1"/>
  <c r="F121" i="2" a="1"/>
  <c r="F121" i="2" s="1"/>
  <c r="F140" i="2" s="1"/>
  <c r="J121" i="2" a="1"/>
  <c r="J121" i="2" s="1"/>
  <c r="J140" i="2" s="1"/>
  <c r="N121" i="2" a="1"/>
  <c r="N121" i="2" s="1"/>
  <c r="N140" i="2" s="1"/>
  <c r="R121" i="2" a="1"/>
  <c r="R121" i="2" s="1"/>
  <c r="R140" i="2" s="1"/>
  <c r="V121" i="2" a="1"/>
  <c r="V121" i="2" s="1"/>
  <c r="V140" i="2" s="1"/>
  <c r="Z121" i="2" a="1"/>
  <c r="Z121" i="2" s="1"/>
  <c r="Z140" i="2" s="1"/>
  <c r="AD121" i="2" a="1"/>
  <c r="AD121" i="2" s="1"/>
  <c r="AD140" i="2" s="1"/>
  <c r="AH121" i="2" a="1"/>
  <c r="AH121" i="2" s="1"/>
  <c r="AH140" i="2" s="1"/>
  <c r="D122" i="2" a="1"/>
  <c r="D122" i="2" s="1"/>
  <c r="D141" i="2" s="1"/>
  <c r="H122" i="2" a="1"/>
  <c r="H122" i="2" s="1"/>
  <c r="H141" i="2" s="1"/>
  <c r="L122" i="2" a="1"/>
  <c r="L122" i="2" s="1"/>
  <c r="L141" i="2" s="1"/>
  <c r="P122" i="2" a="1"/>
  <c r="P122" i="2" s="1"/>
  <c r="P141" i="2" s="1"/>
  <c r="T122" i="2" a="1"/>
  <c r="T122" i="2" s="1"/>
  <c r="T141" i="2" s="1"/>
  <c r="X122" i="2" a="1"/>
  <c r="X122" i="2" s="1"/>
  <c r="X141" i="2" s="1"/>
  <c r="AB122" i="2" a="1"/>
  <c r="AB122" i="2" s="1"/>
  <c r="AB141" i="2" s="1"/>
  <c r="AF122" i="2" a="1"/>
  <c r="AF122" i="2" s="1"/>
  <c r="AF141" i="2" s="1"/>
  <c r="AJ122" i="2" a="1"/>
  <c r="AJ122" i="2" s="1"/>
  <c r="P111" i="2" a="1"/>
  <c r="P111" i="2" s="1"/>
  <c r="P130" i="2" s="1"/>
  <c r="T111" i="2" a="1"/>
  <c r="T111" i="2" s="1"/>
  <c r="T130" i="2" s="1"/>
  <c r="X111" i="2" a="1"/>
  <c r="X111" i="2" s="1"/>
  <c r="X130" i="2" s="1"/>
  <c r="AB111" i="2" a="1"/>
  <c r="AB111" i="2" s="1"/>
  <c r="AB130" i="2" s="1"/>
  <c r="AF111" i="2" a="1"/>
  <c r="AF111" i="2" s="1"/>
  <c r="AJ111" i="2" a="1"/>
  <c r="AJ111" i="2" s="1"/>
  <c r="P112" i="2" a="1"/>
  <c r="P112" i="2" s="1"/>
  <c r="P131" i="2" s="1"/>
  <c r="T112" i="2" a="1"/>
  <c r="T112" i="2" s="1"/>
  <c r="T131" i="2" s="1"/>
  <c r="X112" i="2" a="1"/>
  <c r="X112" i="2" s="1"/>
  <c r="X131" i="2" s="1"/>
  <c r="AB112" i="2" a="1"/>
  <c r="AB112" i="2" s="1"/>
  <c r="AB131" i="2" s="1"/>
  <c r="AF112" i="2" a="1"/>
  <c r="AF112" i="2" s="1"/>
  <c r="AJ112" i="2" a="1"/>
  <c r="AJ112" i="2" s="1"/>
  <c r="P113" i="2" a="1"/>
  <c r="P113" i="2" s="1"/>
  <c r="P132" i="2" s="1"/>
  <c r="T113" i="2" a="1"/>
  <c r="T113" i="2" s="1"/>
  <c r="T132" i="2" s="1"/>
  <c r="X113" i="2" a="1"/>
  <c r="X113" i="2" s="1"/>
  <c r="X132" i="2" s="1"/>
  <c r="AB113" i="2" a="1"/>
  <c r="AB113" i="2" s="1"/>
  <c r="AB132" i="2" s="1"/>
  <c r="AF113" i="2" a="1"/>
  <c r="AF113" i="2" s="1"/>
  <c r="AJ113" i="2" a="1"/>
  <c r="AJ113" i="2" s="1"/>
  <c r="P114" i="2" a="1"/>
  <c r="P114" i="2" s="1"/>
  <c r="P133" i="2" s="1"/>
  <c r="T114" i="2" a="1"/>
  <c r="T114" i="2" s="1"/>
  <c r="T133" i="2" s="1"/>
  <c r="X114" i="2" a="1"/>
  <c r="X114" i="2" s="1"/>
  <c r="X133" i="2" s="1"/>
  <c r="AB114" i="2" a="1"/>
  <c r="AB114" i="2" s="1"/>
  <c r="AF114" i="2" a="1"/>
  <c r="AF114" i="2" s="1"/>
  <c r="AF133" i="2" s="1"/>
  <c r="AJ114" i="2" a="1"/>
  <c r="AJ114" i="2" s="1"/>
  <c r="P115" i="2" a="1"/>
  <c r="P115" i="2" s="1"/>
  <c r="P134" i="2" s="1"/>
  <c r="T115" i="2" a="1"/>
  <c r="T115" i="2" s="1"/>
  <c r="T134" i="2" s="1"/>
  <c r="X115" i="2" a="1"/>
  <c r="X115" i="2" s="1"/>
  <c r="X134" i="2" s="1"/>
  <c r="AB115" i="2" a="1"/>
  <c r="AB115" i="2" s="1"/>
  <c r="AB134" i="2" s="1"/>
  <c r="Q116" i="2" a="1"/>
  <c r="Q116" i="2" s="1"/>
  <c r="Q135" i="2" s="1"/>
  <c r="V116" i="2" a="1"/>
  <c r="V116" i="2" s="1"/>
  <c r="V135" i="2" s="1"/>
  <c r="AA116" i="2" a="1"/>
  <c r="AA116" i="2" s="1"/>
  <c r="AA135" i="2" s="1"/>
  <c r="AG116" i="2" a="1"/>
  <c r="AG116" i="2" s="1"/>
  <c r="AG135" i="2" s="1"/>
  <c r="D117" i="2" a="1"/>
  <c r="D117" i="2" s="1"/>
  <c r="D136" i="2" s="1"/>
  <c r="I117" i="2" a="1"/>
  <c r="I117" i="2" s="1"/>
  <c r="I136" i="2" s="1"/>
  <c r="O117" i="2" a="1"/>
  <c r="O117" i="2" s="1"/>
  <c r="O136" i="2" s="1"/>
  <c r="T117" i="2" a="1"/>
  <c r="T117" i="2" s="1"/>
  <c r="T136" i="2" s="1"/>
  <c r="Y117" i="2" a="1"/>
  <c r="Y117" i="2" s="1"/>
  <c r="Y136" i="2" s="1"/>
  <c r="AE117" i="2" a="1"/>
  <c r="AE117" i="2" s="1"/>
  <c r="AJ117" i="2" a="1"/>
  <c r="AJ117" i="2" s="1"/>
  <c r="G118" i="2" a="1"/>
  <c r="G118" i="2" s="1"/>
  <c r="G137" i="2" s="1"/>
  <c r="M118" i="2" a="1"/>
  <c r="M118" i="2" s="1"/>
  <c r="M137" i="2" s="1"/>
  <c r="R118" i="2" a="1"/>
  <c r="R118" i="2" s="1"/>
  <c r="R137" i="2" s="1"/>
  <c r="W118" i="2" a="1"/>
  <c r="W118" i="2" s="1"/>
  <c r="W137" i="2" s="1"/>
  <c r="AC118" i="2" a="1"/>
  <c r="AC118" i="2" s="1"/>
  <c r="AC137" i="2" s="1"/>
  <c r="AH118" i="2" a="1"/>
  <c r="AH118" i="2" s="1"/>
  <c r="E119" i="2" a="1"/>
  <c r="E119" i="2" s="1"/>
  <c r="E138" i="2" s="1"/>
  <c r="K119" i="2" a="1"/>
  <c r="K119" i="2" s="1"/>
  <c r="K138" i="2" s="1"/>
  <c r="P119" i="2" a="1"/>
  <c r="P119" i="2" s="1"/>
  <c r="P138" i="2" s="1"/>
  <c r="U119" i="2" a="1"/>
  <c r="U119" i="2" s="1"/>
  <c r="U138" i="2" s="1"/>
  <c r="R116" i="2" a="1"/>
  <c r="R116" i="2" s="1"/>
  <c r="R135" i="2" s="1"/>
  <c r="W116" i="2" a="1"/>
  <c r="W116" i="2" s="1"/>
  <c r="W135" i="2" s="1"/>
  <c r="AC116" i="2" a="1"/>
  <c r="AC116" i="2" s="1"/>
  <c r="AC135" i="2" s="1"/>
  <c r="AH116" i="2" a="1"/>
  <c r="AH116" i="2" s="1"/>
  <c r="E117" i="2" a="1"/>
  <c r="E117" i="2" s="1"/>
  <c r="E136" i="2" s="1"/>
  <c r="K117" i="2" a="1"/>
  <c r="K117" i="2" s="1"/>
  <c r="K136" i="2" s="1"/>
  <c r="P117" i="2" a="1"/>
  <c r="P117" i="2" s="1"/>
  <c r="P136" i="2" s="1"/>
  <c r="U117" i="2" a="1"/>
  <c r="U117" i="2" s="1"/>
  <c r="U136" i="2" s="1"/>
  <c r="AA117" i="2" a="1"/>
  <c r="AA117" i="2" s="1"/>
  <c r="AA136" i="2" s="1"/>
  <c r="AF117" i="2" a="1"/>
  <c r="AF117" i="2" s="1"/>
  <c r="AF136" i="2" s="1"/>
  <c r="C118" i="2" a="1"/>
  <c r="C118" i="2" s="1"/>
  <c r="C137" i="2" s="1"/>
  <c r="I118" i="2" a="1"/>
  <c r="I118" i="2" s="1"/>
  <c r="I137" i="2" s="1"/>
  <c r="N118" i="2" a="1"/>
  <c r="N118" i="2" s="1"/>
  <c r="N137" i="2" s="1"/>
  <c r="S118" i="2" a="1"/>
  <c r="S118" i="2" s="1"/>
  <c r="S137" i="2" s="1"/>
  <c r="Y118" i="2" a="1"/>
  <c r="Y118" i="2" s="1"/>
  <c r="Y137" i="2" s="1"/>
  <c r="AD118" i="2" a="1"/>
  <c r="AD118" i="2" s="1"/>
  <c r="AI118" i="2" a="1"/>
  <c r="AI118" i="2" s="1"/>
  <c r="G119" i="2" a="1"/>
  <c r="G119" i="2" s="1"/>
  <c r="G138" i="2" s="1"/>
  <c r="L119" i="2" a="1"/>
  <c r="L119" i="2" s="1"/>
  <c r="L138" i="2" s="1"/>
  <c r="Q119" i="2" a="1"/>
  <c r="Q119" i="2" s="1"/>
  <c r="Q138" i="2" s="1"/>
  <c r="W119" i="2" a="1"/>
  <c r="W119" i="2" s="1"/>
  <c r="W138" i="2" s="1"/>
  <c r="AB119" i="2" a="1"/>
  <c r="AB119" i="2" s="1"/>
  <c r="AB138" i="2" s="1"/>
  <c r="AG119" i="2" a="1"/>
  <c r="AG119" i="2" s="1"/>
  <c r="AG138" i="2" s="1"/>
  <c r="E120" i="2" a="1"/>
  <c r="E120" i="2" s="1"/>
  <c r="E139" i="2" s="1"/>
  <c r="J120" i="2" a="1"/>
  <c r="J120" i="2" s="1"/>
  <c r="J139" i="2" s="1"/>
  <c r="O120" i="2" a="1"/>
  <c r="O120" i="2" s="1"/>
  <c r="O139" i="2" s="1"/>
  <c r="U120" i="2" a="1"/>
  <c r="U120" i="2" s="1"/>
  <c r="U139" i="2" s="1"/>
  <c r="Z120" i="2" a="1"/>
  <c r="Z120" i="2" s="1"/>
  <c r="Z139" i="2" s="1"/>
  <c r="AE120" i="2" a="1"/>
  <c r="AE120" i="2" s="1"/>
  <c r="AE139" i="2" s="1"/>
  <c r="C121" i="2" a="1"/>
  <c r="C121" i="2" s="1"/>
  <c r="C140" i="2" s="1"/>
  <c r="H121" i="2" a="1"/>
  <c r="H121" i="2" s="1"/>
  <c r="H140" i="2" s="1"/>
  <c r="M121" i="2" a="1"/>
  <c r="M121" i="2" s="1"/>
  <c r="M140" i="2" s="1"/>
  <c r="S121" i="2" a="1"/>
  <c r="S121" i="2" s="1"/>
  <c r="S140" i="2" s="1"/>
  <c r="X121" i="2" a="1"/>
  <c r="X121" i="2" s="1"/>
  <c r="X140" i="2" s="1"/>
  <c r="AC121" i="2" a="1"/>
  <c r="AC121" i="2" s="1"/>
  <c r="AC140" i="2" s="1"/>
  <c r="AI121" i="2" a="1"/>
  <c r="AI121" i="2" s="1"/>
  <c r="AI140" i="2" s="1"/>
  <c r="F122" i="2" a="1"/>
  <c r="F122" i="2" s="1"/>
  <c r="F141" i="2" s="1"/>
  <c r="K122" i="2" a="1"/>
  <c r="K122" i="2" s="1"/>
  <c r="K141" i="2" s="1"/>
  <c r="Q122" i="2" a="1"/>
  <c r="Q122" i="2" s="1"/>
  <c r="Q141" i="2" s="1"/>
  <c r="V122" i="2" a="1"/>
  <c r="V122" i="2" s="1"/>
  <c r="V141" i="2" s="1"/>
  <c r="AA122" i="2" a="1"/>
  <c r="AA122" i="2" s="1"/>
  <c r="AA141" i="2" s="1"/>
  <c r="AG122" i="2" a="1"/>
  <c r="AG122" i="2" s="1"/>
  <c r="AG141" i="2" s="1"/>
  <c r="N111" i="2" a="1"/>
  <c r="N111" i="2" s="1"/>
  <c r="N130" i="2" s="1"/>
  <c r="S111" i="2" a="1"/>
  <c r="S111" i="2" s="1"/>
  <c r="S130" i="2" s="1"/>
  <c r="Y111" i="2" a="1"/>
  <c r="Y111" i="2" s="1"/>
  <c r="Y130" i="2" s="1"/>
  <c r="AD111" i="2" a="1"/>
  <c r="AD111" i="2" s="1"/>
  <c r="AD130" i="2" s="1"/>
  <c r="AI111" i="2" a="1"/>
  <c r="AI111" i="2" s="1"/>
  <c r="AI130" i="2" s="1"/>
  <c r="Q112" i="2" a="1"/>
  <c r="Q112" i="2" s="1"/>
  <c r="Q131" i="2" s="1"/>
  <c r="V112" i="2" a="1"/>
  <c r="V112" i="2" s="1"/>
  <c r="V131" i="2" s="1"/>
  <c r="AA112" i="2" a="1"/>
  <c r="AA112" i="2" s="1"/>
  <c r="AA131" i="2" s="1"/>
  <c r="AG112" i="2" a="1"/>
  <c r="AG112" i="2" s="1"/>
  <c r="AG131" i="2" s="1"/>
  <c r="N113" i="2" a="1"/>
  <c r="N113" i="2" s="1"/>
  <c r="N132" i="2" s="1"/>
  <c r="S113" i="2" a="1"/>
  <c r="S113" i="2" s="1"/>
  <c r="S132" i="2" s="1"/>
  <c r="Y113" i="2" a="1"/>
  <c r="Y113" i="2" s="1"/>
  <c r="Y132" i="2" s="1"/>
  <c r="AD113" i="2" a="1"/>
  <c r="AD113" i="2" s="1"/>
  <c r="AD132" i="2" s="1"/>
  <c r="AI113" i="2" a="1"/>
  <c r="AI113" i="2" s="1"/>
  <c r="Q114" i="2" a="1"/>
  <c r="Q114" i="2" s="1"/>
  <c r="Q133" i="2" s="1"/>
  <c r="V114" i="2" a="1"/>
  <c r="V114" i="2" s="1"/>
  <c r="V133" i="2" s="1"/>
  <c r="AA114" i="2" a="1"/>
  <c r="AA114" i="2" s="1"/>
  <c r="AA133" i="2" s="1"/>
  <c r="AG114" i="2" a="1"/>
  <c r="AG114" i="2" s="1"/>
  <c r="N115" i="2" a="1"/>
  <c r="N115" i="2" s="1"/>
  <c r="N134" i="2" s="1"/>
  <c r="S115" i="2" a="1"/>
  <c r="S115" i="2" s="1"/>
  <c r="S134" i="2" s="1"/>
  <c r="Y115" i="2" a="1"/>
  <c r="Y115" i="2" s="1"/>
  <c r="Y134" i="2" s="1"/>
  <c r="AD115" i="2" a="1"/>
  <c r="AD115" i="2" s="1"/>
  <c r="AD134" i="2" s="1"/>
  <c r="AH115" i="2" a="1"/>
  <c r="AH115" i="2" s="1"/>
  <c r="S116" i="2" a="1"/>
  <c r="S116" i="2" s="1"/>
  <c r="S135" i="2" s="1"/>
  <c r="Y116" i="2" a="1"/>
  <c r="Y116" i="2" s="1"/>
  <c r="Y135" i="2" s="1"/>
  <c r="AD116" i="2" a="1"/>
  <c r="AD116" i="2" s="1"/>
  <c r="AI116" i="2" a="1"/>
  <c r="AI116" i="2" s="1"/>
  <c r="G117" i="2" a="1"/>
  <c r="G117" i="2" s="1"/>
  <c r="G136" i="2" s="1"/>
  <c r="L117" i="2" a="1"/>
  <c r="L117" i="2" s="1"/>
  <c r="L136" i="2" s="1"/>
  <c r="Q117" i="2" a="1"/>
  <c r="Q117" i="2" s="1"/>
  <c r="Q136" i="2" s="1"/>
  <c r="W117" i="2" a="1"/>
  <c r="W117" i="2" s="1"/>
  <c r="W136" i="2" s="1"/>
  <c r="AB117" i="2" a="1"/>
  <c r="AB117" i="2" s="1"/>
  <c r="AB136" i="2" s="1"/>
  <c r="AG117" i="2" a="1"/>
  <c r="AG117" i="2" s="1"/>
  <c r="AG136" i="2" s="1"/>
  <c r="E118" i="2" a="1"/>
  <c r="E118" i="2" s="1"/>
  <c r="E137" i="2" s="1"/>
  <c r="J118" i="2" a="1"/>
  <c r="J118" i="2" s="1"/>
  <c r="J137" i="2" s="1"/>
  <c r="O118" i="2" a="1"/>
  <c r="O118" i="2" s="1"/>
  <c r="O137" i="2" s="1"/>
  <c r="U118" i="2" a="1"/>
  <c r="U118" i="2" s="1"/>
  <c r="U137" i="2" s="1"/>
  <c r="AE118" i="2" a="1"/>
  <c r="AE118" i="2" s="1"/>
  <c r="C119" i="2" a="1"/>
  <c r="C119" i="2" s="1"/>
  <c r="C138" i="2" s="1"/>
  <c r="H119" i="2" a="1"/>
  <c r="H119" i="2" s="1"/>
  <c r="H138" i="2" s="1"/>
  <c r="M119" i="2" a="1"/>
  <c r="M119" i="2" s="1"/>
  <c r="M138" i="2" s="1"/>
  <c r="X119" i="2" a="1"/>
  <c r="X119" i="2" s="1"/>
  <c r="X138" i="2" s="1"/>
  <c r="AI119" i="2" a="1"/>
  <c r="AI119" i="2" s="1"/>
  <c r="Z118" i="2" a="1"/>
  <c r="Z118" i="2" s="1"/>
  <c r="Z137" i="2" s="1"/>
  <c r="S119" i="2" a="1"/>
  <c r="S119" i="2" s="1"/>
  <c r="S138" i="2" s="1"/>
  <c r="AC119" i="2" a="1"/>
  <c r="AC119" i="2" s="1"/>
  <c r="F120" i="2" a="1"/>
  <c r="F120" i="2" s="1"/>
  <c r="F139" i="2" s="1"/>
  <c r="U116" i="2" a="1"/>
  <c r="U116" i="2" s="1"/>
  <c r="U135" i="2" s="1"/>
  <c r="H117" i="2" a="1"/>
  <c r="H117" i="2" s="1"/>
  <c r="H136" i="2" s="1"/>
  <c r="AC117" i="2" a="1"/>
  <c r="AC117" i="2" s="1"/>
  <c r="Q118" i="2" a="1"/>
  <c r="Q118" i="2" s="1"/>
  <c r="Q137" i="2" s="1"/>
  <c r="D119" i="2" a="1"/>
  <c r="D119" i="2" s="1"/>
  <c r="D138" i="2" s="1"/>
  <c r="Y119" i="2" a="1"/>
  <c r="Y119" i="2" s="1"/>
  <c r="Y138" i="2" s="1"/>
  <c r="AJ119" i="2" a="1"/>
  <c r="AJ119" i="2" s="1"/>
  <c r="K120" i="2" a="1"/>
  <c r="K120" i="2" s="1"/>
  <c r="K139" i="2" s="1"/>
  <c r="R120" i="2" a="1"/>
  <c r="R120" i="2" s="1"/>
  <c r="R139" i="2" s="1"/>
  <c r="Y120" i="2" a="1"/>
  <c r="Y120" i="2" s="1"/>
  <c r="Y139" i="2" s="1"/>
  <c r="AG120" i="2" a="1"/>
  <c r="AG120" i="2" s="1"/>
  <c r="AG139" i="2" s="1"/>
  <c r="E121" i="2" a="1"/>
  <c r="E121" i="2" s="1"/>
  <c r="E140" i="2" s="1"/>
  <c r="L121" i="2" a="1"/>
  <c r="L121" i="2" s="1"/>
  <c r="L140" i="2" s="1"/>
  <c r="T121" i="2" a="1"/>
  <c r="T121" i="2" s="1"/>
  <c r="T140" i="2" s="1"/>
  <c r="AA121" i="2" a="1"/>
  <c r="AA121" i="2" s="1"/>
  <c r="AA140" i="2" s="1"/>
  <c r="AG121" i="2" a="1"/>
  <c r="AG121" i="2" s="1"/>
  <c r="AG140" i="2" s="1"/>
  <c r="G122" i="2" a="1"/>
  <c r="G122" i="2" s="1"/>
  <c r="G141" i="2" s="1"/>
  <c r="N122" i="2" a="1"/>
  <c r="N122" i="2" s="1"/>
  <c r="N141" i="2" s="1"/>
  <c r="U122" i="2" a="1"/>
  <c r="U122" i="2" s="1"/>
  <c r="U141" i="2" s="1"/>
  <c r="AC122" i="2" a="1"/>
  <c r="AC122" i="2" s="1"/>
  <c r="AC141" i="2" s="1"/>
  <c r="AI122" i="2" a="1"/>
  <c r="AI122" i="2" s="1"/>
  <c r="AI141" i="2" s="1"/>
  <c r="R111" i="2" a="1"/>
  <c r="R111" i="2" s="1"/>
  <c r="R130" i="2" s="1"/>
  <c r="Z111" i="2" a="1"/>
  <c r="Z111" i="2" s="1"/>
  <c r="Z130" i="2" s="1"/>
  <c r="AG111" i="2" a="1"/>
  <c r="AG111" i="2" s="1"/>
  <c r="O112" i="2" a="1"/>
  <c r="O112" i="2" s="1"/>
  <c r="O131" i="2" s="1"/>
  <c r="W112" i="2" a="1"/>
  <c r="W112" i="2" s="1"/>
  <c r="W131" i="2" s="1"/>
  <c r="AD112" i="2" a="1"/>
  <c r="AD112" i="2" s="1"/>
  <c r="M113" i="2" a="1"/>
  <c r="M113" i="2" s="1"/>
  <c r="M132" i="2" s="1"/>
  <c r="U113" i="2" a="1"/>
  <c r="U113" i="2" s="1"/>
  <c r="U132" i="2" s="1"/>
  <c r="AA113" i="2" a="1"/>
  <c r="AA113" i="2" s="1"/>
  <c r="AA132" i="2" s="1"/>
  <c r="AH113" i="2" a="1"/>
  <c r="AH113" i="2" s="1"/>
  <c r="R114" i="2" a="1"/>
  <c r="R114" i="2" s="1"/>
  <c r="R133" i="2" s="1"/>
  <c r="Y114" i="2" a="1"/>
  <c r="Y114" i="2" s="1"/>
  <c r="Y133" i="2" s="1"/>
  <c r="AE114" i="2" a="1"/>
  <c r="AE114" i="2" s="1"/>
  <c r="AE133" i="2" s="1"/>
  <c r="O115" i="2" a="1"/>
  <c r="O115" i="2" s="1"/>
  <c r="O134" i="2" s="1"/>
  <c r="V115" i="2" a="1"/>
  <c r="V115" i="2" s="1"/>
  <c r="V134" i="2" s="1"/>
  <c r="AC115" i="2" a="1"/>
  <c r="AC115" i="2" s="1"/>
  <c r="AC134" i="2" s="1"/>
  <c r="AI115" i="2" a="1"/>
  <c r="AI115" i="2" s="1"/>
  <c r="AI134" i="2" s="1"/>
  <c r="AE116" i="2" a="1"/>
  <c r="AE116" i="2" s="1"/>
  <c r="AA118" i="2" a="1"/>
  <c r="AA118" i="2" s="1"/>
  <c r="AA137" i="2" s="1"/>
  <c r="AE119" i="2" a="1"/>
  <c r="AE119" i="2" s="1"/>
  <c r="AE138" i="2" s="1"/>
  <c r="N120" i="2" a="1"/>
  <c r="N120" i="2" s="1"/>
  <c r="N139" i="2" s="1"/>
  <c r="AC120" i="2" a="1"/>
  <c r="AC120" i="2" s="1"/>
  <c r="AC139" i="2" s="1"/>
  <c r="I121" i="2" a="1"/>
  <c r="I121" i="2" s="1"/>
  <c r="I140" i="2" s="1"/>
  <c r="W121" i="2" a="1"/>
  <c r="W121" i="2" s="1"/>
  <c r="W140" i="2" s="1"/>
  <c r="C122" i="2" a="1"/>
  <c r="C122" i="2" s="1"/>
  <c r="C141" i="2" s="1"/>
  <c r="J122" i="2" a="1"/>
  <c r="J122" i="2" s="1"/>
  <c r="J141" i="2" s="1"/>
  <c r="Y122" i="2" a="1"/>
  <c r="Y122" i="2" s="1"/>
  <c r="Y141" i="2" s="1"/>
  <c r="O111" i="2" a="1"/>
  <c r="O111" i="2" s="1"/>
  <c r="O130" i="2" s="1"/>
  <c r="AC111" i="2" a="1"/>
  <c r="AC111" i="2" s="1"/>
  <c r="AC130" i="2" s="1"/>
  <c r="S112" i="2" a="1"/>
  <c r="S112" i="2" s="1"/>
  <c r="S131" i="2" s="1"/>
  <c r="AH112" i="2" a="1"/>
  <c r="AH112" i="2" s="1"/>
  <c r="W113" i="2" a="1"/>
  <c r="W113" i="2" s="1"/>
  <c r="W132" i="2" s="1"/>
  <c r="N114" i="2" a="1"/>
  <c r="N114" i="2" s="1"/>
  <c r="N133" i="2" s="1"/>
  <c r="AC114" i="2" a="1"/>
  <c r="AC114" i="2" s="1"/>
  <c r="R115" i="2" a="1"/>
  <c r="R115" i="2" s="1"/>
  <c r="R134" i="2" s="1"/>
  <c r="AF115" i="2" a="1"/>
  <c r="AF115" i="2" s="1"/>
  <c r="X117" i="2" a="1"/>
  <c r="X117" i="2" s="1"/>
  <c r="X136" i="2" s="1"/>
  <c r="K118" i="2" a="1"/>
  <c r="K118" i="2" s="1"/>
  <c r="K137" i="2" s="1"/>
  <c r="T119" i="2" a="1"/>
  <c r="T119" i="2" s="1"/>
  <c r="T138" i="2" s="1"/>
  <c r="I120" i="2" a="1"/>
  <c r="I120" i="2" s="1"/>
  <c r="I139" i="2" s="1"/>
  <c r="Q120" i="2" a="1"/>
  <c r="Q120" i="2" s="1"/>
  <c r="Q139" i="2" s="1"/>
  <c r="AD120" i="2" a="1"/>
  <c r="AD120" i="2" s="1"/>
  <c r="AD139" i="2" s="1"/>
  <c r="D121" i="2" a="1"/>
  <c r="D121" i="2" s="1"/>
  <c r="D140" i="2" s="1"/>
  <c r="Q121" i="2" a="1"/>
  <c r="Q121" i="2" s="1"/>
  <c r="Q140" i="2" s="1"/>
  <c r="AF121" i="2" a="1"/>
  <c r="AF121" i="2" s="1"/>
  <c r="AF140" i="2" s="1"/>
  <c r="M122" i="2" a="1"/>
  <c r="M122" i="2" s="1"/>
  <c r="M141" i="2" s="1"/>
  <c r="Z122" i="2" a="1"/>
  <c r="Z122" i="2" s="1"/>
  <c r="Z141" i="2" s="1"/>
  <c r="Q111" i="2" a="1"/>
  <c r="Q111" i="2" s="1"/>
  <c r="Q130" i="2" s="1"/>
  <c r="AE111" i="2" a="1"/>
  <c r="AE111" i="2" s="1"/>
  <c r="AE130" i="2" s="1"/>
  <c r="N112" i="2" a="1"/>
  <c r="N112" i="2" s="1"/>
  <c r="N131" i="2" s="1"/>
  <c r="AC112" i="2" a="1"/>
  <c r="AC112" i="2" s="1"/>
  <c r="R113" i="2" a="1"/>
  <c r="R113" i="2" s="1"/>
  <c r="R132" i="2" s="1"/>
  <c r="O114" i="2" a="1"/>
  <c r="O114" i="2" s="1"/>
  <c r="O133" i="2" s="1"/>
  <c r="AD114" i="2" a="1"/>
  <c r="AD114" i="2" s="1"/>
  <c r="U115" i="2" a="1"/>
  <c r="U115" i="2" s="1"/>
  <c r="U134" i="2" s="1"/>
  <c r="AG115" i="2" a="1"/>
  <c r="AG115" i="2" s="1"/>
  <c r="AG134" i="2" s="1"/>
  <c r="Z116" i="2" a="1"/>
  <c r="Z116" i="2" s="1"/>
  <c r="Z135" i="2" s="1"/>
  <c r="M117" i="2" a="1"/>
  <c r="M117" i="2" s="1"/>
  <c r="M136" i="2" s="1"/>
  <c r="AI117" i="2" a="1"/>
  <c r="AI117" i="2" s="1"/>
  <c r="V118" i="2" a="1"/>
  <c r="V118" i="2" s="1"/>
  <c r="V137" i="2" s="1"/>
  <c r="I119" i="2" a="1"/>
  <c r="I119" i="2" s="1"/>
  <c r="I138" i="2" s="1"/>
  <c r="AA119" i="2" a="1"/>
  <c r="AA119" i="2" s="1"/>
  <c r="AA138" i="2" s="1"/>
  <c r="C120" i="2" a="1"/>
  <c r="C120" i="2" s="1"/>
  <c r="C139" i="2" s="1"/>
  <c r="M120" i="2" a="1"/>
  <c r="M120" i="2" s="1"/>
  <c r="M139" i="2" s="1"/>
  <c r="S120" i="2" a="1"/>
  <c r="S120" i="2" s="1"/>
  <c r="S139" i="2" s="1"/>
  <c r="AA120" i="2" a="1"/>
  <c r="AA120" i="2" s="1"/>
  <c r="AA139" i="2" s="1"/>
  <c r="AH120" i="2" a="1"/>
  <c r="AH120" i="2" s="1"/>
  <c r="AH139" i="2" s="1"/>
  <c r="G121" i="2" a="1"/>
  <c r="G121" i="2" s="1"/>
  <c r="G140" i="2" s="1"/>
  <c r="O121" i="2" a="1"/>
  <c r="O121" i="2" s="1"/>
  <c r="O140" i="2" s="1"/>
  <c r="U121" i="2" a="1"/>
  <c r="U121" i="2" s="1"/>
  <c r="U140" i="2" s="1"/>
  <c r="AB121" i="2" a="1"/>
  <c r="AB121" i="2" s="1"/>
  <c r="AB140" i="2" s="1"/>
  <c r="AJ121" i="2" a="1"/>
  <c r="AJ121" i="2" s="1"/>
  <c r="I122" i="2" a="1"/>
  <c r="I122" i="2" s="1"/>
  <c r="I141" i="2" s="1"/>
  <c r="O122" i="2" a="1"/>
  <c r="O122" i="2" s="1"/>
  <c r="O141" i="2" s="1"/>
  <c r="W122" i="2" a="1"/>
  <c r="W122" i="2" s="1"/>
  <c r="W141" i="2" s="1"/>
  <c r="AD122" i="2" a="1"/>
  <c r="AD122" i="2" s="1"/>
  <c r="AD141" i="2" s="1"/>
  <c r="M111" i="2" a="1"/>
  <c r="M111" i="2" s="1"/>
  <c r="M130" i="2" s="1"/>
  <c r="U111" i="2" a="1"/>
  <c r="U111" i="2" s="1"/>
  <c r="U130" i="2" s="1"/>
  <c r="AA111" i="2" a="1"/>
  <c r="AA111" i="2" s="1"/>
  <c r="AA130" i="2" s="1"/>
  <c r="AH111" i="2" a="1"/>
  <c r="AH111" i="2" s="1"/>
  <c r="AH130" i="2" s="1"/>
  <c r="R112" i="2" a="1"/>
  <c r="R112" i="2" s="1"/>
  <c r="R131" i="2" s="1"/>
  <c r="Y112" i="2" a="1"/>
  <c r="Y112" i="2" s="1"/>
  <c r="Y131" i="2" s="1"/>
  <c r="AE112" i="2" a="1"/>
  <c r="AE112" i="2" s="1"/>
  <c r="O113" i="2" a="1"/>
  <c r="O113" i="2" s="1"/>
  <c r="O132" i="2" s="1"/>
  <c r="V113" i="2" a="1"/>
  <c r="V113" i="2" s="1"/>
  <c r="V132" i="2" s="1"/>
  <c r="AC113" i="2" a="1"/>
  <c r="AC113" i="2" s="1"/>
  <c r="AC132" i="2" s="1"/>
  <c r="M114" i="2" a="1"/>
  <c r="M114" i="2" s="1"/>
  <c r="M133" i="2" s="1"/>
  <c r="S114" i="2" a="1"/>
  <c r="S114" i="2" s="1"/>
  <c r="S133" i="2" s="1"/>
  <c r="Z114" i="2" a="1"/>
  <c r="Z114" i="2" s="1"/>
  <c r="Z133" i="2" s="1"/>
  <c r="AH114" i="2" a="1"/>
  <c r="AH114" i="2" s="1"/>
  <c r="Q115" i="2" a="1"/>
  <c r="Q115" i="2" s="1"/>
  <c r="Q134" i="2" s="1"/>
  <c r="W115" i="2" a="1"/>
  <c r="W115" i="2" s="1"/>
  <c r="W134" i="2" s="1"/>
  <c r="AE115" i="2" a="1"/>
  <c r="AE115" i="2" s="1"/>
  <c r="AE134" i="2" s="1"/>
  <c r="AJ115" i="2" a="1"/>
  <c r="AJ115" i="2" s="1"/>
  <c r="S117" i="2" a="1"/>
  <c r="S117" i="2" s="1"/>
  <c r="S136" i="2" s="1"/>
  <c r="F118" i="2" a="1"/>
  <c r="F118" i="2" s="1"/>
  <c r="F137" i="2" s="1"/>
  <c r="O119" i="2" a="1"/>
  <c r="O119" i="2" s="1"/>
  <c r="O138" i="2" s="1"/>
  <c r="G120" i="2" a="1"/>
  <c r="G120" i="2" s="1"/>
  <c r="G139" i="2" s="1"/>
  <c r="V120" i="2" a="1"/>
  <c r="V120" i="2" s="1"/>
  <c r="V139" i="2" s="1"/>
  <c r="AI120" i="2" a="1"/>
  <c r="AI120" i="2" s="1"/>
  <c r="AI139" i="2" s="1"/>
  <c r="P121" i="2" a="1"/>
  <c r="P121" i="2" s="1"/>
  <c r="P140" i="2" s="1"/>
  <c r="AE121" i="2" a="1"/>
  <c r="AE121" i="2" s="1"/>
  <c r="AE140" i="2" s="1"/>
  <c r="R122" i="2" a="1"/>
  <c r="R122" i="2" s="1"/>
  <c r="R141" i="2" s="1"/>
  <c r="AE122" i="2" a="1"/>
  <c r="AE122" i="2" s="1"/>
  <c r="AE141" i="2" s="1"/>
  <c r="V111" i="2" a="1"/>
  <c r="V111" i="2" s="1"/>
  <c r="V130" i="2" s="1"/>
  <c r="M112" i="2" a="1"/>
  <c r="M112" i="2" s="1"/>
  <c r="M131" i="2" s="1"/>
  <c r="Z112" i="2" a="1"/>
  <c r="Z112" i="2" s="1"/>
  <c r="Z131" i="2" s="1"/>
  <c r="Q113" i="2" a="1"/>
  <c r="Q113" i="2" s="1"/>
  <c r="Q132" i="2" s="1"/>
  <c r="AE113" i="2" a="1"/>
  <c r="AE113" i="2" s="1"/>
  <c r="AE132" i="2" s="1"/>
  <c r="U114" i="2" a="1"/>
  <c r="U114" i="2" s="1"/>
  <c r="U133" i="2" s="1"/>
  <c r="AI114" i="2" a="1"/>
  <c r="AI114" i="2" s="1"/>
  <c r="Z115" i="2" a="1"/>
  <c r="Z115" i="2" s="1"/>
  <c r="Z134" i="2" s="1"/>
  <c r="C117" i="2" a="1"/>
  <c r="C117" i="2" s="1"/>
  <c r="C136" i="2" s="1"/>
  <c r="AG118" i="2" a="1"/>
  <c r="AG118" i="2" s="1"/>
  <c r="AF119" i="2" a="1"/>
  <c r="AF119" i="2" s="1"/>
  <c r="W120" i="2" a="1"/>
  <c r="W120" i="2" s="1"/>
  <c r="W139" i="2" s="1"/>
  <c r="K121" i="2" a="1"/>
  <c r="K121" i="2" s="1"/>
  <c r="K140" i="2" s="1"/>
  <c r="Y121" i="2" a="1"/>
  <c r="Y121" i="2" s="1"/>
  <c r="Y140" i="2" s="1"/>
  <c r="E122" i="2" a="1"/>
  <c r="E122" i="2" s="1"/>
  <c r="E141" i="2" s="1"/>
  <c r="S122" i="2" a="1"/>
  <c r="S122" i="2" s="1"/>
  <c r="S141" i="2" s="1"/>
  <c r="AH122" i="2" a="1"/>
  <c r="AH122" i="2" s="1"/>
  <c r="AH141" i="2" s="1"/>
  <c r="W111" i="2" a="1"/>
  <c r="W111" i="2" s="1"/>
  <c r="W130" i="2" s="1"/>
  <c r="U112" i="2" a="1"/>
  <c r="U112" i="2" s="1"/>
  <c r="U131" i="2" s="1"/>
  <c r="AI112" i="2" a="1"/>
  <c r="AI112" i="2" s="1"/>
  <c r="AI131" i="2" s="1"/>
  <c r="Z113" i="2" a="1"/>
  <c r="Z113" i="2" s="1"/>
  <c r="Z132" i="2" s="1"/>
  <c r="AG113" i="2" a="1"/>
  <c r="AG113" i="2" s="1"/>
  <c r="W114" i="2" a="1"/>
  <c r="W114" i="2" s="1"/>
  <c r="W133" i="2" s="1"/>
  <c r="M115" i="2" a="1"/>
  <c r="M115" i="2" s="1"/>
  <c r="M134" i="2" s="1"/>
  <c r="AA115" i="2" a="1"/>
  <c r="AA115" i="2" s="1"/>
  <c r="AA134" i="2" s="1"/>
  <c r="J111" i="2" a="1"/>
  <c r="J111" i="2" s="1"/>
  <c r="J130" i="2" s="1"/>
  <c r="J116" i="2" a="1"/>
  <c r="J116" i="2" s="1"/>
  <c r="J135" i="2" s="1"/>
  <c r="D111" i="2" a="1"/>
  <c r="D111" i="2" s="1"/>
  <c r="D130" i="2" s="1"/>
  <c r="K113" i="2" a="1"/>
  <c r="K113" i="2" s="1"/>
  <c r="K132" i="2" s="1"/>
  <c r="H113" i="2" a="1"/>
  <c r="H113" i="2" s="1"/>
  <c r="H132" i="2" s="1"/>
  <c r="G111" i="2" a="1"/>
  <c r="G111" i="2" s="1"/>
  <c r="G130" i="2" s="1"/>
  <c r="H114" i="2" a="1"/>
  <c r="H114" i="2" s="1"/>
  <c r="H133" i="2" s="1"/>
  <c r="D115" i="2" a="1"/>
  <c r="D115" i="2" s="1"/>
  <c r="D134" i="2" s="1"/>
  <c r="H111" i="2" a="1"/>
  <c r="H111" i="2" s="1"/>
  <c r="H130" i="2" s="1"/>
  <c r="E112" i="2" a="1"/>
  <c r="E112" i="2" s="1"/>
  <c r="E131" i="2" s="1"/>
  <c r="L114" i="2" a="1"/>
  <c r="L114" i="2" s="1"/>
  <c r="L133" i="2" s="1"/>
  <c r="H112" i="2" a="1"/>
  <c r="H112" i="2" s="1"/>
  <c r="H131" i="2" s="1"/>
  <c r="G116" i="2" a="1"/>
  <c r="G116" i="2" s="1"/>
  <c r="G135" i="2" s="1"/>
  <c r="K114" i="2" a="1"/>
  <c r="K114" i="2" s="1"/>
  <c r="K133" i="2" s="1"/>
  <c r="G112" i="2" a="1"/>
  <c r="G112" i="2" s="1"/>
  <c r="G131" i="2" s="1"/>
  <c r="G114" i="2" a="1"/>
  <c r="G114" i="2" s="1"/>
  <c r="G133" i="2" s="1"/>
  <c r="C112" i="2" a="1"/>
  <c r="C112" i="2" s="1"/>
  <c r="C113" i="2" a="1"/>
  <c r="C113" i="2" s="1"/>
  <c r="L115" i="2" a="1"/>
  <c r="L115" i="2" s="1"/>
  <c r="L134" i="2" s="1"/>
  <c r="I116" i="2" a="1"/>
  <c r="I116" i="2" s="1"/>
  <c r="I135" i="2" s="1"/>
  <c r="I111" i="2" a="1"/>
  <c r="I111" i="2" s="1"/>
  <c r="I130" i="2" s="1"/>
  <c r="F112" i="2" a="1"/>
  <c r="F112" i="2" s="1"/>
  <c r="F131" i="2" s="1"/>
  <c r="L116" i="2" a="1"/>
  <c r="L116" i="2" s="1"/>
  <c r="L135" i="2" s="1"/>
  <c r="J113" i="2" a="1"/>
  <c r="J113" i="2" s="1"/>
  <c r="J132" i="2" s="1"/>
  <c r="J114" i="2" a="1"/>
  <c r="J114" i="2" s="1"/>
  <c r="J133" i="2" s="1"/>
  <c r="E116" i="2" a="1"/>
  <c r="E116" i="2" s="1"/>
  <c r="E135" i="2" s="1"/>
  <c r="L111" i="2" a="1"/>
  <c r="L111" i="2" s="1"/>
  <c r="L130" i="2" s="1"/>
  <c r="D114" i="2" a="1"/>
  <c r="D114" i="2" s="1"/>
  <c r="D133" i="2" s="1"/>
  <c r="K111" i="2" a="1"/>
  <c r="K111" i="2" s="1"/>
  <c r="K130" i="2" s="1"/>
  <c r="C116" i="2" a="1"/>
  <c r="C116" i="2" s="1"/>
  <c r="C135" i="2" s="1"/>
  <c r="I113" i="2" a="1"/>
  <c r="I113" i="2" s="1"/>
  <c r="I132" i="2" s="1"/>
  <c r="F114" i="2" a="1"/>
  <c r="F114" i="2" s="1"/>
  <c r="F133" i="2" s="1"/>
  <c r="G115" i="2" a="1"/>
  <c r="G115" i="2" s="1"/>
  <c r="G134" i="2" s="1"/>
  <c r="F116" i="2" a="1"/>
  <c r="F116" i="2" s="1"/>
  <c r="F135" i="2" s="1"/>
  <c r="I114" i="2" a="1"/>
  <c r="I114" i="2" s="1"/>
  <c r="I133" i="2" s="1"/>
  <c r="D116" i="2" a="1"/>
  <c r="D116" i="2" s="1"/>
  <c r="D135" i="2" s="1"/>
  <c r="D112" i="2" a="1"/>
  <c r="D112" i="2" s="1"/>
  <c r="D131" i="2" s="1"/>
  <c r="D113" i="2" a="1"/>
  <c r="D113" i="2" s="1"/>
  <c r="D132" i="2" s="1"/>
  <c r="C115" i="2" a="1"/>
  <c r="C115" i="2" s="1"/>
  <c r="C134" i="2" s="1"/>
  <c r="H116" i="2" a="1"/>
  <c r="H116" i="2" s="1"/>
  <c r="H135" i="2" s="1"/>
  <c r="F113" i="2" a="1"/>
  <c r="F113" i="2" s="1"/>
  <c r="F132" i="2" s="1"/>
  <c r="F111" i="2" a="1"/>
  <c r="F111" i="2" s="1"/>
  <c r="F130" i="2" s="1"/>
  <c r="I115" i="2" a="1"/>
  <c r="I115" i="2" s="1"/>
  <c r="I134" i="2" s="1"/>
  <c r="E113" i="2" a="1"/>
  <c r="E113" i="2" s="1"/>
  <c r="E132" i="2" s="1"/>
  <c r="K115" i="2" a="1"/>
  <c r="K115" i="2" s="1"/>
  <c r="K134" i="2" s="1"/>
  <c r="C114" i="2" a="1"/>
  <c r="C114" i="2" s="1"/>
  <c r="L113" i="2" a="1"/>
  <c r="L113" i="2" s="1"/>
  <c r="L132" i="2" s="1"/>
  <c r="E114" i="2" a="1"/>
  <c r="E114" i="2" s="1"/>
  <c r="E133" i="2" s="1"/>
  <c r="H115" i="2" a="1"/>
  <c r="H115" i="2" s="1"/>
  <c r="H134" i="2" s="1"/>
  <c r="I112" i="2" a="1"/>
  <c r="I112" i="2" s="1"/>
  <c r="I131" i="2" s="1"/>
  <c r="J115" i="2" a="1"/>
  <c r="J115" i="2" s="1"/>
  <c r="J134" i="2" s="1"/>
  <c r="E111" i="2" a="1"/>
  <c r="E111" i="2" s="1"/>
  <c r="E130" i="2" s="1"/>
  <c r="J112" i="2" a="1"/>
  <c r="J112" i="2" s="1"/>
  <c r="J131" i="2" s="1"/>
  <c r="G113" i="2" a="1"/>
  <c r="G113" i="2" s="1"/>
  <c r="G132" i="2" s="1"/>
  <c r="F115" i="2" a="1"/>
  <c r="F115" i="2" s="1"/>
  <c r="F134" i="2" s="1"/>
  <c r="L112" i="2" a="1"/>
  <c r="L112" i="2" s="1"/>
  <c r="L131" i="2" s="1"/>
  <c r="K116" i="2" a="1"/>
  <c r="K116" i="2" s="1"/>
  <c r="K135" i="2" s="1"/>
  <c r="E115" i="2" a="1"/>
  <c r="E115" i="2" s="1"/>
  <c r="E134" i="2" s="1"/>
  <c r="K112" i="2" a="1"/>
  <c r="K112" i="2" s="1"/>
  <c r="K131" i="2" s="1"/>
  <c r="C111" i="2" a="1"/>
  <c r="C111" i="2" s="1"/>
  <c r="C130" i="2" a="1"/>
  <c r="C130" i="2" s="1"/>
  <c r="C39" i="19"/>
  <c r="BH47" i="1"/>
  <c r="BH51" i="1"/>
  <c r="BH55" i="1"/>
  <c r="BH59" i="1"/>
  <c r="BH63" i="1"/>
  <c r="BH67" i="1"/>
  <c r="BH71" i="1"/>
  <c r="BI71" i="1" s="1"/>
  <c r="BH75" i="1"/>
  <c r="BI75" i="1" s="1"/>
  <c r="BH48" i="1"/>
  <c r="BH52" i="1"/>
  <c r="BH56" i="1"/>
  <c r="BH60" i="1"/>
  <c r="BH64" i="1"/>
  <c r="BH68" i="1"/>
  <c r="BH72" i="1"/>
  <c r="BI72" i="1" s="1"/>
  <c r="BH76" i="1"/>
  <c r="BI76" i="1" s="1"/>
  <c r="BH49" i="1"/>
  <c r="BH53" i="1"/>
  <c r="BH57" i="1"/>
  <c r="BH61" i="1"/>
  <c r="BH65" i="1"/>
  <c r="BH69" i="1"/>
  <c r="BI69" i="1" s="1"/>
  <c r="BH73" i="1"/>
  <c r="BI73" i="1" s="1"/>
  <c r="BH77" i="1"/>
  <c r="BI77" i="1" s="1"/>
  <c r="BH50" i="1"/>
  <c r="BH54" i="1"/>
  <c r="BH58" i="1"/>
  <c r="BH62" i="1"/>
  <c r="BH66" i="1"/>
  <c r="BH70" i="1"/>
  <c r="BI70" i="1" s="1"/>
  <c r="BH74" i="1"/>
  <c r="BI74" i="1" s="1"/>
  <c r="BH78" i="1"/>
  <c r="BI78" i="1" s="1"/>
  <c r="DG13" i="1"/>
  <c r="DG15" i="1"/>
  <c r="DG17" i="1"/>
  <c r="DG12" i="1"/>
  <c r="DG14" i="1"/>
  <c r="DG16" i="1"/>
  <c r="AF44" i="2" a="1"/>
  <c r="AF44" i="2" s="1"/>
  <c r="AJ44" i="2" a="1"/>
  <c r="AJ44" i="2" s="1"/>
  <c r="AG45" i="2" a="1"/>
  <c r="AG45" i="2" s="1"/>
  <c r="AE46" i="2" a="1"/>
  <c r="AE46" i="2" s="1"/>
  <c r="AI46" i="2" a="1"/>
  <c r="AI46" i="2" s="1"/>
  <c r="AJ47" i="2" a="1"/>
  <c r="AJ47" i="2" s="1"/>
  <c r="AH48" i="2" a="1"/>
  <c r="AH48" i="2" s="1"/>
  <c r="AF49" i="2" a="1"/>
  <c r="AF49" i="2" s="1"/>
  <c r="AJ49" i="2" a="1"/>
  <c r="AJ49" i="2" s="1"/>
  <c r="F50" i="2" a="1"/>
  <c r="F50" i="2" s="1"/>
  <c r="J50" i="2" a="1"/>
  <c r="J50" i="2" s="1"/>
  <c r="N50" i="2" a="1"/>
  <c r="N50" i="2" s="1"/>
  <c r="R50" i="2" a="1"/>
  <c r="R50" i="2" s="1"/>
  <c r="V50" i="2" a="1"/>
  <c r="V50" i="2" s="1"/>
  <c r="Z50" i="2" a="1"/>
  <c r="Z50" i="2" s="1"/>
  <c r="AD50" i="2" a="1"/>
  <c r="AD50" i="2" s="1"/>
  <c r="AH50" i="2" a="1"/>
  <c r="AH50" i="2" s="1"/>
  <c r="D51" i="2" a="1"/>
  <c r="D51" i="2" s="1"/>
  <c r="H51" i="2" a="1"/>
  <c r="H51" i="2" s="1"/>
  <c r="L51" i="2" a="1"/>
  <c r="L51" i="2" s="1"/>
  <c r="P51" i="2" a="1"/>
  <c r="P51" i="2" s="1"/>
  <c r="T51" i="2" a="1"/>
  <c r="T51" i="2" s="1"/>
  <c r="X51" i="2" a="1"/>
  <c r="X51" i="2" s="1"/>
  <c r="AB51" i="2" a="1"/>
  <c r="AB51" i="2" s="1"/>
  <c r="AF51" i="2" a="1"/>
  <c r="AF51" i="2" s="1"/>
  <c r="AJ51" i="2" a="1"/>
  <c r="AJ51" i="2" s="1"/>
  <c r="F52" i="2" a="1"/>
  <c r="F52" i="2" s="1"/>
  <c r="J52" i="2" a="1"/>
  <c r="J52" i="2" s="1"/>
  <c r="N52" i="2" a="1"/>
  <c r="N52" i="2" s="1"/>
  <c r="R52" i="2" a="1"/>
  <c r="R52" i="2" s="1"/>
  <c r="V52" i="2" a="1"/>
  <c r="V52" i="2" s="1"/>
  <c r="Z52" i="2" a="1"/>
  <c r="Z52" i="2" s="1"/>
  <c r="AD52" i="2" a="1"/>
  <c r="AD52" i="2" s="1"/>
  <c r="AH52" i="2" a="1"/>
  <c r="AH52" i="2" s="1"/>
  <c r="D53" i="2" a="1"/>
  <c r="D53" i="2" s="1"/>
  <c r="H53" i="2" a="1"/>
  <c r="H53" i="2" s="1"/>
  <c r="L53" i="2" a="1"/>
  <c r="L53" i="2" s="1"/>
  <c r="P53" i="2" a="1"/>
  <c r="P53" i="2" s="1"/>
  <c r="T53" i="2" a="1"/>
  <c r="T53" i="2" s="1"/>
  <c r="X53" i="2" a="1"/>
  <c r="X53" i="2" s="1"/>
  <c r="AB53" i="2" a="1"/>
  <c r="AB53" i="2" s="1"/>
  <c r="AF53" i="2" a="1"/>
  <c r="AF53" i="2" s="1"/>
  <c r="AJ53" i="2" a="1"/>
  <c r="AJ53" i="2" s="1"/>
  <c r="F54" i="2" a="1"/>
  <c r="F54" i="2" s="1"/>
  <c r="J54" i="2" a="1"/>
  <c r="J54" i="2" s="1"/>
  <c r="N54" i="2" a="1"/>
  <c r="N54" i="2" s="1"/>
  <c r="R54" i="2" a="1"/>
  <c r="R54" i="2" s="1"/>
  <c r="V54" i="2" a="1"/>
  <c r="V54" i="2" s="1"/>
  <c r="Z54" i="2" a="1"/>
  <c r="Z54" i="2" s="1"/>
  <c r="AD54" i="2" a="1"/>
  <c r="AD54" i="2" s="1"/>
  <c r="AH54" i="2" a="1"/>
  <c r="AH54" i="2" s="1"/>
  <c r="AI43" i="2" a="1"/>
  <c r="AI43" i="2" s="1"/>
  <c r="AG44" i="2" a="1"/>
  <c r="AG44" i="2" s="1"/>
  <c r="AH45" i="2" a="1"/>
  <c r="AH45" i="2" s="1"/>
  <c r="AF46" i="2" a="1"/>
  <c r="AF46" i="2" s="1"/>
  <c r="AJ46" i="2" a="1"/>
  <c r="AJ46" i="2" s="1"/>
  <c r="AE48" i="2" a="1"/>
  <c r="AE48" i="2" s="1"/>
  <c r="AI48" i="2" a="1"/>
  <c r="AI48" i="2" s="1"/>
  <c r="M49" i="2" a="1"/>
  <c r="M49" i="2" s="1"/>
  <c r="AG49" i="2" a="1"/>
  <c r="AG49" i="2" s="1"/>
  <c r="C50" i="2" a="1"/>
  <c r="C50" i="2" s="1"/>
  <c r="G50" i="2" a="1"/>
  <c r="G50" i="2" s="1"/>
  <c r="K50" i="2" a="1"/>
  <c r="K50" i="2" s="1"/>
  <c r="O50" i="2" a="1"/>
  <c r="O50" i="2" s="1"/>
  <c r="S50" i="2" a="1"/>
  <c r="S50" i="2" s="1"/>
  <c r="W50" i="2" a="1"/>
  <c r="W50" i="2" s="1"/>
  <c r="AA50" i="2" a="1"/>
  <c r="AA50" i="2" s="1"/>
  <c r="AE50" i="2" a="1"/>
  <c r="AE50" i="2" s="1"/>
  <c r="AI50" i="2" a="1"/>
  <c r="AI50" i="2" s="1"/>
  <c r="E51" i="2" a="1"/>
  <c r="E51" i="2" s="1"/>
  <c r="I51" i="2" a="1"/>
  <c r="I51" i="2" s="1"/>
  <c r="M51" i="2" a="1"/>
  <c r="M51" i="2" s="1"/>
  <c r="Q51" i="2" a="1"/>
  <c r="Q51" i="2" s="1"/>
  <c r="U51" i="2" a="1"/>
  <c r="U51" i="2" s="1"/>
  <c r="Y51" i="2" a="1"/>
  <c r="Y51" i="2" s="1"/>
  <c r="AC51" i="2" a="1"/>
  <c r="AC51" i="2" s="1"/>
  <c r="AG51" i="2" a="1"/>
  <c r="AG51" i="2" s="1"/>
  <c r="C52" i="2" a="1"/>
  <c r="C52" i="2" s="1"/>
  <c r="G52" i="2" a="1"/>
  <c r="G52" i="2" s="1"/>
  <c r="K52" i="2" a="1"/>
  <c r="K52" i="2" s="1"/>
  <c r="O52" i="2" a="1"/>
  <c r="O52" i="2" s="1"/>
  <c r="S52" i="2" a="1"/>
  <c r="S52" i="2" s="1"/>
  <c r="W52" i="2" a="1"/>
  <c r="W52" i="2" s="1"/>
  <c r="AA52" i="2" a="1"/>
  <c r="AA52" i="2" s="1"/>
  <c r="AE52" i="2" a="1"/>
  <c r="AE52" i="2" s="1"/>
  <c r="AI52" i="2" a="1"/>
  <c r="AI52" i="2" s="1"/>
  <c r="E53" i="2" a="1"/>
  <c r="E53" i="2" s="1"/>
  <c r="I53" i="2" a="1"/>
  <c r="I53" i="2" s="1"/>
  <c r="M53" i="2" a="1"/>
  <c r="M53" i="2" s="1"/>
  <c r="Q53" i="2" a="1"/>
  <c r="Q53" i="2" s="1"/>
  <c r="U53" i="2" a="1"/>
  <c r="U53" i="2" s="1"/>
  <c r="Y53" i="2" a="1"/>
  <c r="Y53" i="2" s="1"/>
  <c r="AC53" i="2" a="1"/>
  <c r="AC53" i="2" s="1"/>
  <c r="AG53" i="2" a="1"/>
  <c r="AG53" i="2" s="1"/>
  <c r="C54" i="2" a="1"/>
  <c r="C54" i="2" s="1"/>
  <c r="G54" i="2" a="1"/>
  <c r="G54" i="2" s="1"/>
  <c r="K54" i="2" a="1"/>
  <c r="K54" i="2" s="1"/>
  <c r="O54" i="2" a="1"/>
  <c r="O54" i="2" s="1"/>
  <c r="S54" i="2" a="1"/>
  <c r="S54" i="2" s="1"/>
  <c r="W54" i="2" a="1"/>
  <c r="W54" i="2" s="1"/>
  <c r="AA54" i="2" a="1"/>
  <c r="AA54" i="2" s="1"/>
  <c r="AE54" i="2" a="1"/>
  <c r="AE54" i="2" s="1"/>
  <c r="AI54" i="2" a="1"/>
  <c r="AI54" i="2" s="1"/>
  <c r="AJ43" i="2" a="1"/>
  <c r="AJ43" i="2" s="1"/>
  <c r="AE44" i="2" a="1"/>
  <c r="AE44" i="2" s="1"/>
  <c r="AJ45" i="2" a="1"/>
  <c r="AJ45" i="2" s="1"/>
  <c r="AI47" i="2" a="1"/>
  <c r="AI47" i="2" s="1"/>
  <c r="AI49" i="2" a="1"/>
  <c r="AI49" i="2" s="1"/>
  <c r="I50" i="2" a="1"/>
  <c r="I50" i="2" s="1"/>
  <c r="Q50" i="2" a="1"/>
  <c r="Q50" i="2" s="1"/>
  <c r="Y50" i="2" a="1"/>
  <c r="Y50" i="2" s="1"/>
  <c r="AG50" i="2" a="1"/>
  <c r="AG50" i="2" s="1"/>
  <c r="G51" i="2" a="1"/>
  <c r="G51" i="2" s="1"/>
  <c r="O51" i="2" a="1"/>
  <c r="O51" i="2" s="1"/>
  <c r="W51" i="2" a="1"/>
  <c r="W51" i="2" s="1"/>
  <c r="AE51" i="2" a="1"/>
  <c r="AE51" i="2" s="1"/>
  <c r="E52" i="2" a="1"/>
  <c r="E52" i="2" s="1"/>
  <c r="M52" i="2" a="1"/>
  <c r="M52" i="2" s="1"/>
  <c r="U52" i="2" a="1"/>
  <c r="U52" i="2" s="1"/>
  <c r="AC52" i="2" a="1"/>
  <c r="AC52" i="2" s="1"/>
  <c r="C53" i="2" a="1"/>
  <c r="C53" i="2" s="1"/>
  <c r="K53" i="2" a="1"/>
  <c r="K53" i="2" s="1"/>
  <c r="S53" i="2" a="1"/>
  <c r="S53" i="2" s="1"/>
  <c r="AA53" i="2" a="1"/>
  <c r="AA53" i="2" s="1"/>
  <c r="AI53" i="2" a="1"/>
  <c r="AI53" i="2" s="1"/>
  <c r="I54" i="2" a="1"/>
  <c r="I54" i="2" s="1"/>
  <c r="Q54" i="2" a="1"/>
  <c r="Q54" i="2" s="1"/>
  <c r="Y54" i="2" a="1"/>
  <c r="Y54" i="2" s="1"/>
  <c r="AG54" i="2" a="1"/>
  <c r="AG54" i="2" s="1"/>
  <c r="H50" i="2" a="1"/>
  <c r="H50" i="2" s="1"/>
  <c r="F51" i="2" a="1"/>
  <c r="F51" i="2" s="1"/>
  <c r="V51" i="2" a="1"/>
  <c r="V51" i="2" s="1"/>
  <c r="D52" i="2" a="1"/>
  <c r="D52" i="2" s="1"/>
  <c r="AB52" i="2" a="1"/>
  <c r="AB52" i="2" s="1"/>
  <c r="AJ52" i="2" a="1"/>
  <c r="AJ52" i="2" s="1"/>
  <c r="R53" i="2" a="1"/>
  <c r="R53" i="2" s="1"/>
  <c r="AH53" i="2" a="1"/>
  <c r="AH53" i="2" s="1"/>
  <c r="P54" i="2" a="1"/>
  <c r="P54" i="2" s="1"/>
  <c r="AF54" i="2" a="1"/>
  <c r="AF54" i="2" s="1"/>
  <c r="AH44" i="2" a="1"/>
  <c r="AH44" i="2" s="1"/>
  <c r="AG46" i="2" a="1"/>
  <c r="AG46" i="2" s="1"/>
  <c r="AF48" i="2" a="1"/>
  <c r="AF48" i="2" s="1"/>
  <c r="N49" i="2" a="1"/>
  <c r="N49" i="2" s="1"/>
  <c r="D50" i="2" a="1"/>
  <c r="D50" i="2" s="1"/>
  <c r="L50" i="2" a="1"/>
  <c r="L50" i="2" s="1"/>
  <c r="T50" i="2" a="1"/>
  <c r="T50" i="2" s="1"/>
  <c r="AB50" i="2" a="1"/>
  <c r="AB50" i="2" s="1"/>
  <c r="AJ50" i="2" a="1"/>
  <c r="AJ50" i="2" s="1"/>
  <c r="J51" i="2" a="1"/>
  <c r="J51" i="2" s="1"/>
  <c r="R51" i="2" a="1"/>
  <c r="R51" i="2" s="1"/>
  <c r="Z51" i="2" a="1"/>
  <c r="Z51" i="2" s="1"/>
  <c r="AH51" i="2" a="1"/>
  <c r="AH51" i="2" s="1"/>
  <c r="H52" i="2" a="1"/>
  <c r="H52" i="2" s="1"/>
  <c r="P52" i="2" a="1"/>
  <c r="P52" i="2" s="1"/>
  <c r="X52" i="2" a="1"/>
  <c r="X52" i="2" s="1"/>
  <c r="AF52" i="2" a="1"/>
  <c r="AF52" i="2" s="1"/>
  <c r="F53" i="2" a="1"/>
  <c r="F53" i="2" s="1"/>
  <c r="N53" i="2" a="1"/>
  <c r="N53" i="2" s="1"/>
  <c r="V53" i="2" a="1"/>
  <c r="V53" i="2" s="1"/>
  <c r="AD53" i="2" a="1"/>
  <c r="AD53" i="2" s="1"/>
  <c r="D54" i="2" a="1"/>
  <c r="D54" i="2" s="1"/>
  <c r="L54" i="2" a="1"/>
  <c r="L54" i="2" s="1"/>
  <c r="T54" i="2" a="1"/>
  <c r="T54" i="2" s="1"/>
  <c r="AB54" i="2" a="1"/>
  <c r="AB54" i="2" s="1"/>
  <c r="AJ54" i="2" a="1"/>
  <c r="AJ54" i="2" s="1"/>
  <c r="AG43" i="2" a="1"/>
  <c r="AG43" i="2" s="1"/>
  <c r="AI44" i="2" a="1"/>
  <c r="AI44" i="2" s="1"/>
  <c r="AH46" i="2" a="1"/>
  <c r="AH46" i="2" s="1"/>
  <c r="AG48" i="2" a="1"/>
  <c r="AG48" i="2" s="1"/>
  <c r="AE49" i="2" a="1"/>
  <c r="AE49" i="2" s="1"/>
  <c r="E50" i="2" a="1"/>
  <c r="E50" i="2" s="1"/>
  <c r="M50" i="2" a="1"/>
  <c r="M50" i="2" s="1"/>
  <c r="U50" i="2" a="1"/>
  <c r="U50" i="2" s="1"/>
  <c r="AC50" i="2" a="1"/>
  <c r="AC50" i="2" s="1"/>
  <c r="C51" i="2" a="1"/>
  <c r="C51" i="2" s="1"/>
  <c r="K51" i="2" a="1"/>
  <c r="K51" i="2" s="1"/>
  <c r="S51" i="2" a="1"/>
  <c r="S51" i="2" s="1"/>
  <c r="AA51" i="2" a="1"/>
  <c r="AA51" i="2" s="1"/>
  <c r="AI51" i="2" a="1"/>
  <c r="AI51" i="2" s="1"/>
  <c r="I52" i="2" a="1"/>
  <c r="I52" i="2" s="1"/>
  <c r="Q52" i="2" a="1"/>
  <c r="Q52" i="2" s="1"/>
  <c r="Y52" i="2" a="1"/>
  <c r="Y52" i="2" s="1"/>
  <c r="AG52" i="2" a="1"/>
  <c r="AG52" i="2" s="1"/>
  <c r="G53" i="2" a="1"/>
  <c r="G53" i="2" s="1"/>
  <c r="O53" i="2" a="1"/>
  <c r="O53" i="2" s="1"/>
  <c r="W53" i="2" a="1"/>
  <c r="W53" i="2" s="1"/>
  <c r="AE53" i="2" a="1"/>
  <c r="AE53" i="2" s="1"/>
  <c r="E54" i="2" a="1"/>
  <c r="E54" i="2" s="1"/>
  <c r="M54" i="2" a="1"/>
  <c r="M54" i="2" s="1"/>
  <c r="U54" i="2" a="1"/>
  <c r="U54" i="2" s="1"/>
  <c r="AC54" i="2" a="1"/>
  <c r="AC54" i="2" s="1"/>
  <c r="AH43" i="2" a="1"/>
  <c r="AH43" i="2" s="1"/>
  <c r="AD44" i="2" a="1"/>
  <c r="AD44" i="2" s="1"/>
  <c r="AI45" i="2" a="1"/>
  <c r="AI45" i="2" s="1"/>
  <c r="AH47" i="2" a="1"/>
  <c r="AH47" i="2" s="1"/>
  <c r="AJ48" i="2" a="1"/>
  <c r="AJ48" i="2" s="1"/>
  <c r="AH49" i="2" a="1"/>
  <c r="AH49" i="2" s="1"/>
  <c r="P50" i="2" a="1"/>
  <c r="P50" i="2" s="1"/>
  <c r="X50" i="2" a="1"/>
  <c r="X50" i="2" s="1"/>
  <c r="AF50" i="2" a="1"/>
  <c r="AF50" i="2" s="1"/>
  <c r="N51" i="2" a="1"/>
  <c r="N51" i="2" s="1"/>
  <c r="AD51" i="2" a="1"/>
  <c r="AD51" i="2" s="1"/>
  <c r="L52" i="2" a="1"/>
  <c r="L52" i="2" s="1"/>
  <c r="T52" i="2" a="1"/>
  <c r="T52" i="2" s="1"/>
  <c r="J53" i="2" a="1"/>
  <c r="J53" i="2" s="1"/>
  <c r="Z53" i="2" a="1"/>
  <c r="Z53" i="2" s="1"/>
  <c r="H54" i="2" a="1"/>
  <c r="H54" i="2" s="1"/>
  <c r="X54" i="2" a="1"/>
  <c r="X54" i="2" s="1"/>
  <c r="C269" i="2" a="1"/>
  <c r="C269" i="2" s="1"/>
  <c r="AK269" i="2" s="1"/>
  <c r="C290" i="2" a="1"/>
  <c r="C290" i="2" s="1"/>
  <c r="C311" i="2" a="1"/>
  <c r="C311" i="2" s="1"/>
  <c r="BH46" i="1"/>
  <c r="Y102" i="2"/>
  <c r="Z340" i="2" s="1" a="1"/>
  <c r="Z340" i="2" s="1"/>
  <c r="AI103" i="2"/>
  <c r="AJ341" i="2" s="1" a="1"/>
  <c r="AJ341" i="2" s="1"/>
  <c r="E102" i="2"/>
  <c r="F340" i="2" s="1" a="1"/>
  <c r="F340" i="2" s="1"/>
  <c r="C103" i="2"/>
  <c r="D341" i="2" s="1" a="1"/>
  <c r="D341" i="2" s="1"/>
  <c r="I102" i="2"/>
  <c r="J340" i="2" s="1" a="1"/>
  <c r="J340" i="2" s="1"/>
  <c r="G103" i="2"/>
  <c r="H341" i="2" s="1" a="1"/>
  <c r="H341" i="2" s="1"/>
  <c r="U102" i="2"/>
  <c r="V340" i="2" s="1" a="1"/>
  <c r="V340" i="2" s="1"/>
  <c r="S103" i="2"/>
  <c r="T341" i="2" s="1" a="1"/>
  <c r="T341" i="2" s="1"/>
  <c r="AG105" i="2"/>
  <c r="AH343" i="2" s="1" a="1"/>
  <c r="AH343" i="2" s="1"/>
  <c r="Q105" i="2"/>
  <c r="R343" i="2" s="1" a="1"/>
  <c r="R343" i="2" s="1"/>
  <c r="AI104" i="2"/>
  <c r="AJ342" i="2" s="1" a="1"/>
  <c r="AJ342" i="2" s="1"/>
  <c r="S104" i="2"/>
  <c r="T342" i="2" s="1" a="1"/>
  <c r="T342" i="2" s="1"/>
  <c r="C104" i="2"/>
  <c r="D342" i="2" s="1" a="1"/>
  <c r="D342" i="2" s="1"/>
  <c r="W94" i="2"/>
  <c r="X332" i="2" s="1" a="1"/>
  <c r="X332" i="2" s="1"/>
  <c r="AB103" i="2"/>
  <c r="AC341" i="2" s="1" a="1"/>
  <c r="AC341" i="2" s="1"/>
  <c r="V100" i="2"/>
  <c r="W338" i="2" s="1" a="1"/>
  <c r="W338" i="2" s="1"/>
  <c r="J98" i="2"/>
  <c r="K336" i="2" s="1" a="1"/>
  <c r="K336" i="2" s="1"/>
  <c r="N96" i="2"/>
  <c r="O334" i="2" s="1" a="1"/>
  <c r="O334" i="2" s="1"/>
  <c r="W105" i="2"/>
  <c r="X343" i="2" s="1" a="1"/>
  <c r="X343" i="2" s="1"/>
  <c r="C105" i="2"/>
  <c r="D343" i="2" s="1" a="1"/>
  <c r="D343" i="2" s="1"/>
  <c r="M104" i="2"/>
  <c r="N342" i="2" s="1" a="1"/>
  <c r="N342" i="2" s="1"/>
  <c r="W103" i="2"/>
  <c r="X341" i="2" s="1" a="1"/>
  <c r="X341" i="2" s="1"/>
  <c r="AG94" i="2"/>
  <c r="AH332" i="2" s="1" a="1"/>
  <c r="AH332" i="2" s="1"/>
  <c r="V105" i="2"/>
  <c r="W343" i="2" s="1" a="1"/>
  <c r="W343" i="2" s="1"/>
  <c r="T102" i="2"/>
  <c r="U340" i="2" s="1" a="1"/>
  <c r="U340" i="2" s="1"/>
  <c r="D102" i="2"/>
  <c r="E340" i="2" s="1" a="1"/>
  <c r="E340" i="2" s="1"/>
  <c r="R103" i="2"/>
  <c r="S341" i="2" s="1" a="1"/>
  <c r="S341" i="2" s="1"/>
  <c r="N103" i="2"/>
  <c r="O341" i="2" s="1" a="1"/>
  <c r="O341" i="2" s="1"/>
  <c r="T104" i="2"/>
  <c r="U342" i="2" s="1" a="1"/>
  <c r="U342" i="2" s="1"/>
  <c r="AF104" i="2"/>
  <c r="AG342" i="2" s="1" a="1"/>
  <c r="AG342" i="2" s="1"/>
  <c r="AJ105" i="2"/>
  <c r="AK343" i="2" s="1" a="1"/>
  <c r="AK343" i="2" s="1"/>
  <c r="V104" i="2"/>
  <c r="W342" i="2" s="1" a="1"/>
  <c r="W342" i="2" s="1"/>
  <c r="Z105" i="2"/>
  <c r="AA343" i="2" s="1" a="1"/>
  <c r="AA343" i="2" s="1"/>
  <c r="AC105" i="2"/>
  <c r="AD343" i="2" s="1" a="1"/>
  <c r="AD343" i="2" s="1"/>
  <c r="M105" i="2"/>
  <c r="N343" i="2" s="1" a="1"/>
  <c r="N343" i="2" s="1"/>
  <c r="AE104" i="2"/>
  <c r="AF342" i="2" s="1" a="1"/>
  <c r="AF342" i="2" s="1"/>
  <c r="O104" i="2"/>
  <c r="P342" i="2" s="1" a="1"/>
  <c r="P342" i="2" s="1"/>
  <c r="AI94" i="2"/>
  <c r="AJ332" i="2" s="1" a="1"/>
  <c r="AJ332" i="2" s="1"/>
  <c r="S94" i="2"/>
  <c r="T332" i="2" s="1" a="1"/>
  <c r="T332" i="2" s="1"/>
  <c r="L103" i="2"/>
  <c r="M341" i="2" s="1" a="1"/>
  <c r="M341" i="2" s="1"/>
  <c r="AJ101" i="2"/>
  <c r="AK339" i="2" s="1" a="1"/>
  <c r="AK339" i="2" s="1"/>
  <c r="N100" i="2"/>
  <c r="O338" i="2" s="1" a="1"/>
  <c r="O338" i="2" s="1"/>
  <c r="AH98" i="2"/>
  <c r="AI336" i="2" s="1" a="1"/>
  <c r="AI336" i="2" s="1"/>
  <c r="S105" i="2"/>
  <c r="T343" i="2" s="1" a="1"/>
  <c r="T343" i="2" s="1"/>
  <c r="AC104" i="2"/>
  <c r="AD342" i="2" s="1" a="1"/>
  <c r="AD342" i="2" s="1"/>
  <c r="I104" i="2"/>
  <c r="J342" i="2" s="1" a="1"/>
  <c r="J342" i="2" s="1"/>
  <c r="K103" i="2"/>
  <c r="L341" i="2" s="1" a="1"/>
  <c r="L341" i="2" s="1"/>
  <c r="AI101" i="2"/>
  <c r="AJ339" i="2" s="1" a="1"/>
  <c r="AJ339" i="2" s="1"/>
  <c r="Y94" i="2"/>
  <c r="Z332" i="2" s="1" a="1"/>
  <c r="Z332" i="2" s="1"/>
  <c r="F105" i="2"/>
  <c r="G343" i="2" s="1" a="1"/>
  <c r="G343" i="2" s="1"/>
  <c r="AF102" i="2"/>
  <c r="AG340" i="2" s="1" a="1"/>
  <c r="AG340" i="2" s="1"/>
  <c r="P102" i="2"/>
  <c r="Q340" i="2" s="1" a="1"/>
  <c r="Q340" i="2" s="1"/>
  <c r="AH101" i="2"/>
  <c r="AI339" i="2" s="1" a="1"/>
  <c r="AI339" i="2" s="1"/>
  <c r="AJ102" i="2"/>
  <c r="AK340" i="2" s="1" a="1"/>
  <c r="AK340" i="2" s="1"/>
  <c r="AH105" i="2"/>
  <c r="AI343" i="2" s="1" a="1"/>
  <c r="AI343" i="2" s="1"/>
  <c r="D104" i="2"/>
  <c r="E342" i="2" s="1" a="1"/>
  <c r="E342" i="2" s="1"/>
  <c r="P104" i="2"/>
  <c r="Q342" i="2" s="1" a="1"/>
  <c r="Q342" i="2" s="1"/>
  <c r="X105" i="2"/>
  <c r="Y343" i="2" s="1" a="1"/>
  <c r="Y343" i="2" s="1"/>
  <c r="P105" i="2"/>
  <c r="Q343" i="2" s="1" a="1"/>
  <c r="Q343" i="2" s="1"/>
  <c r="H105" i="2"/>
  <c r="I343" i="2" s="1" a="1"/>
  <c r="I343" i="2" s="1"/>
  <c r="AH104" i="2"/>
  <c r="AI342" i="2" s="1" a="1"/>
  <c r="AI342" i="2" s="1"/>
  <c r="Z104" i="2"/>
  <c r="AA342" i="2" s="1" a="1"/>
  <c r="AA342" i="2" s="1"/>
  <c r="F104" i="2"/>
  <c r="G342" i="2" s="1" a="1"/>
  <c r="G342" i="2" s="1"/>
  <c r="J105" i="2"/>
  <c r="K343" i="2" s="1" a="1"/>
  <c r="K343" i="2" s="1"/>
  <c r="Y105" i="2"/>
  <c r="Z343" i="2" s="1" a="1"/>
  <c r="Z343" i="2" s="1"/>
  <c r="I105" i="2"/>
  <c r="J343" i="2" s="1" a="1"/>
  <c r="J343" i="2" s="1"/>
  <c r="AA104" i="2"/>
  <c r="AB342" i="2" s="1" a="1"/>
  <c r="AB342" i="2" s="1"/>
  <c r="K104" i="2"/>
  <c r="L342" i="2" s="1" a="1"/>
  <c r="L342" i="2" s="1"/>
  <c r="AE94" i="2"/>
  <c r="AF332" i="2" s="1" a="1"/>
  <c r="AF332" i="2" s="1"/>
  <c r="O94" i="2"/>
  <c r="P332" i="2" s="1" a="1"/>
  <c r="P332" i="2" s="1"/>
  <c r="AF101" i="2"/>
  <c r="AG339" i="2" s="1" a="1"/>
  <c r="AG339" i="2" s="1"/>
  <c r="F100" i="2"/>
  <c r="G338" i="2" s="1" a="1"/>
  <c r="G338" i="2" s="1"/>
  <c r="AD96" i="2"/>
  <c r="AE334" i="2" s="1" a="1"/>
  <c r="AE334" i="2" s="1"/>
  <c r="AI105" i="2"/>
  <c r="AJ343" i="2" s="1" a="1"/>
  <c r="AJ343" i="2" s="1"/>
  <c r="K105" i="2"/>
  <c r="L343" i="2" s="1" a="1"/>
  <c r="L343" i="2" s="1"/>
  <c r="Y104" i="2"/>
  <c r="Z342" i="2" s="1" a="1"/>
  <c r="Z342" i="2" s="1"/>
  <c r="E104" i="2"/>
  <c r="F342" i="2" s="1" a="1"/>
  <c r="F342" i="2" s="1"/>
  <c r="AE101" i="2"/>
  <c r="AF339" i="2" s="1" a="1"/>
  <c r="AF339" i="2" s="1"/>
  <c r="Q94" i="2"/>
  <c r="R332" i="2" s="1" a="1"/>
  <c r="R332" i="2" s="1"/>
  <c r="X104" i="2"/>
  <c r="Y342" i="2" s="1" a="1"/>
  <c r="Y342" i="2" s="1"/>
  <c r="AD101" i="2"/>
  <c r="AE339" i="2" s="1" a="1"/>
  <c r="AE339" i="2" s="1"/>
  <c r="R105" i="2"/>
  <c r="S343" i="2" s="1" a="1"/>
  <c r="S343" i="2" s="1"/>
  <c r="AD105" i="2"/>
  <c r="AE343" i="2" s="1" a="1"/>
  <c r="AE343" i="2" s="1"/>
  <c r="AB105" i="2"/>
  <c r="AC343" i="2" s="1" a="1"/>
  <c r="AC343" i="2" s="1"/>
  <c r="T105" i="2"/>
  <c r="U343" i="2" s="1" a="1"/>
  <c r="U343" i="2" s="1"/>
  <c r="L105" i="2"/>
  <c r="M343" i="2" s="1" a="1"/>
  <c r="M343" i="2" s="1"/>
  <c r="D105" i="2"/>
  <c r="E343" i="2" s="1" a="1"/>
  <c r="E343" i="2" s="1"/>
  <c r="AD104" i="2"/>
  <c r="AE342" i="2" s="1" a="1"/>
  <c r="AE342" i="2" s="1"/>
  <c r="N104" i="2"/>
  <c r="O342" i="2" s="1" a="1"/>
  <c r="O342" i="2" s="1"/>
  <c r="J104" i="2"/>
  <c r="K342" i="2" s="1" a="1"/>
  <c r="K342" i="2" s="1"/>
  <c r="AB104" i="2"/>
  <c r="AC342" i="2" s="1" a="1"/>
  <c r="AC342" i="2" s="1"/>
  <c r="U105" i="2"/>
  <c r="V343" i="2" s="1" a="1"/>
  <c r="V343" i="2" s="1"/>
  <c r="E105" i="2"/>
  <c r="F343" i="2" s="1" a="1"/>
  <c r="F343" i="2" s="1"/>
  <c r="W104" i="2"/>
  <c r="X342" i="2" s="1" a="1"/>
  <c r="X342" i="2" s="1"/>
  <c r="G104" i="2"/>
  <c r="H342" i="2" s="1" a="1"/>
  <c r="H342" i="2" s="1"/>
  <c r="AA94" i="2"/>
  <c r="AB332" i="2" s="1" a="1"/>
  <c r="AB332" i="2" s="1"/>
  <c r="K94" i="2"/>
  <c r="AD102" i="2"/>
  <c r="AE340" i="2" s="1" a="1"/>
  <c r="AE340" i="2" s="1"/>
  <c r="AD100" i="2"/>
  <c r="AE338" i="2" s="1" a="1"/>
  <c r="AE338" i="2" s="1"/>
  <c r="R98" i="2"/>
  <c r="S336" i="2" s="1" a="1"/>
  <c r="S336" i="2" s="1"/>
  <c r="V96" i="2"/>
  <c r="W334" i="2" s="1" a="1"/>
  <c r="W334" i="2" s="1"/>
  <c r="H95" i="2"/>
  <c r="I333" i="2" s="1" a="1"/>
  <c r="I333" i="2" s="1"/>
  <c r="AA105" i="2"/>
  <c r="AB343" i="2" s="1" a="1"/>
  <c r="AB343" i="2" s="1"/>
  <c r="G105" i="2"/>
  <c r="H343" i="2" s="1" a="1"/>
  <c r="H343" i="2" s="1"/>
  <c r="U104" i="2"/>
  <c r="V342" i="2" s="1" a="1"/>
  <c r="V342" i="2" s="1"/>
  <c r="AA103" i="2"/>
  <c r="AB341" i="2" s="1" a="1"/>
  <c r="AB341" i="2" s="1"/>
  <c r="AC102" i="2"/>
  <c r="AD340" i="2" s="1" a="1"/>
  <c r="AD340" i="2" s="1"/>
  <c r="H104" i="2"/>
  <c r="I342" i="2" s="1" a="1"/>
  <c r="I342" i="2" s="1"/>
  <c r="F103" i="2"/>
  <c r="G341" i="2" s="1" a="1"/>
  <c r="G341" i="2" s="1"/>
  <c r="H102" i="2"/>
  <c r="I340" i="2" s="1" a="1"/>
  <c r="I340" i="2" s="1"/>
  <c r="AH103" i="2"/>
  <c r="AI341" i="2" s="1" a="1"/>
  <c r="AI341" i="2" s="1"/>
  <c r="AD103" i="2"/>
  <c r="AE341" i="2" s="1" a="1"/>
  <c r="AE341" i="2" s="1"/>
  <c r="AJ104" i="2"/>
  <c r="AK342" i="2" s="1" a="1"/>
  <c r="AK342" i="2" s="1"/>
  <c r="N105" i="2"/>
  <c r="O343" i="2" s="1" a="1"/>
  <c r="O343" i="2" s="1"/>
  <c r="AF105" i="2"/>
  <c r="AG343" i="2" s="1" a="1"/>
  <c r="AG343" i="2" s="1"/>
  <c r="R104" i="2"/>
  <c r="S342" i="2" s="1" a="1"/>
  <c r="S342" i="2" s="1"/>
  <c r="L104" i="2"/>
  <c r="M342" i="2" s="1" a="1"/>
  <c r="M342" i="2" s="1"/>
  <c r="AG104" i="2"/>
  <c r="AH342" i="2" s="1" a="1"/>
  <c r="AH342" i="2" s="1"/>
  <c r="AG103" i="2"/>
  <c r="AH341" i="2" s="1" a="1"/>
  <c r="AH341" i="2" s="1"/>
  <c r="Q103" i="2"/>
  <c r="R341" i="2" s="1" a="1"/>
  <c r="R341" i="2" s="1"/>
  <c r="AI102" i="2"/>
  <c r="AJ340" i="2" s="1" a="1"/>
  <c r="AJ340" i="2" s="1"/>
  <c r="S102" i="2"/>
  <c r="T340" i="2" s="1" a="1"/>
  <c r="T340" i="2" s="1"/>
  <c r="C102" i="2"/>
  <c r="D340" i="2" s="1" a="1"/>
  <c r="D340" i="2" s="1"/>
  <c r="AF103" i="2"/>
  <c r="AG341" i="2" s="1" a="1"/>
  <c r="AG341" i="2" s="1"/>
  <c r="AB101" i="2"/>
  <c r="AC339" i="2" s="1" a="1"/>
  <c r="AC339" i="2" s="1"/>
  <c r="D101" i="2"/>
  <c r="E339" i="2" s="1" a="1"/>
  <c r="E339" i="2" s="1"/>
  <c r="T97" i="2"/>
  <c r="U335" i="2" s="1" a="1"/>
  <c r="U335" i="2" s="1"/>
  <c r="AF95" i="2"/>
  <c r="AG333" i="2" s="1" a="1"/>
  <c r="AG333" i="2" s="1"/>
  <c r="AJ103" i="2"/>
  <c r="AK341" i="2" s="1" a="1"/>
  <c r="AK341" i="2" s="1"/>
  <c r="T103" i="2"/>
  <c r="U341" i="2" s="1" a="1"/>
  <c r="U341" i="2" s="1"/>
  <c r="P103" i="2"/>
  <c r="Q341" i="2" s="1" a="1"/>
  <c r="Q341" i="2" s="1"/>
  <c r="Z102" i="2"/>
  <c r="AA340" i="2" s="1" a="1"/>
  <c r="AA340" i="2" s="1"/>
  <c r="M102" i="2"/>
  <c r="N340" i="2" s="1" a="1"/>
  <c r="N340" i="2" s="1"/>
  <c r="Z103" i="2"/>
  <c r="AA341" i="2" s="1" a="1"/>
  <c r="AA341" i="2" s="1"/>
  <c r="AB102" i="2"/>
  <c r="AC340" i="2" s="1" a="1"/>
  <c r="AC340" i="2" s="1"/>
  <c r="AH94" i="2"/>
  <c r="AI332" i="2" s="1" a="1"/>
  <c r="AI332" i="2" s="1"/>
  <c r="R94" i="2"/>
  <c r="S332" i="2" s="1" a="1"/>
  <c r="S332" i="2" s="1"/>
  <c r="Q101" i="2"/>
  <c r="R339" i="2" s="1" a="1"/>
  <c r="R339" i="2" s="1"/>
  <c r="S100" i="2"/>
  <c r="T338" i="2" s="1" a="1"/>
  <c r="T338" i="2" s="1"/>
  <c r="U99" i="2"/>
  <c r="V337" i="2" s="1" a="1"/>
  <c r="V337" i="2" s="1"/>
  <c r="W98" i="2"/>
  <c r="X336" i="2" s="1" a="1"/>
  <c r="X336" i="2" s="1"/>
  <c r="Y97" i="2"/>
  <c r="Z335" i="2" s="1" a="1"/>
  <c r="Z335" i="2" s="1"/>
  <c r="AA96" i="2"/>
  <c r="AB334" i="2" s="1" a="1"/>
  <c r="AB334" i="2" s="1"/>
  <c r="AC95" i="2"/>
  <c r="AD333" i="2" s="1" a="1"/>
  <c r="AD333" i="2" s="1"/>
  <c r="AA101" i="2"/>
  <c r="AB339" i="2" s="1" a="1"/>
  <c r="AB339" i="2" s="1"/>
  <c r="S101" i="2"/>
  <c r="T339" i="2" s="1" a="1"/>
  <c r="T339" i="2" s="1"/>
  <c r="K101" i="2"/>
  <c r="L339" i="2" s="1" a="1"/>
  <c r="L339" i="2" s="1"/>
  <c r="C101" i="2"/>
  <c r="D339" i="2" s="1" a="1"/>
  <c r="D339" i="2" s="1"/>
  <c r="U100" i="2"/>
  <c r="V338" i="2" s="1" a="1"/>
  <c r="V338" i="2" s="1"/>
  <c r="M100" i="2"/>
  <c r="N338" i="2" s="1" a="1"/>
  <c r="N338" i="2" s="1"/>
  <c r="E100" i="2"/>
  <c r="F338" i="2" s="1" a="1"/>
  <c r="F338" i="2" s="1"/>
  <c r="AE99" i="2"/>
  <c r="AF337" i="2" s="1" a="1"/>
  <c r="AF337" i="2" s="1"/>
  <c r="W99" i="2"/>
  <c r="X337" i="2" s="1" a="1"/>
  <c r="X337" i="2" s="1"/>
  <c r="Q104" i="2"/>
  <c r="R342" i="2" s="1" a="1"/>
  <c r="R342" i="2" s="1"/>
  <c r="AC103" i="2"/>
  <c r="AD341" i="2" s="1" a="1"/>
  <c r="AD341" i="2" s="1"/>
  <c r="M103" i="2"/>
  <c r="N341" i="2" s="1" a="1"/>
  <c r="N341" i="2" s="1"/>
  <c r="AE102" i="2"/>
  <c r="AF340" i="2" s="1" a="1"/>
  <c r="AF340" i="2" s="1"/>
  <c r="O102" i="2"/>
  <c r="P340" i="2" s="1" a="1"/>
  <c r="P340" i="2" s="1"/>
  <c r="T101" i="2"/>
  <c r="U339" i="2" s="1" a="1"/>
  <c r="U339" i="2" s="1"/>
  <c r="X99" i="2"/>
  <c r="Y337" i="2" s="1" a="1"/>
  <c r="Y337" i="2" s="1"/>
  <c r="AJ97" i="2"/>
  <c r="AK335" i="2" s="1" a="1"/>
  <c r="AK335" i="2" s="1"/>
  <c r="X95" i="2"/>
  <c r="Y333" i="2" s="1" a="1"/>
  <c r="Y333" i="2" s="1"/>
  <c r="H103" i="2"/>
  <c r="I341" i="2" s="1" a="1"/>
  <c r="I341" i="2" s="1"/>
  <c r="V102" i="2"/>
  <c r="W340" i="2" s="1" a="1"/>
  <c r="W340" i="2" s="1"/>
  <c r="R102" i="2"/>
  <c r="S340" i="2" s="1" a="1"/>
  <c r="S340" i="2" s="1"/>
  <c r="AF99" i="2"/>
  <c r="AG337" i="2" s="1" a="1"/>
  <c r="AG337" i="2" s="1"/>
  <c r="O103" i="2"/>
  <c r="P341" i="2" s="1" a="1"/>
  <c r="P341" i="2" s="1"/>
  <c r="Q102" i="2"/>
  <c r="R340" i="2" s="1" a="1"/>
  <c r="R340" i="2" s="1"/>
  <c r="AD94" i="2"/>
  <c r="AE332" i="2" s="1" a="1"/>
  <c r="AE332" i="2" s="1"/>
  <c r="N94" i="2"/>
  <c r="O332" i="2" s="1" a="1"/>
  <c r="O332" i="2" s="1"/>
  <c r="I101" i="2"/>
  <c r="J339" i="2" s="1" a="1"/>
  <c r="J339" i="2" s="1"/>
  <c r="K100" i="2"/>
  <c r="L338" i="2" s="1" a="1"/>
  <c r="L338" i="2" s="1"/>
  <c r="M99" i="2"/>
  <c r="N337" i="2" s="1" a="1"/>
  <c r="N337" i="2" s="1"/>
  <c r="O98" i="2"/>
  <c r="P336" i="2" s="1" a="1"/>
  <c r="P336" i="2" s="1"/>
  <c r="Q97" i="2"/>
  <c r="R335" i="2" s="1" a="1"/>
  <c r="R335" i="2" s="1"/>
  <c r="S96" i="2"/>
  <c r="T334" i="2" s="1" a="1"/>
  <c r="T334" i="2" s="1"/>
  <c r="U95" i="2"/>
  <c r="V333" i="2" s="1" a="1"/>
  <c r="V333" i="2" s="1"/>
  <c r="K99" i="2"/>
  <c r="L337" i="2" s="1" a="1"/>
  <c r="L337" i="2" s="1"/>
  <c r="AG98" i="2"/>
  <c r="AH336" i="2" s="1" a="1"/>
  <c r="AH336" i="2" s="1"/>
  <c r="AC98" i="2"/>
  <c r="AD336" i="2" s="1" a="1"/>
  <c r="AD336" i="2" s="1"/>
  <c r="M98" i="2"/>
  <c r="N336" i="2" s="1" a="1"/>
  <c r="N336" i="2" s="1"/>
  <c r="AE97" i="2"/>
  <c r="AF335" i="2" s="1" a="1"/>
  <c r="AF335" i="2" s="1"/>
  <c r="O97" i="2"/>
  <c r="P335" i="2" s="1" a="1"/>
  <c r="P335" i="2" s="1"/>
  <c r="AG96" i="2"/>
  <c r="AH334" i="2" s="1" a="1"/>
  <c r="AH334" i="2" s="1"/>
  <c r="Q96" i="2"/>
  <c r="R334" i="2" s="1" a="1"/>
  <c r="R334" i="2" s="1"/>
  <c r="AI95" i="2"/>
  <c r="AJ333" i="2" s="1" a="1"/>
  <c r="AJ333" i="2" s="1"/>
  <c r="S95" i="2"/>
  <c r="T333" i="2" s="1" a="1"/>
  <c r="T333" i="2" s="1"/>
  <c r="AH100" i="2"/>
  <c r="AI338" i="2" s="1" a="1"/>
  <c r="AI338" i="2" s="1"/>
  <c r="AJ99" i="2"/>
  <c r="AK337" i="2" s="1" a="1"/>
  <c r="AK337" i="2" s="1"/>
  <c r="D99" i="2"/>
  <c r="E337" i="2" s="1" a="1"/>
  <c r="E337" i="2" s="1"/>
  <c r="J96" i="2"/>
  <c r="K334" i="2" s="1" a="1"/>
  <c r="K334" i="2" s="1"/>
  <c r="L95" i="2"/>
  <c r="M333" i="2" s="1" a="1"/>
  <c r="M333" i="2" s="1"/>
  <c r="R99" i="2"/>
  <c r="S337" i="2" s="1" a="1"/>
  <c r="S337" i="2" s="1"/>
  <c r="N99" i="2"/>
  <c r="O337" i="2" s="1" a="1"/>
  <c r="O337" i="2" s="1"/>
  <c r="AE105" i="2"/>
  <c r="AF343" i="2" s="1" a="1"/>
  <c r="AF343" i="2" s="1"/>
  <c r="P99" i="2"/>
  <c r="Q337" i="2" s="1" a="1"/>
  <c r="Q337" i="2" s="1"/>
  <c r="L97" i="2"/>
  <c r="P95" i="2"/>
  <c r="Q333" i="2" s="1" a="1"/>
  <c r="Q333" i="2" s="1"/>
  <c r="J102" i="2"/>
  <c r="K340" i="2" s="1" a="1"/>
  <c r="K340" i="2" s="1"/>
  <c r="V103" i="2"/>
  <c r="W341" i="2" s="1" a="1"/>
  <c r="W341" i="2" s="1"/>
  <c r="J103" i="2"/>
  <c r="K341" i="2" s="1" a="1"/>
  <c r="K341" i="2" s="1"/>
  <c r="L102" i="2"/>
  <c r="M340" i="2" s="1" a="1"/>
  <c r="M340" i="2" s="1"/>
  <c r="H99" i="2"/>
  <c r="I337" i="2" s="1" a="1"/>
  <c r="I337" i="2" s="1"/>
  <c r="Z94" i="2"/>
  <c r="AA332" i="2" s="1" a="1"/>
  <c r="AA332" i="2" s="1"/>
  <c r="AI100" i="2"/>
  <c r="AJ338" i="2" s="1" a="1"/>
  <c r="AJ338" i="2" s="1"/>
  <c r="C100" i="2"/>
  <c r="D338" i="2" s="1" a="1"/>
  <c r="D338" i="2" s="1"/>
  <c r="E99" i="2"/>
  <c r="F337" i="2" s="1" a="1"/>
  <c r="F337" i="2" s="1"/>
  <c r="K96" i="2"/>
  <c r="L334" i="2" s="1" a="1"/>
  <c r="L334" i="2" s="1"/>
  <c r="M95" i="2"/>
  <c r="N333" i="2" s="1" a="1"/>
  <c r="N333" i="2" s="1"/>
  <c r="W101" i="2"/>
  <c r="X339" i="2" s="1" a="1"/>
  <c r="X339" i="2" s="1"/>
  <c r="O101" i="2"/>
  <c r="P339" i="2" s="1" a="1"/>
  <c r="P339" i="2" s="1"/>
  <c r="G101" i="2"/>
  <c r="H339" i="2" s="1" a="1"/>
  <c r="H339" i="2" s="1"/>
  <c r="AG100" i="2"/>
  <c r="AH338" i="2" s="1" a="1"/>
  <c r="AH338" i="2" s="1"/>
  <c r="Y100" i="2"/>
  <c r="Z338" i="2" s="1" a="1"/>
  <c r="Z338" i="2" s="1"/>
  <c r="Q100" i="2"/>
  <c r="R338" i="2" s="1" a="1"/>
  <c r="R338" i="2" s="1"/>
  <c r="I100" i="2"/>
  <c r="J338" i="2" s="1" a="1"/>
  <c r="J338" i="2" s="1"/>
  <c r="AI99" i="2"/>
  <c r="AJ337" i="2" s="1" a="1"/>
  <c r="AJ337" i="2" s="1"/>
  <c r="AA99" i="2"/>
  <c r="AB337" i="2" s="1" a="1"/>
  <c r="AB337" i="2" s="1"/>
  <c r="O99" i="2"/>
  <c r="P337" i="2" s="1" a="1"/>
  <c r="P337" i="2" s="1"/>
  <c r="Q98" i="2"/>
  <c r="R336" i="2" s="1" a="1"/>
  <c r="R336" i="2" s="1"/>
  <c r="AI97" i="2"/>
  <c r="AJ335" i="2" s="1" a="1"/>
  <c r="AJ335" i="2" s="1"/>
  <c r="S97" i="2"/>
  <c r="T335" i="2" s="1" a="1"/>
  <c r="T335" i="2" s="1"/>
  <c r="U96" i="2"/>
  <c r="V334" i="2" s="1" a="1"/>
  <c r="V334" i="2" s="1"/>
  <c r="W95" i="2"/>
  <c r="X333" i="2" s="1" a="1"/>
  <c r="X333" i="2" s="1"/>
  <c r="AC94" i="2"/>
  <c r="AD332" i="2" s="1" a="1"/>
  <c r="AD332" i="2" s="1"/>
  <c r="X101" i="2"/>
  <c r="Y339" i="2" s="1" a="1"/>
  <c r="Y339" i="2" s="1"/>
  <c r="Z100" i="2"/>
  <c r="AA338" i="2" s="1" a="1"/>
  <c r="AA338" i="2" s="1"/>
  <c r="AB99" i="2"/>
  <c r="AC337" i="2" s="1" a="1"/>
  <c r="AC337" i="2" s="1"/>
  <c r="AD98" i="2"/>
  <c r="AE336" i="2" s="1" a="1"/>
  <c r="AE336" i="2" s="1"/>
  <c r="AF97" i="2"/>
  <c r="AG335" i="2" s="1" a="1"/>
  <c r="AG335" i="2" s="1"/>
  <c r="AH96" i="2"/>
  <c r="AI334" i="2" s="1" a="1"/>
  <c r="AI334" i="2" s="1"/>
  <c r="AJ95" i="2"/>
  <c r="AK333" i="2" s="1" a="1"/>
  <c r="AK333" i="2" s="1"/>
  <c r="Z101" i="2"/>
  <c r="AA339" i="2" s="1" a="1"/>
  <c r="AA339" i="2" s="1"/>
  <c r="O105" i="2"/>
  <c r="P343" i="2" s="1" a="1"/>
  <c r="P343" i="2" s="1"/>
  <c r="Y103" i="2"/>
  <c r="Z341" i="2" s="1" a="1"/>
  <c r="Z341" i="2" s="1"/>
  <c r="U103" i="2"/>
  <c r="V341" i="2" s="1" a="1"/>
  <c r="V341" i="2" s="1"/>
  <c r="I103" i="2"/>
  <c r="J341" i="2" s="1" a="1"/>
  <c r="J341" i="2" s="1"/>
  <c r="E103" i="2"/>
  <c r="F341" i="2" s="1" a="1"/>
  <c r="F341" i="2" s="1"/>
  <c r="AA102" i="2"/>
  <c r="AB340" i="2" s="1" a="1"/>
  <c r="AB340" i="2" s="1"/>
  <c r="W102" i="2"/>
  <c r="X340" i="2" s="1" a="1"/>
  <c r="X340" i="2" s="1"/>
  <c r="K102" i="2"/>
  <c r="L340" i="2" s="1" a="1"/>
  <c r="L340" i="2" s="1"/>
  <c r="G102" i="2"/>
  <c r="H340" i="2" s="1" a="1"/>
  <c r="H340" i="2" s="1"/>
  <c r="L101" i="2"/>
  <c r="M339" i="2" s="1" a="1"/>
  <c r="M339" i="2" s="1"/>
  <c r="AB97" i="2"/>
  <c r="AC335" i="2" s="1" a="1"/>
  <c r="AC335" i="2" s="1"/>
  <c r="D103" i="2"/>
  <c r="E341" i="2" s="1" a="1"/>
  <c r="E341" i="2" s="1"/>
  <c r="AH102" i="2"/>
  <c r="AI340" i="2" s="1" a="1"/>
  <c r="AI340" i="2" s="1"/>
  <c r="F102" i="2"/>
  <c r="G340" i="2" s="1" a="1"/>
  <c r="G340" i="2" s="1"/>
  <c r="N102" i="2"/>
  <c r="O340" i="2" s="1" a="1"/>
  <c r="O340" i="2" s="1"/>
  <c r="X103" i="2"/>
  <c r="Y341" i="2" s="1" a="1"/>
  <c r="Y341" i="2" s="1"/>
  <c r="X102" i="2"/>
  <c r="Y340" i="2" s="1" a="1"/>
  <c r="Y340" i="2" s="1"/>
  <c r="AE103" i="2"/>
  <c r="AF341" i="2" s="1" a="1"/>
  <c r="AF341" i="2" s="1"/>
  <c r="AG102" i="2"/>
  <c r="AH340" i="2" s="1" a="1"/>
  <c r="AH340" i="2" s="1"/>
  <c r="Z98" i="2"/>
  <c r="AA336" i="2" s="1" a="1"/>
  <c r="AA336" i="2" s="1"/>
  <c r="V94" i="2"/>
  <c r="W332" i="2" s="1" a="1"/>
  <c r="W332" i="2" s="1"/>
  <c r="Y101" i="2"/>
  <c r="Z339" i="2" s="1" a="1"/>
  <c r="Z339" i="2" s="1"/>
  <c r="AA100" i="2"/>
  <c r="AB338" i="2" s="1" a="1"/>
  <c r="AB338" i="2" s="1"/>
  <c r="AC99" i="2"/>
  <c r="AD337" i="2" s="1" a="1"/>
  <c r="AD337" i="2" s="1"/>
  <c r="AE98" i="2"/>
  <c r="AF336" i="2" s="1" a="1"/>
  <c r="AF336" i="2" s="1"/>
  <c r="AG97" i="2"/>
  <c r="AH335" i="2" s="1" a="1"/>
  <c r="AH335" i="2" s="1"/>
  <c r="AI96" i="2"/>
  <c r="AJ334" i="2" s="1" a="1"/>
  <c r="AJ334" i="2" s="1"/>
  <c r="AC100" i="2"/>
  <c r="AD338" i="2" s="1" a="1"/>
  <c r="AD338" i="2" s="1"/>
  <c r="S99" i="2"/>
  <c r="T337" i="2" s="1" a="1"/>
  <c r="T337" i="2" s="1"/>
  <c r="C99" i="2"/>
  <c r="D337" i="2" s="1" a="1"/>
  <c r="D337" i="2" s="1"/>
  <c r="U98" i="2"/>
  <c r="V336" i="2" s="1" a="1"/>
  <c r="V336" i="2" s="1"/>
  <c r="W97" i="2"/>
  <c r="X335" i="2" s="1" a="1"/>
  <c r="X335" i="2" s="1"/>
  <c r="Y96" i="2"/>
  <c r="Z334" i="2" s="1" a="1"/>
  <c r="Z334" i="2" s="1"/>
  <c r="AA95" i="2"/>
  <c r="AB333" i="2" s="1" a="1"/>
  <c r="AB333" i="2" s="1"/>
  <c r="K95" i="2"/>
  <c r="L333" i="2" s="1" a="1"/>
  <c r="L333" i="2" s="1"/>
  <c r="U94" i="2"/>
  <c r="V332" i="2" s="1" a="1"/>
  <c r="V332" i="2" s="1"/>
  <c r="P101" i="2"/>
  <c r="Q339" i="2" s="1" a="1"/>
  <c r="Q339" i="2" s="1"/>
  <c r="R100" i="2"/>
  <c r="S338" i="2" s="1" a="1"/>
  <c r="S338" i="2" s="1"/>
  <c r="T99" i="2"/>
  <c r="U337" i="2" s="1" a="1"/>
  <c r="U337" i="2" s="1"/>
  <c r="V98" i="2"/>
  <c r="W336" i="2" s="1" a="1"/>
  <c r="W336" i="2" s="1"/>
  <c r="X97" i="2"/>
  <c r="Y335" i="2" s="1" a="1"/>
  <c r="Y335" i="2" s="1"/>
  <c r="Z96" i="2"/>
  <c r="AA334" i="2" s="1" a="1"/>
  <c r="AA334" i="2" s="1"/>
  <c r="AB95" i="2"/>
  <c r="AC333" i="2" s="1" a="1"/>
  <c r="AC333" i="2" s="1"/>
  <c r="AA97" i="2"/>
  <c r="AB335" i="2" s="1" a="1"/>
  <c r="AB335" i="2" s="1"/>
  <c r="AE95" i="2"/>
  <c r="AF333" i="2" s="1" a="1"/>
  <c r="AF333" i="2" s="1"/>
  <c r="M94" i="2"/>
  <c r="N332" i="2" s="1" a="1"/>
  <c r="N332" i="2" s="1"/>
  <c r="N98" i="2"/>
  <c r="O336" i="2" s="1" a="1"/>
  <c r="O336" i="2" s="1"/>
  <c r="V101" i="2"/>
  <c r="W339" i="2" s="1" a="1"/>
  <c r="W339" i="2" s="1"/>
  <c r="R101" i="2"/>
  <c r="S339" i="2" s="1" a="1"/>
  <c r="S339" i="2" s="1"/>
  <c r="N101" i="2"/>
  <c r="O339" i="2" s="1" a="1"/>
  <c r="O339" i="2" s="1"/>
  <c r="J101" i="2"/>
  <c r="K339" i="2" s="1" a="1"/>
  <c r="K339" i="2" s="1"/>
  <c r="F101" i="2"/>
  <c r="G339" i="2" s="1" a="1"/>
  <c r="G339" i="2" s="1"/>
  <c r="AJ100" i="2"/>
  <c r="AK338" i="2" s="1" a="1"/>
  <c r="AK338" i="2" s="1"/>
  <c r="AF100" i="2"/>
  <c r="AG338" i="2" s="1" a="1"/>
  <c r="AG338" i="2" s="1"/>
  <c r="AB100" i="2"/>
  <c r="AC338" i="2" s="1" a="1"/>
  <c r="AC338" i="2" s="1"/>
  <c r="X100" i="2"/>
  <c r="Y338" i="2" s="1" a="1"/>
  <c r="Y338" i="2" s="1"/>
  <c r="T100" i="2"/>
  <c r="U338" i="2" s="1" a="1"/>
  <c r="U338" i="2" s="1"/>
  <c r="P100" i="2"/>
  <c r="Q338" i="2" s="1" a="1"/>
  <c r="Q338" i="2" s="1"/>
  <c r="L100" i="2"/>
  <c r="M338" i="2" s="1" a="1"/>
  <c r="M338" i="2" s="1"/>
  <c r="H100" i="2"/>
  <c r="I338" i="2" s="1" a="1"/>
  <c r="I338" i="2" s="1"/>
  <c r="D100" i="2"/>
  <c r="E338" i="2" s="1" a="1"/>
  <c r="E338" i="2" s="1"/>
  <c r="AD99" i="2"/>
  <c r="AE337" i="2" s="1" a="1"/>
  <c r="AE337" i="2" s="1"/>
  <c r="V97" i="2"/>
  <c r="W335" i="2" s="1" a="1"/>
  <c r="W335" i="2" s="1"/>
  <c r="R95" i="2"/>
  <c r="S333" i="2" s="1" a="1"/>
  <c r="S333" i="2" s="1"/>
  <c r="N95" i="2"/>
  <c r="O333" i="2" s="1" a="1"/>
  <c r="O333" i="2" s="1"/>
  <c r="J95" i="2"/>
  <c r="K333" i="2" s="1" a="1"/>
  <c r="K333" i="2" s="1"/>
  <c r="AF94" i="2"/>
  <c r="AG332" i="2" s="1" a="1"/>
  <c r="AG332" i="2" s="1"/>
  <c r="P94" i="2"/>
  <c r="Q332" i="2" s="1" a="1"/>
  <c r="Q332" i="2" s="1"/>
  <c r="AG101" i="2"/>
  <c r="AH339" i="2" s="1" a="1"/>
  <c r="AH339" i="2" s="1"/>
  <c r="E101" i="2"/>
  <c r="F339" i="2" s="1" a="1"/>
  <c r="F339" i="2" s="1"/>
  <c r="G100" i="2"/>
  <c r="H338" i="2" s="1" a="1"/>
  <c r="H338" i="2" s="1"/>
  <c r="I99" i="2"/>
  <c r="J337" i="2" s="1" a="1"/>
  <c r="J337" i="2" s="1"/>
  <c r="K98" i="2"/>
  <c r="L336" i="2" s="1" a="1"/>
  <c r="L336" i="2" s="1"/>
  <c r="M97" i="2"/>
  <c r="N335" i="2" s="1" a="1"/>
  <c r="N335" i="2" s="1"/>
  <c r="O96" i="2"/>
  <c r="P334" i="2" s="1" a="1"/>
  <c r="P334" i="2" s="1"/>
  <c r="Q95" i="2"/>
  <c r="R333" i="2" s="1" a="1"/>
  <c r="R333" i="2" s="1"/>
  <c r="G99" i="2"/>
  <c r="H337" i="2" s="1" a="1"/>
  <c r="H337" i="2" s="1"/>
  <c r="K97" i="2"/>
  <c r="L335" i="2" s="1" a="1"/>
  <c r="L335" i="2" s="1"/>
  <c r="O95" i="2"/>
  <c r="P333" i="2" s="1" a="1"/>
  <c r="P333" i="2" s="1"/>
  <c r="H101" i="2"/>
  <c r="I339" i="2" s="1" a="1"/>
  <c r="I339" i="2" s="1"/>
  <c r="P97" i="2"/>
  <c r="Q335" i="2" s="1" a="1"/>
  <c r="Q335" i="2" s="1"/>
  <c r="AH99" i="2"/>
  <c r="AI337" i="2" s="1" a="1"/>
  <c r="AI337" i="2" s="1"/>
  <c r="AF98" i="2"/>
  <c r="AG336" i="2" s="1" a="1"/>
  <c r="AG336" i="2" s="1"/>
  <c r="R97" i="2"/>
  <c r="S335" i="2" s="1" a="1"/>
  <c r="S335" i="2" s="1"/>
  <c r="N97" i="2"/>
  <c r="O335" i="2" s="1" a="1"/>
  <c r="O335" i="2" s="1"/>
  <c r="AJ96" i="2"/>
  <c r="AK334" i="2" s="1" a="1"/>
  <c r="AK334" i="2" s="1"/>
  <c r="AF96" i="2"/>
  <c r="AG334" i="2" s="1" a="1"/>
  <c r="AG334" i="2" s="1"/>
  <c r="AB96" i="2"/>
  <c r="AC334" i="2" s="1" a="1"/>
  <c r="AC334" i="2" s="1"/>
  <c r="X96" i="2"/>
  <c r="Y334" i="2" s="1" a="1"/>
  <c r="Y334" i="2" s="1"/>
  <c r="T96" i="2"/>
  <c r="U334" i="2" s="1" a="1"/>
  <c r="U334" i="2" s="1"/>
  <c r="P96" i="2"/>
  <c r="Q334" i="2" s="1" a="1"/>
  <c r="Q334" i="2" s="1"/>
  <c r="L96" i="2"/>
  <c r="M334" i="2" s="1" a="1"/>
  <c r="M334" i="2" s="1"/>
  <c r="AB94" i="2"/>
  <c r="AC332" i="2" s="1" a="1"/>
  <c r="AC332" i="2" s="1"/>
  <c r="L94" i="2"/>
  <c r="AC101" i="2"/>
  <c r="AD339" i="2" s="1" a="1"/>
  <c r="AD339" i="2" s="1"/>
  <c r="AE100" i="2"/>
  <c r="AF338" i="2" s="1" a="1"/>
  <c r="AF338" i="2" s="1"/>
  <c r="AG99" i="2"/>
  <c r="AH337" i="2" s="1" a="1"/>
  <c r="AH337" i="2" s="1"/>
  <c r="AI98" i="2"/>
  <c r="AJ336" i="2" s="1" a="1"/>
  <c r="AJ336" i="2" s="1"/>
  <c r="I95" i="2"/>
  <c r="J333" i="2" s="1" a="1"/>
  <c r="J333" i="2" s="1"/>
  <c r="Y98" i="2"/>
  <c r="Z336" i="2" s="1" a="1"/>
  <c r="Z336" i="2" s="1"/>
  <c r="AC96" i="2"/>
  <c r="AD334" i="2" s="1" a="1"/>
  <c r="AD334" i="2" s="1"/>
  <c r="J100" i="2"/>
  <c r="K338" i="2" s="1" a="1"/>
  <c r="K338" i="2" s="1"/>
  <c r="R96" i="2"/>
  <c r="S334" i="2" s="1" a="1"/>
  <c r="S334" i="2" s="1"/>
  <c r="V99" i="2"/>
  <c r="W337" i="2" s="1" a="1"/>
  <c r="W337" i="2" s="1"/>
  <c r="AJ98" i="2"/>
  <c r="AK336" i="2" s="1" a="1"/>
  <c r="AK336" i="2" s="1"/>
  <c r="L98" i="2"/>
  <c r="M336" i="2" s="1" a="1"/>
  <c r="M336" i="2" s="1"/>
  <c r="H98" i="2"/>
  <c r="I336" i="2" s="1" a="1"/>
  <c r="I336" i="2" s="1"/>
  <c r="AH95" i="2"/>
  <c r="AI333" i="2" s="1" a="1"/>
  <c r="AI333" i="2" s="1"/>
  <c r="AD95" i="2"/>
  <c r="AE333" i="2" s="1" a="1"/>
  <c r="AE333" i="2" s="1"/>
  <c r="Z95" i="2"/>
  <c r="AA333" i="2" s="1" a="1"/>
  <c r="AA333" i="2" s="1"/>
  <c r="X94" i="2"/>
  <c r="Y332" i="2" s="1" a="1"/>
  <c r="Y332" i="2" s="1"/>
  <c r="U101" i="2"/>
  <c r="V339" i="2" s="1" a="1"/>
  <c r="V339" i="2" s="1"/>
  <c r="W100" i="2"/>
  <c r="X338" i="2" s="1" a="1"/>
  <c r="X338" i="2" s="1"/>
  <c r="Y99" i="2"/>
  <c r="Z337" i="2" s="1" a="1"/>
  <c r="Z337" i="2" s="1"/>
  <c r="AA98" i="2"/>
  <c r="AB336" i="2" s="1" a="1"/>
  <c r="AB336" i="2" s="1"/>
  <c r="AC97" i="2"/>
  <c r="AD335" i="2" s="1" a="1"/>
  <c r="AD335" i="2" s="1"/>
  <c r="AE96" i="2"/>
  <c r="AF334" i="2" s="1" a="1"/>
  <c r="AF334" i="2" s="1"/>
  <c r="AG95" i="2"/>
  <c r="AH333" i="2" s="1" a="1"/>
  <c r="AH333" i="2" s="1"/>
  <c r="I98" i="2"/>
  <c r="J336" i="2" s="1" a="1"/>
  <c r="J336" i="2" s="1"/>
  <c r="M96" i="2"/>
  <c r="N334" i="2" s="1" a="1"/>
  <c r="N334" i="2" s="1"/>
  <c r="L99" i="2"/>
  <c r="M337" i="2" s="1" a="1"/>
  <c r="M337" i="2" s="1"/>
  <c r="T95" i="2"/>
  <c r="U333" i="2" s="1" a="1"/>
  <c r="U333" i="2" s="1"/>
  <c r="Z99" i="2"/>
  <c r="AA337" i="2" s="1" a="1"/>
  <c r="AA337" i="2" s="1"/>
  <c r="J99" i="2"/>
  <c r="K337" i="2" s="1" a="1"/>
  <c r="K337" i="2" s="1"/>
  <c r="F99" i="2"/>
  <c r="G337" i="2" s="1" a="1"/>
  <c r="G337" i="2" s="1"/>
  <c r="AB98" i="2"/>
  <c r="AC336" i="2" s="1" a="1"/>
  <c r="AC336" i="2" s="1"/>
  <c r="X98" i="2"/>
  <c r="Y336" i="2" s="1" a="1"/>
  <c r="Y336" i="2" s="1"/>
  <c r="T98" i="2"/>
  <c r="U336" i="2" s="1" a="1"/>
  <c r="U336" i="2" s="1"/>
  <c r="P98" i="2"/>
  <c r="Q336" i="2" s="1" a="1"/>
  <c r="Q336" i="2" s="1"/>
  <c r="AH97" i="2"/>
  <c r="AI335" i="2" s="1" a="1"/>
  <c r="AI335" i="2" s="1"/>
  <c r="AD97" i="2"/>
  <c r="AE335" i="2" s="1" a="1"/>
  <c r="AE335" i="2" s="1"/>
  <c r="Z97" i="2"/>
  <c r="AA335" i="2" s="1" a="1"/>
  <c r="AA335" i="2" s="1"/>
  <c r="V95" i="2"/>
  <c r="W333" i="2" s="1" a="1"/>
  <c r="W333" i="2" s="1"/>
  <c r="AJ94" i="2"/>
  <c r="T94" i="2"/>
  <c r="U332" i="2" s="1" a="1"/>
  <c r="U332" i="2" s="1"/>
  <c r="M101" i="2"/>
  <c r="N339" i="2" s="1" a="1"/>
  <c r="N339" i="2" s="1"/>
  <c r="O100" i="2"/>
  <c r="P338" i="2" s="1" a="1"/>
  <c r="P338" i="2" s="1"/>
  <c r="Q99" i="2"/>
  <c r="R337" i="2" s="1" a="1"/>
  <c r="R337" i="2" s="1"/>
  <c r="S98" i="2"/>
  <c r="T336" i="2" s="1" a="1"/>
  <c r="T336" i="2" s="1"/>
  <c r="U97" i="2"/>
  <c r="V335" i="2" s="1" a="1"/>
  <c r="V335" i="2" s="1"/>
  <c r="W96" i="2"/>
  <c r="X334" i="2" s="1" a="1"/>
  <c r="X334" i="2" s="1"/>
  <c r="Y95" i="2"/>
  <c r="Z333" i="2" s="1" a="1"/>
  <c r="Z333" i="2" s="1"/>
  <c r="AE51" i="35"/>
  <c r="Z48" i="37"/>
  <c r="T62" i="27"/>
  <c r="D64" i="27"/>
  <c r="C384" i="2"/>
  <c r="AL64" i="2" s="1"/>
  <c r="EF25" i="34"/>
  <c r="AE7" i="36"/>
  <c r="W7" i="8"/>
  <c r="K7" i="8"/>
  <c r="X33" i="27"/>
  <c r="EP13" i="33"/>
  <c r="EF25" i="33"/>
  <c r="EP13" i="34"/>
  <c r="Y27" i="8"/>
  <c r="U27" i="8"/>
  <c r="R33" i="27"/>
  <c r="U27" i="37"/>
  <c r="X27" i="37"/>
  <c r="AH136" i="2" l="1"/>
  <c r="AH19" i="8"/>
  <c r="AF137" i="2"/>
  <c r="AF20" i="8"/>
  <c r="AD138" i="2"/>
  <c r="AD21" i="8"/>
  <c r="AH138" i="2"/>
  <c r="AH21" i="8"/>
  <c r="AF130" i="2"/>
  <c r="AF13" i="8"/>
  <c r="AF131" i="2"/>
  <c r="AF14" i="8"/>
  <c r="AF132" i="2"/>
  <c r="AF15" i="8"/>
  <c r="AB133" i="2"/>
  <c r="AB16" i="8"/>
  <c r="AE136" i="2"/>
  <c r="AE19" i="8"/>
  <c r="AH137" i="2"/>
  <c r="AH20" i="8"/>
  <c r="AH135" i="2"/>
  <c r="AH18" i="8"/>
  <c r="AD137" i="2"/>
  <c r="AD20" i="8"/>
  <c r="AI137" i="2"/>
  <c r="AI20" i="8"/>
  <c r="AI132" i="2"/>
  <c r="AI15" i="8"/>
  <c r="AG133" i="2"/>
  <c r="AG16" i="8"/>
  <c r="AH134" i="2"/>
  <c r="AH17" i="8"/>
  <c r="AD135" i="2"/>
  <c r="AD18" i="8"/>
  <c r="AI135" i="2"/>
  <c r="AI18" i="8"/>
  <c r="AE137" i="2"/>
  <c r="AE20" i="8"/>
  <c r="AI138" i="2"/>
  <c r="AI21" i="8"/>
  <c r="AC138" i="2"/>
  <c r="AC21" i="8"/>
  <c r="AC136" i="2"/>
  <c r="AC19" i="8"/>
  <c r="AG130" i="2"/>
  <c r="AG13" i="8"/>
  <c r="AD131" i="2"/>
  <c r="AD14" i="8"/>
  <c r="AH132" i="2"/>
  <c r="AH15" i="8"/>
  <c r="AE135" i="2"/>
  <c r="AE18" i="8"/>
  <c r="AH131" i="2"/>
  <c r="AH14" i="8"/>
  <c r="AC133" i="2"/>
  <c r="AC16" i="8"/>
  <c r="AF134" i="2"/>
  <c r="AF17" i="8"/>
  <c r="AC131" i="2"/>
  <c r="AC14" i="8"/>
  <c r="AD133" i="2"/>
  <c r="AD16" i="8"/>
  <c r="AI136" i="2"/>
  <c r="AI19" i="8"/>
  <c r="AE131" i="2"/>
  <c r="AE14" i="8"/>
  <c r="AH133" i="2"/>
  <c r="AH16" i="8"/>
  <c r="AI133" i="2"/>
  <c r="AI16" i="8"/>
  <c r="AG137" i="2"/>
  <c r="AG20" i="8"/>
  <c r="AF138" i="2"/>
  <c r="AF21" i="8"/>
  <c r="AG132" i="2"/>
  <c r="AG15" i="8"/>
  <c r="AE21" i="8"/>
  <c r="AF16" i="8"/>
  <c r="AF19" i="8"/>
  <c r="AB18" i="8"/>
  <c r="AB21" i="8"/>
  <c r="AC18" i="8"/>
  <c r="AG18" i="8"/>
  <c r="AD19" i="8"/>
  <c r="AG17" i="8"/>
  <c r="AI14" i="8"/>
  <c r="AH13" i="8"/>
  <c r="AG19" i="8"/>
  <c r="AI17" i="8"/>
  <c r="AG14" i="8"/>
  <c r="AB20" i="8"/>
  <c r="AE16" i="8"/>
  <c r="AI13" i="8"/>
  <c r="AC20" i="8"/>
  <c r="AF18" i="8"/>
  <c r="AG21" i="8"/>
  <c r="AE17" i="8"/>
  <c r="M335" i="2" a="1"/>
  <c r="M335" i="2" s="1"/>
  <c r="BM57" i="1"/>
  <c r="BI57" i="1"/>
  <c r="BL57" i="1"/>
  <c r="BJ57" i="1"/>
  <c r="N23" i="1" s="1"/>
  <c r="BO57" i="1"/>
  <c r="O23" i="1" s="1"/>
  <c r="BK57" i="1"/>
  <c r="BN57" i="1"/>
  <c r="BO60" i="1"/>
  <c r="O26" i="1" s="1"/>
  <c r="BK60" i="1"/>
  <c r="BL60" i="1"/>
  <c r="BN60" i="1"/>
  <c r="BJ60" i="1"/>
  <c r="N26" i="1" s="1"/>
  <c r="BM60" i="1"/>
  <c r="BI60" i="1"/>
  <c r="BL61" i="1"/>
  <c r="BM61" i="1"/>
  <c r="BO61" i="1"/>
  <c r="O27" i="1" s="1"/>
  <c r="BK61" i="1"/>
  <c r="BI61" i="1"/>
  <c r="BN61" i="1"/>
  <c r="BJ61" i="1"/>
  <c r="N27" i="1" s="1"/>
  <c r="BL58" i="1"/>
  <c r="BO58" i="1"/>
  <c r="O24" i="1" s="1"/>
  <c r="BI58" i="1"/>
  <c r="BM58" i="1"/>
  <c r="BJ58" i="1"/>
  <c r="N24" i="1" s="1"/>
  <c r="BN58" i="1"/>
  <c r="BK58" i="1"/>
  <c r="BM59" i="1"/>
  <c r="BN59" i="1"/>
  <c r="BI59" i="1"/>
  <c r="BK59" i="1"/>
  <c r="BL59" i="1"/>
  <c r="BJ59" i="1"/>
  <c r="N25" i="1" s="1"/>
  <c r="BO59" i="1"/>
  <c r="O25" i="1" s="1"/>
  <c r="BM62" i="1"/>
  <c r="BI62" i="1"/>
  <c r="BL62" i="1"/>
  <c r="BN62" i="1"/>
  <c r="BO62" i="1"/>
  <c r="O28" i="1" s="1"/>
  <c r="BK62" i="1"/>
  <c r="BJ62" i="1"/>
  <c r="N28" i="1" s="1"/>
  <c r="L332" i="2" a="1"/>
  <c r="L332" i="2" s="1"/>
  <c r="M332" i="2" s="1" a="1"/>
  <c r="M332" i="2" s="1"/>
  <c r="BR56" i="1"/>
  <c r="BV56" i="1"/>
  <c r="BZ56" i="1"/>
  <c r="CD56" i="1"/>
  <c r="BS56" i="1"/>
  <c r="BW56" i="1"/>
  <c r="CA56" i="1"/>
  <c r="CE56" i="1"/>
  <c r="BX56" i="1"/>
  <c r="CF56" i="1"/>
  <c r="CJ56" i="1"/>
  <c r="CN56" i="1"/>
  <c r="CR56" i="1"/>
  <c r="CV56" i="1"/>
  <c r="CZ56" i="1"/>
  <c r="BK56" i="1"/>
  <c r="BO56" i="1"/>
  <c r="O22" i="1" s="1"/>
  <c r="BY56" i="1"/>
  <c r="CG56" i="1"/>
  <c r="CK56" i="1"/>
  <c r="CO56" i="1"/>
  <c r="CS56" i="1"/>
  <c r="CW56" i="1"/>
  <c r="DA56" i="1"/>
  <c r="BL56" i="1"/>
  <c r="BI56" i="1"/>
  <c r="BT56" i="1"/>
  <c r="CH56" i="1"/>
  <c r="CP56" i="1"/>
  <c r="CX56" i="1"/>
  <c r="CL56" i="1"/>
  <c r="CM56" i="1"/>
  <c r="BN56" i="1"/>
  <c r="BU56" i="1"/>
  <c r="CI56" i="1"/>
  <c r="CQ56" i="1"/>
  <c r="CY56" i="1"/>
  <c r="BJ56" i="1"/>
  <c r="N22" i="1" s="1"/>
  <c r="CB56" i="1"/>
  <c r="CT56" i="1"/>
  <c r="BM56" i="1"/>
  <c r="CC56" i="1"/>
  <c r="CU56" i="1"/>
  <c r="BR54" i="1"/>
  <c r="BV54" i="1"/>
  <c r="BZ54" i="1"/>
  <c r="CD54" i="1"/>
  <c r="CH54" i="1"/>
  <c r="CL54" i="1"/>
  <c r="CP54" i="1"/>
  <c r="CT54" i="1"/>
  <c r="CX54" i="1"/>
  <c r="BS54" i="1"/>
  <c r="BW54" i="1"/>
  <c r="CA54" i="1"/>
  <c r="CE54" i="1"/>
  <c r="CI54" i="1"/>
  <c r="CM54" i="1"/>
  <c r="CQ54" i="1"/>
  <c r="CU54" i="1"/>
  <c r="CY54" i="1"/>
  <c r="BX54" i="1"/>
  <c r="CF54" i="1"/>
  <c r="CN54" i="1"/>
  <c r="CV54" i="1"/>
  <c r="BK54" i="1"/>
  <c r="BO54" i="1"/>
  <c r="O20" i="1" s="1"/>
  <c r="BY54" i="1"/>
  <c r="CG54" i="1"/>
  <c r="CO54" i="1"/>
  <c r="CW54" i="1"/>
  <c r="BL54" i="1"/>
  <c r="CB54" i="1"/>
  <c r="CR54" i="1"/>
  <c r="BM54" i="1"/>
  <c r="BT54" i="1"/>
  <c r="CZ54" i="1"/>
  <c r="BU54" i="1"/>
  <c r="DA54" i="1"/>
  <c r="BJ54" i="1"/>
  <c r="N20" i="1" s="1"/>
  <c r="CC54" i="1"/>
  <c r="CS54" i="1"/>
  <c r="BN54" i="1"/>
  <c r="CJ54" i="1"/>
  <c r="CK54" i="1"/>
  <c r="BI54" i="1"/>
  <c r="BT57" i="1"/>
  <c r="BX57" i="1"/>
  <c r="CB57" i="1"/>
  <c r="CF57" i="1"/>
  <c r="CJ57" i="1"/>
  <c r="CN57" i="1"/>
  <c r="CR57" i="1"/>
  <c r="CV57" i="1"/>
  <c r="CZ57" i="1"/>
  <c r="BU57" i="1"/>
  <c r="BY57" i="1"/>
  <c r="CC57" i="1"/>
  <c r="CG57" i="1"/>
  <c r="CK57" i="1"/>
  <c r="CO57" i="1"/>
  <c r="CS57" i="1"/>
  <c r="CW57" i="1"/>
  <c r="DA57" i="1"/>
  <c r="BV57" i="1"/>
  <c r="CD57" i="1"/>
  <c r="CL57" i="1"/>
  <c r="CT57" i="1"/>
  <c r="BR57" i="1"/>
  <c r="CH57" i="1"/>
  <c r="CX57" i="1"/>
  <c r="CA57" i="1"/>
  <c r="CQ57" i="1"/>
  <c r="BW57" i="1"/>
  <c r="CE57" i="1"/>
  <c r="CM57" i="1"/>
  <c r="CU57" i="1"/>
  <c r="BZ57" i="1"/>
  <c r="CP57" i="1"/>
  <c r="BS57" i="1"/>
  <c r="CI57" i="1"/>
  <c r="CY57" i="1"/>
  <c r="BR52" i="1"/>
  <c r="C32" i="2" s="1" a="1"/>
  <c r="C32" i="2" s="1"/>
  <c r="BV52" i="1"/>
  <c r="G32" i="2" s="1" a="1"/>
  <c r="G32" i="2" s="1"/>
  <c r="BZ52" i="1"/>
  <c r="K32" i="2" s="1" a="1"/>
  <c r="K32" i="2" s="1"/>
  <c r="CD52" i="1"/>
  <c r="CH52" i="1"/>
  <c r="S32" i="2" s="1" a="1"/>
  <c r="S32" i="2" s="1"/>
  <c r="CL52" i="1"/>
  <c r="W32" i="2" s="1" a="1"/>
  <c r="W32" i="2" s="1"/>
  <c r="CP52" i="1"/>
  <c r="AA32" i="2" s="1" a="1"/>
  <c r="AA32" i="2" s="1"/>
  <c r="CT52" i="1"/>
  <c r="CX52" i="1"/>
  <c r="BS52" i="1"/>
  <c r="D32" i="2" s="1" a="1"/>
  <c r="D32" i="2" s="1"/>
  <c r="BW52" i="1"/>
  <c r="H32" i="2" s="1" a="1"/>
  <c r="H32" i="2" s="1"/>
  <c r="CA52" i="1"/>
  <c r="L32" i="2" s="1" a="1"/>
  <c r="L32" i="2" s="1"/>
  <c r="CE52" i="1"/>
  <c r="CI52" i="1"/>
  <c r="T32" i="2" s="1" a="1"/>
  <c r="T32" i="2" s="1"/>
  <c r="CM52" i="1"/>
  <c r="X32" i="2" s="1" a="1"/>
  <c r="X32" i="2" s="1"/>
  <c r="CQ52" i="1"/>
  <c r="AB32" i="2" s="1" a="1"/>
  <c r="AB32" i="2" s="1"/>
  <c r="CU52" i="1"/>
  <c r="CY52" i="1"/>
  <c r="AJ241" i="23" s="1"/>
  <c r="AJ17" i="49" s="1"/>
  <c r="BX52" i="1"/>
  <c r="I32" i="2" s="1" a="1"/>
  <c r="I32" i="2" s="1"/>
  <c r="CF52" i="1"/>
  <c r="Q32" i="2" s="1" a="1"/>
  <c r="Q32" i="2" s="1"/>
  <c r="CN52" i="1"/>
  <c r="Y32" i="2" s="1" a="1"/>
  <c r="Y32" i="2" s="1"/>
  <c r="CV52" i="1"/>
  <c r="BK52" i="1"/>
  <c r="BO52" i="1"/>
  <c r="O18" i="1" s="1"/>
  <c r="BY52" i="1"/>
  <c r="J32" i="2" s="1" a="1"/>
  <c r="J32" i="2" s="1"/>
  <c r="CG52" i="1"/>
  <c r="R32" i="2" s="1" a="1"/>
  <c r="R32" i="2" s="1"/>
  <c r="CO52" i="1"/>
  <c r="Z32" i="2" s="1" a="1"/>
  <c r="Z32" i="2" s="1"/>
  <c r="CW52" i="1"/>
  <c r="BL52" i="1"/>
  <c r="BI52" i="1"/>
  <c r="BT52" i="1"/>
  <c r="E32" i="2" s="1" a="1"/>
  <c r="E32" i="2" s="1"/>
  <c r="CJ52" i="1"/>
  <c r="U32" i="2" s="1" a="1"/>
  <c r="U32" i="2" s="1"/>
  <c r="CZ52" i="1"/>
  <c r="CB52" i="1"/>
  <c r="CC52" i="1"/>
  <c r="BU52" i="1"/>
  <c r="F32" i="2" s="1" a="1"/>
  <c r="F32" i="2" s="1"/>
  <c r="CK52" i="1"/>
  <c r="V32" i="2" s="1" a="1"/>
  <c r="V32" i="2" s="1"/>
  <c r="DA52" i="1"/>
  <c r="BJ52" i="1"/>
  <c r="N18" i="1" s="1"/>
  <c r="CR52" i="1"/>
  <c r="AC32" i="2" s="1" a="1"/>
  <c r="AC32" i="2" s="1"/>
  <c r="BM52" i="1"/>
  <c r="CS52" i="1"/>
  <c r="AD32" i="2" s="1" a="1"/>
  <c r="AD32" i="2" s="1"/>
  <c r="BN52" i="1"/>
  <c r="BR51" i="1"/>
  <c r="C31" i="2" s="1" a="1"/>
  <c r="C31" i="2" s="1"/>
  <c r="BV51" i="1"/>
  <c r="G31" i="2" s="1" a="1"/>
  <c r="G31" i="2" s="1"/>
  <c r="BZ51" i="1"/>
  <c r="K31" i="2" s="1" a="1"/>
  <c r="K31" i="2" s="1"/>
  <c r="CD51" i="1"/>
  <c r="O31" i="2" s="1" a="1"/>
  <c r="O31" i="2" s="1"/>
  <c r="CH51" i="1"/>
  <c r="S31" i="2" s="1" a="1"/>
  <c r="S31" i="2" s="1"/>
  <c r="CL51" i="1"/>
  <c r="W31" i="2" s="1" a="1"/>
  <c r="W31" i="2" s="1"/>
  <c r="CP51" i="1"/>
  <c r="AA31" i="2" s="1" a="1"/>
  <c r="AA31" i="2" s="1"/>
  <c r="CT51" i="1"/>
  <c r="CX51" i="1"/>
  <c r="BS51" i="1"/>
  <c r="D31" i="2" s="1" a="1"/>
  <c r="D31" i="2" s="1"/>
  <c r="BW51" i="1"/>
  <c r="H31" i="2" s="1" a="1"/>
  <c r="H31" i="2" s="1"/>
  <c r="CA51" i="1"/>
  <c r="L31" i="2" s="1" a="1"/>
  <c r="L31" i="2" s="1"/>
  <c r="CE51" i="1"/>
  <c r="P31" i="2" s="1" a="1"/>
  <c r="P31" i="2" s="1"/>
  <c r="CI51" i="1"/>
  <c r="T31" i="2" s="1" a="1"/>
  <c r="T31" i="2" s="1"/>
  <c r="CM51" i="1"/>
  <c r="X31" i="2" s="1" a="1"/>
  <c r="X31" i="2" s="1"/>
  <c r="CQ51" i="1"/>
  <c r="AB31" i="2" s="1" a="1"/>
  <c r="AB31" i="2" s="1"/>
  <c r="CU51" i="1"/>
  <c r="CY51" i="1"/>
  <c r="AJ240" i="23" s="1"/>
  <c r="AJ16" i="49" s="1"/>
  <c r="BT51" i="1"/>
  <c r="E31" i="2" s="1" a="1"/>
  <c r="E31" i="2" s="1"/>
  <c r="CB51" i="1"/>
  <c r="M31" i="2" s="1" a="1"/>
  <c r="M31" i="2" s="1"/>
  <c r="CJ51" i="1"/>
  <c r="U31" i="2" s="1" a="1"/>
  <c r="U31" i="2" s="1"/>
  <c r="CR51" i="1"/>
  <c r="AC31" i="2" s="1" a="1"/>
  <c r="AC31" i="2" s="1"/>
  <c r="CZ51" i="1"/>
  <c r="BM51" i="1"/>
  <c r="BI51" i="1"/>
  <c r="BU51" i="1"/>
  <c r="F31" i="2" s="1" a="1"/>
  <c r="F31" i="2" s="1"/>
  <c r="CC51" i="1"/>
  <c r="N31" i="2" s="1" a="1"/>
  <c r="N31" i="2" s="1"/>
  <c r="CK51" i="1"/>
  <c r="V31" i="2" s="1" a="1"/>
  <c r="V31" i="2" s="1"/>
  <c r="CS51" i="1"/>
  <c r="AD31" i="2" s="1" a="1"/>
  <c r="AD31" i="2" s="1"/>
  <c r="DA51" i="1"/>
  <c r="BJ51" i="1"/>
  <c r="N17" i="1" s="1"/>
  <c r="BN51" i="1"/>
  <c r="BX51" i="1"/>
  <c r="I31" i="2" s="1" a="1"/>
  <c r="I31" i="2" s="1"/>
  <c r="CN51" i="1"/>
  <c r="Y31" i="2" s="1" a="1"/>
  <c r="Y31" i="2" s="1"/>
  <c r="BO51" i="1"/>
  <c r="O17" i="1" s="1"/>
  <c r="CF51" i="1"/>
  <c r="Q31" i="2" s="1" a="1"/>
  <c r="Q31" i="2" s="1"/>
  <c r="BK51" i="1"/>
  <c r="CG51" i="1"/>
  <c r="R31" i="2" s="1" a="1"/>
  <c r="R31" i="2" s="1"/>
  <c r="BL51" i="1"/>
  <c r="BY51" i="1"/>
  <c r="J31" i="2" s="1" a="1"/>
  <c r="J31" i="2" s="1"/>
  <c r="CO51" i="1"/>
  <c r="Z31" i="2" s="1" a="1"/>
  <c r="Z31" i="2" s="1"/>
  <c r="CV51" i="1"/>
  <c r="CW51" i="1"/>
  <c r="BR50" i="1"/>
  <c r="BV50" i="1"/>
  <c r="BZ50" i="1"/>
  <c r="K30" i="2" s="1" a="1"/>
  <c r="K30" i="2" s="1"/>
  <c r="CD50" i="1"/>
  <c r="O30" i="2" s="1" a="1"/>
  <c r="O30" i="2" s="1"/>
  <c r="CH50" i="1"/>
  <c r="S30" i="2" s="1" a="1"/>
  <c r="S30" i="2" s="1"/>
  <c r="CL50" i="1"/>
  <c r="W30" i="2" s="1" a="1"/>
  <c r="W30" i="2" s="1"/>
  <c r="CP50" i="1"/>
  <c r="AA30" i="2" s="1" a="1"/>
  <c r="AA30" i="2" s="1"/>
  <c r="CT50" i="1"/>
  <c r="AE30" i="2" s="1" a="1"/>
  <c r="AE30" i="2" s="1"/>
  <c r="CX50" i="1"/>
  <c r="BS50" i="1"/>
  <c r="BW50" i="1"/>
  <c r="H30" i="2" s="1" a="1"/>
  <c r="H30" i="2" s="1"/>
  <c r="CA50" i="1"/>
  <c r="L30" i="2" s="1" a="1"/>
  <c r="L30" i="2" s="1"/>
  <c r="CE50" i="1"/>
  <c r="P30" i="2" s="1" a="1"/>
  <c r="P30" i="2" s="1"/>
  <c r="CI50" i="1"/>
  <c r="T30" i="2" s="1" a="1"/>
  <c r="T30" i="2" s="1"/>
  <c r="CM50" i="1"/>
  <c r="X30" i="2" s="1" a="1"/>
  <c r="X30" i="2" s="1"/>
  <c r="CQ50" i="1"/>
  <c r="AB30" i="2" s="1" a="1"/>
  <c r="AB30" i="2" s="1"/>
  <c r="CU50" i="1"/>
  <c r="AF30" i="2" s="1" a="1"/>
  <c r="AF30" i="2" s="1"/>
  <c r="CY50" i="1"/>
  <c r="AJ239" i="23" s="1"/>
  <c r="AJ15" i="49" s="1"/>
  <c r="BX50" i="1"/>
  <c r="I30" i="2" s="1" a="1"/>
  <c r="I30" i="2" s="1"/>
  <c r="CF50" i="1"/>
  <c r="Q30" i="2" s="1" a="1"/>
  <c r="Q30" i="2" s="1"/>
  <c r="CN50" i="1"/>
  <c r="Y30" i="2" s="1" a="1"/>
  <c r="Y30" i="2" s="1"/>
  <c r="CV50" i="1"/>
  <c r="AG30" i="2" s="1" a="1"/>
  <c r="AG30" i="2" s="1"/>
  <c r="BK50" i="1"/>
  <c r="BO50" i="1"/>
  <c r="O16" i="1" s="1"/>
  <c r="BY50" i="1"/>
  <c r="J30" i="2" s="1" a="1"/>
  <c r="J30" i="2" s="1"/>
  <c r="CG50" i="1"/>
  <c r="R30" i="2" s="1" a="1"/>
  <c r="R30" i="2" s="1"/>
  <c r="CO50" i="1"/>
  <c r="Z30" i="2" s="1" a="1"/>
  <c r="Z30" i="2" s="1"/>
  <c r="CW50" i="1"/>
  <c r="BL50" i="1"/>
  <c r="CB50" i="1"/>
  <c r="M30" i="2" s="1" a="1"/>
  <c r="M30" i="2" s="1"/>
  <c r="CR50" i="1"/>
  <c r="AC30" i="2" s="1" a="1"/>
  <c r="AC30" i="2" s="1"/>
  <c r="BM50" i="1"/>
  <c r="CJ50" i="1"/>
  <c r="U30" i="2" s="1" a="1"/>
  <c r="U30" i="2" s="1"/>
  <c r="CK50" i="1"/>
  <c r="V30" i="2" s="1" a="1"/>
  <c r="V30" i="2" s="1"/>
  <c r="CC50" i="1"/>
  <c r="N30" i="2" s="1" a="1"/>
  <c r="N30" i="2" s="1"/>
  <c r="CS50" i="1"/>
  <c r="AD30" i="2" s="1" a="1"/>
  <c r="AD30" i="2" s="1"/>
  <c r="BN50" i="1"/>
  <c r="BI50" i="1"/>
  <c r="BT50" i="1"/>
  <c r="CZ50" i="1"/>
  <c r="BU50" i="1"/>
  <c r="DA50" i="1"/>
  <c r="BJ50" i="1"/>
  <c r="N16" i="1" s="1"/>
  <c r="BR48" i="1"/>
  <c r="BV48" i="1"/>
  <c r="BZ48" i="1"/>
  <c r="K28" i="2" s="1" a="1"/>
  <c r="K28" i="2" s="1"/>
  <c r="CD48" i="1"/>
  <c r="O28" i="2" s="1" a="1"/>
  <c r="O28" i="2" s="1"/>
  <c r="CH48" i="1"/>
  <c r="S28" i="2" s="1" a="1"/>
  <c r="S28" i="2" s="1"/>
  <c r="CL48" i="1"/>
  <c r="W28" i="2" s="1" a="1"/>
  <c r="W28" i="2" s="1"/>
  <c r="CP48" i="1"/>
  <c r="AA28" i="2" s="1" a="1"/>
  <c r="AA28" i="2" s="1"/>
  <c r="CT48" i="1"/>
  <c r="AE28" i="2" s="1" a="1"/>
  <c r="AE28" i="2" s="1"/>
  <c r="CX48" i="1"/>
  <c r="BS48" i="1"/>
  <c r="BW48" i="1"/>
  <c r="CA48" i="1"/>
  <c r="L28" i="2" s="1" a="1"/>
  <c r="L28" i="2" s="1"/>
  <c r="CE48" i="1"/>
  <c r="P28" i="2" s="1" a="1"/>
  <c r="P28" i="2" s="1"/>
  <c r="CI48" i="1"/>
  <c r="T28" i="2" s="1" a="1"/>
  <c r="T28" i="2" s="1"/>
  <c r="CM48" i="1"/>
  <c r="X28" i="2" s="1" a="1"/>
  <c r="X28" i="2" s="1"/>
  <c r="CQ48" i="1"/>
  <c r="AB28" i="2" s="1" a="1"/>
  <c r="AB28" i="2" s="1"/>
  <c r="CU48" i="1"/>
  <c r="AF28" i="2" s="1" a="1"/>
  <c r="AF28" i="2" s="1"/>
  <c r="CY48" i="1"/>
  <c r="AJ237" i="23" s="1"/>
  <c r="AJ13" i="49" s="1"/>
  <c r="BX48" i="1"/>
  <c r="CF48" i="1"/>
  <c r="Q28" i="2" s="1" a="1"/>
  <c r="Q28" i="2" s="1"/>
  <c r="CN48" i="1"/>
  <c r="Y28" i="2" s="1" a="1"/>
  <c r="Y28" i="2" s="1"/>
  <c r="CV48" i="1"/>
  <c r="BK48" i="1"/>
  <c r="BO48" i="1"/>
  <c r="O14" i="1" s="1"/>
  <c r="BY48" i="1"/>
  <c r="J28" i="2" s="1" a="1"/>
  <c r="J28" i="2" s="1"/>
  <c r="CG48" i="1"/>
  <c r="R28" i="2" s="1" a="1"/>
  <c r="R28" i="2" s="1"/>
  <c r="CO48" i="1"/>
  <c r="Z28" i="2" s="1" a="1"/>
  <c r="Z28" i="2" s="1"/>
  <c r="CW48" i="1"/>
  <c r="BL48" i="1"/>
  <c r="BI48" i="1"/>
  <c r="BT48" i="1"/>
  <c r="CJ48" i="1"/>
  <c r="U28" i="2" s="1" a="1"/>
  <c r="U28" i="2" s="1"/>
  <c r="CZ48" i="1"/>
  <c r="CR48" i="1"/>
  <c r="AC28" i="2" s="1" a="1"/>
  <c r="AC28" i="2" s="1"/>
  <c r="BM48" i="1"/>
  <c r="CS48" i="1"/>
  <c r="AD28" i="2" s="1" a="1"/>
  <c r="AD28" i="2" s="1"/>
  <c r="BN48" i="1"/>
  <c r="BU48" i="1"/>
  <c r="CK48" i="1"/>
  <c r="V28" i="2" s="1" a="1"/>
  <c r="V28" i="2" s="1"/>
  <c r="DA48" i="1"/>
  <c r="BJ48" i="1"/>
  <c r="N14" i="1" s="1"/>
  <c r="CB48" i="1"/>
  <c r="M28" i="2" s="1" a="1"/>
  <c r="M28" i="2" s="1"/>
  <c r="CC48" i="1"/>
  <c r="N28" i="2" s="1" a="1"/>
  <c r="N28" i="2" s="1"/>
  <c r="BR55" i="1"/>
  <c r="BV55" i="1"/>
  <c r="BZ55" i="1"/>
  <c r="CD55" i="1"/>
  <c r="CH55" i="1"/>
  <c r="CL55" i="1"/>
  <c r="CP55" i="1"/>
  <c r="CT55" i="1"/>
  <c r="CX55" i="1"/>
  <c r="BS55" i="1"/>
  <c r="BW55" i="1"/>
  <c r="CA55" i="1"/>
  <c r="CE55" i="1"/>
  <c r="CI55" i="1"/>
  <c r="CM55" i="1"/>
  <c r="CQ55" i="1"/>
  <c r="CU55" i="1"/>
  <c r="CY55" i="1"/>
  <c r="BT55" i="1"/>
  <c r="CB55" i="1"/>
  <c r="CJ55" i="1"/>
  <c r="CR55" i="1"/>
  <c r="CZ55" i="1"/>
  <c r="BM55" i="1"/>
  <c r="BI55" i="1"/>
  <c r="BU55" i="1"/>
  <c r="CC55" i="1"/>
  <c r="CK55" i="1"/>
  <c r="CS55" i="1"/>
  <c r="DA55" i="1"/>
  <c r="BJ55" i="1"/>
  <c r="N21" i="1" s="1"/>
  <c r="BN55" i="1"/>
  <c r="BX55" i="1"/>
  <c r="CN55" i="1"/>
  <c r="BO55" i="1"/>
  <c r="O21" i="1" s="1"/>
  <c r="CV55" i="1"/>
  <c r="BK55" i="1"/>
  <c r="CW55" i="1"/>
  <c r="BY55" i="1"/>
  <c r="CO55" i="1"/>
  <c r="CF55" i="1"/>
  <c r="CG55" i="1"/>
  <c r="BL55" i="1"/>
  <c r="BR53" i="1"/>
  <c r="BV53" i="1"/>
  <c r="BZ53" i="1"/>
  <c r="CD53" i="1"/>
  <c r="CH53" i="1"/>
  <c r="CL53" i="1"/>
  <c r="CP53" i="1"/>
  <c r="CT53" i="1"/>
  <c r="CX53" i="1"/>
  <c r="BS53" i="1"/>
  <c r="BW53" i="1"/>
  <c r="CA53" i="1"/>
  <c r="CE53" i="1"/>
  <c r="CI53" i="1"/>
  <c r="CM53" i="1"/>
  <c r="CQ53" i="1"/>
  <c r="CU53" i="1"/>
  <c r="CY53" i="1"/>
  <c r="AJ242" i="23" s="1"/>
  <c r="AJ18" i="49" s="1"/>
  <c r="BT53" i="1"/>
  <c r="CB53" i="1"/>
  <c r="CJ53" i="1"/>
  <c r="CR53" i="1"/>
  <c r="CZ53" i="1"/>
  <c r="BM53" i="1"/>
  <c r="BU53" i="1"/>
  <c r="CC53" i="1"/>
  <c r="CK53" i="1"/>
  <c r="CS53" i="1"/>
  <c r="DA53" i="1"/>
  <c r="BJ53" i="1"/>
  <c r="N19" i="1" s="1"/>
  <c r="BN53" i="1"/>
  <c r="CF53" i="1"/>
  <c r="CV53" i="1"/>
  <c r="BK53" i="1"/>
  <c r="BX53" i="1"/>
  <c r="BY53" i="1"/>
  <c r="CG53" i="1"/>
  <c r="CW53" i="1"/>
  <c r="BL53" i="1"/>
  <c r="CN53" i="1"/>
  <c r="BO53" i="1"/>
  <c r="O19" i="1" s="1"/>
  <c r="BI53" i="1"/>
  <c r="CO53" i="1"/>
  <c r="BT46" i="1"/>
  <c r="BX46" i="1"/>
  <c r="CB46" i="1"/>
  <c r="M26" i="2" s="1" a="1"/>
  <c r="M26" i="2" s="1"/>
  <c r="CF46" i="1"/>
  <c r="Q26" i="2" s="1" a="1"/>
  <c r="Q26" i="2" s="1"/>
  <c r="CJ46" i="1"/>
  <c r="U26" i="2" s="1" a="1"/>
  <c r="U26" i="2" s="1"/>
  <c r="CN46" i="1"/>
  <c r="Y26" i="2" s="1" a="1"/>
  <c r="Y26" i="2" s="1"/>
  <c r="CR46" i="1"/>
  <c r="AC26" i="2" s="1" a="1"/>
  <c r="AC26" i="2" s="1"/>
  <c r="CV46" i="1"/>
  <c r="CZ46" i="1"/>
  <c r="BM46" i="1"/>
  <c r="BU46" i="1"/>
  <c r="BY46" i="1"/>
  <c r="CC46" i="1"/>
  <c r="N26" i="2" s="1" a="1"/>
  <c r="N26" i="2" s="1"/>
  <c r="CG46" i="1"/>
  <c r="R26" i="2" s="1" a="1"/>
  <c r="R26" i="2" s="1"/>
  <c r="CK46" i="1"/>
  <c r="V26" i="2" s="1" a="1"/>
  <c r="V26" i="2" s="1"/>
  <c r="CO46" i="1"/>
  <c r="Z26" i="2" s="1" a="1"/>
  <c r="Z26" i="2" s="1"/>
  <c r="CS46" i="1"/>
  <c r="AD26" i="2" s="1" a="1"/>
  <c r="AD26" i="2" s="1"/>
  <c r="CW46" i="1"/>
  <c r="BR46" i="1"/>
  <c r="BL46" i="1"/>
  <c r="DA46" i="1"/>
  <c r="BZ46" i="1"/>
  <c r="K26" i="2" s="1" a="1"/>
  <c r="K26" i="2" s="1"/>
  <c r="CH46" i="1"/>
  <c r="S26" i="2" s="1" a="1"/>
  <c r="S26" i="2" s="1"/>
  <c r="CP46" i="1"/>
  <c r="AA26" i="2" s="1" a="1"/>
  <c r="AA26" i="2" s="1"/>
  <c r="CX46" i="1"/>
  <c r="BO46" i="1"/>
  <c r="CD46" i="1"/>
  <c r="O26" i="2" s="1" a="1"/>
  <c r="O26" i="2" s="1"/>
  <c r="CT46" i="1"/>
  <c r="AE26" i="2" s="1" a="1"/>
  <c r="AE26" i="2" s="1"/>
  <c r="BK46" i="1"/>
  <c r="BW46" i="1"/>
  <c r="CU46" i="1"/>
  <c r="AF26" i="2" s="1" a="1"/>
  <c r="AF26" i="2" s="1"/>
  <c r="BS46" i="1"/>
  <c r="CA46" i="1"/>
  <c r="L26" i="2" s="1" a="1"/>
  <c r="L26" i="2" s="1"/>
  <c r="CI46" i="1"/>
  <c r="T26" i="2" s="1" a="1"/>
  <c r="T26" i="2" s="1"/>
  <c r="CQ46" i="1"/>
  <c r="AB26" i="2" s="1" a="1"/>
  <c r="AB26" i="2" s="1"/>
  <c r="CY46" i="1"/>
  <c r="AJ235" i="23" s="1"/>
  <c r="AJ11" i="49" s="1"/>
  <c r="BN46" i="1"/>
  <c r="BI46" i="1"/>
  <c r="BV46" i="1"/>
  <c r="CL46" i="1"/>
  <c r="W26" i="2" s="1" a="1"/>
  <c r="W26" i="2" s="1"/>
  <c r="CE46" i="1"/>
  <c r="P26" i="2" s="1" a="1"/>
  <c r="P26" i="2" s="1"/>
  <c r="CM46" i="1"/>
  <c r="X26" i="2" s="1" a="1"/>
  <c r="X26" i="2" s="1"/>
  <c r="BJ46" i="1"/>
  <c r="BR47" i="1"/>
  <c r="BV47" i="1"/>
  <c r="BZ47" i="1"/>
  <c r="K27" i="2" s="1" a="1"/>
  <c r="K27" i="2" s="1"/>
  <c r="CD47" i="1"/>
  <c r="O27" i="2" s="1" a="1"/>
  <c r="O27" i="2" s="1"/>
  <c r="CH47" i="1"/>
  <c r="S27" i="2" s="1" a="1"/>
  <c r="S27" i="2" s="1"/>
  <c r="CL47" i="1"/>
  <c r="W27" i="2" s="1" a="1"/>
  <c r="W27" i="2" s="1"/>
  <c r="CP47" i="1"/>
  <c r="AA27" i="2" s="1" a="1"/>
  <c r="AA27" i="2" s="1"/>
  <c r="CT47" i="1"/>
  <c r="CX47" i="1"/>
  <c r="BS47" i="1"/>
  <c r="BW47" i="1"/>
  <c r="H27" i="2" s="1" a="1"/>
  <c r="H27" i="2" s="1"/>
  <c r="CA47" i="1"/>
  <c r="L27" i="2" s="1" a="1"/>
  <c r="L27" i="2" s="1"/>
  <c r="CE47" i="1"/>
  <c r="P27" i="2" s="1" a="1"/>
  <c r="P27" i="2" s="1"/>
  <c r="CI47" i="1"/>
  <c r="T27" i="2" s="1" a="1"/>
  <c r="T27" i="2" s="1"/>
  <c r="CM47" i="1"/>
  <c r="X27" i="2" s="1" a="1"/>
  <c r="X27" i="2" s="1"/>
  <c r="CQ47" i="1"/>
  <c r="AB27" i="2" s="1" a="1"/>
  <c r="AB27" i="2" s="1"/>
  <c r="CU47" i="1"/>
  <c r="CY47" i="1"/>
  <c r="AJ236" i="23" s="1"/>
  <c r="AJ12" i="49" s="1"/>
  <c r="BT47" i="1"/>
  <c r="CB47" i="1"/>
  <c r="M27" i="2" s="1" a="1"/>
  <c r="M27" i="2" s="1"/>
  <c r="CJ47" i="1"/>
  <c r="U27" i="2" s="1" a="1"/>
  <c r="U27" i="2" s="1"/>
  <c r="CR47" i="1"/>
  <c r="AC27" i="2" s="1" a="1"/>
  <c r="AC27" i="2" s="1"/>
  <c r="CZ47" i="1"/>
  <c r="BM47" i="1"/>
  <c r="BI47" i="1"/>
  <c r="BU47" i="1"/>
  <c r="F95" i="2" s="1"/>
  <c r="G333" i="2" s="1" a="1"/>
  <c r="G333" i="2" s="1"/>
  <c r="CC47" i="1"/>
  <c r="N27" i="2" s="1" a="1"/>
  <c r="N27" i="2" s="1"/>
  <c r="CK47" i="1"/>
  <c r="V27" i="2" s="1" a="1"/>
  <c r="V27" i="2" s="1"/>
  <c r="CS47" i="1"/>
  <c r="DA47" i="1"/>
  <c r="BJ47" i="1"/>
  <c r="N13" i="1" s="1"/>
  <c r="BN47" i="1"/>
  <c r="BX47" i="1"/>
  <c r="I27" i="2" s="1" a="1"/>
  <c r="I27" i="2" s="1"/>
  <c r="CN47" i="1"/>
  <c r="Y27" i="2" s="1" a="1"/>
  <c r="Y27" i="2" s="1"/>
  <c r="BO47" i="1"/>
  <c r="O13" i="1" s="1"/>
  <c r="CV47" i="1"/>
  <c r="CW47" i="1"/>
  <c r="BY47" i="1"/>
  <c r="J27" i="2" s="1" a="1"/>
  <c r="J27" i="2" s="1"/>
  <c r="CO47" i="1"/>
  <c r="Z27" i="2" s="1" a="1"/>
  <c r="Z27" i="2" s="1"/>
  <c r="CF47" i="1"/>
  <c r="Q27" i="2" s="1" a="1"/>
  <c r="Q27" i="2" s="1"/>
  <c r="BK47" i="1"/>
  <c r="CG47" i="1"/>
  <c r="R27" i="2" s="1" a="1"/>
  <c r="R27" i="2" s="1"/>
  <c r="BL47" i="1"/>
  <c r="BR49" i="1"/>
  <c r="BV49" i="1"/>
  <c r="BZ49" i="1"/>
  <c r="K29" i="2" s="1" a="1"/>
  <c r="K29" i="2" s="1"/>
  <c r="CD49" i="1"/>
  <c r="O29" i="2" s="1" a="1"/>
  <c r="O29" i="2" s="1"/>
  <c r="CH49" i="1"/>
  <c r="S29" i="2" s="1" a="1"/>
  <c r="S29" i="2" s="1"/>
  <c r="CL49" i="1"/>
  <c r="W29" i="2" s="1" a="1"/>
  <c r="W29" i="2" s="1"/>
  <c r="CP49" i="1"/>
  <c r="AA29" i="2" s="1" a="1"/>
  <c r="AA29" i="2" s="1"/>
  <c r="CT49" i="1"/>
  <c r="CX49" i="1"/>
  <c r="BS49" i="1"/>
  <c r="BW49" i="1"/>
  <c r="CA49" i="1"/>
  <c r="L29" i="2" s="1" a="1"/>
  <c r="L29" i="2" s="1"/>
  <c r="CE49" i="1"/>
  <c r="P29" i="2" s="1" a="1"/>
  <c r="P29" i="2" s="1"/>
  <c r="CI49" i="1"/>
  <c r="T29" i="2" s="1" a="1"/>
  <c r="T29" i="2" s="1"/>
  <c r="CM49" i="1"/>
  <c r="X29" i="2" s="1" a="1"/>
  <c r="X29" i="2" s="1"/>
  <c r="CQ49" i="1"/>
  <c r="AB29" i="2" s="1" a="1"/>
  <c r="AB29" i="2" s="1"/>
  <c r="CU49" i="1"/>
  <c r="CY49" i="1"/>
  <c r="AJ238" i="23" s="1"/>
  <c r="AJ14" i="49" s="1"/>
  <c r="BT49" i="1"/>
  <c r="CB49" i="1"/>
  <c r="M29" i="2" s="1" a="1"/>
  <c r="M29" i="2" s="1"/>
  <c r="CJ49" i="1"/>
  <c r="U29" i="2" s="1" a="1"/>
  <c r="U29" i="2" s="1"/>
  <c r="CR49" i="1"/>
  <c r="AC29" i="2" s="1" a="1"/>
  <c r="AC29" i="2" s="1"/>
  <c r="CZ49" i="1"/>
  <c r="BM49" i="1"/>
  <c r="BU49" i="1"/>
  <c r="CC49" i="1"/>
  <c r="N29" i="2" s="1" a="1"/>
  <c r="N29" i="2" s="1"/>
  <c r="CK49" i="1"/>
  <c r="V29" i="2" s="1" a="1"/>
  <c r="V29" i="2" s="1"/>
  <c r="CS49" i="1"/>
  <c r="AD29" i="2" s="1" a="1"/>
  <c r="AD29" i="2" s="1"/>
  <c r="DA49" i="1"/>
  <c r="BJ49" i="1"/>
  <c r="N15" i="1" s="1"/>
  <c r="BN49" i="1"/>
  <c r="CF49" i="1"/>
  <c r="Q29" i="2" s="1" a="1"/>
  <c r="Q29" i="2" s="1"/>
  <c r="CV49" i="1"/>
  <c r="BK49" i="1"/>
  <c r="BI49" i="1"/>
  <c r="CN49" i="1"/>
  <c r="Y29" i="2" s="1" a="1"/>
  <c r="Y29" i="2" s="1"/>
  <c r="CO49" i="1"/>
  <c r="Z29" i="2" s="1" a="1"/>
  <c r="Z29" i="2" s="1"/>
  <c r="CG49" i="1"/>
  <c r="R29" i="2" s="1" a="1"/>
  <c r="R29" i="2" s="1"/>
  <c r="CW49" i="1"/>
  <c r="BL49" i="1"/>
  <c r="BX49" i="1"/>
  <c r="BO49" i="1"/>
  <c r="O15" i="1" s="1"/>
  <c r="BY49" i="1"/>
  <c r="AK355" i="2"/>
  <c r="AK354" i="2"/>
  <c r="AK364" i="2"/>
  <c r="AK360" i="2"/>
  <c r="AK362" i="2"/>
  <c r="AK359" i="2"/>
  <c r="AK361" i="2"/>
  <c r="AK353" i="2"/>
  <c r="AI364" i="2"/>
  <c r="O358" i="2"/>
  <c r="AH354" i="2"/>
  <c r="T363" i="2"/>
  <c r="AK332" i="2"/>
  <c r="AK357" i="2"/>
  <c r="X356" i="2"/>
  <c r="T360" i="2"/>
  <c r="AK356" i="2"/>
  <c r="AK358" i="2"/>
  <c r="AI359" i="2"/>
  <c r="Q362" i="2"/>
  <c r="R362" i="2"/>
  <c r="AK363" i="2"/>
  <c r="AN251" i="2"/>
  <c r="AN256" i="2"/>
  <c r="AK218" i="2"/>
  <c r="AK221" i="2" s="1"/>
  <c r="BL77" i="1"/>
  <c r="BJ77" i="1"/>
  <c r="BM77" i="1"/>
  <c r="BK77" i="1"/>
  <c r="BK78" i="1"/>
  <c r="BM78" i="1"/>
  <c r="BJ78" i="1"/>
  <c r="BL78" i="1"/>
  <c r="AK176" i="2"/>
  <c r="AK179" i="2" s="1"/>
  <c r="BK68" i="1"/>
  <c r="BL68" i="1"/>
  <c r="BM68" i="1"/>
  <c r="BM67" i="1"/>
  <c r="BL67" i="1"/>
  <c r="BK67" i="1"/>
  <c r="BJ70" i="1"/>
  <c r="A18" i="1"/>
  <c r="A9" i="8"/>
  <c r="AN179" i="23"/>
  <c r="AN258" i="2"/>
  <c r="BM70" i="1"/>
  <c r="BK70" i="1"/>
  <c r="BL70" i="1"/>
  <c r="AN253" i="2"/>
  <c r="AN250" i="2"/>
  <c r="AN249" i="2"/>
  <c r="AN254" i="2"/>
  <c r="AN259" i="2"/>
  <c r="AN255" i="2"/>
  <c r="AN257" i="2"/>
  <c r="BM64" i="1"/>
  <c r="BL64" i="1"/>
  <c r="BK64" i="1"/>
  <c r="BK74" i="1"/>
  <c r="BM74" i="1"/>
  <c r="BL74" i="1"/>
  <c r="BJ74" i="1"/>
  <c r="BM63" i="1"/>
  <c r="BL63" i="1"/>
  <c r="BK63" i="1"/>
  <c r="BK76" i="1"/>
  <c r="BM76" i="1"/>
  <c r="BL76" i="1"/>
  <c r="BJ76" i="1"/>
  <c r="BJ69" i="1"/>
  <c r="BM69" i="1"/>
  <c r="BK69" i="1"/>
  <c r="BL69" i="1"/>
  <c r="BL65" i="1"/>
  <c r="BK65" i="1"/>
  <c r="BM65" i="1"/>
  <c r="S37" i="8"/>
  <c r="W37" i="8" s="1"/>
  <c r="W29" i="8"/>
  <c r="S29" i="8" s="1"/>
  <c r="Q51" i="8"/>
  <c r="Q49" i="8"/>
  <c r="S41" i="8"/>
  <c r="Q57" i="8"/>
  <c r="Q48" i="8"/>
  <c r="Q53" i="8"/>
  <c r="Q52" i="8"/>
  <c r="Q50" i="8"/>
  <c r="BL71" i="1"/>
  <c r="BM71" i="1"/>
  <c r="BJ71" i="1"/>
  <c r="BK71" i="1"/>
  <c r="BK66" i="1"/>
  <c r="BL66" i="1"/>
  <c r="BM66" i="1"/>
  <c r="BJ73" i="1"/>
  <c r="BK73" i="1"/>
  <c r="BM73" i="1"/>
  <c r="BL73" i="1"/>
  <c r="BM72" i="1"/>
  <c r="BJ72" i="1"/>
  <c r="BK72" i="1"/>
  <c r="BL72" i="1"/>
  <c r="BM75" i="1"/>
  <c r="BJ75" i="1"/>
  <c r="BK75" i="1"/>
  <c r="BL75" i="1"/>
  <c r="E27" i="2" l="1" a="1"/>
  <c r="E27" i="2" s="1"/>
  <c r="E95" i="2"/>
  <c r="F333" i="2" s="1" a="1"/>
  <c r="F333" i="2" s="1"/>
  <c r="E29" i="2" a="1"/>
  <c r="E29" i="2" s="1"/>
  <c r="E97" i="2"/>
  <c r="F335" i="2" s="1" a="1"/>
  <c r="F335" i="2" s="1"/>
  <c r="H29" i="2" a="1"/>
  <c r="H29" i="2" s="1"/>
  <c r="H97" i="2"/>
  <c r="I335" i="2" s="1" a="1"/>
  <c r="I335" i="2" s="1"/>
  <c r="D27" i="2" a="1"/>
  <c r="D27" i="2" s="1"/>
  <c r="D95" i="2"/>
  <c r="E333" i="2" s="1" a="1"/>
  <c r="E333" i="2" s="1"/>
  <c r="F354" i="2" s="1"/>
  <c r="G27" i="2" a="1"/>
  <c r="G27" i="2" s="1"/>
  <c r="G95" i="2"/>
  <c r="H333" i="2" s="1" a="1"/>
  <c r="H333" i="2" s="1"/>
  <c r="I354" i="2" s="1"/>
  <c r="E26" i="2" a="1"/>
  <c r="E26" i="2" s="1"/>
  <c r="E94" i="2"/>
  <c r="F332" i="2" s="1" a="1"/>
  <c r="F332" i="2" s="1"/>
  <c r="F28" i="2" a="1"/>
  <c r="F28" i="2" s="1"/>
  <c r="F96" i="2"/>
  <c r="G334" i="2" s="1" a="1"/>
  <c r="G334" i="2" s="1"/>
  <c r="D28" i="2" a="1"/>
  <c r="D28" i="2" s="1"/>
  <c r="D96" i="2"/>
  <c r="E334" i="2" s="1" a="1"/>
  <c r="E334" i="2" s="1"/>
  <c r="G28" i="2" a="1"/>
  <c r="G28" i="2" s="1"/>
  <c r="G96" i="2"/>
  <c r="H334" i="2" s="1" a="1"/>
  <c r="H334" i="2" s="1"/>
  <c r="F30" i="2" a="1"/>
  <c r="F30" i="2" s="1"/>
  <c r="F98" i="2"/>
  <c r="G336" i="2" s="1" a="1"/>
  <c r="G336" i="2" s="1"/>
  <c r="C30" i="2" a="1"/>
  <c r="C30" i="2" s="1"/>
  <c r="C98" i="2"/>
  <c r="D336" i="2" s="1" a="1"/>
  <c r="D336" i="2" s="1"/>
  <c r="E28" i="2" a="1"/>
  <c r="E28" i="2" s="1"/>
  <c r="E96" i="2"/>
  <c r="F334" i="2" s="1" a="1"/>
  <c r="F334" i="2" s="1"/>
  <c r="D30" i="2" a="1"/>
  <c r="D30" i="2" s="1"/>
  <c r="D98" i="2"/>
  <c r="E336" i="2" s="1" a="1"/>
  <c r="E336" i="2" s="1"/>
  <c r="D357" i="2" s="1"/>
  <c r="G30" i="2" a="1"/>
  <c r="G30" i="2" s="1"/>
  <c r="G98" i="2"/>
  <c r="H336" i="2" s="1" a="1"/>
  <c r="H336" i="2" s="1"/>
  <c r="I357" i="2" s="1"/>
  <c r="J29" i="2" a="1"/>
  <c r="J29" i="2" s="1"/>
  <c r="J97" i="2"/>
  <c r="K335" i="2" s="1" a="1"/>
  <c r="K335" i="2" s="1"/>
  <c r="L356" i="2" s="1"/>
  <c r="D29" i="2" a="1"/>
  <c r="D29" i="2" s="1"/>
  <c r="D97" i="2"/>
  <c r="E335" i="2" s="1" a="1"/>
  <c r="E335" i="2" s="1"/>
  <c r="D356" i="2" s="1"/>
  <c r="G29" i="2" a="1"/>
  <c r="G29" i="2" s="1"/>
  <c r="G97" i="2"/>
  <c r="H335" i="2" s="1" a="1"/>
  <c r="H335" i="2" s="1"/>
  <c r="C27" i="2" a="1"/>
  <c r="C27" i="2" s="1"/>
  <c r="C95" i="2"/>
  <c r="D333" i="2" s="1" a="1"/>
  <c r="D333" i="2" s="1"/>
  <c r="E354" i="2" s="1"/>
  <c r="D26" i="2" a="1"/>
  <c r="D26" i="2" s="1"/>
  <c r="D94" i="2"/>
  <c r="E332" i="2" s="1" a="1"/>
  <c r="E332" i="2" s="1"/>
  <c r="J26" i="2" a="1"/>
  <c r="J26" i="2" s="1"/>
  <c r="J94" i="2"/>
  <c r="K332" i="2" s="1" a="1"/>
  <c r="K332" i="2" s="1"/>
  <c r="L353" i="2" s="1"/>
  <c r="C28" i="2" a="1"/>
  <c r="C28" i="2" s="1"/>
  <c r="C96" i="2"/>
  <c r="D334" i="2" s="1" a="1"/>
  <c r="D334" i="2" s="1"/>
  <c r="H26" i="2" a="1"/>
  <c r="H26" i="2" s="1"/>
  <c r="H94" i="2"/>
  <c r="I332" i="2" s="1" a="1"/>
  <c r="I332" i="2" s="1"/>
  <c r="J353" i="2" s="1"/>
  <c r="I26" i="2" a="1"/>
  <c r="I26" i="2" s="1"/>
  <c r="I94" i="2"/>
  <c r="J332" i="2" s="1" a="1"/>
  <c r="J332" i="2" s="1"/>
  <c r="K353" i="2" s="1"/>
  <c r="I28" i="2" a="1"/>
  <c r="I28" i="2" s="1"/>
  <c r="I96" i="2"/>
  <c r="J334" i="2" s="1" a="1"/>
  <c r="J334" i="2" s="1"/>
  <c r="I355" i="2" s="1"/>
  <c r="H28" i="2" a="1"/>
  <c r="H28" i="2" s="1"/>
  <c r="H96" i="2"/>
  <c r="I334" i="2" s="1" a="1"/>
  <c r="I334" i="2" s="1"/>
  <c r="H355" i="2" s="1"/>
  <c r="I29" i="2" a="1"/>
  <c r="I29" i="2" s="1"/>
  <c r="I97" i="2"/>
  <c r="J335" i="2" s="1" a="1"/>
  <c r="J335" i="2" s="1"/>
  <c r="I356" i="2" s="1"/>
  <c r="F29" i="2" a="1"/>
  <c r="F29" i="2" s="1"/>
  <c r="F97" i="2"/>
  <c r="G335" i="2" s="1" a="1"/>
  <c r="G335" i="2" s="1"/>
  <c r="H356" i="2" s="1"/>
  <c r="C29" i="2" a="1"/>
  <c r="C29" i="2" s="1"/>
  <c r="C97" i="2"/>
  <c r="D335" i="2" s="1" a="1"/>
  <c r="D335" i="2" s="1"/>
  <c r="E356" i="2" s="1"/>
  <c r="G26" i="2" a="1"/>
  <c r="G26" i="2" s="1"/>
  <c r="G94" i="2"/>
  <c r="H332" i="2" s="1" a="1"/>
  <c r="H332" i="2" s="1"/>
  <c r="I353" i="2" s="1"/>
  <c r="C26" i="2" a="1"/>
  <c r="C26" i="2" s="1"/>
  <c r="C94" i="2"/>
  <c r="DJ22" i="34" s="1"/>
  <c r="F26" i="2" a="1"/>
  <c r="F26" i="2" s="1"/>
  <c r="F94" i="2"/>
  <c r="G332" i="2" s="1" a="1"/>
  <c r="G332" i="2" s="1"/>
  <c r="F353" i="2" s="1"/>
  <c r="E30" i="2" a="1"/>
  <c r="E30" i="2" s="1"/>
  <c r="E98" i="2"/>
  <c r="F336" i="2" s="1" a="1"/>
  <c r="F336" i="2" s="1"/>
  <c r="G357" i="2" s="1"/>
  <c r="D4" i="1"/>
  <c r="D5" i="1" s="1"/>
  <c r="D6" i="1" s="1"/>
  <c r="D7" i="1" s="1"/>
  <c r="D8" i="1" s="1"/>
  <c r="BN3" i="2"/>
  <c r="BN59" i="2"/>
  <c r="BO63" i="1"/>
  <c r="BI70" i="2" s="1"/>
  <c r="F27" i="2" a="1"/>
  <c r="F27" i="2" s="1"/>
  <c r="F219" i="23"/>
  <c r="Q364" i="2"/>
  <c r="AJ360" i="2"/>
  <c r="AJ353" i="2"/>
  <c r="Z362" i="2"/>
  <c r="S358" i="2"/>
  <c r="M357" i="2"/>
  <c r="T353" i="2"/>
  <c r="M364" i="2"/>
  <c r="Z360" i="2"/>
  <c r="AF360" i="2"/>
  <c r="AA359" i="2"/>
  <c r="AI353" i="2"/>
  <c r="AG363" i="2"/>
  <c r="L419" i="2"/>
  <c r="AC236" i="23"/>
  <c r="AC419" i="2"/>
  <c r="J419" i="2"/>
  <c r="K418" i="2"/>
  <c r="H418" i="2"/>
  <c r="AC235" i="23"/>
  <c r="AC418" i="2"/>
  <c r="AF239" i="23"/>
  <c r="AF422" i="2"/>
  <c r="F422" i="2"/>
  <c r="C421" i="2"/>
  <c r="AF238" i="23"/>
  <c r="AF421" i="2"/>
  <c r="V421" i="2"/>
  <c r="AA240" i="23"/>
  <c r="AA423" i="2"/>
  <c r="AI240" i="23"/>
  <c r="AI423" i="2"/>
  <c r="N426" i="2"/>
  <c r="Q426" i="2"/>
  <c r="K426" i="2"/>
  <c r="C424" i="2"/>
  <c r="F424" i="2"/>
  <c r="Q242" i="23"/>
  <c r="Q425" i="2"/>
  <c r="I425" i="2"/>
  <c r="F425" i="2"/>
  <c r="Y427" i="2"/>
  <c r="AF427" i="2"/>
  <c r="S245" i="23"/>
  <c r="S428" i="2"/>
  <c r="Z245" i="23"/>
  <c r="Z428" i="2"/>
  <c r="M245" i="23"/>
  <c r="M428" i="2"/>
  <c r="I429" i="2"/>
  <c r="D429" i="2"/>
  <c r="AI236" i="23"/>
  <c r="AI419" i="2"/>
  <c r="R419" i="2"/>
  <c r="F419" i="2"/>
  <c r="U419" i="2"/>
  <c r="T419" i="2"/>
  <c r="AA235" i="23"/>
  <c r="AA418" i="2"/>
  <c r="X418" i="2"/>
  <c r="AH235" i="23"/>
  <c r="AH418" i="2"/>
  <c r="U418" i="2"/>
  <c r="E418" i="2"/>
  <c r="Z239" i="23"/>
  <c r="Z422" i="2"/>
  <c r="N422" i="2"/>
  <c r="H422" i="2"/>
  <c r="Q422" i="2"/>
  <c r="AE239" i="23"/>
  <c r="AE422" i="2"/>
  <c r="O422" i="2"/>
  <c r="AI238" i="23"/>
  <c r="AI421" i="2"/>
  <c r="AB238" i="23"/>
  <c r="AB421" i="2"/>
  <c r="G421" i="2"/>
  <c r="U421" i="2"/>
  <c r="O421" i="2"/>
  <c r="AD238" i="23"/>
  <c r="AD421" i="2"/>
  <c r="N421" i="2"/>
  <c r="G423" i="2"/>
  <c r="R423" i="2"/>
  <c r="K423" i="2"/>
  <c r="Z240" i="23"/>
  <c r="Z423" i="2"/>
  <c r="E423" i="2"/>
  <c r="Y240" i="23"/>
  <c r="Y423" i="2"/>
  <c r="C423" i="2"/>
  <c r="X240" i="23"/>
  <c r="X423" i="2"/>
  <c r="H423" i="2"/>
  <c r="Y426" i="2"/>
  <c r="T426" i="2"/>
  <c r="R426" i="2"/>
  <c r="F426" i="2"/>
  <c r="AI426" i="2"/>
  <c r="C426" i="2"/>
  <c r="N424" i="2"/>
  <c r="AB241" i="23"/>
  <c r="AB424" i="2"/>
  <c r="P424" i="2"/>
  <c r="Q241" i="23"/>
  <c r="Q424" i="2"/>
  <c r="AG242" i="23"/>
  <c r="AG18" i="49" s="1"/>
  <c r="AG425" i="2"/>
  <c r="E425" i="2"/>
  <c r="AI242" i="23"/>
  <c r="AI18" i="49" s="1"/>
  <c r="AI425" i="2"/>
  <c r="AD242" i="23"/>
  <c r="AD18" i="49" s="1"/>
  <c r="AD425" i="2"/>
  <c r="N242" i="23"/>
  <c r="N18" i="49" s="1"/>
  <c r="N62" i="49" s="1"/>
  <c r="N425" i="2"/>
  <c r="AA427" i="2"/>
  <c r="AI427" i="2"/>
  <c r="AC427" i="2"/>
  <c r="X427" i="2"/>
  <c r="AG245" i="23"/>
  <c r="AG428" i="2"/>
  <c r="V245" i="23"/>
  <c r="V428" i="2"/>
  <c r="N419" i="2"/>
  <c r="AH236" i="23"/>
  <c r="AH419" i="2"/>
  <c r="M419" i="2"/>
  <c r="V419" i="2"/>
  <c r="O419" i="2"/>
  <c r="AF236" i="23"/>
  <c r="AF419" i="2"/>
  <c r="P419" i="2"/>
  <c r="C419" i="2"/>
  <c r="T418" i="2"/>
  <c r="S418" i="2"/>
  <c r="AB235" i="23"/>
  <c r="AB418" i="2"/>
  <c r="P418" i="2"/>
  <c r="AD235" i="23"/>
  <c r="AD418" i="2"/>
  <c r="N418" i="2"/>
  <c r="AG235" i="23"/>
  <c r="AG418" i="2"/>
  <c r="Q418" i="2"/>
  <c r="E422" i="2"/>
  <c r="U422" i="2"/>
  <c r="AD239" i="23"/>
  <c r="AD422" i="2"/>
  <c r="I422" i="2"/>
  <c r="X239" i="23"/>
  <c r="X422" i="2"/>
  <c r="AG239" i="23"/>
  <c r="AG422" i="2"/>
  <c r="L422" i="2"/>
  <c r="AA239" i="23"/>
  <c r="AA422" i="2"/>
  <c r="K422" i="2"/>
  <c r="M421" i="2"/>
  <c r="X421" i="2"/>
  <c r="W421" i="2"/>
  <c r="P421" i="2"/>
  <c r="AE238" i="23"/>
  <c r="AE421" i="2"/>
  <c r="I421" i="2"/>
  <c r="Z421" i="2"/>
  <c r="J421" i="2"/>
  <c r="W240" i="23"/>
  <c r="W423" i="2"/>
  <c r="AG240" i="23"/>
  <c r="AG423" i="2"/>
  <c r="F423" i="2"/>
  <c r="U423" i="2"/>
  <c r="Q423" i="2"/>
  <c r="S423" i="2"/>
  <c r="T423" i="2"/>
  <c r="D423" i="2"/>
  <c r="D426" i="2"/>
  <c r="AH426" i="2"/>
  <c r="M426" i="2"/>
  <c r="V426" i="2"/>
  <c r="P426" i="2"/>
  <c r="AE426" i="2"/>
  <c r="O426" i="2"/>
  <c r="O424" i="2"/>
  <c r="AD241" i="23"/>
  <c r="AD424" i="2"/>
  <c r="H424" i="2"/>
  <c r="W424" i="2"/>
  <c r="AF241" i="23"/>
  <c r="AF424" i="2"/>
  <c r="K424" i="2"/>
  <c r="AC241" i="23"/>
  <c r="AC424" i="2"/>
  <c r="M424" i="2"/>
  <c r="G425" i="2"/>
  <c r="L425" i="2"/>
  <c r="U425" i="2"/>
  <c r="O242" i="23"/>
  <c r="O425" i="2"/>
  <c r="AC242" i="23"/>
  <c r="AC18" i="49" s="1"/>
  <c r="AC425" i="2"/>
  <c r="H425" i="2"/>
  <c r="Z242" i="23"/>
  <c r="Z18" i="49" s="1"/>
  <c r="Z425" i="2"/>
  <c r="J425" i="2"/>
  <c r="K427" i="2"/>
  <c r="F427" i="2"/>
  <c r="O427" i="2"/>
  <c r="AD427" i="2"/>
  <c r="I427" i="2"/>
  <c r="W427" i="2"/>
  <c r="T427" i="2"/>
  <c r="D427" i="2"/>
  <c r="N245" i="23"/>
  <c r="N428" i="2"/>
  <c r="AB245" i="23"/>
  <c r="AB428" i="2"/>
  <c r="AC245" i="23"/>
  <c r="AC428" i="2"/>
  <c r="AI245" i="23"/>
  <c r="AI428" i="2"/>
  <c r="P245" i="23"/>
  <c r="P428" i="2"/>
  <c r="AD245" i="23"/>
  <c r="AD428" i="2"/>
  <c r="J245" i="23"/>
  <c r="J428" i="2"/>
  <c r="Q245" i="23"/>
  <c r="Q428" i="2"/>
  <c r="AG429" i="2"/>
  <c r="AC429" i="2"/>
  <c r="Y429" i="2"/>
  <c r="F429" i="2"/>
  <c r="J429" i="2"/>
  <c r="X429" i="2"/>
  <c r="H429" i="2"/>
  <c r="AA429" i="2"/>
  <c r="K429" i="2"/>
  <c r="M420" i="2"/>
  <c r="U420" i="2"/>
  <c r="V420" i="2"/>
  <c r="H420" i="2"/>
  <c r="I420" i="2"/>
  <c r="AD237" i="23"/>
  <c r="AD420" i="2"/>
  <c r="X237" i="23"/>
  <c r="X420" i="2"/>
  <c r="O420" i="2"/>
  <c r="AE237" i="23"/>
  <c r="AE420" i="2"/>
  <c r="G419" i="2"/>
  <c r="AB236" i="23"/>
  <c r="AB419" i="2"/>
  <c r="L418" i="2"/>
  <c r="M418" i="2"/>
  <c r="Y239" i="23"/>
  <c r="Y422" i="2"/>
  <c r="W239" i="23"/>
  <c r="W422" i="2"/>
  <c r="Q421" i="2"/>
  <c r="D421" i="2"/>
  <c r="P423" i="2"/>
  <c r="H426" i="2"/>
  <c r="J426" i="2"/>
  <c r="X424" i="2"/>
  <c r="AA241" i="23"/>
  <c r="AA424" i="2"/>
  <c r="AE425" i="2"/>
  <c r="V425" i="2"/>
  <c r="C427" i="2"/>
  <c r="P427" i="2"/>
  <c r="AE245" i="23"/>
  <c r="AE428" i="2"/>
  <c r="Q429" i="2"/>
  <c r="AH429" i="2"/>
  <c r="G429" i="2"/>
  <c r="AH237" i="23"/>
  <c r="AH420" i="2"/>
  <c r="AF237" i="23"/>
  <c r="AF420" i="2"/>
  <c r="AB237" i="23"/>
  <c r="AB420" i="2"/>
  <c r="N420" i="2"/>
  <c r="AI237" i="23"/>
  <c r="AI420" i="2"/>
  <c r="Y236" i="23"/>
  <c r="Y419" i="2"/>
  <c r="Q419" i="2"/>
  <c r="AE236" i="23"/>
  <c r="AE419" i="2"/>
  <c r="D418" i="2"/>
  <c r="Z418" i="2"/>
  <c r="R422" i="2"/>
  <c r="G422" i="2"/>
  <c r="K421" i="2"/>
  <c r="F421" i="2"/>
  <c r="O423" i="2"/>
  <c r="AF240" i="23"/>
  <c r="AF423" i="2"/>
  <c r="AC426" i="2"/>
  <c r="AA426" i="2"/>
  <c r="AE241" i="23"/>
  <c r="AE424" i="2"/>
  <c r="R424" i="2"/>
  <c r="I424" i="2"/>
  <c r="P242" i="23"/>
  <c r="P425" i="2"/>
  <c r="X242" i="23"/>
  <c r="X23" i="48" s="1"/>
  <c r="X425" i="2"/>
  <c r="V427" i="2"/>
  <c r="J427" i="2"/>
  <c r="R427" i="2"/>
  <c r="AF245" i="23"/>
  <c r="AF428" i="2"/>
  <c r="R245" i="23"/>
  <c r="R428" i="2"/>
  <c r="K245" i="23"/>
  <c r="K428" i="2"/>
  <c r="D245" i="23"/>
  <c r="D428" i="2"/>
  <c r="U429" i="2"/>
  <c r="T429" i="2"/>
  <c r="W429" i="2"/>
  <c r="F420" i="2"/>
  <c r="AC237" i="23"/>
  <c r="AC420" i="2"/>
  <c r="C420" i="2"/>
  <c r="S420" i="2"/>
  <c r="S419" i="2"/>
  <c r="AD236" i="23"/>
  <c r="AD419" i="2"/>
  <c r="W236" i="23"/>
  <c r="W419" i="2"/>
  <c r="AG236" i="23"/>
  <c r="AG419" i="2"/>
  <c r="K419" i="2"/>
  <c r="Z236" i="23"/>
  <c r="Z419" i="2"/>
  <c r="E419" i="2"/>
  <c r="X236" i="23"/>
  <c r="X419" i="2"/>
  <c r="H419" i="2"/>
  <c r="O418" i="2"/>
  <c r="AI235" i="23"/>
  <c r="AI418" i="2"/>
  <c r="W418" i="2"/>
  <c r="AF235" i="23"/>
  <c r="AF418" i="2"/>
  <c r="C418" i="2"/>
  <c r="V418" i="2"/>
  <c r="F418" i="2"/>
  <c r="Y418" i="2"/>
  <c r="I418" i="2"/>
  <c r="P422" i="2"/>
  <c r="J422" i="2"/>
  <c r="T422" i="2"/>
  <c r="AH239" i="23"/>
  <c r="AH422" i="2"/>
  <c r="M422" i="2"/>
  <c r="V422" i="2"/>
  <c r="AI239" i="23"/>
  <c r="AI422" i="2"/>
  <c r="S422" i="2"/>
  <c r="C422" i="2"/>
  <c r="H421" i="2"/>
  <c r="AG238" i="23"/>
  <c r="AG421" i="2"/>
  <c r="L421" i="2"/>
  <c r="AA238" i="23"/>
  <c r="AA421" i="2"/>
  <c r="E421" i="2"/>
  <c r="T421" i="2"/>
  <c r="AH238" i="23"/>
  <c r="AH421" i="2"/>
  <c r="R421" i="2"/>
  <c r="M423" i="2"/>
  <c r="AC240" i="23"/>
  <c r="AC423" i="2"/>
  <c r="V423" i="2"/>
  <c r="AE240" i="23"/>
  <c r="AE423" i="2"/>
  <c r="J423" i="2"/>
  <c r="AD240" i="23"/>
  <c r="AD423" i="2"/>
  <c r="I423" i="2"/>
  <c r="AB240" i="23"/>
  <c r="AB423" i="2"/>
  <c r="L423" i="2"/>
  <c r="I426" i="2"/>
  <c r="AD426" i="2"/>
  <c r="X426" i="2"/>
  <c r="AG426" i="2"/>
  <c r="L426" i="2"/>
  <c r="Z426" i="2"/>
  <c r="E426" i="2"/>
  <c r="W426" i="2"/>
  <c r="G426" i="2"/>
  <c r="J424" i="2"/>
  <c r="D424" i="2"/>
  <c r="S424" i="2"/>
  <c r="AH241" i="23"/>
  <c r="AH424" i="2"/>
  <c r="L424" i="2"/>
  <c r="V424" i="2"/>
  <c r="U424" i="2"/>
  <c r="E424" i="2"/>
  <c r="W242" i="23"/>
  <c r="W18" i="49" s="1"/>
  <c r="W62" i="49" s="1"/>
  <c r="W425" i="2"/>
  <c r="AF425" i="2"/>
  <c r="K425" i="2"/>
  <c r="Y242" i="23"/>
  <c r="Y18" i="49" s="1"/>
  <c r="Y425" i="2"/>
  <c r="D425" i="2"/>
  <c r="S425" i="2"/>
  <c r="AH425" i="2"/>
  <c r="R425" i="2"/>
  <c r="Q427" i="2"/>
  <c r="AG427" i="2"/>
  <c r="Z427" i="2"/>
  <c r="E427" i="2"/>
  <c r="S427" i="2"/>
  <c r="AH427" i="2"/>
  <c r="M427" i="2"/>
  <c r="AB427" i="2"/>
  <c r="L427" i="2"/>
  <c r="C245" i="23"/>
  <c r="C428" i="2"/>
  <c r="W245" i="23"/>
  <c r="W428" i="2"/>
  <c r="X245" i="23"/>
  <c r="X428" i="2"/>
  <c r="H245" i="23"/>
  <c r="H428" i="2"/>
  <c r="AA245" i="23"/>
  <c r="AA428" i="2"/>
  <c r="F245" i="23"/>
  <c r="F428" i="2"/>
  <c r="T245" i="23"/>
  <c r="T428" i="2"/>
  <c r="Y245" i="23"/>
  <c r="Y428" i="2"/>
  <c r="I245" i="23"/>
  <c r="I428" i="2"/>
  <c r="V429" i="2"/>
  <c r="M429" i="2"/>
  <c r="AD429" i="2"/>
  <c r="Z429" i="2"/>
  <c r="AF429" i="2"/>
  <c r="P429" i="2"/>
  <c r="AI429" i="2"/>
  <c r="S429" i="2"/>
  <c r="C429" i="2"/>
  <c r="E420" i="2"/>
  <c r="L420" i="2"/>
  <c r="AG237" i="23"/>
  <c r="AG420" i="2"/>
  <c r="T420" i="2"/>
  <c r="J420" i="2"/>
  <c r="G420" i="2"/>
  <c r="W237" i="23"/>
  <c r="W420" i="2"/>
  <c r="AE235" i="23"/>
  <c r="AE418" i="2"/>
  <c r="J418" i="2"/>
  <c r="D422" i="2"/>
  <c r="AB239" i="23"/>
  <c r="AB422" i="2"/>
  <c r="AC238" i="23"/>
  <c r="AC421" i="2"/>
  <c r="Y421" i="2"/>
  <c r="AH240" i="23"/>
  <c r="AH423" i="2"/>
  <c r="N423" i="2"/>
  <c r="AF426" i="2"/>
  <c r="Z424" i="2"/>
  <c r="Y424" i="2"/>
  <c r="C425" i="2"/>
  <c r="I419" i="2"/>
  <c r="AA236" i="23"/>
  <c r="AA419" i="2"/>
  <c r="D419" i="2"/>
  <c r="G418" i="2"/>
  <c r="R418" i="2"/>
  <c r="AC239" i="23"/>
  <c r="AC422" i="2"/>
  <c r="S421" i="2"/>
  <c r="AB426" i="2"/>
  <c r="U426" i="2"/>
  <c r="S426" i="2"/>
  <c r="T424" i="2"/>
  <c r="AI241" i="23"/>
  <c r="AI424" i="2"/>
  <c r="G424" i="2"/>
  <c r="AG241" i="23"/>
  <c r="AG424" i="2"/>
  <c r="AB242" i="23"/>
  <c r="AB18" i="49" s="1"/>
  <c r="AB425" i="2"/>
  <c r="AA242" i="23"/>
  <c r="AA18" i="49" s="1"/>
  <c r="AA425" i="2"/>
  <c r="T425" i="2"/>
  <c r="M242" i="23"/>
  <c r="M425" i="2"/>
  <c r="AE427" i="2"/>
  <c r="U427" i="2"/>
  <c r="N427" i="2"/>
  <c r="G427" i="2"/>
  <c r="H427" i="2"/>
  <c r="L245" i="23"/>
  <c r="L428" i="2"/>
  <c r="G245" i="23"/>
  <c r="G428" i="2"/>
  <c r="AH245" i="23"/>
  <c r="AH428" i="2"/>
  <c r="O245" i="23"/>
  <c r="O428" i="2"/>
  <c r="U245" i="23"/>
  <c r="U428" i="2"/>
  <c r="E245" i="23"/>
  <c r="E428" i="2"/>
  <c r="E429" i="2"/>
  <c r="N429" i="2"/>
  <c r="R429" i="2"/>
  <c r="AB429" i="2"/>
  <c r="L429" i="2"/>
  <c r="AE429" i="2"/>
  <c r="O429" i="2"/>
  <c r="P420" i="2"/>
  <c r="Q420" i="2"/>
  <c r="D420" i="2"/>
  <c r="Y237" i="23"/>
  <c r="Y420" i="2"/>
  <c r="R420" i="2"/>
  <c r="Z237" i="23"/>
  <c r="Z420" i="2"/>
  <c r="K420" i="2"/>
  <c r="AA237" i="23"/>
  <c r="AA420" i="2"/>
  <c r="AD355" i="2"/>
  <c r="R238" i="23"/>
  <c r="V240" i="23"/>
  <c r="S242" i="23"/>
  <c r="S18" i="49" s="1"/>
  <c r="S62" i="49" s="1"/>
  <c r="V236" i="23"/>
  <c r="U240" i="23"/>
  <c r="S240" i="23"/>
  <c r="T240" i="23"/>
  <c r="U242" i="23"/>
  <c r="U18" i="49" s="1"/>
  <c r="U62" i="49" s="1"/>
  <c r="U237" i="23"/>
  <c r="V237" i="23"/>
  <c r="T239" i="23"/>
  <c r="V239" i="23"/>
  <c r="S239" i="23"/>
  <c r="R242" i="23"/>
  <c r="R18" i="49" s="1"/>
  <c r="R62" i="49" s="1"/>
  <c r="T237" i="23"/>
  <c r="U239" i="23"/>
  <c r="R241" i="23"/>
  <c r="V242" i="23"/>
  <c r="V23" i="48" s="1"/>
  <c r="S237" i="23"/>
  <c r="S236" i="23"/>
  <c r="U236" i="23"/>
  <c r="T236" i="23"/>
  <c r="T242" i="23"/>
  <c r="T23" i="48" s="1"/>
  <c r="R237" i="23"/>
  <c r="AE358" i="2"/>
  <c r="Q240" i="23"/>
  <c r="O237" i="23"/>
  <c r="Q236" i="23"/>
  <c r="Q238" i="23"/>
  <c r="P240" i="23"/>
  <c r="R236" i="23"/>
  <c r="R240" i="23"/>
  <c r="Q237" i="23"/>
  <c r="W238" i="23"/>
  <c r="Z238" i="23"/>
  <c r="H241" i="23"/>
  <c r="W241" i="23"/>
  <c r="K241" i="23"/>
  <c r="M241" i="23"/>
  <c r="J242" i="23"/>
  <c r="J23" i="48" s="1"/>
  <c r="Z235" i="23"/>
  <c r="Y238" i="23"/>
  <c r="V238" i="23"/>
  <c r="Z241" i="23"/>
  <c r="X241" i="23"/>
  <c r="C241" i="23"/>
  <c r="F241" i="23"/>
  <c r="Y241" i="23"/>
  <c r="I241" i="23"/>
  <c r="I242" i="23"/>
  <c r="I23" i="48" s="1"/>
  <c r="C242" i="23"/>
  <c r="C23" i="48" s="1"/>
  <c r="F242" i="23"/>
  <c r="F18" i="49" s="1"/>
  <c r="F62" i="49" s="1"/>
  <c r="S235" i="23"/>
  <c r="S16" i="48" s="1"/>
  <c r="X238" i="23"/>
  <c r="O241" i="23"/>
  <c r="W235" i="23"/>
  <c r="W16" i="48" s="1"/>
  <c r="V235" i="23"/>
  <c r="V16" i="48" s="1"/>
  <c r="Y235" i="23"/>
  <c r="T238" i="23"/>
  <c r="J240" i="23"/>
  <c r="J241" i="23"/>
  <c r="D241" i="23"/>
  <c r="S241" i="23"/>
  <c r="L241" i="23"/>
  <c r="V241" i="23"/>
  <c r="U241" i="23"/>
  <c r="E241" i="23"/>
  <c r="K242" i="23"/>
  <c r="K18" i="49" s="1"/>
  <c r="K62" i="49" s="1"/>
  <c r="D242" i="23"/>
  <c r="D23" i="48" s="1"/>
  <c r="T235" i="23"/>
  <c r="T16" i="48" s="1"/>
  <c r="G242" i="23"/>
  <c r="G18" i="49" s="1"/>
  <c r="G62" i="49" s="1"/>
  <c r="L242" i="23"/>
  <c r="L23" i="48" s="1"/>
  <c r="H242" i="23"/>
  <c r="H23" i="48" s="1"/>
  <c r="X235" i="23"/>
  <c r="X16" i="48" s="1"/>
  <c r="U235" i="23"/>
  <c r="U16" i="48" s="1"/>
  <c r="S238" i="23"/>
  <c r="U238" i="23"/>
  <c r="T241" i="23"/>
  <c r="N241" i="23"/>
  <c r="G241" i="23"/>
  <c r="P241" i="23"/>
  <c r="E242" i="23"/>
  <c r="E18" i="49" s="1"/>
  <c r="E62" i="49" s="1"/>
  <c r="R239" i="23"/>
  <c r="Q235" i="23"/>
  <c r="Q16" i="48" s="1"/>
  <c r="K239" i="23"/>
  <c r="K236" i="23"/>
  <c r="I240" i="23"/>
  <c r="R235" i="23"/>
  <c r="R16" i="48" s="1"/>
  <c r="Q239" i="23"/>
  <c r="K240" i="23"/>
  <c r="H240" i="23"/>
  <c r="N236" i="23"/>
  <c r="L239" i="23"/>
  <c r="M237" i="23"/>
  <c r="M236" i="23"/>
  <c r="F240" i="23"/>
  <c r="L236" i="23"/>
  <c r="O240" i="23"/>
  <c r="N240" i="23"/>
  <c r="N237" i="23"/>
  <c r="O236" i="23"/>
  <c r="O235" i="23"/>
  <c r="O16" i="48" s="1"/>
  <c r="M239" i="23"/>
  <c r="M240" i="23"/>
  <c r="L240" i="23"/>
  <c r="L237" i="23"/>
  <c r="D240" i="23"/>
  <c r="N239" i="23"/>
  <c r="O239" i="23"/>
  <c r="O238" i="23"/>
  <c r="G240" i="23"/>
  <c r="E240" i="23"/>
  <c r="C240" i="23"/>
  <c r="G359" i="2"/>
  <c r="Q356" i="2"/>
  <c r="AB356" i="2"/>
  <c r="R354" i="2"/>
  <c r="U355" i="2"/>
  <c r="AA356" i="2"/>
  <c r="T364" i="2"/>
  <c r="AD356" i="2"/>
  <c r="AB359" i="2"/>
  <c r="AB363" i="2"/>
  <c r="P358" i="2"/>
  <c r="Y361" i="2"/>
  <c r="J360" i="2"/>
  <c r="N364" i="2"/>
  <c r="AA364" i="2"/>
  <c r="T357" i="2"/>
  <c r="H361" i="2"/>
  <c r="V359" i="2"/>
  <c r="AH357" i="2"/>
  <c r="AJ357" i="2"/>
  <c r="Q359" i="2"/>
  <c r="AH359" i="2"/>
  <c r="S360" i="2"/>
  <c r="AA361" i="2"/>
  <c r="AI362" i="2"/>
  <c r="AI354" i="2"/>
  <c r="AD362" i="2"/>
  <c r="AG358" i="2"/>
  <c r="AJ356" i="2"/>
  <c r="AF355" i="2"/>
  <c r="O353" i="2"/>
  <c r="V354" i="2"/>
  <c r="V358" i="2"/>
  <c r="U356" i="2"/>
  <c r="J364" i="2"/>
  <c r="Y360" i="2"/>
  <c r="T362" i="2"/>
  <c r="Y357" i="2"/>
  <c r="Y354" i="2"/>
  <c r="V356" i="2"/>
  <c r="N362" i="2"/>
  <c r="N361" i="2"/>
  <c r="AB360" i="2"/>
  <c r="AH363" i="2"/>
  <c r="AG354" i="2"/>
  <c r="AD357" i="2"/>
  <c r="AD364" i="2"/>
  <c r="AI355" i="2"/>
  <c r="AA353" i="2"/>
  <c r="G360" i="2"/>
  <c r="W362" i="2"/>
  <c r="N353" i="2"/>
  <c r="U364" i="2"/>
  <c r="X359" i="2"/>
  <c r="U360" i="2"/>
  <c r="P364" i="2"/>
  <c r="AE359" i="2"/>
  <c r="T355" i="2"/>
  <c r="Z354" i="2"/>
  <c r="Z355" i="2"/>
  <c r="E360" i="2"/>
  <c r="P357" i="2"/>
  <c r="K361" i="2"/>
  <c r="Z361" i="2"/>
  <c r="AC356" i="2"/>
  <c r="G362" i="2"/>
  <c r="R353" i="2"/>
  <c r="R356" i="2"/>
  <c r="Q357" i="2"/>
  <c r="G358" i="2"/>
  <c r="U354" i="2"/>
  <c r="I237" i="23"/>
  <c r="J236" i="23"/>
  <c r="D235" i="23"/>
  <c r="D16" i="48" s="1"/>
  <c r="L235" i="23"/>
  <c r="L16" i="48" s="1"/>
  <c r="F239" i="23"/>
  <c r="G239" i="23"/>
  <c r="C238" i="23"/>
  <c r="P236" i="23"/>
  <c r="E236" i="23"/>
  <c r="H236" i="23"/>
  <c r="P239" i="23"/>
  <c r="C239" i="23"/>
  <c r="J237" i="23"/>
  <c r="H239" i="23"/>
  <c r="C236" i="23"/>
  <c r="P235" i="23"/>
  <c r="P16" i="48" s="1"/>
  <c r="N235" i="23"/>
  <c r="N16" i="48" s="1"/>
  <c r="I239" i="23"/>
  <c r="M238" i="23"/>
  <c r="P238" i="23"/>
  <c r="I238" i="23"/>
  <c r="J238" i="23"/>
  <c r="H237" i="23"/>
  <c r="AF354" i="2"/>
  <c r="AF353" i="2"/>
  <c r="J358" i="2"/>
  <c r="AA355" i="2"/>
  <c r="S364" i="2"/>
  <c r="G236" i="23"/>
  <c r="K235" i="23"/>
  <c r="K16" i="48" s="1"/>
  <c r="H235" i="23"/>
  <c r="H16" i="48" s="1"/>
  <c r="J235" i="23"/>
  <c r="J16" i="48" s="1"/>
  <c r="M235" i="23"/>
  <c r="M16" i="48" s="1"/>
  <c r="D239" i="23"/>
  <c r="K238" i="23"/>
  <c r="D238" i="23"/>
  <c r="F238" i="23"/>
  <c r="F237" i="23"/>
  <c r="C237" i="23"/>
  <c r="F235" i="23"/>
  <c r="F16" i="48" s="1"/>
  <c r="I235" i="23"/>
  <c r="I16" i="48" s="1"/>
  <c r="J239" i="23"/>
  <c r="H238" i="23"/>
  <c r="L238" i="23"/>
  <c r="E238" i="23"/>
  <c r="E237" i="23"/>
  <c r="G237" i="23"/>
  <c r="E364" i="2"/>
  <c r="T361" i="2"/>
  <c r="E239" i="23"/>
  <c r="D236" i="23"/>
  <c r="N238" i="23"/>
  <c r="I236" i="23"/>
  <c r="G235" i="23"/>
  <c r="G16" i="48" s="1"/>
  <c r="E235" i="23"/>
  <c r="E16" i="48" s="1"/>
  <c r="G238" i="23"/>
  <c r="P237" i="23"/>
  <c r="D237" i="23"/>
  <c r="K237" i="23"/>
  <c r="Q363" i="2"/>
  <c r="Z357" i="2"/>
  <c r="W358" i="2"/>
  <c r="AB358" i="2"/>
  <c r="AJ355" i="2"/>
  <c r="P360" i="2"/>
  <c r="N355" i="2"/>
  <c r="AG355" i="2"/>
  <c r="AF358" i="2"/>
  <c r="AG360" i="2"/>
  <c r="U361" i="2"/>
  <c r="M353" i="2"/>
  <c r="AC353" i="2"/>
  <c r="AE354" i="2"/>
  <c r="X362" i="2"/>
  <c r="AB364" i="2"/>
  <c r="AK322" i="2"/>
  <c r="AE363" i="2"/>
  <c r="AK319" i="2"/>
  <c r="M360" i="2"/>
  <c r="AI357" i="2"/>
  <c r="L355" i="2"/>
  <c r="L362" i="2"/>
  <c r="O354" i="2"/>
  <c r="AD354" i="2"/>
  <c r="S354" i="2"/>
  <c r="Y359" i="2"/>
  <c r="X355" i="2"/>
  <c r="W357" i="2"/>
  <c r="W353" i="2"/>
  <c r="AA357" i="2"/>
  <c r="AA354" i="2"/>
  <c r="G363" i="2"/>
  <c r="R358" i="2"/>
  <c r="S359" i="2"/>
  <c r="L360" i="2"/>
  <c r="V363" i="2"/>
  <c r="P354" i="2"/>
  <c r="H363" i="2"/>
  <c r="Z363" i="2"/>
  <c r="I364" i="2"/>
  <c r="E361" i="2"/>
  <c r="AH356" i="2"/>
  <c r="K358" i="2"/>
  <c r="Y355" i="2"/>
  <c r="I362" i="2"/>
  <c r="U363" i="2"/>
  <c r="O363" i="2"/>
  <c r="AF361" i="2"/>
  <c r="N363" i="2"/>
  <c r="AB362" i="2"/>
  <c r="S361" i="2"/>
  <c r="X353" i="2"/>
  <c r="X357" i="2"/>
  <c r="AI360" i="2"/>
  <c r="O357" i="2"/>
  <c r="Q360" i="2"/>
  <c r="S353" i="2"/>
  <c r="M359" i="2"/>
  <c r="N356" i="2"/>
  <c r="AB353" i="2"/>
  <c r="O355" i="2"/>
  <c r="V360" i="2"/>
  <c r="Y362" i="2"/>
  <c r="AE364" i="2"/>
  <c r="M362" i="2"/>
  <c r="O361" i="2"/>
  <c r="P361" i="2"/>
  <c r="AK301" i="2"/>
  <c r="AC363" i="2"/>
  <c r="AE361" i="2"/>
  <c r="AG361" i="2"/>
  <c r="V361" i="2"/>
  <c r="X361" i="2"/>
  <c r="I361" i="2"/>
  <c r="AK313" i="2"/>
  <c r="G361" i="2"/>
  <c r="K363" i="2"/>
  <c r="L364" i="2"/>
  <c r="AF363" i="2"/>
  <c r="W363" i="2"/>
  <c r="AK318" i="2"/>
  <c r="AK291" i="2"/>
  <c r="F358" i="2"/>
  <c r="D358" i="2"/>
  <c r="AJ361" i="2"/>
  <c r="AG362" i="2"/>
  <c r="P359" i="2"/>
  <c r="R359" i="2"/>
  <c r="L354" i="2"/>
  <c r="Z353" i="2"/>
  <c r="AA358" i="2"/>
  <c r="AK299" i="2"/>
  <c r="E363" i="2"/>
  <c r="AH361" i="2"/>
  <c r="AH360" i="2"/>
  <c r="I363" i="2"/>
  <c r="AD361" i="2"/>
  <c r="AC360" i="2"/>
  <c r="O362" i="2"/>
  <c r="Q361" i="2"/>
  <c r="Q358" i="2"/>
  <c r="AE355" i="2"/>
  <c r="J357" i="2"/>
  <c r="AC357" i="2"/>
  <c r="L358" i="2"/>
  <c r="U362" i="2"/>
  <c r="Y353" i="2"/>
  <c r="Y364" i="2"/>
  <c r="X363" i="2"/>
  <c r="O364" i="2"/>
  <c r="R361" i="2"/>
  <c r="K364" i="2"/>
  <c r="P363" i="2"/>
  <c r="AI363" i="2"/>
  <c r="S362" i="2"/>
  <c r="U359" i="2"/>
  <c r="AC355" i="2"/>
  <c r="O359" i="2"/>
  <c r="M358" i="2"/>
  <c r="T358" i="2"/>
  <c r="AG364" i="2"/>
  <c r="AA362" i="2"/>
  <c r="K362" i="2"/>
  <c r="AC359" i="2"/>
  <c r="AC354" i="2"/>
  <c r="X360" i="2"/>
  <c r="H360" i="2"/>
  <c r="AH353" i="2"/>
  <c r="Q355" i="2"/>
  <c r="Q354" i="2"/>
  <c r="P356" i="2"/>
  <c r="P355" i="2"/>
  <c r="R355" i="2"/>
  <c r="AD353" i="2"/>
  <c r="H358" i="2"/>
  <c r="O360" i="2"/>
  <c r="E358" i="2"/>
  <c r="P362" i="2"/>
  <c r="M363" i="2"/>
  <c r="AA363" i="2"/>
  <c r="H362" i="2"/>
  <c r="J362" i="2"/>
  <c r="AG357" i="2"/>
  <c r="AK294" i="2"/>
  <c r="AK300" i="2"/>
  <c r="AD363" i="2"/>
  <c r="AF359" i="2"/>
  <c r="Z358" i="2"/>
  <c r="S355" i="2"/>
  <c r="Z356" i="2"/>
  <c r="AD359" i="2"/>
  <c r="N359" i="2"/>
  <c r="O356" i="2"/>
  <c r="V357" i="2"/>
  <c r="X364" i="2"/>
  <c r="H364" i="2"/>
  <c r="AC364" i="2"/>
  <c r="S356" i="2"/>
  <c r="AJ359" i="2"/>
  <c r="AK296" i="2"/>
  <c r="M355" i="2"/>
  <c r="W355" i="2"/>
  <c r="AE353" i="2"/>
  <c r="Y356" i="2"/>
  <c r="T354" i="2"/>
  <c r="I359" i="2"/>
  <c r="K357" i="2"/>
  <c r="J363" i="2"/>
  <c r="L363" i="2"/>
  <c r="AK292" i="2"/>
  <c r="AK316" i="2"/>
  <c r="D359" i="2"/>
  <c r="F359" i="2"/>
  <c r="Z364" i="2"/>
  <c r="Y363" i="2"/>
  <c r="AH362" i="2"/>
  <c r="AH358" i="2"/>
  <c r="AJ358" i="2"/>
  <c r="AK315" i="2"/>
  <c r="L357" i="2"/>
  <c r="N357" i="2"/>
  <c r="V353" i="2"/>
  <c r="AK320" i="2"/>
  <c r="W361" i="2"/>
  <c r="J354" i="2"/>
  <c r="AJ362" i="2"/>
  <c r="Y358" i="2"/>
  <c r="S363" i="2"/>
  <c r="J361" i="2"/>
  <c r="L361" i="2"/>
  <c r="AK314" i="2"/>
  <c r="AD358" i="2"/>
  <c r="AB357" i="2"/>
  <c r="AI356" i="2"/>
  <c r="R360" i="2"/>
  <c r="T356" i="2"/>
  <c r="V355" i="2"/>
  <c r="U357" i="2"/>
  <c r="V364" i="2"/>
  <c r="D364" i="2"/>
  <c r="F364" i="2"/>
  <c r="AH364" i="2"/>
  <c r="D360" i="2"/>
  <c r="F360" i="2"/>
  <c r="V362" i="2"/>
  <c r="AB361" i="2"/>
  <c r="K360" i="2"/>
  <c r="E359" i="2"/>
  <c r="K359" i="2"/>
  <c r="S357" i="2"/>
  <c r="AC361" i="2"/>
  <c r="M361" i="2"/>
  <c r="U358" i="2"/>
  <c r="AB355" i="2"/>
  <c r="H359" i="2"/>
  <c r="J359" i="2"/>
  <c r="L359" i="2"/>
  <c r="AE356" i="2"/>
  <c r="R357" i="2"/>
  <c r="AF356" i="2"/>
  <c r="G364" i="2"/>
  <c r="AK298" i="2"/>
  <c r="AC362" i="2"/>
  <c r="AE362" i="2"/>
  <c r="D362" i="2"/>
  <c r="F362" i="2"/>
  <c r="AK295" i="2"/>
  <c r="M354" i="2"/>
  <c r="K354" i="2"/>
  <c r="AJ364" i="2"/>
  <c r="AK297" i="2"/>
  <c r="W354" i="2"/>
  <c r="AE357" i="2"/>
  <c r="AK312" i="2"/>
  <c r="N354" i="2"/>
  <c r="AC358" i="2"/>
  <c r="I358" i="2"/>
  <c r="AE360" i="2"/>
  <c r="AB354" i="2"/>
  <c r="N358" i="2"/>
  <c r="E362" i="2"/>
  <c r="AK321" i="2"/>
  <c r="F363" i="2"/>
  <c r="D363" i="2"/>
  <c r="AG353" i="2"/>
  <c r="AD360" i="2"/>
  <c r="W359" i="2"/>
  <c r="P353" i="2"/>
  <c r="AK293" i="2"/>
  <c r="N360" i="2"/>
  <c r="AI361" i="2"/>
  <c r="AA360" i="2"/>
  <c r="H354" i="2"/>
  <c r="M356" i="2"/>
  <c r="AG359" i="2"/>
  <c r="X358" i="2"/>
  <c r="D361" i="2"/>
  <c r="F361" i="2"/>
  <c r="U353" i="2"/>
  <c r="R363" i="2"/>
  <c r="R364" i="2"/>
  <c r="AJ363" i="2"/>
  <c r="Q353" i="2"/>
  <c r="AF364" i="2"/>
  <c r="W364" i="2"/>
  <c r="AF362" i="2"/>
  <c r="AG356" i="2"/>
  <c r="AK317" i="2"/>
  <c r="I360" i="2"/>
  <c r="AF357" i="2"/>
  <c r="T359" i="2"/>
  <c r="Z359" i="2"/>
  <c r="AH355" i="2"/>
  <c r="AI358" i="2"/>
  <c r="AJ354" i="2"/>
  <c r="W360" i="2"/>
  <c r="X354" i="2"/>
  <c r="W356" i="2"/>
  <c r="AE242" i="23"/>
  <c r="AE18" i="49" s="1"/>
  <c r="AF242" i="23"/>
  <c r="AF18" i="49" s="1"/>
  <c r="AH242" i="23"/>
  <c r="AH18" i="49" s="1"/>
  <c r="CZ43" i="1"/>
  <c r="CZ44" i="1"/>
  <c r="AN252" i="2"/>
  <c r="C235" i="23"/>
  <c r="AK26" i="2"/>
  <c r="AK281" i="2"/>
  <c r="AK284" i="2" s="1"/>
  <c r="AK12" i="2"/>
  <c r="AJ377" i="2" s="1"/>
  <c r="AK238" i="23"/>
  <c r="U41" i="8"/>
  <c r="N12" i="1"/>
  <c r="BR44" i="1"/>
  <c r="BR43" i="1"/>
  <c r="BS43" i="1" s="1"/>
  <c r="BT43" i="1" s="1"/>
  <c r="BU43" i="1" s="1"/>
  <c r="BV43" i="1" s="1"/>
  <c r="BW43" i="1" s="1"/>
  <c r="BX43" i="1" s="1"/>
  <c r="BY43" i="1" s="1"/>
  <c r="BZ43" i="1" s="1"/>
  <c r="CA43" i="1" s="1"/>
  <c r="CB43" i="1" s="1"/>
  <c r="CC43" i="1" s="1"/>
  <c r="W41" i="8"/>
  <c r="Y41" i="8" s="1"/>
  <c r="Y37" i="8"/>
  <c r="O12" i="1"/>
  <c r="U29" i="8"/>
  <c r="Y29" i="8"/>
  <c r="G354" i="2" l="1"/>
  <c r="AR7" i="2"/>
  <c r="F355" i="2"/>
  <c r="F357" i="2"/>
  <c r="BF12" i="2"/>
  <c r="F356" i="2"/>
  <c r="D355" i="2"/>
  <c r="J356" i="2"/>
  <c r="E355" i="2"/>
  <c r="G353" i="2"/>
  <c r="G356" i="2"/>
  <c r="J355" i="2"/>
  <c r="H357" i="2"/>
  <c r="D354" i="2"/>
  <c r="AL354" i="2" s="1"/>
  <c r="K356" i="2"/>
  <c r="H353" i="2"/>
  <c r="K355" i="2"/>
  <c r="BB68" i="2"/>
  <c r="BC67" i="2"/>
  <c r="BD66" i="2"/>
  <c r="BG63" i="2"/>
  <c r="AQ63" i="2"/>
  <c r="AT62" i="2"/>
  <c r="AT83" i="2" s="1"/>
  <c r="AT84" i="2" s="1"/>
  <c r="AV67" i="2"/>
  <c r="AW68" i="2"/>
  <c r="AX67" i="2"/>
  <c r="AY66" i="2"/>
  <c r="BB63" i="2"/>
  <c r="BE62" i="2"/>
  <c r="BE83" i="2" s="1"/>
  <c r="BE84" i="2" s="1"/>
  <c r="AO62" i="2"/>
  <c r="BA66" i="2"/>
  <c r="AR68" i="2"/>
  <c r="AS67" i="2"/>
  <c r="AT66" i="2"/>
  <c r="AS63" i="2"/>
  <c r="AV62" i="2"/>
  <c r="AV83" i="2" s="1"/>
  <c r="AV84" i="2" s="1"/>
  <c r="AZ67" i="2"/>
  <c r="BG62" i="2"/>
  <c r="BG83" i="2" s="1"/>
  <c r="BG84" i="2" s="1"/>
  <c r="AV63" i="2"/>
  <c r="AL63" i="2"/>
  <c r="BG67" i="2"/>
  <c r="AQ68" i="2"/>
  <c r="BA68" i="2"/>
  <c r="BB67" i="2"/>
  <c r="AP63" i="2"/>
  <c r="AV68" i="2"/>
  <c r="AW63" i="2"/>
  <c r="BD63" i="2"/>
  <c r="AL65" i="2"/>
  <c r="AX68" i="2"/>
  <c r="AY67" i="2"/>
  <c r="AZ66" i="2"/>
  <c r="BC63" i="2"/>
  <c r="BF62" i="2"/>
  <c r="BF83" i="2" s="1"/>
  <c r="BF84" i="2" s="1"/>
  <c r="AP62" i="2"/>
  <c r="AW66" i="2"/>
  <c r="AS68" i="2"/>
  <c r="AT67" i="2"/>
  <c r="AU66" i="2"/>
  <c r="AX63" i="2"/>
  <c r="BA62" i="2"/>
  <c r="BA83" i="2" s="1"/>
  <c r="BA84" i="2" s="1"/>
  <c r="AY68" i="2"/>
  <c r="BD68" i="2"/>
  <c r="BE67" i="2"/>
  <c r="BF66" i="2"/>
  <c r="BE63" i="2"/>
  <c r="AO63" i="2"/>
  <c r="AR62" i="2"/>
  <c r="AR83" i="2" s="1"/>
  <c r="AR84" i="2" s="1"/>
  <c r="BE66" i="2"/>
  <c r="AQ62" i="2"/>
  <c r="AQ83" i="2" s="1"/>
  <c r="AY62" i="2"/>
  <c r="AY83" i="2" s="1"/>
  <c r="AY84" i="2" s="1"/>
  <c r="AL62" i="2"/>
  <c r="AQ67" i="2"/>
  <c r="AU63" i="2"/>
  <c r="BF63" i="2"/>
  <c r="AR67" i="2"/>
  <c r="AX66" i="2"/>
  <c r="BD67" i="2"/>
  <c r="BC62" i="2"/>
  <c r="BC83" i="2" s="1"/>
  <c r="BC84" i="2" s="1"/>
  <c r="D332" i="2" a="1"/>
  <c r="D332" i="2" s="1"/>
  <c r="E353" i="2" s="1"/>
  <c r="AT68" i="2"/>
  <c r="AU67" i="2"/>
  <c r="AV66" i="2"/>
  <c r="AY63" i="2"/>
  <c r="BB62" i="2"/>
  <c r="BB83" i="2" s="1"/>
  <c r="BB84" i="2" s="1"/>
  <c r="BC68" i="2"/>
  <c r="BE68" i="2"/>
  <c r="BF67" i="2"/>
  <c r="BG66" i="2"/>
  <c r="AQ66" i="2"/>
  <c r="AT63" i="2"/>
  <c r="AW62" i="2"/>
  <c r="AW83" i="2" s="1"/>
  <c r="AW84" i="2" s="1"/>
  <c r="AU68" i="2"/>
  <c r="AZ68" i="2"/>
  <c r="BA67" i="2"/>
  <c r="BB66" i="2"/>
  <c r="BA63" i="2"/>
  <c r="BD62" i="2"/>
  <c r="BD83" i="2" s="1"/>
  <c r="BD84" i="2" s="1"/>
  <c r="BG68" i="2"/>
  <c r="AS66" i="2"/>
  <c r="AZ63" i="2"/>
  <c r="AR63" i="2"/>
  <c r="BF68" i="2"/>
  <c r="AR66" i="2"/>
  <c r="AX62" i="2"/>
  <c r="AX83" i="2" s="1"/>
  <c r="AX84" i="2" s="1"/>
  <c r="BC66" i="2"/>
  <c r="AS62" i="2"/>
  <c r="AS83" i="2" s="1"/>
  <c r="AS84" i="2" s="1"/>
  <c r="AW67" i="2"/>
  <c r="AZ62" i="2"/>
  <c r="AZ83" i="2" s="1"/>
  <c r="AZ84" i="2" s="1"/>
  <c r="AU62" i="2"/>
  <c r="AU83" i="2" s="1"/>
  <c r="AU84" i="2" s="1"/>
  <c r="G355" i="2"/>
  <c r="E357" i="2"/>
  <c r="O29" i="1"/>
  <c r="P32" i="51" s="1"/>
  <c r="S34" i="3"/>
  <c r="BB11" i="2"/>
  <c r="BC10" i="2"/>
  <c r="BC7" i="2"/>
  <c r="BE12" i="2"/>
  <c r="BI63" i="1"/>
  <c r="BC11" i="2"/>
  <c r="BD6" i="2"/>
  <c r="BD78" i="2" s="1"/>
  <c r="BC12" i="2"/>
  <c r="BA11" i="2"/>
  <c r="BA6" i="2"/>
  <c r="BA78" i="2" s="1"/>
  <c r="BF11" i="2"/>
  <c r="BG7" i="2"/>
  <c r="BG11" i="2"/>
  <c r="BC6" i="2"/>
  <c r="BC78" i="2" s="1"/>
  <c r="BG10" i="2"/>
  <c r="BE6" i="2"/>
  <c r="BE78" i="2" s="1"/>
  <c r="BA7" i="2"/>
  <c r="BE11" i="2"/>
  <c r="BB7" i="2"/>
  <c r="BB6" i="2"/>
  <c r="BB78" i="2" s="1"/>
  <c r="BB10" i="2"/>
  <c r="BD12" i="2"/>
  <c r="BG6" i="2"/>
  <c r="BG78" i="2" s="1"/>
  <c r="BD11" i="2"/>
  <c r="BE10" i="2"/>
  <c r="BE7" i="2"/>
  <c r="BB12" i="2"/>
  <c r="BA10" i="2"/>
  <c r="BF6" i="2"/>
  <c r="BF78" i="2" s="1"/>
  <c r="BF10" i="2"/>
  <c r="BF7" i="2"/>
  <c r="BD7" i="2"/>
  <c r="BA12" i="2"/>
  <c r="BG12" i="2"/>
  <c r="BD10" i="2"/>
  <c r="P437" i="2"/>
  <c r="AG438" i="2"/>
  <c r="N23" i="48"/>
  <c r="AH443" i="2"/>
  <c r="L439" i="2"/>
  <c r="AA436" i="2"/>
  <c r="Z436" i="2"/>
  <c r="V438" i="2"/>
  <c r="E442" i="2"/>
  <c r="AB439" i="2"/>
  <c r="K441" i="2"/>
  <c r="X435" i="2"/>
  <c r="W435" i="2"/>
  <c r="L435" i="2"/>
  <c r="K445" i="2"/>
  <c r="W437" i="2"/>
  <c r="AD434" i="2"/>
  <c r="M438" i="2"/>
  <c r="J438" i="2"/>
  <c r="AE443" i="2"/>
  <c r="K436" i="2"/>
  <c r="AE445" i="2"/>
  <c r="AB438" i="2"/>
  <c r="E443" i="2"/>
  <c r="W441" i="2"/>
  <c r="S440" i="2"/>
  <c r="Z442" i="2"/>
  <c r="I439" i="2"/>
  <c r="E437" i="2"/>
  <c r="Y434" i="2"/>
  <c r="S435" i="2"/>
  <c r="AF444" i="2"/>
  <c r="G438" i="2"/>
  <c r="J445" i="2"/>
  <c r="R434" i="2"/>
  <c r="Y440" i="2"/>
  <c r="AC437" i="2"/>
  <c r="Z445" i="2"/>
  <c r="Z443" i="2"/>
  <c r="L442" i="2"/>
  <c r="S438" i="2"/>
  <c r="M441" i="2"/>
  <c r="I435" i="2"/>
  <c r="W436" i="2"/>
  <c r="S443" i="2"/>
  <c r="H437" i="2"/>
  <c r="P441" i="2"/>
  <c r="AF436" i="2"/>
  <c r="G436" i="2"/>
  <c r="AA444" i="2"/>
  <c r="X444" i="2"/>
  <c r="AH441" i="2"/>
  <c r="Y436" i="2"/>
  <c r="AB445" i="2"/>
  <c r="E444" i="2"/>
  <c r="H443" i="2"/>
  <c r="L445" i="2"/>
  <c r="E445" i="2"/>
  <c r="T441" i="2"/>
  <c r="S437" i="2"/>
  <c r="L440" i="2"/>
  <c r="AE439" i="2"/>
  <c r="AC439" i="2"/>
  <c r="P436" i="2"/>
  <c r="O444" i="2"/>
  <c r="AA441" i="2"/>
  <c r="AG440" i="2"/>
  <c r="U442" i="2"/>
  <c r="G434" i="2"/>
  <c r="Z440" i="2"/>
  <c r="S445" i="2"/>
  <c r="T444" i="2"/>
  <c r="M443" i="2"/>
  <c r="AD442" i="2"/>
  <c r="AH437" i="2"/>
  <c r="AG437" i="2"/>
  <c r="F434" i="2"/>
  <c r="O434" i="2"/>
  <c r="E435" i="2"/>
  <c r="AG435" i="2"/>
  <c r="X441" i="2"/>
  <c r="AA442" i="2"/>
  <c r="R438" i="2"/>
  <c r="J441" i="2"/>
  <c r="T439" i="2"/>
  <c r="F439" i="2"/>
  <c r="X437" i="2"/>
  <c r="P435" i="2"/>
  <c r="V435" i="2"/>
  <c r="N435" i="2"/>
  <c r="T440" i="2"/>
  <c r="Y437" i="2"/>
  <c r="AI445" i="2"/>
  <c r="AI438" i="2"/>
  <c r="AH438" i="2"/>
  <c r="P438" i="2"/>
  <c r="Q435" i="2"/>
  <c r="N445" i="2"/>
  <c r="AH444" i="2"/>
  <c r="L444" i="2"/>
  <c r="G440" i="2"/>
  <c r="S442" i="2"/>
  <c r="AB442" i="2"/>
  <c r="N439" i="2"/>
  <c r="AE434" i="2"/>
  <c r="M445" i="2"/>
  <c r="L443" i="2"/>
  <c r="Q443" i="2"/>
  <c r="AF441" i="2"/>
  <c r="U440" i="2"/>
  <c r="G442" i="2"/>
  <c r="AG442" i="2"/>
  <c r="V439" i="2"/>
  <c r="M439" i="2"/>
  <c r="T437" i="2"/>
  <c r="AI434" i="2"/>
  <c r="W445" i="2"/>
  <c r="AE440" i="2"/>
  <c r="K437" i="2"/>
  <c r="N436" i="2"/>
  <c r="G445" i="2"/>
  <c r="AE441" i="2"/>
  <c r="J442" i="2"/>
  <c r="W438" i="2"/>
  <c r="AB435" i="2"/>
  <c r="F443" i="2"/>
  <c r="O441" i="2"/>
  <c r="G441" i="2"/>
  <c r="O442" i="2"/>
  <c r="Z437" i="2"/>
  <c r="Q440" i="2"/>
  <c r="H439" i="2"/>
  <c r="Y439" i="2"/>
  <c r="R436" i="2"/>
  <c r="U444" i="2"/>
  <c r="N443" i="2"/>
  <c r="AB441" i="2"/>
  <c r="C441" i="2"/>
  <c r="D441" i="2"/>
  <c r="T436" i="2"/>
  <c r="E436" i="2"/>
  <c r="P445" i="2"/>
  <c r="Y444" i="2"/>
  <c r="F444" i="2"/>
  <c r="H444" i="2"/>
  <c r="W444" i="2"/>
  <c r="I434" i="2"/>
  <c r="C434" i="2"/>
  <c r="D434" i="2"/>
  <c r="J443" i="2"/>
  <c r="AF439" i="2"/>
  <c r="Y435" i="2"/>
  <c r="P439" i="2"/>
  <c r="I436" i="2"/>
  <c r="M436" i="2"/>
  <c r="X445" i="2"/>
  <c r="AC445" i="2"/>
  <c r="J444" i="2"/>
  <c r="P444" i="2"/>
  <c r="AC444" i="2"/>
  <c r="N444" i="2"/>
  <c r="W443" i="2"/>
  <c r="K440" i="2"/>
  <c r="H440" i="2"/>
  <c r="Q439" i="2"/>
  <c r="K438" i="2"/>
  <c r="L438" i="2"/>
  <c r="X438" i="2"/>
  <c r="AD438" i="2"/>
  <c r="Q434" i="2"/>
  <c r="T434" i="2"/>
  <c r="AH435" i="2"/>
  <c r="AC443" i="2"/>
  <c r="AI442" i="2"/>
  <c r="N437" i="2"/>
  <c r="O437" i="2"/>
  <c r="AB437" i="2"/>
  <c r="O438" i="2"/>
  <c r="H438" i="2"/>
  <c r="R435" i="2"/>
  <c r="I445" i="2"/>
  <c r="Y443" i="2"/>
  <c r="V437" i="2"/>
  <c r="F438" i="2"/>
  <c r="AC434" i="2"/>
  <c r="J435" i="2"/>
  <c r="Q436" i="2"/>
  <c r="U443" i="2"/>
  <c r="AI440" i="2"/>
  <c r="AA435" i="2"/>
  <c r="AH439" i="2"/>
  <c r="AG436" i="2"/>
  <c r="C445" i="2"/>
  <c r="D445" i="2"/>
  <c r="AF445" i="2"/>
  <c r="V445" i="2"/>
  <c r="AB443" i="2"/>
  <c r="R441" i="2"/>
  <c r="Y441" i="2"/>
  <c r="V440" i="2"/>
  <c r="X442" i="2"/>
  <c r="J439" i="2"/>
  <c r="R437" i="2"/>
  <c r="L437" i="2"/>
  <c r="C438" i="2"/>
  <c r="D438" i="2"/>
  <c r="T438" i="2"/>
  <c r="AF434" i="2"/>
  <c r="K435" i="2"/>
  <c r="AC436" i="2"/>
  <c r="T445" i="2"/>
  <c r="K444" i="2"/>
  <c r="V443" i="2"/>
  <c r="AE435" i="2"/>
  <c r="AH445" i="2"/>
  <c r="P443" i="2"/>
  <c r="AA440" i="2"/>
  <c r="M434" i="2"/>
  <c r="O436" i="2"/>
  <c r="H436" i="2"/>
  <c r="AG445" i="2"/>
  <c r="I443" i="2"/>
  <c r="K443" i="2"/>
  <c r="H441" i="2"/>
  <c r="M440" i="2"/>
  <c r="AF440" i="2"/>
  <c r="AD440" i="2"/>
  <c r="AE442" i="2"/>
  <c r="M442" i="2"/>
  <c r="U439" i="2"/>
  <c r="W439" i="2"/>
  <c r="I437" i="2"/>
  <c r="AG434" i="2"/>
  <c r="AB434" i="2"/>
  <c r="C435" i="2"/>
  <c r="D435" i="2"/>
  <c r="O435" i="2"/>
  <c r="AG444" i="2"/>
  <c r="AI443" i="2"/>
  <c r="AD441" i="2"/>
  <c r="E441" i="2"/>
  <c r="N440" i="2"/>
  <c r="F442" i="2"/>
  <c r="T442" i="2"/>
  <c r="X439" i="2"/>
  <c r="K439" i="2"/>
  <c r="U437" i="2"/>
  <c r="AE438" i="2"/>
  <c r="N438" i="2"/>
  <c r="E434" i="2"/>
  <c r="X434" i="2"/>
  <c r="T435" i="2"/>
  <c r="AI435" i="2"/>
  <c r="M444" i="2"/>
  <c r="S444" i="2"/>
  <c r="F441" i="2"/>
  <c r="F440" i="2"/>
  <c r="Q442" i="2"/>
  <c r="AF437" i="2"/>
  <c r="AF438" i="2"/>
  <c r="G444" i="2"/>
  <c r="C444" i="2"/>
  <c r="D444" i="2"/>
  <c r="W442" i="2"/>
  <c r="S436" i="2"/>
  <c r="U445" i="2"/>
  <c r="I440" i="2"/>
  <c r="O439" i="2"/>
  <c r="AI436" i="2"/>
  <c r="AB436" i="2"/>
  <c r="AH436" i="2"/>
  <c r="Q445" i="2"/>
  <c r="C443" i="2"/>
  <c r="D443" i="2"/>
  <c r="H442" i="2"/>
  <c r="Q437" i="2"/>
  <c r="L434" i="2"/>
  <c r="G435" i="2"/>
  <c r="AD436" i="2"/>
  <c r="V436" i="2"/>
  <c r="AA445" i="2"/>
  <c r="F445" i="2"/>
  <c r="Q444" i="2"/>
  <c r="AD444" i="2"/>
  <c r="AI444" i="2"/>
  <c r="AB444" i="2"/>
  <c r="AD443" i="2"/>
  <c r="AC441" i="2"/>
  <c r="U441" i="2"/>
  <c r="AC440" i="2"/>
  <c r="P442" i="2"/>
  <c r="AH442" i="2"/>
  <c r="AE437" i="2"/>
  <c r="AA438" i="2"/>
  <c r="I438" i="2"/>
  <c r="U438" i="2"/>
  <c r="AA443" i="2"/>
  <c r="AG441" i="2"/>
  <c r="P440" i="2"/>
  <c r="C442" i="2"/>
  <c r="D442" i="2"/>
  <c r="E439" i="2"/>
  <c r="R439" i="2"/>
  <c r="AD437" i="2"/>
  <c r="G437" i="2"/>
  <c r="AI437" i="2"/>
  <c r="U434" i="2"/>
  <c r="U435" i="2"/>
  <c r="I441" i="2"/>
  <c r="D440" i="2"/>
  <c r="C440" i="2"/>
  <c r="N442" i="2"/>
  <c r="AA439" i="2"/>
  <c r="H434" i="2"/>
  <c r="AC435" i="2"/>
  <c r="I444" i="2"/>
  <c r="O445" i="2"/>
  <c r="R445" i="2"/>
  <c r="G443" i="2"/>
  <c r="AC438" i="2"/>
  <c r="AF442" i="2"/>
  <c r="J434" i="2"/>
  <c r="J436" i="2"/>
  <c r="L436" i="2"/>
  <c r="AD445" i="2"/>
  <c r="AG443" i="2"/>
  <c r="S441" i="2"/>
  <c r="E440" i="2"/>
  <c r="AH440" i="2"/>
  <c r="J440" i="2"/>
  <c r="I442" i="2"/>
  <c r="AD439" i="2"/>
  <c r="AA437" i="2"/>
  <c r="V434" i="2"/>
  <c r="W434" i="2"/>
  <c r="H435" i="2"/>
  <c r="Z435" i="2"/>
  <c r="AD435" i="2"/>
  <c r="D436" i="2"/>
  <c r="C436" i="2"/>
  <c r="F436" i="2"/>
  <c r="R444" i="2"/>
  <c r="R443" i="2"/>
  <c r="R440" i="2"/>
  <c r="AC442" i="2"/>
  <c r="F437" i="2"/>
  <c r="Z434" i="2"/>
  <c r="AE444" i="2"/>
  <c r="V441" i="2"/>
  <c r="X440" i="2"/>
  <c r="Y438" i="2"/>
  <c r="AE436" i="2"/>
  <c r="X436" i="2"/>
  <c r="U436" i="2"/>
  <c r="H445" i="2"/>
  <c r="Y445" i="2"/>
  <c r="T443" i="2"/>
  <c r="O443" i="2"/>
  <c r="Z441" i="2"/>
  <c r="L441" i="2"/>
  <c r="W440" i="2"/>
  <c r="O440" i="2"/>
  <c r="V442" i="2"/>
  <c r="S439" i="2"/>
  <c r="AG439" i="2"/>
  <c r="J437" i="2"/>
  <c r="M437" i="2"/>
  <c r="E438" i="2"/>
  <c r="N434" i="2"/>
  <c r="P434" i="2"/>
  <c r="S434" i="2"/>
  <c r="AF435" i="2"/>
  <c r="M435" i="2"/>
  <c r="V444" i="2"/>
  <c r="X443" i="2"/>
  <c r="N441" i="2"/>
  <c r="AI441" i="2"/>
  <c r="AB440" i="2"/>
  <c r="R442" i="2"/>
  <c r="Y442" i="2"/>
  <c r="C439" i="2"/>
  <c r="D439" i="2"/>
  <c r="Z439" i="2"/>
  <c r="G439" i="2"/>
  <c r="Q438" i="2"/>
  <c r="Z438" i="2"/>
  <c r="AH434" i="2"/>
  <c r="AA434" i="2"/>
  <c r="F435" i="2"/>
  <c r="Z444" i="2"/>
  <c r="AF443" i="2"/>
  <c r="Q441" i="2"/>
  <c r="K442" i="2"/>
  <c r="AI439" i="2"/>
  <c r="C437" i="2"/>
  <c r="D437" i="2"/>
  <c r="K434" i="2"/>
  <c r="S23" i="48"/>
  <c r="R23" i="48"/>
  <c r="C18" i="49"/>
  <c r="C62" i="49" s="1"/>
  <c r="AL363" i="2"/>
  <c r="AL361" i="2"/>
  <c r="AL362" i="2"/>
  <c r="AN362" i="2" s="1"/>
  <c r="AL364" i="2"/>
  <c r="AL360" i="2"/>
  <c r="AL359" i="2"/>
  <c r="AL358" i="2"/>
  <c r="CZ42" i="1"/>
  <c r="CZ45" i="1"/>
  <c r="CZ41" i="1"/>
  <c r="AX11" i="2"/>
  <c r="AL5" i="2"/>
  <c r="AW6" i="2"/>
  <c r="AY12" i="2"/>
  <c r="AS11" i="2"/>
  <c r="AW7" i="2"/>
  <c r="AR6" i="2"/>
  <c r="AT12" i="2"/>
  <c r="AX10" i="2"/>
  <c r="AL3" i="2"/>
  <c r="AS12" i="2"/>
  <c r="AW10" i="2"/>
  <c r="AQ7" i="2"/>
  <c r="AV12" i="2"/>
  <c r="AZ10" i="2"/>
  <c r="AS7" i="2"/>
  <c r="AZ11" i="2"/>
  <c r="AT10" i="2"/>
  <c r="AR12" i="2"/>
  <c r="AS6" i="2"/>
  <c r="AU12" i="2"/>
  <c r="AT7" i="2"/>
  <c r="AX7" i="2"/>
  <c r="AQ12" i="2"/>
  <c r="AU10" i="2"/>
  <c r="AZ6" i="2"/>
  <c r="AV11" i="2"/>
  <c r="AZ7" i="2"/>
  <c r="AU6" i="2"/>
  <c r="AU11" i="2"/>
  <c r="AY7" i="2"/>
  <c r="AT6" i="2"/>
  <c r="AT11" i="2"/>
  <c r="AR10" i="2"/>
  <c r="AV10" i="2"/>
  <c r="AL2" i="2"/>
  <c r="AW11" i="2"/>
  <c r="AQ10" i="2"/>
  <c r="AV6" i="2"/>
  <c r="AX12" i="2"/>
  <c r="AR11" i="2"/>
  <c r="AV7" i="2"/>
  <c r="AQ6" i="2"/>
  <c r="AW12" i="2"/>
  <c r="AQ11" i="2"/>
  <c r="AU7" i="2"/>
  <c r="AP6" i="2"/>
  <c r="AZ12" i="2"/>
  <c r="AY10" i="2"/>
  <c r="AY6" i="2"/>
  <c r="AY11" i="2"/>
  <c r="AS10" i="2"/>
  <c r="AX6" i="2"/>
  <c r="AP7" i="2"/>
  <c r="U23" i="48"/>
  <c r="J18" i="49"/>
  <c r="J62" i="49" s="1"/>
  <c r="I18" i="49"/>
  <c r="I62" i="49" s="1"/>
  <c r="F23" i="48"/>
  <c r="L18" i="49"/>
  <c r="L62" i="49" s="1"/>
  <c r="T18" i="49"/>
  <c r="T62" i="49" s="1"/>
  <c r="V18" i="49"/>
  <c r="V62" i="49" s="1"/>
  <c r="E23" i="48"/>
  <c r="G23" i="48"/>
  <c r="X18" i="49"/>
  <c r="X62" i="49" s="1"/>
  <c r="H18" i="49"/>
  <c r="H62" i="49" s="1"/>
  <c r="K23" i="48"/>
  <c r="D18" i="49"/>
  <c r="D62" i="49" s="1"/>
  <c r="W23" i="48"/>
  <c r="O23" i="48"/>
  <c r="O18" i="49"/>
  <c r="O62" i="49" s="1"/>
  <c r="P18" i="49"/>
  <c r="P62" i="49" s="1"/>
  <c r="P23" i="48"/>
  <c r="Q18" i="49"/>
  <c r="Q62" i="49" s="1"/>
  <c r="Q23" i="48"/>
  <c r="M18" i="49"/>
  <c r="M62" i="49" s="1"/>
  <c r="M23" i="48"/>
  <c r="CD43" i="1"/>
  <c r="CE43" i="1" s="1"/>
  <c r="CF43" i="1" s="1"/>
  <c r="CG43" i="1" s="1"/>
  <c r="CH43" i="1" s="1"/>
  <c r="CI43" i="1" s="1"/>
  <c r="CJ43" i="1" s="1"/>
  <c r="CK43" i="1" s="1"/>
  <c r="CL43" i="1" s="1"/>
  <c r="CM43" i="1" s="1"/>
  <c r="CN43" i="1" s="1"/>
  <c r="CO43" i="1" s="1"/>
  <c r="CP43" i="1" s="1"/>
  <c r="CQ43" i="1" s="1"/>
  <c r="CR43" i="1" s="1"/>
  <c r="CS43" i="1" s="1"/>
  <c r="CT43" i="1" s="1"/>
  <c r="CU43" i="1" s="1"/>
  <c r="CV43" i="1" s="1"/>
  <c r="CW43" i="1" s="1"/>
  <c r="CX43" i="1" s="1"/>
  <c r="CY43" i="1" s="1"/>
  <c r="AK14" i="2"/>
  <c r="AJ379" i="2" s="1"/>
  <c r="AK13" i="2"/>
  <c r="AJ378" i="2" s="1"/>
  <c r="AK10" i="2"/>
  <c r="AJ375" i="2" s="1"/>
  <c r="AK11" i="2"/>
  <c r="AJ376" i="2" s="1"/>
  <c r="AK15" i="2"/>
  <c r="AJ380" i="2" s="1"/>
  <c r="DZ17" i="34"/>
  <c r="DB22" i="34"/>
  <c r="EJ34" i="34"/>
  <c r="EP11" i="34"/>
  <c r="FZ32" i="34"/>
  <c r="CT34" i="34"/>
  <c r="EP23" i="34"/>
  <c r="FN30" i="34"/>
  <c r="FZ27" i="34"/>
  <c r="CT18" i="34"/>
  <c r="CT32" i="34"/>
  <c r="DR22" i="34"/>
  <c r="CH28" i="34"/>
  <c r="AX35" i="34"/>
  <c r="BV23" i="34"/>
  <c r="EP35" i="34"/>
  <c r="DR18" i="34"/>
  <c r="DX34" i="34"/>
  <c r="CH34" i="34"/>
  <c r="EV34" i="34"/>
  <c r="BJ32" i="34"/>
  <c r="CZ32" i="34"/>
  <c r="EH22" i="34"/>
  <c r="DZ21" i="34"/>
  <c r="DJ18" i="34"/>
  <c r="BV28" i="34"/>
  <c r="CN34" i="34"/>
  <c r="DJ16" i="34"/>
  <c r="DB21" i="34"/>
  <c r="FT31" i="34"/>
  <c r="DB16" i="34"/>
  <c r="CT30" i="34"/>
  <c r="ED34" i="34"/>
  <c r="FF23" i="34"/>
  <c r="CT28" i="34"/>
  <c r="CT20" i="34"/>
  <c r="CT33" i="34"/>
  <c r="DZ19" i="34"/>
  <c r="CB32" i="34"/>
  <c r="FT27" i="34"/>
  <c r="EX22" i="34"/>
  <c r="ED35" i="34"/>
  <c r="CD20" i="34"/>
  <c r="FN22" i="34"/>
  <c r="DB18" i="34"/>
  <c r="FH34" i="34"/>
  <c r="CZ29" i="34"/>
  <c r="CB30" i="34"/>
  <c r="FT30" i="34"/>
  <c r="DB23" i="34"/>
  <c r="DZ22" i="34"/>
  <c r="CN32" i="34"/>
  <c r="FH32" i="34"/>
  <c r="FT34" i="34"/>
  <c r="DJ21" i="34"/>
  <c r="FT28" i="34"/>
  <c r="FZ34" i="34"/>
  <c r="AK290" i="2"/>
  <c r="FH33" i="34"/>
  <c r="EH17" i="34"/>
  <c r="CH30" i="34"/>
  <c r="EP34" i="34"/>
  <c r="DZ11" i="34"/>
  <c r="CH33" i="34"/>
  <c r="CL20" i="34"/>
  <c r="BV30" i="34"/>
  <c r="EH19" i="34"/>
  <c r="EX23" i="34"/>
  <c r="FV23" i="34"/>
  <c r="DJ23" i="34"/>
  <c r="CN30" i="34"/>
  <c r="CB33" i="34"/>
  <c r="DR20" i="34"/>
  <c r="CB28" i="34"/>
  <c r="BV32" i="34"/>
  <c r="CT21" i="34"/>
  <c r="FZ30" i="34"/>
  <c r="FB28" i="34"/>
  <c r="CT31" i="34"/>
  <c r="FZ33" i="34"/>
  <c r="DZ18" i="34"/>
  <c r="DX35" i="34"/>
  <c r="CD23" i="34"/>
  <c r="DJ20" i="34"/>
  <c r="BP35" i="34"/>
  <c r="FF8" i="34"/>
  <c r="FT33" i="34"/>
  <c r="FN34" i="34"/>
  <c r="CB35" i="34"/>
  <c r="CZ35" i="34"/>
  <c r="EV35" i="34"/>
  <c r="DF35" i="34"/>
  <c r="FB33" i="34"/>
  <c r="FF22" i="34"/>
  <c r="CL22" i="34"/>
  <c r="CN33" i="34"/>
  <c r="CB34" i="34"/>
  <c r="DR34" i="34"/>
  <c r="BV35" i="34"/>
  <c r="CZ34" i="34"/>
  <c r="CZ31" i="34"/>
  <c r="FF11" i="34"/>
  <c r="FN28" i="34"/>
  <c r="BD35" i="34"/>
  <c r="FN35" i="34"/>
  <c r="EH20" i="34"/>
  <c r="EH18" i="34"/>
  <c r="CT23" i="34"/>
  <c r="EH23" i="34"/>
  <c r="FV22" i="34"/>
  <c r="EV32" i="34"/>
  <c r="FH35" i="34"/>
  <c r="BV34" i="34"/>
  <c r="CH35" i="34"/>
  <c r="DR35" i="34"/>
  <c r="CD22" i="34"/>
  <c r="CZ27" i="34"/>
  <c r="CZ28" i="34"/>
  <c r="DB20" i="34"/>
  <c r="DR16" i="34"/>
  <c r="EJ35" i="34"/>
  <c r="CN35" i="34"/>
  <c r="EP22" i="34"/>
  <c r="DZ16" i="34"/>
  <c r="CT29" i="34"/>
  <c r="FB35" i="34"/>
  <c r="CT16" i="34"/>
  <c r="BJ35" i="34"/>
  <c r="CL18" i="34"/>
  <c r="BV22" i="34"/>
  <c r="FN23" i="34"/>
  <c r="FT32" i="34"/>
  <c r="CT22" i="34"/>
  <c r="CL23" i="34"/>
  <c r="BV33" i="34"/>
  <c r="CH32" i="34"/>
  <c r="FT29" i="34"/>
  <c r="FZ29" i="34"/>
  <c r="FN32" i="34"/>
  <c r="FH30" i="34"/>
  <c r="DF34" i="34"/>
  <c r="CZ33" i="34"/>
  <c r="FF10" i="34"/>
  <c r="CZ30" i="34"/>
  <c r="DL34" i="34"/>
  <c r="FZ31" i="34"/>
  <c r="FN31" i="34"/>
  <c r="FB34" i="34"/>
  <c r="FT35" i="34"/>
  <c r="EH16" i="34"/>
  <c r="EV30" i="34"/>
  <c r="DR21" i="34"/>
  <c r="FN33" i="34"/>
  <c r="DR23" i="34"/>
  <c r="FB32" i="34"/>
  <c r="BP34" i="34"/>
  <c r="CN28" i="34"/>
  <c r="BJ34" i="34"/>
  <c r="EH15" i="34"/>
  <c r="FB30" i="34"/>
  <c r="DZ23" i="34"/>
  <c r="BN23" i="34"/>
  <c r="EH21" i="34"/>
  <c r="CT35" i="34"/>
  <c r="FH28" i="34"/>
  <c r="FZ28" i="34"/>
  <c r="DZ20" i="34"/>
  <c r="DL35" i="34"/>
  <c r="AK311" i="2"/>
  <c r="FZ35" i="34"/>
  <c r="BP32" i="34"/>
  <c r="EP10" i="34"/>
  <c r="BD34" i="34"/>
  <c r="BP30" i="34"/>
  <c r="T34" i="34"/>
  <c r="J23" i="34"/>
  <c r="Z34" i="34"/>
  <c r="AR34" i="34"/>
  <c r="AX23" i="34"/>
  <c r="R22" i="34"/>
  <c r="AX34" i="34"/>
  <c r="CD11" i="34"/>
  <c r="AH23" i="34"/>
  <c r="CL21" i="34"/>
  <c r="B34" i="34"/>
  <c r="Z32" i="34"/>
  <c r="B35" i="34"/>
  <c r="AL34" i="34"/>
  <c r="BF23" i="34"/>
  <c r="BV20" i="34"/>
  <c r="AH7" i="34"/>
  <c r="BV29" i="34"/>
  <c r="FV17" i="34"/>
  <c r="AP21" i="34"/>
  <c r="CT27" i="34"/>
  <c r="N27" i="34"/>
  <c r="H35" i="34"/>
  <c r="R11" i="34"/>
  <c r="AF35" i="34"/>
  <c r="AR35" i="34"/>
  <c r="DZ10" i="34"/>
  <c r="AX10" i="34"/>
  <c r="N34" i="34"/>
  <c r="Z35" i="34"/>
  <c r="BN10" i="34"/>
  <c r="R4" i="34"/>
  <c r="CT9" i="34"/>
  <c r="T30" i="34"/>
  <c r="AH6" i="34"/>
  <c r="CT4" i="34"/>
  <c r="B9" i="34"/>
  <c r="AH5" i="34"/>
  <c r="AH20" i="34"/>
  <c r="B10" i="34"/>
  <c r="B22" i="34"/>
  <c r="CD10" i="34"/>
  <c r="AF34" i="34"/>
  <c r="J22" i="34"/>
  <c r="AH10" i="34"/>
  <c r="H34" i="34"/>
  <c r="BF22" i="34"/>
  <c r="AP23" i="34"/>
  <c r="R23" i="34"/>
  <c r="T35" i="34"/>
  <c r="AH22" i="34"/>
  <c r="R10" i="34"/>
  <c r="Z22" i="34"/>
  <c r="AP22" i="34"/>
  <c r="ED32" i="34"/>
  <c r="N35" i="34"/>
  <c r="CT10" i="34"/>
  <c r="B23" i="34"/>
  <c r="BN11" i="34"/>
  <c r="B11" i="34"/>
  <c r="DJ11" i="34"/>
  <c r="AL35" i="34"/>
  <c r="BN22" i="34"/>
  <c r="AX22" i="34"/>
  <c r="AX11" i="34"/>
  <c r="DJ10" i="34"/>
  <c r="Z23" i="34"/>
  <c r="CT11" i="34"/>
  <c r="AH11" i="34"/>
  <c r="AR31" i="34"/>
  <c r="Z19" i="34"/>
  <c r="AX8" i="34"/>
  <c r="AX20" i="34"/>
  <c r="AR32" i="34"/>
  <c r="BN3" i="34"/>
  <c r="AF27" i="34"/>
  <c r="BF18" i="34"/>
  <c r="AX6" i="34"/>
  <c r="AL30" i="34"/>
  <c r="N28" i="34"/>
  <c r="CD18" i="34"/>
  <c r="AH16" i="34"/>
  <c r="R21" i="34"/>
  <c r="B21" i="34"/>
  <c r="J21" i="34"/>
  <c r="T28" i="34"/>
  <c r="T27" i="34"/>
  <c r="B28" i="34"/>
  <c r="J16" i="34"/>
  <c r="BN5" i="34"/>
  <c r="T33" i="34"/>
  <c r="CT3" i="34"/>
  <c r="DJ8" i="34"/>
  <c r="AH15" i="34"/>
  <c r="CT7" i="34"/>
  <c r="DJ3" i="34"/>
  <c r="N32" i="34"/>
  <c r="R8" i="34"/>
  <c r="B7" i="34"/>
  <c r="BV19" i="34"/>
  <c r="R7" i="34"/>
  <c r="BN8" i="34"/>
  <c r="EP17" i="34"/>
  <c r="DJ9" i="34"/>
  <c r="DX27" i="34"/>
  <c r="DR31" i="34"/>
  <c r="DZ8" i="34"/>
  <c r="AR28" i="34"/>
  <c r="B5" i="34"/>
  <c r="CH29" i="34"/>
  <c r="DL33" i="34"/>
  <c r="DR27" i="34"/>
  <c r="B6" i="34"/>
  <c r="FN16" i="34"/>
  <c r="BV16" i="34"/>
  <c r="DR29" i="34"/>
  <c r="DJ5" i="34"/>
  <c r="CL17" i="34"/>
  <c r="DX33" i="34"/>
  <c r="CB27" i="34"/>
  <c r="FH27" i="34"/>
  <c r="EV31" i="34"/>
  <c r="BF20" i="34"/>
  <c r="EV28" i="34"/>
  <c r="DR17" i="34"/>
  <c r="BP33" i="34"/>
  <c r="Z27" i="34"/>
  <c r="CD3" i="34"/>
  <c r="EX15" i="34"/>
  <c r="EP31" i="34"/>
  <c r="CD5" i="34"/>
  <c r="EP5" i="34"/>
  <c r="DR33" i="34"/>
  <c r="CT6" i="34"/>
  <c r="CD16" i="34"/>
  <c r="FN29" i="34"/>
  <c r="ED30" i="34"/>
  <c r="EJ28" i="34"/>
  <c r="B16" i="34"/>
  <c r="DF28" i="34"/>
  <c r="H28" i="34"/>
  <c r="Z29" i="34"/>
  <c r="AX9" i="34"/>
  <c r="EP9" i="34"/>
  <c r="BN15" i="34"/>
  <c r="CD15" i="34"/>
  <c r="AL27" i="34"/>
  <c r="BD27" i="34"/>
  <c r="DZ7" i="34"/>
  <c r="EJ32" i="34"/>
  <c r="DB19" i="34"/>
  <c r="R20" i="34"/>
  <c r="EX18" i="34"/>
  <c r="DZ6" i="34"/>
  <c r="CL16" i="34"/>
  <c r="AF30" i="34"/>
  <c r="CD4" i="34"/>
  <c r="AX5" i="34"/>
  <c r="AR33" i="34"/>
  <c r="ED31" i="34"/>
  <c r="DJ6" i="34"/>
  <c r="Z18" i="34"/>
  <c r="EP6" i="34"/>
  <c r="EP28" i="34"/>
  <c r="AH4" i="34"/>
  <c r="R18" i="34"/>
  <c r="BJ30" i="34"/>
  <c r="Z28" i="34"/>
  <c r="AL28" i="34"/>
  <c r="AX29" i="34"/>
  <c r="EX17" i="34"/>
  <c r="AH9" i="34"/>
  <c r="B33" i="34"/>
  <c r="H33" i="34"/>
  <c r="CT15" i="34"/>
  <c r="DL31" i="34"/>
  <c r="AX4" i="34"/>
  <c r="N29" i="34"/>
  <c r="BJ29" i="34"/>
  <c r="FF9" i="34"/>
  <c r="FB27" i="34"/>
  <c r="AX3" i="34"/>
  <c r="CD7" i="34"/>
  <c r="J20" i="34"/>
  <c r="FB31" i="34"/>
  <c r="B19" i="34"/>
  <c r="DJ19" i="34"/>
  <c r="EP7" i="34"/>
  <c r="H31" i="34"/>
  <c r="AH18" i="34"/>
  <c r="AX17" i="34"/>
  <c r="Z33" i="34"/>
  <c r="AR27" i="34"/>
  <c r="R3" i="34"/>
  <c r="AH19" i="34"/>
  <c r="AF32" i="34"/>
  <c r="H29" i="34"/>
  <c r="AP17" i="34"/>
  <c r="BN4" i="34"/>
  <c r="B17" i="34"/>
  <c r="R16" i="34"/>
  <c r="BN7" i="34"/>
  <c r="AH8" i="34"/>
  <c r="J19" i="34"/>
  <c r="H27" i="34"/>
  <c r="B31" i="34"/>
  <c r="B18" i="34"/>
  <c r="AH21" i="34"/>
  <c r="BN6" i="34"/>
  <c r="CD8" i="34"/>
  <c r="AR29" i="34"/>
  <c r="CN29" i="34"/>
  <c r="H32" i="34"/>
  <c r="AX31" i="34"/>
  <c r="N31" i="34"/>
  <c r="AF31" i="34"/>
  <c r="AF33" i="34"/>
  <c r="BF16" i="34"/>
  <c r="FV20" i="34"/>
  <c r="R19" i="34"/>
  <c r="AF29" i="34"/>
  <c r="AP15" i="34"/>
  <c r="R15" i="34"/>
  <c r="BF17" i="34"/>
  <c r="DJ4" i="34"/>
  <c r="BD29" i="34"/>
  <c r="EP4" i="34"/>
  <c r="DL30" i="34"/>
  <c r="DX30" i="34"/>
  <c r="AX28" i="34"/>
  <c r="EX16" i="34"/>
  <c r="BP28" i="34"/>
  <c r="AP18" i="34"/>
  <c r="ED28" i="34"/>
  <c r="DB17" i="34"/>
  <c r="EP21" i="34"/>
  <c r="BN21" i="34"/>
  <c r="CL15" i="34"/>
  <c r="AX32" i="34"/>
  <c r="FH29" i="34"/>
  <c r="DJ17" i="34"/>
  <c r="FF15" i="34"/>
  <c r="FN21" i="34"/>
  <c r="EV27" i="34"/>
  <c r="BN19" i="34"/>
  <c r="ED29" i="34"/>
  <c r="BN20" i="34"/>
  <c r="FF17" i="34"/>
  <c r="DB15" i="34"/>
  <c r="EX21" i="34"/>
  <c r="B30" i="34"/>
  <c r="B29" i="34"/>
  <c r="AH3" i="34"/>
  <c r="BD32" i="34"/>
  <c r="CD9" i="34"/>
  <c r="BV17" i="34"/>
  <c r="AX19" i="34"/>
  <c r="DX28" i="34"/>
  <c r="AX18" i="34"/>
  <c r="AX16" i="34"/>
  <c r="N33" i="34"/>
  <c r="R9" i="34"/>
  <c r="N30" i="34"/>
  <c r="R17" i="34"/>
  <c r="AR30" i="34"/>
  <c r="AX15" i="34"/>
  <c r="BD30" i="34"/>
  <c r="BJ33" i="34"/>
  <c r="BJ28" i="34"/>
  <c r="FF20" i="34"/>
  <c r="Z16" i="34"/>
  <c r="EV33" i="34"/>
  <c r="Z15" i="34"/>
  <c r="B4" i="34"/>
  <c r="AH17" i="34"/>
  <c r="Z21" i="34"/>
  <c r="BD33" i="34"/>
  <c r="DZ3" i="34"/>
  <c r="FV18" i="34"/>
  <c r="DL27" i="34"/>
  <c r="BN17" i="34"/>
  <c r="AX27" i="34"/>
  <c r="DZ15" i="34"/>
  <c r="BV27" i="34"/>
  <c r="DL29" i="34"/>
  <c r="CD21" i="34"/>
  <c r="FF5" i="34"/>
  <c r="CT17" i="34"/>
  <c r="AP19" i="34"/>
  <c r="BD31" i="34"/>
  <c r="FF6" i="34"/>
  <c r="EP8" i="34"/>
  <c r="EX20" i="34"/>
  <c r="BP31" i="34"/>
  <c r="T31" i="34"/>
  <c r="CT8" i="34"/>
  <c r="FN19" i="34"/>
  <c r="DX31" i="34"/>
  <c r="CN31" i="34"/>
  <c r="EP30" i="34"/>
  <c r="EP29" i="34"/>
  <c r="DF27" i="34"/>
  <c r="DX32" i="34"/>
  <c r="EJ29" i="34"/>
  <c r="ED33" i="34"/>
  <c r="FV21" i="34"/>
  <c r="BV31" i="34"/>
  <c r="EP15" i="34"/>
  <c r="AX33" i="34"/>
  <c r="Z31" i="34"/>
  <c r="AX7" i="34"/>
  <c r="Z20" i="34"/>
  <c r="R5" i="34"/>
  <c r="B20" i="34"/>
  <c r="AP20" i="34"/>
  <c r="H30" i="34"/>
  <c r="AF28" i="34"/>
  <c r="Z17" i="34"/>
  <c r="AL32" i="34"/>
  <c r="CT5" i="34"/>
  <c r="DZ9" i="34"/>
  <c r="EJ33" i="34"/>
  <c r="DZ4" i="34"/>
  <c r="DL28" i="34"/>
  <c r="DR19" i="34"/>
  <c r="CT19" i="34"/>
  <c r="BN9" i="34"/>
  <c r="Z30" i="34"/>
  <c r="J17" i="34"/>
  <c r="J15" i="34"/>
  <c r="B32" i="34"/>
  <c r="R6" i="34"/>
  <c r="AP16" i="34"/>
  <c r="DJ7" i="34"/>
  <c r="BF15" i="34"/>
  <c r="AL29" i="34"/>
  <c r="FN20" i="34"/>
  <c r="FH31" i="34"/>
  <c r="EP19" i="34"/>
  <c r="DF31" i="34"/>
  <c r="DF29" i="34"/>
  <c r="AL33" i="34"/>
  <c r="AX21" i="34"/>
  <c r="BF21" i="34"/>
  <c r="EJ27" i="34"/>
  <c r="FN15" i="34"/>
  <c r="BJ31" i="34"/>
  <c r="EP32" i="34"/>
  <c r="FF16" i="34"/>
  <c r="DR28" i="34"/>
  <c r="CB29" i="34"/>
  <c r="DF33" i="34"/>
  <c r="FN27" i="34"/>
  <c r="T32" i="34"/>
  <c r="B8" i="34"/>
  <c r="CD6" i="34"/>
  <c r="J18" i="34"/>
  <c r="T29" i="34"/>
  <c r="BF19" i="34"/>
  <c r="AL31" i="34"/>
  <c r="CD19" i="34"/>
  <c r="EJ30" i="34"/>
  <c r="BN18" i="34"/>
  <c r="AX30" i="34"/>
  <c r="FN18" i="34"/>
  <c r="DR30" i="34"/>
  <c r="FF18" i="34"/>
  <c r="BN16" i="34"/>
  <c r="EX19" i="34"/>
  <c r="CD17" i="34"/>
  <c r="DF30" i="34"/>
  <c r="FN17" i="34"/>
  <c r="DX29" i="34"/>
  <c r="FB29" i="34"/>
  <c r="BV21" i="34"/>
  <c r="FF3" i="34"/>
  <c r="BJ27" i="34"/>
  <c r="EP3" i="34"/>
  <c r="BV15" i="34"/>
  <c r="DL32" i="34"/>
  <c r="FV16" i="34"/>
  <c r="DR32" i="34"/>
  <c r="EP18" i="34"/>
  <c r="EP16" i="34"/>
  <c r="BV18" i="34"/>
  <c r="FF4" i="34"/>
  <c r="BD28" i="34"/>
  <c r="BP29" i="34"/>
  <c r="CH31" i="34"/>
  <c r="EV29" i="34"/>
  <c r="EJ31" i="34"/>
  <c r="DR15" i="34"/>
  <c r="DF32" i="34"/>
  <c r="EP20" i="34"/>
  <c r="FF7" i="34"/>
  <c r="CL19" i="34"/>
  <c r="BP27" i="34"/>
  <c r="EP27" i="34"/>
  <c r="CH27" i="34"/>
  <c r="ED27" i="34"/>
  <c r="FV19" i="34"/>
  <c r="FV15" i="34"/>
  <c r="DZ5" i="34"/>
  <c r="FF19" i="34"/>
  <c r="FF21" i="34"/>
  <c r="EP33" i="34"/>
  <c r="CB31" i="34"/>
  <c r="CN27" i="34"/>
  <c r="DJ15" i="34"/>
  <c r="B27" i="34"/>
  <c r="B15" i="34"/>
  <c r="B3" i="34"/>
  <c r="B14" i="34"/>
  <c r="B26" i="34"/>
  <c r="B26" i="33"/>
  <c r="B2" i="33"/>
  <c r="B14" i="33"/>
  <c r="B2" i="34"/>
  <c r="BR45" i="1"/>
  <c r="BR42" i="1"/>
  <c r="C24" i="54" s="1"/>
  <c r="BR41" i="1"/>
  <c r="S34" i="35"/>
  <c r="AE26" i="36"/>
  <c r="N28" i="37"/>
  <c r="N34" i="27"/>
  <c r="BI14" i="2"/>
  <c r="BN4" i="2"/>
  <c r="BN60" i="2"/>
  <c r="BI64" i="1" s="1"/>
  <c r="AL357" i="2" l="1"/>
  <c r="AN357" i="2" s="1"/>
  <c r="AL356" i="2"/>
  <c r="BI67" i="2"/>
  <c r="AL355" i="2"/>
  <c r="BI63" i="2"/>
  <c r="BI66" i="2"/>
  <c r="BI68" i="2"/>
  <c r="BI62" i="2"/>
  <c r="BI10" i="2"/>
  <c r="BI11" i="2"/>
  <c r="BI12" i="2"/>
  <c r="BI83" i="2"/>
  <c r="C16" i="3"/>
  <c r="C3" i="54"/>
  <c r="AO7" i="2"/>
  <c r="BI7" i="2" s="1"/>
  <c r="AO6" i="2"/>
  <c r="BI6" i="2" s="1"/>
  <c r="AL4" i="2"/>
  <c r="AN364" i="2"/>
  <c r="AN363" i="2"/>
  <c r="AQ84" i="2"/>
  <c r="BI84" i="2" s="1"/>
  <c r="BF3" i="45"/>
  <c r="C15" i="48"/>
  <c r="C10" i="49"/>
  <c r="C3" i="45"/>
  <c r="D353" i="2"/>
  <c r="AL353" i="2" s="1"/>
  <c r="BN5" i="2"/>
  <c r="C12" i="8"/>
  <c r="C11" i="37"/>
  <c r="C15" i="27"/>
  <c r="C24" i="23"/>
  <c r="C10" i="36"/>
  <c r="C45" i="23"/>
  <c r="C3" i="23"/>
  <c r="C3" i="19"/>
  <c r="C3" i="2"/>
  <c r="BN61" i="2"/>
  <c r="BD70" i="2" l="1"/>
  <c r="BC70" i="2"/>
  <c r="AZ70" i="2"/>
  <c r="AQ70" i="2"/>
  <c r="BB70" i="2"/>
  <c r="BF70" i="2"/>
  <c r="AX70" i="2"/>
  <c r="AW70" i="2"/>
  <c r="AY70" i="2"/>
  <c r="AU70" i="2"/>
  <c r="AV70" i="2"/>
  <c r="AS70" i="2"/>
  <c r="BE70" i="2"/>
  <c r="AT70" i="2"/>
  <c r="BA70" i="2"/>
  <c r="BG70" i="2"/>
  <c r="AR70" i="2"/>
  <c r="BI65" i="1"/>
  <c r="C406" i="2"/>
  <c r="C455" i="2" s="1"/>
  <c r="C408" i="2"/>
  <c r="C457" i="2" s="1"/>
  <c r="C412" i="2"/>
  <c r="C461" i="2" s="1"/>
  <c r="C404" i="2"/>
  <c r="C453" i="2" s="1"/>
  <c r="C409" i="2"/>
  <c r="C458" i="2" s="1"/>
  <c r="C413" i="2"/>
  <c r="C462" i="2" s="1"/>
  <c r="C405" i="2"/>
  <c r="C454" i="2" s="1"/>
  <c r="C410" i="2"/>
  <c r="C459" i="2" s="1"/>
  <c r="C407" i="2"/>
  <c r="C456" i="2" s="1"/>
  <c r="C402" i="2"/>
  <c r="C451" i="2" s="1"/>
  <c r="C403" i="2"/>
  <c r="C452" i="2" s="1"/>
  <c r="C411" i="2"/>
  <c r="C460" i="2" s="1"/>
  <c r="U34" i="27"/>
  <c r="U28" i="37"/>
  <c r="AN355" i="2"/>
  <c r="AN354" i="2"/>
  <c r="AN356" i="2"/>
  <c r="AN353" i="2"/>
  <c r="AK323" i="2"/>
  <c r="AK326" i="2" s="1"/>
  <c r="AK302" i="2"/>
  <c r="AK305" i="2" s="1"/>
  <c r="BN62" i="2"/>
  <c r="BN6" i="2"/>
  <c r="AN360" i="2"/>
  <c r="AN361" i="2"/>
  <c r="AN358" i="2"/>
  <c r="AN359" i="2"/>
  <c r="AB17" i="8"/>
  <c r="AD17" i="8"/>
  <c r="AE15" i="8"/>
  <c r="AD15" i="8"/>
  <c r="AB14" i="8"/>
  <c r="AC17" i="8"/>
  <c r="AC15" i="8"/>
  <c r="AD13" i="8"/>
  <c r="AB19" i="8"/>
  <c r="AB15" i="8"/>
  <c r="AC13" i="8"/>
  <c r="AB13" i="8"/>
  <c r="AE13" i="8"/>
  <c r="AK43" i="2"/>
  <c r="BI66" i="1" l="1"/>
  <c r="L49" i="2" a="1"/>
  <c r="L49" i="2" s="1"/>
  <c r="AN365" i="2"/>
  <c r="AN366" i="2" s="1"/>
  <c r="BN7" i="2"/>
  <c r="O44" i="2" s="1" a="1"/>
  <c r="O44" i="2" s="1"/>
  <c r="BN63" i="2"/>
  <c r="BI67" i="1" l="1"/>
  <c r="P49" i="2" a="1"/>
  <c r="P49" i="2" s="1"/>
  <c r="O49" i="2" a="1"/>
  <c r="O49" i="2" s="1"/>
  <c r="BE14" i="2"/>
  <c r="AZ14" i="2"/>
  <c r="AS14" i="2"/>
  <c r="AY14" i="2"/>
  <c r="BD14" i="2"/>
  <c r="AQ14" i="2"/>
  <c r="AV14" i="2"/>
  <c r="AR14" i="2"/>
  <c r="AT14" i="2"/>
  <c r="BB14" i="2"/>
  <c r="BC14" i="2"/>
  <c r="AX14" i="2"/>
  <c r="BA14" i="2"/>
  <c r="AW14" i="2"/>
  <c r="AU14" i="2"/>
  <c r="BF14" i="2"/>
  <c r="BG14" i="2"/>
  <c r="P47" i="2" a="1"/>
  <c r="P47" i="2" s="1"/>
  <c r="P43" i="2" a="1"/>
  <c r="P43" i="2" s="1"/>
  <c r="M48" i="2" a="1"/>
  <c r="M48" i="2" s="1"/>
  <c r="O48" i="2" a="1"/>
  <c r="O48" i="2" s="1"/>
  <c r="L44" i="2" a="1"/>
  <c r="L44" i="2" s="1"/>
  <c r="O46" i="2" a="1"/>
  <c r="O46" i="2" s="1"/>
  <c r="N46" i="2" a="1"/>
  <c r="N46" i="2" s="1"/>
  <c r="N48" i="2" a="1"/>
  <c r="N48" i="2" s="1"/>
  <c r="M44" i="2" a="1"/>
  <c r="M44" i="2" s="1"/>
  <c r="N44" i="2" a="1"/>
  <c r="N44" i="2" s="1"/>
  <c r="X43" i="2" a="1"/>
  <c r="X43" i="2" s="1"/>
  <c r="Y43" i="2" a="1"/>
  <c r="Y43" i="2" s="1"/>
  <c r="AA48" i="2" a="1"/>
  <c r="AA48" i="2" s="1"/>
  <c r="AC48" i="2" a="1"/>
  <c r="AC48" i="2" s="1"/>
  <c r="AA49" i="2" a="1"/>
  <c r="AA49" i="2" s="1"/>
  <c r="J48" i="2" a="1"/>
  <c r="J48" i="2" s="1"/>
  <c r="V47" i="2" a="1"/>
  <c r="V47" i="2" s="1"/>
  <c r="AD48" i="2" a="1"/>
  <c r="AD48" i="2" s="1"/>
  <c r="S44" i="2" a="1"/>
  <c r="S44" i="2" s="1"/>
  <c r="O47" i="2" a="1"/>
  <c r="O47" i="2" s="1"/>
  <c r="AD47" i="2" a="1"/>
  <c r="AD47" i="2" s="1"/>
  <c r="AA46" i="2" a="1"/>
  <c r="AA46" i="2" s="1"/>
  <c r="AD45" i="2" a="1"/>
  <c r="AD45" i="2" s="1"/>
  <c r="S43" i="2" a="1"/>
  <c r="S43" i="2" s="1"/>
  <c r="Q44" i="2" a="1"/>
  <c r="Q44" i="2" s="1"/>
  <c r="W49" i="2" a="1"/>
  <c r="W49" i="2" s="1"/>
  <c r="H49" i="2" a="1"/>
  <c r="H49" i="2" s="1"/>
  <c r="Z49" i="2" a="1"/>
  <c r="Z49" i="2" s="1"/>
  <c r="X49" i="2" a="1"/>
  <c r="X49" i="2" s="1"/>
  <c r="K49" i="2" a="1"/>
  <c r="K49" i="2" s="1"/>
  <c r="U46" i="2" a="1"/>
  <c r="U46" i="2" s="1"/>
  <c r="Y49" i="2" a="1"/>
  <c r="Y49" i="2" s="1"/>
  <c r="Q48" i="2" a="1"/>
  <c r="Q48" i="2" s="1"/>
  <c r="W44" i="2" a="1"/>
  <c r="W44" i="2" s="1"/>
  <c r="R48" i="2" a="1"/>
  <c r="R48" i="2" s="1"/>
  <c r="AB47" i="2" a="1"/>
  <c r="AB47" i="2" s="1"/>
  <c r="Q49" i="2" a="1"/>
  <c r="Q49" i="2" s="1"/>
  <c r="AD49" i="2" a="1"/>
  <c r="AD49" i="2" s="1"/>
  <c r="X46" i="2" a="1"/>
  <c r="X46" i="2" s="1"/>
  <c r="AA47" i="2" a="1"/>
  <c r="AA47" i="2" s="1"/>
  <c r="AB45" i="2" a="1"/>
  <c r="AB45" i="2" s="1"/>
  <c r="G49" i="2" a="1"/>
  <c r="G49" i="2" s="1"/>
  <c r="X47" i="2" a="1"/>
  <c r="X47" i="2" s="1"/>
  <c r="Z43" i="2" a="1"/>
  <c r="Z43" i="2" s="1"/>
  <c r="AC46" i="2" a="1"/>
  <c r="AC46" i="2" s="1"/>
  <c r="AA43" i="2" a="1"/>
  <c r="AA43" i="2" s="1"/>
  <c r="AB46" i="2" a="1"/>
  <c r="AB46" i="2" s="1"/>
  <c r="O43" i="2" a="1"/>
  <c r="O43" i="2" s="1"/>
  <c r="T47" i="2" a="1"/>
  <c r="T47" i="2" s="1"/>
  <c r="S46" i="2" a="1"/>
  <c r="S46" i="2" s="1"/>
  <c r="U49" i="2" a="1"/>
  <c r="U49" i="2" s="1"/>
  <c r="S49" i="2" a="1"/>
  <c r="S49" i="2" s="1"/>
  <c r="W47" i="2" a="1"/>
  <c r="W47" i="2" s="1"/>
  <c r="W43" i="2" a="1"/>
  <c r="W43" i="2" s="1"/>
  <c r="C49" i="2" a="1"/>
  <c r="C49" i="2" s="1"/>
  <c r="AB44" i="2" a="1"/>
  <c r="AB44" i="2" s="1"/>
  <c r="AB48" i="2" a="1"/>
  <c r="AB48" i="2" s="1"/>
  <c r="O45" i="2" a="1"/>
  <c r="O45" i="2" s="1"/>
  <c r="E49" i="2" a="1"/>
  <c r="E49" i="2" s="1"/>
  <c r="Z44" i="2" a="1"/>
  <c r="Z44" i="2" s="1"/>
  <c r="Z45" i="2" a="1"/>
  <c r="Z45" i="2" s="1"/>
  <c r="Z46" i="2" a="1"/>
  <c r="Z46" i="2" s="1"/>
  <c r="X44" i="2" a="1"/>
  <c r="X44" i="2" s="1"/>
  <c r="T48" i="2" a="1"/>
  <c r="T48" i="2" s="1"/>
  <c r="U45" i="2" a="1"/>
  <c r="U45" i="2" s="1"/>
  <c r="U44" i="2" a="1"/>
  <c r="U44" i="2" s="1"/>
  <c r="AC44" i="2" a="1"/>
  <c r="AC44" i="2" s="1"/>
  <c r="AF43" i="2" a="1"/>
  <c r="AF43" i="2" s="1"/>
  <c r="D49" i="2" a="1"/>
  <c r="D49" i="2" s="1"/>
  <c r="AG47" i="2" a="1"/>
  <c r="AG47" i="2" s="1"/>
  <c r="AC45" i="2" a="1"/>
  <c r="AC45" i="2" s="1"/>
  <c r="Y47" i="2" a="1"/>
  <c r="Y47" i="2" s="1"/>
  <c r="Z47" i="2" a="1"/>
  <c r="Z47" i="2" s="1"/>
  <c r="V45" i="2" a="1"/>
  <c r="V45" i="2" s="1"/>
  <c r="AF47" i="2" a="1"/>
  <c r="AF47" i="2" s="1"/>
  <c r="AC47" i="2" a="1"/>
  <c r="AC47" i="2" s="1"/>
  <c r="V43" i="2" a="1"/>
  <c r="V43" i="2" s="1"/>
  <c r="Y46" i="2" a="1"/>
  <c r="Y46" i="2" s="1"/>
  <c r="V49" i="2" a="1"/>
  <c r="V49" i="2" s="1"/>
  <c r="Y45" i="2" a="1"/>
  <c r="Y45" i="2" s="1"/>
  <c r="AC49" i="2" a="1"/>
  <c r="AC49" i="2" s="1"/>
  <c r="V44" i="2" a="1"/>
  <c r="V44" i="2" s="1"/>
  <c r="AE45" i="2" a="1"/>
  <c r="AE45" i="2" s="1"/>
  <c r="R46" i="2" a="1"/>
  <c r="R46" i="2" s="1"/>
  <c r="AB43" i="2" a="1"/>
  <c r="AB43" i="2" s="1"/>
  <c r="V46" i="2" a="1"/>
  <c r="V46" i="2" s="1"/>
  <c r="W46" i="2" a="1"/>
  <c r="W46" i="2" s="1"/>
  <c r="AD46" i="2" a="1"/>
  <c r="AD46" i="2" s="1"/>
  <c r="Y44" i="2" a="1"/>
  <c r="Y44" i="2" s="1"/>
  <c r="U48" i="2" a="1"/>
  <c r="U48" i="2" s="1"/>
  <c r="AC43" i="2" a="1"/>
  <c r="AC43" i="2" s="1"/>
  <c r="T49" i="2" a="1"/>
  <c r="T49" i="2" s="1"/>
  <c r="S48" i="2" a="1"/>
  <c r="S48" i="2" s="1"/>
  <c r="U43" i="2" a="1"/>
  <c r="U43" i="2" s="1"/>
  <c r="S45" i="2" a="1"/>
  <c r="S45" i="2" s="1"/>
  <c r="Z48" i="2" a="1"/>
  <c r="Z48" i="2" s="1"/>
  <c r="W48" i="2" a="1"/>
  <c r="W48" i="2" s="1"/>
  <c r="X45" i="2" a="1"/>
  <c r="X45" i="2" s="1"/>
  <c r="T45" i="2" a="1"/>
  <c r="T45" i="2" s="1"/>
  <c r="AE47" i="2" a="1"/>
  <c r="AE47" i="2" s="1"/>
  <c r="Y48" i="2" a="1"/>
  <c r="Y48" i="2" s="1"/>
  <c r="J49" i="2" a="1"/>
  <c r="J49" i="2" s="1"/>
  <c r="T43" i="2" a="1"/>
  <c r="T43" i="2" s="1"/>
  <c r="R49" i="2" a="1"/>
  <c r="R49" i="2" s="1"/>
  <c r="Q46" i="2" a="1"/>
  <c r="Q46" i="2" s="1"/>
  <c r="T44" i="2" a="1"/>
  <c r="T44" i="2" s="1"/>
  <c r="V48" i="2" a="1"/>
  <c r="V48" i="2" s="1"/>
  <c r="X48" i="2" a="1"/>
  <c r="X48" i="2" s="1"/>
  <c r="AF45" i="2" a="1"/>
  <c r="AF45" i="2" s="1"/>
  <c r="U47" i="2" a="1"/>
  <c r="U47" i="2" s="1"/>
  <c r="F49" i="2" a="1"/>
  <c r="F49" i="2" s="1"/>
  <c r="S47" i="2" a="1"/>
  <c r="S47" i="2" s="1"/>
  <c r="AA44" i="2" a="1"/>
  <c r="AA44" i="2" s="1"/>
  <c r="T46" i="2" a="1"/>
  <c r="T46" i="2" s="1"/>
  <c r="R44" i="2" a="1"/>
  <c r="R44" i="2" s="1"/>
  <c r="AA45" i="2" a="1"/>
  <c r="AA45" i="2" s="1"/>
  <c r="I49" i="2" a="1"/>
  <c r="I49" i="2" s="1"/>
  <c r="AE43" i="2" a="1"/>
  <c r="AE43" i="2" s="1"/>
  <c r="W45" i="2" a="1"/>
  <c r="W45" i="2" s="1"/>
  <c r="AD43" i="2" a="1"/>
  <c r="AD43" i="2" s="1"/>
  <c r="AB49" i="2" a="1"/>
  <c r="AB49" i="2" s="1"/>
  <c r="P46" i="2" a="1"/>
  <c r="P46" i="2" s="1"/>
  <c r="J45" i="2" a="1"/>
  <c r="J45" i="2" s="1"/>
  <c r="R43" i="2" a="1"/>
  <c r="R43" i="2" s="1"/>
  <c r="J47" i="2" a="1"/>
  <c r="J47" i="2" s="1"/>
  <c r="N43" i="2" a="1"/>
  <c r="N43" i="2" s="1"/>
  <c r="I48" i="2" a="1"/>
  <c r="I48" i="2" s="1"/>
  <c r="G44" i="2" a="1"/>
  <c r="G44" i="2" s="1"/>
  <c r="R45" i="2" a="1"/>
  <c r="R45" i="2" s="1"/>
  <c r="M43" i="2" a="1"/>
  <c r="M43" i="2" s="1"/>
  <c r="N45" i="2" a="1"/>
  <c r="N45" i="2" s="1"/>
  <c r="I44" i="2" a="1"/>
  <c r="I44" i="2" s="1"/>
  <c r="Q43" i="2" a="1"/>
  <c r="Q43" i="2" s="1"/>
  <c r="P48" i="2" a="1"/>
  <c r="P48" i="2" s="1"/>
  <c r="H44" i="2" a="1"/>
  <c r="H44" i="2" s="1"/>
  <c r="Q45" i="2" a="1"/>
  <c r="Q45" i="2" s="1"/>
  <c r="J46" i="2" a="1"/>
  <c r="J46" i="2" s="1"/>
  <c r="P44" i="2" a="1"/>
  <c r="P44" i="2" s="1"/>
  <c r="J44" i="2" a="1"/>
  <c r="J44" i="2" s="1"/>
  <c r="H48" i="2" a="1"/>
  <c r="H48" i="2" s="1"/>
  <c r="R47" i="2" a="1"/>
  <c r="R47" i="2" s="1"/>
  <c r="J43" i="2" a="1"/>
  <c r="J43" i="2" s="1"/>
  <c r="N47" i="2" a="1"/>
  <c r="N47" i="2" s="1"/>
  <c r="Q47" i="2" a="1"/>
  <c r="Q47" i="2" s="1"/>
  <c r="P45" i="2" a="1"/>
  <c r="P45" i="2" s="1"/>
  <c r="D46" i="2" a="1"/>
  <c r="D46" i="2" s="1"/>
  <c r="F236" i="23"/>
  <c r="L43" i="2" a="1"/>
  <c r="L43" i="2" s="1"/>
  <c r="M45" i="2" a="1"/>
  <c r="M45" i="2" s="1"/>
  <c r="I45" i="2" a="1"/>
  <c r="I45" i="2" s="1"/>
  <c r="I47" i="2" a="1"/>
  <c r="I47" i="2" s="1"/>
  <c r="G48" i="2" a="1"/>
  <c r="G48" i="2" s="1"/>
  <c r="M47" i="2" a="1"/>
  <c r="M47" i="2" s="1"/>
  <c r="L48" i="2" a="1"/>
  <c r="L48" i="2" s="1"/>
  <c r="E48" i="2" a="1"/>
  <c r="E48" i="2" s="1"/>
  <c r="H46" i="2" a="1"/>
  <c r="H46" i="2" s="1"/>
  <c r="M46" i="2" a="1"/>
  <c r="M46" i="2" s="1"/>
  <c r="L46" i="2" a="1"/>
  <c r="L46" i="2" s="1"/>
  <c r="K46" i="2" a="1"/>
  <c r="K46" i="2" s="1"/>
  <c r="I46" i="2" a="1"/>
  <c r="I46" i="2" s="1"/>
  <c r="F43" i="2" a="1"/>
  <c r="F43" i="2" s="1"/>
  <c r="L47" i="2" a="1"/>
  <c r="L47" i="2" s="1"/>
  <c r="L45" i="2" a="1"/>
  <c r="L45" i="2" s="1"/>
  <c r="C47" i="2" a="1"/>
  <c r="C47" i="2" s="1"/>
  <c r="D45" i="2" a="1"/>
  <c r="D45" i="2" s="1"/>
  <c r="F47" i="2" a="1"/>
  <c r="F47" i="2" s="1"/>
  <c r="E46" i="2" a="1"/>
  <c r="E46" i="2" s="1"/>
  <c r="D47" i="2" a="1"/>
  <c r="D47" i="2" s="1"/>
  <c r="F46" i="2" a="1"/>
  <c r="F46" i="2" s="1"/>
  <c r="E45" i="2" a="1"/>
  <c r="E45" i="2" s="1"/>
  <c r="K44" i="2" a="1"/>
  <c r="K44" i="2" s="1"/>
  <c r="K45" i="2" a="1"/>
  <c r="K45" i="2" s="1"/>
  <c r="E44" i="2" a="1"/>
  <c r="E44" i="2" s="1"/>
  <c r="C48" i="2" a="1"/>
  <c r="C48" i="2" s="1"/>
  <c r="G43" i="2" a="1"/>
  <c r="G43" i="2" s="1"/>
  <c r="G45" i="2" a="1"/>
  <c r="G45" i="2" s="1"/>
  <c r="F48" i="2" a="1"/>
  <c r="F48" i="2" s="1"/>
  <c r="C43" i="2" a="1"/>
  <c r="C43" i="2" s="1"/>
  <c r="K48" i="2" a="1"/>
  <c r="K48" i="2" s="1"/>
  <c r="I43" i="2" a="1"/>
  <c r="I43" i="2" s="1"/>
  <c r="G47" i="2" a="1"/>
  <c r="G47" i="2" s="1"/>
  <c r="D44" i="2" a="1"/>
  <c r="D44" i="2" s="1"/>
  <c r="H47" i="2" a="1"/>
  <c r="H47" i="2" s="1"/>
  <c r="F45" i="2" a="1"/>
  <c r="F45" i="2" s="1"/>
  <c r="K47" i="2" a="1"/>
  <c r="K47" i="2" s="1"/>
  <c r="E47" i="2" a="1"/>
  <c r="E47" i="2" s="1"/>
  <c r="K43" i="2" a="1"/>
  <c r="K43" i="2" s="1"/>
  <c r="C45" i="2" a="1"/>
  <c r="C45" i="2" s="1"/>
  <c r="G46" i="2" a="1"/>
  <c r="G46" i="2" s="1"/>
  <c r="H43" i="2" a="1"/>
  <c r="H43" i="2" s="1"/>
  <c r="C44" i="2" a="1"/>
  <c r="C44" i="2" s="1"/>
  <c r="E43" i="2" a="1"/>
  <c r="E43" i="2" s="1"/>
  <c r="D48" i="2" a="1"/>
  <c r="D48" i="2" s="1"/>
  <c r="C46" i="2" a="1"/>
  <c r="C46" i="2" s="1"/>
  <c r="F44" i="2" a="1"/>
  <c r="F44" i="2" s="1"/>
  <c r="D43" i="2" a="1"/>
  <c r="D43" i="2" s="1"/>
  <c r="H45" i="2" a="1"/>
  <c r="H45" i="2" s="1"/>
  <c r="AP3" i="2" l="1"/>
  <c r="AU3" i="2" a="1"/>
  <c r="AU3" i="2" s="1"/>
  <c r="AW3" i="2" a="1"/>
  <c r="AW3" i="2" s="1"/>
  <c r="AT3" i="2" a="1"/>
  <c r="AT3" i="2" s="1"/>
  <c r="AS3" i="2" a="1"/>
  <c r="AS3" i="2" s="1"/>
  <c r="AX3" i="2"/>
  <c r="AV3" i="2" a="1"/>
  <c r="AV3" i="2" s="1"/>
  <c r="AR3" i="2" a="1"/>
  <c r="AR3" i="2" s="1"/>
  <c r="AQ3" i="2" a="1"/>
  <c r="AQ3" i="2" s="1"/>
  <c r="AQ18" i="2"/>
  <c r="AQ19" i="2"/>
  <c r="BG9" i="2"/>
  <c r="BC9" i="2"/>
  <c r="BF8" i="2"/>
  <c r="BB8" i="2"/>
  <c r="BG5" i="2"/>
  <c r="BC5" i="2"/>
  <c r="BF4" i="2"/>
  <c r="BB4" i="2"/>
  <c r="BE3" i="2"/>
  <c r="BA3" i="2"/>
  <c r="BD2" i="2"/>
  <c r="BD9" i="2"/>
  <c r="BC8" i="2"/>
  <c r="BG4" i="2"/>
  <c r="BF3" i="2"/>
  <c r="BA2" i="2"/>
  <c r="BF9" i="2"/>
  <c r="BB9" i="2"/>
  <c r="BE8" i="2"/>
  <c r="BA8" i="2"/>
  <c r="BF5" i="2"/>
  <c r="BB5" i="2"/>
  <c r="BE4" i="2"/>
  <c r="BA4" i="2"/>
  <c r="BD3" i="2"/>
  <c r="BG2" i="2"/>
  <c r="BC2" i="2"/>
  <c r="BD5" i="2"/>
  <c r="BB3" i="2"/>
  <c r="BE9" i="2"/>
  <c r="BA9" i="2"/>
  <c r="BD8" i="2"/>
  <c r="BE5" i="2"/>
  <c r="BA5" i="2"/>
  <c r="BD4" i="2"/>
  <c r="BG3" i="2"/>
  <c r="BC3" i="2"/>
  <c r="BF2" i="2"/>
  <c r="BB2" i="2"/>
  <c r="BG8" i="2"/>
  <c r="BC4" i="2"/>
  <c r="BE2" i="2"/>
  <c r="AZ2" i="2"/>
  <c r="AW9" i="2"/>
  <c r="AS8" i="2"/>
  <c r="AQ5" i="2"/>
  <c r="AT2" i="2"/>
  <c r="AR9" i="2"/>
  <c r="AX5" i="2"/>
  <c r="AU4" i="2"/>
  <c r="AY9" i="2"/>
  <c r="AU8" i="2"/>
  <c r="AO5" i="2"/>
  <c r="AY3" i="2"/>
  <c r="AP8" i="2"/>
  <c r="AT8" i="2"/>
  <c r="AO8" i="2"/>
  <c r="AZ4" i="2"/>
  <c r="AZ8" i="2"/>
  <c r="AQ4" i="2"/>
  <c r="AW2" i="2"/>
  <c r="AQ8" i="2"/>
  <c r="AO4" i="2"/>
  <c r="AS4" i="2"/>
  <c r="AZ5" i="2"/>
  <c r="AX2" i="2"/>
  <c r="AY4" i="2"/>
  <c r="AO2" i="2"/>
  <c r="AU2" i="2"/>
  <c r="AS9" i="2"/>
  <c r="AP2" i="2"/>
  <c r="AT5" i="2"/>
  <c r="AU9" i="2"/>
  <c r="AX4" i="2"/>
  <c r="AP9" i="2"/>
  <c r="AT9" i="2"/>
  <c r="AX9" i="2"/>
  <c r="AR2" i="2"/>
  <c r="AR4" i="2"/>
  <c r="AV9" i="2"/>
  <c r="AP4" i="2"/>
  <c r="AV2" i="2"/>
  <c r="AX8" i="2"/>
  <c r="AW4" i="2"/>
  <c r="AO9" i="2"/>
  <c r="AY5" i="2"/>
  <c r="AV4" i="2"/>
  <c r="AO3" i="2"/>
  <c r="AZ9" i="2"/>
  <c r="AV8" i="2"/>
  <c r="AP5" i="2"/>
  <c r="AZ3" i="2"/>
  <c r="AS2" i="2"/>
  <c r="AQ9" i="2"/>
  <c r="AW5" i="2"/>
  <c r="AT4" i="2"/>
  <c r="AR5" i="2"/>
  <c r="AQ2" i="2"/>
  <c r="AV5" i="2"/>
  <c r="AW8" i="2"/>
  <c r="AR8" i="2"/>
  <c r="AY8" i="2"/>
  <c r="AY2" i="2"/>
  <c r="AU5" i="2"/>
  <c r="AS5" i="2"/>
  <c r="AE55" i="35"/>
  <c r="C52" i="3" l="1"/>
  <c r="AE52" i="3" s="1"/>
  <c r="C53" i="3"/>
  <c r="AE53" i="3" s="1"/>
  <c r="C55" i="3"/>
  <c r="AE55" i="3" s="1"/>
  <c r="C56" i="3"/>
  <c r="AE56" i="3" s="1"/>
  <c r="C57" i="3"/>
  <c r="C50" i="3"/>
  <c r="C58" i="3"/>
  <c r="C59" i="3"/>
  <c r="AE59" i="3" s="1"/>
  <c r="C60" i="3"/>
  <c r="C49" i="3"/>
  <c r="C54" i="3"/>
  <c r="AE54" i="3" s="1"/>
  <c r="BI2" i="2"/>
  <c r="BI4" i="2"/>
  <c r="BI8" i="2"/>
  <c r="BI3" i="2"/>
  <c r="BI5" i="2"/>
  <c r="BI9" i="2"/>
  <c r="BF76" i="2"/>
  <c r="BG76" i="2"/>
  <c r="BE13" i="2"/>
  <c r="BE15" i="2" s="1"/>
  <c r="BE76" i="2"/>
  <c r="BA76" i="2"/>
  <c r="BB76" i="2"/>
  <c r="BC76" i="2"/>
  <c r="BD76" i="2"/>
  <c r="BA13" i="2"/>
  <c r="BA15" i="2" s="1"/>
  <c r="BC13" i="2"/>
  <c r="BC15" i="2" s="1"/>
  <c r="BD13" i="2"/>
  <c r="BD15" i="2" s="1"/>
  <c r="BG13" i="2"/>
  <c r="BG15" i="2" s="1"/>
  <c r="BB13" i="2"/>
  <c r="BB15" i="2" s="1"/>
  <c r="BF13" i="2"/>
  <c r="BF15" i="2" s="1"/>
  <c r="C44" i="36"/>
  <c r="C43" i="36"/>
  <c r="C42" i="36"/>
  <c r="C41" i="36"/>
  <c r="C45" i="36"/>
  <c r="BJ67" i="1"/>
  <c r="AE60" i="3" l="1"/>
  <c r="AE57" i="3"/>
  <c r="AE58" i="3"/>
  <c r="AX76" i="2"/>
  <c r="AS76" i="2"/>
  <c r="AY76" i="2"/>
  <c r="AT76" i="2"/>
  <c r="AU76" i="2"/>
  <c r="AV76" i="2"/>
  <c r="AQ76" i="2"/>
  <c r="AZ76" i="2"/>
  <c r="AR76" i="2"/>
  <c r="AE49" i="3"/>
  <c r="AW76" i="2"/>
  <c r="S33" i="8"/>
  <c r="W33" i="8" s="1"/>
  <c r="R28" i="37"/>
  <c r="R34" i="27"/>
  <c r="X34" i="27"/>
  <c r="X28" i="37"/>
  <c r="AP13" i="2"/>
  <c r="AP15" i="2" s="1"/>
  <c r="AY78" i="2"/>
  <c r="AY13" i="2"/>
  <c r="AY15" i="2" s="1"/>
  <c r="AW78" i="2"/>
  <c r="AW13" i="2"/>
  <c r="AW15" i="2" s="1"/>
  <c r="AX78" i="2"/>
  <c r="AX13" i="2"/>
  <c r="AX15" i="2" s="1"/>
  <c r="AR78" i="2"/>
  <c r="AR13" i="2"/>
  <c r="AR15" i="2" s="1"/>
  <c r="AV78" i="2"/>
  <c r="AV13" i="2"/>
  <c r="AV15" i="2" s="1"/>
  <c r="AQ78" i="2"/>
  <c r="AQ13" i="2"/>
  <c r="AQ15" i="2" s="1"/>
  <c r="AT78" i="2"/>
  <c r="AT13" i="2"/>
  <c r="AT15" i="2" s="1"/>
  <c r="AS78" i="2"/>
  <c r="AS13" i="2"/>
  <c r="AS15" i="2" s="1"/>
  <c r="AU78" i="2"/>
  <c r="AU13" i="2"/>
  <c r="AU15" i="2" s="1"/>
  <c r="AZ78" i="2"/>
  <c r="AZ13" i="2"/>
  <c r="AZ15" i="2" s="1"/>
  <c r="BI76" i="2" l="1"/>
  <c r="BI78" i="2"/>
  <c r="D28" i="37"/>
  <c r="D34" i="27"/>
  <c r="H26" i="36"/>
  <c r="AE50" i="3"/>
  <c r="D34" i="35"/>
  <c r="Y33" i="8"/>
  <c r="R32" i="1" s="1"/>
  <c r="U33" i="8"/>
  <c r="AO13" i="2"/>
  <c r="AO15" i="2" l="1"/>
  <c r="S31" i="8"/>
  <c r="W31" i="8" s="1"/>
  <c r="Y31" i="8" s="1"/>
  <c r="A28" i="37"/>
  <c r="A34" i="27"/>
  <c r="D26" i="36"/>
  <c r="A34" i="35"/>
  <c r="BI13" i="2"/>
  <c r="BI15" i="2" s="1"/>
  <c r="U31" i="8" l="1"/>
  <c r="BS44" i="1" l="1"/>
  <c r="H26" i="34" l="1"/>
  <c r="BT44" i="1"/>
  <c r="BU44" i="1" s="1"/>
  <c r="BV44" i="1" s="1"/>
  <c r="BW44" i="1" s="1"/>
  <c r="BX44" i="1" s="1"/>
  <c r="R2" i="34"/>
  <c r="R2" i="33"/>
  <c r="J14" i="33"/>
  <c r="BS42" i="1"/>
  <c r="D24" i="54" s="1"/>
  <c r="BS41" i="1"/>
  <c r="BS45" i="1"/>
  <c r="J14" i="34"/>
  <c r="H26" i="33"/>
  <c r="D16" i="3" l="1"/>
  <c r="D3" i="54"/>
  <c r="D3" i="2"/>
  <c r="D10" i="49"/>
  <c r="D15" i="48"/>
  <c r="D3" i="45"/>
  <c r="BG3" i="45"/>
  <c r="BY44" i="1"/>
  <c r="BZ44" i="1" s="1"/>
  <c r="BX42" i="1"/>
  <c r="I24" i="54" s="1"/>
  <c r="AX14" i="34"/>
  <c r="CT2" i="34"/>
  <c r="BX45" i="1"/>
  <c r="CT2" i="33"/>
  <c r="AL26" i="33"/>
  <c r="AL26" i="34"/>
  <c r="BX41" i="1"/>
  <c r="AX14" i="33"/>
  <c r="BW42" i="1"/>
  <c r="H24" i="54" s="1"/>
  <c r="AP14" i="34"/>
  <c r="CD2" i="33"/>
  <c r="CD2" i="34"/>
  <c r="AP14" i="33"/>
  <c r="BW41" i="1"/>
  <c r="AF26" i="34"/>
  <c r="BW45" i="1"/>
  <c r="AF26" i="33"/>
  <c r="BV42" i="1"/>
  <c r="G24" i="54" s="1"/>
  <c r="BV41" i="1"/>
  <c r="BN2" i="34"/>
  <c r="BN2" i="33"/>
  <c r="AH14" i="34"/>
  <c r="Z26" i="34"/>
  <c r="Z26" i="33"/>
  <c r="BV45" i="1"/>
  <c r="AH14" i="33"/>
  <c r="BU42" i="1"/>
  <c r="F24" i="54" s="1"/>
  <c r="Z14" i="34"/>
  <c r="T26" i="33"/>
  <c r="T26" i="34"/>
  <c r="BU41" i="1"/>
  <c r="BU45" i="1"/>
  <c r="Z14" i="33"/>
  <c r="AX2" i="34"/>
  <c r="AX2" i="33"/>
  <c r="BT42" i="1"/>
  <c r="E24" i="54" s="1"/>
  <c r="AH2" i="33"/>
  <c r="AH2" i="34"/>
  <c r="BT45" i="1"/>
  <c r="R14" i="34"/>
  <c r="N26" i="34"/>
  <c r="BT41" i="1"/>
  <c r="R14" i="33"/>
  <c r="N26" i="33"/>
  <c r="D12" i="8"/>
  <c r="D45" i="23"/>
  <c r="D3" i="23"/>
  <c r="D24" i="23"/>
  <c r="D15" i="27"/>
  <c r="D3" i="19"/>
  <c r="D11" i="37"/>
  <c r="D10" i="36"/>
  <c r="D403" i="2" l="1"/>
  <c r="D452" i="2" s="1"/>
  <c r="D405" i="2"/>
  <c r="D454" i="2" s="1"/>
  <c r="D407" i="2"/>
  <c r="D456" i="2" s="1"/>
  <c r="D411" i="2"/>
  <c r="D460" i="2" s="1"/>
  <c r="D408" i="2"/>
  <c r="D457" i="2" s="1"/>
  <c r="D412" i="2"/>
  <c r="D461" i="2" s="1"/>
  <c r="D404" i="2"/>
  <c r="D453" i="2" s="1"/>
  <c r="D409" i="2"/>
  <c r="D458" i="2" s="1"/>
  <c r="D406" i="2"/>
  <c r="D455" i="2" s="1"/>
  <c r="D413" i="2"/>
  <c r="D462" i="2" s="1"/>
  <c r="D410" i="2"/>
  <c r="D459" i="2" s="1"/>
  <c r="D402" i="2"/>
  <c r="D451" i="2" s="1"/>
  <c r="F16" i="3"/>
  <c r="F3" i="54"/>
  <c r="G16" i="3"/>
  <c r="G3" i="54"/>
  <c r="H16" i="3"/>
  <c r="H3" i="54"/>
  <c r="E16" i="3"/>
  <c r="E3" i="54"/>
  <c r="I16" i="3"/>
  <c r="I3" i="54"/>
  <c r="E3" i="2"/>
  <c r="I3" i="2"/>
  <c r="F3" i="2"/>
  <c r="G3" i="2"/>
  <c r="H3" i="2"/>
  <c r="H10" i="49"/>
  <c r="H15" i="48"/>
  <c r="E15" i="48"/>
  <c r="E10" i="49"/>
  <c r="I10" i="49"/>
  <c r="I15" i="48"/>
  <c r="G15" i="48"/>
  <c r="G10" i="49"/>
  <c r="F15" i="48"/>
  <c r="F10" i="49"/>
  <c r="E3" i="45"/>
  <c r="BH3" i="45"/>
  <c r="F3" i="45"/>
  <c r="BI3" i="45"/>
  <c r="G3" i="45"/>
  <c r="BJ3" i="45"/>
  <c r="I3" i="45"/>
  <c r="BL3" i="45"/>
  <c r="H3" i="45"/>
  <c r="BK3" i="45"/>
  <c r="BZ42" i="1"/>
  <c r="K24" i="54" s="1"/>
  <c r="BN14" i="33"/>
  <c r="DZ2" i="34"/>
  <c r="AX26" i="33"/>
  <c r="BN14" i="34"/>
  <c r="BZ45" i="1"/>
  <c r="DZ2" i="33"/>
  <c r="AX26" i="34"/>
  <c r="BZ41" i="1"/>
  <c r="CA44" i="1"/>
  <c r="BY42" i="1"/>
  <c r="J24" i="54" s="1"/>
  <c r="BY45" i="1"/>
  <c r="AR26" i="34"/>
  <c r="BY41" i="1"/>
  <c r="DJ2" i="33"/>
  <c r="AR26" i="33"/>
  <c r="BF14" i="34"/>
  <c r="DJ2" i="34"/>
  <c r="BF14" i="33"/>
  <c r="I15" i="27"/>
  <c r="I3" i="19"/>
  <c r="I10" i="36"/>
  <c r="I12" i="8"/>
  <c r="I3" i="23"/>
  <c r="I24" i="23"/>
  <c r="I45" i="23"/>
  <c r="I11" i="37"/>
  <c r="H11" i="37"/>
  <c r="H3" i="23"/>
  <c r="H3" i="19"/>
  <c r="H12" i="8"/>
  <c r="H24" i="23"/>
  <c r="H10" i="36"/>
  <c r="H45" i="23"/>
  <c r="H15" i="27"/>
  <c r="G10" i="36"/>
  <c r="G15" i="27"/>
  <c r="G12" i="8"/>
  <c r="G24" i="23"/>
  <c r="G45" i="23"/>
  <c r="G3" i="23"/>
  <c r="G3" i="19"/>
  <c r="G11" i="37"/>
  <c r="F24" i="23"/>
  <c r="F45" i="23"/>
  <c r="F3" i="19"/>
  <c r="F15" i="27"/>
  <c r="F12" i="8"/>
  <c r="F10" i="36"/>
  <c r="F11" i="37"/>
  <c r="F3" i="23"/>
  <c r="E12" i="8"/>
  <c r="E3" i="19"/>
  <c r="E10" i="36"/>
  <c r="E24" i="23"/>
  <c r="E3" i="23"/>
  <c r="E11" i="37"/>
  <c r="E15" i="27"/>
  <c r="E45" i="23"/>
  <c r="I404" i="2" l="1"/>
  <c r="I453" i="2" s="1"/>
  <c r="I406" i="2"/>
  <c r="I455" i="2" s="1"/>
  <c r="I410" i="2"/>
  <c r="I459" i="2" s="1"/>
  <c r="I402" i="2"/>
  <c r="I451" i="2" s="1"/>
  <c r="I403" i="2"/>
  <c r="I452" i="2" s="1"/>
  <c r="I407" i="2"/>
  <c r="I456" i="2" s="1"/>
  <c r="I411" i="2"/>
  <c r="I460" i="2" s="1"/>
  <c r="I405" i="2"/>
  <c r="I454" i="2" s="1"/>
  <c r="I408" i="2"/>
  <c r="I457" i="2" s="1"/>
  <c r="I412" i="2"/>
  <c r="I461" i="2" s="1"/>
  <c r="I413" i="2"/>
  <c r="I462" i="2" s="1"/>
  <c r="I409" i="2"/>
  <c r="I458" i="2" s="1"/>
  <c r="H403" i="2"/>
  <c r="H452" i="2" s="1"/>
  <c r="H405" i="2"/>
  <c r="H454" i="2" s="1"/>
  <c r="H407" i="2"/>
  <c r="H456" i="2" s="1"/>
  <c r="H411" i="2"/>
  <c r="H460" i="2" s="1"/>
  <c r="H404" i="2"/>
  <c r="H453" i="2" s="1"/>
  <c r="H408" i="2"/>
  <c r="H457" i="2" s="1"/>
  <c r="H412" i="2"/>
  <c r="H461" i="2" s="1"/>
  <c r="H409" i="2"/>
  <c r="H458" i="2" s="1"/>
  <c r="H406" i="2"/>
  <c r="H455" i="2" s="1"/>
  <c r="H410" i="2"/>
  <c r="H459" i="2" s="1"/>
  <c r="H413" i="2"/>
  <c r="H462" i="2" s="1"/>
  <c r="H402" i="2"/>
  <c r="H451" i="2" s="1"/>
  <c r="E403" i="2"/>
  <c r="E452" i="2" s="1"/>
  <c r="E404" i="2"/>
  <c r="E453" i="2" s="1"/>
  <c r="E406" i="2"/>
  <c r="E455" i="2" s="1"/>
  <c r="E410" i="2"/>
  <c r="E459" i="2" s="1"/>
  <c r="E402" i="2"/>
  <c r="E451" i="2" s="1"/>
  <c r="E407" i="2"/>
  <c r="E456" i="2" s="1"/>
  <c r="E411" i="2"/>
  <c r="E460" i="2" s="1"/>
  <c r="E408" i="2"/>
  <c r="E457" i="2" s="1"/>
  <c r="E412" i="2"/>
  <c r="E461" i="2" s="1"/>
  <c r="E409" i="2"/>
  <c r="E458" i="2" s="1"/>
  <c r="E413" i="2"/>
  <c r="E462" i="2" s="1"/>
  <c r="E405" i="2"/>
  <c r="E454" i="2" s="1"/>
  <c r="G403" i="2"/>
  <c r="G452" i="2" s="1"/>
  <c r="G404" i="2"/>
  <c r="G453" i="2" s="1"/>
  <c r="G408" i="2"/>
  <c r="G457" i="2" s="1"/>
  <c r="G412" i="2"/>
  <c r="G461" i="2" s="1"/>
  <c r="G405" i="2"/>
  <c r="G454" i="2" s="1"/>
  <c r="G409" i="2"/>
  <c r="G458" i="2" s="1"/>
  <c r="G413" i="2"/>
  <c r="G462" i="2" s="1"/>
  <c r="G406" i="2"/>
  <c r="G455" i="2" s="1"/>
  <c r="G410" i="2"/>
  <c r="G459" i="2" s="1"/>
  <c r="G407" i="2"/>
  <c r="G456" i="2" s="1"/>
  <c r="G411" i="2"/>
  <c r="G460" i="2" s="1"/>
  <c r="G402" i="2"/>
  <c r="G451" i="2" s="1"/>
  <c r="F403" i="2"/>
  <c r="F452" i="2" s="1"/>
  <c r="F405" i="2"/>
  <c r="F454" i="2" s="1"/>
  <c r="F409" i="2"/>
  <c r="F458" i="2" s="1"/>
  <c r="F413" i="2"/>
  <c r="F462" i="2" s="1"/>
  <c r="F406" i="2"/>
  <c r="F455" i="2" s="1"/>
  <c r="F410" i="2"/>
  <c r="F459" i="2" s="1"/>
  <c r="F402" i="2"/>
  <c r="F451" i="2" s="1"/>
  <c r="F407" i="2"/>
  <c r="F456" i="2" s="1"/>
  <c r="F411" i="2"/>
  <c r="F460" i="2" s="1"/>
  <c r="F404" i="2"/>
  <c r="F453" i="2" s="1"/>
  <c r="F408" i="2"/>
  <c r="F457" i="2" s="1"/>
  <c r="F412" i="2"/>
  <c r="F461" i="2" s="1"/>
  <c r="K16" i="3"/>
  <c r="K3" i="54"/>
  <c r="J16" i="3"/>
  <c r="J3" i="54"/>
  <c r="K3" i="2"/>
  <c r="J3" i="2"/>
  <c r="J15" i="48"/>
  <c r="J10" i="49"/>
  <c r="K15" i="48"/>
  <c r="K10" i="49"/>
  <c r="K3" i="45"/>
  <c r="BN3" i="45"/>
  <c r="J3" i="45"/>
  <c r="BM3" i="45"/>
  <c r="K10" i="36"/>
  <c r="K45" i="23"/>
  <c r="K3" i="19"/>
  <c r="K15" i="27"/>
  <c r="K24" i="23"/>
  <c r="K3" i="23"/>
  <c r="K12" i="8"/>
  <c r="K11" i="37"/>
  <c r="CB44" i="1"/>
  <c r="CA45" i="1"/>
  <c r="CA42" i="1"/>
  <c r="L24" i="54" s="1"/>
  <c r="BV14" i="33"/>
  <c r="BV14" i="34"/>
  <c r="CA41" i="1"/>
  <c r="BD26" i="33"/>
  <c r="BD26" i="34"/>
  <c r="EP2" i="34"/>
  <c r="EP2" i="33"/>
  <c r="J12" i="8"/>
  <c r="J45" i="23"/>
  <c r="J15" i="27"/>
  <c r="J3" i="19"/>
  <c r="J10" i="36"/>
  <c r="J24" i="23"/>
  <c r="J11" i="37"/>
  <c r="J3" i="23"/>
  <c r="J403" i="2" l="1"/>
  <c r="J452" i="2" s="1"/>
  <c r="J409" i="2"/>
  <c r="J458" i="2" s="1"/>
  <c r="J413" i="2"/>
  <c r="J462" i="2" s="1"/>
  <c r="J406" i="2"/>
  <c r="J455" i="2" s="1"/>
  <c r="J410" i="2"/>
  <c r="J459" i="2" s="1"/>
  <c r="J402" i="2"/>
  <c r="J451" i="2" s="1"/>
  <c r="J404" i="2"/>
  <c r="J453" i="2" s="1"/>
  <c r="J407" i="2"/>
  <c r="J456" i="2" s="1"/>
  <c r="J411" i="2"/>
  <c r="J460" i="2" s="1"/>
  <c r="J408" i="2"/>
  <c r="J457" i="2" s="1"/>
  <c r="J405" i="2"/>
  <c r="J454" i="2" s="1"/>
  <c r="J412" i="2"/>
  <c r="J461" i="2" s="1"/>
  <c r="K405" i="2"/>
  <c r="K454" i="2" s="1"/>
  <c r="K471" i="2" s="1"/>
  <c r="K408" i="2"/>
  <c r="K457" i="2" s="1"/>
  <c r="K474" i="2" s="1"/>
  <c r="K412" i="2"/>
  <c r="K461" i="2" s="1"/>
  <c r="K478" i="2" s="1"/>
  <c r="K409" i="2"/>
  <c r="K458" i="2" s="1"/>
  <c r="K475" i="2" s="1"/>
  <c r="K413" i="2"/>
  <c r="K462" i="2" s="1"/>
  <c r="K479" i="2" s="1"/>
  <c r="K403" i="2"/>
  <c r="K452" i="2" s="1"/>
  <c r="K469" i="2" s="1"/>
  <c r="K406" i="2"/>
  <c r="K455" i="2" s="1"/>
  <c r="K472" i="2" s="1"/>
  <c r="K410" i="2"/>
  <c r="K459" i="2" s="1"/>
  <c r="K476" i="2" s="1"/>
  <c r="K402" i="2"/>
  <c r="K451" i="2" s="1"/>
  <c r="K468" i="2" s="1"/>
  <c r="K411" i="2"/>
  <c r="K460" i="2" s="1"/>
  <c r="K477" i="2" s="1"/>
  <c r="K404" i="2"/>
  <c r="K453" i="2" s="1"/>
  <c r="K470" i="2" s="1"/>
  <c r="K407" i="2"/>
  <c r="K456" i="2" s="1"/>
  <c r="K473" i="2" s="1"/>
  <c r="L16" i="3"/>
  <c r="L3" i="54"/>
  <c r="L3" i="2"/>
  <c r="L10" i="49"/>
  <c r="L15" i="48"/>
  <c r="L3" i="45"/>
  <c r="BO3" i="45"/>
  <c r="L12" i="8"/>
  <c r="L10" i="36"/>
  <c r="L11" i="37"/>
  <c r="L3" i="19"/>
  <c r="L15" i="27"/>
  <c r="L45" i="23"/>
  <c r="L3" i="23"/>
  <c r="L24" i="23"/>
  <c r="CB42" i="1"/>
  <c r="M24" i="54" s="1"/>
  <c r="BJ26" i="34"/>
  <c r="FF2" i="34"/>
  <c r="CB45" i="1"/>
  <c r="CC44" i="1"/>
  <c r="CD14" i="33"/>
  <c r="BJ26" i="33"/>
  <c r="CB41" i="1"/>
  <c r="CD14" i="34"/>
  <c r="FF2" i="33"/>
  <c r="L403" i="2" l="1"/>
  <c r="L452" i="2" s="1"/>
  <c r="L405" i="2"/>
  <c r="L454" i="2" s="1"/>
  <c r="L404" i="2"/>
  <c r="L453" i="2" s="1"/>
  <c r="L407" i="2"/>
  <c r="L456" i="2" s="1"/>
  <c r="L411" i="2"/>
  <c r="L460" i="2" s="1"/>
  <c r="L408" i="2"/>
  <c r="L457" i="2" s="1"/>
  <c r="L412" i="2"/>
  <c r="L461" i="2" s="1"/>
  <c r="L409" i="2"/>
  <c r="L458" i="2" s="1"/>
  <c r="L413" i="2"/>
  <c r="L462" i="2" s="1"/>
  <c r="L402" i="2"/>
  <c r="L451" i="2" s="1"/>
  <c r="L410" i="2"/>
  <c r="L459" i="2" s="1"/>
  <c r="L406" i="2"/>
  <c r="L455" i="2" s="1"/>
  <c r="M16" i="3"/>
  <c r="M3" i="54"/>
  <c r="M3" i="2"/>
  <c r="M10" i="49"/>
  <c r="M15" i="48"/>
  <c r="M3" i="45"/>
  <c r="BP3" i="45"/>
  <c r="M3" i="23"/>
  <c r="M45" i="23"/>
  <c r="M11" i="37"/>
  <c r="M3" i="19"/>
  <c r="M10" i="36"/>
  <c r="M12" i="8"/>
  <c r="M24" i="23"/>
  <c r="M15" i="27"/>
  <c r="CD44" i="1"/>
  <c r="CC45" i="1"/>
  <c r="BP26" i="33"/>
  <c r="CL14" i="34"/>
  <c r="CC41" i="1"/>
  <c r="BP26" i="34"/>
  <c r="CL14" i="33"/>
  <c r="CC42" i="1"/>
  <c r="N24" i="54" s="1"/>
  <c r="M404" i="2" l="1"/>
  <c r="M453" i="2" s="1"/>
  <c r="M406" i="2"/>
  <c r="M455" i="2" s="1"/>
  <c r="M410" i="2"/>
  <c r="M459" i="2" s="1"/>
  <c r="M402" i="2"/>
  <c r="M451" i="2" s="1"/>
  <c r="M405" i="2"/>
  <c r="M454" i="2" s="1"/>
  <c r="M407" i="2"/>
  <c r="M456" i="2" s="1"/>
  <c r="M411" i="2"/>
  <c r="M460" i="2" s="1"/>
  <c r="M408" i="2"/>
  <c r="M457" i="2" s="1"/>
  <c r="M403" i="2"/>
  <c r="M452" i="2" s="1"/>
  <c r="M412" i="2"/>
  <c r="M461" i="2" s="1"/>
  <c r="M413" i="2"/>
  <c r="M462" i="2" s="1"/>
  <c r="M409" i="2"/>
  <c r="M458" i="2" s="1"/>
  <c r="N16" i="3"/>
  <c r="N3" i="54"/>
  <c r="N3" i="2"/>
  <c r="N15" i="48"/>
  <c r="N10" i="49"/>
  <c r="N3" i="45"/>
  <c r="BQ3" i="45"/>
  <c r="CE44" i="1"/>
  <c r="CD41" i="1"/>
  <c r="CD45" i="1"/>
  <c r="CD42" i="1"/>
  <c r="O24" i="54" s="1"/>
  <c r="CT14" i="34"/>
  <c r="BV26" i="34"/>
  <c r="BV26" i="33"/>
  <c r="CT14" i="33"/>
  <c r="N45" i="23"/>
  <c r="N12" i="8"/>
  <c r="N3" i="23"/>
  <c r="N3" i="19"/>
  <c r="N15" i="27"/>
  <c r="N11" i="37"/>
  <c r="N24" i="23"/>
  <c r="N10" i="36"/>
  <c r="N403" i="2" l="1"/>
  <c r="N452" i="2" s="1"/>
  <c r="N409" i="2"/>
  <c r="N458" i="2" s="1"/>
  <c r="N413" i="2"/>
  <c r="N462" i="2" s="1"/>
  <c r="N404" i="2"/>
  <c r="N453" i="2" s="1"/>
  <c r="N406" i="2"/>
  <c r="N455" i="2" s="1"/>
  <c r="N410" i="2"/>
  <c r="N459" i="2" s="1"/>
  <c r="N402" i="2"/>
  <c r="N451" i="2" s="1"/>
  <c r="N405" i="2"/>
  <c r="N454" i="2" s="1"/>
  <c r="N407" i="2"/>
  <c r="N456" i="2" s="1"/>
  <c r="N411" i="2"/>
  <c r="N460" i="2" s="1"/>
  <c r="N412" i="2"/>
  <c r="N461" i="2" s="1"/>
  <c r="N408" i="2"/>
  <c r="N457" i="2" s="1"/>
  <c r="O16" i="3"/>
  <c r="O3" i="54"/>
  <c r="O3" i="2"/>
  <c r="O10" i="49"/>
  <c r="O15" i="48"/>
  <c r="O3" i="45"/>
  <c r="BR3" i="45"/>
  <c r="O11" i="37"/>
  <c r="O12" i="8"/>
  <c r="O45" i="23"/>
  <c r="O15" i="27"/>
  <c r="O24" i="23"/>
  <c r="O3" i="19"/>
  <c r="O10" i="36"/>
  <c r="O3" i="23"/>
  <c r="CF44" i="1"/>
  <c r="CB26" i="34"/>
  <c r="CB26" i="33"/>
  <c r="DB14" i="33"/>
  <c r="DB14" i="34"/>
  <c r="CE42" i="1"/>
  <c r="P24" i="54" s="1"/>
  <c r="CE45" i="1"/>
  <c r="CE41" i="1"/>
  <c r="O403" i="2" l="1"/>
  <c r="O452" i="2" s="1"/>
  <c r="O408" i="2"/>
  <c r="O457" i="2" s="1"/>
  <c r="O412" i="2"/>
  <c r="O461" i="2" s="1"/>
  <c r="O409" i="2"/>
  <c r="O458" i="2" s="1"/>
  <c r="O413" i="2"/>
  <c r="O462" i="2" s="1"/>
  <c r="O404" i="2"/>
  <c r="O453" i="2" s="1"/>
  <c r="O406" i="2"/>
  <c r="O455" i="2" s="1"/>
  <c r="O410" i="2"/>
  <c r="O459" i="2" s="1"/>
  <c r="O405" i="2"/>
  <c r="O454" i="2" s="1"/>
  <c r="O411" i="2"/>
  <c r="O460" i="2" s="1"/>
  <c r="O407" i="2"/>
  <c r="O456" i="2" s="1"/>
  <c r="O402" i="2"/>
  <c r="O451" i="2" s="1"/>
  <c r="P16" i="3"/>
  <c r="P3" i="54"/>
  <c r="P3" i="2"/>
  <c r="P10" i="49"/>
  <c r="P15" i="48"/>
  <c r="P3" i="45"/>
  <c r="BS3" i="45"/>
  <c r="CG44" i="1"/>
  <c r="CF42" i="1"/>
  <c r="Q24" i="54" s="1"/>
  <c r="CF45" i="1"/>
  <c r="CF41" i="1"/>
  <c r="DJ14" i="34"/>
  <c r="CH26" i="34"/>
  <c r="DJ14" i="33"/>
  <c r="CH26" i="33"/>
  <c r="P10" i="36"/>
  <c r="P11" i="37"/>
  <c r="P24" i="23"/>
  <c r="P3" i="23"/>
  <c r="P3" i="19"/>
  <c r="P45" i="23"/>
  <c r="P12" i="8"/>
  <c r="P15" i="27"/>
  <c r="P403" i="2" l="1"/>
  <c r="P452" i="2" s="1"/>
  <c r="P469" i="2" s="1"/>
  <c r="P405" i="2"/>
  <c r="P454" i="2" s="1"/>
  <c r="P471" i="2" s="1"/>
  <c r="P407" i="2"/>
  <c r="P456" i="2" s="1"/>
  <c r="P473" i="2" s="1"/>
  <c r="P411" i="2"/>
  <c r="P460" i="2" s="1"/>
  <c r="P477" i="2" s="1"/>
  <c r="P408" i="2"/>
  <c r="P457" i="2" s="1"/>
  <c r="P474" i="2" s="1"/>
  <c r="P412" i="2"/>
  <c r="P461" i="2" s="1"/>
  <c r="P478" i="2" s="1"/>
  <c r="P409" i="2"/>
  <c r="P458" i="2" s="1"/>
  <c r="P475" i="2" s="1"/>
  <c r="P410" i="2"/>
  <c r="P459" i="2" s="1"/>
  <c r="P476" i="2" s="1"/>
  <c r="P406" i="2"/>
  <c r="P455" i="2" s="1"/>
  <c r="P472" i="2" s="1"/>
  <c r="P402" i="2"/>
  <c r="P451" i="2" s="1"/>
  <c r="P468" i="2" s="1"/>
  <c r="P404" i="2"/>
  <c r="P453" i="2" s="1"/>
  <c r="P470" i="2" s="1"/>
  <c r="P413" i="2"/>
  <c r="P462" i="2" s="1"/>
  <c r="P479" i="2" s="1"/>
  <c r="Q16" i="3"/>
  <c r="Q3" i="54"/>
  <c r="Q3" i="2"/>
  <c r="Q10" i="49"/>
  <c r="Q15" i="48"/>
  <c r="Q3" i="45"/>
  <c r="BT3" i="45"/>
  <c r="Q15" i="27"/>
  <c r="Q11" i="37"/>
  <c r="Q3" i="19"/>
  <c r="Q12" i="8"/>
  <c r="Q24" i="23"/>
  <c r="Q10" i="36"/>
  <c r="Q3" i="23"/>
  <c r="Q45" i="23"/>
  <c r="CH44" i="1"/>
  <c r="CI44" i="1" s="1"/>
  <c r="CG41" i="1"/>
  <c r="CN26" i="33"/>
  <c r="CG42" i="1"/>
  <c r="R24" i="54" s="1"/>
  <c r="CG45" i="1"/>
  <c r="DR14" i="33"/>
  <c r="CN26" i="34"/>
  <c r="DR14" i="34"/>
  <c r="Q404" i="2" l="1"/>
  <c r="Q453" i="2" s="1"/>
  <c r="Q470" i="2" s="1"/>
  <c r="Q403" i="2"/>
  <c r="Q452" i="2" s="1"/>
  <c r="Q469" i="2" s="1"/>
  <c r="Q405" i="2"/>
  <c r="Q454" i="2" s="1"/>
  <c r="Q471" i="2" s="1"/>
  <c r="Q406" i="2"/>
  <c r="Q455" i="2" s="1"/>
  <c r="Q472" i="2" s="1"/>
  <c r="Q410" i="2"/>
  <c r="Q459" i="2" s="1"/>
  <c r="Q476" i="2" s="1"/>
  <c r="Q402" i="2"/>
  <c r="Q451" i="2" s="1"/>
  <c r="Q468" i="2" s="1"/>
  <c r="Q407" i="2"/>
  <c r="Q456" i="2" s="1"/>
  <c r="Q473" i="2" s="1"/>
  <c r="Q411" i="2"/>
  <c r="Q460" i="2" s="1"/>
  <c r="Q477" i="2" s="1"/>
  <c r="Q408" i="2"/>
  <c r="Q457" i="2" s="1"/>
  <c r="Q474" i="2" s="1"/>
  <c r="Q409" i="2"/>
  <c r="Q458" i="2" s="1"/>
  <c r="Q475" i="2" s="1"/>
  <c r="Q413" i="2"/>
  <c r="Q462" i="2" s="1"/>
  <c r="Q479" i="2" s="1"/>
  <c r="Q412" i="2"/>
  <c r="Q461" i="2" s="1"/>
  <c r="Q478" i="2" s="1"/>
  <c r="R16" i="3"/>
  <c r="R3" i="54"/>
  <c r="R3" i="2"/>
  <c r="R15" i="48"/>
  <c r="R10" i="49"/>
  <c r="CJ44" i="1"/>
  <c r="CK44" i="1" s="1"/>
  <c r="CI42" i="1"/>
  <c r="T24" i="54" s="1"/>
  <c r="CI45" i="1"/>
  <c r="CZ26" i="34"/>
  <c r="CZ26" i="33"/>
  <c r="CI41" i="1"/>
  <c r="EH14" i="33"/>
  <c r="EH14" i="34"/>
  <c r="R3" i="45"/>
  <c r="BU3" i="45"/>
  <c r="CH45" i="1"/>
  <c r="DZ14" i="33"/>
  <c r="CH42" i="1"/>
  <c r="S24" i="54" s="1"/>
  <c r="CT26" i="33"/>
  <c r="CT26" i="34"/>
  <c r="CH41" i="1"/>
  <c r="DZ14" i="34"/>
  <c r="R11" i="37"/>
  <c r="R3" i="19"/>
  <c r="R45" i="23"/>
  <c r="R10" i="36"/>
  <c r="R24" i="23"/>
  <c r="R15" i="27"/>
  <c r="R3" i="23"/>
  <c r="R12" i="8"/>
  <c r="R404" i="2" l="1"/>
  <c r="R453" i="2" s="1"/>
  <c r="R470" i="2" s="1"/>
  <c r="R409" i="2"/>
  <c r="R458" i="2" s="1"/>
  <c r="R475" i="2" s="1"/>
  <c r="R413" i="2"/>
  <c r="R462" i="2" s="1"/>
  <c r="R479" i="2" s="1"/>
  <c r="R403" i="2"/>
  <c r="R452" i="2" s="1"/>
  <c r="R469" i="2" s="1"/>
  <c r="R405" i="2"/>
  <c r="R454" i="2" s="1"/>
  <c r="R471" i="2" s="1"/>
  <c r="R406" i="2"/>
  <c r="R455" i="2" s="1"/>
  <c r="R472" i="2" s="1"/>
  <c r="R410" i="2"/>
  <c r="R459" i="2" s="1"/>
  <c r="R476" i="2" s="1"/>
  <c r="R402" i="2"/>
  <c r="R451" i="2" s="1"/>
  <c r="R468" i="2" s="1"/>
  <c r="R407" i="2"/>
  <c r="R456" i="2" s="1"/>
  <c r="R473" i="2" s="1"/>
  <c r="R411" i="2"/>
  <c r="R460" i="2" s="1"/>
  <c r="R477" i="2" s="1"/>
  <c r="R408" i="2"/>
  <c r="R457" i="2" s="1"/>
  <c r="R474" i="2" s="1"/>
  <c r="R412" i="2"/>
  <c r="R461" i="2" s="1"/>
  <c r="R478" i="2" s="1"/>
  <c r="S16" i="3"/>
  <c r="S3" i="54"/>
  <c r="T16" i="3"/>
  <c r="T3" i="54"/>
  <c r="T3" i="2"/>
  <c r="S3" i="2"/>
  <c r="S15" i="48"/>
  <c r="S10" i="49"/>
  <c r="T10" i="49"/>
  <c r="T15" i="48"/>
  <c r="CL44" i="1"/>
  <c r="CM44" i="1" s="1"/>
  <c r="CN44" i="1" s="1"/>
  <c r="CO44" i="1" s="1"/>
  <c r="CP44" i="1" s="1"/>
  <c r="CQ44" i="1" s="1"/>
  <c r="CR44" i="1" s="1"/>
  <c r="CS44" i="1" s="1"/>
  <c r="CT44" i="1" s="1"/>
  <c r="CU44" i="1" s="1"/>
  <c r="CK42" i="1"/>
  <c r="V24" i="54" s="1"/>
  <c r="EX14" i="34"/>
  <c r="CK41" i="1"/>
  <c r="DL26" i="33"/>
  <c r="EX14" i="33"/>
  <c r="DL26" i="34"/>
  <c r="CK45" i="1"/>
  <c r="BW3" i="45"/>
  <c r="T24" i="23"/>
  <c r="T12" i="8"/>
  <c r="T15" i="27"/>
  <c r="T3" i="19"/>
  <c r="T45" i="23"/>
  <c r="T3" i="23"/>
  <c r="T3" i="45"/>
  <c r="T11" i="37"/>
  <c r="T10" i="36"/>
  <c r="EP14" i="34"/>
  <c r="CJ42" i="1"/>
  <c r="U24" i="54" s="1"/>
  <c r="EP14" i="33"/>
  <c r="DF26" i="34"/>
  <c r="DF26" i="33"/>
  <c r="CJ45" i="1"/>
  <c r="CJ41" i="1"/>
  <c r="S3" i="45"/>
  <c r="BV3" i="45"/>
  <c r="S11" i="37"/>
  <c r="S3" i="19"/>
  <c r="S10" i="36"/>
  <c r="S15" i="27"/>
  <c r="S24" i="23"/>
  <c r="S45" i="23"/>
  <c r="S12" i="8"/>
  <c r="S3" i="23"/>
  <c r="T403" i="2" l="1"/>
  <c r="T452" i="2" s="1"/>
  <c r="T469" i="2" s="1"/>
  <c r="T405" i="2"/>
  <c r="T454" i="2" s="1"/>
  <c r="T471" i="2" s="1"/>
  <c r="T407" i="2"/>
  <c r="T456" i="2" s="1"/>
  <c r="T473" i="2" s="1"/>
  <c r="T411" i="2"/>
  <c r="T460" i="2" s="1"/>
  <c r="T477" i="2" s="1"/>
  <c r="T408" i="2"/>
  <c r="T457" i="2" s="1"/>
  <c r="T474" i="2" s="1"/>
  <c r="T412" i="2"/>
  <c r="T461" i="2" s="1"/>
  <c r="T478" i="2" s="1"/>
  <c r="T404" i="2"/>
  <c r="T453" i="2" s="1"/>
  <c r="T470" i="2" s="1"/>
  <c r="T409" i="2"/>
  <c r="T458" i="2" s="1"/>
  <c r="T475" i="2" s="1"/>
  <c r="T406" i="2"/>
  <c r="T455" i="2" s="1"/>
  <c r="T472" i="2" s="1"/>
  <c r="T413" i="2"/>
  <c r="T462" i="2" s="1"/>
  <c r="T479" i="2" s="1"/>
  <c r="T402" i="2"/>
  <c r="T451" i="2" s="1"/>
  <c r="T468" i="2" s="1"/>
  <c r="T410" i="2"/>
  <c r="T459" i="2" s="1"/>
  <c r="T476" i="2" s="1"/>
  <c r="S408" i="2"/>
  <c r="S457" i="2" s="1"/>
  <c r="S474" i="2" s="1"/>
  <c r="S412" i="2"/>
  <c r="S461" i="2" s="1"/>
  <c r="S478" i="2" s="1"/>
  <c r="S404" i="2"/>
  <c r="S453" i="2" s="1"/>
  <c r="S470" i="2" s="1"/>
  <c r="S409" i="2"/>
  <c r="S458" i="2" s="1"/>
  <c r="S475" i="2" s="1"/>
  <c r="S413" i="2"/>
  <c r="S462" i="2" s="1"/>
  <c r="S479" i="2" s="1"/>
  <c r="S403" i="2"/>
  <c r="S452" i="2" s="1"/>
  <c r="S469" i="2" s="1"/>
  <c r="S405" i="2"/>
  <c r="S454" i="2" s="1"/>
  <c r="S471" i="2" s="1"/>
  <c r="S406" i="2"/>
  <c r="S455" i="2" s="1"/>
  <c r="S472" i="2" s="1"/>
  <c r="S410" i="2"/>
  <c r="S459" i="2" s="1"/>
  <c r="S476" i="2" s="1"/>
  <c r="S407" i="2"/>
  <c r="S456" i="2" s="1"/>
  <c r="S473" i="2" s="1"/>
  <c r="S402" i="2"/>
  <c r="S451" i="2" s="1"/>
  <c r="S468" i="2" s="1"/>
  <c r="S411" i="2"/>
  <c r="S460" i="2" s="1"/>
  <c r="S477" i="2" s="1"/>
  <c r="V16" i="3"/>
  <c r="V3" i="54"/>
  <c r="U16" i="3"/>
  <c r="U3" i="54"/>
  <c r="U3" i="2"/>
  <c r="V3" i="2"/>
  <c r="U10" i="49"/>
  <c r="U15" i="48"/>
  <c r="V15" i="48"/>
  <c r="V10" i="49"/>
  <c r="FT26" i="33"/>
  <c r="FT26" i="34"/>
  <c r="CU45" i="1"/>
  <c r="CV44" i="1"/>
  <c r="CU42" i="1"/>
  <c r="AF24" i="54" s="1"/>
  <c r="CU41" i="1"/>
  <c r="CT45" i="1"/>
  <c r="CT42" i="1"/>
  <c r="AE24" i="54" s="1"/>
  <c r="FN26" i="33"/>
  <c r="FN26" i="34"/>
  <c r="CT41" i="1"/>
  <c r="CS45" i="1"/>
  <c r="FH26" i="33"/>
  <c r="FH26" i="34"/>
  <c r="CS42" i="1"/>
  <c r="AD24" i="54" s="1"/>
  <c r="CS41" i="1"/>
  <c r="CR42" i="1"/>
  <c r="AC24" i="54" s="1"/>
  <c r="CR45" i="1"/>
  <c r="FB26" i="33"/>
  <c r="CR41" i="1"/>
  <c r="FB26" i="34"/>
  <c r="EV26" i="34"/>
  <c r="CQ41" i="1"/>
  <c r="EV26" i="33"/>
  <c r="CQ45" i="1"/>
  <c r="CQ42" i="1"/>
  <c r="AB24" i="54" s="1"/>
  <c r="CP42" i="1"/>
  <c r="AA24" i="54" s="1"/>
  <c r="EP26" i="33"/>
  <c r="CP41" i="1"/>
  <c r="EP26" i="34"/>
  <c r="CP45" i="1"/>
  <c r="EJ26" i="33"/>
  <c r="CO45" i="1"/>
  <c r="CO41" i="1"/>
  <c r="CO42" i="1"/>
  <c r="EJ26" i="34"/>
  <c r="ED26" i="33"/>
  <c r="CN41" i="1"/>
  <c r="CN42" i="1"/>
  <c r="Y24" i="54" s="1"/>
  <c r="ED26" i="34"/>
  <c r="CN45" i="1"/>
  <c r="FV14" i="34"/>
  <c r="FV14" i="33"/>
  <c r="CM42" i="1"/>
  <c r="X24" i="54" s="1"/>
  <c r="CM45" i="1"/>
  <c r="DX26" i="33"/>
  <c r="CM41" i="1"/>
  <c r="FN14" i="34"/>
  <c r="FN14" i="33"/>
  <c r="DX26" i="34"/>
  <c r="BY3" i="45"/>
  <c r="V3" i="45"/>
  <c r="V3" i="23"/>
  <c r="V45" i="23"/>
  <c r="V11" i="37"/>
  <c r="V24" i="23"/>
  <c r="V3" i="19"/>
  <c r="V15" i="27"/>
  <c r="V10" i="36"/>
  <c r="V12" i="8"/>
  <c r="FF14" i="33"/>
  <c r="CL42" i="1"/>
  <c r="W24" i="54" s="1"/>
  <c r="CL41" i="1"/>
  <c r="CL45" i="1"/>
  <c r="FF14" i="34"/>
  <c r="DR26" i="33"/>
  <c r="DR26" i="34"/>
  <c r="BX3" i="45"/>
  <c r="U45" i="23"/>
  <c r="U15" i="27"/>
  <c r="U3" i="19"/>
  <c r="U3" i="45"/>
  <c r="U11" i="37"/>
  <c r="U12" i="8"/>
  <c r="U24" i="23"/>
  <c r="U3" i="23"/>
  <c r="U10" i="36"/>
  <c r="U403" i="2" l="1"/>
  <c r="U452" i="2" s="1"/>
  <c r="U469" i="2" s="1"/>
  <c r="U404" i="2"/>
  <c r="U453" i="2" s="1"/>
  <c r="U470" i="2" s="1"/>
  <c r="U406" i="2"/>
  <c r="U455" i="2" s="1"/>
  <c r="U472" i="2" s="1"/>
  <c r="U410" i="2"/>
  <c r="U459" i="2" s="1"/>
  <c r="U476" i="2" s="1"/>
  <c r="U407" i="2"/>
  <c r="U456" i="2" s="1"/>
  <c r="U473" i="2" s="1"/>
  <c r="U411" i="2"/>
  <c r="U460" i="2" s="1"/>
  <c r="U477" i="2" s="1"/>
  <c r="U408" i="2"/>
  <c r="U457" i="2" s="1"/>
  <c r="U474" i="2" s="1"/>
  <c r="U412" i="2"/>
  <c r="U461" i="2" s="1"/>
  <c r="U478" i="2" s="1"/>
  <c r="U405" i="2"/>
  <c r="U454" i="2" s="1"/>
  <c r="U471" i="2" s="1"/>
  <c r="U409" i="2"/>
  <c r="U458" i="2" s="1"/>
  <c r="U475" i="2" s="1"/>
  <c r="U413" i="2"/>
  <c r="U462" i="2" s="1"/>
  <c r="U479" i="2" s="1"/>
  <c r="U402" i="2"/>
  <c r="U451" i="2" s="1"/>
  <c r="U468" i="2" s="1"/>
  <c r="V405" i="2"/>
  <c r="V454" i="2" s="1"/>
  <c r="V471" i="2" s="1"/>
  <c r="V409" i="2"/>
  <c r="V458" i="2" s="1"/>
  <c r="V475" i="2" s="1"/>
  <c r="V413" i="2"/>
  <c r="V462" i="2" s="1"/>
  <c r="V479" i="2" s="1"/>
  <c r="V402" i="2"/>
  <c r="V451" i="2" s="1"/>
  <c r="V468" i="2" s="1"/>
  <c r="V406" i="2"/>
  <c r="V455" i="2" s="1"/>
  <c r="V472" i="2" s="1"/>
  <c r="V410" i="2"/>
  <c r="V459" i="2" s="1"/>
  <c r="V476" i="2" s="1"/>
  <c r="V407" i="2"/>
  <c r="V456" i="2" s="1"/>
  <c r="V473" i="2" s="1"/>
  <c r="V411" i="2"/>
  <c r="V460" i="2" s="1"/>
  <c r="V477" i="2" s="1"/>
  <c r="V403" i="2"/>
  <c r="V452" i="2" s="1"/>
  <c r="V469" i="2" s="1"/>
  <c r="V408" i="2"/>
  <c r="V457" i="2" s="1"/>
  <c r="V474" i="2" s="1"/>
  <c r="V412" i="2"/>
  <c r="V461" i="2" s="1"/>
  <c r="V478" i="2" s="1"/>
  <c r="V404" i="2"/>
  <c r="V453" i="2" s="1"/>
  <c r="V470" i="2" s="1"/>
  <c r="Z3" i="54"/>
  <c r="Z24" i="54"/>
  <c r="AC3" i="23"/>
  <c r="AC3" i="54"/>
  <c r="AF3" i="23"/>
  <c r="AF3" i="54"/>
  <c r="X16" i="3"/>
  <c r="X3" i="54"/>
  <c r="AE3" i="23"/>
  <c r="AE3" i="54"/>
  <c r="W16" i="3"/>
  <c r="W3" i="54"/>
  <c r="AB3" i="23"/>
  <c r="AB3" i="54"/>
  <c r="Y16" i="3"/>
  <c r="Y3" i="54"/>
  <c r="AA3" i="23"/>
  <c r="AA3" i="54"/>
  <c r="AD3" i="23"/>
  <c r="AD3" i="54"/>
  <c r="X3" i="2"/>
  <c r="W3" i="2"/>
  <c r="Y10" i="49"/>
  <c r="Y3" i="2"/>
  <c r="AD10" i="49"/>
  <c r="AD3" i="2"/>
  <c r="AC10" i="49"/>
  <c r="AC3" i="2"/>
  <c r="AF10" i="49"/>
  <c r="AF3" i="2"/>
  <c r="AE10" i="49"/>
  <c r="AE3" i="2"/>
  <c r="CW44" i="1"/>
  <c r="AA10" i="49"/>
  <c r="AA3" i="2"/>
  <c r="Z10" i="49"/>
  <c r="Z3" i="2"/>
  <c r="AB10" i="49"/>
  <c r="AB3" i="2"/>
  <c r="W15" i="48"/>
  <c r="W10" i="49"/>
  <c r="X10" i="49"/>
  <c r="X15" i="48"/>
  <c r="CV42" i="1"/>
  <c r="CV45" i="1"/>
  <c r="FZ26" i="33"/>
  <c r="FZ26" i="34"/>
  <c r="CV41" i="1"/>
  <c r="AF11" i="37"/>
  <c r="AF3" i="45"/>
  <c r="AF10" i="36"/>
  <c r="AF45" i="23"/>
  <c r="AF24" i="23"/>
  <c r="CI3" i="45"/>
  <c r="AF3" i="19"/>
  <c r="AE3" i="45"/>
  <c r="AE11" i="37"/>
  <c r="AE10" i="36"/>
  <c r="AE24" i="23"/>
  <c r="AE45" i="23"/>
  <c r="CH3" i="45"/>
  <c r="AE3" i="19"/>
  <c r="AD3" i="45"/>
  <c r="AD11" i="37"/>
  <c r="AD45" i="23"/>
  <c r="AD3" i="19"/>
  <c r="AD24" i="23"/>
  <c r="CG3" i="45"/>
  <c r="AD10" i="36"/>
  <c r="AC3" i="45"/>
  <c r="AC11" i="37"/>
  <c r="AC24" i="23"/>
  <c r="CF3" i="45"/>
  <c r="AC45" i="23"/>
  <c r="AC3" i="19"/>
  <c r="AC10" i="36"/>
  <c r="AB3" i="45"/>
  <c r="AB3" i="19"/>
  <c r="AB45" i="23"/>
  <c r="AB24" i="23"/>
  <c r="AB10" i="36"/>
  <c r="AB11" i="37"/>
  <c r="CE3" i="45"/>
  <c r="CD3" i="45"/>
  <c r="AA16" i="3"/>
  <c r="AA10" i="36"/>
  <c r="AA11" i="37"/>
  <c r="AA3" i="45"/>
  <c r="AA15" i="27"/>
  <c r="AA12" i="8"/>
  <c r="AA45" i="23"/>
  <c r="AA3" i="19"/>
  <c r="AA24" i="23"/>
  <c r="CC3" i="45"/>
  <c r="Z16" i="3"/>
  <c r="Z24" i="23"/>
  <c r="Z45" i="23"/>
  <c r="Z11" i="37"/>
  <c r="Z12" i="8"/>
  <c r="Z15" i="27"/>
  <c r="Z3" i="45"/>
  <c r="Z10" i="36"/>
  <c r="Z3" i="23"/>
  <c r="Z3" i="19"/>
  <c r="CB3" i="45"/>
  <c r="Y12" i="8"/>
  <c r="Y10" i="36"/>
  <c r="Y24" i="23"/>
  <c r="Y11" i="37"/>
  <c r="Y15" i="27"/>
  <c r="Y3" i="45"/>
  <c r="Y45" i="23"/>
  <c r="Y3" i="19"/>
  <c r="Y3" i="23"/>
  <c r="CA3" i="45"/>
  <c r="X15" i="27"/>
  <c r="X11" i="37"/>
  <c r="X3" i="23"/>
  <c r="X10" i="36"/>
  <c r="X3" i="19"/>
  <c r="X3" i="45"/>
  <c r="X45" i="23"/>
  <c r="X12" i="8"/>
  <c r="X24" i="23"/>
  <c r="BZ3" i="45"/>
  <c r="W10" i="36"/>
  <c r="W3" i="23"/>
  <c r="W3" i="45"/>
  <c r="W45" i="23"/>
  <c r="W24" i="23"/>
  <c r="W12" i="8"/>
  <c r="W3" i="19"/>
  <c r="W15" i="27"/>
  <c r="W11" i="37"/>
  <c r="AE408" i="2" l="1"/>
  <c r="AE457" i="2" s="1"/>
  <c r="AE474" i="2" s="1"/>
  <c r="AE412" i="2"/>
  <c r="AE461" i="2" s="1"/>
  <c r="AE478" i="2" s="1"/>
  <c r="AE403" i="2"/>
  <c r="AE452" i="2" s="1"/>
  <c r="AE469" i="2" s="1"/>
  <c r="AE409" i="2"/>
  <c r="AE458" i="2" s="1"/>
  <c r="AE475" i="2" s="1"/>
  <c r="AE413" i="2"/>
  <c r="AE462" i="2" s="1"/>
  <c r="AE479" i="2" s="1"/>
  <c r="AE402" i="2"/>
  <c r="AE451" i="2" s="1"/>
  <c r="AE468" i="2" s="1"/>
  <c r="AE404" i="2"/>
  <c r="AE453" i="2" s="1"/>
  <c r="AE470" i="2" s="1"/>
  <c r="AE406" i="2"/>
  <c r="AE455" i="2" s="1"/>
  <c r="AE472" i="2" s="1"/>
  <c r="AE410" i="2"/>
  <c r="AE459" i="2" s="1"/>
  <c r="AE476" i="2" s="1"/>
  <c r="AE411" i="2"/>
  <c r="AE460" i="2" s="1"/>
  <c r="AE477" i="2" s="1"/>
  <c r="AE405" i="2"/>
  <c r="AE454" i="2" s="1"/>
  <c r="AE471" i="2" s="1"/>
  <c r="AE407" i="2"/>
  <c r="AE456" i="2" s="1"/>
  <c r="AE473" i="2" s="1"/>
  <c r="AC404" i="2"/>
  <c r="AC453" i="2" s="1"/>
  <c r="AC470" i="2" s="1"/>
  <c r="AC403" i="2"/>
  <c r="AC452" i="2" s="1"/>
  <c r="AC469" i="2" s="1"/>
  <c r="AC406" i="2"/>
  <c r="AC455" i="2" s="1"/>
  <c r="AC472" i="2" s="1"/>
  <c r="AC410" i="2"/>
  <c r="AC459" i="2" s="1"/>
  <c r="AC476" i="2" s="1"/>
  <c r="AC405" i="2"/>
  <c r="AC454" i="2" s="1"/>
  <c r="AC471" i="2" s="1"/>
  <c r="AC407" i="2"/>
  <c r="AC456" i="2" s="1"/>
  <c r="AC473" i="2" s="1"/>
  <c r="AC411" i="2"/>
  <c r="AC460" i="2" s="1"/>
  <c r="AC477" i="2" s="1"/>
  <c r="AC408" i="2"/>
  <c r="AC457" i="2" s="1"/>
  <c r="AC474" i="2" s="1"/>
  <c r="AC412" i="2"/>
  <c r="AC461" i="2" s="1"/>
  <c r="AC478" i="2" s="1"/>
  <c r="AC409" i="2"/>
  <c r="AC458" i="2" s="1"/>
  <c r="AC475" i="2" s="1"/>
  <c r="AC413" i="2"/>
  <c r="AC462" i="2" s="1"/>
  <c r="AC479" i="2" s="1"/>
  <c r="AC402" i="2"/>
  <c r="AC451" i="2" s="1"/>
  <c r="AC468" i="2" s="1"/>
  <c r="Y404" i="2"/>
  <c r="Y453" i="2" s="1"/>
  <c r="Y470" i="2" s="1"/>
  <c r="Y406" i="2"/>
  <c r="Y455" i="2" s="1"/>
  <c r="Y472" i="2" s="1"/>
  <c r="Y410" i="2"/>
  <c r="Y459" i="2" s="1"/>
  <c r="Y476" i="2" s="1"/>
  <c r="Y403" i="2"/>
  <c r="Y452" i="2" s="1"/>
  <c r="Y469" i="2" s="1"/>
  <c r="Y407" i="2"/>
  <c r="Y456" i="2" s="1"/>
  <c r="Y473" i="2" s="1"/>
  <c r="Y411" i="2"/>
  <c r="Y460" i="2" s="1"/>
  <c r="Y477" i="2" s="1"/>
  <c r="Y405" i="2"/>
  <c r="Y454" i="2" s="1"/>
  <c r="Y471" i="2" s="1"/>
  <c r="Y408" i="2"/>
  <c r="Y457" i="2" s="1"/>
  <c r="Y474" i="2" s="1"/>
  <c r="Y413" i="2"/>
  <c r="Y462" i="2" s="1"/>
  <c r="Y479" i="2" s="1"/>
  <c r="Y402" i="2"/>
  <c r="Y451" i="2" s="1"/>
  <c r="Y468" i="2" s="1"/>
  <c r="Y409" i="2"/>
  <c r="Y458" i="2" s="1"/>
  <c r="Y475" i="2" s="1"/>
  <c r="Y412" i="2"/>
  <c r="Y461" i="2" s="1"/>
  <c r="Y478" i="2" s="1"/>
  <c r="AB405" i="2"/>
  <c r="AB454" i="2" s="1"/>
  <c r="AB471" i="2" s="1"/>
  <c r="AB404" i="2"/>
  <c r="AB453" i="2" s="1"/>
  <c r="AB470" i="2" s="1"/>
  <c r="AB407" i="2"/>
  <c r="AB456" i="2" s="1"/>
  <c r="AB473" i="2" s="1"/>
  <c r="AB411" i="2"/>
  <c r="AB460" i="2" s="1"/>
  <c r="AB477" i="2" s="1"/>
  <c r="AB408" i="2"/>
  <c r="AB457" i="2" s="1"/>
  <c r="AB474" i="2" s="1"/>
  <c r="AB412" i="2"/>
  <c r="AB461" i="2" s="1"/>
  <c r="AB478" i="2" s="1"/>
  <c r="AB409" i="2"/>
  <c r="AB458" i="2" s="1"/>
  <c r="AB475" i="2" s="1"/>
  <c r="AB413" i="2"/>
  <c r="AB462" i="2" s="1"/>
  <c r="AB479" i="2" s="1"/>
  <c r="AB402" i="2"/>
  <c r="AB451" i="2" s="1"/>
  <c r="AB468" i="2" s="1"/>
  <c r="AB403" i="2"/>
  <c r="AB452" i="2" s="1"/>
  <c r="AB469" i="2" s="1"/>
  <c r="AB406" i="2"/>
  <c r="AB455" i="2" s="1"/>
  <c r="AB472" i="2" s="1"/>
  <c r="AB410" i="2"/>
  <c r="AB459" i="2" s="1"/>
  <c r="AB476" i="2" s="1"/>
  <c r="AA405" i="2"/>
  <c r="AA454" i="2" s="1"/>
  <c r="AA471" i="2" s="1"/>
  <c r="AA408" i="2"/>
  <c r="AA457" i="2" s="1"/>
  <c r="AA474" i="2" s="1"/>
  <c r="AA412" i="2"/>
  <c r="AA461" i="2" s="1"/>
  <c r="AA478" i="2" s="1"/>
  <c r="AA409" i="2"/>
  <c r="AA458" i="2" s="1"/>
  <c r="AA475" i="2" s="1"/>
  <c r="AA413" i="2"/>
  <c r="AA462" i="2" s="1"/>
  <c r="AA479" i="2" s="1"/>
  <c r="AA402" i="2"/>
  <c r="AA451" i="2" s="1"/>
  <c r="AA468" i="2" s="1"/>
  <c r="AA403" i="2"/>
  <c r="AA452" i="2" s="1"/>
  <c r="AA469" i="2" s="1"/>
  <c r="AA406" i="2"/>
  <c r="AA455" i="2" s="1"/>
  <c r="AA472" i="2" s="1"/>
  <c r="AA410" i="2"/>
  <c r="AA459" i="2" s="1"/>
  <c r="AA476" i="2" s="1"/>
  <c r="AA404" i="2"/>
  <c r="AA453" i="2" s="1"/>
  <c r="AA470" i="2" s="1"/>
  <c r="AA411" i="2"/>
  <c r="AA460" i="2" s="1"/>
  <c r="AA477" i="2" s="1"/>
  <c r="AA407" i="2"/>
  <c r="AA456" i="2" s="1"/>
  <c r="AA473" i="2" s="1"/>
  <c r="AF405" i="2"/>
  <c r="AF454" i="2" s="1"/>
  <c r="AF471" i="2" s="1"/>
  <c r="AF407" i="2"/>
  <c r="AF456" i="2" s="1"/>
  <c r="AF473" i="2" s="1"/>
  <c r="AF411" i="2"/>
  <c r="AF460" i="2" s="1"/>
  <c r="AF477" i="2" s="1"/>
  <c r="AF408" i="2"/>
  <c r="AF457" i="2" s="1"/>
  <c r="AF474" i="2" s="1"/>
  <c r="AF412" i="2"/>
  <c r="AF461" i="2" s="1"/>
  <c r="AF478" i="2" s="1"/>
  <c r="AF403" i="2"/>
  <c r="AF452" i="2" s="1"/>
  <c r="AF469" i="2" s="1"/>
  <c r="AF409" i="2"/>
  <c r="AF458" i="2" s="1"/>
  <c r="AF475" i="2" s="1"/>
  <c r="AF410" i="2"/>
  <c r="AF459" i="2" s="1"/>
  <c r="AF476" i="2" s="1"/>
  <c r="AF404" i="2"/>
  <c r="AF453" i="2" s="1"/>
  <c r="AF470" i="2" s="1"/>
  <c r="AF413" i="2"/>
  <c r="AF462" i="2" s="1"/>
  <c r="AF479" i="2" s="1"/>
  <c r="AF402" i="2"/>
  <c r="AF451" i="2" s="1"/>
  <c r="AF468" i="2" s="1"/>
  <c r="AF406" i="2"/>
  <c r="AF455" i="2" s="1"/>
  <c r="AF472" i="2" s="1"/>
  <c r="AD403" i="2"/>
  <c r="AD452" i="2" s="1"/>
  <c r="AD469" i="2" s="1"/>
  <c r="AD409" i="2"/>
  <c r="AD458" i="2" s="1"/>
  <c r="AD475" i="2" s="1"/>
  <c r="AD413" i="2"/>
  <c r="AD462" i="2" s="1"/>
  <c r="AD479" i="2" s="1"/>
  <c r="AD402" i="2"/>
  <c r="AD451" i="2" s="1"/>
  <c r="AD468" i="2" s="1"/>
  <c r="AD404" i="2"/>
  <c r="AD453" i="2" s="1"/>
  <c r="AD470" i="2" s="1"/>
  <c r="AD406" i="2"/>
  <c r="AD455" i="2" s="1"/>
  <c r="AD472" i="2" s="1"/>
  <c r="AD410" i="2"/>
  <c r="AD459" i="2" s="1"/>
  <c r="AD476" i="2" s="1"/>
  <c r="AD405" i="2"/>
  <c r="AD454" i="2" s="1"/>
  <c r="AD471" i="2" s="1"/>
  <c r="AD407" i="2"/>
  <c r="AD456" i="2" s="1"/>
  <c r="AD473" i="2" s="1"/>
  <c r="AD411" i="2"/>
  <c r="AD460" i="2" s="1"/>
  <c r="AD477" i="2" s="1"/>
  <c r="AD412" i="2"/>
  <c r="AD461" i="2" s="1"/>
  <c r="AD478" i="2" s="1"/>
  <c r="AD408" i="2"/>
  <c r="AD457" i="2" s="1"/>
  <c r="AD474" i="2" s="1"/>
  <c r="W403" i="2"/>
  <c r="W452" i="2" s="1"/>
  <c r="W469" i="2" s="1"/>
  <c r="W404" i="2"/>
  <c r="W453" i="2" s="1"/>
  <c r="W470" i="2" s="1"/>
  <c r="W408" i="2"/>
  <c r="W457" i="2" s="1"/>
  <c r="W474" i="2" s="1"/>
  <c r="W412" i="2"/>
  <c r="W461" i="2" s="1"/>
  <c r="W478" i="2" s="1"/>
  <c r="W405" i="2"/>
  <c r="W454" i="2" s="1"/>
  <c r="W471" i="2" s="1"/>
  <c r="W409" i="2"/>
  <c r="W458" i="2" s="1"/>
  <c r="W475" i="2" s="1"/>
  <c r="W413" i="2"/>
  <c r="W462" i="2" s="1"/>
  <c r="W479" i="2" s="1"/>
  <c r="W402" i="2"/>
  <c r="W451" i="2" s="1"/>
  <c r="W468" i="2" s="1"/>
  <c r="W406" i="2"/>
  <c r="W455" i="2" s="1"/>
  <c r="W472" i="2" s="1"/>
  <c r="W410" i="2"/>
  <c r="W459" i="2" s="1"/>
  <c r="W476" i="2" s="1"/>
  <c r="W407" i="2"/>
  <c r="W456" i="2" s="1"/>
  <c r="W473" i="2" s="1"/>
  <c r="W411" i="2"/>
  <c r="W460" i="2" s="1"/>
  <c r="W477" i="2" s="1"/>
  <c r="Z403" i="2"/>
  <c r="Z452" i="2" s="1"/>
  <c r="Z469" i="2" s="1"/>
  <c r="Z409" i="2"/>
  <c r="Z458" i="2" s="1"/>
  <c r="Z475" i="2" s="1"/>
  <c r="Z413" i="2"/>
  <c r="Z462" i="2" s="1"/>
  <c r="Z479" i="2" s="1"/>
  <c r="Z402" i="2"/>
  <c r="Z451" i="2" s="1"/>
  <c r="Z468" i="2" s="1"/>
  <c r="Z406" i="2"/>
  <c r="Z455" i="2" s="1"/>
  <c r="Z472" i="2" s="1"/>
  <c r="Z410" i="2"/>
  <c r="Z459" i="2" s="1"/>
  <c r="Z476" i="2" s="1"/>
  <c r="Z404" i="2"/>
  <c r="Z453" i="2" s="1"/>
  <c r="Z470" i="2" s="1"/>
  <c r="Z407" i="2"/>
  <c r="Z456" i="2" s="1"/>
  <c r="Z473" i="2" s="1"/>
  <c r="Z411" i="2"/>
  <c r="Z460" i="2" s="1"/>
  <c r="Z477" i="2" s="1"/>
  <c r="Z412" i="2"/>
  <c r="Z461" i="2" s="1"/>
  <c r="Z478" i="2" s="1"/>
  <c r="Z405" i="2"/>
  <c r="Z454" i="2" s="1"/>
  <c r="Z471" i="2" s="1"/>
  <c r="Z408" i="2"/>
  <c r="Z457" i="2" s="1"/>
  <c r="Z474" i="2" s="1"/>
  <c r="X403" i="2"/>
  <c r="X452" i="2" s="1"/>
  <c r="X469" i="2" s="1"/>
  <c r="X405" i="2"/>
  <c r="X454" i="2" s="1"/>
  <c r="X471" i="2" s="1"/>
  <c r="X407" i="2"/>
  <c r="X456" i="2" s="1"/>
  <c r="X473" i="2" s="1"/>
  <c r="X411" i="2"/>
  <c r="X460" i="2" s="1"/>
  <c r="X477" i="2" s="1"/>
  <c r="X404" i="2"/>
  <c r="X453" i="2" s="1"/>
  <c r="X470" i="2" s="1"/>
  <c r="X408" i="2"/>
  <c r="X457" i="2" s="1"/>
  <c r="X474" i="2" s="1"/>
  <c r="X412" i="2"/>
  <c r="X461" i="2" s="1"/>
  <c r="X478" i="2" s="1"/>
  <c r="X409" i="2"/>
  <c r="X458" i="2" s="1"/>
  <c r="X475" i="2" s="1"/>
  <c r="X406" i="2"/>
  <c r="X455" i="2" s="1"/>
  <c r="X472" i="2" s="1"/>
  <c r="X410" i="2"/>
  <c r="X459" i="2" s="1"/>
  <c r="X476" i="2" s="1"/>
  <c r="X413" i="2"/>
  <c r="X462" i="2" s="1"/>
  <c r="X479" i="2" s="1"/>
  <c r="X402" i="2"/>
  <c r="X451" i="2" s="1"/>
  <c r="X468" i="2" s="1"/>
  <c r="AG3" i="54"/>
  <c r="AG24" i="54"/>
  <c r="AG24" i="23"/>
  <c r="AG3" i="23"/>
  <c r="CW41" i="1"/>
  <c r="CW45" i="1"/>
  <c r="CW42" i="1"/>
  <c r="CX44" i="1"/>
  <c r="AG10" i="49"/>
  <c r="AG3" i="19"/>
  <c r="AG3" i="2"/>
  <c r="AG3" i="45"/>
  <c r="AG10" i="36"/>
  <c r="CJ3" i="45"/>
  <c r="AG45" i="23"/>
  <c r="AG11" i="37"/>
  <c r="AG404" i="2" l="1"/>
  <c r="AG453" i="2" s="1"/>
  <c r="AG470" i="2" s="1"/>
  <c r="AG405" i="2"/>
  <c r="AG454" i="2" s="1"/>
  <c r="AG471" i="2" s="1"/>
  <c r="AG406" i="2"/>
  <c r="AG455" i="2" s="1"/>
  <c r="AG472" i="2" s="1"/>
  <c r="AG410" i="2"/>
  <c r="AG459" i="2" s="1"/>
  <c r="AG476" i="2" s="1"/>
  <c r="AG407" i="2"/>
  <c r="AG456" i="2" s="1"/>
  <c r="AG473" i="2" s="1"/>
  <c r="AG411" i="2"/>
  <c r="AG460" i="2" s="1"/>
  <c r="AG477" i="2" s="1"/>
  <c r="AG408" i="2"/>
  <c r="AG457" i="2" s="1"/>
  <c r="AG474" i="2" s="1"/>
  <c r="AG409" i="2"/>
  <c r="AG458" i="2" s="1"/>
  <c r="AG475" i="2" s="1"/>
  <c r="AG402" i="2"/>
  <c r="AG451" i="2" s="1"/>
  <c r="AG468" i="2" s="1"/>
  <c r="AG412" i="2"/>
  <c r="AG461" i="2" s="1"/>
  <c r="AG478" i="2" s="1"/>
  <c r="AG403" i="2"/>
  <c r="AG452" i="2" s="1"/>
  <c r="AG469" i="2" s="1"/>
  <c r="AG413" i="2"/>
  <c r="AG462" i="2" s="1"/>
  <c r="AG479" i="2" s="1"/>
  <c r="AH3" i="54"/>
  <c r="AH24" i="54"/>
  <c r="AH24" i="23"/>
  <c r="AH3" i="23"/>
  <c r="AH45" i="23"/>
  <c r="AH3" i="2"/>
  <c r="AH3" i="19"/>
  <c r="AH10" i="49"/>
  <c r="AH3" i="45"/>
  <c r="CK3" i="45"/>
  <c r="AH11" i="37"/>
  <c r="AH10" i="36"/>
  <c r="CX41" i="1"/>
  <c r="CX42" i="1"/>
  <c r="CX45" i="1"/>
  <c r="CX60" i="1" s="1"/>
  <c r="CY44" i="1"/>
  <c r="AH403" i="2" l="1"/>
  <c r="AH452" i="2" s="1"/>
  <c r="AH469" i="2" s="1"/>
  <c r="AH404" i="2"/>
  <c r="AH453" i="2" s="1"/>
  <c r="AH470" i="2" s="1"/>
  <c r="AH409" i="2"/>
  <c r="AH458" i="2" s="1"/>
  <c r="AH475" i="2" s="1"/>
  <c r="AH413" i="2"/>
  <c r="AH462" i="2" s="1"/>
  <c r="AH479" i="2" s="1"/>
  <c r="AH402" i="2"/>
  <c r="AH451" i="2" s="1"/>
  <c r="AH468" i="2" s="1"/>
  <c r="AH405" i="2"/>
  <c r="AH454" i="2" s="1"/>
  <c r="AH471" i="2" s="1"/>
  <c r="AH406" i="2"/>
  <c r="AH455" i="2" s="1"/>
  <c r="AH472" i="2" s="1"/>
  <c r="AH410" i="2"/>
  <c r="AH459" i="2" s="1"/>
  <c r="AH476" i="2" s="1"/>
  <c r="AH407" i="2"/>
  <c r="AH456" i="2" s="1"/>
  <c r="AH473" i="2" s="1"/>
  <c r="AH411" i="2"/>
  <c r="AH460" i="2" s="1"/>
  <c r="AH477" i="2" s="1"/>
  <c r="AH408" i="2"/>
  <c r="AH457" i="2" s="1"/>
  <c r="AH474" i="2" s="1"/>
  <c r="AH412" i="2"/>
  <c r="AH461" i="2" s="1"/>
  <c r="AH478" i="2" s="1"/>
  <c r="AI3" i="54"/>
  <c r="AI24" i="54"/>
  <c r="CX61" i="1"/>
  <c r="AP94" i="2"/>
  <c r="AI24" i="23"/>
  <c r="AI3" i="23"/>
  <c r="AI45" i="23"/>
  <c r="CY45" i="1"/>
  <c r="CY60" i="1" s="1"/>
  <c r="CY41" i="1"/>
  <c r="CY42" i="1"/>
  <c r="BQ44" i="1"/>
  <c r="AI3" i="2"/>
  <c r="AI3" i="19"/>
  <c r="AI10" i="49"/>
  <c r="CL3" i="45"/>
  <c r="AI3" i="45"/>
  <c r="AI11" i="37"/>
  <c r="AI10" i="36"/>
  <c r="Q19" i="48"/>
  <c r="Q64" i="48" s="1"/>
  <c r="K17" i="48"/>
  <c r="K62" i="48" s="1"/>
  <c r="R243" i="23"/>
  <c r="R19" i="49" s="1"/>
  <c r="R63" i="49" s="1"/>
  <c r="N243" i="23"/>
  <c r="N19" i="49" s="1"/>
  <c r="N63" i="49" s="1"/>
  <c r="X22" i="48"/>
  <c r="X67" i="48" s="1"/>
  <c r="R19" i="48"/>
  <c r="R64" i="48" s="1"/>
  <c r="S16" i="49"/>
  <c r="S60" i="49" s="1"/>
  <c r="V243" i="23"/>
  <c r="V24" i="48" s="1"/>
  <c r="V69" i="48" s="1"/>
  <c r="L17" i="49"/>
  <c r="L61" i="49" s="1"/>
  <c r="I22" i="48"/>
  <c r="I67" i="48" s="1"/>
  <c r="H16" i="49"/>
  <c r="H60" i="49" s="1"/>
  <c r="E19" i="48"/>
  <c r="M15" i="49"/>
  <c r="M59" i="49" s="1"/>
  <c r="H15" i="49"/>
  <c r="H59" i="49" s="1"/>
  <c r="S19" i="48"/>
  <c r="H19" i="48"/>
  <c r="X17" i="48"/>
  <c r="X62" i="48" s="1"/>
  <c r="D243" i="23"/>
  <c r="D19" i="49" s="1"/>
  <c r="D63" i="49" s="1"/>
  <c r="U17" i="48"/>
  <c r="U62" i="48" s="1"/>
  <c r="R17" i="49"/>
  <c r="R61" i="49" s="1"/>
  <c r="W20" i="48"/>
  <c r="W65" i="48" s="1"/>
  <c r="J243" i="23"/>
  <c r="J19" i="49" s="1"/>
  <c r="J63" i="49" s="1"/>
  <c r="M22" i="48"/>
  <c r="M67" i="48" s="1"/>
  <c r="L243" i="23"/>
  <c r="L24" i="48" s="1"/>
  <c r="C243" i="23"/>
  <c r="C24" i="48" s="1"/>
  <c r="C69" i="48" s="1"/>
  <c r="S17" i="49"/>
  <c r="S61" i="49" s="1"/>
  <c r="R20" i="48"/>
  <c r="R65" i="48" s="1"/>
  <c r="C19" i="48"/>
  <c r="C20" i="48"/>
  <c r="C65" i="48" s="1"/>
  <c r="F21" i="48"/>
  <c r="F66" i="48" s="1"/>
  <c r="P17" i="48"/>
  <c r="P62" i="48" s="1"/>
  <c r="D19" i="48"/>
  <c r="T19" i="48"/>
  <c r="T64" i="48" s="1"/>
  <c r="U243" i="23"/>
  <c r="U24" i="48" s="1"/>
  <c r="U69" i="48" s="1"/>
  <c r="K243" i="23"/>
  <c r="K19" i="49" s="1"/>
  <c r="K63" i="49" s="1"/>
  <c r="D22" i="48"/>
  <c r="F22" i="48"/>
  <c r="F67" i="48" s="1"/>
  <c r="S243" i="23"/>
  <c r="S19" i="49" s="1"/>
  <c r="S63" i="49" s="1"/>
  <c r="J12" i="49"/>
  <c r="J56" i="49" s="1"/>
  <c r="X15" i="49"/>
  <c r="X59" i="49" s="1"/>
  <c r="K21" i="48"/>
  <c r="K66" i="48" s="1"/>
  <c r="E243" i="23"/>
  <c r="E24" i="48" s="1"/>
  <c r="E69" i="48" s="1"/>
  <c r="J19" i="48"/>
  <c r="J64" i="48" s="1"/>
  <c r="C16" i="49"/>
  <c r="C60" i="49" s="1"/>
  <c r="K20" i="48"/>
  <c r="K65" i="48" s="1"/>
  <c r="F17" i="48"/>
  <c r="F62" i="48" s="1"/>
  <c r="C11" i="49"/>
  <c r="C55" i="49" s="1"/>
  <c r="E12" i="49"/>
  <c r="E56" i="49" s="1"/>
  <c r="I19" i="48"/>
  <c r="I64" i="48" s="1"/>
  <c r="P19" i="48"/>
  <c r="P64" i="48" s="1"/>
  <c r="J16" i="49"/>
  <c r="J60" i="49" s="1"/>
  <c r="X16" i="49"/>
  <c r="X60" i="49" s="1"/>
  <c r="T243" i="23"/>
  <c r="T24" i="48" s="1"/>
  <c r="T69" i="48" s="1"/>
  <c r="I12" i="49"/>
  <c r="I56" i="49" s="1"/>
  <c r="X243" i="23"/>
  <c r="X19" i="49" s="1"/>
  <c r="X63" i="49" s="1"/>
  <c r="U16" i="49"/>
  <c r="U60" i="49" s="1"/>
  <c r="T22" i="48"/>
  <c r="T67" i="48" s="1"/>
  <c r="E17" i="49"/>
  <c r="E61" i="49" s="1"/>
  <c r="L12" i="49"/>
  <c r="L56" i="49" s="1"/>
  <c r="N15" i="49"/>
  <c r="N59" i="49" s="1"/>
  <c r="G21" i="48"/>
  <c r="G66" i="48" s="1"/>
  <c r="N12" i="49"/>
  <c r="N56" i="49" s="1"/>
  <c r="O20" i="48"/>
  <c r="O65" i="48" s="1"/>
  <c r="L15" i="49"/>
  <c r="L59" i="49" s="1"/>
  <c r="O19" i="48"/>
  <c r="O64" i="48" s="1"/>
  <c r="F15" i="49"/>
  <c r="F59" i="49" s="1"/>
  <c r="M19" i="48"/>
  <c r="M64" i="48" s="1"/>
  <c r="J15" i="49"/>
  <c r="J59" i="49" s="1"/>
  <c r="I18" i="48"/>
  <c r="I63" i="48" s="1"/>
  <c r="I13" i="49"/>
  <c r="I57" i="49" s="1"/>
  <c r="Y11" i="49"/>
  <c r="AF11" i="49"/>
  <c r="L19" i="48"/>
  <c r="L64" i="48" s="1"/>
  <c r="U19" i="48"/>
  <c r="U64" i="48" s="1"/>
  <c r="P16" i="49"/>
  <c r="P60" i="49" s="1"/>
  <c r="F11" i="49"/>
  <c r="F55" i="49" s="1"/>
  <c r="G18" i="48"/>
  <c r="G63" i="48" s="1"/>
  <c r="G13" i="49"/>
  <c r="G57" i="49" s="1"/>
  <c r="M16" i="49"/>
  <c r="M60" i="49" s="1"/>
  <c r="O11" i="49"/>
  <c r="O55" i="49" s="1"/>
  <c r="O17" i="48"/>
  <c r="O62" i="48" s="1"/>
  <c r="D12" i="49"/>
  <c r="D56" i="49" s="1"/>
  <c r="X19" i="48"/>
  <c r="H243" i="23"/>
  <c r="H19" i="49" s="1"/>
  <c r="H63" i="49" s="1"/>
  <c r="U17" i="49"/>
  <c r="U61" i="49" s="1"/>
  <c r="Q20" i="48"/>
  <c r="Q65" i="48" s="1"/>
  <c r="N18" i="48"/>
  <c r="N63" i="48" s="1"/>
  <c r="N13" i="49"/>
  <c r="N57" i="49" s="1"/>
  <c r="D16" i="49"/>
  <c r="D60" i="49" s="1"/>
  <c r="H17" i="48"/>
  <c r="H62" i="48" s="1"/>
  <c r="R18" i="48"/>
  <c r="R63" i="48" s="1"/>
  <c r="R13" i="49"/>
  <c r="R57" i="49" s="1"/>
  <c r="D18" i="48"/>
  <c r="D63" i="48" s="1"/>
  <c r="D13" i="49"/>
  <c r="D57" i="49" s="1"/>
  <c r="M12" i="49"/>
  <c r="M56" i="49" s="1"/>
  <c r="D20" i="48"/>
  <c r="D65" i="48" s="1"/>
  <c r="I11" i="49"/>
  <c r="I55" i="49" s="1"/>
  <c r="K11" i="49"/>
  <c r="K55" i="49" s="1"/>
  <c r="K18" i="48"/>
  <c r="K63" i="48" s="1"/>
  <c r="K13" i="49"/>
  <c r="K57" i="49" s="1"/>
  <c r="S11" i="49"/>
  <c r="S55" i="49" s="1"/>
  <c r="O243" i="23"/>
  <c r="O24" i="48" s="1"/>
  <c r="O69" i="48" s="1"/>
  <c r="N22" i="48"/>
  <c r="N67" i="48" s="1"/>
  <c r="W16" i="49"/>
  <c r="W60" i="49" s="1"/>
  <c r="AI11" i="49"/>
  <c r="S20" i="48"/>
  <c r="S65" i="48" s="1"/>
  <c r="I243" i="23"/>
  <c r="I24" i="48" s="1"/>
  <c r="I69" i="48" s="1"/>
  <c r="E21" i="48"/>
  <c r="E66" i="48" s="1"/>
  <c r="C17" i="48"/>
  <c r="C62" i="48" s="1"/>
  <c r="P20" i="48"/>
  <c r="P65" i="48" s="1"/>
  <c r="E20" i="48"/>
  <c r="E65" i="48" s="1"/>
  <c r="Q18" i="48"/>
  <c r="Q63" i="48" s="1"/>
  <c r="Q13" i="49"/>
  <c r="Q57" i="49" s="1"/>
  <c r="N11" i="49"/>
  <c r="N55" i="49" s="1"/>
  <c r="D11" i="49"/>
  <c r="D55" i="49" s="1"/>
  <c r="G19" i="48"/>
  <c r="G64" i="48" s="1"/>
  <c r="C13" i="49"/>
  <c r="C57" i="49" s="1"/>
  <c r="C18" i="48"/>
  <c r="C63" i="48" s="1"/>
  <c r="M13" i="49"/>
  <c r="M57" i="49" s="1"/>
  <c r="M18" i="48"/>
  <c r="M63" i="48" s="1"/>
  <c r="N21" i="48"/>
  <c r="N66" i="48" s="1"/>
  <c r="H18" i="48"/>
  <c r="H63" i="48" s="1"/>
  <c r="H13" i="49"/>
  <c r="H57" i="49" s="1"/>
  <c r="F18" i="48"/>
  <c r="F63" i="48" s="1"/>
  <c r="F13" i="49"/>
  <c r="F57" i="49" s="1"/>
  <c r="H11" i="49"/>
  <c r="H55" i="49" s="1"/>
  <c r="O18" i="48"/>
  <c r="O63" i="48" s="1"/>
  <c r="O13" i="49"/>
  <c r="O57" i="49" s="1"/>
  <c r="G11" i="49"/>
  <c r="G55" i="49" s="1"/>
  <c r="P13" i="49"/>
  <c r="P57" i="49" s="1"/>
  <c r="P18" i="48"/>
  <c r="P63" i="48" s="1"/>
  <c r="J13" i="49"/>
  <c r="J57" i="49" s="1"/>
  <c r="J18" i="48"/>
  <c r="J63" i="48" s="1"/>
  <c r="N19" i="48"/>
  <c r="N64" i="48" s="1"/>
  <c r="O16" i="49"/>
  <c r="O60" i="49" s="1"/>
  <c r="G17" i="48"/>
  <c r="G62" i="48" s="1"/>
  <c r="M11" i="49"/>
  <c r="M55" i="49" s="1"/>
  <c r="R11" i="49"/>
  <c r="R55" i="49" s="1"/>
  <c r="E11" i="49"/>
  <c r="E55" i="49" s="1"/>
  <c r="G15" i="49"/>
  <c r="G59" i="49" s="1"/>
  <c r="J11" i="49"/>
  <c r="J55" i="49" s="1"/>
  <c r="P11" i="49"/>
  <c r="P55" i="49" s="1"/>
  <c r="I15" i="49"/>
  <c r="I59" i="49" s="1"/>
  <c r="Q11" i="49"/>
  <c r="Q55" i="49" s="1"/>
  <c r="Q17" i="48"/>
  <c r="Q62" i="48" s="1"/>
  <c r="R12" i="49"/>
  <c r="R56" i="49" s="1"/>
  <c r="Z11" i="49"/>
  <c r="V17" i="49"/>
  <c r="V61" i="49" s="1"/>
  <c r="T16" i="49"/>
  <c r="T60" i="49" s="1"/>
  <c r="L11" i="49"/>
  <c r="L55" i="49" s="1"/>
  <c r="T17" i="48"/>
  <c r="T62" i="48" s="1"/>
  <c r="V19" i="48"/>
  <c r="V64" i="48" s="1"/>
  <c r="U13" i="49"/>
  <c r="U57" i="49" s="1"/>
  <c r="U18" i="48"/>
  <c r="U63" i="48" s="1"/>
  <c r="P243" i="23"/>
  <c r="P19" i="49" s="1"/>
  <c r="P63" i="49" s="1"/>
  <c r="J17" i="49"/>
  <c r="J61" i="49" s="1"/>
  <c r="W19" i="48"/>
  <c r="W64" i="48" s="1"/>
  <c r="T11" i="49"/>
  <c r="T55" i="49" s="1"/>
  <c r="S17" i="48"/>
  <c r="S62" i="48" s="1"/>
  <c r="U15" i="49"/>
  <c r="U59" i="49" s="1"/>
  <c r="AH11" i="49"/>
  <c r="S18" i="48"/>
  <c r="S63" i="48" s="1"/>
  <c r="S13" i="49"/>
  <c r="S57" i="49" s="1"/>
  <c r="V20" i="48"/>
  <c r="V65" i="48" s="1"/>
  <c r="K22" i="48"/>
  <c r="K67" i="48" s="1"/>
  <c r="X18" i="48"/>
  <c r="X63" i="48" s="1"/>
  <c r="X13" i="49"/>
  <c r="X57" i="49" s="1"/>
  <c r="W243" i="23"/>
  <c r="W24" i="48" s="1"/>
  <c r="W69" i="48" s="1"/>
  <c r="O17" i="49"/>
  <c r="O61" i="49" s="1"/>
  <c r="H17" i="49"/>
  <c r="H61" i="49" s="1"/>
  <c r="AI13" i="49"/>
  <c r="AC13" i="49"/>
  <c r="AE13" i="49"/>
  <c r="AC11" i="49"/>
  <c r="AH243" i="23"/>
  <c r="AH19" i="49" s="1"/>
  <c r="Q243" i="23"/>
  <c r="Q19" i="49" s="1"/>
  <c r="Q63" i="49" s="1"/>
  <c r="V18" i="48"/>
  <c r="V63" i="48" s="1"/>
  <c r="V13" i="49"/>
  <c r="V57" i="49" s="1"/>
  <c r="T20" i="48"/>
  <c r="T65" i="48" s="1"/>
  <c r="K19" i="48"/>
  <c r="K64" i="48" s="1"/>
  <c r="AB13" i="49"/>
  <c r="AA13" i="49"/>
  <c r="AG11" i="49"/>
  <c r="AF13" i="49"/>
  <c r="F19" i="48"/>
  <c r="F64" i="48" s="1"/>
  <c r="Y12" i="49"/>
  <c r="AE14" i="49"/>
  <c r="AG16" i="49"/>
  <c r="AB12" i="49"/>
  <c r="AH14" i="49"/>
  <c r="AG15" i="49"/>
  <c r="Z17" i="49"/>
  <c r="AA14" i="49"/>
  <c r="Z15" i="49"/>
  <c r="AA16" i="49"/>
  <c r="M243" i="23"/>
  <c r="M24" i="48" s="1"/>
  <c r="M69" i="48" s="1"/>
  <c r="I16" i="49"/>
  <c r="I60" i="49" s="1"/>
  <c r="G22" i="48"/>
  <c r="G67" i="48" s="1"/>
  <c r="V17" i="48"/>
  <c r="V62" i="48" s="1"/>
  <c r="W17" i="49"/>
  <c r="W61" i="49" s="1"/>
  <c r="X11" i="49"/>
  <c r="X55" i="49" s="1"/>
  <c r="AG13" i="49"/>
  <c r="Y13" i="49"/>
  <c r="Z13" i="49"/>
  <c r="T18" i="48"/>
  <c r="T63" i="48" s="1"/>
  <c r="T13" i="49"/>
  <c r="T57" i="49" s="1"/>
  <c r="W12" i="49"/>
  <c r="W56" i="49" s="1"/>
  <c r="E18" i="48"/>
  <c r="E63" i="48" s="1"/>
  <c r="E13" i="49"/>
  <c r="E57" i="49" s="1"/>
  <c r="L18" i="48"/>
  <c r="L63" i="48" s="1"/>
  <c r="L13" i="49"/>
  <c r="L57" i="49" s="1"/>
  <c r="AE11" i="49"/>
  <c r="P17" i="49"/>
  <c r="P61" i="49" s="1"/>
  <c r="V21" i="48"/>
  <c r="V66" i="48" s="1"/>
  <c r="W18" i="48"/>
  <c r="W63" i="48" s="1"/>
  <c r="W13" i="49"/>
  <c r="W57" i="49" s="1"/>
  <c r="G243" i="23"/>
  <c r="G19" i="49" s="1"/>
  <c r="G63" i="49" s="1"/>
  <c r="Q16" i="49"/>
  <c r="Q60" i="49" s="1"/>
  <c r="R16" i="49"/>
  <c r="R60" i="49" s="1"/>
  <c r="Q22" i="48"/>
  <c r="Q67" i="48" s="1"/>
  <c r="L21" i="48"/>
  <c r="L66" i="48" s="1"/>
  <c r="U11" i="49"/>
  <c r="U55" i="49" s="1"/>
  <c r="V11" i="49"/>
  <c r="V55" i="49" s="1"/>
  <c r="C17" i="49"/>
  <c r="C61" i="49" s="1"/>
  <c r="F243" i="23"/>
  <c r="F24" i="48" s="1"/>
  <c r="F69" i="48" s="1"/>
  <c r="W11" i="49"/>
  <c r="W55" i="49" s="1"/>
  <c r="AA11" i="49"/>
  <c r="AB11" i="49"/>
  <c r="AD11" i="49"/>
  <c r="AH13" i="49"/>
  <c r="AD13" i="49"/>
  <c r="AG12" i="49"/>
  <c r="AD15" i="49"/>
  <c r="Z14" i="49"/>
  <c r="Y15" i="49"/>
  <c r="Z16" i="49"/>
  <c r="AE243" i="23"/>
  <c r="AE19" i="49" s="1"/>
  <c r="AC12" i="49"/>
  <c r="AI14" i="49"/>
  <c r="AH15" i="49"/>
  <c r="AF17" i="49"/>
  <c r="O246" i="23"/>
  <c r="D171" i="23"/>
  <c r="AL171" i="23" s="1"/>
  <c r="AE15" i="49"/>
  <c r="Q244" i="23"/>
  <c r="AH12" i="49"/>
  <c r="AF14" i="49"/>
  <c r="AI15" i="49"/>
  <c r="AC16" i="49"/>
  <c r="AB17" i="49"/>
  <c r="Z243" i="23"/>
  <c r="Z19" i="49" s="1"/>
  <c r="Y244" i="23"/>
  <c r="AE246" i="23"/>
  <c r="Z12" i="49"/>
  <c r="AG244" i="23"/>
  <c r="AD12" i="49"/>
  <c r="AB14" i="49"/>
  <c r="AA15" i="49"/>
  <c r="I244" i="23"/>
  <c r="G246" i="23"/>
  <c r="AA12" i="49"/>
  <c r="AE12" i="49"/>
  <c r="AI12" i="49"/>
  <c r="Y14" i="49"/>
  <c r="AC14" i="49"/>
  <c r="AG14" i="49"/>
  <c r="AB15" i="49"/>
  <c r="AF15" i="49"/>
  <c r="AF16" i="49"/>
  <c r="AE17" i="49"/>
  <c r="AC243" i="23"/>
  <c r="AC19" i="49" s="1"/>
  <c r="D244" i="23"/>
  <c r="L244" i="23"/>
  <c r="T244" i="23"/>
  <c r="AB244" i="23"/>
  <c r="J246" i="23"/>
  <c r="S246" i="23"/>
  <c r="AI246" i="23"/>
  <c r="AF12" i="49"/>
  <c r="AD14" i="49"/>
  <c r="AC15" i="49"/>
  <c r="Y16" i="49"/>
  <c r="AD243" i="23"/>
  <c r="AD19" i="49" s="1"/>
  <c r="E244" i="23"/>
  <c r="M244" i="23"/>
  <c r="U244" i="23"/>
  <c r="AC244" i="23"/>
  <c r="C246" i="23"/>
  <c r="K246" i="23"/>
  <c r="W246" i="23"/>
  <c r="AB16" i="49"/>
  <c r="AA17" i="49"/>
  <c r="AI17" i="49"/>
  <c r="Y243" i="23"/>
  <c r="Y19" i="49" s="1"/>
  <c r="AG243" i="23"/>
  <c r="AG19" i="49" s="1"/>
  <c r="H244" i="23"/>
  <c r="P244" i="23"/>
  <c r="X244" i="23"/>
  <c r="AF244" i="23"/>
  <c r="F246" i="23"/>
  <c r="N246" i="23"/>
  <c r="AA246" i="23"/>
  <c r="AD16" i="49"/>
  <c r="AH16" i="49"/>
  <c r="Y17" i="49"/>
  <c r="AC17" i="49"/>
  <c r="AG17" i="49"/>
  <c r="AA243" i="23"/>
  <c r="AA19" i="49" s="1"/>
  <c r="AI243" i="23"/>
  <c r="AI19" i="49" s="1"/>
  <c r="F244" i="23"/>
  <c r="J244" i="23"/>
  <c r="N244" i="23"/>
  <c r="R244" i="23"/>
  <c r="V244" i="23"/>
  <c r="Z244" i="23"/>
  <c r="AD244" i="23"/>
  <c r="AH244" i="23"/>
  <c r="D246" i="23"/>
  <c r="H246" i="23"/>
  <c r="L246" i="23"/>
  <c r="P246" i="23"/>
  <c r="T246" i="23"/>
  <c r="X246" i="23"/>
  <c r="AB246" i="23"/>
  <c r="AF246" i="23"/>
  <c r="AK235" i="23"/>
  <c r="AE16" i="49"/>
  <c r="AI16" i="49"/>
  <c r="AD17" i="49"/>
  <c r="AH17" i="49"/>
  <c r="AB243" i="23"/>
  <c r="AB19" i="49" s="1"/>
  <c r="AF243" i="23"/>
  <c r="AF19" i="49" s="1"/>
  <c r="C244" i="23"/>
  <c r="G244" i="23"/>
  <c r="K244" i="23"/>
  <c r="O244" i="23"/>
  <c r="S244" i="23"/>
  <c r="W244" i="23"/>
  <c r="AA244" i="23"/>
  <c r="AE244" i="23"/>
  <c r="AI244" i="23"/>
  <c r="E246" i="23"/>
  <c r="I246" i="23"/>
  <c r="M246" i="23"/>
  <c r="Q246" i="23"/>
  <c r="U246" i="23"/>
  <c r="Y246" i="23"/>
  <c r="AC246" i="23"/>
  <c r="AG246" i="23"/>
  <c r="C16" i="48"/>
  <c r="C61" i="48" s="1"/>
  <c r="R246" i="23"/>
  <c r="V246" i="23"/>
  <c r="Z246" i="23"/>
  <c r="AD246" i="23"/>
  <c r="AH246" i="23"/>
  <c r="F61" i="48"/>
  <c r="N61" i="48"/>
  <c r="K61" i="48"/>
  <c r="M61" i="48"/>
  <c r="Q61" i="48"/>
  <c r="S61" i="48"/>
  <c r="I61" i="48"/>
  <c r="E61" i="48"/>
  <c r="L61" i="48"/>
  <c r="L69" i="48"/>
  <c r="D61" i="48"/>
  <c r="H61" i="48"/>
  <c r="G61" i="48"/>
  <c r="R61" i="48"/>
  <c r="J61" i="48"/>
  <c r="P61" i="48"/>
  <c r="O61" i="48"/>
  <c r="T61" i="48"/>
  <c r="D67" i="48"/>
  <c r="W61" i="48"/>
  <c r="D64" i="48"/>
  <c r="P68" i="48"/>
  <c r="G68" i="48"/>
  <c r="V68" i="48"/>
  <c r="I68" i="48"/>
  <c r="S68" i="48"/>
  <c r="C64" i="48"/>
  <c r="M68" i="48"/>
  <c r="F68" i="48"/>
  <c r="U68" i="48"/>
  <c r="C68" i="48"/>
  <c r="T68" i="48"/>
  <c r="U61" i="48"/>
  <c r="V61" i="48"/>
  <c r="H64" i="48"/>
  <c r="E64" i="48"/>
  <c r="Q68" i="48"/>
  <c r="J68" i="48"/>
  <c r="R68" i="48"/>
  <c r="L68" i="48"/>
  <c r="K68" i="48"/>
  <c r="E68" i="48"/>
  <c r="S64" i="48"/>
  <c r="X61" i="48"/>
  <c r="O68" i="48"/>
  <c r="X68" i="48"/>
  <c r="D68" i="48"/>
  <c r="W68" i="48"/>
  <c r="H68" i="48"/>
  <c r="N68" i="48"/>
  <c r="X64" i="48"/>
  <c r="EG302" i="1" l="1"/>
  <c r="EG301" i="1"/>
  <c r="EG15" i="1"/>
  <c r="EG19" i="1"/>
  <c r="EG23" i="1"/>
  <c r="EG27" i="1"/>
  <c r="EG31" i="1"/>
  <c r="EG12" i="1"/>
  <c r="EG16" i="1"/>
  <c r="EG20" i="1"/>
  <c r="EG24" i="1"/>
  <c r="EG28" i="1"/>
  <c r="EG13" i="1"/>
  <c r="EG17" i="1"/>
  <c r="EG21" i="1"/>
  <c r="EG25" i="1"/>
  <c r="EG29" i="1"/>
  <c r="EG14" i="1"/>
  <c r="EG18" i="1"/>
  <c r="EG22" i="1"/>
  <c r="EG26" i="1"/>
  <c r="EG33" i="1"/>
  <c r="EG37" i="1"/>
  <c r="EG41" i="1"/>
  <c r="EG45" i="1"/>
  <c r="EG49" i="1"/>
  <c r="EG30" i="1"/>
  <c r="EG34" i="1"/>
  <c r="EG38" i="1"/>
  <c r="EG42" i="1"/>
  <c r="EG46" i="1"/>
  <c r="EG50" i="1"/>
  <c r="EG35" i="1"/>
  <c r="EG39" i="1"/>
  <c r="EG43" i="1"/>
  <c r="EG47" i="1"/>
  <c r="EG32" i="1"/>
  <c r="EG36" i="1"/>
  <c r="EG44" i="1"/>
  <c r="EG51" i="1"/>
  <c r="EG55" i="1"/>
  <c r="EG59" i="1"/>
  <c r="EG63" i="1"/>
  <c r="EG67" i="1"/>
  <c r="EG48" i="1"/>
  <c r="EG52" i="1"/>
  <c r="EG56" i="1"/>
  <c r="EG60" i="1"/>
  <c r="EG64" i="1"/>
  <c r="EG53" i="1"/>
  <c r="EG57" i="1"/>
  <c r="EG61" i="1"/>
  <c r="EG65" i="1"/>
  <c r="EG40" i="1"/>
  <c r="EG54" i="1"/>
  <c r="EG58" i="1"/>
  <c r="EG62" i="1"/>
  <c r="EG66" i="1"/>
  <c r="EG70" i="1"/>
  <c r="EG74" i="1"/>
  <c r="EG78" i="1"/>
  <c r="EG82" i="1"/>
  <c r="EG86" i="1"/>
  <c r="EG90" i="1"/>
  <c r="EG94" i="1"/>
  <c r="EG98" i="1"/>
  <c r="EG102" i="1"/>
  <c r="EG106" i="1"/>
  <c r="EG71" i="1"/>
  <c r="EG75" i="1"/>
  <c r="EG79" i="1"/>
  <c r="EG83" i="1"/>
  <c r="EG87" i="1"/>
  <c r="EG91" i="1"/>
  <c r="EG95" i="1"/>
  <c r="EG99" i="1"/>
  <c r="EG103" i="1"/>
  <c r="EG107" i="1"/>
  <c r="EG68" i="1"/>
  <c r="EG72" i="1"/>
  <c r="EG76" i="1"/>
  <c r="EG80" i="1"/>
  <c r="EG84" i="1"/>
  <c r="EG88" i="1"/>
  <c r="EG92" i="1"/>
  <c r="EG96" i="1"/>
  <c r="EG100" i="1"/>
  <c r="EG104" i="1"/>
  <c r="EG69" i="1"/>
  <c r="EG73" i="1"/>
  <c r="EG77" i="1"/>
  <c r="EG81" i="1"/>
  <c r="EG85" i="1"/>
  <c r="EG89" i="1"/>
  <c r="EG93" i="1"/>
  <c r="EG97" i="1"/>
  <c r="EG101" i="1"/>
  <c r="EG105" i="1"/>
  <c r="EG110" i="1"/>
  <c r="EG114" i="1"/>
  <c r="EG118" i="1"/>
  <c r="EG122" i="1"/>
  <c r="EG126" i="1"/>
  <c r="EG130" i="1"/>
  <c r="EG134" i="1"/>
  <c r="EG138" i="1"/>
  <c r="EG142" i="1"/>
  <c r="EG146" i="1"/>
  <c r="EG111" i="1"/>
  <c r="EG115" i="1"/>
  <c r="EG119" i="1"/>
  <c r="EG123" i="1"/>
  <c r="EG127" i="1"/>
  <c r="EG131" i="1"/>
  <c r="EG135" i="1"/>
  <c r="EG139" i="1"/>
  <c r="EG143" i="1"/>
  <c r="EG147" i="1"/>
  <c r="EG108" i="1"/>
  <c r="EG112" i="1"/>
  <c r="EG116" i="1"/>
  <c r="EG120" i="1"/>
  <c r="EG124" i="1"/>
  <c r="EG128" i="1"/>
  <c r="EG132" i="1"/>
  <c r="EG136" i="1"/>
  <c r="EG140" i="1"/>
  <c r="EG144" i="1"/>
  <c r="EG109" i="1"/>
  <c r="EG113" i="1"/>
  <c r="EG117" i="1"/>
  <c r="EG121" i="1"/>
  <c r="EG125" i="1"/>
  <c r="EG129" i="1"/>
  <c r="EG133" i="1"/>
  <c r="EG137" i="1"/>
  <c r="EG141" i="1"/>
  <c r="EG145" i="1"/>
  <c r="EG150" i="1"/>
  <c r="EG154" i="1"/>
  <c r="EG158" i="1"/>
  <c r="EG162" i="1"/>
  <c r="EG166" i="1"/>
  <c r="EG170" i="1"/>
  <c r="EG174" i="1"/>
  <c r="EG178" i="1"/>
  <c r="EG182" i="1"/>
  <c r="EG151" i="1"/>
  <c r="EG155" i="1"/>
  <c r="EG159" i="1"/>
  <c r="EG163" i="1"/>
  <c r="EG167" i="1"/>
  <c r="EG171" i="1"/>
  <c r="EG175" i="1"/>
  <c r="EG179" i="1"/>
  <c r="EG183" i="1"/>
  <c r="EG148" i="1"/>
  <c r="EG152" i="1"/>
  <c r="EG156" i="1"/>
  <c r="EG160" i="1"/>
  <c r="EG164" i="1"/>
  <c r="EG168" i="1"/>
  <c r="EG172" i="1"/>
  <c r="EG176" i="1"/>
  <c r="EG180" i="1"/>
  <c r="EG184" i="1"/>
  <c r="EG149" i="1"/>
  <c r="EG153" i="1"/>
  <c r="EG157" i="1"/>
  <c r="EG161" i="1"/>
  <c r="EG165" i="1"/>
  <c r="EG169" i="1"/>
  <c r="EG173" i="1"/>
  <c r="EG177" i="1"/>
  <c r="EG181" i="1"/>
  <c r="EG185" i="1"/>
  <c r="EG189" i="1"/>
  <c r="EG193" i="1"/>
  <c r="EG197" i="1"/>
  <c r="EG201" i="1"/>
  <c r="EG205" i="1"/>
  <c r="EG209" i="1"/>
  <c r="EG213" i="1"/>
  <c r="EG217" i="1"/>
  <c r="EG221" i="1"/>
  <c r="EG225" i="1"/>
  <c r="EG186" i="1"/>
  <c r="EG190" i="1"/>
  <c r="EG194" i="1"/>
  <c r="EG198" i="1"/>
  <c r="EG202" i="1"/>
  <c r="EG206" i="1"/>
  <c r="EG210" i="1"/>
  <c r="EG214" i="1"/>
  <c r="EG218" i="1"/>
  <c r="EG222" i="1"/>
  <c r="EG226" i="1"/>
  <c r="EG187" i="1"/>
  <c r="EG191" i="1"/>
  <c r="EG195" i="1"/>
  <c r="EG199" i="1"/>
  <c r="EG203" i="1"/>
  <c r="EG207" i="1"/>
  <c r="EG211" i="1"/>
  <c r="EG215" i="1"/>
  <c r="EG219" i="1"/>
  <c r="EG223" i="1"/>
  <c r="EG227" i="1"/>
  <c r="EG188" i="1"/>
  <c r="EG192" i="1"/>
  <c r="EG196" i="1"/>
  <c r="EG200" i="1"/>
  <c r="EG204" i="1"/>
  <c r="EG208" i="1"/>
  <c r="EG212" i="1"/>
  <c r="EG216" i="1"/>
  <c r="EG220" i="1"/>
  <c r="EG224" i="1"/>
  <c r="EG228" i="1"/>
  <c r="EG232" i="1"/>
  <c r="EG236" i="1"/>
  <c r="EG240" i="1"/>
  <c r="EG244" i="1"/>
  <c r="EG248" i="1"/>
  <c r="EG252" i="1"/>
  <c r="EG256" i="1"/>
  <c r="EG260" i="1"/>
  <c r="EG264" i="1"/>
  <c r="EG268" i="1"/>
  <c r="EG272" i="1"/>
  <c r="EG276" i="1"/>
  <c r="EG280" i="1"/>
  <c r="EG284" i="1"/>
  <c r="EG288" i="1"/>
  <c r="EG292" i="1"/>
  <c r="EG296" i="1"/>
  <c r="EG300" i="1"/>
  <c r="EG229" i="1"/>
  <c r="EG233" i="1"/>
  <c r="EG237" i="1"/>
  <c r="EG241" i="1"/>
  <c r="EG245" i="1"/>
  <c r="EG249" i="1"/>
  <c r="EG253" i="1"/>
  <c r="EG257" i="1"/>
  <c r="EG261" i="1"/>
  <c r="EG265" i="1"/>
  <c r="EG269" i="1"/>
  <c r="EG273" i="1"/>
  <c r="EG277" i="1"/>
  <c r="EG281" i="1"/>
  <c r="EG285" i="1"/>
  <c r="EG289" i="1"/>
  <c r="EG293" i="1"/>
  <c r="EG297" i="1"/>
  <c r="EG230" i="1"/>
  <c r="EG234" i="1"/>
  <c r="EG238" i="1"/>
  <c r="EG242" i="1"/>
  <c r="EG246" i="1"/>
  <c r="EG250" i="1"/>
  <c r="EG254" i="1"/>
  <c r="EG258" i="1"/>
  <c r="EG262" i="1"/>
  <c r="EG266" i="1"/>
  <c r="EG270" i="1"/>
  <c r="EG274" i="1"/>
  <c r="EG278" i="1"/>
  <c r="EG282" i="1"/>
  <c r="EG286" i="1"/>
  <c r="EG290" i="1"/>
  <c r="EG294" i="1"/>
  <c r="EG298" i="1"/>
  <c r="EG231" i="1"/>
  <c r="EG235" i="1"/>
  <c r="EG239" i="1"/>
  <c r="EG243" i="1"/>
  <c r="EG247" i="1"/>
  <c r="EG251" i="1"/>
  <c r="EG255" i="1"/>
  <c r="EG259" i="1"/>
  <c r="EG263" i="1"/>
  <c r="EG267" i="1"/>
  <c r="EG271" i="1"/>
  <c r="EG275" i="1"/>
  <c r="EG279" i="1"/>
  <c r="EG283" i="1"/>
  <c r="EG287" i="1"/>
  <c r="EG291" i="1"/>
  <c r="EG295" i="1"/>
  <c r="EG299" i="1"/>
  <c r="AI403" i="2"/>
  <c r="AI452" i="2" s="1"/>
  <c r="AI469" i="2" s="1"/>
  <c r="AI408" i="2"/>
  <c r="AI457" i="2" s="1"/>
  <c r="AI474" i="2" s="1"/>
  <c r="AI412" i="2"/>
  <c r="AI461" i="2" s="1"/>
  <c r="AI478" i="2" s="1"/>
  <c r="AI404" i="2"/>
  <c r="AI453" i="2" s="1"/>
  <c r="AI470" i="2" s="1"/>
  <c r="AI409" i="2"/>
  <c r="AI458" i="2" s="1"/>
  <c r="AI475" i="2" s="1"/>
  <c r="AI413" i="2"/>
  <c r="AI462" i="2" s="1"/>
  <c r="AI479" i="2" s="1"/>
  <c r="AI402" i="2"/>
  <c r="AI451" i="2" s="1"/>
  <c r="AI468" i="2" s="1"/>
  <c r="AI405" i="2"/>
  <c r="AI454" i="2" s="1"/>
  <c r="AI471" i="2" s="1"/>
  <c r="AI406" i="2"/>
  <c r="AI455" i="2" s="1"/>
  <c r="AI472" i="2" s="1"/>
  <c r="AI410" i="2"/>
  <c r="AI459" i="2" s="1"/>
  <c r="AI476" i="2" s="1"/>
  <c r="AI407" i="2"/>
  <c r="AI456" i="2" s="1"/>
  <c r="AI473" i="2" s="1"/>
  <c r="AI411" i="2"/>
  <c r="AI460" i="2" s="1"/>
  <c r="AI477" i="2" s="1"/>
  <c r="AJ3" i="54"/>
  <c r="AJ24" i="54"/>
  <c r="EG8" i="1"/>
  <c r="CY61" i="1"/>
  <c r="HI2" i="1"/>
  <c r="EG3" i="1"/>
  <c r="EG6" i="1"/>
  <c r="EG10" i="1"/>
  <c r="EG11" i="1"/>
  <c r="EG7" i="1"/>
  <c r="EG5" i="1"/>
  <c r="EG9" i="1"/>
  <c r="EG2" i="1"/>
  <c r="EG4" i="1"/>
  <c r="CX62" i="1"/>
  <c r="AP95" i="2"/>
  <c r="AJ45" i="23"/>
  <c r="AJ24" i="23"/>
  <c r="AJ3" i="23"/>
  <c r="AJ3" i="45"/>
  <c r="AN176" i="23"/>
  <c r="AK119" i="23"/>
  <c r="AK122" i="23" s="1"/>
  <c r="AN171" i="23"/>
  <c r="AN174" i="23"/>
  <c r="AN175" i="23"/>
  <c r="AN172" i="23"/>
  <c r="AN181" i="23"/>
  <c r="AN177" i="23"/>
  <c r="AN173" i="23"/>
  <c r="C22" i="45"/>
  <c r="D22" i="45" s="1"/>
  <c r="E22" i="45" s="1"/>
  <c r="F22" i="45" s="1"/>
  <c r="G22" i="45" s="1"/>
  <c r="H22" i="45" s="1"/>
  <c r="I22" i="45" s="1"/>
  <c r="J22" i="45" s="1"/>
  <c r="K22" i="45" s="1"/>
  <c r="L22" i="45" s="1"/>
  <c r="M22" i="45" s="1"/>
  <c r="N22" i="45" s="1"/>
  <c r="O22" i="45" s="1"/>
  <c r="P22" i="45" s="1"/>
  <c r="Q22" i="45" s="1"/>
  <c r="R22" i="45" s="1"/>
  <c r="S22" i="45" s="1"/>
  <c r="T22" i="45" s="1"/>
  <c r="U22" i="45" s="1"/>
  <c r="V22" i="45" s="1"/>
  <c r="W22" i="45" s="1"/>
  <c r="X22" i="45" s="1"/>
  <c r="Y22" i="45" s="1"/>
  <c r="Z22" i="45" s="1"/>
  <c r="AA22" i="45" s="1"/>
  <c r="AB22" i="45" s="1"/>
  <c r="AC22" i="45" s="1"/>
  <c r="AD22" i="45" s="1"/>
  <c r="AE22" i="45" s="1"/>
  <c r="AF22" i="45" s="1"/>
  <c r="AG22" i="45" s="1"/>
  <c r="AH22" i="45" s="1"/>
  <c r="AI22" i="45" s="1"/>
  <c r="AJ22" i="45" s="1"/>
  <c r="C15" i="51"/>
  <c r="D15" i="51" s="1"/>
  <c r="E15" i="51" s="1"/>
  <c r="F15" i="51" s="1"/>
  <c r="G15" i="51" s="1"/>
  <c r="H15" i="51" s="1"/>
  <c r="I15" i="51" s="1"/>
  <c r="J15" i="51" s="1"/>
  <c r="K15" i="51" s="1"/>
  <c r="L15" i="51" s="1"/>
  <c r="M15" i="51" s="1"/>
  <c r="N15" i="51" s="1"/>
  <c r="O15" i="51" s="1"/>
  <c r="P15" i="51" s="1"/>
  <c r="Q15" i="51" s="1"/>
  <c r="R15" i="51" s="1"/>
  <c r="S15" i="51" s="1"/>
  <c r="T15" i="51" s="1"/>
  <c r="U15" i="51" s="1"/>
  <c r="V15" i="51" s="1"/>
  <c r="W15" i="51" s="1"/>
  <c r="X15" i="51" s="1"/>
  <c r="Y15" i="51" s="1"/>
  <c r="Z15" i="51" s="1"/>
  <c r="AA15" i="51" s="1"/>
  <c r="AB15" i="51" s="1"/>
  <c r="AC15" i="51" s="1"/>
  <c r="AD15" i="51" s="1"/>
  <c r="AE15" i="51" s="1"/>
  <c r="AF15" i="51" s="1"/>
  <c r="AG15" i="51" s="1"/>
  <c r="AH15" i="51" s="1"/>
  <c r="AI15" i="51" s="1"/>
  <c r="AJ15" i="51" s="1"/>
  <c r="BF41" i="45"/>
  <c r="BG41" i="45" s="1"/>
  <c r="BH41" i="45" s="1"/>
  <c r="BI41" i="45" s="1"/>
  <c r="BJ41" i="45" s="1"/>
  <c r="BK41" i="45" s="1"/>
  <c r="BL41" i="45" s="1"/>
  <c r="BM41" i="45" s="1"/>
  <c r="BN41" i="45" s="1"/>
  <c r="BO41" i="45" s="1"/>
  <c r="BP41" i="45" s="1"/>
  <c r="BQ41" i="45" s="1"/>
  <c r="BR41" i="45" s="1"/>
  <c r="BS41" i="45" s="1"/>
  <c r="BT41" i="45" s="1"/>
  <c r="BU41" i="45" s="1"/>
  <c r="BV41" i="45" s="1"/>
  <c r="BW41" i="45" s="1"/>
  <c r="BX41" i="45" s="1"/>
  <c r="BY41" i="45" s="1"/>
  <c r="BZ41" i="45" s="1"/>
  <c r="CA41" i="45" s="1"/>
  <c r="CB41" i="45" s="1"/>
  <c r="CC41" i="45" s="1"/>
  <c r="CD41" i="45" s="1"/>
  <c r="CE41" i="45" s="1"/>
  <c r="CF41" i="45" s="1"/>
  <c r="CG41" i="45" s="1"/>
  <c r="CH41" i="45" s="1"/>
  <c r="CI41" i="45" s="1"/>
  <c r="CJ41" i="45" s="1"/>
  <c r="CK41" i="45" s="1"/>
  <c r="CL41" i="45" s="1"/>
  <c r="BF22" i="45"/>
  <c r="BG22" i="45" s="1"/>
  <c r="BH22" i="45" s="1"/>
  <c r="BI22" i="45" s="1"/>
  <c r="BJ22" i="45" s="1"/>
  <c r="BK22" i="45" s="1"/>
  <c r="BL22" i="45" s="1"/>
  <c r="BM22" i="45" s="1"/>
  <c r="BN22" i="45" s="1"/>
  <c r="BO22" i="45" s="1"/>
  <c r="BP22" i="45" s="1"/>
  <c r="BQ22" i="45" s="1"/>
  <c r="BR22" i="45" s="1"/>
  <c r="BS22" i="45" s="1"/>
  <c r="BT22" i="45" s="1"/>
  <c r="BU22" i="45" s="1"/>
  <c r="BV22" i="45" s="1"/>
  <c r="BW22" i="45" s="1"/>
  <c r="BX22" i="45" s="1"/>
  <c r="BY22" i="45" s="1"/>
  <c r="BZ22" i="45" s="1"/>
  <c r="CA22" i="45" s="1"/>
  <c r="CB22" i="45" s="1"/>
  <c r="CC22" i="45" s="1"/>
  <c r="CD22" i="45" s="1"/>
  <c r="CE22" i="45" s="1"/>
  <c r="CF22" i="45" s="1"/>
  <c r="CG22" i="45" s="1"/>
  <c r="CH22" i="45" s="1"/>
  <c r="CI22" i="45" s="1"/>
  <c r="CJ22" i="45" s="1"/>
  <c r="CK22" i="45" s="1"/>
  <c r="CL22" i="45" s="1"/>
  <c r="C41" i="45"/>
  <c r="D41" i="45" s="1"/>
  <c r="E41" i="45" s="1"/>
  <c r="F41" i="45" s="1"/>
  <c r="G41" i="45" s="1"/>
  <c r="H41" i="45" s="1"/>
  <c r="I41" i="45" s="1"/>
  <c r="J41" i="45" s="1"/>
  <c r="K41" i="45" s="1"/>
  <c r="L41" i="45" s="1"/>
  <c r="M41" i="45" s="1"/>
  <c r="N41" i="45" s="1"/>
  <c r="O41" i="45" s="1"/>
  <c r="P41" i="45" s="1"/>
  <c r="Q41" i="45" s="1"/>
  <c r="R41" i="45" s="1"/>
  <c r="S41" i="45" s="1"/>
  <c r="T41" i="45" s="1"/>
  <c r="U41" i="45" s="1"/>
  <c r="V41" i="45" s="1"/>
  <c r="W41" i="45" s="1"/>
  <c r="X41" i="45" s="1"/>
  <c r="Y41" i="45" s="1"/>
  <c r="Z41" i="45" s="1"/>
  <c r="AA41" i="45" s="1"/>
  <c r="AB41" i="45" s="1"/>
  <c r="AC41" i="45" s="1"/>
  <c r="AD41" i="45" s="1"/>
  <c r="AE41" i="45" s="1"/>
  <c r="AF41" i="45" s="1"/>
  <c r="AG41" i="45" s="1"/>
  <c r="AH41" i="45" s="1"/>
  <c r="AI41" i="45" s="1"/>
  <c r="AJ41" i="45" s="1"/>
  <c r="AJ3" i="2"/>
  <c r="AJ3" i="19"/>
  <c r="AJ10" i="49"/>
  <c r="AJ10" i="36"/>
  <c r="J17" i="48"/>
  <c r="J62" i="48" s="1"/>
  <c r="L17" i="48"/>
  <c r="L62" i="48" s="1"/>
  <c r="E17" i="48"/>
  <c r="E62" i="48" s="1"/>
  <c r="C19" i="49"/>
  <c r="C63" i="49" s="1"/>
  <c r="D24" i="48"/>
  <c r="D69" i="48" s="1"/>
  <c r="X21" i="48"/>
  <c r="X66" i="48" s="1"/>
  <c r="N16" i="49"/>
  <c r="N60" i="49" s="1"/>
  <c r="C21" i="48"/>
  <c r="C66" i="48" s="1"/>
  <c r="K16" i="49"/>
  <c r="K60" i="49" s="1"/>
  <c r="X12" i="49"/>
  <c r="X56" i="49" s="1"/>
  <c r="I21" i="48"/>
  <c r="I66" i="48" s="1"/>
  <c r="M17" i="49"/>
  <c r="M61" i="49" s="1"/>
  <c r="C22" i="48"/>
  <c r="C67" i="48" s="1"/>
  <c r="Q17" i="49"/>
  <c r="Q61" i="49" s="1"/>
  <c r="Q21" i="48"/>
  <c r="Q66" i="48" s="1"/>
  <c r="V16" i="49"/>
  <c r="V60" i="49" s="1"/>
  <c r="V12" i="49"/>
  <c r="V56" i="49" s="1"/>
  <c r="J22" i="48"/>
  <c r="J67" i="48" s="1"/>
  <c r="G14" i="49"/>
  <c r="G58" i="49" s="1"/>
  <c r="G16" i="49"/>
  <c r="G60" i="49" s="1"/>
  <c r="M20" i="48"/>
  <c r="M65" i="48" s="1"/>
  <c r="O15" i="49"/>
  <c r="O59" i="49" s="1"/>
  <c r="X24" i="48"/>
  <c r="X69" i="48" s="1"/>
  <c r="S22" i="48"/>
  <c r="S67" i="48" s="1"/>
  <c r="V19" i="49"/>
  <c r="V63" i="49" s="1"/>
  <c r="X17" i="49"/>
  <c r="X61" i="49" s="1"/>
  <c r="T17" i="49"/>
  <c r="T61" i="49" s="1"/>
  <c r="Q24" i="48"/>
  <c r="Q69" i="48" s="1"/>
  <c r="H22" i="48"/>
  <c r="H67" i="48" s="1"/>
  <c r="W19" i="49"/>
  <c r="W63" i="49" s="1"/>
  <c r="V15" i="49"/>
  <c r="V59" i="49" s="1"/>
  <c r="U20" i="48"/>
  <c r="U65" i="48" s="1"/>
  <c r="T12" i="49"/>
  <c r="T56" i="49" s="1"/>
  <c r="V22" i="48"/>
  <c r="V67" i="48" s="1"/>
  <c r="R17" i="48"/>
  <c r="R62" i="48" s="1"/>
  <c r="I20" i="48"/>
  <c r="I65" i="48" s="1"/>
  <c r="G12" i="49"/>
  <c r="G56" i="49" s="1"/>
  <c r="P15" i="49"/>
  <c r="P59" i="49" s="1"/>
  <c r="E16" i="49"/>
  <c r="E60" i="49" s="1"/>
  <c r="I19" i="49"/>
  <c r="I63" i="49" s="1"/>
  <c r="N17" i="49"/>
  <c r="N61" i="49" s="1"/>
  <c r="D15" i="49"/>
  <c r="D59" i="49" s="1"/>
  <c r="H12" i="49"/>
  <c r="H56" i="49" s="1"/>
  <c r="Q15" i="49"/>
  <c r="Q59" i="49" s="1"/>
  <c r="H24" i="48"/>
  <c r="H69" i="48" s="1"/>
  <c r="X14" i="49"/>
  <c r="X58" i="49" s="1"/>
  <c r="O12" i="49"/>
  <c r="O56" i="49" s="1"/>
  <c r="P21" i="48"/>
  <c r="P66" i="48" s="1"/>
  <c r="J20" i="48"/>
  <c r="J65" i="48" s="1"/>
  <c r="F17" i="49"/>
  <c r="F61" i="49" s="1"/>
  <c r="W15" i="49"/>
  <c r="W59" i="49" s="1"/>
  <c r="U12" i="49"/>
  <c r="U56" i="49" s="1"/>
  <c r="I17" i="49"/>
  <c r="I61" i="49" s="1"/>
  <c r="R24" i="48"/>
  <c r="R69" i="48" s="1"/>
  <c r="J14" i="49"/>
  <c r="J58" i="49" s="1"/>
  <c r="F16" i="49"/>
  <c r="F60" i="49" s="1"/>
  <c r="L22" i="48"/>
  <c r="L67" i="48" s="1"/>
  <c r="K12" i="49"/>
  <c r="K56" i="49" s="1"/>
  <c r="K14" i="49"/>
  <c r="K58" i="49" s="1"/>
  <c r="M14" i="49"/>
  <c r="M58" i="49" s="1"/>
  <c r="K24" i="48"/>
  <c r="K69" i="48" s="1"/>
  <c r="C15" i="49"/>
  <c r="C59" i="49" s="1"/>
  <c r="R15" i="49"/>
  <c r="R59" i="49" s="1"/>
  <c r="J24" i="48"/>
  <c r="J69" i="48" s="1"/>
  <c r="H14" i="49"/>
  <c r="H58" i="49" s="1"/>
  <c r="AN182" i="23"/>
  <c r="AK98" i="23"/>
  <c r="AK101" i="23" s="1"/>
  <c r="AK140" i="23"/>
  <c r="AK143" i="23" s="1"/>
  <c r="S14" i="49"/>
  <c r="S58" i="49" s="1"/>
  <c r="E14" i="49"/>
  <c r="E58" i="49" s="1"/>
  <c r="F19" i="49"/>
  <c r="F63" i="49" s="1"/>
  <c r="L16" i="49"/>
  <c r="L60" i="49" s="1"/>
  <c r="R21" i="48"/>
  <c r="R66" i="48" s="1"/>
  <c r="G24" i="48"/>
  <c r="G69" i="48" s="1"/>
  <c r="P22" i="48"/>
  <c r="P67" i="48" s="1"/>
  <c r="W17" i="48"/>
  <c r="W62" i="48" s="1"/>
  <c r="AN180" i="23"/>
  <c r="W22" i="48"/>
  <c r="W67" i="48" s="1"/>
  <c r="G17" i="49"/>
  <c r="G61" i="49" s="1"/>
  <c r="M19" i="49"/>
  <c r="M63" i="49" s="1"/>
  <c r="F14" i="49"/>
  <c r="F58" i="49" s="1"/>
  <c r="T15" i="49"/>
  <c r="T59" i="49" s="1"/>
  <c r="O22" i="48"/>
  <c r="O67" i="48" s="1"/>
  <c r="K17" i="49"/>
  <c r="K61" i="49" s="1"/>
  <c r="S12" i="49"/>
  <c r="S56" i="49" s="1"/>
  <c r="W14" i="49"/>
  <c r="W58" i="49" s="1"/>
  <c r="P24" i="48"/>
  <c r="P69" i="48" s="1"/>
  <c r="T21" i="48"/>
  <c r="T66" i="48" s="1"/>
  <c r="Q12" i="49"/>
  <c r="Q56" i="49" s="1"/>
  <c r="G20" i="48"/>
  <c r="G65" i="48" s="1"/>
  <c r="O21" i="48"/>
  <c r="O66" i="48" s="1"/>
  <c r="E15" i="49"/>
  <c r="E59" i="49" s="1"/>
  <c r="C12" i="49"/>
  <c r="C56" i="49" s="1"/>
  <c r="S15" i="49"/>
  <c r="S59" i="49" s="1"/>
  <c r="W21" i="48"/>
  <c r="W66" i="48" s="1"/>
  <c r="O19" i="49"/>
  <c r="O63" i="49" s="1"/>
  <c r="M17" i="48"/>
  <c r="M62" i="48" s="1"/>
  <c r="D21" i="48"/>
  <c r="D66" i="48" s="1"/>
  <c r="U22" i="48"/>
  <c r="U67" i="48" s="1"/>
  <c r="D17" i="48"/>
  <c r="D62" i="48" s="1"/>
  <c r="M21" i="48"/>
  <c r="M66" i="48" s="1"/>
  <c r="U14" i="49"/>
  <c r="U58" i="49" s="1"/>
  <c r="F20" i="48"/>
  <c r="F65" i="48" s="1"/>
  <c r="L20" i="48"/>
  <c r="L65" i="48" s="1"/>
  <c r="N17" i="48"/>
  <c r="N62" i="48" s="1"/>
  <c r="N20" i="48"/>
  <c r="N65" i="48" s="1"/>
  <c r="E22" i="48"/>
  <c r="E67" i="48" s="1"/>
  <c r="U21" i="48"/>
  <c r="U66" i="48" s="1"/>
  <c r="I17" i="48"/>
  <c r="I62" i="48" s="1"/>
  <c r="T19" i="49"/>
  <c r="T63" i="49" s="1"/>
  <c r="J21" i="48"/>
  <c r="J66" i="48" s="1"/>
  <c r="P14" i="49"/>
  <c r="P58" i="49" s="1"/>
  <c r="F12" i="49"/>
  <c r="F56" i="49" s="1"/>
  <c r="K15" i="49"/>
  <c r="K59" i="49" s="1"/>
  <c r="E19" i="49"/>
  <c r="E63" i="49" s="1"/>
  <c r="X20" i="48"/>
  <c r="X65" i="48" s="1"/>
  <c r="S24" i="48"/>
  <c r="S69" i="48" s="1"/>
  <c r="D17" i="49"/>
  <c r="D61" i="49" s="1"/>
  <c r="U19" i="49"/>
  <c r="U63" i="49" s="1"/>
  <c r="T14" i="49"/>
  <c r="T58" i="49" s="1"/>
  <c r="P12" i="49"/>
  <c r="P56" i="49" s="1"/>
  <c r="L19" i="49"/>
  <c r="L63" i="49" s="1"/>
  <c r="R22" i="48"/>
  <c r="R67" i="48" s="1"/>
  <c r="H20" i="48"/>
  <c r="H65" i="48" s="1"/>
  <c r="H21" i="48"/>
  <c r="H66" i="48" s="1"/>
  <c r="S21" i="48"/>
  <c r="S66" i="48" s="1"/>
  <c r="R14" i="49"/>
  <c r="R58" i="49" s="1"/>
  <c r="N24" i="48"/>
  <c r="N69" i="48" s="1"/>
  <c r="AN178" i="23"/>
  <c r="V14" i="49"/>
  <c r="V58" i="49" s="1"/>
  <c r="N14" i="49"/>
  <c r="N58" i="49" s="1"/>
  <c r="L14" i="49"/>
  <c r="L58" i="49" s="1"/>
  <c r="O14" i="49"/>
  <c r="O58" i="49" s="1"/>
  <c r="I14" i="49"/>
  <c r="I58" i="49" s="1"/>
  <c r="D14" i="49"/>
  <c r="D58" i="49" s="1"/>
  <c r="C14" i="49"/>
  <c r="C58" i="49" s="1"/>
  <c r="Q14" i="49"/>
  <c r="Q58" i="49" s="1"/>
  <c r="EJ302" i="1" l="1"/>
  <c r="EJ301" i="1"/>
  <c r="EH2" i="1"/>
  <c r="EJ14" i="1"/>
  <c r="EJ18" i="1"/>
  <c r="EJ22" i="1"/>
  <c r="EJ26" i="1"/>
  <c r="EJ30" i="1"/>
  <c r="EJ15" i="1"/>
  <c r="EJ19" i="1"/>
  <c r="EJ23" i="1"/>
  <c r="EJ27" i="1"/>
  <c r="EJ12" i="1"/>
  <c r="EJ16" i="1"/>
  <c r="EJ20" i="1"/>
  <c r="EJ24" i="1"/>
  <c r="EJ28" i="1"/>
  <c r="EJ13" i="1"/>
  <c r="EJ17" i="1"/>
  <c r="EJ21" i="1"/>
  <c r="EJ25" i="1"/>
  <c r="EJ29" i="1"/>
  <c r="EJ32" i="1"/>
  <c r="EJ36" i="1"/>
  <c r="EJ40" i="1"/>
  <c r="EJ44" i="1"/>
  <c r="EJ48" i="1"/>
  <c r="EJ33" i="1"/>
  <c r="EJ37" i="1"/>
  <c r="EJ41" i="1"/>
  <c r="EJ45" i="1"/>
  <c r="EJ49" i="1"/>
  <c r="EJ34" i="1"/>
  <c r="EJ38" i="1"/>
  <c r="EJ42" i="1"/>
  <c r="EJ46" i="1"/>
  <c r="EJ50" i="1"/>
  <c r="EJ31" i="1"/>
  <c r="EJ35" i="1"/>
  <c r="EJ43" i="1"/>
  <c r="EJ54" i="1"/>
  <c r="EJ58" i="1"/>
  <c r="EJ62" i="1"/>
  <c r="EJ66" i="1"/>
  <c r="EJ47" i="1"/>
  <c r="EJ51" i="1"/>
  <c r="EJ55" i="1"/>
  <c r="EJ59" i="1"/>
  <c r="EJ63" i="1"/>
  <c r="EJ67" i="1"/>
  <c r="EJ52" i="1"/>
  <c r="EJ56" i="1"/>
  <c r="EJ60" i="1"/>
  <c r="EJ64" i="1"/>
  <c r="EJ39" i="1"/>
  <c r="EJ53" i="1"/>
  <c r="EJ57" i="1"/>
  <c r="EJ61" i="1"/>
  <c r="EJ65" i="1"/>
  <c r="EJ69" i="1"/>
  <c r="EJ73" i="1"/>
  <c r="EJ77" i="1"/>
  <c r="EJ81" i="1"/>
  <c r="EJ85" i="1"/>
  <c r="EJ89" i="1"/>
  <c r="EJ93" i="1"/>
  <c r="EJ97" i="1"/>
  <c r="EJ101" i="1"/>
  <c r="EJ105" i="1"/>
  <c r="EJ70" i="1"/>
  <c r="EJ74" i="1"/>
  <c r="EJ78" i="1"/>
  <c r="EJ82" i="1"/>
  <c r="EJ86" i="1"/>
  <c r="EJ90" i="1"/>
  <c r="EJ94" i="1"/>
  <c r="EJ98" i="1"/>
  <c r="EJ102" i="1"/>
  <c r="EJ106" i="1"/>
  <c r="EJ71" i="1"/>
  <c r="EJ75" i="1"/>
  <c r="EJ79" i="1"/>
  <c r="EJ83" i="1"/>
  <c r="EJ87" i="1"/>
  <c r="EJ91" i="1"/>
  <c r="EJ95" i="1"/>
  <c r="EJ99" i="1"/>
  <c r="EJ103" i="1"/>
  <c r="EJ107" i="1"/>
  <c r="EJ68" i="1"/>
  <c r="EJ72" i="1"/>
  <c r="EJ76" i="1"/>
  <c r="EJ80" i="1"/>
  <c r="EJ84" i="1"/>
  <c r="EJ88" i="1"/>
  <c r="EJ92" i="1"/>
  <c r="EJ96" i="1"/>
  <c r="EJ100" i="1"/>
  <c r="EJ104" i="1"/>
  <c r="EJ109" i="1"/>
  <c r="EJ113" i="1"/>
  <c r="EJ117" i="1"/>
  <c r="EJ121" i="1"/>
  <c r="EJ125" i="1"/>
  <c r="EJ129" i="1"/>
  <c r="EJ133" i="1"/>
  <c r="EJ137" i="1"/>
  <c r="EJ141" i="1"/>
  <c r="EJ145" i="1"/>
  <c r="EJ110" i="1"/>
  <c r="EJ114" i="1"/>
  <c r="EJ118" i="1"/>
  <c r="EJ122" i="1"/>
  <c r="EJ126" i="1"/>
  <c r="EJ130" i="1"/>
  <c r="EJ134" i="1"/>
  <c r="EJ138" i="1"/>
  <c r="EJ142" i="1"/>
  <c r="EJ146" i="1"/>
  <c r="EJ111" i="1"/>
  <c r="EJ115" i="1"/>
  <c r="EJ119" i="1"/>
  <c r="EJ123" i="1"/>
  <c r="EJ127" i="1"/>
  <c r="EJ131" i="1"/>
  <c r="EJ135" i="1"/>
  <c r="EJ139" i="1"/>
  <c r="EJ143" i="1"/>
  <c r="EJ147" i="1"/>
  <c r="EJ108" i="1"/>
  <c r="EJ112" i="1"/>
  <c r="EJ116" i="1"/>
  <c r="EJ120" i="1"/>
  <c r="EJ124" i="1"/>
  <c r="EJ128" i="1"/>
  <c r="EJ132" i="1"/>
  <c r="EJ136" i="1"/>
  <c r="EJ140" i="1"/>
  <c r="EJ144" i="1"/>
  <c r="EJ149" i="1"/>
  <c r="EJ153" i="1"/>
  <c r="EJ157" i="1"/>
  <c r="EJ161" i="1"/>
  <c r="EJ165" i="1"/>
  <c r="EJ169" i="1"/>
  <c r="EJ173" i="1"/>
  <c r="EJ177" i="1"/>
  <c r="EJ181" i="1"/>
  <c r="EJ150" i="1"/>
  <c r="EJ154" i="1"/>
  <c r="EJ158" i="1"/>
  <c r="EJ162" i="1"/>
  <c r="EJ166" i="1"/>
  <c r="EJ170" i="1"/>
  <c r="EJ174" i="1"/>
  <c r="EJ178" i="1"/>
  <c r="EJ182" i="1"/>
  <c r="EJ186" i="1"/>
  <c r="EJ151" i="1"/>
  <c r="EJ155" i="1"/>
  <c r="EJ159" i="1"/>
  <c r="EJ163" i="1"/>
  <c r="EJ167" i="1"/>
  <c r="EJ171" i="1"/>
  <c r="EJ175" i="1"/>
  <c r="EJ179" i="1"/>
  <c r="EJ183" i="1"/>
  <c r="EJ148" i="1"/>
  <c r="EJ152" i="1"/>
  <c r="EJ156" i="1"/>
  <c r="EJ160" i="1"/>
  <c r="EJ164" i="1"/>
  <c r="EJ168" i="1"/>
  <c r="EJ172" i="1"/>
  <c r="EJ176" i="1"/>
  <c r="EJ180" i="1"/>
  <c r="EJ184" i="1"/>
  <c r="EJ188" i="1"/>
  <c r="EJ192" i="1"/>
  <c r="EJ196" i="1"/>
  <c r="EJ200" i="1"/>
  <c r="EJ204" i="1"/>
  <c r="EJ208" i="1"/>
  <c r="EJ212" i="1"/>
  <c r="EJ216" i="1"/>
  <c r="EJ220" i="1"/>
  <c r="EJ224" i="1"/>
  <c r="EJ185" i="1"/>
  <c r="EJ189" i="1"/>
  <c r="EJ193" i="1"/>
  <c r="EJ197" i="1"/>
  <c r="EJ201" i="1"/>
  <c r="EJ205" i="1"/>
  <c r="EJ209" i="1"/>
  <c r="EJ213" i="1"/>
  <c r="EJ217" i="1"/>
  <c r="EJ221" i="1"/>
  <c r="EJ225" i="1"/>
  <c r="EJ190" i="1"/>
  <c r="EJ194" i="1"/>
  <c r="EJ198" i="1"/>
  <c r="EJ202" i="1"/>
  <c r="EJ206" i="1"/>
  <c r="EJ210" i="1"/>
  <c r="EJ214" i="1"/>
  <c r="EJ218" i="1"/>
  <c r="EJ222" i="1"/>
  <c r="EJ226" i="1"/>
  <c r="EJ187" i="1"/>
  <c r="EJ191" i="1"/>
  <c r="EJ195" i="1"/>
  <c r="EJ199" i="1"/>
  <c r="EJ203" i="1"/>
  <c r="EJ207" i="1"/>
  <c r="EJ211" i="1"/>
  <c r="EJ215" i="1"/>
  <c r="EJ219" i="1"/>
  <c r="EJ223" i="1"/>
  <c r="EJ231" i="1"/>
  <c r="EJ235" i="1"/>
  <c r="EJ239" i="1"/>
  <c r="EJ243" i="1"/>
  <c r="EJ247" i="1"/>
  <c r="EJ251" i="1"/>
  <c r="EJ255" i="1"/>
  <c r="EJ259" i="1"/>
  <c r="EJ263" i="1"/>
  <c r="EJ267" i="1"/>
  <c r="EJ271" i="1"/>
  <c r="EJ275" i="1"/>
  <c r="EJ279" i="1"/>
  <c r="EJ283" i="1"/>
  <c r="EJ287" i="1"/>
  <c r="EJ291" i="1"/>
  <c r="EJ295" i="1"/>
  <c r="EJ299" i="1"/>
  <c r="EJ228" i="1"/>
  <c r="EJ232" i="1"/>
  <c r="EJ236" i="1"/>
  <c r="EJ240" i="1"/>
  <c r="EJ244" i="1"/>
  <c r="EJ248" i="1"/>
  <c r="EJ252" i="1"/>
  <c r="EJ256" i="1"/>
  <c r="EJ260" i="1"/>
  <c r="EJ264" i="1"/>
  <c r="EJ268" i="1"/>
  <c r="EJ272" i="1"/>
  <c r="EJ276" i="1"/>
  <c r="EJ280" i="1"/>
  <c r="EJ284" i="1"/>
  <c r="EJ288" i="1"/>
  <c r="EJ292" i="1"/>
  <c r="EJ296" i="1"/>
  <c r="EJ300" i="1"/>
  <c r="EJ229" i="1"/>
  <c r="EJ233" i="1"/>
  <c r="EJ237" i="1"/>
  <c r="EJ241" i="1"/>
  <c r="EJ245" i="1"/>
  <c r="EJ249" i="1"/>
  <c r="EJ253" i="1"/>
  <c r="EJ257" i="1"/>
  <c r="EJ261" i="1"/>
  <c r="EJ265" i="1"/>
  <c r="EJ269" i="1"/>
  <c r="EJ273" i="1"/>
  <c r="EJ277" i="1"/>
  <c r="EJ281" i="1"/>
  <c r="EJ285" i="1"/>
  <c r="EJ289" i="1"/>
  <c r="EJ293" i="1"/>
  <c r="EJ297" i="1"/>
  <c r="EJ227" i="1"/>
  <c r="EJ230" i="1"/>
  <c r="EJ234" i="1"/>
  <c r="EJ238" i="1"/>
  <c r="EJ242" i="1"/>
  <c r="EJ246" i="1"/>
  <c r="EJ250" i="1"/>
  <c r="EJ254" i="1"/>
  <c r="EJ258" i="1"/>
  <c r="EJ262" i="1"/>
  <c r="EJ266" i="1"/>
  <c r="EJ270" i="1"/>
  <c r="EJ274" i="1"/>
  <c r="EJ278" i="1"/>
  <c r="EJ282" i="1"/>
  <c r="EJ286" i="1"/>
  <c r="EJ290" i="1"/>
  <c r="EJ294" i="1"/>
  <c r="EJ298" i="1"/>
  <c r="F73" i="48"/>
  <c r="D73" i="48"/>
  <c r="E67" i="49"/>
  <c r="G73" i="48"/>
  <c r="J73" i="48"/>
  <c r="K73" i="48"/>
  <c r="I73" i="48"/>
  <c r="C67" i="49"/>
  <c r="D67" i="49"/>
  <c r="K67" i="49"/>
  <c r="L67" i="49"/>
  <c r="E73" i="48"/>
  <c r="C73" i="48"/>
  <c r="L73" i="48"/>
  <c r="G67" i="49"/>
  <c r="H67" i="49"/>
  <c r="F67" i="49"/>
  <c r="H73" i="48"/>
  <c r="I67" i="49"/>
  <c r="J67" i="49"/>
  <c r="CY62" i="1"/>
  <c r="EJ8" i="1"/>
  <c r="EJ6" i="1"/>
  <c r="EJ11" i="1"/>
  <c r="EJ7" i="1"/>
  <c r="EJ10" i="1"/>
  <c r="EJ2" i="1"/>
  <c r="EJ5" i="1"/>
  <c r="EJ3" i="1"/>
  <c r="EJ4" i="1"/>
  <c r="EJ9" i="1"/>
  <c r="CX63" i="1"/>
  <c r="AP96" i="2"/>
  <c r="AN183" i="23"/>
  <c r="AN184" i="23" s="1"/>
  <c r="AN188" i="23" s="1"/>
  <c r="D27" i="48"/>
  <c r="C41" i="48"/>
  <c r="D29" i="49"/>
  <c r="C43" i="48"/>
  <c r="C40" i="48"/>
  <c r="S21" i="49"/>
  <c r="D28" i="49"/>
  <c r="C42" i="48"/>
  <c r="D30" i="49"/>
  <c r="G27" i="48"/>
  <c r="D33" i="49"/>
  <c r="C34" i="48"/>
  <c r="N21" i="49"/>
  <c r="J27" i="48"/>
  <c r="D35" i="49"/>
  <c r="I21" i="49"/>
  <c r="A27" i="48"/>
  <c r="C39" i="48"/>
  <c r="D37" i="49"/>
  <c r="D36" i="49"/>
  <c r="C36" i="48"/>
  <c r="D31" i="49"/>
  <c r="D21" i="49"/>
  <c r="D32" i="49"/>
  <c r="C35" i="48"/>
  <c r="C189" i="23"/>
  <c r="C38" i="48"/>
  <c r="C37" i="48"/>
  <c r="D34" i="49"/>
  <c r="EM302" i="1" l="1"/>
  <c r="EM301" i="1"/>
  <c r="EM13" i="1"/>
  <c r="EM17" i="1"/>
  <c r="EM21" i="1"/>
  <c r="EM25" i="1"/>
  <c r="EM29" i="1"/>
  <c r="EM14" i="1"/>
  <c r="EM18" i="1"/>
  <c r="EM22" i="1"/>
  <c r="EM26" i="1"/>
  <c r="EM30" i="1"/>
  <c r="EM15" i="1"/>
  <c r="EM19" i="1"/>
  <c r="EM23" i="1"/>
  <c r="EM27" i="1"/>
  <c r="EM12" i="1"/>
  <c r="EM16" i="1"/>
  <c r="EM20" i="1"/>
  <c r="EM24" i="1"/>
  <c r="EM28" i="1"/>
  <c r="EM31" i="1"/>
  <c r="EM35" i="1"/>
  <c r="EM39" i="1"/>
  <c r="EM43" i="1"/>
  <c r="EM47" i="1"/>
  <c r="EM32" i="1"/>
  <c r="EM36" i="1"/>
  <c r="EM40" i="1"/>
  <c r="EM44" i="1"/>
  <c r="EM48" i="1"/>
  <c r="EM33" i="1"/>
  <c r="EM37" i="1"/>
  <c r="EM41" i="1"/>
  <c r="EM45" i="1"/>
  <c r="EM49" i="1"/>
  <c r="EM34" i="1"/>
  <c r="EM42" i="1"/>
  <c r="EM53" i="1"/>
  <c r="EM57" i="1"/>
  <c r="EM61" i="1"/>
  <c r="EM65" i="1"/>
  <c r="EM46" i="1"/>
  <c r="EM54" i="1"/>
  <c r="EM58" i="1"/>
  <c r="EM62" i="1"/>
  <c r="EM66" i="1"/>
  <c r="EM50" i="1"/>
  <c r="EM51" i="1"/>
  <c r="EM55" i="1"/>
  <c r="EM59" i="1"/>
  <c r="EM63" i="1"/>
  <c r="EM67" i="1"/>
  <c r="EM38" i="1"/>
  <c r="EM52" i="1"/>
  <c r="EM56" i="1"/>
  <c r="EM60" i="1"/>
  <c r="EM64" i="1"/>
  <c r="EM68" i="1"/>
  <c r="EM72" i="1"/>
  <c r="EM76" i="1"/>
  <c r="EM80" i="1"/>
  <c r="EM84" i="1"/>
  <c r="EM88" i="1"/>
  <c r="EM92" i="1"/>
  <c r="EM96" i="1"/>
  <c r="EM100" i="1"/>
  <c r="EM104" i="1"/>
  <c r="EM69" i="1"/>
  <c r="EM73" i="1"/>
  <c r="EM77" i="1"/>
  <c r="EM81" i="1"/>
  <c r="EM85" i="1"/>
  <c r="EM89" i="1"/>
  <c r="EM93" i="1"/>
  <c r="EM97" i="1"/>
  <c r="EM101" i="1"/>
  <c r="EM105" i="1"/>
  <c r="EM70" i="1"/>
  <c r="EM74" i="1"/>
  <c r="EM78" i="1"/>
  <c r="EM82" i="1"/>
  <c r="EM86" i="1"/>
  <c r="EM90" i="1"/>
  <c r="EM94" i="1"/>
  <c r="EM98" i="1"/>
  <c r="EM102" i="1"/>
  <c r="EM106" i="1"/>
  <c r="EM71" i="1"/>
  <c r="EM75" i="1"/>
  <c r="EM79" i="1"/>
  <c r="EM83" i="1"/>
  <c r="EM87" i="1"/>
  <c r="EM91" i="1"/>
  <c r="EM95" i="1"/>
  <c r="EM99" i="1"/>
  <c r="EM103" i="1"/>
  <c r="EM107" i="1"/>
  <c r="EM108" i="1"/>
  <c r="EM112" i="1"/>
  <c r="EM116" i="1"/>
  <c r="EM120" i="1"/>
  <c r="EM124" i="1"/>
  <c r="EM128" i="1"/>
  <c r="EM132" i="1"/>
  <c r="EM136" i="1"/>
  <c r="EM140" i="1"/>
  <c r="EM144" i="1"/>
  <c r="EM109" i="1"/>
  <c r="EM113" i="1"/>
  <c r="EM117" i="1"/>
  <c r="EM121" i="1"/>
  <c r="EM125" i="1"/>
  <c r="EM129" i="1"/>
  <c r="EM133" i="1"/>
  <c r="EM137" i="1"/>
  <c r="EM141" i="1"/>
  <c r="EM145" i="1"/>
  <c r="EM110" i="1"/>
  <c r="EM114" i="1"/>
  <c r="EM118" i="1"/>
  <c r="EM122" i="1"/>
  <c r="EM126" i="1"/>
  <c r="EM130" i="1"/>
  <c r="EM134" i="1"/>
  <c r="EM138" i="1"/>
  <c r="EM142" i="1"/>
  <c r="EM146" i="1"/>
  <c r="EM111" i="1"/>
  <c r="EM115" i="1"/>
  <c r="EM119" i="1"/>
  <c r="EM123" i="1"/>
  <c r="EM127" i="1"/>
  <c r="EM131" i="1"/>
  <c r="EM135" i="1"/>
  <c r="EM139" i="1"/>
  <c r="EM143" i="1"/>
  <c r="EM148" i="1"/>
  <c r="EM152" i="1"/>
  <c r="EM156" i="1"/>
  <c r="EM160" i="1"/>
  <c r="EM164" i="1"/>
  <c r="EM168" i="1"/>
  <c r="EM172" i="1"/>
  <c r="EM176" i="1"/>
  <c r="EM180" i="1"/>
  <c r="EM184" i="1"/>
  <c r="EM147" i="1"/>
  <c r="EM149" i="1"/>
  <c r="EM153" i="1"/>
  <c r="EM157" i="1"/>
  <c r="EM161" i="1"/>
  <c r="EM165" i="1"/>
  <c r="EM169" i="1"/>
  <c r="EM173" i="1"/>
  <c r="EM177" i="1"/>
  <c r="EM181" i="1"/>
  <c r="EM185" i="1"/>
  <c r="EM150" i="1"/>
  <c r="EM154" i="1"/>
  <c r="EM158" i="1"/>
  <c r="EM162" i="1"/>
  <c r="EM166" i="1"/>
  <c r="EM170" i="1"/>
  <c r="EM174" i="1"/>
  <c r="EM178" i="1"/>
  <c r="EM182" i="1"/>
  <c r="EM151" i="1"/>
  <c r="EM155" i="1"/>
  <c r="EM159" i="1"/>
  <c r="EM163" i="1"/>
  <c r="EM167" i="1"/>
  <c r="EM171" i="1"/>
  <c r="EM175" i="1"/>
  <c r="EM179" i="1"/>
  <c r="EM183" i="1"/>
  <c r="EM187" i="1"/>
  <c r="EM191" i="1"/>
  <c r="EM195" i="1"/>
  <c r="EM199" i="1"/>
  <c r="EM203" i="1"/>
  <c r="EM207" i="1"/>
  <c r="EM211" i="1"/>
  <c r="EM215" i="1"/>
  <c r="EM219" i="1"/>
  <c r="EM223" i="1"/>
  <c r="EM188" i="1"/>
  <c r="EM192" i="1"/>
  <c r="EM196" i="1"/>
  <c r="EM200" i="1"/>
  <c r="EM204" i="1"/>
  <c r="EM208" i="1"/>
  <c r="EM212" i="1"/>
  <c r="EM216" i="1"/>
  <c r="EM220" i="1"/>
  <c r="EM224" i="1"/>
  <c r="EM186" i="1"/>
  <c r="EM189" i="1"/>
  <c r="EM193" i="1"/>
  <c r="EM197" i="1"/>
  <c r="EM201" i="1"/>
  <c r="EM205" i="1"/>
  <c r="EM209" i="1"/>
  <c r="EM213" i="1"/>
  <c r="EM217" i="1"/>
  <c r="EM221" i="1"/>
  <c r="EM225" i="1"/>
  <c r="EM190" i="1"/>
  <c r="EM194" i="1"/>
  <c r="EM198" i="1"/>
  <c r="EM202" i="1"/>
  <c r="EM206" i="1"/>
  <c r="EM210" i="1"/>
  <c r="EM214" i="1"/>
  <c r="EM218" i="1"/>
  <c r="EM222" i="1"/>
  <c r="EM227" i="1"/>
  <c r="EM230" i="1"/>
  <c r="EM234" i="1"/>
  <c r="EM238" i="1"/>
  <c r="EM242" i="1"/>
  <c r="EM246" i="1"/>
  <c r="EM250" i="1"/>
  <c r="EM254" i="1"/>
  <c r="EM258" i="1"/>
  <c r="EM262" i="1"/>
  <c r="EM266" i="1"/>
  <c r="EM270" i="1"/>
  <c r="EM274" i="1"/>
  <c r="EM278" i="1"/>
  <c r="EM282" i="1"/>
  <c r="EM286" i="1"/>
  <c r="EM290" i="1"/>
  <c r="EM294" i="1"/>
  <c r="EM298" i="1"/>
  <c r="EM226" i="1"/>
  <c r="EM231" i="1"/>
  <c r="EM235" i="1"/>
  <c r="EM239" i="1"/>
  <c r="EM243" i="1"/>
  <c r="EM247" i="1"/>
  <c r="EM251" i="1"/>
  <c r="EM255" i="1"/>
  <c r="EM259" i="1"/>
  <c r="EM263" i="1"/>
  <c r="EM267" i="1"/>
  <c r="EM271" i="1"/>
  <c r="EM275" i="1"/>
  <c r="EM279" i="1"/>
  <c r="EM283" i="1"/>
  <c r="EM287" i="1"/>
  <c r="EM291" i="1"/>
  <c r="EM295" i="1"/>
  <c r="EM299" i="1"/>
  <c r="EM228" i="1"/>
  <c r="EM232" i="1"/>
  <c r="EM236" i="1"/>
  <c r="EM240" i="1"/>
  <c r="EM244" i="1"/>
  <c r="EM248" i="1"/>
  <c r="EM252" i="1"/>
  <c r="EM256" i="1"/>
  <c r="EM260" i="1"/>
  <c r="EM264" i="1"/>
  <c r="EM268" i="1"/>
  <c r="EM272" i="1"/>
  <c r="EM276" i="1"/>
  <c r="EM280" i="1"/>
  <c r="EM284" i="1"/>
  <c r="EM288" i="1"/>
  <c r="EM292" i="1"/>
  <c r="EM296" i="1"/>
  <c r="EM300" i="1"/>
  <c r="EM229" i="1"/>
  <c r="EM233" i="1"/>
  <c r="EM237" i="1"/>
  <c r="EM241" i="1"/>
  <c r="EM245" i="1"/>
  <c r="EM249" i="1"/>
  <c r="EM253" i="1"/>
  <c r="EM257" i="1"/>
  <c r="EM261" i="1"/>
  <c r="EM265" i="1"/>
  <c r="EM269" i="1"/>
  <c r="EM273" i="1"/>
  <c r="EM277" i="1"/>
  <c r="EM281" i="1"/>
  <c r="EM285" i="1"/>
  <c r="EM289" i="1"/>
  <c r="EM293" i="1"/>
  <c r="EM297" i="1"/>
  <c r="EK2" i="1"/>
  <c r="GQ2" i="1"/>
  <c r="GS2" i="1"/>
  <c r="GN2" i="1"/>
  <c r="GJ2" i="1"/>
  <c r="GR2" i="1"/>
  <c r="GM2" i="1"/>
  <c r="GI2" i="1"/>
  <c r="GK2" i="1"/>
  <c r="B16" i="59" s="1"/>
  <c r="GL2" i="1"/>
  <c r="GP2" i="1"/>
  <c r="GH2" i="1"/>
  <c r="GO2" i="1"/>
  <c r="GG2" i="1"/>
  <c r="H44" i="3" s="1"/>
  <c r="N73" i="48"/>
  <c r="N67" i="49"/>
  <c r="HE2" i="1"/>
  <c r="HA2" i="1"/>
  <c r="GW2" i="1"/>
  <c r="HB2" i="1"/>
  <c r="HD2" i="1"/>
  <c r="GZ2" i="1"/>
  <c r="GV2" i="1"/>
  <c r="HC2" i="1"/>
  <c r="GX2" i="1"/>
  <c r="GT2" i="1"/>
  <c r="GY2" i="1"/>
  <c r="GU2" i="1"/>
  <c r="CX64" i="1"/>
  <c r="AP97" i="2"/>
  <c r="EM8" i="1"/>
  <c r="CY63" i="1"/>
  <c r="EM3" i="1"/>
  <c r="EM6" i="1"/>
  <c r="EM2" i="1"/>
  <c r="EM4" i="1"/>
  <c r="EM10" i="1"/>
  <c r="EM7" i="1"/>
  <c r="EM5" i="1"/>
  <c r="EM9" i="1"/>
  <c r="EM11" i="1"/>
  <c r="Y21" i="49"/>
  <c r="AD21" i="49" s="1"/>
  <c r="M27" i="48"/>
  <c r="P27" i="48" s="1"/>
  <c r="C192" i="23"/>
  <c r="C196" i="23"/>
  <c r="C194" i="23"/>
  <c r="EP302" i="1" l="1"/>
  <c r="EP301" i="1"/>
  <c r="EP12" i="1"/>
  <c r="EP16" i="1"/>
  <c r="EP20" i="1"/>
  <c r="EP24" i="1"/>
  <c r="EP28" i="1"/>
  <c r="EP13" i="1"/>
  <c r="EP17" i="1"/>
  <c r="EP21" i="1"/>
  <c r="EP25" i="1"/>
  <c r="EP29" i="1"/>
  <c r="EP14" i="1"/>
  <c r="EP18" i="1"/>
  <c r="EP22" i="1"/>
  <c r="EP26" i="1"/>
  <c r="EP30" i="1"/>
  <c r="EP15" i="1"/>
  <c r="EP19" i="1"/>
  <c r="EP23" i="1"/>
  <c r="EP27" i="1"/>
  <c r="EP34" i="1"/>
  <c r="EP38" i="1"/>
  <c r="EP42" i="1"/>
  <c r="EP46" i="1"/>
  <c r="EP50" i="1"/>
  <c r="EP31" i="1"/>
  <c r="EP35" i="1"/>
  <c r="EP39" i="1"/>
  <c r="EP43" i="1"/>
  <c r="EP47" i="1"/>
  <c r="EP32" i="1"/>
  <c r="EP36" i="1"/>
  <c r="EP40" i="1"/>
  <c r="EP44" i="1"/>
  <c r="EP48" i="1"/>
  <c r="EP33" i="1"/>
  <c r="EP37" i="1"/>
  <c r="EP41" i="1"/>
  <c r="EP52" i="1"/>
  <c r="EP56" i="1"/>
  <c r="EP60" i="1"/>
  <c r="EP64" i="1"/>
  <c r="EP45" i="1"/>
  <c r="EP53" i="1"/>
  <c r="EP57" i="1"/>
  <c r="EP61" i="1"/>
  <c r="EP65" i="1"/>
  <c r="EP49" i="1"/>
  <c r="EP54" i="1"/>
  <c r="EP58" i="1"/>
  <c r="EP62" i="1"/>
  <c r="EP66" i="1"/>
  <c r="EP51" i="1"/>
  <c r="EP55" i="1"/>
  <c r="EP59" i="1"/>
  <c r="EP63" i="1"/>
  <c r="EP67" i="1"/>
  <c r="EP71" i="1"/>
  <c r="EP75" i="1"/>
  <c r="EP79" i="1"/>
  <c r="EP83" i="1"/>
  <c r="EP87" i="1"/>
  <c r="EP91" i="1"/>
  <c r="EP95" i="1"/>
  <c r="EP99" i="1"/>
  <c r="EP103" i="1"/>
  <c r="EP107" i="1"/>
  <c r="EP68" i="1"/>
  <c r="EP72" i="1"/>
  <c r="EP76" i="1"/>
  <c r="EP80" i="1"/>
  <c r="EP84" i="1"/>
  <c r="EP88" i="1"/>
  <c r="EP92" i="1"/>
  <c r="EP96" i="1"/>
  <c r="EP100" i="1"/>
  <c r="EP104" i="1"/>
  <c r="EP69" i="1"/>
  <c r="EP73" i="1"/>
  <c r="EP77" i="1"/>
  <c r="EP81" i="1"/>
  <c r="EP85" i="1"/>
  <c r="EP89" i="1"/>
  <c r="EP93" i="1"/>
  <c r="EP97" i="1"/>
  <c r="EP101" i="1"/>
  <c r="EP105" i="1"/>
  <c r="EP70" i="1"/>
  <c r="EP74" i="1"/>
  <c r="EP78" i="1"/>
  <c r="EP82" i="1"/>
  <c r="EP86" i="1"/>
  <c r="EP90" i="1"/>
  <c r="EP94" i="1"/>
  <c r="EP98" i="1"/>
  <c r="EP102" i="1"/>
  <c r="EP106" i="1"/>
  <c r="EP111" i="1"/>
  <c r="EP115" i="1"/>
  <c r="EP119" i="1"/>
  <c r="EP123" i="1"/>
  <c r="EP127" i="1"/>
  <c r="EP131" i="1"/>
  <c r="EP135" i="1"/>
  <c r="EP139" i="1"/>
  <c r="EP143" i="1"/>
  <c r="EP108" i="1"/>
  <c r="EP112" i="1"/>
  <c r="EP116" i="1"/>
  <c r="EP120" i="1"/>
  <c r="EP124" i="1"/>
  <c r="EP128" i="1"/>
  <c r="EP132" i="1"/>
  <c r="EP136" i="1"/>
  <c r="EP140" i="1"/>
  <c r="EP144" i="1"/>
  <c r="EP109" i="1"/>
  <c r="EP113" i="1"/>
  <c r="EP117" i="1"/>
  <c r="EP121" i="1"/>
  <c r="EP125" i="1"/>
  <c r="EP129" i="1"/>
  <c r="EP133" i="1"/>
  <c r="EP137" i="1"/>
  <c r="EP141" i="1"/>
  <c r="EP145" i="1"/>
  <c r="EP110" i="1"/>
  <c r="EP114" i="1"/>
  <c r="EP118" i="1"/>
  <c r="EP122" i="1"/>
  <c r="EP126" i="1"/>
  <c r="EP130" i="1"/>
  <c r="EP134" i="1"/>
  <c r="EP138" i="1"/>
  <c r="EP142" i="1"/>
  <c r="EP146" i="1"/>
  <c r="EP151" i="1"/>
  <c r="EP155" i="1"/>
  <c r="EP159" i="1"/>
  <c r="EP163" i="1"/>
  <c r="EP167" i="1"/>
  <c r="EP171" i="1"/>
  <c r="EP175" i="1"/>
  <c r="EP179" i="1"/>
  <c r="EP183" i="1"/>
  <c r="EP148" i="1"/>
  <c r="EP152" i="1"/>
  <c r="EP156" i="1"/>
  <c r="EP160" i="1"/>
  <c r="EP164" i="1"/>
  <c r="EP168" i="1"/>
  <c r="EP172" i="1"/>
  <c r="EP176" i="1"/>
  <c r="EP180" i="1"/>
  <c r="EP184" i="1"/>
  <c r="EP147" i="1"/>
  <c r="EP149" i="1"/>
  <c r="EP153" i="1"/>
  <c r="EP157" i="1"/>
  <c r="EP161" i="1"/>
  <c r="EP165" i="1"/>
  <c r="EP169" i="1"/>
  <c r="EP173" i="1"/>
  <c r="EP177" i="1"/>
  <c r="EP181" i="1"/>
  <c r="EP150" i="1"/>
  <c r="EP154" i="1"/>
  <c r="EP158" i="1"/>
  <c r="EP162" i="1"/>
  <c r="EP166" i="1"/>
  <c r="EP170" i="1"/>
  <c r="EP174" i="1"/>
  <c r="EP178" i="1"/>
  <c r="EP182" i="1"/>
  <c r="EP186" i="1"/>
  <c r="EP190" i="1"/>
  <c r="EP194" i="1"/>
  <c r="EP198" i="1"/>
  <c r="EP202" i="1"/>
  <c r="EP206" i="1"/>
  <c r="EP210" i="1"/>
  <c r="EP214" i="1"/>
  <c r="EP218" i="1"/>
  <c r="EP222" i="1"/>
  <c r="EP187" i="1"/>
  <c r="EP191" i="1"/>
  <c r="EP195" i="1"/>
  <c r="EP199" i="1"/>
  <c r="EP203" i="1"/>
  <c r="EP207" i="1"/>
  <c r="EP211" i="1"/>
  <c r="EP215" i="1"/>
  <c r="EP219" i="1"/>
  <c r="EP223" i="1"/>
  <c r="EP185" i="1"/>
  <c r="EP188" i="1"/>
  <c r="EP192" i="1"/>
  <c r="EP196" i="1"/>
  <c r="EP200" i="1"/>
  <c r="EP204" i="1"/>
  <c r="EP208" i="1"/>
  <c r="EP212" i="1"/>
  <c r="EP216" i="1"/>
  <c r="EP220" i="1"/>
  <c r="EP224" i="1"/>
  <c r="EP189" i="1"/>
  <c r="EP193" i="1"/>
  <c r="EP197" i="1"/>
  <c r="EP201" i="1"/>
  <c r="EP205" i="1"/>
  <c r="EP209" i="1"/>
  <c r="EP213" i="1"/>
  <c r="EP217" i="1"/>
  <c r="EP221" i="1"/>
  <c r="EP225" i="1"/>
  <c r="EP229" i="1"/>
  <c r="EP233" i="1"/>
  <c r="EP237" i="1"/>
  <c r="EP241" i="1"/>
  <c r="EP245" i="1"/>
  <c r="EP249" i="1"/>
  <c r="EP253" i="1"/>
  <c r="EP257" i="1"/>
  <c r="EP261" i="1"/>
  <c r="EP265" i="1"/>
  <c r="EP269" i="1"/>
  <c r="EP273" i="1"/>
  <c r="EP277" i="1"/>
  <c r="EP281" i="1"/>
  <c r="EP285" i="1"/>
  <c r="EP289" i="1"/>
  <c r="EP293" i="1"/>
  <c r="EP297" i="1"/>
  <c r="EP227" i="1"/>
  <c r="EP230" i="1"/>
  <c r="EP234" i="1"/>
  <c r="EP238" i="1"/>
  <c r="EP242" i="1"/>
  <c r="EP246" i="1"/>
  <c r="EP250" i="1"/>
  <c r="EP254" i="1"/>
  <c r="EP258" i="1"/>
  <c r="EP262" i="1"/>
  <c r="EP266" i="1"/>
  <c r="EP270" i="1"/>
  <c r="EP274" i="1"/>
  <c r="EP278" i="1"/>
  <c r="EP282" i="1"/>
  <c r="EP286" i="1"/>
  <c r="EP290" i="1"/>
  <c r="EP294" i="1"/>
  <c r="EP298" i="1"/>
  <c r="EP226" i="1"/>
  <c r="EP231" i="1"/>
  <c r="EP235" i="1"/>
  <c r="EP239" i="1"/>
  <c r="EP243" i="1"/>
  <c r="EP247" i="1"/>
  <c r="EP251" i="1"/>
  <c r="EP255" i="1"/>
  <c r="EP259" i="1"/>
  <c r="EP263" i="1"/>
  <c r="EP267" i="1"/>
  <c r="EP271" i="1"/>
  <c r="EP275" i="1"/>
  <c r="EP279" i="1"/>
  <c r="EP283" i="1"/>
  <c r="EP287" i="1"/>
  <c r="EP291" i="1"/>
  <c r="EP295" i="1"/>
  <c r="EP299" i="1"/>
  <c r="EP228" i="1"/>
  <c r="EP232" i="1"/>
  <c r="EP236" i="1"/>
  <c r="EP240" i="1"/>
  <c r="EP244" i="1"/>
  <c r="EP248" i="1"/>
  <c r="EP252" i="1"/>
  <c r="EP256" i="1"/>
  <c r="EP260" i="1"/>
  <c r="EP264" i="1"/>
  <c r="EP268" i="1"/>
  <c r="EP272" i="1"/>
  <c r="EP276" i="1"/>
  <c r="EP280" i="1"/>
  <c r="EP284" i="1"/>
  <c r="EP288" i="1"/>
  <c r="EP292" i="1"/>
  <c r="EP296" i="1"/>
  <c r="EP300" i="1"/>
  <c r="EN2" i="1"/>
  <c r="GQ3" i="1"/>
  <c r="GS3" i="1"/>
  <c r="GN3" i="1"/>
  <c r="GJ3" i="1"/>
  <c r="GR3" i="1"/>
  <c r="GM3" i="1"/>
  <c r="GI3" i="1"/>
  <c r="GO3" i="1"/>
  <c r="GG3" i="1"/>
  <c r="H45" i="3" s="1"/>
  <c r="GL3" i="1"/>
  <c r="GH3" i="1"/>
  <c r="GK3" i="1"/>
  <c r="B17" i="59" s="1"/>
  <c r="GP3" i="1"/>
  <c r="D16" i="59"/>
  <c r="G12" i="1"/>
  <c r="E16" i="59"/>
  <c r="A16" i="59" s="1"/>
  <c r="HE3" i="1"/>
  <c r="HA3" i="1"/>
  <c r="GW3" i="1"/>
  <c r="GU3" i="1"/>
  <c r="GX3" i="1"/>
  <c r="HD3" i="1"/>
  <c r="GZ3" i="1"/>
  <c r="GV3" i="1"/>
  <c r="HC3" i="1"/>
  <c r="GY3" i="1"/>
  <c r="HB3" i="1"/>
  <c r="GT3" i="1"/>
  <c r="H12" i="1"/>
  <c r="AU94" i="2"/>
  <c r="J12" i="1"/>
  <c r="O45" i="27"/>
  <c r="S38" i="37"/>
  <c r="B12" i="33"/>
  <c r="B36" i="34"/>
  <c r="B12" i="34"/>
  <c r="B36" i="33"/>
  <c r="B24" i="33"/>
  <c r="B24" i="34"/>
  <c r="H34" i="48"/>
  <c r="A34" i="48" s="1"/>
  <c r="AS94" i="2"/>
  <c r="J36" i="36"/>
  <c r="A36" i="36" s="1"/>
  <c r="H45" i="27"/>
  <c r="A45" i="27" s="1"/>
  <c r="M28" i="49"/>
  <c r="A28" i="49" s="1"/>
  <c r="Y28" i="49" s="1"/>
  <c r="J38" i="37"/>
  <c r="A38" i="37" s="1"/>
  <c r="K45" i="27"/>
  <c r="N38" i="37"/>
  <c r="K34" i="48"/>
  <c r="K44" i="3"/>
  <c r="R28" i="49"/>
  <c r="AT94" i="2"/>
  <c r="AJ48" i="8"/>
  <c r="AQ77" i="2"/>
  <c r="H28" i="49"/>
  <c r="AR94" i="2"/>
  <c r="F38" i="37"/>
  <c r="E34" i="48"/>
  <c r="E44" i="3"/>
  <c r="E45" i="27"/>
  <c r="F12" i="1"/>
  <c r="E36" i="36"/>
  <c r="EP8" i="1"/>
  <c r="CY64" i="1"/>
  <c r="EP11" i="1"/>
  <c r="EP7" i="1"/>
  <c r="EP6" i="1"/>
  <c r="EP3" i="1"/>
  <c r="EP5" i="1"/>
  <c r="EP4" i="1"/>
  <c r="EP9" i="1"/>
  <c r="EP2" i="1"/>
  <c r="EP10" i="1"/>
  <c r="CX65" i="1"/>
  <c r="AP98" i="2"/>
  <c r="AN370" i="2"/>
  <c r="C83" i="2" s="1"/>
  <c r="ES302" i="1" l="1"/>
  <c r="ES301" i="1"/>
  <c r="C82" i="2"/>
  <c r="EQ2" i="1"/>
  <c r="ES15" i="1"/>
  <c r="ES19" i="1"/>
  <c r="ES23" i="1"/>
  <c r="ES27" i="1"/>
  <c r="ES12" i="1"/>
  <c r="ES16" i="1"/>
  <c r="ES20" i="1"/>
  <c r="ES24" i="1"/>
  <c r="ES28" i="1"/>
  <c r="ES13" i="1"/>
  <c r="ES17" i="1"/>
  <c r="ES21" i="1"/>
  <c r="ES25" i="1"/>
  <c r="ES29" i="1"/>
  <c r="ES14" i="1"/>
  <c r="ES18" i="1"/>
  <c r="ES22" i="1"/>
  <c r="ES26" i="1"/>
  <c r="ES33" i="1"/>
  <c r="ES37" i="1"/>
  <c r="ES41" i="1"/>
  <c r="ES45" i="1"/>
  <c r="ES49" i="1"/>
  <c r="ES34" i="1"/>
  <c r="ES38" i="1"/>
  <c r="ES42" i="1"/>
  <c r="ES46" i="1"/>
  <c r="ES50" i="1"/>
  <c r="ES30" i="1"/>
  <c r="ES31" i="1"/>
  <c r="ES35" i="1"/>
  <c r="ES39" i="1"/>
  <c r="ES43" i="1"/>
  <c r="ES47" i="1"/>
  <c r="ES32" i="1"/>
  <c r="ES36" i="1"/>
  <c r="ES40" i="1"/>
  <c r="ES51" i="1"/>
  <c r="ES55" i="1"/>
  <c r="ES59" i="1"/>
  <c r="ES63" i="1"/>
  <c r="ES67" i="1"/>
  <c r="ES44" i="1"/>
  <c r="ES52" i="1"/>
  <c r="ES56" i="1"/>
  <c r="ES60" i="1"/>
  <c r="ES64" i="1"/>
  <c r="ES48" i="1"/>
  <c r="ES53" i="1"/>
  <c r="ES57" i="1"/>
  <c r="ES61" i="1"/>
  <c r="ES65" i="1"/>
  <c r="ES54" i="1"/>
  <c r="ES58" i="1"/>
  <c r="ES62" i="1"/>
  <c r="ES66" i="1"/>
  <c r="ES70" i="1"/>
  <c r="ES74" i="1"/>
  <c r="ES78" i="1"/>
  <c r="ES82" i="1"/>
  <c r="ES86" i="1"/>
  <c r="ES90" i="1"/>
  <c r="ES94" i="1"/>
  <c r="ES98" i="1"/>
  <c r="ES102" i="1"/>
  <c r="ES106" i="1"/>
  <c r="ES71" i="1"/>
  <c r="ES75" i="1"/>
  <c r="ES79" i="1"/>
  <c r="ES83" i="1"/>
  <c r="ES87" i="1"/>
  <c r="ES91" i="1"/>
  <c r="ES95" i="1"/>
  <c r="ES99" i="1"/>
  <c r="ES103" i="1"/>
  <c r="ES107" i="1"/>
  <c r="ES68" i="1"/>
  <c r="ES72" i="1"/>
  <c r="ES76" i="1"/>
  <c r="ES80" i="1"/>
  <c r="ES84" i="1"/>
  <c r="ES88" i="1"/>
  <c r="ES92" i="1"/>
  <c r="ES96" i="1"/>
  <c r="ES100" i="1"/>
  <c r="ES104" i="1"/>
  <c r="ES69" i="1"/>
  <c r="ES73" i="1"/>
  <c r="ES77" i="1"/>
  <c r="ES81" i="1"/>
  <c r="ES85" i="1"/>
  <c r="ES89" i="1"/>
  <c r="ES93" i="1"/>
  <c r="ES97" i="1"/>
  <c r="ES101" i="1"/>
  <c r="ES105" i="1"/>
  <c r="ES110" i="1"/>
  <c r="ES114" i="1"/>
  <c r="ES118" i="1"/>
  <c r="ES122" i="1"/>
  <c r="ES126" i="1"/>
  <c r="ES130" i="1"/>
  <c r="ES134" i="1"/>
  <c r="ES138" i="1"/>
  <c r="ES142" i="1"/>
  <c r="ES146" i="1"/>
  <c r="ES111" i="1"/>
  <c r="ES115" i="1"/>
  <c r="ES119" i="1"/>
  <c r="ES123" i="1"/>
  <c r="ES127" i="1"/>
  <c r="ES131" i="1"/>
  <c r="ES135" i="1"/>
  <c r="ES139" i="1"/>
  <c r="ES143" i="1"/>
  <c r="ES147" i="1"/>
  <c r="ES108" i="1"/>
  <c r="ES112" i="1"/>
  <c r="ES116" i="1"/>
  <c r="ES120" i="1"/>
  <c r="ES124" i="1"/>
  <c r="ES128" i="1"/>
  <c r="ES132" i="1"/>
  <c r="ES136" i="1"/>
  <c r="ES140" i="1"/>
  <c r="ES144" i="1"/>
  <c r="ES109" i="1"/>
  <c r="ES113" i="1"/>
  <c r="ES117" i="1"/>
  <c r="ES121" i="1"/>
  <c r="ES125" i="1"/>
  <c r="ES129" i="1"/>
  <c r="ES133" i="1"/>
  <c r="ES137" i="1"/>
  <c r="ES141" i="1"/>
  <c r="ES145" i="1"/>
  <c r="ES150" i="1"/>
  <c r="ES154" i="1"/>
  <c r="ES158" i="1"/>
  <c r="ES162" i="1"/>
  <c r="ES166" i="1"/>
  <c r="ES170" i="1"/>
  <c r="ES174" i="1"/>
  <c r="ES178" i="1"/>
  <c r="ES182" i="1"/>
  <c r="ES151" i="1"/>
  <c r="ES155" i="1"/>
  <c r="ES159" i="1"/>
  <c r="ES163" i="1"/>
  <c r="ES167" i="1"/>
  <c r="ES171" i="1"/>
  <c r="ES175" i="1"/>
  <c r="ES179" i="1"/>
  <c r="ES183" i="1"/>
  <c r="ES148" i="1"/>
  <c r="ES152" i="1"/>
  <c r="ES156" i="1"/>
  <c r="ES160" i="1"/>
  <c r="ES164" i="1"/>
  <c r="ES168" i="1"/>
  <c r="ES172" i="1"/>
  <c r="ES176" i="1"/>
  <c r="ES180" i="1"/>
  <c r="ES184" i="1"/>
  <c r="ES149" i="1"/>
  <c r="ES153" i="1"/>
  <c r="ES157" i="1"/>
  <c r="ES161" i="1"/>
  <c r="ES165" i="1"/>
  <c r="ES169" i="1"/>
  <c r="ES173" i="1"/>
  <c r="ES177" i="1"/>
  <c r="ES181" i="1"/>
  <c r="ES185" i="1"/>
  <c r="ES189" i="1"/>
  <c r="ES193" i="1"/>
  <c r="ES197" i="1"/>
  <c r="ES201" i="1"/>
  <c r="ES205" i="1"/>
  <c r="ES209" i="1"/>
  <c r="ES213" i="1"/>
  <c r="ES217" i="1"/>
  <c r="ES221" i="1"/>
  <c r="ES225" i="1"/>
  <c r="ES190" i="1"/>
  <c r="ES194" i="1"/>
  <c r="ES198" i="1"/>
  <c r="ES202" i="1"/>
  <c r="ES206" i="1"/>
  <c r="ES210" i="1"/>
  <c r="ES214" i="1"/>
  <c r="ES218" i="1"/>
  <c r="ES222" i="1"/>
  <c r="ES226" i="1"/>
  <c r="ES187" i="1"/>
  <c r="ES191" i="1"/>
  <c r="ES195" i="1"/>
  <c r="ES199" i="1"/>
  <c r="ES203" i="1"/>
  <c r="ES207" i="1"/>
  <c r="ES211" i="1"/>
  <c r="ES215" i="1"/>
  <c r="ES219" i="1"/>
  <c r="ES223" i="1"/>
  <c r="ES227" i="1"/>
  <c r="ES186" i="1"/>
  <c r="ES188" i="1"/>
  <c r="ES192" i="1"/>
  <c r="ES196" i="1"/>
  <c r="ES200" i="1"/>
  <c r="ES204" i="1"/>
  <c r="ES208" i="1"/>
  <c r="ES212" i="1"/>
  <c r="ES216" i="1"/>
  <c r="ES220" i="1"/>
  <c r="ES224" i="1"/>
  <c r="ES228" i="1"/>
  <c r="ES232" i="1"/>
  <c r="ES236" i="1"/>
  <c r="ES240" i="1"/>
  <c r="ES244" i="1"/>
  <c r="ES248" i="1"/>
  <c r="ES252" i="1"/>
  <c r="ES256" i="1"/>
  <c r="ES260" i="1"/>
  <c r="ES264" i="1"/>
  <c r="ES268" i="1"/>
  <c r="ES272" i="1"/>
  <c r="ES276" i="1"/>
  <c r="ES280" i="1"/>
  <c r="ES284" i="1"/>
  <c r="ES288" i="1"/>
  <c r="ES292" i="1"/>
  <c r="ES296" i="1"/>
  <c r="ES300" i="1"/>
  <c r="ES229" i="1"/>
  <c r="ES233" i="1"/>
  <c r="ES237" i="1"/>
  <c r="ES241" i="1"/>
  <c r="ES245" i="1"/>
  <c r="ES249" i="1"/>
  <c r="ES253" i="1"/>
  <c r="ES257" i="1"/>
  <c r="ES261" i="1"/>
  <c r="ES265" i="1"/>
  <c r="ES269" i="1"/>
  <c r="ES273" i="1"/>
  <c r="ES277" i="1"/>
  <c r="ES281" i="1"/>
  <c r="ES285" i="1"/>
  <c r="ES289" i="1"/>
  <c r="ES293" i="1"/>
  <c r="ES297" i="1"/>
  <c r="ES230" i="1"/>
  <c r="ES234" i="1"/>
  <c r="ES238" i="1"/>
  <c r="ES242" i="1"/>
  <c r="ES246" i="1"/>
  <c r="ES250" i="1"/>
  <c r="ES254" i="1"/>
  <c r="ES258" i="1"/>
  <c r="ES262" i="1"/>
  <c r="ES266" i="1"/>
  <c r="ES270" i="1"/>
  <c r="ES274" i="1"/>
  <c r="ES278" i="1"/>
  <c r="ES282" i="1"/>
  <c r="ES286" i="1"/>
  <c r="ES290" i="1"/>
  <c r="ES294" i="1"/>
  <c r="ES298" i="1"/>
  <c r="ES231" i="1"/>
  <c r="ES235" i="1"/>
  <c r="ES239" i="1"/>
  <c r="ES243" i="1"/>
  <c r="ES247" i="1"/>
  <c r="ES251" i="1"/>
  <c r="ES255" i="1"/>
  <c r="ES259" i="1"/>
  <c r="ES263" i="1"/>
  <c r="ES267" i="1"/>
  <c r="ES271" i="1"/>
  <c r="ES275" i="1"/>
  <c r="ES279" i="1"/>
  <c r="ES283" i="1"/>
  <c r="ES287" i="1"/>
  <c r="ES291" i="1"/>
  <c r="ES295" i="1"/>
  <c r="ES299" i="1"/>
  <c r="GQ4" i="1"/>
  <c r="GS4" i="1"/>
  <c r="GN4" i="1"/>
  <c r="GJ4" i="1"/>
  <c r="GR4" i="1"/>
  <c r="GM4" i="1"/>
  <c r="GI4" i="1"/>
  <c r="GK4" i="1"/>
  <c r="GP4" i="1"/>
  <c r="GH4" i="1"/>
  <c r="GL4" i="1"/>
  <c r="GO4" i="1"/>
  <c r="GG4" i="1"/>
  <c r="H46" i="3" s="1"/>
  <c r="B43" i="35"/>
  <c r="H48" i="8"/>
  <c r="C48" i="8" s="1"/>
  <c r="D12" i="1"/>
  <c r="D17" i="59"/>
  <c r="G13" i="1"/>
  <c r="H49" i="8" s="1"/>
  <c r="C49" i="8" s="1"/>
  <c r="E17" i="59"/>
  <c r="A17" i="59" s="1"/>
  <c r="A44" i="3"/>
  <c r="O36" i="36"/>
  <c r="HE4" i="1"/>
  <c r="HA4" i="1"/>
  <c r="GW4" i="1"/>
  <c r="GX4" i="1"/>
  <c r="HD4" i="1"/>
  <c r="GZ4" i="1"/>
  <c r="GV4" i="1"/>
  <c r="GT4" i="1"/>
  <c r="HC4" i="1"/>
  <c r="GY4" i="1"/>
  <c r="GU4" i="1"/>
  <c r="HB4" i="1"/>
  <c r="ES5" i="1"/>
  <c r="ES9" i="1"/>
  <c r="ES6" i="1"/>
  <c r="ES10" i="1"/>
  <c r="ES4" i="1"/>
  <c r="ES8" i="1"/>
  <c r="ES3" i="1"/>
  <c r="ES7" i="1"/>
  <c r="O34" i="48"/>
  <c r="H13" i="1"/>
  <c r="ES11" i="1"/>
  <c r="ES2" i="1"/>
  <c r="CY65" i="1"/>
  <c r="AC12" i="34"/>
  <c r="AC36" i="34"/>
  <c r="AC36" i="33"/>
  <c r="AC24" i="34"/>
  <c r="U12" i="33"/>
  <c r="U24" i="33"/>
  <c r="AJ49" i="8"/>
  <c r="AR77" i="2"/>
  <c r="M29" i="49"/>
  <c r="A29" i="49" s="1"/>
  <c r="AS95" i="2"/>
  <c r="H35" i="48"/>
  <c r="A35" i="48" s="1"/>
  <c r="J39" i="37"/>
  <c r="A39" i="37" s="1"/>
  <c r="H46" i="27"/>
  <c r="A46" i="27" s="1"/>
  <c r="J37" i="36"/>
  <c r="A37" i="36" s="1"/>
  <c r="AU95" i="2"/>
  <c r="O46" i="27"/>
  <c r="S39" i="37"/>
  <c r="J13" i="1"/>
  <c r="K45" i="3"/>
  <c r="R29" i="49"/>
  <c r="N39" i="37"/>
  <c r="K35" i="48"/>
  <c r="K46" i="27"/>
  <c r="AT95" i="2"/>
  <c r="E35" i="48"/>
  <c r="F39" i="37"/>
  <c r="E46" i="27"/>
  <c r="H29" i="49"/>
  <c r="E45" i="3"/>
  <c r="F13" i="1"/>
  <c r="AR95" i="2"/>
  <c r="E37" i="36"/>
  <c r="CX66" i="1"/>
  <c r="AP99" i="2"/>
  <c r="F48" i="8"/>
  <c r="E43" i="35"/>
  <c r="EV302" i="1" l="1"/>
  <c r="EV301" i="1"/>
  <c r="C79" i="2"/>
  <c r="EV14" i="1"/>
  <c r="EV18" i="1"/>
  <c r="EV22" i="1"/>
  <c r="EV26" i="1"/>
  <c r="EV30" i="1"/>
  <c r="EV15" i="1"/>
  <c r="EV19" i="1"/>
  <c r="EV23" i="1"/>
  <c r="EV27" i="1"/>
  <c r="EV12" i="1"/>
  <c r="EV16" i="1"/>
  <c r="EV20" i="1"/>
  <c r="EV24" i="1"/>
  <c r="EV28" i="1"/>
  <c r="EV13" i="1"/>
  <c r="EV17" i="1"/>
  <c r="EV21" i="1"/>
  <c r="EV25" i="1"/>
  <c r="EV29" i="1"/>
  <c r="EV32" i="1"/>
  <c r="EV36" i="1"/>
  <c r="EV40" i="1"/>
  <c r="EV44" i="1"/>
  <c r="EV48" i="1"/>
  <c r="EV33" i="1"/>
  <c r="EV37" i="1"/>
  <c r="EV41" i="1"/>
  <c r="EV45" i="1"/>
  <c r="EV49" i="1"/>
  <c r="EV34" i="1"/>
  <c r="EV38" i="1"/>
  <c r="EV42" i="1"/>
  <c r="EV46" i="1"/>
  <c r="EV31" i="1"/>
  <c r="EV35" i="1"/>
  <c r="EV39" i="1"/>
  <c r="EV54" i="1"/>
  <c r="EV58" i="1"/>
  <c r="EV62" i="1"/>
  <c r="EV66" i="1"/>
  <c r="EV43" i="1"/>
  <c r="EV51" i="1"/>
  <c r="EV55" i="1"/>
  <c r="EV59" i="1"/>
  <c r="EV63" i="1"/>
  <c r="EV67" i="1"/>
  <c r="EV47" i="1"/>
  <c r="EV52" i="1"/>
  <c r="EV56" i="1"/>
  <c r="EV60" i="1"/>
  <c r="EV64" i="1"/>
  <c r="EV50" i="1"/>
  <c r="EV53" i="1"/>
  <c r="EV57" i="1"/>
  <c r="EV61" i="1"/>
  <c r="EV65" i="1"/>
  <c r="EV69" i="1"/>
  <c r="EV73" i="1"/>
  <c r="EV77" i="1"/>
  <c r="EV81" i="1"/>
  <c r="EV85" i="1"/>
  <c r="EV89" i="1"/>
  <c r="EV93" i="1"/>
  <c r="EV97" i="1"/>
  <c r="EV101" i="1"/>
  <c r="EV105" i="1"/>
  <c r="EV70" i="1"/>
  <c r="EV74" i="1"/>
  <c r="EV78" i="1"/>
  <c r="EV82" i="1"/>
  <c r="EV86" i="1"/>
  <c r="EV90" i="1"/>
  <c r="EV94" i="1"/>
  <c r="EV98" i="1"/>
  <c r="EV102" i="1"/>
  <c r="EV106" i="1"/>
  <c r="EV71" i="1"/>
  <c r="EV75" i="1"/>
  <c r="EV79" i="1"/>
  <c r="EV83" i="1"/>
  <c r="EV87" i="1"/>
  <c r="EV91" i="1"/>
  <c r="EV95" i="1"/>
  <c r="EV99" i="1"/>
  <c r="EV103" i="1"/>
  <c r="EV107" i="1"/>
  <c r="EV68" i="1"/>
  <c r="EV72" i="1"/>
  <c r="EV76" i="1"/>
  <c r="EV80" i="1"/>
  <c r="EV84" i="1"/>
  <c r="EV88" i="1"/>
  <c r="EV92" i="1"/>
  <c r="EV96" i="1"/>
  <c r="EV100" i="1"/>
  <c r="EV104" i="1"/>
  <c r="EV109" i="1"/>
  <c r="EV113" i="1"/>
  <c r="EV117" i="1"/>
  <c r="EV121" i="1"/>
  <c r="EV125" i="1"/>
  <c r="EV129" i="1"/>
  <c r="EV133" i="1"/>
  <c r="EV137" i="1"/>
  <c r="EV141" i="1"/>
  <c r="EV145" i="1"/>
  <c r="EV110" i="1"/>
  <c r="EV114" i="1"/>
  <c r="EV118" i="1"/>
  <c r="EV122" i="1"/>
  <c r="EV126" i="1"/>
  <c r="EV130" i="1"/>
  <c r="EV134" i="1"/>
  <c r="EV138" i="1"/>
  <c r="EV142" i="1"/>
  <c r="EV146" i="1"/>
  <c r="EV111" i="1"/>
  <c r="EV115" i="1"/>
  <c r="EV119" i="1"/>
  <c r="EV123" i="1"/>
  <c r="EV127" i="1"/>
  <c r="EV131" i="1"/>
  <c r="EV135" i="1"/>
  <c r="EV139" i="1"/>
  <c r="EV143" i="1"/>
  <c r="EV147" i="1"/>
  <c r="EV108" i="1"/>
  <c r="EV112" i="1"/>
  <c r="EV116" i="1"/>
  <c r="EV120" i="1"/>
  <c r="EV124" i="1"/>
  <c r="EV128" i="1"/>
  <c r="EV132" i="1"/>
  <c r="EV136" i="1"/>
  <c r="EV140" i="1"/>
  <c r="EV144" i="1"/>
  <c r="EV149" i="1"/>
  <c r="EV153" i="1"/>
  <c r="EV157" i="1"/>
  <c r="EV161" i="1"/>
  <c r="EV165" i="1"/>
  <c r="EV169" i="1"/>
  <c r="EV173" i="1"/>
  <c r="EV177" i="1"/>
  <c r="EV181" i="1"/>
  <c r="EV150" i="1"/>
  <c r="EV154" i="1"/>
  <c r="EV158" i="1"/>
  <c r="EV162" i="1"/>
  <c r="EV166" i="1"/>
  <c r="EV170" i="1"/>
  <c r="EV174" i="1"/>
  <c r="EV178" i="1"/>
  <c r="EV182" i="1"/>
  <c r="EV186" i="1"/>
  <c r="EV151" i="1"/>
  <c r="EV155" i="1"/>
  <c r="EV159" i="1"/>
  <c r="EV163" i="1"/>
  <c r="EV167" i="1"/>
  <c r="EV171" i="1"/>
  <c r="EV175" i="1"/>
  <c r="EV179" i="1"/>
  <c r="EV183" i="1"/>
  <c r="EV148" i="1"/>
  <c r="EV152" i="1"/>
  <c r="EV156" i="1"/>
  <c r="EV160" i="1"/>
  <c r="EV164" i="1"/>
  <c r="EV168" i="1"/>
  <c r="EV172" i="1"/>
  <c r="EV176" i="1"/>
  <c r="EV180" i="1"/>
  <c r="EV184" i="1"/>
  <c r="EV188" i="1"/>
  <c r="EV192" i="1"/>
  <c r="EV196" i="1"/>
  <c r="EV200" i="1"/>
  <c r="EV204" i="1"/>
  <c r="EV208" i="1"/>
  <c r="EV212" i="1"/>
  <c r="EV216" i="1"/>
  <c r="EV220" i="1"/>
  <c r="EV224" i="1"/>
  <c r="EV189" i="1"/>
  <c r="EV193" i="1"/>
  <c r="EV197" i="1"/>
  <c r="EV201" i="1"/>
  <c r="EV205" i="1"/>
  <c r="EV209" i="1"/>
  <c r="EV213" i="1"/>
  <c r="EV217" i="1"/>
  <c r="EV221" i="1"/>
  <c r="EV225" i="1"/>
  <c r="EV190" i="1"/>
  <c r="EV194" i="1"/>
  <c r="EV198" i="1"/>
  <c r="EV202" i="1"/>
  <c r="EV206" i="1"/>
  <c r="EV210" i="1"/>
  <c r="EV214" i="1"/>
  <c r="EV218" i="1"/>
  <c r="EV222" i="1"/>
  <c r="EV226" i="1"/>
  <c r="EV185" i="1"/>
  <c r="EV187" i="1"/>
  <c r="EV191" i="1"/>
  <c r="EV195" i="1"/>
  <c r="EV199" i="1"/>
  <c r="EV203" i="1"/>
  <c r="EV207" i="1"/>
  <c r="EV211" i="1"/>
  <c r="EV215" i="1"/>
  <c r="EV219" i="1"/>
  <c r="EV223" i="1"/>
  <c r="EV231" i="1"/>
  <c r="EV235" i="1"/>
  <c r="EV239" i="1"/>
  <c r="EV243" i="1"/>
  <c r="EV247" i="1"/>
  <c r="EV251" i="1"/>
  <c r="EV255" i="1"/>
  <c r="EV259" i="1"/>
  <c r="EV263" i="1"/>
  <c r="EV267" i="1"/>
  <c r="EV271" i="1"/>
  <c r="EV275" i="1"/>
  <c r="EV279" i="1"/>
  <c r="EV283" i="1"/>
  <c r="EV287" i="1"/>
  <c r="EV291" i="1"/>
  <c r="EV295" i="1"/>
  <c r="EV299" i="1"/>
  <c r="EV228" i="1"/>
  <c r="EV232" i="1"/>
  <c r="EV236" i="1"/>
  <c r="EV240" i="1"/>
  <c r="EV244" i="1"/>
  <c r="EV248" i="1"/>
  <c r="EV252" i="1"/>
  <c r="EV256" i="1"/>
  <c r="EV260" i="1"/>
  <c r="EV264" i="1"/>
  <c r="EV268" i="1"/>
  <c r="EV272" i="1"/>
  <c r="EV276" i="1"/>
  <c r="EV280" i="1"/>
  <c r="EV284" i="1"/>
  <c r="EV288" i="1"/>
  <c r="EV292" i="1"/>
  <c r="EV296" i="1"/>
  <c r="EV300" i="1"/>
  <c r="EV227" i="1"/>
  <c r="EV229" i="1"/>
  <c r="EV233" i="1"/>
  <c r="EV237" i="1"/>
  <c r="EV241" i="1"/>
  <c r="EV245" i="1"/>
  <c r="EV249" i="1"/>
  <c r="EV253" i="1"/>
  <c r="EV257" i="1"/>
  <c r="EV261" i="1"/>
  <c r="EV265" i="1"/>
  <c r="EV269" i="1"/>
  <c r="EV273" i="1"/>
  <c r="EV277" i="1"/>
  <c r="EV281" i="1"/>
  <c r="EV285" i="1"/>
  <c r="EV289" i="1"/>
  <c r="EV293" i="1"/>
  <c r="EV297" i="1"/>
  <c r="EV230" i="1"/>
  <c r="EV234" i="1"/>
  <c r="EV238" i="1"/>
  <c r="EV242" i="1"/>
  <c r="EV246" i="1"/>
  <c r="EV250" i="1"/>
  <c r="EV254" i="1"/>
  <c r="EV258" i="1"/>
  <c r="EV262" i="1"/>
  <c r="EV266" i="1"/>
  <c r="EV270" i="1"/>
  <c r="EV274" i="1"/>
  <c r="EV278" i="1"/>
  <c r="EV282" i="1"/>
  <c r="EV286" i="1"/>
  <c r="EV290" i="1"/>
  <c r="EV294" i="1"/>
  <c r="EV298" i="1"/>
  <c r="ET2" i="1"/>
  <c r="GQ5" i="1"/>
  <c r="GS5" i="1"/>
  <c r="GN5" i="1"/>
  <c r="GJ5" i="1"/>
  <c r="GR5" i="1"/>
  <c r="GM5" i="1"/>
  <c r="GI5" i="1"/>
  <c r="GO5" i="1"/>
  <c r="GG5" i="1"/>
  <c r="H47" i="3" s="1"/>
  <c r="GP5" i="1"/>
  <c r="GL5" i="1"/>
  <c r="GK5" i="1"/>
  <c r="GH5" i="1"/>
  <c r="K46" i="3"/>
  <c r="B18" i="59"/>
  <c r="E46" i="3"/>
  <c r="D13" i="1"/>
  <c r="B44" i="35"/>
  <c r="D18" i="59"/>
  <c r="G14" i="1"/>
  <c r="E18" i="59"/>
  <c r="A18" i="59" s="1"/>
  <c r="A45" i="3"/>
  <c r="O37" i="36"/>
  <c r="HE5" i="1"/>
  <c r="HA5" i="1"/>
  <c r="GW5" i="1"/>
  <c r="GX5" i="1"/>
  <c r="HD5" i="1"/>
  <c r="GZ5" i="1"/>
  <c r="GV5" i="1"/>
  <c r="GT5" i="1"/>
  <c r="HC5" i="1"/>
  <c r="GY5" i="1"/>
  <c r="GU5" i="1"/>
  <c r="HB5" i="1"/>
  <c r="O35" i="48"/>
  <c r="J38" i="36"/>
  <c r="A38" i="36" s="1"/>
  <c r="AS96" i="2"/>
  <c r="M30" i="49"/>
  <c r="A30" i="49" s="1"/>
  <c r="Y30" i="49" s="1"/>
  <c r="H47" i="27"/>
  <c r="A47" i="27" s="1"/>
  <c r="J40" i="37"/>
  <c r="A40" i="37" s="1"/>
  <c r="H36" i="48"/>
  <c r="A36" i="48" s="1"/>
  <c r="AT96" i="2"/>
  <c r="K47" i="27"/>
  <c r="R30" i="49"/>
  <c r="K36" i="48"/>
  <c r="N40" i="37"/>
  <c r="Y29" i="49"/>
  <c r="AJ50" i="8"/>
  <c r="AS77" i="2"/>
  <c r="AR96" i="2"/>
  <c r="H30" i="49"/>
  <c r="F14" i="1"/>
  <c r="E36" i="48"/>
  <c r="E47" i="27"/>
  <c r="F40" i="37"/>
  <c r="E38" i="36"/>
  <c r="F49" i="8"/>
  <c r="E44" i="35"/>
  <c r="CX67" i="1"/>
  <c r="AP100" i="2"/>
  <c r="EV8" i="1"/>
  <c r="CY66" i="1"/>
  <c r="EV3" i="1"/>
  <c r="EV9" i="1"/>
  <c r="EV4" i="1"/>
  <c r="EV6" i="1"/>
  <c r="EV7" i="1"/>
  <c r="EV10" i="1"/>
  <c r="EV2" i="1"/>
  <c r="EV5" i="1"/>
  <c r="EV11" i="1"/>
  <c r="BD36" i="34"/>
  <c r="AN12" i="33"/>
  <c r="AN24" i="33"/>
  <c r="BD12" i="34"/>
  <c r="BD36" i="33"/>
  <c r="BD24" i="34"/>
  <c r="J14" i="1"/>
  <c r="O47" i="27"/>
  <c r="S40" i="37"/>
  <c r="AU96" i="2"/>
  <c r="H14" i="1"/>
  <c r="EY302" i="1" l="1"/>
  <c r="EY301" i="1"/>
  <c r="EY13" i="1"/>
  <c r="EY17" i="1"/>
  <c r="EY21" i="1"/>
  <c r="EY25" i="1"/>
  <c r="EY29" i="1"/>
  <c r="EY14" i="1"/>
  <c r="EY18" i="1"/>
  <c r="EY22" i="1"/>
  <c r="EY26" i="1"/>
  <c r="EY30" i="1"/>
  <c r="EY15" i="1"/>
  <c r="EY19" i="1"/>
  <c r="EY23" i="1"/>
  <c r="EY27" i="1"/>
  <c r="EY12" i="1"/>
  <c r="EY16" i="1"/>
  <c r="EY20" i="1"/>
  <c r="EY24" i="1"/>
  <c r="EY28" i="1"/>
  <c r="EY31" i="1"/>
  <c r="EY35" i="1"/>
  <c r="EY39" i="1"/>
  <c r="EY43" i="1"/>
  <c r="EY47" i="1"/>
  <c r="EY32" i="1"/>
  <c r="EY36" i="1"/>
  <c r="EY40" i="1"/>
  <c r="EY44" i="1"/>
  <c r="EY48" i="1"/>
  <c r="EY33" i="1"/>
  <c r="EY37" i="1"/>
  <c r="EY41" i="1"/>
  <c r="EY45" i="1"/>
  <c r="EY49" i="1"/>
  <c r="EY34" i="1"/>
  <c r="EY38" i="1"/>
  <c r="EY50" i="1"/>
  <c r="EY53" i="1"/>
  <c r="EY57" i="1"/>
  <c r="EY61" i="1"/>
  <c r="EY65" i="1"/>
  <c r="EY42" i="1"/>
  <c r="EY54" i="1"/>
  <c r="EY58" i="1"/>
  <c r="EY62" i="1"/>
  <c r="EY66" i="1"/>
  <c r="EY46" i="1"/>
  <c r="EY51" i="1"/>
  <c r="EY55" i="1"/>
  <c r="EY59" i="1"/>
  <c r="EY63" i="1"/>
  <c r="EY67" i="1"/>
  <c r="EY52" i="1"/>
  <c r="EY56" i="1"/>
  <c r="EY60" i="1"/>
  <c r="EY64" i="1"/>
  <c r="EY68" i="1"/>
  <c r="EY72" i="1"/>
  <c r="EY76" i="1"/>
  <c r="EY80" i="1"/>
  <c r="EY84" i="1"/>
  <c r="EY88" i="1"/>
  <c r="EY92" i="1"/>
  <c r="EY96" i="1"/>
  <c r="EY100" i="1"/>
  <c r="EY104" i="1"/>
  <c r="EY69" i="1"/>
  <c r="EY73" i="1"/>
  <c r="EY77" i="1"/>
  <c r="EY81" i="1"/>
  <c r="EY85" i="1"/>
  <c r="EY89" i="1"/>
  <c r="EY93" i="1"/>
  <c r="EY97" i="1"/>
  <c r="EY101" i="1"/>
  <c r="EY105" i="1"/>
  <c r="EY70" i="1"/>
  <c r="EY74" i="1"/>
  <c r="EY78" i="1"/>
  <c r="EY82" i="1"/>
  <c r="EY86" i="1"/>
  <c r="EY90" i="1"/>
  <c r="EY94" i="1"/>
  <c r="EY98" i="1"/>
  <c r="EY102" i="1"/>
  <c r="EY106" i="1"/>
  <c r="EY71" i="1"/>
  <c r="EY75" i="1"/>
  <c r="EY79" i="1"/>
  <c r="EY83" i="1"/>
  <c r="EY87" i="1"/>
  <c r="EY91" i="1"/>
  <c r="EY95" i="1"/>
  <c r="EY99" i="1"/>
  <c r="EY103" i="1"/>
  <c r="EY107" i="1"/>
  <c r="EY108" i="1"/>
  <c r="EY112" i="1"/>
  <c r="EY116" i="1"/>
  <c r="EY120" i="1"/>
  <c r="EY124" i="1"/>
  <c r="EY128" i="1"/>
  <c r="EY132" i="1"/>
  <c r="EY136" i="1"/>
  <c r="EY140" i="1"/>
  <c r="EY144" i="1"/>
  <c r="EY109" i="1"/>
  <c r="EY113" i="1"/>
  <c r="EY117" i="1"/>
  <c r="EY121" i="1"/>
  <c r="EY125" i="1"/>
  <c r="EY129" i="1"/>
  <c r="EY133" i="1"/>
  <c r="EY137" i="1"/>
  <c r="EY141" i="1"/>
  <c r="EY145" i="1"/>
  <c r="EY110" i="1"/>
  <c r="EY114" i="1"/>
  <c r="EY118" i="1"/>
  <c r="EY122" i="1"/>
  <c r="EY126" i="1"/>
  <c r="EY130" i="1"/>
  <c r="EY134" i="1"/>
  <c r="EY138" i="1"/>
  <c r="EY142" i="1"/>
  <c r="EY146" i="1"/>
  <c r="EY111" i="1"/>
  <c r="EY115" i="1"/>
  <c r="EY119" i="1"/>
  <c r="EY123" i="1"/>
  <c r="EY127" i="1"/>
  <c r="EY131" i="1"/>
  <c r="EY135" i="1"/>
  <c r="EY139" i="1"/>
  <c r="EY143" i="1"/>
  <c r="EY148" i="1"/>
  <c r="EY152" i="1"/>
  <c r="EY156" i="1"/>
  <c r="EY160" i="1"/>
  <c r="EY164" i="1"/>
  <c r="EY168" i="1"/>
  <c r="EY172" i="1"/>
  <c r="EY176" i="1"/>
  <c r="EY180" i="1"/>
  <c r="EY184" i="1"/>
  <c r="EY149" i="1"/>
  <c r="EY153" i="1"/>
  <c r="EY157" i="1"/>
  <c r="EY161" i="1"/>
  <c r="EY165" i="1"/>
  <c r="EY169" i="1"/>
  <c r="EY173" i="1"/>
  <c r="EY177" i="1"/>
  <c r="EY181" i="1"/>
  <c r="EY185" i="1"/>
  <c r="EY150" i="1"/>
  <c r="EY154" i="1"/>
  <c r="EY158" i="1"/>
  <c r="EY162" i="1"/>
  <c r="EY166" i="1"/>
  <c r="EY170" i="1"/>
  <c r="EY174" i="1"/>
  <c r="EY178" i="1"/>
  <c r="EY182" i="1"/>
  <c r="EY147" i="1"/>
  <c r="EY151" i="1"/>
  <c r="EY155" i="1"/>
  <c r="EY159" i="1"/>
  <c r="EY163" i="1"/>
  <c r="EY167" i="1"/>
  <c r="EY171" i="1"/>
  <c r="EY175" i="1"/>
  <c r="EY179" i="1"/>
  <c r="EY183" i="1"/>
  <c r="EY186" i="1"/>
  <c r="EY187" i="1"/>
  <c r="EY191" i="1"/>
  <c r="EY195" i="1"/>
  <c r="EY199" i="1"/>
  <c r="EY203" i="1"/>
  <c r="EY207" i="1"/>
  <c r="EY211" i="1"/>
  <c r="EY215" i="1"/>
  <c r="EY219" i="1"/>
  <c r="EY223" i="1"/>
  <c r="EY188" i="1"/>
  <c r="EY192" i="1"/>
  <c r="EY196" i="1"/>
  <c r="EY200" i="1"/>
  <c r="EY204" i="1"/>
  <c r="EY208" i="1"/>
  <c r="EY212" i="1"/>
  <c r="EY216" i="1"/>
  <c r="EY220" i="1"/>
  <c r="EY224" i="1"/>
  <c r="EY189" i="1"/>
  <c r="EY193" i="1"/>
  <c r="EY197" i="1"/>
  <c r="EY201" i="1"/>
  <c r="EY205" i="1"/>
  <c r="EY209" i="1"/>
  <c r="EY213" i="1"/>
  <c r="EY217" i="1"/>
  <c r="EY221" i="1"/>
  <c r="EY225" i="1"/>
  <c r="EY190" i="1"/>
  <c r="EY194" i="1"/>
  <c r="EY198" i="1"/>
  <c r="EY202" i="1"/>
  <c r="EY206" i="1"/>
  <c r="EY210" i="1"/>
  <c r="EY214" i="1"/>
  <c r="EY218" i="1"/>
  <c r="EY222" i="1"/>
  <c r="EY230" i="1"/>
  <c r="EY234" i="1"/>
  <c r="EY238" i="1"/>
  <c r="EY242" i="1"/>
  <c r="EY246" i="1"/>
  <c r="EY250" i="1"/>
  <c r="EY254" i="1"/>
  <c r="EY258" i="1"/>
  <c r="EY262" i="1"/>
  <c r="EY266" i="1"/>
  <c r="EY270" i="1"/>
  <c r="EY274" i="1"/>
  <c r="EY278" i="1"/>
  <c r="EY282" i="1"/>
  <c r="EY286" i="1"/>
  <c r="EY290" i="1"/>
  <c r="EY294" i="1"/>
  <c r="EY298" i="1"/>
  <c r="EY231" i="1"/>
  <c r="EY235" i="1"/>
  <c r="EY239" i="1"/>
  <c r="EY243" i="1"/>
  <c r="EY247" i="1"/>
  <c r="EY251" i="1"/>
  <c r="EY255" i="1"/>
  <c r="EY259" i="1"/>
  <c r="EY263" i="1"/>
  <c r="EY267" i="1"/>
  <c r="EY271" i="1"/>
  <c r="EY275" i="1"/>
  <c r="EY279" i="1"/>
  <c r="EY283" i="1"/>
  <c r="EY287" i="1"/>
  <c r="EY291" i="1"/>
  <c r="EY295" i="1"/>
  <c r="EY299" i="1"/>
  <c r="EY228" i="1"/>
  <c r="EY232" i="1"/>
  <c r="EY236" i="1"/>
  <c r="EY240" i="1"/>
  <c r="EY244" i="1"/>
  <c r="EY248" i="1"/>
  <c r="EY252" i="1"/>
  <c r="EY256" i="1"/>
  <c r="EY260" i="1"/>
  <c r="EY264" i="1"/>
  <c r="EY268" i="1"/>
  <c r="EY272" i="1"/>
  <c r="EY276" i="1"/>
  <c r="EY280" i="1"/>
  <c r="EY284" i="1"/>
  <c r="EY288" i="1"/>
  <c r="EY292" i="1"/>
  <c r="EY296" i="1"/>
  <c r="EY300" i="1"/>
  <c r="EY226" i="1"/>
  <c r="EY227" i="1"/>
  <c r="EY229" i="1"/>
  <c r="EY233" i="1"/>
  <c r="EY237" i="1"/>
  <c r="EY241" i="1"/>
  <c r="EY245" i="1"/>
  <c r="EY249" i="1"/>
  <c r="EY253" i="1"/>
  <c r="EY257" i="1"/>
  <c r="EY261" i="1"/>
  <c r="EY265" i="1"/>
  <c r="EY269" i="1"/>
  <c r="EY273" i="1"/>
  <c r="EY277" i="1"/>
  <c r="EY281" i="1"/>
  <c r="EY285" i="1"/>
  <c r="EY289" i="1"/>
  <c r="EY293" i="1"/>
  <c r="EY297" i="1"/>
  <c r="EW2" i="1"/>
  <c r="GS6" i="1"/>
  <c r="GN6" i="1"/>
  <c r="GJ6" i="1"/>
  <c r="GR6" i="1"/>
  <c r="GM6" i="1"/>
  <c r="GI6" i="1"/>
  <c r="GK6" i="1"/>
  <c r="GP6" i="1"/>
  <c r="GH6" i="1"/>
  <c r="GL6" i="1"/>
  <c r="GO6" i="1"/>
  <c r="GG6" i="1"/>
  <c r="H48" i="3" s="1"/>
  <c r="B45" i="35"/>
  <c r="K47" i="3"/>
  <c r="GQ6" i="1"/>
  <c r="HC6" i="1"/>
  <c r="GV6" i="1"/>
  <c r="GZ6" i="1"/>
  <c r="HD6" i="1"/>
  <c r="GW6" i="1"/>
  <c r="HA6" i="1"/>
  <c r="HE6" i="1"/>
  <c r="HB6" i="1"/>
  <c r="GX6" i="1"/>
  <c r="GY6" i="1"/>
  <c r="GU6" i="1"/>
  <c r="B19" i="59"/>
  <c r="E47" i="3"/>
  <c r="D14" i="1"/>
  <c r="H50" i="8"/>
  <c r="C50" i="8" s="1"/>
  <c r="G15" i="1"/>
  <c r="B46" i="35" s="1"/>
  <c r="E19" i="59"/>
  <c r="A19" i="59" s="1"/>
  <c r="D19" i="59"/>
  <c r="A46" i="3"/>
  <c r="GT6" i="1"/>
  <c r="O36" i="48"/>
  <c r="H15" i="1"/>
  <c r="AR97" i="2"/>
  <c r="F15" i="1"/>
  <c r="E39" i="36"/>
  <c r="E37" i="48"/>
  <c r="H31" i="49"/>
  <c r="E48" i="27"/>
  <c r="F41" i="37"/>
  <c r="K37" i="48"/>
  <c r="R31" i="49"/>
  <c r="K48" i="27"/>
  <c r="N41" i="37"/>
  <c r="AT97" i="2"/>
  <c r="F50" i="8"/>
  <c r="E45" i="35"/>
  <c r="AJ51" i="8"/>
  <c r="AT77" i="2"/>
  <c r="BG12" i="33"/>
  <c r="CE36" i="34"/>
  <c r="CE12" i="34"/>
  <c r="CE24" i="34"/>
  <c r="BG24" i="33"/>
  <c r="CE36" i="33"/>
  <c r="CX68" i="1"/>
  <c r="AP101" i="2"/>
  <c r="O38" i="36"/>
  <c r="EY9" i="1"/>
  <c r="EY11" i="1"/>
  <c r="EY5" i="1"/>
  <c r="EY8" i="1"/>
  <c r="EY3" i="1"/>
  <c r="EY6" i="1"/>
  <c r="CY67" i="1"/>
  <c r="EY10" i="1"/>
  <c r="EY7" i="1"/>
  <c r="EY4" i="1"/>
  <c r="EY2" i="1"/>
  <c r="H37" i="48"/>
  <c r="A37" i="48" s="1"/>
  <c r="H48" i="27"/>
  <c r="A48" i="27" s="1"/>
  <c r="AS97" i="2"/>
  <c r="M31" i="49"/>
  <c r="A31" i="49" s="1"/>
  <c r="J41" i="37"/>
  <c r="A41" i="37" s="1"/>
  <c r="J39" i="36"/>
  <c r="A39" i="36" s="1"/>
  <c r="O48" i="27"/>
  <c r="J15" i="1"/>
  <c r="S41" i="37"/>
  <c r="AU97" i="2"/>
  <c r="FB302" i="1" l="1"/>
  <c r="FB301" i="1"/>
  <c r="EZ2" i="1"/>
  <c r="FB12" i="1"/>
  <c r="FB16" i="1"/>
  <c r="FB20" i="1"/>
  <c r="FB24" i="1"/>
  <c r="FB28" i="1"/>
  <c r="FB13" i="1"/>
  <c r="FB17" i="1"/>
  <c r="FB21" i="1"/>
  <c r="FB25" i="1"/>
  <c r="FB29" i="1"/>
  <c r="FB14" i="1"/>
  <c r="FB18" i="1"/>
  <c r="FB22" i="1"/>
  <c r="FB26" i="1"/>
  <c r="FB30" i="1"/>
  <c r="FB15" i="1"/>
  <c r="FB19" i="1"/>
  <c r="FB23" i="1"/>
  <c r="FB27" i="1"/>
  <c r="FB34" i="1"/>
  <c r="FB38" i="1"/>
  <c r="FB42" i="1"/>
  <c r="FB46" i="1"/>
  <c r="FB50" i="1"/>
  <c r="FB31" i="1"/>
  <c r="FB35" i="1"/>
  <c r="FB39" i="1"/>
  <c r="FB43" i="1"/>
  <c r="FB47" i="1"/>
  <c r="FB32" i="1"/>
  <c r="FB36" i="1"/>
  <c r="FB40" i="1"/>
  <c r="FB44" i="1"/>
  <c r="FB48" i="1"/>
  <c r="FB33" i="1"/>
  <c r="FB37" i="1"/>
  <c r="FB52" i="1"/>
  <c r="FB56" i="1"/>
  <c r="FB60" i="1"/>
  <c r="FB64" i="1"/>
  <c r="FB41" i="1"/>
  <c r="FB53" i="1"/>
  <c r="FB57" i="1"/>
  <c r="FB61" i="1"/>
  <c r="FB65" i="1"/>
  <c r="FB45" i="1"/>
  <c r="FB54" i="1"/>
  <c r="FB58" i="1"/>
  <c r="FB62" i="1"/>
  <c r="FB66" i="1"/>
  <c r="FB49" i="1"/>
  <c r="FB51" i="1"/>
  <c r="FB55" i="1"/>
  <c r="FB59" i="1"/>
  <c r="FB63" i="1"/>
  <c r="FB67" i="1"/>
  <c r="FB71" i="1"/>
  <c r="FB75" i="1"/>
  <c r="FB79" i="1"/>
  <c r="FB83" i="1"/>
  <c r="FB87" i="1"/>
  <c r="FB91" i="1"/>
  <c r="FB95" i="1"/>
  <c r="FB99" i="1"/>
  <c r="FB103" i="1"/>
  <c r="FB68" i="1"/>
  <c r="FB72" i="1"/>
  <c r="FB76" i="1"/>
  <c r="FB80" i="1"/>
  <c r="FB84" i="1"/>
  <c r="FB88" i="1"/>
  <c r="FB92" i="1"/>
  <c r="FB96" i="1"/>
  <c r="FB100" i="1"/>
  <c r="FB104" i="1"/>
  <c r="FB69" i="1"/>
  <c r="FB73" i="1"/>
  <c r="FB77" i="1"/>
  <c r="FB81" i="1"/>
  <c r="FB85" i="1"/>
  <c r="FB89" i="1"/>
  <c r="FB93" i="1"/>
  <c r="FB97" i="1"/>
  <c r="FB101" i="1"/>
  <c r="FB105" i="1"/>
  <c r="FB70" i="1"/>
  <c r="FB74" i="1"/>
  <c r="FB78" i="1"/>
  <c r="FB82" i="1"/>
  <c r="FB86" i="1"/>
  <c r="FB90" i="1"/>
  <c r="FB94" i="1"/>
  <c r="FB98" i="1"/>
  <c r="FB102" i="1"/>
  <c r="FB106" i="1"/>
  <c r="FB107" i="1"/>
  <c r="FB111" i="1"/>
  <c r="FB115" i="1"/>
  <c r="FB119" i="1"/>
  <c r="FB123" i="1"/>
  <c r="FB127" i="1"/>
  <c r="FB131" i="1"/>
  <c r="FB135" i="1"/>
  <c r="FB139" i="1"/>
  <c r="FB143" i="1"/>
  <c r="FB108" i="1"/>
  <c r="FB112" i="1"/>
  <c r="FB116" i="1"/>
  <c r="FB120" i="1"/>
  <c r="FB124" i="1"/>
  <c r="FB128" i="1"/>
  <c r="FB132" i="1"/>
  <c r="FB136" i="1"/>
  <c r="FB140" i="1"/>
  <c r="FB144" i="1"/>
  <c r="FB109" i="1"/>
  <c r="FB113" i="1"/>
  <c r="FB117" i="1"/>
  <c r="FB121" i="1"/>
  <c r="FB125" i="1"/>
  <c r="FB129" i="1"/>
  <c r="FB133" i="1"/>
  <c r="FB137" i="1"/>
  <c r="FB141" i="1"/>
  <c r="FB145" i="1"/>
  <c r="FB110" i="1"/>
  <c r="FB114" i="1"/>
  <c r="FB118" i="1"/>
  <c r="FB122" i="1"/>
  <c r="FB126" i="1"/>
  <c r="FB130" i="1"/>
  <c r="FB134" i="1"/>
  <c r="FB138" i="1"/>
  <c r="FB142" i="1"/>
  <c r="FB146" i="1"/>
  <c r="FB147" i="1"/>
  <c r="FB151" i="1"/>
  <c r="FB155" i="1"/>
  <c r="FB159" i="1"/>
  <c r="FB163" i="1"/>
  <c r="FB167" i="1"/>
  <c r="FB171" i="1"/>
  <c r="FB175" i="1"/>
  <c r="FB179" i="1"/>
  <c r="FB183" i="1"/>
  <c r="FB148" i="1"/>
  <c r="FB152" i="1"/>
  <c r="FB156" i="1"/>
  <c r="FB160" i="1"/>
  <c r="FB164" i="1"/>
  <c r="FB168" i="1"/>
  <c r="FB172" i="1"/>
  <c r="FB176" i="1"/>
  <c r="FB180" i="1"/>
  <c r="FB184" i="1"/>
  <c r="FB149" i="1"/>
  <c r="FB153" i="1"/>
  <c r="FB157" i="1"/>
  <c r="FB161" i="1"/>
  <c r="FB165" i="1"/>
  <c r="FB169" i="1"/>
  <c r="FB173" i="1"/>
  <c r="FB177" i="1"/>
  <c r="FB181" i="1"/>
  <c r="FB150" i="1"/>
  <c r="FB154" i="1"/>
  <c r="FB158" i="1"/>
  <c r="FB162" i="1"/>
  <c r="FB166" i="1"/>
  <c r="FB170" i="1"/>
  <c r="FB174" i="1"/>
  <c r="FB178" i="1"/>
  <c r="FB182" i="1"/>
  <c r="FB186" i="1"/>
  <c r="FB185" i="1"/>
  <c r="FB190" i="1"/>
  <c r="FB194" i="1"/>
  <c r="FB198" i="1"/>
  <c r="FB202" i="1"/>
  <c r="FB206" i="1"/>
  <c r="FB210" i="1"/>
  <c r="FB214" i="1"/>
  <c r="FB218" i="1"/>
  <c r="FB222" i="1"/>
  <c r="FB187" i="1"/>
  <c r="FB191" i="1"/>
  <c r="FB195" i="1"/>
  <c r="FB199" i="1"/>
  <c r="FB203" i="1"/>
  <c r="FB207" i="1"/>
  <c r="FB211" i="1"/>
  <c r="FB215" i="1"/>
  <c r="FB219" i="1"/>
  <c r="FB223" i="1"/>
  <c r="FB188" i="1"/>
  <c r="FB192" i="1"/>
  <c r="FB196" i="1"/>
  <c r="FB200" i="1"/>
  <c r="FB204" i="1"/>
  <c r="FB208" i="1"/>
  <c r="FB212" i="1"/>
  <c r="FB216" i="1"/>
  <c r="FB220" i="1"/>
  <c r="FB224" i="1"/>
  <c r="FB189" i="1"/>
  <c r="FB193" i="1"/>
  <c r="FB197" i="1"/>
  <c r="FB201" i="1"/>
  <c r="FB205" i="1"/>
  <c r="FB209" i="1"/>
  <c r="FB213" i="1"/>
  <c r="FB217" i="1"/>
  <c r="FB221" i="1"/>
  <c r="FB225" i="1"/>
  <c r="FB226" i="1"/>
  <c r="FB227" i="1"/>
  <c r="FB229" i="1"/>
  <c r="FB233" i="1"/>
  <c r="FB237" i="1"/>
  <c r="FB241" i="1"/>
  <c r="FB245" i="1"/>
  <c r="FB249" i="1"/>
  <c r="FB253" i="1"/>
  <c r="FB257" i="1"/>
  <c r="FB261" i="1"/>
  <c r="FB265" i="1"/>
  <c r="FB269" i="1"/>
  <c r="FB273" i="1"/>
  <c r="FB277" i="1"/>
  <c r="FB281" i="1"/>
  <c r="FB285" i="1"/>
  <c r="FB289" i="1"/>
  <c r="FB293" i="1"/>
  <c r="FB297" i="1"/>
  <c r="FB230" i="1"/>
  <c r="FB234" i="1"/>
  <c r="FB238" i="1"/>
  <c r="FB242" i="1"/>
  <c r="FB246" i="1"/>
  <c r="FB250" i="1"/>
  <c r="FB254" i="1"/>
  <c r="FB258" i="1"/>
  <c r="FB262" i="1"/>
  <c r="FB266" i="1"/>
  <c r="FB270" i="1"/>
  <c r="FB274" i="1"/>
  <c r="FB278" i="1"/>
  <c r="FB282" i="1"/>
  <c r="FB286" i="1"/>
  <c r="FB290" i="1"/>
  <c r="FB294" i="1"/>
  <c r="FB298" i="1"/>
  <c r="FB231" i="1"/>
  <c r="FB235" i="1"/>
  <c r="FB239" i="1"/>
  <c r="FB243" i="1"/>
  <c r="FB247" i="1"/>
  <c r="FB251" i="1"/>
  <c r="FB255" i="1"/>
  <c r="FB259" i="1"/>
  <c r="FB263" i="1"/>
  <c r="FB267" i="1"/>
  <c r="FB271" i="1"/>
  <c r="FB275" i="1"/>
  <c r="FB279" i="1"/>
  <c r="FB283" i="1"/>
  <c r="FB287" i="1"/>
  <c r="FB291" i="1"/>
  <c r="FB295" i="1"/>
  <c r="FB299" i="1"/>
  <c r="FB228" i="1"/>
  <c r="FB232" i="1"/>
  <c r="FB236" i="1"/>
  <c r="FB240" i="1"/>
  <c r="FB244" i="1"/>
  <c r="FB248" i="1"/>
  <c r="FB252" i="1"/>
  <c r="FB256" i="1"/>
  <c r="FB260" i="1"/>
  <c r="FB264" i="1"/>
  <c r="FB268" i="1"/>
  <c r="FB272" i="1"/>
  <c r="FB276" i="1"/>
  <c r="FB280" i="1"/>
  <c r="FB284" i="1"/>
  <c r="FB288" i="1"/>
  <c r="FB292" i="1"/>
  <c r="FB296" i="1"/>
  <c r="FB300" i="1"/>
  <c r="GS7" i="1"/>
  <c r="GN7" i="1"/>
  <c r="GJ7" i="1"/>
  <c r="GR7" i="1"/>
  <c r="GM7" i="1"/>
  <c r="GI7" i="1"/>
  <c r="GO7" i="1"/>
  <c r="GG7" i="1"/>
  <c r="H49" i="3" s="1"/>
  <c r="GP7" i="1"/>
  <c r="GL7" i="1"/>
  <c r="GK7" i="1"/>
  <c r="GH7" i="1"/>
  <c r="K48" i="3"/>
  <c r="CX69" i="1"/>
  <c r="CX70" i="1" s="1"/>
  <c r="CX71" i="1" s="1"/>
  <c r="CX72" i="1" s="1"/>
  <c r="CX73" i="1" s="1"/>
  <c r="CX74" i="1" s="1"/>
  <c r="CX75" i="1" s="1"/>
  <c r="CX76" i="1" s="1"/>
  <c r="CX77" i="1" s="1"/>
  <c r="CX78" i="1" s="1"/>
  <c r="CX79" i="1" s="1"/>
  <c r="CX80" i="1" s="1"/>
  <c r="GQ7" i="1"/>
  <c r="B20" i="59"/>
  <c r="E48" i="3"/>
  <c r="D15" i="1"/>
  <c r="H51" i="8"/>
  <c r="C51" i="8" s="1"/>
  <c r="G16" i="1"/>
  <c r="E20" i="59"/>
  <c r="A20" i="59" s="1"/>
  <c r="D20" i="59"/>
  <c r="A47" i="3"/>
  <c r="O39" i="36"/>
  <c r="HE7" i="1"/>
  <c r="HA7" i="1"/>
  <c r="GW7" i="1"/>
  <c r="GT7" i="1"/>
  <c r="HD7" i="1"/>
  <c r="GZ7" i="1"/>
  <c r="GV7" i="1"/>
  <c r="GX7" i="1"/>
  <c r="HC7" i="1"/>
  <c r="GY7" i="1"/>
  <c r="GU7" i="1"/>
  <c r="HB7" i="1"/>
  <c r="O37" i="48"/>
  <c r="J16" i="1"/>
  <c r="AU98" i="2"/>
  <c r="S42" i="37"/>
  <c r="O49" i="27"/>
  <c r="Y31" i="49"/>
  <c r="FB2" i="1"/>
  <c r="FB10" i="1"/>
  <c r="FB3" i="1"/>
  <c r="CY68" i="1"/>
  <c r="FB5" i="1"/>
  <c r="FB8" i="1"/>
  <c r="FB7" i="1"/>
  <c r="FB6" i="1"/>
  <c r="FB9" i="1"/>
  <c r="FB4" i="1"/>
  <c r="FB11" i="1"/>
  <c r="AP102" i="2"/>
  <c r="AJ52" i="8"/>
  <c r="AU77" i="2"/>
  <c r="BZ12" i="33"/>
  <c r="DF12" i="34"/>
  <c r="DF24" i="34"/>
  <c r="BZ24" i="33"/>
  <c r="DF36" i="33"/>
  <c r="DF36" i="34"/>
  <c r="AS98" i="2"/>
  <c r="H38" i="48"/>
  <c r="A38" i="48" s="1"/>
  <c r="J42" i="37"/>
  <c r="A42" i="37" s="1"/>
  <c r="H49" i="27"/>
  <c r="A49" i="27" s="1"/>
  <c r="J40" i="36"/>
  <c r="A40" i="36" s="1"/>
  <c r="M32" i="49"/>
  <c r="A32" i="49" s="1"/>
  <c r="H16" i="1"/>
  <c r="F51" i="8"/>
  <c r="E46" i="35"/>
  <c r="N42" i="37"/>
  <c r="K49" i="27"/>
  <c r="AT98" i="2"/>
  <c r="R32" i="49"/>
  <c r="K38" i="48"/>
  <c r="E49" i="27"/>
  <c r="H32" i="49"/>
  <c r="E38" i="48"/>
  <c r="E40" i="36"/>
  <c r="F16" i="1"/>
  <c r="F42" i="37"/>
  <c r="AR98" i="2"/>
  <c r="FE302" i="1" l="1"/>
  <c r="FE301" i="1"/>
  <c r="H52" i="8"/>
  <c r="C52" i="8" s="1"/>
  <c r="FC2" i="1"/>
  <c r="FE15" i="1"/>
  <c r="FE19" i="1"/>
  <c r="FE23" i="1"/>
  <c r="FE27" i="1"/>
  <c r="FE12" i="1"/>
  <c r="FE16" i="1"/>
  <c r="FE20" i="1"/>
  <c r="FE24" i="1"/>
  <c r="FE28" i="1"/>
  <c r="FE13" i="1"/>
  <c r="FE17" i="1"/>
  <c r="FE21" i="1"/>
  <c r="FE25" i="1"/>
  <c r="FE29" i="1"/>
  <c r="FE14" i="1"/>
  <c r="FE18" i="1"/>
  <c r="FE22" i="1"/>
  <c r="FE26" i="1"/>
  <c r="FE33" i="1"/>
  <c r="FE37" i="1"/>
  <c r="FE41" i="1"/>
  <c r="FE45" i="1"/>
  <c r="FE49" i="1"/>
  <c r="FE34" i="1"/>
  <c r="FE38" i="1"/>
  <c r="FE42" i="1"/>
  <c r="FE46" i="1"/>
  <c r="FE50" i="1"/>
  <c r="FE31" i="1"/>
  <c r="FE35" i="1"/>
  <c r="FE39" i="1"/>
  <c r="FE43" i="1"/>
  <c r="FE47" i="1"/>
  <c r="FE30" i="1"/>
  <c r="FE32" i="1"/>
  <c r="FE36" i="1"/>
  <c r="FE51" i="1"/>
  <c r="FE55" i="1"/>
  <c r="FE59" i="1"/>
  <c r="FE63" i="1"/>
  <c r="FE40" i="1"/>
  <c r="FE52" i="1"/>
  <c r="FE56" i="1"/>
  <c r="FE60" i="1"/>
  <c r="FE64" i="1"/>
  <c r="FE44" i="1"/>
  <c r="FE53" i="1"/>
  <c r="FE57" i="1"/>
  <c r="FE61" i="1"/>
  <c r="FE65" i="1"/>
  <c r="FE48" i="1"/>
  <c r="FE54" i="1"/>
  <c r="FE58" i="1"/>
  <c r="FE62" i="1"/>
  <c r="FE66" i="1"/>
  <c r="FE70" i="1"/>
  <c r="FE74" i="1"/>
  <c r="FE78" i="1"/>
  <c r="FE82" i="1"/>
  <c r="FE86" i="1"/>
  <c r="FE90" i="1"/>
  <c r="FE94" i="1"/>
  <c r="FE98" i="1"/>
  <c r="FE102" i="1"/>
  <c r="FE106" i="1"/>
  <c r="FE67" i="1"/>
  <c r="FE71" i="1"/>
  <c r="FE75" i="1"/>
  <c r="FE79" i="1"/>
  <c r="FE83" i="1"/>
  <c r="FE87" i="1"/>
  <c r="FE91" i="1"/>
  <c r="FE95" i="1"/>
  <c r="FE99" i="1"/>
  <c r="FE103" i="1"/>
  <c r="FE68" i="1"/>
  <c r="FE72" i="1"/>
  <c r="FE76" i="1"/>
  <c r="FE80" i="1"/>
  <c r="FE84" i="1"/>
  <c r="FE88" i="1"/>
  <c r="FE92" i="1"/>
  <c r="FE96" i="1"/>
  <c r="FE100" i="1"/>
  <c r="FE104" i="1"/>
  <c r="FE69" i="1"/>
  <c r="FE73" i="1"/>
  <c r="FE77" i="1"/>
  <c r="FE81" i="1"/>
  <c r="FE85" i="1"/>
  <c r="FE89" i="1"/>
  <c r="FE93" i="1"/>
  <c r="FE97" i="1"/>
  <c r="FE101" i="1"/>
  <c r="FE105" i="1"/>
  <c r="FE110" i="1"/>
  <c r="FE114" i="1"/>
  <c r="FE118" i="1"/>
  <c r="FE122" i="1"/>
  <c r="FE126" i="1"/>
  <c r="FE130" i="1"/>
  <c r="FE134" i="1"/>
  <c r="FE138" i="1"/>
  <c r="FE142" i="1"/>
  <c r="FE107" i="1"/>
  <c r="FE111" i="1"/>
  <c r="FE115" i="1"/>
  <c r="FE119" i="1"/>
  <c r="FE123" i="1"/>
  <c r="FE127" i="1"/>
  <c r="FE131" i="1"/>
  <c r="FE135" i="1"/>
  <c r="FE139" i="1"/>
  <c r="FE143" i="1"/>
  <c r="FE108" i="1"/>
  <c r="FE112" i="1"/>
  <c r="FE116" i="1"/>
  <c r="FE120" i="1"/>
  <c r="FE124" i="1"/>
  <c r="FE128" i="1"/>
  <c r="FE132" i="1"/>
  <c r="FE136" i="1"/>
  <c r="FE140" i="1"/>
  <c r="FE144" i="1"/>
  <c r="FE109" i="1"/>
  <c r="FE113" i="1"/>
  <c r="FE117" i="1"/>
  <c r="FE121" i="1"/>
  <c r="FE125" i="1"/>
  <c r="FE129" i="1"/>
  <c r="FE133" i="1"/>
  <c r="FE137" i="1"/>
  <c r="FE141" i="1"/>
  <c r="FE145" i="1"/>
  <c r="FE146" i="1"/>
  <c r="FE150" i="1"/>
  <c r="FE154" i="1"/>
  <c r="FE158" i="1"/>
  <c r="FE162" i="1"/>
  <c r="FE166" i="1"/>
  <c r="FE170" i="1"/>
  <c r="FE174" i="1"/>
  <c r="FE178" i="1"/>
  <c r="FE182" i="1"/>
  <c r="FE147" i="1"/>
  <c r="FE151" i="1"/>
  <c r="FE155" i="1"/>
  <c r="FE159" i="1"/>
  <c r="FE163" i="1"/>
  <c r="FE167" i="1"/>
  <c r="FE171" i="1"/>
  <c r="FE175" i="1"/>
  <c r="FE179" i="1"/>
  <c r="FE183" i="1"/>
  <c r="FE148" i="1"/>
  <c r="FE152" i="1"/>
  <c r="FE156" i="1"/>
  <c r="FE160" i="1"/>
  <c r="FE164" i="1"/>
  <c r="FE168" i="1"/>
  <c r="FE172" i="1"/>
  <c r="FE176" i="1"/>
  <c r="FE180" i="1"/>
  <c r="FE149" i="1"/>
  <c r="FE153" i="1"/>
  <c r="FE157" i="1"/>
  <c r="FE161" i="1"/>
  <c r="FE165" i="1"/>
  <c r="FE169" i="1"/>
  <c r="FE173" i="1"/>
  <c r="FE177" i="1"/>
  <c r="FE181" i="1"/>
  <c r="FE185" i="1"/>
  <c r="FE184" i="1"/>
  <c r="FE189" i="1"/>
  <c r="FE193" i="1"/>
  <c r="FE197" i="1"/>
  <c r="FE201" i="1"/>
  <c r="FE205" i="1"/>
  <c r="FE209" i="1"/>
  <c r="FE213" i="1"/>
  <c r="FE217" i="1"/>
  <c r="FE221" i="1"/>
  <c r="FE225" i="1"/>
  <c r="FE186" i="1"/>
  <c r="FE190" i="1"/>
  <c r="FE194" i="1"/>
  <c r="FE198" i="1"/>
  <c r="FE202" i="1"/>
  <c r="FE206" i="1"/>
  <c r="FE210" i="1"/>
  <c r="FE214" i="1"/>
  <c r="FE218" i="1"/>
  <c r="FE222" i="1"/>
  <c r="FE226" i="1"/>
  <c r="FE187" i="1"/>
  <c r="FE191" i="1"/>
  <c r="FE195" i="1"/>
  <c r="FE199" i="1"/>
  <c r="FE203" i="1"/>
  <c r="FE207" i="1"/>
  <c r="FE211" i="1"/>
  <c r="FE215" i="1"/>
  <c r="FE219" i="1"/>
  <c r="FE223" i="1"/>
  <c r="FE227" i="1"/>
  <c r="FE188" i="1"/>
  <c r="FE192" i="1"/>
  <c r="FE196" i="1"/>
  <c r="FE200" i="1"/>
  <c r="FE204" i="1"/>
  <c r="FE208" i="1"/>
  <c r="FE212" i="1"/>
  <c r="FE216" i="1"/>
  <c r="FE220" i="1"/>
  <c r="FE224" i="1"/>
  <c r="FE228" i="1"/>
  <c r="FE232" i="1"/>
  <c r="FE236" i="1"/>
  <c r="FE240" i="1"/>
  <c r="FE244" i="1"/>
  <c r="FE248" i="1"/>
  <c r="FE252" i="1"/>
  <c r="FE256" i="1"/>
  <c r="FE260" i="1"/>
  <c r="FE264" i="1"/>
  <c r="FE268" i="1"/>
  <c r="FE272" i="1"/>
  <c r="FE276" i="1"/>
  <c r="FE280" i="1"/>
  <c r="FE284" i="1"/>
  <c r="FE288" i="1"/>
  <c r="FE292" i="1"/>
  <c r="FE296" i="1"/>
  <c r="FE300" i="1"/>
  <c r="FE229" i="1"/>
  <c r="FE233" i="1"/>
  <c r="FE237" i="1"/>
  <c r="FE241" i="1"/>
  <c r="FE245" i="1"/>
  <c r="FE249" i="1"/>
  <c r="FE253" i="1"/>
  <c r="FE257" i="1"/>
  <c r="FE261" i="1"/>
  <c r="FE265" i="1"/>
  <c r="FE269" i="1"/>
  <c r="FE273" i="1"/>
  <c r="FE277" i="1"/>
  <c r="FE281" i="1"/>
  <c r="FE285" i="1"/>
  <c r="FE289" i="1"/>
  <c r="FE293" i="1"/>
  <c r="FE297" i="1"/>
  <c r="FE230" i="1"/>
  <c r="FE234" i="1"/>
  <c r="FE238" i="1"/>
  <c r="FE242" i="1"/>
  <c r="FE246" i="1"/>
  <c r="FE250" i="1"/>
  <c r="FE254" i="1"/>
  <c r="FE258" i="1"/>
  <c r="FE262" i="1"/>
  <c r="FE266" i="1"/>
  <c r="FE270" i="1"/>
  <c r="FE274" i="1"/>
  <c r="FE278" i="1"/>
  <c r="FE282" i="1"/>
  <c r="FE286" i="1"/>
  <c r="FE290" i="1"/>
  <c r="FE294" i="1"/>
  <c r="FE298" i="1"/>
  <c r="FE231" i="1"/>
  <c r="FE235" i="1"/>
  <c r="FE239" i="1"/>
  <c r="FE243" i="1"/>
  <c r="FE247" i="1"/>
  <c r="FE251" i="1"/>
  <c r="FE255" i="1"/>
  <c r="FE259" i="1"/>
  <c r="FE263" i="1"/>
  <c r="FE267" i="1"/>
  <c r="FE271" i="1"/>
  <c r="FE275" i="1"/>
  <c r="FE279" i="1"/>
  <c r="FE283" i="1"/>
  <c r="FE287" i="1"/>
  <c r="FE291" i="1"/>
  <c r="FE295" i="1"/>
  <c r="FE299" i="1"/>
  <c r="GS8" i="1"/>
  <c r="GN8" i="1"/>
  <c r="GJ8" i="1"/>
  <c r="GR8" i="1"/>
  <c r="J18" i="1" s="1"/>
  <c r="GM8" i="1"/>
  <c r="GI8" i="1"/>
  <c r="FH24" i="34" s="1"/>
  <c r="GK8" i="1"/>
  <c r="E50" i="3" s="1"/>
  <c r="GP8" i="1"/>
  <c r="GH8" i="1"/>
  <c r="GL8" i="1"/>
  <c r="GO8" i="1"/>
  <c r="GG8" i="1"/>
  <c r="H50" i="3" s="1"/>
  <c r="CY69" i="1"/>
  <c r="K49" i="3"/>
  <c r="B21" i="59"/>
  <c r="E49" i="3"/>
  <c r="GQ8" i="1"/>
  <c r="GV8" i="1"/>
  <c r="GZ8" i="1"/>
  <c r="GW8" i="1"/>
  <c r="GY8" i="1"/>
  <c r="GU8" i="1"/>
  <c r="GX8" i="1"/>
  <c r="D16" i="1"/>
  <c r="B47" i="35"/>
  <c r="D21" i="59"/>
  <c r="G17" i="1"/>
  <c r="D17" i="1" s="1"/>
  <c r="E21" i="59"/>
  <c r="A21" i="59" s="1"/>
  <c r="A48" i="3"/>
  <c r="AI47" i="3"/>
  <c r="HE8" i="1"/>
  <c r="HA8" i="1"/>
  <c r="HB8" i="1"/>
  <c r="GT8" i="1"/>
  <c r="HD8" i="1"/>
  <c r="HC8" i="1"/>
  <c r="O38" i="48"/>
  <c r="Y32" i="49"/>
  <c r="AV77" i="2"/>
  <c r="AJ53" i="8"/>
  <c r="M33" i="49"/>
  <c r="A33" i="49" s="1"/>
  <c r="Y33" i="49" s="1"/>
  <c r="J43" i="37"/>
  <c r="A43" i="37" s="1"/>
  <c r="H39" i="48"/>
  <c r="A39" i="48" s="1"/>
  <c r="H50" i="27"/>
  <c r="A50" i="27" s="1"/>
  <c r="AS99" i="2"/>
  <c r="J41" i="36"/>
  <c r="A41" i="36" s="1"/>
  <c r="E50" i="27"/>
  <c r="H33" i="49"/>
  <c r="F17" i="1"/>
  <c r="E39" i="48"/>
  <c r="AR99" i="2"/>
  <c r="F43" i="37"/>
  <c r="E41" i="36"/>
  <c r="H17" i="1"/>
  <c r="FE6" i="1"/>
  <c r="FE10" i="1"/>
  <c r="FE11" i="1"/>
  <c r="FE4" i="1"/>
  <c r="FE2" i="1"/>
  <c r="FE3" i="1"/>
  <c r="FE9" i="1"/>
  <c r="FE5" i="1"/>
  <c r="FE8" i="1"/>
  <c r="FE7" i="1"/>
  <c r="AU99" i="2"/>
  <c r="O50" i="27"/>
  <c r="J17" i="1"/>
  <c r="S43" i="37"/>
  <c r="R33" i="49"/>
  <c r="K50" i="27"/>
  <c r="K39" i="48"/>
  <c r="AT99" i="2"/>
  <c r="N43" i="37"/>
  <c r="O40" i="36"/>
  <c r="AP103" i="2"/>
  <c r="CS12" i="33"/>
  <c r="EG12" i="34"/>
  <c r="CS24" i="33"/>
  <c r="EG36" i="34"/>
  <c r="EG36" i="33"/>
  <c r="EG24" i="34"/>
  <c r="E47" i="35"/>
  <c r="F52" i="8"/>
  <c r="FH302" i="1" l="1"/>
  <c r="FH301" i="1"/>
  <c r="FF2" i="1"/>
  <c r="FH14" i="1"/>
  <c r="FH18" i="1"/>
  <c r="FH22" i="1"/>
  <c r="FH26" i="1"/>
  <c r="FH30" i="1"/>
  <c r="FH15" i="1"/>
  <c r="FH19" i="1"/>
  <c r="FH23" i="1"/>
  <c r="FH27" i="1"/>
  <c r="FH12" i="1"/>
  <c r="FH16" i="1"/>
  <c r="FH20" i="1"/>
  <c r="FH24" i="1"/>
  <c r="FH28" i="1"/>
  <c r="FH13" i="1"/>
  <c r="FH17" i="1"/>
  <c r="FH21" i="1"/>
  <c r="FH25" i="1"/>
  <c r="FH29" i="1"/>
  <c r="FH32" i="1"/>
  <c r="FH36" i="1"/>
  <c r="FH40" i="1"/>
  <c r="FH44" i="1"/>
  <c r="FH48" i="1"/>
  <c r="FH33" i="1"/>
  <c r="FH37" i="1"/>
  <c r="FH41" i="1"/>
  <c r="FH45" i="1"/>
  <c r="FH49" i="1"/>
  <c r="FH34" i="1"/>
  <c r="FH38" i="1"/>
  <c r="FH42" i="1"/>
  <c r="FH46" i="1"/>
  <c r="FH31" i="1"/>
  <c r="FH35" i="1"/>
  <c r="FH54" i="1"/>
  <c r="FH58" i="1"/>
  <c r="FH62" i="1"/>
  <c r="FH66" i="1"/>
  <c r="FH39" i="1"/>
  <c r="FH50" i="1"/>
  <c r="FH51" i="1"/>
  <c r="FH55" i="1"/>
  <c r="FH59" i="1"/>
  <c r="FH63" i="1"/>
  <c r="FH43" i="1"/>
  <c r="FH52" i="1"/>
  <c r="FH56" i="1"/>
  <c r="FH60" i="1"/>
  <c r="FH64" i="1"/>
  <c r="FH47" i="1"/>
  <c r="FH53" i="1"/>
  <c r="FH57" i="1"/>
  <c r="FH61" i="1"/>
  <c r="FH65" i="1"/>
  <c r="FH69" i="1"/>
  <c r="FH73" i="1"/>
  <c r="FH77" i="1"/>
  <c r="FH81" i="1"/>
  <c r="FH85" i="1"/>
  <c r="FH89" i="1"/>
  <c r="FH93" i="1"/>
  <c r="FH97" i="1"/>
  <c r="FH101" i="1"/>
  <c r="FH105" i="1"/>
  <c r="FH70" i="1"/>
  <c r="FH74" i="1"/>
  <c r="FH78" i="1"/>
  <c r="FH82" i="1"/>
  <c r="FH86" i="1"/>
  <c r="FH90" i="1"/>
  <c r="FH94" i="1"/>
  <c r="FH98" i="1"/>
  <c r="FH102" i="1"/>
  <c r="FH106" i="1"/>
  <c r="FH67" i="1"/>
  <c r="FH71" i="1"/>
  <c r="FH75" i="1"/>
  <c r="FH79" i="1"/>
  <c r="FH83" i="1"/>
  <c r="FH87" i="1"/>
  <c r="FH91" i="1"/>
  <c r="FH95" i="1"/>
  <c r="FH99" i="1"/>
  <c r="FH103" i="1"/>
  <c r="FH68" i="1"/>
  <c r="FH72" i="1"/>
  <c r="FH76" i="1"/>
  <c r="FH80" i="1"/>
  <c r="FH84" i="1"/>
  <c r="FH88" i="1"/>
  <c r="FH92" i="1"/>
  <c r="FH96" i="1"/>
  <c r="FH100" i="1"/>
  <c r="FH104" i="1"/>
  <c r="FH109" i="1"/>
  <c r="FH113" i="1"/>
  <c r="FH117" i="1"/>
  <c r="FH121" i="1"/>
  <c r="FH125" i="1"/>
  <c r="FH129" i="1"/>
  <c r="FH133" i="1"/>
  <c r="FH137" i="1"/>
  <c r="FH141" i="1"/>
  <c r="FH145" i="1"/>
  <c r="FH110" i="1"/>
  <c r="FH114" i="1"/>
  <c r="FH118" i="1"/>
  <c r="FH122" i="1"/>
  <c r="FH126" i="1"/>
  <c r="FH130" i="1"/>
  <c r="FH134" i="1"/>
  <c r="FH138" i="1"/>
  <c r="FH142" i="1"/>
  <c r="FH146" i="1"/>
  <c r="FH107" i="1"/>
  <c r="FH111" i="1"/>
  <c r="FH115" i="1"/>
  <c r="FH119" i="1"/>
  <c r="FH123" i="1"/>
  <c r="FH127" i="1"/>
  <c r="FH131" i="1"/>
  <c r="FH135" i="1"/>
  <c r="FH139" i="1"/>
  <c r="FH143" i="1"/>
  <c r="FH108" i="1"/>
  <c r="FH112" i="1"/>
  <c r="FH116" i="1"/>
  <c r="FH120" i="1"/>
  <c r="FH124" i="1"/>
  <c r="FH128" i="1"/>
  <c r="FH132" i="1"/>
  <c r="FH136" i="1"/>
  <c r="FH140" i="1"/>
  <c r="FH144" i="1"/>
  <c r="FH149" i="1"/>
  <c r="FH153" i="1"/>
  <c r="FH157" i="1"/>
  <c r="FH161" i="1"/>
  <c r="FH165" i="1"/>
  <c r="FH169" i="1"/>
  <c r="FH173" i="1"/>
  <c r="FH177" i="1"/>
  <c r="FH181" i="1"/>
  <c r="FH150" i="1"/>
  <c r="FH154" i="1"/>
  <c r="FH158" i="1"/>
  <c r="FH162" i="1"/>
  <c r="FH166" i="1"/>
  <c r="FH170" i="1"/>
  <c r="FH174" i="1"/>
  <c r="FH178" i="1"/>
  <c r="FH182" i="1"/>
  <c r="FH186" i="1"/>
  <c r="FH147" i="1"/>
  <c r="FH151" i="1"/>
  <c r="FH155" i="1"/>
  <c r="FH159" i="1"/>
  <c r="FH163" i="1"/>
  <c r="FH167" i="1"/>
  <c r="FH171" i="1"/>
  <c r="FH175" i="1"/>
  <c r="FH179" i="1"/>
  <c r="FH183" i="1"/>
  <c r="FH148" i="1"/>
  <c r="FH152" i="1"/>
  <c r="FH156" i="1"/>
  <c r="FH160" i="1"/>
  <c r="FH164" i="1"/>
  <c r="FH168" i="1"/>
  <c r="FH172" i="1"/>
  <c r="FH176" i="1"/>
  <c r="FH180" i="1"/>
  <c r="FH184" i="1"/>
  <c r="FH188" i="1"/>
  <c r="FH192" i="1"/>
  <c r="FH196" i="1"/>
  <c r="FH200" i="1"/>
  <c r="FH204" i="1"/>
  <c r="FH208" i="1"/>
  <c r="FH212" i="1"/>
  <c r="FH216" i="1"/>
  <c r="FH220" i="1"/>
  <c r="FH224" i="1"/>
  <c r="FH185" i="1"/>
  <c r="FH189" i="1"/>
  <c r="FH193" i="1"/>
  <c r="FH197" i="1"/>
  <c r="FH201" i="1"/>
  <c r="FH205" i="1"/>
  <c r="FH209" i="1"/>
  <c r="FH213" i="1"/>
  <c r="FH217" i="1"/>
  <c r="FH221" i="1"/>
  <c r="FH225" i="1"/>
  <c r="FH190" i="1"/>
  <c r="FH194" i="1"/>
  <c r="FH198" i="1"/>
  <c r="FH202" i="1"/>
  <c r="FH206" i="1"/>
  <c r="FH210" i="1"/>
  <c r="FH214" i="1"/>
  <c r="FH218" i="1"/>
  <c r="FH222" i="1"/>
  <c r="FH226" i="1"/>
  <c r="FH187" i="1"/>
  <c r="FH191" i="1"/>
  <c r="FH195" i="1"/>
  <c r="FH199" i="1"/>
  <c r="FH203" i="1"/>
  <c r="FH207" i="1"/>
  <c r="FH211" i="1"/>
  <c r="FH215" i="1"/>
  <c r="FH219" i="1"/>
  <c r="FH223" i="1"/>
  <c r="FH231" i="1"/>
  <c r="FH235" i="1"/>
  <c r="FH239" i="1"/>
  <c r="FH243" i="1"/>
  <c r="FH247" i="1"/>
  <c r="FH251" i="1"/>
  <c r="FH255" i="1"/>
  <c r="FH259" i="1"/>
  <c r="FH263" i="1"/>
  <c r="FH267" i="1"/>
  <c r="FH271" i="1"/>
  <c r="FH275" i="1"/>
  <c r="FH279" i="1"/>
  <c r="FH283" i="1"/>
  <c r="FH287" i="1"/>
  <c r="FH291" i="1"/>
  <c r="FH295" i="1"/>
  <c r="FH299" i="1"/>
  <c r="FH227" i="1"/>
  <c r="FH228" i="1"/>
  <c r="FH232" i="1"/>
  <c r="FH236" i="1"/>
  <c r="FH240" i="1"/>
  <c r="FH244" i="1"/>
  <c r="FH248" i="1"/>
  <c r="FH252" i="1"/>
  <c r="FH256" i="1"/>
  <c r="FH260" i="1"/>
  <c r="FH264" i="1"/>
  <c r="FH268" i="1"/>
  <c r="FH272" i="1"/>
  <c r="FH276" i="1"/>
  <c r="FH280" i="1"/>
  <c r="FH284" i="1"/>
  <c r="FH288" i="1"/>
  <c r="FH292" i="1"/>
  <c r="FH296" i="1"/>
  <c r="FH300" i="1"/>
  <c r="FH229" i="1"/>
  <c r="FH233" i="1"/>
  <c r="FH237" i="1"/>
  <c r="FH241" i="1"/>
  <c r="FH245" i="1"/>
  <c r="FH249" i="1"/>
  <c r="FH253" i="1"/>
  <c r="FH257" i="1"/>
  <c r="FH261" i="1"/>
  <c r="FH265" i="1"/>
  <c r="FH269" i="1"/>
  <c r="FH273" i="1"/>
  <c r="FH277" i="1"/>
  <c r="FH281" i="1"/>
  <c r="FH285" i="1"/>
  <c r="FH289" i="1"/>
  <c r="FH293" i="1"/>
  <c r="FH297" i="1"/>
  <c r="FH230" i="1"/>
  <c r="FH234" i="1"/>
  <c r="FH238" i="1"/>
  <c r="FH242" i="1"/>
  <c r="FH246" i="1"/>
  <c r="FH250" i="1"/>
  <c r="FH254" i="1"/>
  <c r="FH258" i="1"/>
  <c r="FH262" i="1"/>
  <c r="FH266" i="1"/>
  <c r="FH270" i="1"/>
  <c r="FH274" i="1"/>
  <c r="FH278" i="1"/>
  <c r="FH282" i="1"/>
  <c r="FH286" i="1"/>
  <c r="FH290" i="1"/>
  <c r="FH294" i="1"/>
  <c r="FH298" i="1"/>
  <c r="GS9" i="1"/>
  <c r="GN9" i="1"/>
  <c r="GJ9" i="1"/>
  <c r="GR9" i="1"/>
  <c r="GM9" i="1"/>
  <c r="GI9" i="1"/>
  <c r="GO9" i="1"/>
  <c r="GG9" i="1"/>
  <c r="H51" i="3" s="1"/>
  <c r="GP9" i="1"/>
  <c r="GL9" i="1"/>
  <c r="GK9" i="1"/>
  <c r="GH9" i="1"/>
  <c r="CY70" i="1"/>
  <c r="GQ9" i="1"/>
  <c r="K50" i="3"/>
  <c r="B48" i="35"/>
  <c r="H53" i="8"/>
  <c r="C53" i="8" s="1"/>
  <c r="G18" i="1"/>
  <c r="D18" i="1" s="1"/>
  <c r="E22" i="59"/>
  <c r="A22" i="59" s="1"/>
  <c r="D22" i="59"/>
  <c r="B22" i="59"/>
  <c r="A49" i="3"/>
  <c r="AS100" i="2"/>
  <c r="J44" i="37"/>
  <c r="A44" i="37" s="1"/>
  <c r="M34" i="49"/>
  <c r="A34" i="49" s="1"/>
  <c r="Y34" i="49" s="1"/>
  <c r="H40" i="48"/>
  <c r="A40" i="48" s="1"/>
  <c r="H51" i="27"/>
  <c r="A51" i="27" s="1"/>
  <c r="J42" i="36"/>
  <c r="A42" i="36" s="1"/>
  <c r="HE9" i="1"/>
  <c r="HA9" i="1"/>
  <c r="GW9" i="1"/>
  <c r="GX9" i="1"/>
  <c r="HD9" i="1"/>
  <c r="GZ9" i="1"/>
  <c r="GV9" i="1"/>
  <c r="HC9" i="1"/>
  <c r="GY9" i="1"/>
  <c r="GU9" i="1"/>
  <c r="HB9" i="1"/>
  <c r="GT9" i="1"/>
  <c r="AJ54" i="8"/>
  <c r="O39" i="48"/>
  <c r="E51" i="27"/>
  <c r="E40" i="48"/>
  <c r="H34" i="49"/>
  <c r="F18" i="1"/>
  <c r="E49" i="35" s="1"/>
  <c r="E42" i="36"/>
  <c r="F44" i="37"/>
  <c r="AR100" i="2"/>
  <c r="AU100" i="2"/>
  <c r="S44" i="37"/>
  <c r="K51" i="27"/>
  <c r="FH36" i="34"/>
  <c r="K40" i="48"/>
  <c r="AW77" i="2"/>
  <c r="O51" i="27"/>
  <c r="R34" i="49"/>
  <c r="N44" i="37"/>
  <c r="AT100" i="2"/>
  <c r="DL12" i="33"/>
  <c r="H18" i="1"/>
  <c r="FH36" i="33"/>
  <c r="FH12" i="34"/>
  <c r="DL24" i="33"/>
  <c r="FH6" i="1"/>
  <c r="FH11" i="1"/>
  <c r="FH8" i="1"/>
  <c r="FH10" i="1"/>
  <c r="FH7" i="1"/>
  <c r="FH3" i="1"/>
  <c r="FH4" i="1"/>
  <c r="FH2" i="1"/>
  <c r="FH5" i="1"/>
  <c r="FH9" i="1"/>
  <c r="O41" i="36"/>
  <c r="E48" i="35"/>
  <c r="F53" i="8"/>
  <c r="FK302" i="1" l="1"/>
  <c r="FK301" i="1"/>
  <c r="FI2" i="1"/>
  <c r="FK13" i="1"/>
  <c r="FK17" i="1"/>
  <c r="FK21" i="1"/>
  <c r="FK25" i="1"/>
  <c r="FK29" i="1"/>
  <c r="FK14" i="1"/>
  <c r="FK18" i="1"/>
  <c r="FK22" i="1"/>
  <c r="FK26" i="1"/>
  <c r="FK30" i="1"/>
  <c r="FK15" i="1"/>
  <c r="FK19" i="1"/>
  <c r="FK23" i="1"/>
  <c r="FK27" i="1"/>
  <c r="FK12" i="1"/>
  <c r="FK16" i="1"/>
  <c r="FK20" i="1"/>
  <c r="FK24" i="1"/>
  <c r="FK28" i="1"/>
  <c r="FK31" i="1"/>
  <c r="FK35" i="1"/>
  <c r="FK39" i="1"/>
  <c r="FK43" i="1"/>
  <c r="FK47" i="1"/>
  <c r="FK32" i="1"/>
  <c r="FK36" i="1"/>
  <c r="FK40" i="1"/>
  <c r="FK44" i="1"/>
  <c r="FK48" i="1"/>
  <c r="FK33" i="1"/>
  <c r="FK37" i="1"/>
  <c r="FK41" i="1"/>
  <c r="FK45" i="1"/>
  <c r="FK49" i="1"/>
  <c r="FK34" i="1"/>
  <c r="FK53" i="1"/>
  <c r="FK57" i="1"/>
  <c r="FK61" i="1"/>
  <c r="FK65" i="1"/>
  <c r="FK38" i="1"/>
  <c r="FK54" i="1"/>
  <c r="FK58" i="1"/>
  <c r="FK62" i="1"/>
  <c r="FK66" i="1"/>
  <c r="FK42" i="1"/>
  <c r="FK50" i="1"/>
  <c r="FK51" i="1"/>
  <c r="FK55" i="1"/>
  <c r="FK59" i="1"/>
  <c r="FK63" i="1"/>
  <c r="FK46" i="1"/>
  <c r="FK52" i="1"/>
  <c r="FK56" i="1"/>
  <c r="FK60" i="1"/>
  <c r="FK64" i="1"/>
  <c r="FK68" i="1"/>
  <c r="FK72" i="1"/>
  <c r="FK76" i="1"/>
  <c r="FK80" i="1"/>
  <c r="FK84" i="1"/>
  <c r="FK88" i="1"/>
  <c r="FK92" i="1"/>
  <c r="FK96" i="1"/>
  <c r="FK100" i="1"/>
  <c r="FK104" i="1"/>
  <c r="FK69" i="1"/>
  <c r="FK73" i="1"/>
  <c r="FK77" i="1"/>
  <c r="FK81" i="1"/>
  <c r="FK85" i="1"/>
  <c r="FK89" i="1"/>
  <c r="FK93" i="1"/>
  <c r="FK97" i="1"/>
  <c r="FK101" i="1"/>
  <c r="FK105" i="1"/>
  <c r="FK70" i="1"/>
  <c r="FK74" i="1"/>
  <c r="FK78" i="1"/>
  <c r="FK82" i="1"/>
  <c r="FK86" i="1"/>
  <c r="FK90" i="1"/>
  <c r="FK94" i="1"/>
  <c r="FK98" i="1"/>
  <c r="FK102" i="1"/>
  <c r="FK106" i="1"/>
  <c r="FK67" i="1"/>
  <c r="FK71" i="1"/>
  <c r="FK75" i="1"/>
  <c r="FK79" i="1"/>
  <c r="FK83" i="1"/>
  <c r="FK87" i="1"/>
  <c r="FK91" i="1"/>
  <c r="FK95" i="1"/>
  <c r="FK99" i="1"/>
  <c r="FK103" i="1"/>
  <c r="FK108" i="1"/>
  <c r="FK112" i="1"/>
  <c r="FK116" i="1"/>
  <c r="FK120" i="1"/>
  <c r="FK124" i="1"/>
  <c r="FK128" i="1"/>
  <c r="FK132" i="1"/>
  <c r="FK136" i="1"/>
  <c r="FK140" i="1"/>
  <c r="FK144" i="1"/>
  <c r="FK109" i="1"/>
  <c r="FK113" i="1"/>
  <c r="FK117" i="1"/>
  <c r="FK121" i="1"/>
  <c r="FK125" i="1"/>
  <c r="FK129" i="1"/>
  <c r="FK133" i="1"/>
  <c r="FK137" i="1"/>
  <c r="FK141" i="1"/>
  <c r="FK145" i="1"/>
  <c r="FK110" i="1"/>
  <c r="FK114" i="1"/>
  <c r="FK118" i="1"/>
  <c r="FK122" i="1"/>
  <c r="FK126" i="1"/>
  <c r="FK130" i="1"/>
  <c r="FK134" i="1"/>
  <c r="FK138" i="1"/>
  <c r="FK142" i="1"/>
  <c r="FK146" i="1"/>
  <c r="FK107" i="1"/>
  <c r="FK111" i="1"/>
  <c r="FK115" i="1"/>
  <c r="FK119" i="1"/>
  <c r="FK123" i="1"/>
  <c r="FK127" i="1"/>
  <c r="FK131" i="1"/>
  <c r="FK135" i="1"/>
  <c r="FK139" i="1"/>
  <c r="FK143" i="1"/>
  <c r="FK148" i="1"/>
  <c r="FK152" i="1"/>
  <c r="FK156" i="1"/>
  <c r="FK160" i="1"/>
  <c r="FK164" i="1"/>
  <c r="FK168" i="1"/>
  <c r="FK172" i="1"/>
  <c r="FK176" i="1"/>
  <c r="FK180" i="1"/>
  <c r="FK149" i="1"/>
  <c r="FK153" i="1"/>
  <c r="FK157" i="1"/>
  <c r="FK161" i="1"/>
  <c r="FK165" i="1"/>
  <c r="FK169" i="1"/>
  <c r="FK173" i="1"/>
  <c r="FK177" i="1"/>
  <c r="FK181" i="1"/>
  <c r="FK185" i="1"/>
  <c r="FK150" i="1"/>
  <c r="FK154" i="1"/>
  <c r="FK158" i="1"/>
  <c r="FK162" i="1"/>
  <c r="FK166" i="1"/>
  <c r="FK170" i="1"/>
  <c r="FK174" i="1"/>
  <c r="FK178" i="1"/>
  <c r="FK182" i="1"/>
  <c r="FK147" i="1"/>
  <c r="FK151" i="1"/>
  <c r="FK155" i="1"/>
  <c r="FK159" i="1"/>
  <c r="FK163" i="1"/>
  <c r="FK167" i="1"/>
  <c r="FK171" i="1"/>
  <c r="FK175" i="1"/>
  <c r="FK179" i="1"/>
  <c r="FK183" i="1"/>
  <c r="FK187" i="1"/>
  <c r="FK191" i="1"/>
  <c r="FK195" i="1"/>
  <c r="FK199" i="1"/>
  <c r="FK203" i="1"/>
  <c r="FK207" i="1"/>
  <c r="FK211" i="1"/>
  <c r="FK215" i="1"/>
  <c r="FK219" i="1"/>
  <c r="FK223" i="1"/>
  <c r="FK184" i="1"/>
  <c r="FK188" i="1"/>
  <c r="FK192" i="1"/>
  <c r="FK196" i="1"/>
  <c r="FK200" i="1"/>
  <c r="FK204" i="1"/>
  <c r="FK208" i="1"/>
  <c r="FK212" i="1"/>
  <c r="FK216" i="1"/>
  <c r="FK220" i="1"/>
  <c r="FK224" i="1"/>
  <c r="FK186" i="1"/>
  <c r="FK189" i="1"/>
  <c r="FK193" i="1"/>
  <c r="FK197" i="1"/>
  <c r="FK201" i="1"/>
  <c r="FK205" i="1"/>
  <c r="FK209" i="1"/>
  <c r="FK213" i="1"/>
  <c r="FK217" i="1"/>
  <c r="FK221" i="1"/>
  <c r="FK225" i="1"/>
  <c r="FK190" i="1"/>
  <c r="FK194" i="1"/>
  <c r="FK198" i="1"/>
  <c r="FK202" i="1"/>
  <c r="FK206" i="1"/>
  <c r="FK210" i="1"/>
  <c r="FK214" i="1"/>
  <c r="FK218" i="1"/>
  <c r="FK222" i="1"/>
  <c r="FK230" i="1"/>
  <c r="FK234" i="1"/>
  <c r="FK238" i="1"/>
  <c r="FK242" i="1"/>
  <c r="FK246" i="1"/>
  <c r="FK250" i="1"/>
  <c r="FK254" i="1"/>
  <c r="FK258" i="1"/>
  <c r="FK262" i="1"/>
  <c r="FK266" i="1"/>
  <c r="FK270" i="1"/>
  <c r="FK274" i="1"/>
  <c r="FK278" i="1"/>
  <c r="FK282" i="1"/>
  <c r="FK286" i="1"/>
  <c r="FK290" i="1"/>
  <c r="FK294" i="1"/>
  <c r="FK298" i="1"/>
  <c r="FK226" i="1"/>
  <c r="FK231" i="1"/>
  <c r="FK235" i="1"/>
  <c r="FK239" i="1"/>
  <c r="FK243" i="1"/>
  <c r="FK247" i="1"/>
  <c r="FK251" i="1"/>
  <c r="FK255" i="1"/>
  <c r="FK259" i="1"/>
  <c r="FK263" i="1"/>
  <c r="FK267" i="1"/>
  <c r="FK271" i="1"/>
  <c r="FK275" i="1"/>
  <c r="FK279" i="1"/>
  <c r="FK283" i="1"/>
  <c r="FK287" i="1"/>
  <c r="FK291" i="1"/>
  <c r="FK295" i="1"/>
  <c r="FK299" i="1"/>
  <c r="FK227" i="1"/>
  <c r="FK228" i="1"/>
  <c r="FK232" i="1"/>
  <c r="FK236" i="1"/>
  <c r="FK240" i="1"/>
  <c r="FK244" i="1"/>
  <c r="FK248" i="1"/>
  <c r="FK252" i="1"/>
  <c r="FK256" i="1"/>
  <c r="FK260" i="1"/>
  <c r="FK264" i="1"/>
  <c r="FK268" i="1"/>
  <c r="FK272" i="1"/>
  <c r="FK276" i="1"/>
  <c r="FK280" i="1"/>
  <c r="FK284" i="1"/>
  <c r="FK288" i="1"/>
  <c r="FK292" i="1"/>
  <c r="FK296" i="1"/>
  <c r="FK300" i="1"/>
  <c r="FK229" i="1"/>
  <c r="FK233" i="1"/>
  <c r="FK237" i="1"/>
  <c r="FK241" i="1"/>
  <c r="FK245" i="1"/>
  <c r="FK249" i="1"/>
  <c r="FK253" i="1"/>
  <c r="FK257" i="1"/>
  <c r="FK261" i="1"/>
  <c r="FK265" i="1"/>
  <c r="FK269" i="1"/>
  <c r="FK273" i="1"/>
  <c r="FK277" i="1"/>
  <c r="FK281" i="1"/>
  <c r="FK285" i="1"/>
  <c r="FK289" i="1"/>
  <c r="FK293" i="1"/>
  <c r="FK297" i="1"/>
  <c r="GS10" i="1"/>
  <c r="GN10" i="1"/>
  <c r="GJ10" i="1"/>
  <c r="GR10" i="1"/>
  <c r="O53" i="27" s="1"/>
  <c r="GM10" i="1"/>
  <c r="GI10" i="1"/>
  <c r="GK10" i="1"/>
  <c r="F20" i="1" s="1"/>
  <c r="GP10" i="1"/>
  <c r="GH10" i="1"/>
  <c r="GL10" i="1"/>
  <c r="GO10" i="1"/>
  <c r="GG10" i="1"/>
  <c r="H52" i="3" s="1"/>
  <c r="CY71" i="1"/>
  <c r="FK6" i="1"/>
  <c r="FK11" i="1"/>
  <c r="FK9" i="1"/>
  <c r="FK2" i="1"/>
  <c r="FK5" i="1"/>
  <c r="FK3" i="1"/>
  <c r="FK10" i="1"/>
  <c r="FK7" i="1"/>
  <c r="FK8" i="1"/>
  <c r="FK4" i="1"/>
  <c r="A51" i="3"/>
  <c r="GQ10" i="1"/>
  <c r="K51" i="3"/>
  <c r="B23" i="59"/>
  <c r="E51" i="3"/>
  <c r="H54" i="8"/>
  <c r="C54" i="8" s="1"/>
  <c r="B49" i="35"/>
  <c r="G19" i="1"/>
  <c r="D19" i="1" s="1"/>
  <c r="E23" i="59"/>
  <c r="A23" i="59" s="1"/>
  <c r="D23" i="59"/>
  <c r="A50" i="3"/>
  <c r="O42" i="36"/>
  <c r="O40" i="48"/>
  <c r="HE10" i="1"/>
  <c r="HA10" i="1"/>
  <c r="GW10" i="1"/>
  <c r="HB10" i="1"/>
  <c r="GT10" i="1"/>
  <c r="HD10" i="1"/>
  <c r="GZ10" i="1"/>
  <c r="GV10" i="1"/>
  <c r="GX10" i="1"/>
  <c r="HC10" i="1"/>
  <c r="GY10" i="1"/>
  <c r="GU10" i="1"/>
  <c r="F54" i="8"/>
  <c r="H19" i="1"/>
  <c r="K41" i="48"/>
  <c r="K52" i="27"/>
  <c r="AT101" i="2"/>
  <c r="N45" i="37"/>
  <c r="R35" i="49"/>
  <c r="H35" i="49"/>
  <c r="F19" i="1"/>
  <c r="F55" i="8" s="1"/>
  <c r="AR101" i="2"/>
  <c r="E43" i="36"/>
  <c r="E41" i="48"/>
  <c r="E52" i="27"/>
  <c r="F45" i="37"/>
  <c r="M35" i="49"/>
  <c r="A35" i="49" s="1"/>
  <c r="J45" i="37"/>
  <c r="A45" i="37" s="1"/>
  <c r="H52" i="27"/>
  <c r="A52" i="27" s="1"/>
  <c r="AS101" i="2"/>
  <c r="J43" i="36"/>
  <c r="A43" i="36" s="1"/>
  <c r="H41" i="48"/>
  <c r="A41" i="48" s="1"/>
  <c r="AJ55" i="8"/>
  <c r="AX77" i="2"/>
  <c r="EE24" i="33"/>
  <c r="EE12" i="33"/>
  <c r="AU101" i="2"/>
  <c r="S45" i="37"/>
  <c r="J19" i="1"/>
  <c r="O52" i="27"/>
  <c r="FN302" i="1" l="1"/>
  <c r="FN301" i="1"/>
  <c r="FL2" i="1"/>
  <c r="FN12" i="1"/>
  <c r="FN16" i="1"/>
  <c r="FN20" i="1"/>
  <c r="FN24" i="1"/>
  <c r="FN28" i="1"/>
  <c r="FN13" i="1"/>
  <c r="FN17" i="1"/>
  <c r="FN21" i="1"/>
  <c r="FN25" i="1"/>
  <c r="FN29" i="1"/>
  <c r="FN14" i="1"/>
  <c r="FN18" i="1"/>
  <c r="FN22" i="1"/>
  <c r="FN26" i="1"/>
  <c r="FN30" i="1"/>
  <c r="FN15" i="1"/>
  <c r="FN19" i="1"/>
  <c r="FN23" i="1"/>
  <c r="FN27" i="1"/>
  <c r="FN34" i="1"/>
  <c r="FN38" i="1"/>
  <c r="FN42" i="1"/>
  <c r="FN46" i="1"/>
  <c r="FN31" i="1"/>
  <c r="FN35" i="1"/>
  <c r="FN39" i="1"/>
  <c r="FN43" i="1"/>
  <c r="FN47" i="1"/>
  <c r="FN32" i="1"/>
  <c r="FN36" i="1"/>
  <c r="FN40" i="1"/>
  <c r="FN44" i="1"/>
  <c r="FN48" i="1"/>
  <c r="FN33" i="1"/>
  <c r="FN49" i="1"/>
  <c r="FN52" i="1"/>
  <c r="FN56" i="1"/>
  <c r="FN60" i="1"/>
  <c r="FN64" i="1"/>
  <c r="FN37" i="1"/>
  <c r="FN53" i="1"/>
  <c r="FN57" i="1"/>
  <c r="FN61" i="1"/>
  <c r="FN65" i="1"/>
  <c r="FN41" i="1"/>
  <c r="FN54" i="1"/>
  <c r="FN58" i="1"/>
  <c r="FN62" i="1"/>
  <c r="FN66" i="1"/>
  <c r="FN45" i="1"/>
  <c r="FN50" i="1"/>
  <c r="FN51" i="1"/>
  <c r="FN55" i="1"/>
  <c r="FN59" i="1"/>
  <c r="FN63" i="1"/>
  <c r="FN67" i="1"/>
  <c r="FN71" i="1"/>
  <c r="FN75" i="1"/>
  <c r="FN79" i="1"/>
  <c r="FN83" i="1"/>
  <c r="FN87" i="1"/>
  <c r="FN91" i="1"/>
  <c r="FN95" i="1"/>
  <c r="FN99" i="1"/>
  <c r="FN103" i="1"/>
  <c r="FN68" i="1"/>
  <c r="FN72" i="1"/>
  <c r="FN76" i="1"/>
  <c r="FN80" i="1"/>
  <c r="FN84" i="1"/>
  <c r="FN88" i="1"/>
  <c r="FN92" i="1"/>
  <c r="FN96" i="1"/>
  <c r="FN100" i="1"/>
  <c r="FN104" i="1"/>
  <c r="FN69" i="1"/>
  <c r="FN73" i="1"/>
  <c r="FN77" i="1"/>
  <c r="FN81" i="1"/>
  <c r="FN85" i="1"/>
  <c r="FN89" i="1"/>
  <c r="FN93" i="1"/>
  <c r="FN97" i="1"/>
  <c r="FN101" i="1"/>
  <c r="FN105" i="1"/>
  <c r="FN70" i="1"/>
  <c r="FN74" i="1"/>
  <c r="FN78" i="1"/>
  <c r="FN82" i="1"/>
  <c r="FN86" i="1"/>
  <c r="FN90" i="1"/>
  <c r="FN94" i="1"/>
  <c r="FN98" i="1"/>
  <c r="FN102" i="1"/>
  <c r="FN106" i="1"/>
  <c r="FN107" i="1"/>
  <c r="FN111" i="1"/>
  <c r="FN115" i="1"/>
  <c r="FN119" i="1"/>
  <c r="FN123" i="1"/>
  <c r="FN127" i="1"/>
  <c r="FN131" i="1"/>
  <c r="FN135" i="1"/>
  <c r="FN139" i="1"/>
  <c r="FN143" i="1"/>
  <c r="FN108" i="1"/>
  <c r="FN112" i="1"/>
  <c r="FN116" i="1"/>
  <c r="FN120" i="1"/>
  <c r="FN124" i="1"/>
  <c r="FN128" i="1"/>
  <c r="FN132" i="1"/>
  <c r="FN136" i="1"/>
  <c r="FN140" i="1"/>
  <c r="FN144" i="1"/>
  <c r="FN109" i="1"/>
  <c r="FN113" i="1"/>
  <c r="FN117" i="1"/>
  <c r="FN121" i="1"/>
  <c r="FN125" i="1"/>
  <c r="FN129" i="1"/>
  <c r="FN133" i="1"/>
  <c r="FN137" i="1"/>
  <c r="FN141" i="1"/>
  <c r="FN145" i="1"/>
  <c r="FN110" i="1"/>
  <c r="FN114" i="1"/>
  <c r="FN118" i="1"/>
  <c r="FN122" i="1"/>
  <c r="FN126" i="1"/>
  <c r="FN130" i="1"/>
  <c r="FN134" i="1"/>
  <c r="FN138" i="1"/>
  <c r="FN142" i="1"/>
  <c r="FN147" i="1"/>
  <c r="FN151" i="1"/>
  <c r="FN155" i="1"/>
  <c r="FN159" i="1"/>
  <c r="FN163" i="1"/>
  <c r="FN167" i="1"/>
  <c r="FN171" i="1"/>
  <c r="FN175" i="1"/>
  <c r="FN179" i="1"/>
  <c r="FN183" i="1"/>
  <c r="FN146" i="1"/>
  <c r="FN148" i="1"/>
  <c r="FN152" i="1"/>
  <c r="FN156" i="1"/>
  <c r="FN160" i="1"/>
  <c r="FN164" i="1"/>
  <c r="FN168" i="1"/>
  <c r="FN172" i="1"/>
  <c r="FN176" i="1"/>
  <c r="FN180" i="1"/>
  <c r="FN184" i="1"/>
  <c r="FN149" i="1"/>
  <c r="FN153" i="1"/>
  <c r="FN157" i="1"/>
  <c r="FN161" i="1"/>
  <c r="FN165" i="1"/>
  <c r="FN169" i="1"/>
  <c r="FN173" i="1"/>
  <c r="FN177" i="1"/>
  <c r="FN181" i="1"/>
  <c r="FN150" i="1"/>
  <c r="FN154" i="1"/>
  <c r="FN158" i="1"/>
  <c r="FN162" i="1"/>
  <c r="FN166" i="1"/>
  <c r="FN170" i="1"/>
  <c r="FN174" i="1"/>
  <c r="FN178" i="1"/>
  <c r="FN182" i="1"/>
  <c r="FN186" i="1"/>
  <c r="FN190" i="1"/>
  <c r="FN194" i="1"/>
  <c r="FN198" i="1"/>
  <c r="FN202" i="1"/>
  <c r="FN206" i="1"/>
  <c r="FN210" i="1"/>
  <c r="FN214" i="1"/>
  <c r="FN218" i="1"/>
  <c r="FN222" i="1"/>
  <c r="FN187" i="1"/>
  <c r="FN191" i="1"/>
  <c r="FN195" i="1"/>
  <c r="FN199" i="1"/>
  <c r="FN203" i="1"/>
  <c r="FN207" i="1"/>
  <c r="FN211" i="1"/>
  <c r="FN215" i="1"/>
  <c r="FN219" i="1"/>
  <c r="FN223" i="1"/>
  <c r="FN185" i="1"/>
  <c r="FN188" i="1"/>
  <c r="FN192" i="1"/>
  <c r="FN196" i="1"/>
  <c r="FN200" i="1"/>
  <c r="FN204" i="1"/>
  <c r="FN208" i="1"/>
  <c r="FN212" i="1"/>
  <c r="FN216" i="1"/>
  <c r="FN220" i="1"/>
  <c r="FN224" i="1"/>
  <c r="FN189" i="1"/>
  <c r="FN193" i="1"/>
  <c r="FN197" i="1"/>
  <c r="FN201" i="1"/>
  <c r="FN205" i="1"/>
  <c r="FN209" i="1"/>
  <c r="FN213" i="1"/>
  <c r="FN217" i="1"/>
  <c r="FN221" i="1"/>
  <c r="FN225" i="1"/>
  <c r="FN229" i="1"/>
  <c r="FN233" i="1"/>
  <c r="FN237" i="1"/>
  <c r="FN241" i="1"/>
  <c r="FN245" i="1"/>
  <c r="FN249" i="1"/>
  <c r="FN253" i="1"/>
  <c r="FN257" i="1"/>
  <c r="FN261" i="1"/>
  <c r="FN265" i="1"/>
  <c r="FN269" i="1"/>
  <c r="FN273" i="1"/>
  <c r="FN277" i="1"/>
  <c r="FN281" i="1"/>
  <c r="FN285" i="1"/>
  <c r="FN289" i="1"/>
  <c r="FN293" i="1"/>
  <c r="FN297" i="1"/>
  <c r="FN230" i="1"/>
  <c r="FN234" i="1"/>
  <c r="FN238" i="1"/>
  <c r="FN242" i="1"/>
  <c r="FN246" i="1"/>
  <c r="FN250" i="1"/>
  <c r="FN254" i="1"/>
  <c r="FN258" i="1"/>
  <c r="FN262" i="1"/>
  <c r="FN266" i="1"/>
  <c r="FN270" i="1"/>
  <c r="FN274" i="1"/>
  <c r="FN278" i="1"/>
  <c r="FN282" i="1"/>
  <c r="FN286" i="1"/>
  <c r="FN290" i="1"/>
  <c r="FN294" i="1"/>
  <c r="FN298" i="1"/>
  <c r="FN226" i="1"/>
  <c r="FN231" i="1"/>
  <c r="FN235" i="1"/>
  <c r="FN239" i="1"/>
  <c r="FN243" i="1"/>
  <c r="FN247" i="1"/>
  <c r="FN251" i="1"/>
  <c r="FN255" i="1"/>
  <c r="FN259" i="1"/>
  <c r="FN263" i="1"/>
  <c r="FN267" i="1"/>
  <c r="FN271" i="1"/>
  <c r="FN275" i="1"/>
  <c r="FN279" i="1"/>
  <c r="FN283" i="1"/>
  <c r="FN287" i="1"/>
  <c r="FN291" i="1"/>
  <c r="FN295" i="1"/>
  <c r="FN299" i="1"/>
  <c r="FN227" i="1"/>
  <c r="FN228" i="1"/>
  <c r="FN232" i="1"/>
  <c r="FN236" i="1"/>
  <c r="FN240" i="1"/>
  <c r="FN244" i="1"/>
  <c r="FN248" i="1"/>
  <c r="FN252" i="1"/>
  <c r="FN256" i="1"/>
  <c r="FN260" i="1"/>
  <c r="FN264" i="1"/>
  <c r="FN268" i="1"/>
  <c r="FN272" i="1"/>
  <c r="FN276" i="1"/>
  <c r="FN280" i="1"/>
  <c r="FN284" i="1"/>
  <c r="FN288" i="1"/>
  <c r="FN292" i="1"/>
  <c r="FN296" i="1"/>
  <c r="FN300" i="1"/>
  <c r="GR11" i="1"/>
  <c r="GN11" i="1"/>
  <c r="GJ11" i="1"/>
  <c r="GQ11" i="1"/>
  <c r="GM11" i="1"/>
  <c r="GI11" i="1"/>
  <c r="GO11" i="1"/>
  <c r="GG11" i="1"/>
  <c r="H53" i="3" s="1"/>
  <c r="GP11" i="1"/>
  <c r="GT11" i="1"/>
  <c r="GL11" i="1"/>
  <c r="GS11" i="1"/>
  <c r="GK11" i="1"/>
  <c r="F21" i="1" s="1"/>
  <c r="GH11" i="1"/>
  <c r="CY72" i="1"/>
  <c r="FN3" i="1"/>
  <c r="FN11" i="1"/>
  <c r="FN7" i="1"/>
  <c r="FN9" i="1"/>
  <c r="FN6" i="1"/>
  <c r="FN5" i="1"/>
  <c r="FN2" i="1"/>
  <c r="FN10" i="1"/>
  <c r="FN4" i="1"/>
  <c r="FN8" i="1"/>
  <c r="H55" i="8"/>
  <c r="C55" i="8" s="1"/>
  <c r="K53" i="27"/>
  <c r="K52" i="3"/>
  <c r="H53" i="27"/>
  <c r="A53" i="27" s="1"/>
  <c r="B24" i="59"/>
  <c r="E52" i="3"/>
  <c r="E53" i="27"/>
  <c r="O54" i="27"/>
  <c r="GV11" i="1"/>
  <c r="GW11" i="1"/>
  <c r="GX11" i="1"/>
  <c r="GU11" i="1"/>
  <c r="D24" i="59"/>
  <c r="G20" i="1"/>
  <c r="D20" i="1" s="1"/>
  <c r="E24" i="59"/>
  <c r="A24" i="59" s="1"/>
  <c r="O43" i="36"/>
  <c r="HE11" i="1"/>
  <c r="HD11" i="1"/>
  <c r="HC11" i="1"/>
  <c r="HB11" i="1"/>
  <c r="O41" i="48"/>
  <c r="Y35" i="49"/>
  <c r="EX24" i="33"/>
  <c r="EX12" i="33"/>
  <c r="H20" i="1"/>
  <c r="J20" i="1"/>
  <c r="AU102" i="2"/>
  <c r="S46" i="37"/>
  <c r="H36" i="49"/>
  <c r="E42" i="48"/>
  <c r="F46" i="37"/>
  <c r="AR102" i="2"/>
  <c r="E44" i="36"/>
  <c r="F56" i="8"/>
  <c r="AJ56" i="8"/>
  <c r="AY77" i="2"/>
  <c r="HA11" i="1"/>
  <c r="GY11" i="1"/>
  <c r="GZ11" i="1"/>
  <c r="J46" i="37"/>
  <c r="A46" i="37" s="1"/>
  <c r="H42" i="48"/>
  <c r="A42" i="48" s="1"/>
  <c r="M36" i="49"/>
  <c r="A36" i="49" s="1"/>
  <c r="J44" i="36"/>
  <c r="A44" i="36" s="1"/>
  <c r="AS102" i="2"/>
  <c r="K42" i="48"/>
  <c r="AT102" i="2"/>
  <c r="R36" i="49"/>
  <c r="N46" i="37"/>
  <c r="FQ302" i="1" l="1"/>
  <c r="FQ301" i="1"/>
  <c r="B25" i="59"/>
  <c r="FO2" i="1"/>
  <c r="FQ15" i="1"/>
  <c r="FQ19" i="1"/>
  <c r="FQ23" i="1"/>
  <c r="FQ27" i="1"/>
  <c r="FQ12" i="1"/>
  <c r="FQ16" i="1"/>
  <c r="FQ20" i="1"/>
  <c r="FQ24" i="1"/>
  <c r="FQ28" i="1"/>
  <c r="FQ13" i="1"/>
  <c r="FQ17" i="1"/>
  <c r="FQ21" i="1"/>
  <c r="FQ25" i="1"/>
  <c r="FQ29" i="1"/>
  <c r="FQ14" i="1"/>
  <c r="FQ18" i="1"/>
  <c r="FQ22" i="1"/>
  <c r="FQ26" i="1"/>
  <c r="FQ30" i="1"/>
  <c r="FQ33" i="1"/>
  <c r="FQ37" i="1"/>
  <c r="FQ41" i="1"/>
  <c r="FQ45" i="1"/>
  <c r="FQ49" i="1"/>
  <c r="FQ34" i="1"/>
  <c r="FQ38" i="1"/>
  <c r="FQ42" i="1"/>
  <c r="FQ46" i="1"/>
  <c r="FQ50" i="1"/>
  <c r="FQ31" i="1"/>
  <c r="FQ35" i="1"/>
  <c r="FQ39" i="1"/>
  <c r="FQ43" i="1"/>
  <c r="FQ47" i="1"/>
  <c r="FQ32" i="1"/>
  <c r="FQ36" i="1"/>
  <c r="FQ48" i="1"/>
  <c r="FQ51" i="1"/>
  <c r="FQ55" i="1"/>
  <c r="FQ59" i="1"/>
  <c r="FQ63" i="1"/>
  <c r="FQ52" i="1"/>
  <c r="FQ56" i="1"/>
  <c r="FQ60" i="1"/>
  <c r="FQ64" i="1"/>
  <c r="FQ40" i="1"/>
  <c r="FQ53" i="1"/>
  <c r="FQ57" i="1"/>
  <c r="FQ61" i="1"/>
  <c r="FQ65" i="1"/>
  <c r="FQ44" i="1"/>
  <c r="FQ54" i="1"/>
  <c r="FQ58" i="1"/>
  <c r="FQ62" i="1"/>
  <c r="FQ66" i="1"/>
  <c r="FQ70" i="1"/>
  <c r="FQ74" i="1"/>
  <c r="FQ78" i="1"/>
  <c r="FQ82" i="1"/>
  <c r="FQ86" i="1"/>
  <c r="FQ90" i="1"/>
  <c r="FQ94" i="1"/>
  <c r="FQ98" i="1"/>
  <c r="FQ102" i="1"/>
  <c r="FQ106" i="1"/>
  <c r="FQ67" i="1"/>
  <c r="FQ71" i="1"/>
  <c r="FQ75" i="1"/>
  <c r="FQ79" i="1"/>
  <c r="FQ83" i="1"/>
  <c r="FQ87" i="1"/>
  <c r="FQ91" i="1"/>
  <c r="FQ95" i="1"/>
  <c r="FQ99" i="1"/>
  <c r="FQ103" i="1"/>
  <c r="FQ68" i="1"/>
  <c r="FQ72" i="1"/>
  <c r="FQ76" i="1"/>
  <c r="FQ80" i="1"/>
  <c r="FQ84" i="1"/>
  <c r="FQ88" i="1"/>
  <c r="FQ92" i="1"/>
  <c r="FQ96" i="1"/>
  <c r="FQ100" i="1"/>
  <c r="FQ104" i="1"/>
  <c r="FQ69" i="1"/>
  <c r="FQ73" i="1"/>
  <c r="FQ77" i="1"/>
  <c r="FQ81" i="1"/>
  <c r="FQ85" i="1"/>
  <c r="FQ89" i="1"/>
  <c r="FQ93" i="1"/>
  <c r="FQ97" i="1"/>
  <c r="FQ101" i="1"/>
  <c r="FQ105" i="1"/>
  <c r="FQ110" i="1"/>
  <c r="FQ114" i="1"/>
  <c r="FQ118" i="1"/>
  <c r="FQ122" i="1"/>
  <c r="FQ126" i="1"/>
  <c r="FQ130" i="1"/>
  <c r="FQ134" i="1"/>
  <c r="FQ138" i="1"/>
  <c r="FQ142" i="1"/>
  <c r="FQ107" i="1"/>
  <c r="FQ111" i="1"/>
  <c r="FQ115" i="1"/>
  <c r="FQ119" i="1"/>
  <c r="FQ123" i="1"/>
  <c r="FQ127" i="1"/>
  <c r="FQ131" i="1"/>
  <c r="FQ135" i="1"/>
  <c r="FQ139" i="1"/>
  <c r="FQ143" i="1"/>
  <c r="FQ108" i="1"/>
  <c r="FQ112" i="1"/>
  <c r="FQ116" i="1"/>
  <c r="FQ120" i="1"/>
  <c r="FQ124" i="1"/>
  <c r="FQ128" i="1"/>
  <c r="FQ132" i="1"/>
  <c r="FQ136" i="1"/>
  <c r="FQ140" i="1"/>
  <c r="FQ144" i="1"/>
  <c r="FQ109" i="1"/>
  <c r="FQ113" i="1"/>
  <c r="FQ117" i="1"/>
  <c r="FQ121" i="1"/>
  <c r="FQ125" i="1"/>
  <c r="FQ129" i="1"/>
  <c r="FQ133" i="1"/>
  <c r="FQ137" i="1"/>
  <c r="FQ141" i="1"/>
  <c r="FQ145" i="1"/>
  <c r="FQ150" i="1"/>
  <c r="FQ154" i="1"/>
  <c r="FQ158" i="1"/>
  <c r="FQ162" i="1"/>
  <c r="FQ166" i="1"/>
  <c r="FQ170" i="1"/>
  <c r="FQ174" i="1"/>
  <c r="FQ178" i="1"/>
  <c r="FQ182" i="1"/>
  <c r="FQ147" i="1"/>
  <c r="FQ151" i="1"/>
  <c r="FQ155" i="1"/>
  <c r="FQ159" i="1"/>
  <c r="FQ163" i="1"/>
  <c r="FQ167" i="1"/>
  <c r="FQ171" i="1"/>
  <c r="FQ175" i="1"/>
  <c r="FQ179" i="1"/>
  <c r="FQ183" i="1"/>
  <c r="FQ146" i="1"/>
  <c r="FQ148" i="1"/>
  <c r="FQ152" i="1"/>
  <c r="FQ156" i="1"/>
  <c r="FQ160" i="1"/>
  <c r="FQ164" i="1"/>
  <c r="FQ168" i="1"/>
  <c r="FQ172" i="1"/>
  <c r="FQ176" i="1"/>
  <c r="FQ180" i="1"/>
  <c r="FQ149" i="1"/>
  <c r="FQ153" i="1"/>
  <c r="FQ157" i="1"/>
  <c r="FQ161" i="1"/>
  <c r="FQ165" i="1"/>
  <c r="FQ169" i="1"/>
  <c r="FQ173" i="1"/>
  <c r="FQ177" i="1"/>
  <c r="FQ181" i="1"/>
  <c r="FQ185" i="1"/>
  <c r="FQ189" i="1"/>
  <c r="FQ193" i="1"/>
  <c r="FQ197" i="1"/>
  <c r="FQ201" i="1"/>
  <c r="FQ205" i="1"/>
  <c r="FQ209" i="1"/>
  <c r="FQ213" i="1"/>
  <c r="FQ217" i="1"/>
  <c r="FQ221" i="1"/>
  <c r="FQ225" i="1"/>
  <c r="FQ190" i="1"/>
  <c r="FQ194" i="1"/>
  <c r="FQ198" i="1"/>
  <c r="FQ202" i="1"/>
  <c r="FQ206" i="1"/>
  <c r="FQ210" i="1"/>
  <c r="FQ214" i="1"/>
  <c r="FQ218" i="1"/>
  <c r="FQ222" i="1"/>
  <c r="FQ184" i="1"/>
  <c r="FQ187" i="1"/>
  <c r="FQ191" i="1"/>
  <c r="FQ195" i="1"/>
  <c r="FQ199" i="1"/>
  <c r="FQ203" i="1"/>
  <c r="FQ207" i="1"/>
  <c r="FQ211" i="1"/>
  <c r="FQ215" i="1"/>
  <c r="FQ219" i="1"/>
  <c r="FQ223" i="1"/>
  <c r="FQ227" i="1"/>
  <c r="FQ186" i="1"/>
  <c r="FQ188" i="1"/>
  <c r="FQ192" i="1"/>
  <c r="FQ196" i="1"/>
  <c r="FQ200" i="1"/>
  <c r="FQ204" i="1"/>
  <c r="FQ208" i="1"/>
  <c r="FQ212" i="1"/>
  <c r="FQ216" i="1"/>
  <c r="FQ220" i="1"/>
  <c r="FQ224" i="1"/>
  <c r="FQ228" i="1"/>
  <c r="FQ232" i="1"/>
  <c r="FQ236" i="1"/>
  <c r="FQ240" i="1"/>
  <c r="FQ244" i="1"/>
  <c r="FQ248" i="1"/>
  <c r="FQ252" i="1"/>
  <c r="FQ256" i="1"/>
  <c r="FQ260" i="1"/>
  <c r="FQ264" i="1"/>
  <c r="FQ268" i="1"/>
  <c r="FQ272" i="1"/>
  <c r="FQ276" i="1"/>
  <c r="FQ280" i="1"/>
  <c r="FQ284" i="1"/>
  <c r="FQ288" i="1"/>
  <c r="FQ292" i="1"/>
  <c r="FQ296" i="1"/>
  <c r="FQ300" i="1"/>
  <c r="FQ229" i="1"/>
  <c r="FQ233" i="1"/>
  <c r="FQ237" i="1"/>
  <c r="FQ241" i="1"/>
  <c r="FQ245" i="1"/>
  <c r="FQ249" i="1"/>
  <c r="FQ253" i="1"/>
  <c r="FQ257" i="1"/>
  <c r="FQ261" i="1"/>
  <c r="FQ265" i="1"/>
  <c r="FQ269" i="1"/>
  <c r="FQ273" i="1"/>
  <c r="FQ277" i="1"/>
  <c r="FQ281" i="1"/>
  <c r="FQ285" i="1"/>
  <c r="FQ289" i="1"/>
  <c r="FQ293" i="1"/>
  <c r="FQ297" i="1"/>
  <c r="FQ230" i="1"/>
  <c r="FQ234" i="1"/>
  <c r="FQ238" i="1"/>
  <c r="FQ242" i="1"/>
  <c r="FQ246" i="1"/>
  <c r="FQ250" i="1"/>
  <c r="FQ254" i="1"/>
  <c r="FQ258" i="1"/>
  <c r="FQ262" i="1"/>
  <c r="FQ266" i="1"/>
  <c r="FQ270" i="1"/>
  <c r="FQ274" i="1"/>
  <c r="FQ278" i="1"/>
  <c r="FQ282" i="1"/>
  <c r="FQ286" i="1"/>
  <c r="FQ290" i="1"/>
  <c r="FQ294" i="1"/>
  <c r="FQ298" i="1"/>
  <c r="FQ226" i="1"/>
  <c r="FQ231" i="1"/>
  <c r="FQ235" i="1"/>
  <c r="FQ239" i="1"/>
  <c r="FQ243" i="1"/>
  <c r="FQ247" i="1"/>
  <c r="FQ251" i="1"/>
  <c r="FQ255" i="1"/>
  <c r="FQ259" i="1"/>
  <c r="FQ263" i="1"/>
  <c r="FQ267" i="1"/>
  <c r="FQ271" i="1"/>
  <c r="FQ275" i="1"/>
  <c r="FQ279" i="1"/>
  <c r="FQ283" i="1"/>
  <c r="FQ287" i="1"/>
  <c r="FQ291" i="1"/>
  <c r="FQ295" i="1"/>
  <c r="FQ299" i="1"/>
  <c r="HB12" i="1"/>
  <c r="GX12" i="1"/>
  <c r="GT12" i="1"/>
  <c r="GP12" i="1"/>
  <c r="GL12" i="1"/>
  <c r="GH12" i="1"/>
  <c r="HE12" i="1"/>
  <c r="HA12" i="1"/>
  <c r="GW12" i="1"/>
  <c r="GS12" i="1"/>
  <c r="GO12" i="1"/>
  <c r="GK12" i="1"/>
  <c r="GG12" i="1"/>
  <c r="GY12" i="1"/>
  <c r="GQ12" i="1"/>
  <c r="GI12" i="1"/>
  <c r="GZ12" i="1"/>
  <c r="HD12" i="1"/>
  <c r="GV12" i="1"/>
  <c r="GN12" i="1"/>
  <c r="GJ12" i="1"/>
  <c r="HC12" i="1"/>
  <c r="GU12" i="1"/>
  <c r="GM12" i="1"/>
  <c r="GR12" i="1"/>
  <c r="CY73" i="1"/>
  <c r="FQ6" i="1"/>
  <c r="FQ3" i="1"/>
  <c r="FQ5" i="1"/>
  <c r="FQ8" i="1"/>
  <c r="FQ11" i="1"/>
  <c r="FQ9" i="1"/>
  <c r="FQ10" i="1"/>
  <c r="FQ7" i="1"/>
  <c r="FQ2" i="1"/>
  <c r="FQ4" i="1"/>
  <c r="A52" i="3"/>
  <c r="E53" i="3"/>
  <c r="E54" i="27"/>
  <c r="K54" i="27"/>
  <c r="K53" i="3"/>
  <c r="H54" i="27"/>
  <c r="A54" i="27" s="1"/>
  <c r="H56" i="8"/>
  <c r="C56" i="8" s="1"/>
  <c r="D25" i="59"/>
  <c r="G21" i="1"/>
  <c r="EE302" i="1" s="1"/>
  <c r="E25" i="59"/>
  <c r="A25" i="59" s="1"/>
  <c r="O42" i="48"/>
  <c r="H21" i="1"/>
  <c r="Y36" i="49"/>
  <c r="FQ24" i="33"/>
  <c r="FQ12" i="33"/>
  <c r="E43" i="48"/>
  <c r="F57" i="8"/>
  <c r="F47" i="37"/>
  <c r="AR103" i="2"/>
  <c r="H37" i="49"/>
  <c r="E45" i="36"/>
  <c r="AJ57" i="8"/>
  <c r="AZ77" i="2"/>
  <c r="O44" i="36"/>
  <c r="AT103" i="2"/>
  <c r="R37" i="49"/>
  <c r="K43" i="48"/>
  <c r="N47" i="37"/>
  <c r="J47" i="37"/>
  <c r="A47" i="37" s="1"/>
  <c r="J45" i="36"/>
  <c r="A45" i="36" s="1"/>
  <c r="H43" i="48"/>
  <c r="A43" i="48" s="1"/>
  <c r="AS103" i="2"/>
  <c r="M37" i="49"/>
  <c r="A37" i="49" s="1"/>
  <c r="AU103" i="2"/>
  <c r="S47" i="37"/>
  <c r="J21" i="1"/>
  <c r="S29" i="56" a="1"/>
  <c r="S28" i="56" a="1"/>
  <c r="FT302" i="1" l="1"/>
  <c r="FT301" i="1"/>
  <c r="EE300" i="1"/>
  <c r="EE301" i="1"/>
  <c r="FR2" i="1"/>
  <c r="FT14" i="1"/>
  <c r="FT18" i="1"/>
  <c r="FT22" i="1"/>
  <c r="FT26" i="1"/>
  <c r="FT30" i="1"/>
  <c r="FT15" i="1"/>
  <c r="FT19" i="1"/>
  <c r="FT23" i="1"/>
  <c r="FT27" i="1"/>
  <c r="FT12" i="1"/>
  <c r="FT16" i="1"/>
  <c r="FT20" i="1"/>
  <c r="FT24" i="1"/>
  <c r="FT28" i="1"/>
  <c r="FT13" i="1"/>
  <c r="FT17" i="1"/>
  <c r="FT21" i="1"/>
  <c r="FT25" i="1"/>
  <c r="FT29" i="1"/>
  <c r="FT32" i="1"/>
  <c r="FT36" i="1"/>
  <c r="FT40" i="1"/>
  <c r="FT44" i="1"/>
  <c r="FT48" i="1"/>
  <c r="FT33" i="1"/>
  <c r="FT37" i="1"/>
  <c r="FT41" i="1"/>
  <c r="FT45" i="1"/>
  <c r="FT49" i="1"/>
  <c r="FT34" i="1"/>
  <c r="FT38" i="1"/>
  <c r="FT42" i="1"/>
  <c r="FT46" i="1"/>
  <c r="FT31" i="1"/>
  <c r="FT35" i="1"/>
  <c r="FT47" i="1"/>
  <c r="FT50" i="1"/>
  <c r="FT54" i="1"/>
  <c r="FT58" i="1"/>
  <c r="FT62" i="1"/>
  <c r="FT66" i="1"/>
  <c r="FT51" i="1"/>
  <c r="FT55" i="1"/>
  <c r="FT59" i="1"/>
  <c r="FT63" i="1"/>
  <c r="FT39" i="1"/>
  <c r="FT52" i="1"/>
  <c r="FT56" i="1"/>
  <c r="FT60" i="1"/>
  <c r="FT64" i="1"/>
  <c r="FT43" i="1"/>
  <c r="FT53" i="1"/>
  <c r="FT57" i="1"/>
  <c r="FT61" i="1"/>
  <c r="FT65" i="1"/>
  <c r="FT69" i="1"/>
  <c r="FT73" i="1"/>
  <c r="FT77" i="1"/>
  <c r="FT81" i="1"/>
  <c r="FT85" i="1"/>
  <c r="FT89" i="1"/>
  <c r="FT93" i="1"/>
  <c r="FT97" i="1"/>
  <c r="FT101" i="1"/>
  <c r="FT105" i="1"/>
  <c r="FT70" i="1"/>
  <c r="FT74" i="1"/>
  <c r="FT78" i="1"/>
  <c r="FT82" i="1"/>
  <c r="FT86" i="1"/>
  <c r="FT90" i="1"/>
  <c r="FT94" i="1"/>
  <c r="FT98" i="1"/>
  <c r="FT102" i="1"/>
  <c r="FT106" i="1"/>
  <c r="FT67" i="1"/>
  <c r="FT71" i="1"/>
  <c r="FT75" i="1"/>
  <c r="FT79" i="1"/>
  <c r="FT83" i="1"/>
  <c r="FT87" i="1"/>
  <c r="FT91" i="1"/>
  <c r="FT95" i="1"/>
  <c r="FT99" i="1"/>
  <c r="FT103" i="1"/>
  <c r="FT68" i="1"/>
  <c r="FT72" i="1"/>
  <c r="FT76" i="1"/>
  <c r="FT80" i="1"/>
  <c r="FT84" i="1"/>
  <c r="FT88" i="1"/>
  <c r="FT92" i="1"/>
  <c r="FT96" i="1"/>
  <c r="FT100" i="1"/>
  <c r="FT104" i="1"/>
  <c r="FT109" i="1"/>
  <c r="FT113" i="1"/>
  <c r="FT117" i="1"/>
  <c r="FT121" i="1"/>
  <c r="FT125" i="1"/>
  <c r="FT129" i="1"/>
  <c r="FT133" i="1"/>
  <c r="FT137" i="1"/>
  <c r="FT141" i="1"/>
  <c r="FT145" i="1"/>
  <c r="FT110" i="1"/>
  <c r="FT114" i="1"/>
  <c r="FT118" i="1"/>
  <c r="FT122" i="1"/>
  <c r="FT126" i="1"/>
  <c r="FT130" i="1"/>
  <c r="FT134" i="1"/>
  <c r="FT138" i="1"/>
  <c r="FT142" i="1"/>
  <c r="FT146" i="1"/>
  <c r="FT107" i="1"/>
  <c r="FT111" i="1"/>
  <c r="FT115" i="1"/>
  <c r="FT119" i="1"/>
  <c r="FT123" i="1"/>
  <c r="FT127" i="1"/>
  <c r="FT131" i="1"/>
  <c r="FT135" i="1"/>
  <c r="FT139" i="1"/>
  <c r="FT143" i="1"/>
  <c r="FT108" i="1"/>
  <c r="FT112" i="1"/>
  <c r="FT116" i="1"/>
  <c r="FT120" i="1"/>
  <c r="FT124" i="1"/>
  <c r="FT128" i="1"/>
  <c r="FT132" i="1"/>
  <c r="FT136" i="1"/>
  <c r="FT140" i="1"/>
  <c r="FT144" i="1"/>
  <c r="FT149" i="1"/>
  <c r="FT153" i="1"/>
  <c r="FT157" i="1"/>
  <c r="FT161" i="1"/>
  <c r="FT165" i="1"/>
  <c r="FT169" i="1"/>
  <c r="FT173" i="1"/>
  <c r="FT177" i="1"/>
  <c r="FT181" i="1"/>
  <c r="FT150" i="1"/>
  <c r="FT154" i="1"/>
  <c r="FT158" i="1"/>
  <c r="FT162" i="1"/>
  <c r="FT166" i="1"/>
  <c r="FT170" i="1"/>
  <c r="FT174" i="1"/>
  <c r="FT178" i="1"/>
  <c r="FT182" i="1"/>
  <c r="FT186" i="1"/>
  <c r="FT147" i="1"/>
  <c r="FT151" i="1"/>
  <c r="FT155" i="1"/>
  <c r="FT159" i="1"/>
  <c r="FT163" i="1"/>
  <c r="FT167" i="1"/>
  <c r="FT171" i="1"/>
  <c r="FT175" i="1"/>
  <c r="FT179" i="1"/>
  <c r="FT183" i="1"/>
  <c r="FT148" i="1"/>
  <c r="FT152" i="1"/>
  <c r="FT156" i="1"/>
  <c r="FT160" i="1"/>
  <c r="FT164" i="1"/>
  <c r="FT168" i="1"/>
  <c r="FT172" i="1"/>
  <c r="FT176" i="1"/>
  <c r="FT180" i="1"/>
  <c r="FT184" i="1"/>
  <c r="FT188" i="1"/>
  <c r="FT192" i="1"/>
  <c r="FT196" i="1"/>
  <c r="FT200" i="1"/>
  <c r="FT204" i="1"/>
  <c r="FT208" i="1"/>
  <c r="FT212" i="1"/>
  <c r="FT216" i="1"/>
  <c r="FT220" i="1"/>
  <c r="FT224" i="1"/>
  <c r="FT189" i="1"/>
  <c r="FT193" i="1"/>
  <c r="FT197" i="1"/>
  <c r="FT201" i="1"/>
  <c r="FT205" i="1"/>
  <c r="FT209" i="1"/>
  <c r="FT213" i="1"/>
  <c r="FT217" i="1"/>
  <c r="FT221" i="1"/>
  <c r="FT225" i="1"/>
  <c r="FT190" i="1"/>
  <c r="FT194" i="1"/>
  <c r="FT198" i="1"/>
  <c r="FT202" i="1"/>
  <c r="FT206" i="1"/>
  <c r="FT210" i="1"/>
  <c r="FT214" i="1"/>
  <c r="FT218" i="1"/>
  <c r="FT222" i="1"/>
  <c r="FT226" i="1"/>
  <c r="FT185" i="1"/>
  <c r="FT187" i="1"/>
  <c r="FT191" i="1"/>
  <c r="FT195" i="1"/>
  <c r="FT199" i="1"/>
  <c r="FT203" i="1"/>
  <c r="FT207" i="1"/>
  <c r="FT211" i="1"/>
  <c r="FT215" i="1"/>
  <c r="FT219" i="1"/>
  <c r="FT223" i="1"/>
  <c r="FT227" i="1"/>
  <c r="FT231" i="1"/>
  <c r="FT235" i="1"/>
  <c r="FT239" i="1"/>
  <c r="FT243" i="1"/>
  <c r="FT247" i="1"/>
  <c r="FT251" i="1"/>
  <c r="FT255" i="1"/>
  <c r="FT259" i="1"/>
  <c r="FT263" i="1"/>
  <c r="FT267" i="1"/>
  <c r="FT271" i="1"/>
  <c r="FT275" i="1"/>
  <c r="FT279" i="1"/>
  <c r="FT283" i="1"/>
  <c r="FT287" i="1"/>
  <c r="FT291" i="1"/>
  <c r="FT295" i="1"/>
  <c r="FT299" i="1"/>
  <c r="FT228" i="1"/>
  <c r="FT232" i="1"/>
  <c r="FT236" i="1"/>
  <c r="FT240" i="1"/>
  <c r="FT244" i="1"/>
  <c r="FT248" i="1"/>
  <c r="FT252" i="1"/>
  <c r="FT256" i="1"/>
  <c r="FT260" i="1"/>
  <c r="FT264" i="1"/>
  <c r="FT268" i="1"/>
  <c r="FT272" i="1"/>
  <c r="FT276" i="1"/>
  <c r="FT280" i="1"/>
  <c r="FT284" i="1"/>
  <c r="FT288" i="1"/>
  <c r="FT292" i="1"/>
  <c r="FT296" i="1"/>
  <c r="FT300" i="1"/>
  <c r="FT229" i="1"/>
  <c r="FT233" i="1"/>
  <c r="FT237" i="1"/>
  <c r="FT241" i="1"/>
  <c r="FT245" i="1"/>
  <c r="FT249" i="1"/>
  <c r="FT253" i="1"/>
  <c r="FT257" i="1"/>
  <c r="FT261" i="1"/>
  <c r="FT265" i="1"/>
  <c r="FT269" i="1"/>
  <c r="FT273" i="1"/>
  <c r="FT277" i="1"/>
  <c r="FT281" i="1"/>
  <c r="FT285" i="1"/>
  <c r="FT289" i="1"/>
  <c r="FT293" i="1"/>
  <c r="FT297" i="1"/>
  <c r="FT230" i="1"/>
  <c r="FT234" i="1"/>
  <c r="FT238" i="1"/>
  <c r="FT242" i="1"/>
  <c r="FT246" i="1"/>
  <c r="FT250" i="1"/>
  <c r="FT254" i="1"/>
  <c r="FT258" i="1"/>
  <c r="FT262" i="1"/>
  <c r="FT266" i="1"/>
  <c r="FT270" i="1"/>
  <c r="FT274" i="1"/>
  <c r="FT278" i="1"/>
  <c r="FT282" i="1"/>
  <c r="FT286" i="1"/>
  <c r="FT290" i="1"/>
  <c r="FT294" i="1"/>
  <c r="FT298" i="1"/>
  <c r="HE13" i="1"/>
  <c r="HA13" i="1"/>
  <c r="GW13" i="1"/>
  <c r="GS13" i="1"/>
  <c r="GO13" i="1"/>
  <c r="GK13" i="1"/>
  <c r="GG13" i="1"/>
  <c r="HD13" i="1"/>
  <c r="GZ13" i="1"/>
  <c r="GV13" i="1"/>
  <c r="GR13" i="1"/>
  <c r="GN13" i="1"/>
  <c r="GJ13" i="1"/>
  <c r="GX13" i="1"/>
  <c r="GP13" i="1"/>
  <c r="GH13" i="1"/>
  <c r="GY13" i="1"/>
  <c r="HC13" i="1"/>
  <c r="GU13" i="1"/>
  <c r="GM13" i="1"/>
  <c r="GI13" i="1"/>
  <c r="HB13" i="1"/>
  <c r="GT13" i="1"/>
  <c r="GL13" i="1"/>
  <c r="GQ13" i="1"/>
  <c r="EE299" i="1"/>
  <c r="EE297" i="1"/>
  <c r="EE298" i="1"/>
  <c r="BA77" i="2"/>
  <c r="H22" i="1"/>
  <c r="E54" i="3"/>
  <c r="F22" i="1"/>
  <c r="E55" i="27"/>
  <c r="K55" i="27"/>
  <c r="K54" i="3"/>
  <c r="H54" i="3"/>
  <c r="A54" i="3" s="1"/>
  <c r="G22" i="1"/>
  <c r="D22" i="1" s="1"/>
  <c r="H55" i="27"/>
  <c r="A55" i="27" s="1"/>
  <c r="J22" i="1"/>
  <c r="O55" i="27"/>
  <c r="CY74" i="1"/>
  <c r="FT5" i="1"/>
  <c r="FT10" i="1"/>
  <c r="FT9" i="1"/>
  <c r="FT7" i="1"/>
  <c r="FT8" i="1"/>
  <c r="FT6" i="1"/>
  <c r="FT3" i="1"/>
  <c r="FT4" i="1"/>
  <c r="FT11" i="1"/>
  <c r="FT2" i="1"/>
  <c r="EE291" i="1"/>
  <c r="D21" i="1"/>
  <c r="B67" i="1" s="1"/>
  <c r="EE295" i="1"/>
  <c r="A53" i="3"/>
  <c r="EE294" i="1"/>
  <c r="EE102" i="1"/>
  <c r="EE79" i="1"/>
  <c r="EE33" i="1"/>
  <c r="EE113" i="1"/>
  <c r="EE132" i="1"/>
  <c r="EE120" i="1"/>
  <c r="EE70" i="1"/>
  <c r="EE37" i="1"/>
  <c r="EE81" i="1"/>
  <c r="EE73" i="1"/>
  <c r="EE157" i="1"/>
  <c r="EE68" i="1"/>
  <c r="EE173" i="1"/>
  <c r="EE189" i="1"/>
  <c r="EE52" i="1"/>
  <c r="EE55" i="1"/>
  <c r="EE160" i="1"/>
  <c r="EE20" i="1"/>
  <c r="EE148" i="1"/>
  <c r="EE35" i="1"/>
  <c r="EE72" i="1"/>
  <c r="EE86" i="1"/>
  <c r="EE166" i="1"/>
  <c r="EE63" i="1"/>
  <c r="EE48" i="1"/>
  <c r="EE205" i="1"/>
  <c r="EE29" i="1"/>
  <c r="EE158" i="1"/>
  <c r="EE11" i="1"/>
  <c r="EE125" i="1"/>
  <c r="EE75" i="1"/>
  <c r="EE27" i="1"/>
  <c r="EE99" i="1"/>
  <c r="EE133" i="1"/>
  <c r="EE111" i="1"/>
  <c r="EE169" i="1"/>
  <c r="EE21" i="1"/>
  <c r="EE149" i="1"/>
  <c r="EE19" i="1"/>
  <c r="EE51" i="1"/>
  <c r="EE155" i="1"/>
  <c r="EE117" i="1"/>
  <c r="EE163" i="1"/>
  <c r="EE123" i="1"/>
  <c r="EE89" i="1"/>
  <c r="EE82" i="1"/>
  <c r="EE49" i="1"/>
  <c r="EE110" i="1"/>
  <c r="EE96" i="1"/>
  <c r="EE17" i="1"/>
  <c r="EE227" i="1"/>
  <c r="EE54" i="1"/>
  <c r="EE140" i="1"/>
  <c r="EE93" i="1"/>
  <c r="EE69" i="1"/>
  <c r="EE53" i="1"/>
  <c r="EE97" i="1"/>
  <c r="EE147" i="1"/>
  <c r="EE76" i="1"/>
  <c r="EE44" i="1"/>
  <c r="EE90" i="1"/>
  <c r="EE124" i="1"/>
  <c r="EE85" i="1"/>
  <c r="EE71" i="1"/>
  <c r="EE167" i="1"/>
  <c r="EE40" i="1"/>
  <c r="EE175" i="1"/>
  <c r="EE208" i="1"/>
  <c r="EE247" i="1"/>
  <c r="EE187" i="1"/>
  <c r="EE217" i="1"/>
  <c r="EE251" i="1"/>
  <c r="EE141" i="1"/>
  <c r="EE39" i="1"/>
  <c r="EE65" i="1"/>
  <c r="EE31" i="1"/>
  <c r="EE45" i="1"/>
  <c r="EE18" i="1"/>
  <c r="EE114" i="1"/>
  <c r="EE91" i="1"/>
  <c r="EE100" i="1"/>
  <c r="EE146" i="1"/>
  <c r="EE98" i="1"/>
  <c r="EE92" i="1"/>
  <c r="EE88" i="1"/>
  <c r="EE168" i="1"/>
  <c r="EE106" i="1"/>
  <c r="EE36" i="1"/>
  <c r="EE59" i="1"/>
  <c r="EE13" i="1"/>
  <c r="EE153" i="1"/>
  <c r="EE15" i="1"/>
  <c r="EE74" i="1"/>
  <c r="EE135" i="1"/>
  <c r="EE150" i="1"/>
  <c r="EE64" i="1"/>
  <c r="EE112" i="1"/>
  <c r="EE156" i="1"/>
  <c r="EE108" i="1"/>
  <c r="EE138" i="1"/>
  <c r="GO38" i="1" s="1"/>
  <c r="GT38" i="1" s="1"/>
  <c r="EE30" i="1"/>
  <c r="EE28" i="1"/>
  <c r="EE152" i="1"/>
  <c r="EE101" i="1"/>
  <c r="EE84" i="1"/>
  <c r="EE139" i="1"/>
  <c r="EE196" i="1"/>
  <c r="EE213" i="1"/>
  <c r="EE234" i="1"/>
  <c r="EE270" i="1"/>
  <c r="EE104" i="1"/>
  <c r="EE46" i="1"/>
  <c r="EE174" i="1"/>
  <c r="EE176" i="1"/>
  <c r="EE22" i="1"/>
  <c r="EE136" i="1"/>
  <c r="EE130" i="1"/>
  <c r="EE32" i="1"/>
  <c r="EE177" i="1"/>
  <c r="EE161" i="1"/>
  <c r="EE143" i="1"/>
  <c r="EE151" i="1"/>
  <c r="EE60" i="1"/>
  <c r="GO40" i="1" s="1"/>
  <c r="GT40" i="1" s="1"/>
  <c r="EE131" i="1"/>
  <c r="EE134" i="1"/>
  <c r="EE144" i="1"/>
  <c r="EE58" i="1"/>
  <c r="EE170" i="1"/>
  <c r="EE162" i="1"/>
  <c r="EE107" i="1"/>
  <c r="EE95" i="1"/>
  <c r="EE38" i="1"/>
  <c r="EE172" i="1"/>
  <c r="EE80" i="1"/>
  <c r="EE57" i="1"/>
  <c r="EE12" i="1"/>
  <c r="EE34" i="1"/>
  <c r="EE87" i="1"/>
  <c r="EE142" i="1"/>
  <c r="EE62" i="1"/>
  <c r="EE119" i="1"/>
  <c r="EE115" i="1"/>
  <c r="EE103" i="1"/>
  <c r="EE128" i="1"/>
  <c r="EE66" i="1"/>
  <c r="EE159" i="1"/>
  <c r="EE183" i="1"/>
  <c r="EE199" i="1"/>
  <c r="EE218" i="1"/>
  <c r="EE275" i="1"/>
  <c r="EE260" i="1"/>
  <c r="EE280" i="1"/>
  <c r="EE224" i="1"/>
  <c r="EE245" i="1"/>
  <c r="EE266" i="1"/>
  <c r="EE286" i="1"/>
  <c r="EE122" i="1"/>
  <c r="EE83" i="1"/>
  <c r="EE164" i="1"/>
  <c r="EE56" i="1"/>
  <c r="EE77" i="1"/>
  <c r="EE9" i="1"/>
  <c r="EE26" i="1"/>
  <c r="EE61" i="1"/>
  <c r="EE78" i="1"/>
  <c r="EE126" i="1"/>
  <c r="EE23" i="1"/>
  <c r="EE154" i="1"/>
  <c r="EE184" i="1"/>
  <c r="EE190" i="1"/>
  <c r="EE200" i="1"/>
  <c r="EE209" i="1"/>
  <c r="EE214" i="1"/>
  <c r="EE225" i="1"/>
  <c r="EE230" i="1"/>
  <c r="EE240" i="1"/>
  <c r="EE252" i="1"/>
  <c r="EE263" i="1"/>
  <c r="EE273" i="1"/>
  <c r="EE281" i="1"/>
  <c r="EE296" i="1"/>
  <c r="EE94" i="1"/>
  <c r="EE116" i="1"/>
  <c r="EE25" i="1"/>
  <c r="EE121" i="1"/>
  <c r="EE105" i="1"/>
  <c r="EE67" i="1"/>
  <c r="EE109" i="1"/>
  <c r="EE41" i="1"/>
  <c r="EE24" i="1"/>
  <c r="EE171" i="1"/>
  <c r="EE129" i="1"/>
  <c r="EE145" i="1"/>
  <c r="EE178" i="1"/>
  <c r="EE185" i="1"/>
  <c r="EE194" i="1"/>
  <c r="EE201" i="1"/>
  <c r="EE210" i="1"/>
  <c r="EE216" i="1"/>
  <c r="EE226" i="1"/>
  <c r="EE235" i="1"/>
  <c r="EE249" i="1"/>
  <c r="EE256" i="1"/>
  <c r="EE264" i="1"/>
  <c r="EE279" i="1"/>
  <c r="EE290" i="1"/>
  <c r="EE14" i="1"/>
  <c r="H57" i="8"/>
  <c r="C57" i="8" s="1"/>
  <c r="EE180" i="1"/>
  <c r="EE182" i="1"/>
  <c r="EE186" i="1"/>
  <c r="EE191" i="1"/>
  <c r="EE198" i="1"/>
  <c r="EE203" i="1"/>
  <c r="EE206" i="1"/>
  <c r="EE207" i="1"/>
  <c r="EE212" i="1"/>
  <c r="EE219" i="1"/>
  <c r="EE222" i="1"/>
  <c r="EE223" i="1"/>
  <c r="EE229" i="1"/>
  <c r="EE233" i="1"/>
  <c r="EE238" i="1"/>
  <c r="EE244" i="1"/>
  <c r="EE248" i="1"/>
  <c r="EE258" i="1"/>
  <c r="EE259" i="1"/>
  <c r="EE265" i="1"/>
  <c r="EE272" i="1"/>
  <c r="EE274" i="1"/>
  <c r="EE284" i="1"/>
  <c r="EE285" i="1"/>
  <c r="EE292" i="1"/>
  <c r="EE47" i="1"/>
  <c r="EE179" i="1"/>
  <c r="EE181" i="1"/>
  <c r="EE188" i="1"/>
  <c r="EE192" i="1"/>
  <c r="EE195" i="1"/>
  <c r="EE197" i="1"/>
  <c r="EE202" i="1"/>
  <c r="EE204" i="1"/>
  <c r="EE211" i="1"/>
  <c r="EE215" i="1"/>
  <c r="EE220" i="1"/>
  <c r="EE221" i="1"/>
  <c r="EE228" i="1"/>
  <c r="EE232" i="1"/>
  <c r="EE237" i="1"/>
  <c r="EE241" i="1"/>
  <c r="EE243" i="1"/>
  <c r="EE254" i="1"/>
  <c r="EE257" i="1"/>
  <c r="EE268" i="1"/>
  <c r="EE271" i="1"/>
  <c r="EE277" i="1"/>
  <c r="EE283" i="1"/>
  <c r="EE288" i="1"/>
  <c r="EE293" i="1"/>
  <c r="EE231" i="1"/>
  <c r="EE236" i="1"/>
  <c r="EE239" i="1"/>
  <c r="EE242" i="1"/>
  <c r="EE246" i="1"/>
  <c r="EE253" i="1"/>
  <c r="EE255" i="1"/>
  <c r="EE261" i="1"/>
  <c r="EE267" i="1"/>
  <c r="EE269" i="1"/>
  <c r="EE276" i="1"/>
  <c r="EE278" i="1"/>
  <c r="EE282" i="1"/>
  <c r="EE287" i="1"/>
  <c r="EE289" i="1"/>
  <c r="S28" i="56"/>
  <c r="U28" i="56" s="1"/>
  <c r="S29" i="56"/>
  <c r="U29" i="56" s="1"/>
  <c r="O45" i="36"/>
  <c r="C64" i="1"/>
  <c r="C65" i="1"/>
  <c r="C63" i="1"/>
  <c r="O43" i="48"/>
  <c r="Y37" i="49"/>
  <c r="GO35" i="1" l="1"/>
  <c r="GT35" i="1" s="1"/>
  <c r="FW302" i="1"/>
  <c r="FW301" i="1"/>
  <c r="GO54" i="1"/>
  <c r="GT54" i="1" s="1"/>
  <c r="GO50" i="1"/>
  <c r="GT50" i="1" s="1"/>
  <c r="FW13" i="1"/>
  <c r="FW17" i="1"/>
  <c r="FW21" i="1"/>
  <c r="FW25" i="1"/>
  <c r="FW29" i="1"/>
  <c r="FW14" i="1"/>
  <c r="FW18" i="1"/>
  <c r="FW22" i="1"/>
  <c r="FW26" i="1"/>
  <c r="FW30" i="1"/>
  <c r="FW15" i="1"/>
  <c r="FW19" i="1"/>
  <c r="FW23" i="1"/>
  <c r="FW27" i="1"/>
  <c r="FW12" i="1"/>
  <c r="FW16" i="1"/>
  <c r="FW20" i="1"/>
  <c r="FW24" i="1"/>
  <c r="FW28" i="1"/>
  <c r="FW31" i="1"/>
  <c r="FW35" i="1"/>
  <c r="FW39" i="1"/>
  <c r="FW43" i="1"/>
  <c r="FW47" i="1"/>
  <c r="FW32" i="1"/>
  <c r="FW36" i="1"/>
  <c r="FW40" i="1"/>
  <c r="FW44" i="1"/>
  <c r="FW48" i="1"/>
  <c r="FW33" i="1"/>
  <c r="FW37" i="1"/>
  <c r="FW41" i="1"/>
  <c r="FW45" i="1"/>
  <c r="FW49" i="1"/>
  <c r="FW34" i="1"/>
  <c r="FW46" i="1"/>
  <c r="FW53" i="1"/>
  <c r="FW57" i="1"/>
  <c r="FW61" i="1"/>
  <c r="FW65" i="1"/>
  <c r="FW50" i="1"/>
  <c r="FW54" i="1"/>
  <c r="FW58" i="1"/>
  <c r="FW62" i="1"/>
  <c r="FW66" i="1"/>
  <c r="FW38" i="1"/>
  <c r="FW51" i="1"/>
  <c r="FW55" i="1"/>
  <c r="FW59" i="1"/>
  <c r="FW63" i="1"/>
  <c r="FW42" i="1"/>
  <c r="FW52" i="1"/>
  <c r="FW56" i="1"/>
  <c r="FW60" i="1"/>
  <c r="FW64" i="1"/>
  <c r="FW68" i="1"/>
  <c r="FW72" i="1"/>
  <c r="FW76" i="1"/>
  <c r="FW80" i="1"/>
  <c r="FW84" i="1"/>
  <c r="FW88" i="1"/>
  <c r="FW92" i="1"/>
  <c r="FW96" i="1"/>
  <c r="FW100" i="1"/>
  <c r="FW104" i="1"/>
  <c r="FW69" i="1"/>
  <c r="FW73" i="1"/>
  <c r="FW77" i="1"/>
  <c r="FW81" i="1"/>
  <c r="FW85" i="1"/>
  <c r="FW89" i="1"/>
  <c r="FW93" i="1"/>
  <c r="FW97" i="1"/>
  <c r="FW101" i="1"/>
  <c r="FW105" i="1"/>
  <c r="FW70" i="1"/>
  <c r="FW74" i="1"/>
  <c r="FW78" i="1"/>
  <c r="FW82" i="1"/>
  <c r="FW86" i="1"/>
  <c r="FW90" i="1"/>
  <c r="FW94" i="1"/>
  <c r="FW98" i="1"/>
  <c r="FW102" i="1"/>
  <c r="FW106" i="1"/>
  <c r="FW67" i="1"/>
  <c r="FW71" i="1"/>
  <c r="FW75" i="1"/>
  <c r="FW79" i="1"/>
  <c r="FW83" i="1"/>
  <c r="FW87" i="1"/>
  <c r="FW91" i="1"/>
  <c r="FW95" i="1"/>
  <c r="FW99" i="1"/>
  <c r="FW103" i="1"/>
  <c r="FW108" i="1"/>
  <c r="FW112" i="1"/>
  <c r="FW116" i="1"/>
  <c r="FW120" i="1"/>
  <c r="FW124" i="1"/>
  <c r="FW128" i="1"/>
  <c r="FW132" i="1"/>
  <c r="FW136" i="1"/>
  <c r="FW140" i="1"/>
  <c r="FW144" i="1"/>
  <c r="FW109" i="1"/>
  <c r="FW113" i="1"/>
  <c r="FW117" i="1"/>
  <c r="FW121" i="1"/>
  <c r="FW125" i="1"/>
  <c r="FW129" i="1"/>
  <c r="FW133" i="1"/>
  <c r="FW137" i="1"/>
  <c r="FW141" i="1"/>
  <c r="FW145" i="1"/>
  <c r="FW110" i="1"/>
  <c r="FW114" i="1"/>
  <c r="FW118" i="1"/>
  <c r="FW122" i="1"/>
  <c r="FW126" i="1"/>
  <c r="FW130" i="1"/>
  <c r="FW134" i="1"/>
  <c r="FW138" i="1"/>
  <c r="FW142" i="1"/>
  <c r="FW146" i="1"/>
  <c r="FW107" i="1"/>
  <c r="FW111" i="1"/>
  <c r="FW115" i="1"/>
  <c r="FW119" i="1"/>
  <c r="FW123" i="1"/>
  <c r="FW127" i="1"/>
  <c r="FW131" i="1"/>
  <c r="FW135" i="1"/>
  <c r="FW139" i="1"/>
  <c r="FW143" i="1"/>
  <c r="FW148" i="1"/>
  <c r="FW152" i="1"/>
  <c r="FW156" i="1"/>
  <c r="FW160" i="1"/>
  <c r="FW164" i="1"/>
  <c r="FW168" i="1"/>
  <c r="FW172" i="1"/>
  <c r="FW176" i="1"/>
  <c r="FW180" i="1"/>
  <c r="FW149" i="1"/>
  <c r="FW153" i="1"/>
  <c r="FW157" i="1"/>
  <c r="FW161" i="1"/>
  <c r="FW165" i="1"/>
  <c r="FW169" i="1"/>
  <c r="FW173" i="1"/>
  <c r="FW177" i="1"/>
  <c r="FW181" i="1"/>
  <c r="FW185" i="1"/>
  <c r="FW150" i="1"/>
  <c r="FW154" i="1"/>
  <c r="FW158" i="1"/>
  <c r="FW162" i="1"/>
  <c r="FW166" i="1"/>
  <c r="FW170" i="1"/>
  <c r="FW174" i="1"/>
  <c r="FW178" i="1"/>
  <c r="FW182" i="1"/>
  <c r="FW147" i="1"/>
  <c r="FW151" i="1"/>
  <c r="FW155" i="1"/>
  <c r="FW159" i="1"/>
  <c r="FW163" i="1"/>
  <c r="FW167" i="1"/>
  <c r="FW171" i="1"/>
  <c r="FW175" i="1"/>
  <c r="FW179" i="1"/>
  <c r="FW183" i="1"/>
  <c r="FW186" i="1"/>
  <c r="FW187" i="1"/>
  <c r="FW191" i="1"/>
  <c r="FW195" i="1"/>
  <c r="FW199" i="1"/>
  <c r="FW203" i="1"/>
  <c r="FW207" i="1"/>
  <c r="FW211" i="1"/>
  <c r="FW215" i="1"/>
  <c r="FW219" i="1"/>
  <c r="FW223" i="1"/>
  <c r="FW188" i="1"/>
  <c r="FW192" i="1"/>
  <c r="FW196" i="1"/>
  <c r="FW200" i="1"/>
  <c r="FW204" i="1"/>
  <c r="FW208" i="1"/>
  <c r="FW212" i="1"/>
  <c r="FW216" i="1"/>
  <c r="FW220" i="1"/>
  <c r="FW224" i="1"/>
  <c r="FW189" i="1"/>
  <c r="FW193" i="1"/>
  <c r="FW197" i="1"/>
  <c r="FW201" i="1"/>
  <c r="FW205" i="1"/>
  <c r="FW209" i="1"/>
  <c r="FW213" i="1"/>
  <c r="FW217" i="1"/>
  <c r="FW221" i="1"/>
  <c r="FW225" i="1"/>
  <c r="FW184" i="1"/>
  <c r="FW190" i="1"/>
  <c r="FW194" i="1"/>
  <c r="FW198" i="1"/>
  <c r="FW202" i="1"/>
  <c r="FW206" i="1"/>
  <c r="FW210" i="1"/>
  <c r="FW214" i="1"/>
  <c r="FW218" i="1"/>
  <c r="FW222" i="1"/>
  <c r="FW226" i="1"/>
  <c r="FW230" i="1"/>
  <c r="FW234" i="1"/>
  <c r="FW238" i="1"/>
  <c r="FW242" i="1"/>
  <c r="FW246" i="1"/>
  <c r="FW250" i="1"/>
  <c r="FW254" i="1"/>
  <c r="FW258" i="1"/>
  <c r="FW262" i="1"/>
  <c r="FW266" i="1"/>
  <c r="FW270" i="1"/>
  <c r="FW274" i="1"/>
  <c r="FW278" i="1"/>
  <c r="FW282" i="1"/>
  <c r="FW286" i="1"/>
  <c r="FW290" i="1"/>
  <c r="FW294" i="1"/>
  <c r="FW298" i="1"/>
  <c r="FW227" i="1"/>
  <c r="FW231" i="1"/>
  <c r="FW235" i="1"/>
  <c r="FW239" i="1"/>
  <c r="FW243" i="1"/>
  <c r="FW247" i="1"/>
  <c r="FW251" i="1"/>
  <c r="FW255" i="1"/>
  <c r="FW259" i="1"/>
  <c r="FW263" i="1"/>
  <c r="FW267" i="1"/>
  <c r="FW271" i="1"/>
  <c r="FW275" i="1"/>
  <c r="FW279" i="1"/>
  <c r="FW283" i="1"/>
  <c r="FW287" i="1"/>
  <c r="FW291" i="1"/>
  <c r="FW295" i="1"/>
  <c r="FW299" i="1"/>
  <c r="FW228" i="1"/>
  <c r="FW232" i="1"/>
  <c r="FW236" i="1"/>
  <c r="FW240" i="1"/>
  <c r="FW244" i="1"/>
  <c r="FW248" i="1"/>
  <c r="FW252" i="1"/>
  <c r="FW256" i="1"/>
  <c r="FW260" i="1"/>
  <c r="FW264" i="1"/>
  <c r="FW268" i="1"/>
  <c r="FW272" i="1"/>
  <c r="FW276" i="1"/>
  <c r="FW280" i="1"/>
  <c r="FW284" i="1"/>
  <c r="FW288" i="1"/>
  <c r="FW292" i="1"/>
  <c r="FW296" i="1"/>
  <c r="FW300" i="1"/>
  <c r="FW229" i="1"/>
  <c r="FW233" i="1"/>
  <c r="FW237" i="1"/>
  <c r="FW241" i="1"/>
  <c r="FW245" i="1"/>
  <c r="FW249" i="1"/>
  <c r="FW253" i="1"/>
  <c r="FW257" i="1"/>
  <c r="FW261" i="1"/>
  <c r="FW265" i="1"/>
  <c r="FW269" i="1"/>
  <c r="FW273" i="1"/>
  <c r="FW277" i="1"/>
  <c r="FW281" i="1"/>
  <c r="FW285" i="1"/>
  <c r="FW289" i="1"/>
  <c r="FW293" i="1"/>
  <c r="FW297" i="1"/>
  <c r="FU2" i="1"/>
  <c r="HD14" i="1"/>
  <c r="GZ14" i="1"/>
  <c r="GV14" i="1"/>
  <c r="GR14" i="1"/>
  <c r="GN14" i="1"/>
  <c r="GJ14" i="1"/>
  <c r="HC14" i="1"/>
  <c r="GY14" i="1"/>
  <c r="GU14" i="1"/>
  <c r="GQ14" i="1"/>
  <c r="GM14" i="1"/>
  <c r="GI14" i="1"/>
  <c r="HB14" i="1"/>
  <c r="GW14" i="1"/>
  <c r="GO14" i="1"/>
  <c r="GG14" i="1"/>
  <c r="HE14" i="1"/>
  <c r="GT14" i="1"/>
  <c r="GL14" i="1"/>
  <c r="GX14" i="1"/>
  <c r="GH14" i="1"/>
  <c r="HA14" i="1"/>
  <c r="GS14" i="1"/>
  <c r="GK14" i="1"/>
  <c r="GP14" i="1"/>
  <c r="CY75" i="1"/>
  <c r="FW2" i="1"/>
  <c r="FW7" i="1"/>
  <c r="FW8" i="1"/>
  <c r="FW9" i="1"/>
  <c r="FW10" i="1"/>
  <c r="FW4" i="1"/>
  <c r="FW5" i="1"/>
  <c r="FW3" i="1"/>
  <c r="FW11" i="1"/>
  <c r="FW6" i="1"/>
  <c r="BB77" i="2"/>
  <c r="J23" i="1"/>
  <c r="O56" i="27"/>
  <c r="K56" i="27"/>
  <c r="K55" i="3"/>
  <c r="H23" i="1"/>
  <c r="H55" i="3"/>
  <c r="A55" i="3" s="1"/>
  <c r="H56" i="27"/>
  <c r="A56" i="27" s="1"/>
  <c r="G23" i="1"/>
  <c r="D23" i="1" s="1"/>
  <c r="F23" i="1"/>
  <c r="E56" i="27"/>
  <c r="E55" i="3"/>
  <c r="C66" i="1"/>
  <c r="C67" i="1"/>
  <c r="B65" i="1"/>
  <c r="GO58" i="1"/>
  <c r="GT58" i="1" s="1"/>
  <c r="GO33" i="1"/>
  <c r="GT33" i="1" s="1"/>
  <c r="B63" i="1"/>
  <c r="B66" i="1"/>
  <c r="B64" i="1"/>
  <c r="GO52" i="1"/>
  <c r="GT52" i="1" s="1"/>
  <c r="GO51" i="1"/>
  <c r="GT51" i="1" s="1"/>
  <c r="GO46" i="1"/>
  <c r="GT46" i="1" s="1"/>
  <c r="GO48" i="1"/>
  <c r="GT48" i="1" s="1"/>
  <c r="GO57" i="1"/>
  <c r="GT57" i="1" s="1"/>
  <c r="GO49" i="1"/>
  <c r="GT49" i="1" s="1"/>
  <c r="GO39" i="1"/>
  <c r="GT39" i="1" s="1"/>
  <c r="GO41" i="1"/>
  <c r="GT41" i="1" s="1"/>
  <c r="GO59" i="1"/>
  <c r="GT59" i="1" s="1"/>
  <c r="L1" i="56"/>
  <c r="A29" i="36" s="1"/>
  <c r="FZ302" i="1" l="1"/>
  <c r="FZ301" i="1"/>
  <c r="FZ12" i="1"/>
  <c r="FZ16" i="1"/>
  <c r="FZ20" i="1"/>
  <c r="FZ24" i="1"/>
  <c r="FZ28" i="1"/>
  <c r="FZ13" i="1"/>
  <c r="FZ17" i="1"/>
  <c r="FZ21" i="1"/>
  <c r="FZ25" i="1"/>
  <c r="FZ29" i="1"/>
  <c r="FZ14" i="1"/>
  <c r="FZ18" i="1"/>
  <c r="FZ22" i="1"/>
  <c r="FZ26" i="1"/>
  <c r="FZ15" i="1"/>
  <c r="FZ19" i="1"/>
  <c r="FZ23" i="1"/>
  <c r="FZ27" i="1"/>
  <c r="FZ34" i="1"/>
  <c r="FZ38" i="1"/>
  <c r="FZ42" i="1"/>
  <c r="FZ46" i="1"/>
  <c r="FZ30" i="1"/>
  <c r="FZ31" i="1"/>
  <c r="FZ35" i="1"/>
  <c r="FZ39" i="1"/>
  <c r="FZ43" i="1"/>
  <c r="FZ47" i="1"/>
  <c r="FZ32" i="1"/>
  <c r="FZ36" i="1"/>
  <c r="FZ40" i="1"/>
  <c r="FZ44" i="1"/>
  <c r="FZ48" i="1"/>
  <c r="FZ33" i="1"/>
  <c r="FZ45" i="1"/>
  <c r="FZ52" i="1"/>
  <c r="FZ56" i="1"/>
  <c r="FZ60" i="1"/>
  <c r="FZ64" i="1"/>
  <c r="FZ49" i="1"/>
  <c r="FZ53" i="1"/>
  <c r="FZ57" i="1"/>
  <c r="FZ61" i="1"/>
  <c r="FZ65" i="1"/>
  <c r="FZ37" i="1"/>
  <c r="FZ50" i="1"/>
  <c r="FZ54" i="1"/>
  <c r="FZ58" i="1"/>
  <c r="FZ62" i="1"/>
  <c r="FZ66" i="1"/>
  <c r="FZ41" i="1"/>
  <c r="FZ51" i="1"/>
  <c r="FZ55" i="1"/>
  <c r="FZ59" i="1"/>
  <c r="FZ63" i="1"/>
  <c r="FZ67" i="1"/>
  <c r="FZ71" i="1"/>
  <c r="FZ75" i="1"/>
  <c r="FZ79" i="1"/>
  <c r="FZ83" i="1"/>
  <c r="FZ87" i="1"/>
  <c r="FZ91" i="1"/>
  <c r="FZ95" i="1"/>
  <c r="FZ99" i="1"/>
  <c r="FZ103" i="1"/>
  <c r="FZ68" i="1"/>
  <c r="FZ72" i="1"/>
  <c r="FZ76" i="1"/>
  <c r="FZ80" i="1"/>
  <c r="FZ84" i="1"/>
  <c r="FZ88" i="1"/>
  <c r="FZ92" i="1"/>
  <c r="FZ96" i="1"/>
  <c r="FZ100" i="1"/>
  <c r="FZ104" i="1"/>
  <c r="FZ69" i="1"/>
  <c r="FZ73" i="1"/>
  <c r="FZ77" i="1"/>
  <c r="FZ81" i="1"/>
  <c r="FZ85" i="1"/>
  <c r="FZ89" i="1"/>
  <c r="FZ93" i="1"/>
  <c r="FZ97" i="1"/>
  <c r="FZ101" i="1"/>
  <c r="FZ105" i="1"/>
  <c r="FZ70" i="1"/>
  <c r="FZ74" i="1"/>
  <c r="FZ78" i="1"/>
  <c r="FZ82" i="1"/>
  <c r="FZ86" i="1"/>
  <c r="FZ90" i="1"/>
  <c r="FZ94" i="1"/>
  <c r="FZ98" i="1"/>
  <c r="FZ102" i="1"/>
  <c r="FZ106" i="1"/>
  <c r="FZ107" i="1"/>
  <c r="FZ111" i="1"/>
  <c r="FZ115" i="1"/>
  <c r="FZ119" i="1"/>
  <c r="FZ123" i="1"/>
  <c r="FZ127" i="1"/>
  <c r="FZ131" i="1"/>
  <c r="FZ135" i="1"/>
  <c r="FZ139" i="1"/>
  <c r="FZ143" i="1"/>
  <c r="FZ108" i="1"/>
  <c r="FZ112" i="1"/>
  <c r="FZ116" i="1"/>
  <c r="FZ120" i="1"/>
  <c r="FZ124" i="1"/>
  <c r="FZ128" i="1"/>
  <c r="FZ132" i="1"/>
  <c r="FZ136" i="1"/>
  <c r="FZ140" i="1"/>
  <c r="FZ144" i="1"/>
  <c r="FZ109" i="1"/>
  <c r="FZ113" i="1"/>
  <c r="FZ117" i="1"/>
  <c r="FZ121" i="1"/>
  <c r="FZ125" i="1"/>
  <c r="FZ129" i="1"/>
  <c r="FZ133" i="1"/>
  <c r="FZ137" i="1"/>
  <c r="FZ141" i="1"/>
  <c r="FZ145" i="1"/>
  <c r="FZ110" i="1"/>
  <c r="FZ114" i="1"/>
  <c r="FZ118" i="1"/>
  <c r="FZ122" i="1"/>
  <c r="FZ126" i="1"/>
  <c r="FZ130" i="1"/>
  <c r="FZ134" i="1"/>
  <c r="FZ138" i="1"/>
  <c r="FZ142" i="1"/>
  <c r="FZ147" i="1"/>
  <c r="FZ151" i="1"/>
  <c r="FZ155" i="1"/>
  <c r="FZ159" i="1"/>
  <c r="FZ163" i="1"/>
  <c r="FZ167" i="1"/>
  <c r="FZ171" i="1"/>
  <c r="FZ175" i="1"/>
  <c r="FZ179" i="1"/>
  <c r="FZ183" i="1"/>
  <c r="FZ148" i="1"/>
  <c r="FZ152" i="1"/>
  <c r="FZ156" i="1"/>
  <c r="FZ160" i="1"/>
  <c r="FZ164" i="1"/>
  <c r="FZ168" i="1"/>
  <c r="FZ172" i="1"/>
  <c r="FZ176" i="1"/>
  <c r="FZ180" i="1"/>
  <c r="FZ184" i="1"/>
  <c r="FZ149" i="1"/>
  <c r="FZ153" i="1"/>
  <c r="FZ157" i="1"/>
  <c r="FZ161" i="1"/>
  <c r="FZ165" i="1"/>
  <c r="FZ169" i="1"/>
  <c r="FZ173" i="1"/>
  <c r="FZ177" i="1"/>
  <c r="FZ181" i="1"/>
  <c r="FZ146" i="1"/>
  <c r="FZ150" i="1"/>
  <c r="FZ154" i="1"/>
  <c r="FZ158" i="1"/>
  <c r="FZ162" i="1"/>
  <c r="FZ166" i="1"/>
  <c r="FZ170" i="1"/>
  <c r="FZ174" i="1"/>
  <c r="FZ178" i="1"/>
  <c r="FZ182" i="1"/>
  <c r="FZ186" i="1"/>
  <c r="FZ185" i="1"/>
  <c r="FZ190" i="1"/>
  <c r="FZ194" i="1"/>
  <c r="FZ198" i="1"/>
  <c r="FZ202" i="1"/>
  <c r="FZ206" i="1"/>
  <c r="FZ210" i="1"/>
  <c r="FZ214" i="1"/>
  <c r="FZ218" i="1"/>
  <c r="FZ222" i="1"/>
  <c r="FZ187" i="1"/>
  <c r="FZ191" i="1"/>
  <c r="FZ195" i="1"/>
  <c r="FZ199" i="1"/>
  <c r="FZ203" i="1"/>
  <c r="FZ207" i="1"/>
  <c r="FZ211" i="1"/>
  <c r="FZ215" i="1"/>
  <c r="FZ219" i="1"/>
  <c r="FZ223" i="1"/>
  <c r="FZ188" i="1"/>
  <c r="FZ192" i="1"/>
  <c r="FZ196" i="1"/>
  <c r="FZ200" i="1"/>
  <c r="FZ204" i="1"/>
  <c r="FZ208" i="1"/>
  <c r="FZ212" i="1"/>
  <c r="FZ216" i="1"/>
  <c r="FZ220" i="1"/>
  <c r="FZ224" i="1"/>
  <c r="FZ189" i="1"/>
  <c r="FZ193" i="1"/>
  <c r="FZ197" i="1"/>
  <c r="FZ201" i="1"/>
  <c r="FZ205" i="1"/>
  <c r="FZ209" i="1"/>
  <c r="FZ213" i="1"/>
  <c r="FZ217" i="1"/>
  <c r="FZ221" i="1"/>
  <c r="FZ225" i="1"/>
  <c r="FZ229" i="1"/>
  <c r="FZ233" i="1"/>
  <c r="FZ237" i="1"/>
  <c r="FZ241" i="1"/>
  <c r="FZ245" i="1"/>
  <c r="FZ249" i="1"/>
  <c r="FZ253" i="1"/>
  <c r="FZ257" i="1"/>
  <c r="FZ261" i="1"/>
  <c r="FZ265" i="1"/>
  <c r="FZ269" i="1"/>
  <c r="FZ273" i="1"/>
  <c r="FZ277" i="1"/>
  <c r="FZ281" i="1"/>
  <c r="FZ285" i="1"/>
  <c r="FZ289" i="1"/>
  <c r="FZ293" i="1"/>
  <c r="FZ297" i="1"/>
  <c r="FZ226" i="1"/>
  <c r="FZ230" i="1"/>
  <c r="FZ234" i="1"/>
  <c r="FZ238" i="1"/>
  <c r="FZ242" i="1"/>
  <c r="FZ246" i="1"/>
  <c r="FZ250" i="1"/>
  <c r="FZ254" i="1"/>
  <c r="FZ258" i="1"/>
  <c r="FZ262" i="1"/>
  <c r="FZ266" i="1"/>
  <c r="FZ270" i="1"/>
  <c r="FZ274" i="1"/>
  <c r="FZ278" i="1"/>
  <c r="FZ282" i="1"/>
  <c r="FZ286" i="1"/>
  <c r="FZ290" i="1"/>
  <c r="FZ294" i="1"/>
  <c r="FZ298" i="1"/>
  <c r="FZ227" i="1"/>
  <c r="FZ231" i="1"/>
  <c r="FZ235" i="1"/>
  <c r="FZ239" i="1"/>
  <c r="FZ243" i="1"/>
  <c r="FZ247" i="1"/>
  <c r="FZ251" i="1"/>
  <c r="FZ255" i="1"/>
  <c r="FZ259" i="1"/>
  <c r="FZ263" i="1"/>
  <c r="FZ267" i="1"/>
  <c r="FZ271" i="1"/>
  <c r="FZ275" i="1"/>
  <c r="FZ279" i="1"/>
  <c r="FZ283" i="1"/>
  <c r="FZ287" i="1"/>
  <c r="FZ291" i="1"/>
  <c r="FZ295" i="1"/>
  <c r="FZ299" i="1"/>
  <c r="FZ228" i="1"/>
  <c r="FZ232" i="1"/>
  <c r="FZ236" i="1"/>
  <c r="FZ240" i="1"/>
  <c r="FZ244" i="1"/>
  <c r="FZ248" i="1"/>
  <c r="FZ252" i="1"/>
  <c r="FZ256" i="1"/>
  <c r="FZ260" i="1"/>
  <c r="FZ264" i="1"/>
  <c r="FZ268" i="1"/>
  <c r="FZ272" i="1"/>
  <c r="FZ276" i="1"/>
  <c r="FZ280" i="1"/>
  <c r="FZ284" i="1"/>
  <c r="FZ288" i="1"/>
  <c r="FZ292" i="1"/>
  <c r="FZ296" i="1"/>
  <c r="FZ300" i="1"/>
  <c r="FX2" i="1"/>
  <c r="HC15" i="1"/>
  <c r="GY15" i="1"/>
  <c r="GU15" i="1"/>
  <c r="GQ15" i="1"/>
  <c r="GM15" i="1"/>
  <c r="GI15" i="1"/>
  <c r="HA15" i="1"/>
  <c r="GS15" i="1"/>
  <c r="HB15" i="1"/>
  <c r="GX15" i="1"/>
  <c r="GT15" i="1"/>
  <c r="GP15" i="1"/>
  <c r="GL15" i="1"/>
  <c r="GH15" i="1"/>
  <c r="GW15" i="1"/>
  <c r="GG15" i="1"/>
  <c r="HE15" i="1"/>
  <c r="GO15" i="1"/>
  <c r="GV15" i="1"/>
  <c r="GJ15" i="1"/>
  <c r="GK15" i="1"/>
  <c r="GR15" i="1"/>
  <c r="HD15" i="1"/>
  <c r="GN15" i="1"/>
  <c r="GZ15" i="1"/>
  <c r="K57" i="27"/>
  <c r="K56" i="3"/>
  <c r="J24" i="1"/>
  <c r="O57" i="27"/>
  <c r="H24" i="1"/>
  <c r="H56" i="3"/>
  <c r="A56" i="3" s="1"/>
  <c r="G24" i="1"/>
  <c r="D24" i="1" s="1"/>
  <c r="H57" i="27"/>
  <c r="A57" i="27" s="1"/>
  <c r="BC77" i="2"/>
  <c r="F24" i="1"/>
  <c r="E57" i="27"/>
  <c r="E56" i="3"/>
  <c r="CY76" i="1"/>
  <c r="FZ7" i="1"/>
  <c r="FZ5" i="1"/>
  <c r="FZ3" i="1"/>
  <c r="FZ2" i="1"/>
  <c r="FZ6" i="1"/>
  <c r="FZ8" i="1"/>
  <c r="FZ10" i="1"/>
  <c r="FZ11" i="1"/>
  <c r="FZ4" i="1"/>
  <c r="FZ9" i="1"/>
  <c r="A37" i="27"/>
  <c r="G7" i="18"/>
  <c r="A24" i="49"/>
  <c r="A30" i="37"/>
  <c r="C2" i="1"/>
  <c r="A30" i="48"/>
  <c r="A37" i="3"/>
  <c r="GC302" i="1" l="1"/>
  <c r="GC301" i="1"/>
  <c r="GA2" i="1"/>
  <c r="GC15" i="1"/>
  <c r="GC19" i="1"/>
  <c r="GC23" i="1"/>
  <c r="GC27" i="1"/>
  <c r="GC12" i="1"/>
  <c r="GC16" i="1"/>
  <c r="GC20" i="1"/>
  <c r="GC24" i="1"/>
  <c r="GC28" i="1"/>
  <c r="GC13" i="1"/>
  <c r="GC17" i="1"/>
  <c r="GC21" i="1"/>
  <c r="GC25" i="1"/>
  <c r="GC29" i="1"/>
  <c r="GC14" i="1"/>
  <c r="GC18" i="1"/>
  <c r="GC22" i="1"/>
  <c r="GC26" i="1"/>
  <c r="GC33" i="1"/>
  <c r="GC37" i="1"/>
  <c r="GC41" i="1"/>
  <c r="GC45" i="1"/>
  <c r="GC49" i="1"/>
  <c r="GC34" i="1"/>
  <c r="GC38" i="1"/>
  <c r="GC42" i="1"/>
  <c r="GC46" i="1"/>
  <c r="GC30" i="1"/>
  <c r="GC31" i="1"/>
  <c r="GC35" i="1"/>
  <c r="GC39" i="1"/>
  <c r="GC43" i="1"/>
  <c r="GC47" i="1"/>
  <c r="GC32" i="1"/>
  <c r="GC36" i="1"/>
  <c r="GC44" i="1"/>
  <c r="GC51" i="1"/>
  <c r="GC55" i="1"/>
  <c r="GC59" i="1"/>
  <c r="GC63" i="1"/>
  <c r="GC48" i="1"/>
  <c r="GC52" i="1"/>
  <c r="GC56" i="1"/>
  <c r="GC60" i="1"/>
  <c r="GC64" i="1"/>
  <c r="GC53" i="1"/>
  <c r="GC57" i="1"/>
  <c r="GC61" i="1"/>
  <c r="GC65" i="1"/>
  <c r="GC40" i="1"/>
  <c r="GC50" i="1"/>
  <c r="GC54" i="1"/>
  <c r="GC58" i="1"/>
  <c r="GC62" i="1"/>
  <c r="GC66" i="1"/>
  <c r="GC70" i="1"/>
  <c r="GC74" i="1"/>
  <c r="GC78" i="1"/>
  <c r="GC82" i="1"/>
  <c r="GC86" i="1"/>
  <c r="GC90" i="1"/>
  <c r="GC94" i="1"/>
  <c r="GC98" i="1"/>
  <c r="GC102" i="1"/>
  <c r="GC106" i="1"/>
  <c r="GC67" i="1"/>
  <c r="GC71" i="1"/>
  <c r="GC75" i="1"/>
  <c r="GC79" i="1"/>
  <c r="GC83" i="1"/>
  <c r="GC87" i="1"/>
  <c r="GC91" i="1"/>
  <c r="GC95" i="1"/>
  <c r="GC99" i="1"/>
  <c r="GC103" i="1"/>
  <c r="GC68" i="1"/>
  <c r="GC72" i="1"/>
  <c r="GC76" i="1"/>
  <c r="GC80" i="1"/>
  <c r="GC84" i="1"/>
  <c r="GC88" i="1"/>
  <c r="GC92" i="1"/>
  <c r="GC96" i="1"/>
  <c r="GC100" i="1"/>
  <c r="GC104" i="1"/>
  <c r="GC69" i="1"/>
  <c r="GC73" i="1"/>
  <c r="GC77" i="1"/>
  <c r="GC81" i="1"/>
  <c r="GC85" i="1"/>
  <c r="GC89" i="1"/>
  <c r="GC93" i="1"/>
  <c r="GC97" i="1"/>
  <c r="GC101" i="1"/>
  <c r="GC105" i="1"/>
  <c r="GC110" i="1"/>
  <c r="GC114" i="1"/>
  <c r="GC118" i="1"/>
  <c r="GC122" i="1"/>
  <c r="GC126" i="1"/>
  <c r="GC130" i="1"/>
  <c r="GC134" i="1"/>
  <c r="GC138" i="1"/>
  <c r="GC142" i="1"/>
  <c r="GC107" i="1"/>
  <c r="GC111" i="1"/>
  <c r="GC115" i="1"/>
  <c r="GC119" i="1"/>
  <c r="GC123" i="1"/>
  <c r="GC127" i="1"/>
  <c r="GC131" i="1"/>
  <c r="GC135" i="1"/>
  <c r="GC139" i="1"/>
  <c r="GC143" i="1"/>
  <c r="GC108" i="1"/>
  <c r="GC112" i="1"/>
  <c r="GC116" i="1"/>
  <c r="GC120" i="1"/>
  <c r="GC124" i="1"/>
  <c r="GC128" i="1"/>
  <c r="GC132" i="1"/>
  <c r="GC136" i="1"/>
  <c r="GC140" i="1"/>
  <c r="GC144" i="1"/>
  <c r="GC109" i="1"/>
  <c r="GC113" i="1"/>
  <c r="GC117" i="1"/>
  <c r="GC121" i="1"/>
  <c r="GC125" i="1"/>
  <c r="GC129" i="1"/>
  <c r="GC133" i="1"/>
  <c r="GC137" i="1"/>
  <c r="GC141" i="1"/>
  <c r="GC145" i="1"/>
  <c r="GC146" i="1"/>
  <c r="GC150" i="1"/>
  <c r="GC154" i="1"/>
  <c r="GC158" i="1"/>
  <c r="GC162" i="1"/>
  <c r="GC166" i="1"/>
  <c r="GC170" i="1"/>
  <c r="GC174" i="1"/>
  <c r="GC178" i="1"/>
  <c r="GC182" i="1"/>
  <c r="GC147" i="1"/>
  <c r="GC151" i="1"/>
  <c r="GC155" i="1"/>
  <c r="GC159" i="1"/>
  <c r="GC163" i="1"/>
  <c r="GC167" i="1"/>
  <c r="GC171" i="1"/>
  <c r="GC175" i="1"/>
  <c r="GC179" i="1"/>
  <c r="GC183" i="1"/>
  <c r="GC148" i="1"/>
  <c r="GC152" i="1"/>
  <c r="GC156" i="1"/>
  <c r="GC160" i="1"/>
  <c r="GC164" i="1"/>
  <c r="GC168" i="1"/>
  <c r="GC172" i="1"/>
  <c r="GC176" i="1"/>
  <c r="GC180" i="1"/>
  <c r="GC149" i="1"/>
  <c r="GC153" i="1"/>
  <c r="GC157" i="1"/>
  <c r="GC161" i="1"/>
  <c r="GC165" i="1"/>
  <c r="GC169" i="1"/>
  <c r="GC173" i="1"/>
  <c r="GC177" i="1"/>
  <c r="GC181" i="1"/>
  <c r="GC185" i="1"/>
  <c r="GC184" i="1"/>
  <c r="GC189" i="1"/>
  <c r="GC193" i="1"/>
  <c r="GC197" i="1"/>
  <c r="GC201" i="1"/>
  <c r="GC205" i="1"/>
  <c r="GC209" i="1"/>
  <c r="GC213" i="1"/>
  <c r="GC217" i="1"/>
  <c r="GC221" i="1"/>
  <c r="GC225" i="1"/>
  <c r="GC186" i="1"/>
  <c r="GC190" i="1"/>
  <c r="GC194" i="1"/>
  <c r="GC198" i="1"/>
  <c r="GC202" i="1"/>
  <c r="GC206" i="1"/>
  <c r="GC210" i="1"/>
  <c r="GC214" i="1"/>
  <c r="GC218" i="1"/>
  <c r="GC222" i="1"/>
  <c r="GC187" i="1"/>
  <c r="GC191" i="1"/>
  <c r="GC195" i="1"/>
  <c r="GC199" i="1"/>
  <c r="GC203" i="1"/>
  <c r="GC207" i="1"/>
  <c r="GC211" i="1"/>
  <c r="GC215" i="1"/>
  <c r="GC219" i="1"/>
  <c r="GC223" i="1"/>
  <c r="GC188" i="1"/>
  <c r="GC192" i="1"/>
  <c r="GC196" i="1"/>
  <c r="GC200" i="1"/>
  <c r="GC204" i="1"/>
  <c r="GC208" i="1"/>
  <c r="GC212" i="1"/>
  <c r="GC216" i="1"/>
  <c r="GC220" i="1"/>
  <c r="GC224" i="1"/>
  <c r="GC228" i="1"/>
  <c r="GC232" i="1"/>
  <c r="GC236" i="1"/>
  <c r="GC240" i="1"/>
  <c r="GC244" i="1"/>
  <c r="GC248" i="1"/>
  <c r="GC252" i="1"/>
  <c r="GC256" i="1"/>
  <c r="GC260" i="1"/>
  <c r="GC264" i="1"/>
  <c r="GC268" i="1"/>
  <c r="GC272" i="1"/>
  <c r="GC276" i="1"/>
  <c r="GC280" i="1"/>
  <c r="GC284" i="1"/>
  <c r="GC288" i="1"/>
  <c r="GC292" i="1"/>
  <c r="GC296" i="1"/>
  <c r="GC300" i="1"/>
  <c r="GC229" i="1"/>
  <c r="GC233" i="1"/>
  <c r="GC237" i="1"/>
  <c r="GC241" i="1"/>
  <c r="GC245" i="1"/>
  <c r="GC249" i="1"/>
  <c r="GC253" i="1"/>
  <c r="GC257" i="1"/>
  <c r="GC261" i="1"/>
  <c r="GC265" i="1"/>
  <c r="GC269" i="1"/>
  <c r="GC273" i="1"/>
  <c r="GC277" i="1"/>
  <c r="GC281" i="1"/>
  <c r="GC285" i="1"/>
  <c r="GC289" i="1"/>
  <c r="GC293" i="1"/>
  <c r="GC297" i="1"/>
  <c r="GC226" i="1"/>
  <c r="GC230" i="1"/>
  <c r="GC234" i="1"/>
  <c r="GC238" i="1"/>
  <c r="GC242" i="1"/>
  <c r="GC246" i="1"/>
  <c r="GC250" i="1"/>
  <c r="GC254" i="1"/>
  <c r="GC258" i="1"/>
  <c r="GC262" i="1"/>
  <c r="GC266" i="1"/>
  <c r="GC270" i="1"/>
  <c r="GC274" i="1"/>
  <c r="GC278" i="1"/>
  <c r="GC282" i="1"/>
  <c r="GC286" i="1"/>
  <c r="GC290" i="1"/>
  <c r="GC294" i="1"/>
  <c r="GC298" i="1"/>
  <c r="GC227" i="1"/>
  <c r="GC231" i="1"/>
  <c r="GC235" i="1"/>
  <c r="GC239" i="1"/>
  <c r="GC243" i="1"/>
  <c r="GC247" i="1"/>
  <c r="GC251" i="1"/>
  <c r="GC255" i="1"/>
  <c r="GC259" i="1"/>
  <c r="GC263" i="1"/>
  <c r="GC267" i="1"/>
  <c r="GC271" i="1"/>
  <c r="GC275" i="1"/>
  <c r="GC279" i="1"/>
  <c r="GC283" i="1"/>
  <c r="GC287" i="1"/>
  <c r="GC291" i="1"/>
  <c r="GC295" i="1"/>
  <c r="GC299" i="1"/>
  <c r="HB16" i="1"/>
  <c r="GX16" i="1"/>
  <c r="GT16" i="1"/>
  <c r="GP16" i="1"/>
  <c r="GL16" i="1"/>
  <c r="GH16" i="1"/>
  <c r="GZ16" i="1"/>
  <c r="GR16" i="1"/>
  <c r="GJ16" i="1"/>
  <c r="HE16" i="1"/>
  <c r="HA16" i="1"/>
  <c r="GW16" i="1"/>
  <c r="GS16" i="1"/>
  <c r="GO16" i="1"/>
  <c r="GK16" i="1"/>
  <c r="GG16" i="1"/>
  <c r="HD16" i="1"/>
  <c r="GV16" i="1"/>
  <c r="GN16" i="1"/>
  <c r="HC16" i="1"/>
  <c r="GM16" i="1"/>
  <c r="GY16" i="1"/>
  <c r="GI16" i="1"/>
  <c r="GQ16" i="1"/>
  <c r="GU16" i="1"/>
  <c r="CY77" i="1"/>
  <c r="CY78" i="1" s="1"/>
  <c r="CY79" i="1" s="1"/>
  <c r="CY80" i="1" s="1"/>
  <c r="GC10" i="1"/>
  <c r="GC7" i="1"/>
  <c r="GC8" i="1"/>
  <c r="GC5" i="1"/>
  <c r="GC6" i="1"/>
  <c r="GC4" i="1"/>
  <c r="GC9" i="1"/>
  <c r="GC2" i="1"/>
  <c r="GC3" i="1"/>
  <c r="GC11" i="1"/>
  <c r="O58" i="27"/>
  <c r="J25" i="1"/>
  <c r="K58" i="27"/>
  <c r="K57" i="3"/>
  <c r="H25" i="1"/>
  <c r="BD77" i="2"/>
  <c r="E58" i="27"/>
  <c r="F25" i="1"/>
  <c r="E57" i="3"/>
  <c r="H57" i="3"/>
  <c r="A57" i="3" s="1"/>
  <c r="G25" i="1"/>
  <c r="D25" i="1" s="1"/>
  <c r="H58" i="27"/>
  <c r="A58" i="27" s="1"/>
  <c r="GD2" i="1" l="1"/>
  <c r="HE17" i="1"/>
  <c r="HA17" i="1"/>
  <c r="GW17" i="1"/>
  <c r="GS17" i="1"/>
  <c r="GO17" i="1"/>
  <c r="GK17" i="1"/>
  <c r="GG17" i="1"/>
  <c r="HC17" i="1"/>
  <c r="GU17" i="1"/>
  <c r="GQ17" i="1"/>
  <c r="GI17" i="1"/>
  <c r="HD17" i="1"/>
  <c r="GZ17" i="1"/>
  <c r="GV17" i="1"/>
  <c r="GR17" i="1"/>
  <c r="GN17" i="1"/>
  <c r="GJ17" i="1"/>
  <c r="GY17" i="1"/>
  <c r="GM17" i="1"/>
  <c r="GT17" i="1"/>
  <c r="GX17" i="1"/>
  <c r="GP17" i="1"/>
  <c r="HB17" i="1"/>
  <c r="GL17" i="1"/>
  <c r="GH17" i="1"/>
  <c r="F26" i="1"/>
  <c r="E59" i="27"/>
  <c r="E58" i="3"/>
  <c r="H26" i="1"/>
  <c r="BE77" i="2"/>
  <c r="H58" i="3"/>
  <c r="A58" i="3" s="1"/>
  <c r="H59" i="27"/>
  <c r="A59" i="27" s="1"/>
  <c r="G26" i="1"/>
  <c r="D26" i="1" s="1"/>
  <c r="K58" i="3"/>
  <c r="K59" i="27"/>
  <c r="J26" i="1"/>
  <c r="O59" i="27"/>
  <c r="HD18" i="1" l="1"/>
  <c r="GZ18" i="1"/>
  <c r="GV18" i="1"/>
  <c r="GR18" i="1"/>
  <c r="GN18" i="1"/>
  <c r="GJ18" i="1"/>
  <c r="GX18" i="1"/>
  <c r="GL18" i="1"/>
  <c r="HC18" i="1"/>
  <c r="GY18" i="1"/>
  <c r="GU18" i="1"/>
  <c r="GQ18" i="1"/>
  <c r="GM18" i="1"/>
  <c r="GI18" i="1"/>
  <c r="GT18" i="1"/>
  <c r="GP18" i="1"/>
  <c r="GH18" i="1"/>
  <c r="HB18" i="1"/>
  <c r="HA18" i="1"/>
  <c r="GK18" i="1"/>
  <c r="GW18" i="1"/>
  <c r="GG18" i="1"/>
  <c r="GO18" i="1"/>
  <c r="GS18" i="1"/>
  <c r="HE18" i="1"/>
  <c r="H59" i="3"/>
  <c r="A59" i="3" s="1"/>
  <c r="H60" i="27"/>
  <c r="A60" i="27" s="1"/>
  <c r="G27" i="1"/>
  <c r="D27" i="1" s="1"/>
  <c r="E60" i="27"/>
  <c r="F27" i="1"/>
  <c r="E59" i="3"/>
  <c r="J27" i="1"/>
  <c r="O60" i="27"/>
  <c r="BF77" i="2"/>
  <c r="K59" i="3"/>
  <c r="K60" i="27"/>
  <c r="H27" i="1"/>
  <c r="H60" i="3" l="1"/>
  <c r="A60" i="3" s="1"/>
  <c r="G28" i="1"/>
  <c r="D28" i="1" s="1"/>
  <c r="H61" i="27"/>
  <c r="A61" i="27" s="1"/>
  <c r="F28" i="1"/>
  <c r="E60" i="3"/>
  <c r="E61" i="27"/>
  <c r="O61" i="27"/>
  <c r="J28" i="1"/>
  <c r="K61" i="27"/>
  <c r="K60" i="3"/>
  <c r="BG77" i="2"/>
  <c r="BI77" i="2" s="1"/>
  <c r="AS111" i="2" s="1"/>
  <c r="H28" i="1"/>
  <c r="AL248" i="2"/>
  <c r="AN248" i="2" s="1"/>
  <c r="AN260" i="2" s="1"/>
  <c r="AN261" i="2" s="1"/>
  <c r="AN265" i="2" s="1"/>
  <c r="AK190" i="2"/>
  <c r="AK197" i="2" s="1"/>
  <c r="AK200" i="2" s="1"/>
  <c r="C74" i="2" l="1"/>
  <c r="D19" i="2" s="1"/>
  <c r="D21" i="2" s="1"/>
  <c r="D36" i="3" s="1"/>
  <c r="E36" i="27" l="1"/>
  <c r="E36" i="35"/>
  <c r="D29" i="37"/>
  <c r="D23" i="8"/>
  <c r="D28" i="36"/>
  <c r="E37" i="51"/>
  <c r="AO65" i="2" l="1"/>
  <c r="AO64" i="2"/>
  <c r="AO60" i="2"/>
  <c r="AQ59" i="2"/>
  <c r="AQ88" i="2" s="1"/>
  <c r="AW59" i="2"/>
  <c r="AW88" i="2" s="1"/>
  <c r="C17" i="3"/>
  <c r="AO58" i="2"/>
  <c r="AO59" i="2"/>
  <c r="AZ59" i="2"/>
  <c r="AZ88" i="2" s="1"/>
  <c r="BD58" i="2"/>
  <c r="BE58" i="2"/>
  <c r="BA58" i="2"/>
  <c r="AR58" i="2"/>
  <c r="C12" i="37"/>
  <c r="C468" i="2" s="1"/>
  <c r="BG58" i="2"/>
  <c r="AT58" i="2"/>
  <c r="AW58" i="2"/>
  <c r="AZ58" i="2"/>
  <c r="AY58" i="2"/>
  <c r="AO61" i="2"/>
  <c r="AX59" i="2"/>
  <c r="AX88" i="2" s="1"/>
  <c r="AP58" i="2"/>
  <c r="AS58" i="2"/>
  <c r="AQ58" i="2"/>
  <c r="AU58" i="2"/>
  <c r="AV58" i="2"/>
  <c r="BF58" i="2"/>
  <c r="U20" i="36"/>
  <c r="U13" i="45" s="1"/>
  <c r="P21" i="36"/>
  <c r="P14" i="45" s="1"/>
  <c r="O20" i="36"/>
  <c r="O13" i="45" s="1"/>
  <c r="AI15" i="36"/>
  <c r="AI8" i="45" s="1"/>
  <c r="M21" i="36"/>
  <c r="M14" i="45" s="1"/>
  <c r="AF22" i="36"/>
  <c r="AF15" i="45" s="1"/>
  <c r="P13" i="36"/>
  <c r="P6" i="45" s="1"/>
  <c r="F22" i="36"/>
  <c r="F15" i="45" s="1"/>
  <c r="D13" i="36"/>
  <c r="D6" i="45" s="1"/>
  <c r="S14" i="36"/>
  <c r="S7" i="45" s="1"/>
  <c r="C19" i="36"/>
  <c r="C12" i="45" s="1"/>
  <c r="F16" i="36"/>
  <c r="F9" i="45" s="1"/>
  <c r="U17" i="36"/>
  <c r="U10" i="45" s="1"/>
  <c r="AJ14" i="36"/>
  <c r="AJ7" i="45" s="1"/>
  <c r="AC22" i="36"/>
  <c r="AC15" i="45" s="1"/>
  <c r="AI22" i="36"/>
  <c r="AI15" i="45" s="1"/>
  <c r="AF19" i="36"/>
  <c r="AF12" i="45" s="1"/>
  <c r="AB21" i="36"/>
  <c r="AB14" i="45" s="1"/>
  <c r="V18" i="36"/>
  <c r="V11" i="45" s="1"/>
  <c r="AA20" i="36"/>
  <c r="AA13" i="45" s="1"/>
  <c r="V19" i="36"/>
  <c r="V12" i="45" s="1"/>
  <c r="J13" i="36"/>
  <c r="J6" i="45" s="1"/>
  <c r="F23" i="37"/>
  <c r="F479" i="2" s="1"/>
  <c r="AF12" i="36"/>
  <c r="AF5" i="45" s="1"/>
  <c r="L13" i="36"/>
  <c r="L6" i="45" s="1"/>
  <c r="H15" i="36"/>
  <c r="H8" i="45" s="1"/>
  <c r="Q17" i="36"/>
  <c r="Q10" i="45" s="1"/>
  <c r="AB17" i="36"/>
  <c r="AB10" i="45" s="1"/>
  <c r="H18" i="36"/>
  <c r="H11" i="45" s="1"/>
  <c r="AH17" i="36"/>
  <c r="AH10" i="45" s="1"/>
  <c r="W18" i="36"/>
  <c r="W11" i="45" s="1"/>
  <c r="P12" i="36"/>
  <c r="P5" i="45" s="1"/>
  <c r="AB11" i="36"/>
  <c r="AB4" i="45" s="1"/>
  <c r="AB16" i="36"/>
  <c r="AB9" i="45" s="1"/>
  <c r="F21" i="36"/>
  <c r="F14" i="45" s="1"/>
  <c r="AA11" i="36"/>
  <c r="AA4" i="45" s="1"/>
  <c r="AF15" i="36"/>
  <c r="AF8" i="45" s="1"/>
  <c r="U12" i="36"/>
  <c r="U5" i="45" s="1"/>
  <c r="U11" i="36"/>
  <c r="U4" i="45" s="1"/>
  <c r="L14" i="36"/>
  <c r="L7" i="45" s="1"/>
  <c r="T11" i="36"/>
  <c r="T4" i="45" s="1"/>
  <c r="V21" i="36"/>
  <c r="V14" i="45" s="1"/>
  <c r="J14" i="36"/>
  <c r="J7" i="45" s="1"/>
  <c r="AE16" i="36"/>
  <c r="AE9" i="45" s="1"/>
  <c r="I17" i="36"/>
  <c r="I10" i="45" s="1"/>
  <c r="X16" i="36"/>
  <c r="X9" i="45" s="1"/>
  <c r="E13" i="36"/>
  <c r="E6" i="45" s="1"/>
  <c r="AB19" i="36"/>
  <c r="AB12" i="45" s="1"/>
  <c r="AE12" i="36"/>
  <c r="AE5" i="45" s="1"/>
  <c r="L21" i="36"/>
  <c r="L14" i="45" s="1"/>
  <c r="Q22" i="36"/>
  <c r="Q15" i="45" s="1"/>
  <c r="G22" i="36"/>
  <c r="G15" i="45" s="1"/>
  <c r="AE21" i="36"/>
  <c r="AE14" i="45" s="1"/>
  <c r="Y14" i="36"/>
  <c r="Y7" i="45" s="1"/>
  <c r="Q12" i="36"/>
  <c r="Q5" i="45" s="1"/>
  <c r="C22" i="36"/>
  <c r="C15" i="45" s="1"/>
  <c r="D15" i="37"/>
  <c r="D471" i="2" s="1"/>
  <c r="E12" i="36"/>
  <c r="E5" i="45" s="1"/>
  <c r="AA13" i="36"/>
  <c r="AA6" i="45" s="1"/>
  <c r="S22" i="36"/>
  <c r="S15" i="45" s="1"/>
  <c r="AE13" i="36"/>
  <c r="AE6" i="45" s="1"/>
  <c r="AI16" i="36"/>
  <c r="AI9" i="45" s="1"/>
  <c r="E18" i="36"/>
  <c r="E11" i="45" s="1"/>
  <c r="Y22" i="36"/>
  <c r="Y15" i="45" s="1"/>
  <c r="L16" i="36"/>
  <c r="L9" i="45" s="1"/>
  <c r="AE14" i="36"/>
  <c r="AE7" i="45" s="1"/>
  <c r="AJ18" i="36"/>
  <c r="AJ11" i="45" s="1"/>
  <c r="AJ20" i="36"/>
  <c r="AJ13" i="45" s="1"/>
  <c r="E19" i="36"/>
  <c r="E12" i="45" s="1"/>
  <c r="N14" i="36"/>
  <c r="N7" i="45" s="1"/>
  <c r="H21" i="36"/>
  <c r="H14" i="45" s="1"/>
  <c r="I18" i="36"/>
  <c r="I11" i="45" s="1"/>
  <c r="I19" i="36"/>
  <c r="I12" i="45" s="1"/>
  <c r="J13" i="37"/>
  <c r="J469" i="2" s="1"/>
  <c r="P22" i="36"/>
  <c r="P15" i="45" s="1"/>
  <c r="AE22" i="36"/>
  <c r="AE15" i="45" s="1"/>
  <c r="R14" i="36"/>
  <c r="R7" i="45" s="1"/>
  <c r="S21" i="36"/>
  <c r="S14" i="45" s="1"/>
  <c r="AC11" i="36"/>
  <c r="AC4" i="45" s="1"/>
  <c r="X14" i="36"/>
  <c r="X7" i="45" s="1"/>
  <c r="K18" i="36"/>
  <c r="K11" i="45" s="1"/>
  <c r="D15" i="36"/>
  <c r="D8" i="45" s="1"/>
  <c r="C20" i="36"/>
  <c r="C13" i="45" s="1"/>
  <c r="C13" i="37"/>
  <c r="C469" i="2" s="1"/>
  <c r="L18" i="36"/>
  <c r="L11" i="45" s="1"/>
  <c r="AA15" i="36"/>
  <c r="AA8" i="45" s="1"/>
  <c r="AI12" i="36"/>
  <c r="AI5" i="45" s="1"/>
  <c r="K22" i="36"/>
  <c r="K15" i="45" s="1"/>
  <c r="D12" i="36"/>
  <c r="D5" i="45" s="1"/>
  <c r="H20" i="36"/>
  <c r="H13" i="45" s="1"/>
  <c r="AF17" i="36"/>
  <c r="AF10" i="45" s="1"/>
  <c r="AJ13" i="36"/>
  <c r="AJ6" i="45" s="1"/>
  <c r="C11" i="36"/>
  <c r="C4" i="45" s="1"/>
  <c r="P16" i="36"/>
  <c r="P9" i="45" s="1"/>
  <c r="I11" i="36"/>
  <c r="I4" i="45" s="1"/>
  <c r="F14" i="37"/>
  <c r="F470" i="2" s="1"/>
  <c r="H14" i="37"/>
  <c r="H470" i="2" s="1"/>
  <c r="AG14" i="36"/>
  <c r="AG7" i="45" s="1"/>
  <c r="H19" i="36"/>
  <c r="H12" i="45" s="1"/>
  <c r="AH12" i="36"/>
  <c r="AH5" i="45" s="1"/>
  <c r="D16" i="36"/>
  <c r="D9" i="45" s="1"/>
  <c r="T14" i="36"/>
  <c r="T7" i="45" s="1"/>
  <c r="M12" i="36"/>
  <c r="M5" i="45" s="1"/>
  <c r="AD15" i="36"/>
  <c r="AD8" i="45" s="1"/>
  <c r="Q18" i="36"/>
  <c r="Q11" i="45" s="1"/>
  <c r="V15" i="36"/>
  <c r="V8" i="45" s="1"/>
  <c r="H13" i="36"/>
  <c r="H6" i="45" s="1"/>
  <c r="H11" i="36"/>
  <c r="H4" i="45" s="1"/>
  <c r="Y20" i="36"/>
  <c r="Y13" i="45" s="1"/>
  <c r="M18" i="36"/>
  <c r="M11" i="45" s="1"/>
  <c r="Y16" i="36"/>
  <c r="Y9" i="45" s="1"/>
  <c r="K20" i="36"/>
  <c r="K13" i="45" s="1"/>
  <c r="AD20" i="36"/>
  <c r="AD13" i="45" s="1"/>
  <c r="W21" i="36"/>
  <c r="W14" i="45" s="1"/>
  <c r="S12" i="36"/>
  <c r="S5" i="45" s="1"/>
  <c r="F15" i="36"/>
  <c r="F8" i="45" s="1"/>
  <c r="G20" i="36"/>
  <c r="G13" i="45" s="1"/>
  <c r="P11" i="36"/>
  <c r="P4" i="45" s="1"/>
  <c r="AA21" i="36"/>
  <c r="AA14" i="45" s="1"/>
  <c r="K21" i="36"/>
  <c r="K14" i="45" s="1"/>
  <c r="J12" i="36"/>
  <c r="J5" i="45" s="1"/>
  <c r="Z14" i="36"/>
  <c r="Z7" i="45" s="1"/>
  <c r="E20" i="36"/>
  <c r="E13" i="45" s="1"/>
  <c r="G14" i="36"/>
  <c r="G7" i="45" s="1"/>
  <c r="G12" i="37"/>
  <c r="G468" i="2" s="1"/>
  <c r="J17" i="37"/>
  <c r="J473" i="2" s="1"/>
  <c r="H17" i="37"/>
  <c r="H473" i="2" s="1"/>
  <c r="N18" i="36"/>
  <c r="N11" i="45" s="1"/>
  <c r="V12" i="36"/>
  <c r="V5" i="45" s="1"/>
  <c r="O11" i="36"/>
  <c r="O4" i="45" s="1"/>
  <c r="AD12" i="36"/>
  <c r="AD5" i="45" s="1"/>
  <c r="W22" i="36"/>
  <c r="W15" i="45" s="1"/>
  <c r="AA14" i="36"/>
  <c r="AA7" i="45" s="1"/>
  <c r="Z17" i="36"/>
  <c r="Z10" i="45" s="1"/>
  <c r="N19" i="36"/>
  <c r="N12" i="45" s="1"/>
  <c r="N21" i="36"/>
  <c r="N14" i="45" s="1"/>
  <c r="N16" i="36"/>
  <c r="N9" i="45" s="1"/>
  <c r="X11" i="36"/>
  <c r="X4" i="45" s="1"/>
  <c r="L12" i="36"/>
  <c r="L5" i="45" s="1"/>
  <c r="Y19" i="36"/>
  <c r="Y12" i="45" s="1"/>
  <c r="O13" i="36"/>
  <c r="O6" i="45" s="1"/>
  <c r="AG21" i="36"/>
  <c r="AG14" i="45" s="1"/>
  <c r="H22" i="37"/>
  <c r="H478" i="2" s="1"/>
  <c r="J20" i="36"/>
  <c r="J13" i="45" s="1"/>
  <c r="AD21" i="36"/>
  <c r="AD14" i="45" s="1"/>
  <c r="AB14" i="36"/>
  <c r="AB7" i="45" s="1"/>
  <c r="R20" i="36"/>
  <c r="R13" i="45" s="1"/>
  <c r="AG19" i="36"/>
  <c r="AG12" i="45" s="1"/>
  <c r="AD19" i="36"/>
  <c r="AD12" i="45" s="1"/>
  <c r="K14" i="36"/>
  <c r="K7" i="45" s="1"/>
  <c r="L11" i="36"/>
  <c r="L4" i="45" s="1"/>
  <c r="I13" i="36"/>
  <c r="I6" i="45" s="1"/>
  <c r="AC20" i="36"/>
  <c r="AC13" i="45" s="1"/>
  <c r="S20" i="36"/>
  <c r="S13" i="45" s="1"/>
  <c r="R11" i="36"/>
  <c r="R4" i="45" s="1"/>
  <c r="AG13" i="36"/>
  <c r="AG6" i="45" s="1"/>
  <c r="R16" i="36"/>
  <c r="R9" i="45" s="1"/>
  <c r="S11" i="36"/>
  <c r="S4" i="45" s="1"/>
  <c r="K13" i="36"/>
  <c r="K6" i="45" s="1"/>
  <c r="L19" i="36"/>
  <c r="L12" i="45" s="1"/>
  <c r="C12" i="36"/>
  <c r="C5" i="45" s="1"/>
  <c r="V11" i="36"/>
  <c r="V4" i="45" s="1"/>
  <c r="C22" i="37"/>
  <c r="C478" i="2" s="1"/>
  <c r="AI17" i="36"/>
  <c r="AI10" i="45" s="1"/>
  <c r="Y15" i="36"/>
  <c r="Y8" i="45" s="1"/>
  <c r="D21" i="37"/>
  <c r="D477" i="2" s="1"/>
  <c r="F21" i="37"/>
  <c r="F477" i="2" s="1"/>
  <c r="I15" i="37"/>
  <c r="I471" i="2" s="1"/>
  <c r="H18" i="37"/>
  <c r="H474" i="2" s="1"/>
  <c r="H19" i="37"/>
  <c r="H475" i="2" s="1"/>
  <c r="U21" i="36"/>
  <c r="U14" i="45" s="1"/>
  <c r="AB12" i="36"/>
  <c r="AB5" i="45" s="1"/>
  <c r="G17" i="36"/>
  <c r="G10" i="45" s="1"/>
  <c r="W17" i="36"/>
  <c r="W10" i="45" s="1"/>
  <c r="X20" i="36"/>
  <c r="X13" i="45" s="1"/>
  <c r="Q13" i="36"/>
  <c r="Q6" i="45" s="1"/>
  <c r="M22" i="36"/>
  <c r="M15" i="45" s="1"/>
  <c r="X18" i="36"/>
  <c r="X11" i="45" s="1"/>
  <c r="T21" i="36"/>
  <c r="T14" i="45" s="1"/>
  <c r="V20" i="36"/>
  <c r="V13" i="45" s="1"/>
  <c r="F18" i="36"/>
  <c r="F11" i="45" s="1"/>
  <c r="AH20" i="36"/>
  <c r="AH13" i="45" s="1"/>
  <c r="AC14" i="36"/>
  <c r="AC7" i="45" s="1"/>
  <c r="AT59" i="2"/>
  <c r="AT88" i="2" s="1"/>
  <c r="Z21" i="36"/>
  <c r="Z14" i="45" s="1"/>
  <c r="W19" i="36"/>
  <c r="W12" i="45" s="1"/>
  <c r="V22" i="36"/>
  <c r="V15" i="45" s="1"/>
  <c r="AH22" i="36"/>
  <c r="AH15" i="45" s="1"/>
  <c r="AF11" i="36"/>
  <c r="AF4" i="45" s="1"/>
  <c r="C16" i="37"/>
  <c r="C472" i="2" s="1"/>
  <c r="D20" i="36"/>
  <c r="D13" i="45" s="1"/>
  <c r="J15" i="36"/>
  <c r="J8" i="45" s="1"/>
  <c r="E16" i="36"/>
  <c r="E9" i="45" s="1"/>
  <c r="R18" i="36"/>
  <c r="R11" i="45" s="1"/>
  <c r="Y11" i="36"/>
  <c r="Y4" i="45" s="1"/>
  <c r="AG22" i="36"/>
  <c r="AG15" i="45" s="1"/>
  <c r="G19" i="37"/>
  <c r="G475" i="2" s="1"/>
  <c r="G18" i="37"/>
  <c r="G474" i="2" s="1"/>
  <c r="F18" i="37"/>
  <c r="F474" i="2" s="1"/>
  <c r="G17" i="37"/>
  <c r="G473" i="2" s="1"/>
  <c r="E12" i="37"/>
  <c r="E468" i="2" s="1"/>
  <c r="I12" i="37"/>
  <c r="I468" i="2" s="1"/>
  <c r="E16" i="37"/>
  <c r="E472" i="2" s="1"/>
  <c r="I20" i="37"/>
  <c r="I476" i="2" s="1"/>
  <c r="J23" i="37"/>
  <c r="J479" i="2" s="1"/>
  <c r="H15" i="37"/>
  <c r="H471" i="2" s="1"/>
  <c r="D20" i="37"/>
  <c r="D476" i="2" s="1"/>
  <c r="H13" i="37"/>
  <c r="H469" i="2" s="1"/>
  <c r="D13" i="37"/>
  <c r="D469" i="2" s="1"/>
  <c r="J14" i="37"/>
  <c r="J470" i="2" s="1"/>
  <c r="E20" i="37"/>
  <c r="E476" i="2" s="1"/>
  <c r="E13" i="37"/>
  <c r="E469" i="2" s="1"/>
  <c r="G13" i="37"/>
  <c r="G469" i="2" s="1"/>
  <c r="J22" i="36"/>
  <c r="J15" i="45" s="1"/>
  <c r="AY59" i="2"/>
  <c r="AE11" i="36"/>
  <c r="AE4" i="45" s="1"/>
  <c r="AG20" i="36"/>
  <c r="AG13" i="45" s="1"/>
  <c r="M19" i="36"/>
  <c r="M12" i="45" s="1"/>
  <c r="AC17" i="36"/>
  <c r="AC10" i="45" s="1"/>
  <c r="AC13" i="36"/>
  <c r="AC6" i="45" s="1"/>
  <c r="R13" i="36"/>
  <c r="R6" i="45" s="1"/>
  <c r="AG11" i="36"/>
  <c r="AG4" i="45" s="1"/>
  <c r="I22" i="36"/>
  <c r="I15" i="45" s="1"/>
  <c r="S19" i="36"/>
  <c r="S12" i="45" s="1"/>
  <c r="X15" i="36"/>
  <c r="X8" i="45" s="1"/>
  <c r="Q21" i="36"/>
  <c r="Q14" i="45" s="1"/>
  <c r="I13" i="37"/>
  <c r="I469" i="2" s="1"/>
  <c r="F12" i="37"/>
  <c r="F468" i="2" s="1"/>
  <c r="J15" i="37"/>
  <c r="J471" i="2" s="1"/>
  <c r="E17" i="37"/>
  <c r="E473" i="2" s="1"/>
  <c r="BA59" i="2"/>
  <c r="BA88" i="2" s="1"/>
  <c r="N18" i="3"/>
  <c r="GI4" i="33"/>
  <c r="AR65" i="2"/>
  <c r="C27" i="33"/>
  <c r="Y24" i="35"/>
  <c r="BG60" i="2"/>
  <c r="V25" i="3"/>
  <c r="M26" i="27"/>
  <c r="G19" i="27"/>
  <c r="K27" i="27"/>
  <c r="D28" i="3"/>
  <c r="K19" i="3"/>
  <c r="N26" i="3"/>
  <c r="T17" i="27"/>
  <c r="AH21" i="35"/>
  <c r="H25" i="3"/>
  <c r="BV18" i="33"/>
  <c r="CT29" i="33"/>
  <c r="K22" i="3"/>
  <c r="AZ60" i="2"/>
  <c r="CT28" i="33"/>
  <c r="Y18" i="3"/>
  <c r="S27" i="3"/>
  <c r="M25" i="27"/>
  <c r="AA18" i="27"/>
  <c r="F17" i="27"/>
  <c r="CB34" i="33"/>
  <c r="M20" i="3"/>
  <c r="BP27" i="33"/>
  <c r="AS65" i="2"/>
  <c r="P20" i="27"/>
  <c r="G23" i="3"/>
  <c r="N19" i="8"/>
  <c r="BA61" i="2"/>
  <c r="B15" i="33"/>
  <c r="B31" i="33"/>
  <c r="Z28" i="3"/>
  <c r="O23" i="37"/>
  <c r="O479" i="2" s="1"/>
  <c r="Q17" i="3"/>
  <c r="DL34" i="33"/>
  <c r="W14" i="37"/>
  <c r="T16" i="37"/>
  <c r="AI25" i="35"/>
  <c r="AX65" i="2"/>
  <c r="W27" i="35"/>
  <c r="K17" i="27"/>
  <c r="EX21" i="33"/>
  <c r="Y19" i="8"/>
  <c r="AA20" i="3"/>
  <c r="FZ28" i="33"/>
  <c r="FT35" i="33"/>
  <c r="AF20" i="37"/>
  <c r="L12" i="37"/>
  <c r="L468" i="2" s="1"/>
  <c r="N13" i="37"/>
  <c r="N469" i="2" s="1"/>
  <c r="P16" i="37"/>
  <c r="BV23" i="33"/>
  <c r="Q21" i="8"/>
  <c r="Z25" i="3"/>
  <c r="AA17" i="37"/>
  <c r="R17" i="27"/>
  <c r="E21" i="8"/>
  <c r="U19" i="27"/>
  <c r="AF19" i="37"/>
  <c r="EP15" i="33"/>
  <c r="Z20" i="37"/>
  <c r="N28" i="33"/>
  <c r="X16" i="27"/>
  <c r="FN34" i="33"/>
  <c r="AG13" i="37"/>
  <c r="CH30" i="33"/>
  <c r="FF20" i="33"/>
  <c r="V16" i="27"/>
  <c r="FH30" i="33"/>
  <c r="BN3" i="33"/>
  <c r="DR30" i="33"/>
  <c r="X25" i="27"/>
  <c r="C26" i="27"/>
  <c r="L21" i="27"/>
  <c r="J22" i="27"/>
  <c r="U27" i="3"/>
  <c r="AC22" i="37"/>
  <c r="R24" i="27"/>
  <c r="R17" i="3"/>
  <c r="W23" i="3"/>
  <c r="Q18" i="35"/>
  <c r="J18" i="27"/>
  <c r="X23" i="3"/>
  <c r="H18" i="8"/>
  <c r="DF29" i="33"/>
  <c r="EJ31" i="33"/>
  <c r="Z33" i="33"/>
  <c r="FF17" i="33"/>
  <c r="BN16" i="33"/>
  <c r="P25" i="35"/>
  <c r="DJ19" i="33"/>
  <c r="F14" i="8"/>
  <c r="Y20" i="35"/>
  <c r="Z15" i="33"/>
  <c r="AA20" i="8"/>
  <c r="I26" i="27"/>
  <c r="CD21" i="33"/>
  <c r="EX18" i="33"/>
  <c r="D16" i="8"/>
  <c r="V20" i="37"/>
  <c r="AI14" i="37"/>
  <c r="L21" i="3"/>
  <c r="K28" i="3"/>
  <c r="S26" i="35"/>
  <c r="AH20" i="33"/>
  <c r="X24" i="35"/>
  <c r="AI22" i="37"/>
  <c r="I18" i="35"/>
  <c r="O18" i="37"/>
  <c r="O474" i="2" s="1"/>
  <c r="Y23" i="3"/>
  <c r="E27" i="27"/>
  <c r="O25" i="3"/>
  <c r="U16" i="37"/>
  <c r="T24" i="3"/>
  <c r="S22" i="3"/>
  <c r="H20" i="3"/>
  <c r="J26" i="3"/>
  <c r="AR60" i="2"/>
  <c r="N24" i="3"/>
  <c r="D21" i="8"/>
  <c r="L22" i="37"/>
  <c r="L478" i="2" s="1"/>
  <c r="Z20" i="8"/>
  <c r="J20" i="8"/>
  <c r="BD60" i="2"/>
  <c r="C22" i="3"/>
  <c r="X27" i="3"/>
  <c r="AL28" i="33"/>
  <c r="AA23" i="35"/>
  <c r="T20" i="35"/>
  <c r="AH17" i="37"/>
  <c r="P25" i="27"/>
  <c r="M25" i="3"/>
  <c r="D18" i="3"/>
  <c r="AA27" i="3"/>
  <c r="J28" i="3"/>
  <c r="H18" i="3"/>
  <c r="S25" i="3"/>
  <c r="AE23" i="35"/>
  <c r="AF24" i="35"/>
  <c r="BN5" i="33"/>
  <c r="P20" i="37"/>
  <c r="M29" i="35"/>
  <c r="Y14" i="8"/>
  <c r="CD4" i="33"/>
  <c r="P24" i="35"/>
  <c r="N20" i="37"/>
  <c r="N476" i="2" s="1"/>
  <c r="P23" i="35"/>
  <c r="S24" i="35"/>
  <c r="Q18" i="37"/>
  <c r="DR34" i="33"/>
  <c r="I15" i="8"/>
  <c r="K18" i="27"/>
  <c r="Q20" i="3"/>
  <c r="Y25" i="3"/>
  <c r="DL30" i="33"/>
  <c r="X15" i="8"/>
  <c r="T32" i="33"/>
  <c r="CN34" i="33"/>
  <c r="X13" i="37"/>
  <c r="I19" i="3"/>
  <c r="AL27" i="33"/>
  <c r="I27" i="27"/>
  <c r="DB16" i="33"/>
  <c r="R25" i="27"/>
  <c r="Y24" i="3"/>
  <c r="X26" i="27"/>
  <c r="AB27" i="35"/>
  <c r="T12" i="37"/>
  <c r="Z32" i="33"/>
  <c r="V22" i="35"/>
  <c r="FF22" i="33"/>
  <c r="S17" i="8"/>
  <c r="AG28" i="35"/>
  <c r="S16" i="37"/>
  <c r="AG23" i="35"/>
  <c r="N15" i="8"/>
  <c r="M22" i="3"/>
  <c r="N14" i="8"/>
  <c r="K12" i="37"/>
  <c r="S22" i="27"/>
  <c r="CD17" i="33"/>
  <c r="O25" i="35"/>
  <c r="I24" i="35"/>
  <c r="BD32" i="33"/>
  <c r="F18" i="3"/>
  <c r="Q26" i="27"/>
  <c r="M21" i="3"/>
  <c r="U28" i="3"/>
  <c r="S19" i="27"/>
  <c r="I21" i="27"/>
  <c r="P16" i="8"/>
  <c r="O24" i="3"/>
  <c r="AA23" i="27"/>
  <c r="AA24" i="35"/>
  <c r="R16" i="27"/>
  <c r="FN20" i="33"/>
  <c r="V17" i="8"/>
  <c r="CZ31" i="33"/>
  <c r="B30" i="33"/>
  <c r="L20" i="27"/>
  <c r="X20" i="37"/>
  <c r="N16" i="27"/>
  <c r="FV18" i="33"/>
  <c r="AB28" i="35"/>
  <c r="R22" i="37"/>
  <c r="Z34" i="33"/>
  <c r="D21" i="3"/>
  <c r="O17" i="3"/>
  <c r="P22" i="3"/>
  <c r="W20" i="35"/>
  <c r="AG24" i="35"/>
  <c r="AC21" i="35"/>
  <c r="L18" i="3"/>
  <c r="AH20" i="35"/>
  <c r="AW64" i="2"/>
  <c r="E22" i="3"/>
  <c r="I27" i="3"/>
  <c r="EV28" i="33"/>
  <c r="X23" i="35"/>
  <c r="CL19" i="33"/>
  <c r="K20" i="37"/>
  <c r="CH29" i="33"/>
  <c r="AL35" i="33"/>
  <c r="CH33" i="33"/>
  <c r="D20" i="35"/>
  <c r="EH18" i="33"/>
  <c r="AA16" i="8"/>
  <c r="U19" i="8"/>
  <c r="U14" i="8"/>
  <c r="R18" i="8"/>
  <c r="U23" i="35"/>
  <c r="BP30" i="33"/>
  <c r="O20" i="37"/>
  <c r="O476" i="2" s="1"/>
  <c r="S19" i="37"/>
  <c r="AE18" i="35"/>
  <c r="Y18" i="35"/>
  <c r="AH22" i="33"/>
  <c r="H29" i="35"/>
  <c r="CD6" i="33"/>
  <c r="W19" i="8"/>
  <c r="DL29" i="33"/>
  <c r="G13" i="8"/>
  <c r="AX3" i="33"/>
  <c r="O21" i="8"/>
  <c r="FZ27" i="33"/>
  <c r="GI5" i="33"/>
  <c r="T21" i="8"/>
  <c r="K13" i="8"/>
  <c r="N17" i="3"/>
  <c r="W16" i="8"/>
  <c r="Q25" i="27"/>
  <c r="I19" i="27"/>
  <c r="I13" i="8"/>
  <c r="N20" i="35"/>
  <c r="G27" i="33"/>
  <c r="DX34" i="33"/>
  <c r="E18" i="27"/>
  <c r="F26" i="27"/>
  <c r="O23" i="3"/>
  <c r="AA17" i="3"/>
  <c r="AP65" i="2"/>
  <c r="T23" i="27"/>
  <c r="Y15" i="37"/>
  <c r="FV23" i="33"/>
  <c r="T19" i="27"/>
  <c r="DF30" i="33"/>
  <c r="S14" i="37"/>
  <c r="DZ5" i="33"/>
  <c r="P27" i="3"/>
  <c r="Q21" i="3"/>
  <c r="Q26" i="35"/>
  <c r="D19" i="27"/>
  <c r="M22" i="35"/>
  <c r="I20" i="35"/>
  <c r="DR33" i="33"/>
  <c r="AP61" i="2"/>
  <c r="C20" i="3"/>
  <c r="H22" i="3"/>
  <c r="U25" i="3"/>
  <c r="Q27" i="3"/>
  <c r="BA64" i="2"/>
  <c r="C26" i="3"/>
  <c r="U15" i="8"/>
  <c r="AB29" i="35"/>
  <c r="R20" i="35"/>
  <c r="BD29" i="33"/>
  <c r="AA18" i="8"/>
  <c r="U16" i="8"/>
  <c r="EX20" i="33"/>
  <c r="S15" i="37"/>
  <c r="I16" i="8"/>
  <c r="D20" i="8"/>
  <c r="E21" i="3"/>
  <c r="Y18" i="37"/>
  <c r="CB33" i="33"/>
  <c r="N19" i="27"/>
  <c r="F26" i="3"/>
  <c r="Q22" i="3"/>
  <c r="Q20" i="27"/>
  <c r="I28" i="3"/>
  <c r="P25" i="3"/>
  <c r="AB21" i="35"/>
  <c r="AA20" i="27"/>
  <c r="K22" i="27"/>
  <c r="AH7" i="33"/>
  <c r="AR31" i="33"/>
  <c r="P21" i="27"/>
  <c r="Q21" i="35"/>
  <c r="V19" i="8"/>
  <c r="Z23" i="35"/>
  <c r="R10" i="33"/>
  <c r="M15" i="8"/>
  <c r="AI23" i="35"/>
  <c r="DZ19" i="33"/>
  <c r="AB18" i="37"/>
  <c r="H20" i="8"/>
  <c r="D27" i="27"/>
  <c r="K21" i="37"/>
  <c r="AX9" i="33"/>
  <c r="EV34" i="33"/>
  <c r="AD22" i="35"/>
  <c r="AD14" i="37"/>
  <c r="V25" i="35"/>
  <c r="L28" i="35"/>
  <c r="I16" i="27"/>
  <c r="N29" i="33"/>
  <c r="Z16" i="33"/>
  <c r="S21" i="3"/>
  <c r="Z17" i="3"/>
  <c r="AX32" i="33"/>
  <c r="I21" i="35"/>
  <c r="DZ17" i="33"/>
  <c r="BF65" i="2"/>
  <c r="AP17" i="33"/>
  <c r="P12" i="37"/>
  <c r="O16" i="8"/>
  <c r="BV29" i="33"/>
  <c r="N23" i="27"/>
  <c r="AR35" i="33"/>
  <c r="CH34" i="33"/>
  <c r="BJ33" i="33"/>
  <c r="Y27" i="3"/>
  <c r="AZ65" i="2"/>
  <c r="AE14" i="37"/>
  <c r="M25" i="35"/>
  <c r="Z19" i="3"/>
  <c r="W20" i="3"/>
  <c r="CH35" i="33"/>
  <c r="BC64" i="2"/>
  <c r="H20" i="27"/>
  <c r="N24" i="27"/>
  <c r="AX21" i="33"/>
  <c r="K24" i="35"/>
  <c r="EP10" i="33"/>
  <c r="C21" i="27"/>
  <c r="AA26" i="3"/>
  <c r="J27" i="27"/>
  <c r="C15" i="8"/>
  <c r="H32" i="33"/>
  <c r="N17" i="27"/>
  <c r="AP20" i="33"/>
  <c r="D25" i="27"/>
  <c r="C29" i="33"/>
  <c r="T28" i="35"/>
  <c r="AC28" i="35"/>
  <c r="AH9" i="33"/>
  <c r="D20" i="27"/>
  <c r="AP60" i="2"/>
  <c r="W28" i="3"/>
  <c r="W21" i="27"/>
  <c r="AY64" i="2"/>
  <c r="ED27" i="33"/>
  <c r="FH33" i="33"/>
  <c r="D19" i="3"/>
  <c r="X16" i="37"/>
  <c r="BF60" i="2"/>
  <c r="AF12" i="37"/>
  <c r="AT65" i="2"/>
  <c r="U23" i="27"/>
  <c r="H20" i="35"/>
  <c r="P18" i="35"/>
  <c r="AD22" i="37"/>
  <c r="F16" i="27"/>
  <c r="O23" i="35"/>
  <c r="I24" i="27"/>
  <c r="AD16" i="37"/>
  <c r="Q19" i="37"/>
  <c r="T27" i="27"/>
  <c r="G17" i="8"/>
  <c r="R26" i="3"/>
  <c r="AR30" i="33"/>
  <c r="P17" i="3"/>
  <c r="FN35" i="33"/>
  <c r="B4" i="33"/>
  <c r="AP15" i="33"/>
  <c r="EJ28" i="33"/>
  <c r="W19" i="27"/>
  <c r="F17" i="3"/>
  <c r="DX27" i="33"/>
  <c r="BF17" i="33"/>
  <c r="DJ23" i="33"/>
  <c r="EH17" i="33"/>
  <c r="Q17" i="37"/>
  <c r="G29" i="35"/>
  <c r="F20" i="27"/>
  <c r="Z18" i="8"/>
  <c r="U20" i="35"/>
  <c r="W18" i="3"/>
  <c r="Z20" i="27"/>
  <c r="S18" i="27"/>
  <c r="O28" i="3"/>
  <c r="E17" i="27"/>
  <c r="AX15" i="33"/>
  <c r="CL15" i="33"/>
  <c r="J18" i="8"/>
  <c r="CD19" i="33"/>
  <c r="K18" i="8"/>
  <c r="AV59" i="2"/>
  <c r="AV61" i="2"/>
  <c r="AG25" i="35"/>
  <c r="C26" i="35"/>
  <c r="BD27" i="33"/>
  <c r="EP27" i="33"/>
  <c r="AX64" i="2"/>
  <c r="D32" i="33"/>
  <c r="L19" i="8"/>
  <c r="K21" i="27"/>
  <c r="F24" i="3"/>
  <c r="HR27" i="33"/>
  <c r="AX61" i="2"/>
  <c r="EP22" i="33"/>
  <c r="Y17" i="3"/>
  <c r="AH26" i="35"/>
  <c r="AC24" i="35"/>
  <c r="O27" i="3"/>
  <c r="U26" i="3"/>
  <c r="F21" i="3"/>
  <c r="L15" i="8"/>
  <c r="G18" i="3"/>
  <c r="Y14" i="37"/>
  <c r="AA25" i="35"/>
  <c r="Z27" i="27"/>
  <c r="V16" i="8"/>
  <c r="O23" i="27"/>
  <c r="T17" i="3"/>
  <c r="U19" i="3"/>
  <c r="E28" i="3"/>
  <c r="W24" i="3"/>
  <c r="AU65" i="2"/>
  <c r="O20" i="27"/>
  <c r="L16" i="27"/>
  <c r="AE26" i="35"/>
  <c r="BV27" i="33"/>
  <c r="Z21" i="8"/>
  <c r="AC14" i="37"/>
  <c r="P28" i="3"/>
  <c r="J17" i="3"/>
  <c r="AC25" i="35"/>
  <c r="I25" i="27"/>
  <c r="J28" i="35"/>
  <c r="FN31" i="33"/>
  <c r="O20" i="3"/>
  <c r="Q18" i="3"/>
  <c r="BB58" i="2"/>
  <c r="BB61" i="2"/>
  <c r="X26" i="3"/>
  <c r="H24" i="3"/>
  <c r="V24" i="27"/>
  <c r="J20" i="27"/>
  <c r="R22" i="3"/>
  <c r="B19" i="33"/>
  <c r="EH16" i="33"/>
  <c r="B5" i="33"/>
  <c r="C30" i="33"/>
  <c r="E32" i="33"/>
  <c r="H30" i="33"/>
  <c r="M17" i="37"/>
  <c r="M473" i="2" s="1"/>
  <c r="N16" i="8"/>
  <c r="X29" i="35"/>
  <c r="F18" i="8"/>
  <c r="AI27" i="35"/>
  <c r="BJ29" i="33"/>
  <c r="K16" i="37"/>
  <c r="CH32" i="33"/>
  <c r="N21" i="27"/>
  <c r="W22" i="3"/>
  <c r="U24" i="27"/>
  <c r="Z29" i="35"/>
  <c r="AH16" i="33"/>
  <c r="P16" i="27"/>
  <c r="DF33" i="33"/>
  <c r="AH27" i="35"/>
  <c r="Z21" i="3"/>
  <c r="EV29" i="33"/>
  <c r="G21" i="35"/>
  <c r="Q24" i="3"/>
  <c r="R25" i="3"/>
  <c r="W25" i="3"/>
  <c r="AT64" i="2"/>
  <c r="O16" i="37"/>
  <c r="O472" i="2" s="1"/>
  <c r="R19" i="35"/>
  <c r="AF25" i="35"/>
  <c r="AP22" i="33"/>
  <c r="W24" i="27"/>
  <c r="AE15" i="37"/>
  <c r="N33" i="33"/>
  <c r="BV17" i="33"/>
  <c r="AB16" i="37"/>
  <c r="BE60" i="2"/>
  <c r="G22" i="3"/>
  <c r="AF18" i="37"/>
  <c r="DX28" i="33"/>
  <c r="N21" i="8"/>
  <c r="AX29" i="33"/>
  <c r="AA21" i="37"/>
  <c r="N30" i="33"/>
  <c r="D24" i="35"/>
  <c r="AY60" i="2"/>
  <c r="D22" i="3"/>
  <c r="D33" i="33"/>
  <c r="H23" i="3"/>
  <c r="AG27" i="35"/>
  <c r="K24" i="3"/>
  <c r="U13" i="8"/>
  <c r="P22" i="27"/>
  <c r="U17" i="37"/>
  <c r="AH28" i="35"/>
  <c r="AF27" i="35"/>
  <c r="BJ28" i="33"/>
  <c r="X22" i="35"/>
  <c r="L14" i="8"/>
  <c r="J26" i="27"/>
  <c r="N29" i="35"/>
  <c r="EH15" i="33"/>
  <c r="AC27" i="35"/>
  <c r="GP3" i="33"/>
  <c r="AF21" i="35"/>
  <c r="AI23" i="37"/>
  <c r="R5" i="33"/>
  <c r="H33" i="33"/>
  <c r="O19" i="3"/>
  <c r="F22" i="3"/>
  <c r="DZ20" i="33"/>
  <c r="L25" i="35"/>
  <c r="AH23" i="33"/>
  <c r="J22" i="3"/>
  <c r="T22" i="3"/>
  <c r="D17" i="3"/>
  <c r="FF10" i="33"/>
  <c r="AV60" i="2"/>
  <c r="L17" i="3"/>
  <c r="L22" i="27"/>
  <c r="AH14" i="37"/>
  <c r="T24" i="27"/>
  <c r="BN10" i="33"/>
  <c r="FV19" i="33"/>
  <c r="AA12" i="37"/>
  <c r="CL16" i="33"/>
  <c r="W26" i="27"/>
  <c r="AH15" i="37"/>
  <c r="Z26" i="27"/>
  <c r="R17" i="33"/>
  <c r="X20" i="35"/>
  <c r="CD10" i="33"/>
  <c r="F15" i="8"/>
  <c r="Q21" i="27"/>
  <c r="Y27" i="27"/>
  <c r="BV35" i="33"/>
  <c r="HX27" i="33"/>
  <c r="D23" i="27"/>
  <c r="V12" i="37"/>
  <c r="D18" i="35"/>
  <c r="ED35" i="33"/>
  <c r="M24" i="27"/>
  <c r="I14" i="8"/>
  <c r="K14" i="37"/>
  <c r="K22" i="35"/>
  <c r="AA13" i="37"/>
  <c r="I21" i="8"/>
  <c r="X17" i="8"/>
  <c r="B16" i="33"/>
  <c r="FN22" i="33"/>
  <c r="AE27" i="35"/>
  <c r="Z18" i="33"/>
  <c r="CN35" i="33"/>
  <c r="G29" i="33"/>
  <c r="CL22" i="33"/>
  <c r="X19" i="8"/>
  <c r="AD21" i="37"/>
  <c r="BD34" i="33"/>
  <c r="AC18" i="35"/>
  <c r="W26" i="3"/>
  <c r="BG65" i="2"/>
  <c r="Y21" i="8"/>
  <c r="CL23" i="33"/>
  <c r="W20" i="27"/>
  <c r="CB29" i="33"/>
  <c r="AD18" i="35"/>
  <c r="CT9" i="33"/>
  <c r="AH20" i="37"/>
  <c r="BN6" i="33"/>
  <c r="AR64" i="2"/>
  <c r="O24" i="35"/>
  <c r="AH17" i="33"/>
  <c r="FT30" i="33"/>
  <c r="J16" i="27"/>
  <c r="G28" i="35"/>
  <c r="W25" i="27"/>
  <c r="V18" i="3"/>
  <c r="AQ65" i="2"/>
  <c r="AQ60" i="2"/>
  <c r="C19" i="3"/>
  <c r="P18" i="3"/>
  <c r="AS60" i="2"/>
  <c r="F29" i="33"/>
  <c r="M27" i="27"/>
  <c r="O16" i="27"/>
  <c r="E15" i="8"/>
  <c r="CZ35" i="33"/>
  <c r="R18" i="27"/>
  <c r="DR32" i="33"/>
  <c r="HP27" i="33"/>
  <c r="BV19" i="33"/>
  <c r="M23" i="35"/>
  <c r="J23" i="3"/>
  <c r="F22" i="27"/>
  <c r="I19" i="8"/>
  <c r="C28" i="3"/>
  <c r="C23" i="3"/>
  <c r="X18" i="3"/>
  <c r="C27" i="3"/>
  <c r="AS61" i="2"/>
  <c r="J18" i="3"/>
  <c r="AD20" i="35"/>
  <c r="AA28" i="35"/>
  <c r="G27" i="35"/>
  <c r="W21" i="37"/>
  <c r="AC12" i="37"/>
  <c r="T25" i="3"/>
  <c r="AF19" i="35"/>
  <c r="R26" i="27"/>
  <c r="X18" i="27"/>
  <c r="C19" i="8"/>
  <c r="C24" i="35"/>
  <c r="AF13" i="37"/>
  <c r="EP33" i="33"/>
  <c r="DX32" i="33"/>
  <c r="R23" i="33"/>
  <c r="D22" i="35"/>
  <c r="DJ16" i="33"/>
  <c r="Z15" i="8"/>
  <c r="AX19" i="33"/>
  <c r="D28" i="33"/>
  <c r="Z19" i="33"/>
  <c r="AH15" i="33"/>
  <c r="G17" i="27"/>
  <c r="U17" i="27"/>
  <c r="E27" i="33"/>
  <c r="Z27" i="33"/>
  <c r="S23" i="27"/>
  <c r="L24" i="27"/>
  <c r="G20" i="3"/>
  <c r="M18" i="3"/>
  <c r="O22" i="35"/>
  <c r="BP28" i="33"/>
  <c r="X17" i="3"/>
  <c r="BG61" i="2"/>
  <c r="E16" i="8"/>
  <c r="AE16" i="37"/>
  <c r="N26" i="27"/>
  <c r="BB60" i="2"/>
  <c r="R21" i="33"/>
  <c r="J23" i="33"/>
  <c r="Z31" i="33"/>
  <c r="J13" i="8"/>
  <c r="CZ32" i="33"/>
  <c r="U20" i="3"/>
  <c r="E19" i="27"/>
  <c r="FZ31" i="33"/>
  <c r="I26" i="35"/>
  <c r="Z21" i="33"/>
  <c r="DZ15" i="33"/>
  <c r="C21" i="3"/>
  <c r="O17" i="8"/>
  <c r="I20" i="27"/>
  <c r="Q18" i="8"/>
  <c r="G28" i="3"/>
  <c r="J15" i="33"/>
  <c r="V27" i="35"/>
  <c r="AX6" i="33"/>
  <c r="AD13" i="37"/>
  <c r="H18" i="35"/>
  <c r="F27" i="3"/>
  <c r="CT35" i="33"/>
  <c r="L14" i="37"/>
  <c r="L470" i="2" s="1"/>
  <c r="EP28" i="33"/>
  <c r="BE65" i="2"/>
  <c r="L18" i="37"/>
  <c r="L474" i="2" s="1"/>
  <c r="EV35" i="33"/>
  <c r="S23" i="35"/>
  <c r="AI19" i="37"/>
  <c r="T14" i="8"/>
  <c r="V26" i="35"/>
  <c r="D17" i="27"/>
  <c r="EJ33" i="33"/>
  <c r="K21" i="3"/>
  <c r="AB20" i="35"/>
  <c r="D22" i="27"/>
  <c r="FF4" i="33"/>
  <c r="W13" i="37"/>
  <c r="AB17" i="37"/>
  <c r="M20" i="27"/>
  <c r="Z16" i="8"/>
  <c r="C18" i="35"/>
  <c r="D26" i="27"/>
  <c r="C19" i="35"/>
  <c r="FB31" i="33"/>
  <c r="AC23" i="37"/>
  <c r="FH34" i="33"/>
  <c r="O17" i="27"/>
  <c r="BD31" i="33"/>
  <c r="M26" i="35"/>
  <c r="BN17" i="33"/>
  <c r="FN21" i="33"/>
  <c r="Y28" i="3"/>
  <c r="K17" i="3"/>
  <c r="W29" i="35"/>
  <c r="H15" i="8"/>
  <c r="P29" i="35"/>
  <c r="FT32" i="33"/>
  <c r="I22" i="3"/>
  <c r="AA22" i="35"/>
  <c r="N25" i="3"/>
  <c r="V21" i="3"/>
  <c r="O20" i="35"/>
  <c r="FN19" i="33"/>
  <c r="M18" i="8"/>
  <c r="D13" i="8"/>
  <c r="AT60" i="2"/>
  <c r="U21" i="3"/>
  <c r="L23" i="3"/>
  <c r="H21" i="3"/>
  <c r="L22" i="3"/>
  <c r="T27" i="3"/>
  <c r="C24" i="3"/>
  <c r="I18" i="3"/>
  <c r="AH3" i="33"/>
  <c r="C27" i="35"/>
  <c r="D29" i="33"/>
  <c r="EX23" i="33"/>
  <c r="AH29" i="35"/>
  <c r="AA23" i="3"/>
  <c r="S24" i="3"/>
  <c r="AI18" i="37"/>
  <c r="W21" i="8"/>
  <c r="R6" i="33"/>
  <c r="M14" i="8"/>
  <c r="H28" i="3"/>
  <c r="D23" i="3"/>
  <c r="Y21" i="27"/>
  <c r="AA21" i="3"/>
  <c r="Z24" i="27"/>
  <c r="S19" i="3"/>
  <c r="L19" i="3"/>
  <c r="T28" i="3"/>
  <c r="Y25" i="35"/>
  <c r="FZ30" i="33"/>
  <c r="X24" i="27"/>
  <c r="Q22" i="35"/>
  <c r="Z22" i="35"/>
  <c r="AX10" i="33"/>
  <c r="FF19" i="33"/>
  <c r="FF16" i="33"/>
  <c r="P28" i="35"/>
  <c r="T18" i="27"/>
  <c r="Z12" i="37"/>
  <c r="I19" i="35"/>
  <c r="BD33" i="33"/>
  <c r="EP18" i="33"/>
  <c r="U15" i="37"/>
  <c r="U23" i="3"/>
  <c r="AV64" i="2"/>
  <c r="L17" i="27"/>
  <c r="CN31" i="33"/>
  <c r="Z18" i="37"/>
  <c r="N27" i="27"/>
  <c r="H25" i="27"/>
  <c r="R27" i="3"/>
  <c r="DR16" i="33"/>
  <c r="V22" i="3"/>
  <c r="BF61" i="2"/>
  <c r="S13" i="8"/>
  <c r="Z22" i="27"/>
  <c r="AD28" i="35"/>
  <c r="J22" i="33"/>
  <c r="CZ34" i="33"/>
  <c r="G23" i="35"/>
  <c r="I24" i="3"/>
  <c r="Y27" i="35"/>
  <c r="S25" i="27"/>
  <c r="M19" i="27"/>
  <c r="DL31" i="33"/>
  <c r="F19" i="35"/>
  <c r="AA28" i="3"/>
  <c r="W19" i="3"/>
  <c r="Y26" i="27"/>
  <c r="N18" i="37"/>
  <c r="N474" i="2" s="1"/>
  <c r="D31" i="33"/>
  <c r="X23" i="27"/>
  <c r="BP31" i="33"/>
  <c r="Y16" i="37"/>
  <c r="I18" i="27"/>
  <c r="X27" i="27"/>
  <c r="E22" i="27"/>
  <c r="AY61" i="2"/>
  <c r="L20" i="3"/>
  <c r="V23" i="27"/>
  <c r="R21" i="3"/>
  <c r="AA22" i="3"/>
  <c r="Y16" i="27"/>
  <c r="S24" i="27"/>
  <c r="AX28" i="33"/>
  <c r="HT27" i="33"/>
  <c r="O27" i="27"/>
  <c r="M12" i="37"/>
  <c r="M468" i="2" s="1"/>
  <c r="AR33" i="33"/>
  <c r="G22" i="27"/>
  <c r="W16" i="27"/>
  <c r="CZ33" i="33"/>
  <c r="DR21" i="33"/>
  <c r="G21" i="8"/>
  <c r="O27" i="35"/>
  <c r="J16" i="8"/>
  <c r="X21" i="8"/>
  <c r="S26" i="27"/>
  <c r="H19" i="27"/>
  <c r="AE13" i="37"/>
  <c r="V21" i="37"/>
  <c r="AS64" i="2"/>
  <c r="T20" i="3"/>
  <c r="ED34" i="33"/>
  <c r="L28" i="3"/>
  <c r="G18" i="8"/>
  <c r="K20" i="3"/>
  <c r="C18" i="3"/>
  <c r="O13" i="8"/>
  <c r="AP23" i="33"/>
  <c r="BF21" i="33"/>
  <c r="AG15" i="37"/>
  <c r="M18" i="37"/>
  <c r="M474" i="2" s="1"/>
  <c r="FT33" i="33"/>
  <c r="W23" i="37"/>
  <c r="AH19" i="37"/>
  <c r="Y29" i="35"/>
  <c r="Z16" i="37"/>
  <c r="CT20" i="33"/>
  <c r="AR32" i="33"/>
  <c r="Q20" i="8"/>
  <c r="FZ32" i="33"/>
  <c r="D20" i="3"/>
  <c r="Y20" i="8"/>
  <c r="FB34" i="33"/>
  <c r="CB35" i="33"/>
  <c r="Q27" i="35"/>
  <c r="L26" i="35"/>
  <c r="M28" i="35"/>
  <c r="C24" i="27"/>
  <c r="Z27" i="35"/>
  <c r="EP35" i="33"/>
  <c r="R21" i="27"/>
  <c r="AP19" i="33"/>
  <c r="G20" i="27"/>
  <c r="AF34" i="33"/>
  <c r="E19" i="35"/>
  <c r="CT18" i="33"/>
  <c r="AX27" i="33"/>
  <c r="FN32" i="33"/>
  <c r="CD23" i="33"/>
  <c r="EV32" i="33"/>
  <c r="DR35" i="33"/>
  <c r="E25" i="35"/>
  <c r="K20" i="8"/>
  <c r="AC13" i="37"/>
  <c r="Z21" i="27"/>
  <c r="G28" i="33"/>
  <c r="FH35" i="33"/>
  <c r="U27" i="27"/>
  <c r="Q19" i="3"/>
  <c r="I26" i="3"/>
  <c r="FT28" i="33"/>
  <c r="AH25" i="35"/>
  <c r="FN29" i="33"/>
  <c r="GI6" i="33"/>
  <c r="AI16" i="37"/>
  <c r="O21" i="37"/>
  <c r="O477" i="2" s="1"/>
  <c r="BF18" i="33"/>
  <c r="E20" i="3"/>
  <c r="AI21" i="37"/>
  <c r="J17" i="33"/>
  <c r="Q16" i="8"/>
  <c r="CN33" i="33"/>
  <c r="E20" i="35"/>
  <c r="T16" i="8"/>
  <c r="AR59" i="2"/>
  <c r="AR88" i="2" s="1"/>
  <c r="AR61" i="2"/>
  <c r="BE61" i="2"/>
  <c r="R18" i="3"/>
  <c r="AV65" i="2"/>
  <c r="X19" i="3"/>
  <c r="L20" i="8"/>
  <c r="M21" i="8"/>
  <c r="B11" i="33"/>
  <c r="R21" i="37"/>
  <c r="CN27" i="33"/>
  <c r="K23" i="3"/>
  <c r="U25" i="35"/>
  <c r="C16" i="27"/>
  <c r="Y25" i="27"/>
  <c r="CD7" i="33"/>
  <c r="G25" i="35"/>
  <c r="N27" i="3"/>
  <c r="AY65" i="2"/>
  <c r="R28" i="35"/>
  <c r="AD20" i="37"/>
  <c r="X17" i="27"/>
  <c r="E17" i="3"/>
  <c r="X28" i="3"/>
  <c r="T21" i="27"/>
  <c r="Y22" i="3"/>
  <c r="H27" i="35"/>
  <c r="P13" i="8"/>
  <c r="AR34" i="33"/>
  <c r="F30" i="33"/>
  <c r="M21" i="35"/>
  <c r="C20" i="8"/>
  <c r="AC18" i="37"/>
  <c r="Q22" i="37"/>
  <c r="T27" i="33"/>
  <c r="AF32" i="33"/>
  <c r="P26" i="3"/>
  <c r="O21" i="27"/>
  <c r="CD9" i="33"/>
  <c r="Q28" i="35"/>
  <c r="R11" i="33"/>
  <c r="D21" i="27"/>
  <c r="FF21" i="33"/>
  <c r="P19" i="27"/>
  <c r="K23" i="35"/>
  <c r="P18" i="37"/>
  <c r="R22" i="27"/>
  <c r="U18" i="8"/>
  <c r="GI8" i="33"/>
  <c r="CD11" i="33"/>
  <c r="DL32" i="33"/>
  <c r="FF23" i="33"/>
  <c r="C34" i="33"/>
  <c r="E26" i="35"/>
  <c r="K24" i="27"/>
  <c r="T19" i="35"/>
  <c r="S28" i="3"/>
  <c r="J29" i="35"/>
  <c r="O18" i="3"/>
  <c r="P24" i="27"/>
  <c r="AL34" i="33"/>
  <c r="I25" i="35"/>
  <c r="V19" i="27"/>
  <c r="Q25" i="3"/>
  <c r="DF28" i="33"/>
  <c r="P22" i="37"/>
  <c r="O22" i="27"/>
  <c r="HW27" i="33"/>
  <c r="K26" i="35"/>
  <c r="R28" i="3"/>
  <c r="AI26" i="35"/>
  <c r="BC60" i="2"/>
  <c r="X19" i="35"/>
  <c r="F33" i="33"/>
  <c r="U22" i="35"/>
  <c r="M21" i="27"/>
  <c r="R7" i="33"/>
  <c r="D29" i="35"/>
  <c r="AH13" i="37"/>
  <c r="HQ27" i="33"/>
  <c r="AC29" i="35"/>
  <c r="C33" i="33"/>
  <c r="U14" i="37"/>
  <c r="GI7" i="33"/>
  <c r="AI20" i="37"/>
  <c r="L16" i="37"/>
  <c r="L472" i="2" s="1"/>
  <c r="ED31" i="33"/>
  <c r="AH22" i="37"/>
  <c r="H28" i="35"/>
  <c r="O14" i="37"/>
  <c r="O470" i="2" s="1"/>
  <c r="F21" i="8"/>
  <c r="CL17" i="33"/>
  <c r="AC22" i="35"/>
  <c r="AA18" i="37"/>
  <c r="H16" i="8"/>
  <c r="G19" i="3"/>
  <c r="AE17" i="37"/>
  <c r="Z24" i="3"/>
  <c r="W23" i="27"/>
  <c r="I17" i="8"/>
  <c r="C25" i="35"/>
  <c r="P27" i="35"/>
  <c r="L27" i="35"/>
  <c r="C28" i="33"/>
  <c r="J19" i="27"/>
  <c r="I23" i="3"/>
  <c r="L24" i="3"/>
  <c r="AZ61" i="2"/>
  <c r="AX11" i="33"/>
  <c r="AL32" i="33"/>
  <c r="DB18" i="33"/>
  <c r="AH18" i="35"/>
  <c r="Y21" i="35"/>
  <c r="V20" i="35"/>
  <c r="P21" i="37"/>
  <c r="FN15" i="33"/>
  <c r="Z17" i="37"/>
  <c r="CD18" i="33"/>
  <c r="H25" i="35"/>
  <c r="BV22" i="33"/>
  <c r="U17" i="8"/>
  <c r="O19" i="37"/>
  <c r="O475" i="2" s="1"/>
  <c r="E25" i="27"/>
  <c r="R21" i="35"/>
  <c r="BF19" i="33"/>
  <c r="DZ7" i="33"/>
  <c r="E35" i="33"/>
  <c r="I22" i="35"/>
  <c r="AA29" i="35"/>
  <c r="H21" i="35"/>
  <c r="U21" i="8"/>
  <c r="AA16" i="27"/>
  <c r="J18" i="35"/>
  <c r="AA25" i="27"/>
  <c r="AI28" i="35"/>
  <c r="U19" i="35"/>
  <c r="Z20" i="35"/>
  <c r="D27" i="3"/>
  <c r="H26" i="3"/>
  <c r="O18" i="35"/>
  <c r="AH23" i="37"/>
  <c r="N21" i="37"/>
  <c r="N477" i="2" s="1"/>
  <c r="EJ30" i="33"/>
  <c r="AH4" i="33"/>
  <c r="CB27" i="33"/>
  <c r="Z25" i="27"/>
  <c r="U27" i="35"/>
  <c r="AB25" i="35"/>
  <c r="Z16" i="27"/>
  <c r="AF17" i="37"/>
  <c r="G24" i="3"/>
  <c r="Z23" i="37"/>
  <c r="B21" i="33"/>
  <c r="S17" i="27"/>
  <c r="AX30" i="33"/>
  <c r="Y13" i="37"/>
  <c r="Y17" i="37"/>
  <c r="G26" i="27"/>
  <c r="AI24" i="35"/>
  <c r="N19" i="37"/>
  <c r="N475" i="2" s="1"/>
  <c r="I20" i="8"/>
  <c r="W19" i="35"/>
  <c r="Z18" i="35"/>
  <c r="V23" i="35"/>
  <c r="S16" i="27"/>
  <c r="FB35" i="33"/>
  <c r="F25" i="35"/>
  <c r="Y13" i="8"/>
  <c r="U20" i="8"/>
  <c r="AF33" i="33"/>
  <c r="S27" i="35"/>
  <c r="J27" i="35"/>
  <c r="N23" i="3"/>
  <c r="U29" i="35"/>
  <c r="B3" i="33"/>
  <c r="AL30" i="33"/>
  <c r="AF26" i="35"/>
  <c r="M19" i="3"/>
  <c r="T23" i="35"/>
  <c r="O21" i="35"/>
  <c r="DF34" i="33"/>
  <c r="AI17" i="37"/>
  <c r="CZ28" i="33"/>
  <c r="L16" i="8"/>
  <c r="N12" i="37"/>
  <c r="N468" i="2" s="1"/>
  <c r="Q21" i="37"/>
  <c r="N17" i="8"/>
  <c r="E20" i="8"/>
  <c r="X28" i="35"/>
  <c r="Y26" i="3"/>
  <c r="H24" i="35"/>
  <c r="P15" i="37"/>
  <c r="GI10" i="33"/>
  <c r="X18" i="8"/>
  <c r="C14" i="36"/>
  <c r="C7" i="45" s="1"/>
  <c r="F20" i="36"/>
  <c r="F13" i="45" s="1"/>
  <c r="CB30" i="33"/>
  <c r="R15" i="8"/>
  <c r="BV33" i="33"/>
  <c r="R18" i="37"/>
  <c r="F22" i="35"/>
  <c r="GL3" i="33"/>
  <c r="AA19" i="37"/>
  <c r="R19" i="37"/>
  <c r="J19" i="33"/>
  <c r="AD19" i="35"/>
  <c r="FH27" i="33"/>
  <c r="W18" i="8"/>
  <c r="I27" i="35"/>
  <c r="W12" i="37"/>
  <c r="BD30" i="33"/>
  <c r="P19" i="8"/>
  <c r="EP8" i="33"/>
  <c r="AC16" i="37"/>
  <c r="O29" i="35"/>
  <c r="N27" i="35"/>
  <c r="AA17" i="8"/>
  <c r="Y15" i="8"/>
  <c r="V15" i="8"/>
  <c r="DJ6" i="33"/>
  <c r="AB26" i="35"/>
  <c r="G26" i="35"/>
  <c r="M26" i="3"/>
  <c r="C29" i="35"/>
  <c r="AX23" i="33"/>
  <c r="CD8" i="33"/>
  <c r="V22" i="27"/>
  <c r="E19" i="8"/>
  <c r="Y19" i="3"/>
  <c r="DR23" i="33"/>
  <c r="AA22" i="37"/>
  <c r="Z22" i="3"/>
  <c r="W17" i="27"/>
  <c r="D25" i="3"/>
  <c r="V20" i="8"/>
  <c r="M23" i="27"/>
  <c r="T25" i="27"/>
  <c r="P17" i="37"/>
  <c r="BF22" i="33"/>
  <c r="S20" i="3"/>
  <c r="G27" i="27"/>
  <c r="C25" i="3"/>
  <c r="E21" i="27"/>
  <c r="P23" i="37"/>
  <c r="F28" i="33"/>
  <c r="T33" i="33"/>
  <c r="Z14" i="37"/>
  <c r="AG12" i="37"/>
  <c r="FF11" i="33"/>
  <c r="AG22" i="35"/>
  <c r="T18" i="37"/>
  <c r="H29" i="33"/>
  <c r="X21" i="27"/>
  <c r="AA20" i="35"/>
  <c r="EH22" i="33"/>
  <c r="V17" i="3"/>
  <c r="DZ4" i="33"/>
  <c r="G20" i="35"/>
  <c r="FV15" i="33"/>
  <c r="FN17" i="33"/>
  <c r="CT6" i="33"/>
  <c r="BN11" i="33"/>
  <c r="Z20" i="33"/>
  <c r="T18" i="3"/>
  <c r="S18" i="3"/>
  <c r="BG64" i="2"/>
  <c r="FN30" i="33"/>
  <c r="T21" i="37"/>
  <c r="AF28" i="33"/>
  <c r="M16" i="27"/>
  <c r="F26" i="35"/>
  <c r="V27" i="27"/>
  <c r="AE12" i="37"/>
  <c r="W27" i="3"/>
  <c r="AQ64" i="2"/>
  <c r="I22" i="27"/>
  <c r="X22" i="37"/>
  <c r="S21" i="37"/>
  <c r="C22" i="35"/>
  <c r="AC21" i="37"/>
  <c r="V18" i="35"/>
  <c r="GN3" i="33"/>
  <c r="AG23" i="37"/>
  <c r="AE21" i="35"/>
  <c r="DZ22" i="33"/>
  <c r="EV33" i="33"/>
  <c r="G23" i="27"/>
  <c r="V21" i="27"/>
  <c r="B27" i="33"/>
  <c r="CT32" i="33"/>
  <c r="BF20" i="33"/>
  <c r="S21" i="35"/>
  <c r="AE28" i="35"/>
  <c r="AE20" i="35"/>
  <c r="AF21" i="37"/>
  <c r="DZ23" i="33"/>
  <c r="EP3" i="33"/>
  <c r="GR3" i="33"/>
  <c r="W22" i="27"/>
  <c r="CT31" i="33"/>
  <c r="FV21" i="33"/>
  <c r="AB23" i="37"/>
  <c r="AB21" i="37"/>
  <c r="AA15" i="8"/>
  <c r="G20" i="8"/>
  <c r="P20" i="3"/>
  <c r="K17" i="37"/>
  <c r="Z24" i="35"/>
  <c r="C20" i="27"/>
  <c r="DX29" i="33"/>
  <c r="EJ34" i="33"/>
  <c r="CT22" i="33"/>
  <c r="N22" i="27"/>
  <c r="X22" i="27"/>
  <c r="R27" i="35"/>
  <c r="X20" i="8"/>
  <c r="CL20" i="33"/>
  <c r="W18" i="35"/>
  <c r="AU59" i="2"/>
  <c r="AU61" i="2"/>
  <c r="T19" i="3"/>
  <c r="AP59" i="2"/>
  <c r="ED28" i="33"/>
  <c r="DB17" i="33"/>
  <c r="N23" i="37"/>
  <c r="N479" i="2" s="1"/>
  <c r="R24" i="3"/>
  <c r="GJ3" i="33"/>
  <c r="L19" i="35"/>
  <c r="D21" i="35"/>
  <c r="S20" i="35"/>
  <c r="Z22" i="33"/>
  <c r="Z19" i="8"/>
  <c r="Q19" i="27"/>
  <c r="AE23" i="37"/>
  <c r="R24" i="35"/>
  <c r="AB19" i="35"/>
  <c r="Q24" i="35"/>
  <c r="FN28" i="33"/>
  <c r="O26" i="3"/>
  <c r="ED30" i="33"/>
  <c r="R23" i="3"/>
  <c r="D26" i="3"/>
  <c r="AB23" i="35"/>
  <c r="M17" i="27"/>
  <c r="F27" i="27"/>
  <c r="G25" i="3"/>
  <c r="O18" i="27"/>
  <c r="D19" i="8"/>
  <c r="X21" i="37"/>
  <c r="T22" i="27"/>
  <c r="Q12" i="37"/>
  <c r="AE21" i="37"/>
  <c r="V20" i="27"/>
  <c r="J17" i="8"/>
  <c r="BN15" i="33"/>
  <c r="R13" i="37"/>
  <c r="J25" i="3"/>
  <c r="L27" i="3"/>
  <c r="O26" i="27"/>
  <c r="FB30" i="33"/>
  <c r="C35" i="33"/>
  <c r="J16" i="33"/>
  <c r="Q19" i="35"/>
  <c r="AB15" i="36"/>
  <c r="AB8" i="45" s="1"/>
  <c r="O14" i="8"/>
  <c r="V19" i="37"/>
  <c r="T20" i="27"/>
  <c r="T25" i="35"/>
  <c r="Y22" i="35"/>
  <c r="DL33" i="33"/>
  <c r="V22" i="37"/>
  <c r="FV17" i="33"/>
  <c r="F18" i="35"/>
  <c r="D19" i="35"/>
  <c r="U21" i="35"/>
  <c r="AF30" i="33"/>
  <c r="I29" i="35"/>
  <c r="EV31" i="33"/>
  <c r="W21" i="3"/>
  <c r="C32" i="33"/>
  <c r="C22" i="27"/>
  <c r="B7" i="33"/>
  <c r="Z18" i="27"/>
  <c r="Z27" i="3"/>
  <c r="R16" i="37"/>
  <c r="AX20" i="33"/>
  <c r="L18" i="27"/>
  <c r="CH31" i="33"/>
  <c r="Z25" i="35"/>
  <c r="AD26" i="35"/>
  <c r="K25" i="35"/>
  <c r="AE18" i="37"/>
  <c r="BP29" i="33"/>
  <c r="C21" i="35"/>
  <c r="C28" i="35"/>
  <c r="BD28" i="33"/>
  <c r="M28" i="3"/>
  <c r="F34" i="33"/>
  <c r="AW65" i="2"/>
  <c r="Z19" i="37"/>
  <c r="AU60" i="2"/>
  <c r="K25" i="27"/>
  <c r="CD20" i="33"/>
  <c r="B29" i="33"/>
  <c r="AX22" i="33"/>
  <c r="V29" i="35"/>
  <c r="CT3" i="33"/>
  <c r="M19" i="35"/>
  <c r="T19" i="37"/>
  <c r="BV34" i="33"/>
  <c r="L25" i="27"/>
  <c r="FN16" i="33"/>
  <c r="T17" i="37"/>
  <c r="BN19" i="33"/>
  <c r="W24" i="35"/>
  <c r="AH24" i="35"/>
  <c r="L17" i="37"/>
  <c r="L473" i="2" s="1"/>
  <c r="X18" i="37"/>
  <c r="S26" i="3"/>
  <c r="EX22" i="33"/>
  <c r="E20" i="27"/>
  <c r="E34" i="33"/>
  <c r="X24" i="3"/>
  <c r="W19" i="37"/>
  <c r="J23" i="35"/>
  <c r="EP21" i="33"/>
  <c r="R20" i="27"/>
  <c r="R23" i="27"/>
  <c r="N17" i="37"/>
  <c r="N473" i="2" s="1"/>
  <c r="H34" i="33"/>
  <c r="L24" i="35"/>
  <c r="Q16" i="37"/>
  <c r="H17" i="27"/>
  <c r="FV22" i="33"/>
  <c r="CB28" i="33"/>
  <c r="T17" i="8"/>
  <c r="T31" i="33"/>
  <c r="C13" i="8"/>
  <c r="AF22" i="35"/>
  <c r="AJ19" i="36"/>
  <c r="AJ12" i="45" s="1"/>
  <c r="AE17" i="36"/>
  <c r="AE10" i="45" s="1"/>
  <c r="U22" i="37"/>
  <c r="T27" i="35"/>
  <c r="V13" i="8"/>
  <c r="BJ34" i="33"/>
  <c r="U26" i="35"/>
  <c r="FV16" i="33"/>
  <c r="FN18" i="33"/>
  <c r="DZ18" i="33"/>
  <c r="H13" i="8"/>
  <c r="AI29" i="35"/>
  <c r="I28" i="35"/>
  <c r="G16" i="8"/>
  <c r="C31" i="33"/>
  <c r="AB24" i="35"/>
  <c r="B22" i="33"/>
  <c r="AP16" i="33"/>
  <c r="Q26" i="3"/>
  <c r="EP11" i="33"/>
  <c r="J24" i="35"/>
  <c r="CN28" i="33"/>
  <c r="BD35" i="33"/>
  <c r="BV16" i="33"/>
  <c r="X14" i="37"/>
  <c r="T18" i="8"/>
  <c r="H18" i="27"/>
  <c r="B28" i="33"/>
  <c r="BC58" i="2"/>
  <c r="BC61" i="2"/>
  <c r="T26" i="35"/>
  <c r="O19" i="35"/>
  <c r="Z26" i="3"/>
  <c r="O22" i="3"/>
  <c r="U22" i="3"/>
  <c r="AW60" i="2"/>
  <c r="U21" i="27"/>
  <c r="BV31" i="33"/>
  <c r="E30" i="33"/>
  <c r="J20" i="33"/>
  <c r="E24" i="27"/>
  <c r="GK3" i="33"/>
  <c r="Q13" i="37"/>
  <c r="V14" i="37"/>
  <c r="S22" i="35"/>
  <c r="F23" i="35"/>
  <c r="F28" i="3"/>
  <c r="E28" i="35"/>
  <c r="R19" i="8"/>
  <c r="AF28" i="35"/>
  <c r="FZ35" i="33"/>
  <c r="Y28" i="35"/>
  <c r="AH6" i="33"/>
  <c r="F32" i="33"/>
  <c r="M23" i="3"/>
  <c r="U24" i="3"/>
  <c r="P23" i="3"/>
  <c r="AZ64" i="2"/>
  <c r="V17" i="27"/>
  <c r="U20" i="27"/>
  <c r="X22" i="3"/>
  <c r="EX16" i="33"/>
  <c r="M23" i="37"/>
  <c r="M479" i="2" s="1"/>
  <c r="P13" i="37"/>
  <c r="AG16" i="37"/>
  <c r="G30" i="33"/>
  <c r="P18" i="8"/>
  <c r="R20" i="33"/>
  <c r="R21" i="8"/>
  <c r="V23" i="37"/>
  <c r="DR27" i="33"/>
  <c r="U19" i="37"/>
  <c r="P19" i="37"/>
  <c r="D18" i="8"/>
  <c r="T34" i="33"/>
  <c r="E19" i="3"/>
  <c r="J24" i="27"/>
  <c r="W16" i="37"/>
  <c r="W17" i="37"/>
  <c r="AC20" i="35"/>
  <c r="Z23" i="3"/>
  <c r="BC65" i="2"/>
  <c r="L23" i="27"/>
  <c r="U26" i="27"/>
  <c r="BE64" i="2"/>
  <c r="P21" i="3"/>
  <c r="I25" i="3"/>
  <c r="X26" i="35"/>
  <c r="DB22" i="33"/>
  <c r="N16" i="37"/>
  <c r="N472" i="2" s="1"/>
  <c r="F13" i="8"/>
  <c r="AB13" i="37"/>
  <c r="L13" i="37"/>
  <c r="L469" i="2" s="1"/>
  <c r="H23" i="35"/>
  <c r="S12" i="37"/>
  <c r="W15" i="8"/>
  <c r="C16" i="8"/>
  <c r="AG18" i="37"/>
  <c r="F27" i="33"/>
  <c r="BV15" i="33"/>
  <c r="G18" i="35"/>
  <c r="I17" i="27"/>
  <c r="M20" i="8"/>
  <c r="AE20" i="37"/>
  <c r="F21" i="27"/>
  <c r="N28" i="35"/>
  <c r="X14" i="8"/>
  <c r="R17" i="8"/>
  <c r="N34" i="33"/>
  <c r="AG18" i="35"/>
  <c r="R4" i="33"/>
  <c r="T26" i="27"/>
  <c r="DR20" i="33"/>
  <c r="R13" i="8"/>
  <c r="G15" i="8"/>
  <c r="CD16" i="33"/>
  <c r="AX16" i="33"/>
  <c r="CN30" i="33"/>
  <c r="FN23" i="33"/>
  <c r="W22" i="37"/>
  <c r="W21" i="35"/>
  <c r="AX58" i="2"/>
  <c r="AX60" i="2"/>
  <c r="Z29" i="33"/>
  <c r="T15" i="8"/>
  <c r="Z35" i="33"/>
  <c r="AX4" i="33"/>
  <c r="AG26" i="35"/>
  <c r="X16" i="8"/>
  <c r="Q18" i="27"/>
  <c r="DF35" i="33"/>
  <c r="GQ3" i="33"/>
  <c r="AA19" i="3"/>
  <c r="AB20" i="37"/>
  <c r="V19" i="3"/>
  <c r="J21" i="3"/>
  <c r="F25" i="27"/>
  <c r="N24" i="35"/>
  <c r="T22" i="35"/>
  <c r="P19" i="3"/>
  <c r="GM3" i="33"/>
  <c r="AA27" i="35"/>
  <c r="V20" i="3"/>
  <c r="Y21" i="3"/>
  <c r="O21" i="3"/>
  <c r="J21" i="27"/>
  <c r="Q14" i="8"/>
  <c r="R14" i="37"/>
  <c r="H26" i="27"/>
  <c r="G25" i="27"/>
  <c r="M16" i="37"/>
  <c r="M472" i="2" s="1"/>
  <c r="AQ61" i="2"/>
  <c r="O22" i="37"/>
  <c r="O478" i="2" s="1"/>
  <c r="Z17" i="27"/>
  <c r="BF64" i="2"/>
  <c r="AF35" i="33"/>
  <c r="F24" i="35"/>
  <c r="GI3" i="33"/>
  <c r="AA25" i="3"/>
  <c r="L19" i="37"/>
  <c r="L475" i="2" s="1"/>
  <c r="FB28" i="33"/>
  <c r="P15" i="8"/>
  <c r="DB19" i="33"/>
  <c r="M17" i="8"/>
  <c r="BV30" i="33"/>
  <c r="AA17" i="27"/>
  <c r="J20" i="3"/>
  <c r="EX19" i="33"/>
  <c r="FZ34" i="33"/>
  <c r="CZ27" i="33"/>
  <c r="Q17" i="8"/>
  <c r="V26" i="3"/>
  <c r="L20" i="35"/>
  <c r="E27" i="35"/>
  <c r="Z19" i="27"/>
  <c r="BD64" i="2"/>
  <c r="S19" i="8"/>
  <c r="S29" i="35"/>
  <c r="C23" i="27"/>
  <c r="L18" i="8"/>
  <c r="P26" i="35"/>
  <c r="M24" i="35"/>
  <c r="L18" i="35"/>
  <c r="K16" i="8"/>
  <c r="Q14" i="37"/>
  <c r="T18" i="35"/>
  <c r="C19" i="27"/>
  <c r="EP19" i="33"/>
  <c r="AF18" i="35"/>
  <c r="Z19" i="35"/>
  <c r="CZ29" i="33"/>
  <c r="AI22" i="35"/>
  <c r="N22" i="3"/>
  <c r="M18" i="35"/>
  <c r="BP33" i="33"/>
  <c r="E21" i="35"/>
  <c r="O19" i="8"/>
  <c r="Y23" i="35"/>
  <c r="DZ8" i="33"/>
  <c r="BN7" i="33"/>
  <c r="Q16" i="27"/>
  <c r="AA20" i="37"/>
  <c r="EJ27" i="33"/>
  <c r="T13" i="8"/>
  <c r="Z28" i="33"/>
  <c r="T21" i="3"/>
  <c r="BJ30" i="33"/>
  <c r="AH16" i="37"/>
  <c r="P17" i="8"/>
  <c r="P21" i="8"/>
  <c r="AH18" i="37"/>
  <c r="R15" i="33"/>
  <c r="W20" i="8"/>
  <c r="J17" i="27"/>
  <c r="Y19" i="37"/>
  <c r="DJ4" i="33"/>
  <c r="L25" i="3"/>
  <c r="X20" i="27"/>
  <c r="AW61" i="2"/>
  <c r="Y20" i="3"/>
  <c r="Y19" i="35"/>
  <c r="T15" i="37"/>
  <c r="CH28" i="33"/>
  <c r="H14" i="8"/>
  <c r="EP20" i="33"/>
  <c r="K26" i="3"/>
  <c r="AF23" i="37"/>
  <c r="AF29" i="33"/>
  <c r="HU27" i="33"/>
  <c r="S21" i="8"/>
  <c r="T13" i="37"/>
  <c r="AD15" i="37"/>
  <c r="F19" i="3"/>
  <c r="DX35" i="33"/>
  <c r="N18" i="35"/>
  <c r="X19" i="27"/>
  <c r="B34" i="33"/>
  <c r="BV32" i="33"/>
  <c r="U18" i="37"/>
  <c r="EX17" i="33"/>
  <c r="AD23" i="35"/>
  <c r="R22" i="33"/>
  <c r="AD29" i="35"/>
  <c r="R17" i="37"/>
  <c r="U21" i="37"/>
  <c r="Q22" i="27"/>
  <c r="FT27" i="33"/>
  <c r="M13" i="37"/>
  <c r="M469" i="2" s="1"/>
  <c r="CT16" i="33"/>
  <c r="E18" i="35"/>
  <c r="EP32" i="33"/>
  <c r="S17" i="3"/>
  <c r="B33" i="33"/>
  <c r="AD23" i="37"/>
  <c r="O12" i="37"/>
  <c r="O468" i="2" s="1"/>
  <c r="K18" i="37"/>
  <c r="BA60" i="2"/>
  <c r="AC19" i="35"/>
  <c r="P14" i="37"/>
  <c r="AE22" i="35"/>
  <c r="K16" i="27"/>
  <c r="C18" i="27"/>
  <c r="Z17" i="33"/>
  <c r="M14" i="37"/>
  <c r="M470" i="2" s="1"/>
  <c r="V15" i="37"/>
  <c r="Q24" i="27"/>
  <c r="AE25" i="35"/>
  <c r="I23" i="35"/>
  <c r="G17" i="3"/>
  <c r="V21" i="8"/>
  <c r="K20" i="35"/>
  <c r="EP23" i="33"/>
  <c r="FH32" i="33"/>
  <c r="R19" i="36"/>
  <c r="R12" i="45" s="1"/>
  <c r="C16" i="36"/>
  <c r="C9" i="45" s="1"/>
  <c r="F23" i="3"/>
  <c r="DX31" i="33"/>
  <c r="O28" i="35"/>
  <c r="L13" i="8"/>
  <c r="BD65" i="2"/>
  <c r="AE29" i="35"/>
  <c r="S20" i="27"/>
  <c r="K25" i="3"/>
  <c r="FT31" i="33"/>
  <c r="R19" i="27"/>
  <c r="AD25" i="35"/>
  <c r="F16" i="8"/>
  <c r="Y21" i="37"/>
  <c r="S28" i="35"/>
  <c r="P26" i="27"/>
  <c r="K18" i="35"/>
  <c r="AC26" i="35"/>
  <c r="AA26" i="27"/>
  <c r="DJ15" i="33"/>
  <c r="CT21" i="33"/>
  <c r="FF5" i="33"/>
  <c r="F27" i="35"/>
  <c r="Q17" i="27"/>
  <c r="W27" i="27"/>
  <c r="Q20" i="35"/>
  <c r="AD13" i="36"/>
  <c r="AD6" i="45" s="1"/>
  <c r="M15" i="36"/>
  <c r="M8" i="45" s="1"/>
  <c r="D21" i="36"/>
  <c r="D14" i="45" s="1"/>
  <c r="C17" i="37"/>
  <c r="C473" i="2" s="1"/>
  <c r="O17" i="36"/>
  <c r="O10" i="45" s="1"/>
  <c r="J11" i="36"/>
  <c r="J4" i="45" s="1"/>
  <c r="AI21" i="36"/>
  <c r="AI14" i="45" s="1"/>
  <c r="L15" i="36"/>
  <c r="L8" i="45" s="1"/>
  <c r="N20" i="27"/>
  <c r="M16" i="8"/>
  <c r="N15" i="37"/>
  <c r="N471" i="2" s="1"/>
  <c r="X25" i="3"/>
  <c r="E26" i="27"/>
  <c r="DZ21" i="33"/>
  <c r="AB14" i="37"/>
  <c r="I23" i="27"/>
  <c r="AX33" i="33"/>
  <c r="G19" i="8"/>
  <c r="N18" i="27"/>
  <c r="W14" i="8"/>
  <c r="R12" i="37"/>
  <c r="S16" i="8"/>
  <c r="BP34" i="33"/>
  <c r="W26" i="35"/>
  <c r="BJ32" i="33"/>
  <c r="AX17" i="33"/>
  <c r="T29" i="35"/>
  <c r="AB18" i="35"/>
  <c r="L17" i="8"/>
  <c r="D28" i="35"/>
  <c r="E23" i="35"/>
  <c r="CH27" i="33"/>
  <c r="AB19" i="37"/>
  <c r="D16" i="27"/>
  <c r="C27" i="27"/>
  <c r="K27" i="35"/>
  <c r="AA19" i="27"/>
  <c r="U22" i="27"/>
  <c r="V18" i="8"/>
  <c r="ED29" i="33"/>
  <c r="Z17" i="8"/>
  <c r="O15" i="8"/>
  <c r="P27" i="27"/>
  <c r="S25" i="35"/>
  <c r="AL29" i="33"/>
  <c r="AA21" i="27"/>
  <c r="R16" i="33"/>
  <c r="V18" i="27"/>
  <c r="CN32" i="33"/>
  <c r="Z13" i="8"/>
  <c r="B35" i="33"/>
  <c r="U12" i="37"/>
  <c r="L27" i="27"/>
  <c r="V28" i="35"/>
  <c r="DJ5" i="33"/>
  <c r="DB20" i="33"/>
  <c r="G33" i="33"/>
  <c r="S19" i="35"/>
  <c r="AL33" i="33"/>
  <c r="AT61" i="2"/>
  <c r="I18" i="8"/>
  <c r="AF29" i="35"/>
  <c r="H22" i="35"/>
  <c r="R19" i="33"/>
  <c r="L22" i="35"/>
  <c r="W18" i="27"/>
  <c r="J27" i="3"/>
  <c r="BN22" i="33"/>
  <c r="D27" i="35"/>
  <c r="L23" i="37"/>
  <c r="L479" i="2" s="1"/>
  <c r="N22" i="35"/>
  <c r="T23" i="37"/>
  <c r="J24" i="3"/>
  <c r="AA24" i="3"/>
  <c r="AF14" i="37"/>
  <c r="AG19" i="37"/>
  <c r="DX30" i="33"/>
  <c r="DJ3" i="33"/>
  <c r="J18" i="33"/>
  <c r="L26" i="27"/>
  <c r="M27" i="35"/>
  <c r="DX33" i="33"/>
  <c r="Y18" i="8"/>
  <c r="FH31" i="33"/>
  <c r="AR27" i="33"/>
  <c r="F20" i="8"/>
  <c r="S23" i="37"/>
  <c r="Q25" i="35"/>
  <c r="AF23" i="35"/>
  <c r="E29" i="33"/>
  <c r="FB32" i="33"/>
  <c r="V17" i="37"/>
  <c r="J15" i="8"/>
  <c r="AF31" i="33"/>
  <c r="O13" i="37"/>
  <c r="O469" i="2" s="1"/>
  <c r="S20" i="37"/>
  <c r="AG20" i="37"/>
  <c r="K19" i="8"/>
  <c r="AP18" i="33"/>
  <c r="E33" i="33"/>
  <c r="GI9" i="33"/>
  <c r="G24" i="27"/>
  <c r="F20" i="35"/>
  <c r="BJ31" i="33"/>
  <c r="Q28" i="3"/>
  <c r="H27" i="27"/>
  <c r="G35" i="33"/>
  <c r="EP9" i="33"/>
  <c r="E22" i="35"/>
  <c r="AU64" i="2"/>
  <c r="CD22" i="33"/>
  <c r="AD18" i="37"/>
  <c r="O19" i="27"/>
  <c r="BB64" i="2"/>
  <c r="Q23" i="3"/>
  <c r="R23" i="35"/>
  <c r="AD17" i="37"/>
  <c r="Z30" i="33"/>
  <c r="AG19" i="35"/>
  <c r="Q15" i="37"/>
  <c r="FB29" i="33"/>
  <c r="U17" i="3"/>
  <c r="Z22" i="37"/>
  <c r="C25" i="27"/>
  <c r="V25" i="27"/>
  <c r="EP34" i="33"/>
  <c r="H26" i="35"/>
  <c r="Y22" i="27"/>
  <c r="AG22" i="37"/>
  <c r="AA24" i="27"/>
  <c r="IA27" i="33"/>
  <c r="M27" i="3"/>
  <c r="D15" i="8"/>
  <c r="AE24" i="35"/>
  <c r="AI21" i="35"/>
  <c r="FN27" i="33"/>
  <c r="BN4" i="33"/>
  <c r="R20" i="8"/>
  <c r="T30" i="33"/>
  <c r="X13" i="8"/>
  <c r="FB27" i="33"/>
  <c r="U18" i="3"/>
  <c r="AX35" i="33"/>
  <c r="AI13" i="37"/>
  <c r="AH19" i="33"/>
  <c r="V24" i="35"/>
  <c r="K23" i="37"/>
  <c r="P17" i="27"/>
  <c r="B20" i="33"/>
  <c r="S18" i="35"/>
  <c r="N13" i="8"/>
  <c r="DJ10" i="33"/>
  <c r="AA14" i="37"/>
  <c r="AX7" i="33"/>
  <c r="AB12" i="37"/>
  <c r="Q19" i="8"/>
  <c r="Q23" i="37"/>
  <c r="T20" i="8"/>
  <c r="W23" i="35"/>
  <c r="AG20" i="35"/>
  <c r="X22" i="36"/>
  <c r="X15" i="45" s="1"/>
  <c r="F11" i="36"/>
  <c r="F4" i="45" s="1"/>
  <c r="AH13" i="36"/>
  <c r="AH6" i="45" s="1"/>
  <c r="S17" i="36"/>
  <c r="S10" i="45" s="1"/>
  <c r="X17" i="36"/>
  <c r="X10" i="45" s="1"/>
  <c r="X12" i="36"/>
  <c r="X5" i="45" s="1"/>
  <c r="AF20" i="36"/>
  <c r="AF13" i="45" s="1"/>
  <c r="P20" i="36"/>
  <c r="P13" i="45" s="1"/>
  <c r="C21" i="8"/>
  <c r="N14" i="37"/>
  <c r="N470" i="2" s="1"/>
  <c r="Y18" i="27"/>
  <c r="CT15" i="33"/>
  <c r="DF32" i="33"/>
  <c r="M22" i="27"/>
  <c r="H17" i="8"/>
  <c r="DR28" i="33"/>
  <c r="AF27" i="33"/>
  <c r="AA21" i="8"/>
  <c r="G26" i="3"/>
  <c r="Z23" i="27"/>
  <c r="V19" i="35"/>
  <c r="X21" i="3"/>
  <c r="EP4" i="33"/>
  <c r="K19" i="37"/>
  <c r="EJ32" i="33"/>
  <c r="FT29" i="33"/>
  <c r="ED32" i="33"/>
  <c r="DJ9" i="33"/>
  <c r="AA18" i="3"/>
  <c r="K27" i="3"/>
  <c r="B18" i="33"/>
  <c r="BA65" i="2"/>
  <c r="AH11" i="33"/>
  <c r="N19" i="3"/>
  <c r="G24" i="35"/>
  <c r="DZ16" i="33"/>
  <c r="M13" i="8"/>
  <c r="AH22" i="35"/>
  <c r="BF15" i="33"/>
  <c r="DZ10" i="33"/>
  <c r="EJ29" i="33"/>
  <c r="K15" i="8"/>
  <c r="AA16" i="37"/>
  <c r="H22" i="27"/>
  <c r="DJ8" i="33"/>
  <c r="Y23" i="27"/>
  <c r="BN18" i="33"/>
  <c r="K20" i="27"/>
  <c r="K29" i="35"/>
  <c r="W17" i="3"/>
  <c r="R19" i="3"/>
  <c r="CD5" i="33"/>
  <c r="O15" i="37"/>
  <c r="O471" i="2" s="1"/>
  <c r="D27" i="33"/>
  <c r="D24" i="27"/>
  <c r="M24" i="3"/>
  <c r="H27" i="3"/>
  <c r="EP30" i="33"/>
  <c r="K26" i="27"/>
  <c r="AX31" i="33"/>
  <c r="C17" i="27"/>
  <c r="I17" i="3"/>
  <c r="BB65" i="2"/>
  <c r="X20" i="3"/>
  <c r="V14" i="8"/>
  <c r="AG17" i="37"/>
  <c r="L20" i="37"/>
  <c r="L476" i="2" s="1"/>
  <c r="R25" i="35"/>
  <c r="B23" i="33"/>
  <c r="Q20" i="37"/>
  <c r="E13" i="8"/>
  <c r="J19" i="3"/>
  <c r="U25" i="27"/>
  <c r="H19" i="3"/>
  <c r="T26" i="3"/>
  <c r="E26" i="3"/>
  <c r="E27" i="3"/>
  <c r="AH21" i="37"/>
  <c r="AE22" i="37"/>
  <c r="CB31" i="33"/>
  <c r="T23" i="3"/>
  <c r="AA26" i="35"/>
  <c r="R3" i="33"/>
  <c r="AA15" i="37"/>
  <c r="X21" i="35"/>
  <c r="M19" i="37"/>
  <c r="M475" i="2" s="1"/>
  <c r="S18" i="37"/>
  <c r="J21" i="33"/>
  <c r="EH20" i="33"/>
  <c r="Z13" i="37"/>
  <c r="X12" i="37"/>
  <c r="AC19" i="37"/>
  <c r="E29" i="35"/>
  <c r="K19" i="35"/>
  <c r="F24" i="27"/>
  <c r="G21" i="27"/>
  <c r="AA23" i="37"/>
  <c r="X17" i="37"/>
  <c r="P23" i="27"/>
  <c r="CT11" i="33"/>
  <c r="AG21" i="35"/>
  <c r="R22" i="35"/>
  <c r="GO3" i="33"/>
  <c r="V21" i="35"/>
  <c r="O17" i="37"/>
  <c r="O473" i="2" s="1"/>
  <c r="T35" i="33"/>
  <c r="Q29" i="35"/>
  <c r="L15" i="37"/>
  <c r="L471" i="2" s="1"/>
  <c r="H31" i="33"/>
  <c r="D14" i="8"/>
  <c r="H21" i="8"/>
  <c r="AA18" i="35"/>
  <c r="U13" i="37"/>
  <c r="AE19" i="37"/>
  <c r="DZ3" i="33"/>
  <c r="T29" i="33"/>
  <c r="FF15" i="33"/>
  <c r="AG14" i="37"/>
  <c r="ED33" i="33"/>
  <c r="AF16" i="37"/>
  <c r="DZ11" i="33"/>
  <c r="AH18" i="33"/>
  <c r="BF16" i="33"/>
  <c r="AH23" i="35"/>
  <c r="BD61" i="2"/>
  <c r="M18" i="27"/>
  <c r="K22" i="37"/>
  <c r="FN33" i="33"/>
  <c r="BV28" i="33"/>
  <c r="R9" i="33"/>
  <c r="Q23" i="27"/>
  <c r="FH29" i="33"/>
  <c r="DJ21" i="33"/>
  <c r="B17" i="33"/>
  <c r="AA19" i="8"/>
  <c r="Y16" i="8"/>
  <c r="B9" i="33"/>
  <c r="J19" i="35"/>
  <c r="U23" i="37"/>
  <c r="F21" i="35"/>
  <c r="K17" i="8"/>
  <c r="Q13" i="8"/>
  <c r="AR28" i="33"/>
  <c r="T22" i="37"/>
  <c r="W25" i="35"/>
  <c r="R18" i="33"/>
  <c r="P18" i="27"/>
  <c r="DB23" i="33"/>
  <c r="EJ35" i="33"/>
  <c r="E14" i="8"/>
  <c r="M17" i="3"/>
  <c r="E24" i="3"/>
  <c r="DR29" i="33"/>
  <c r="V27" i="3"/>
  <c r="DJ22" i="33"/>
  <c r="F17" i="8"/>
  <c r="AP64" i="2"/>
  <c r="F25" i="3"/>
  <c r="J25" i="35"/>
  <c r="EP16" i="33"/>
  <c r="AI15" i="37"/>
  <c r="H17" i="3"/>
  <c r="DL27" i="33"/>
  <c r="DZ6" i="33"/>
  <c r="V23" i="3"/>
  <c r="AB22" i="35"/>
  <c r="G22" i="35"/>
  <c r="EV30" i="33"/>
  <c r="R8" i="33"/>
  <c r="CT10" i="33"/>
  <c r="H19" i="35"/>
  <c r="AG29" i="35"/>
  <c r="K21" i="8"/>
  <c r="W18" i="37"/>
  <c r="N35" i="33"/>
  <c r="AF20" i="35"/>
  <c r="D34" i="33"/>
  <c r="L19" i="27"/>
  <c r="CT34" i="33"/>
  <c r="AX34" i="33"/>
  <c r="Y23" i="37"/>
  <c r="G18" i="27"/>
  <c r="BN21" i="33"/>
  <c r="AD12" i="37"/>
  <c r="N27" i="33"/>
  <c r="DJ20" i="33"/>
  <c r="D26" i="35"/>
  <c r="J21" i="35"/>
  <c r="G19" i="35"/>
  <c r="B10" i="33"/>
  <c r="EP5" i="33"/>
  <c r="N23" i="35"/>
  <c r="P20" i="35"/>
  <c r="E25" i="3"/>
  <c r="D30" i="33"/>
  <c r="L26" i="3"/>
  <c r="U18" i="27"/>
  <c r="AH21" i="33"/>
  <c r="AC23" i="35"/>
  <c r="S21" i="27"/>
  <c r="FV20" i="33"/>
  <c r="F29" i="35"/>
  <c r="C14" i="8"/>
  <c r="N28" i="3"/>
  <c r="O25" i="27"/>
  <c r="H24" i="27"/>
  <c r="N21" i="35"/>
  <c r="CT30" i="33"/>
  <c r="X18" i="35"/>
  <c r="F31" i="33"/>
  <c r="K23" i="27"/>
  <c r="E18" i="3"/>
  <c r="G21" i="3"/>
  <c r="AH8" i="33"/>
  <c r="AD19" i="37"/>
  <c r="H16" i="27"/>
  <c r="AA21" i="35"/>
  <c r="EP7" i="33"/>
  <c r="S14" i="8"/>
  <c r="EP31" i="33"/>
  <c r="Y17" i="27"/>
  <c r="EH19" i="33"/>
  <c r="M20" i="35"/>
  <c r="C23" i="35"/>
  <c r="EH21" i="33"/>
  <c r="Z18" i="3"/>
  <c r="P19" i="35"/>
  <c r="AI12" i="37"/>
  <c r="DL28" i="33"/>
  <c r="G27" i="3"/>
  <c r="V18" i="37"/>
  <c r="J19" i="8"/>
  <c r="Z20" i="3"/>
  <c r="AE19" i="35"/>
  <c r="B32" i="33"/>
  <c r="S27" i="27"/>
  <c r="J14" i="8"/>
  <c r="BP35" i="33"/>
  <c r="DR18" i="33"/>
  <c r="P20" i="8"/>
  <c r="L21" i="8"/>
  <c r="Q15" i="8"/>
  <c r="AA13" i="8"/>
  <c r="Q27" i="27"/>
  <c r="D18" i="27"/>
  <c r="X25" i="35"/>
  <c r="Q23" i="35"/>
  <c r="DF31" i="33"/>
  <c r="E31" i="33"/>
  <c r="S15" i="8"/>
  <c r="Z23" i="33"/>
  <c r="C21" i="37"/>
  <c r="C477" i="2" s="1"/>
  <c r="W12" i="36"/>
  <c r="W5" i="45" s="1"/>
  <c r="K19" i="36"/>
  <c r="K12" i="45" s="1"/>
  <c r="E17" i="36"/>
  <c r="E10" i="45" s="1"/>
  <c r="F14" i="36"/>
  <c r="F7" i="45" s="1"/>
  <c r="AA12" i="36"/>
  <c r="AA5" i="45" s="1"/>
  <c r="N21" i="3"/>
  <c r="BN23" i="33"/>
  <c r="AC17" i="37"/>
  <c r="V16" i="37"/>
  <c r="CL21" i="33"/>
  <c r="T14" i="37"/>
  <c r="H19" i="8"/>
  <c r="EH23" i="33"/>
  <c r="Z21" i="37"/>
  <c r="EP17" i="33"/>
  <c r="B6" i="33"/>
  <c r="S17" i="37"/>
  <c r="AA27" i="27"/>
  <c r="G14" i="8"/>
  <c r="N19" i="35"/>
  <c r="DR15" i="33"/>
  <c r="AH5" i="33"/>
  <c r="DR17" i="33"/>
  <c r="O26" i="35"/>
  <c r="D35" i="33"/>
  <c r="K13" i="37"/>
  <c r="AB15" i="37"/>
  <c r="I21" i="3"/>
  <c r="C20" i="35"/>
  <c r="Y24" i="27"/>
  <c r="R20" i="3"/>
  <c r="S18" i="8"/>
  <c r="M20" i="37"/>
  <c r="M476" i="2" s="1"/>
  <c r="X23" i="37"/>
  <c r="CN29" i="33"/>
  <c r="DZ9" i="33"/>
  <c r="J23" i="27"/>
  <c r="AD21" i="35"/>
  <c r="BV21" i="33"/>
  <c r="E16" i="27"/>
  <c r="EV27" i="33"/>
  <c r="AC20" i="37"/>
  <c r="E28" i="33"/>
  <c r="P22" i="35"/>
  <c r="CD15" i="33"/>
  <c r="W20" i="37"/>
  <c r="FF3" i="33"/>
  <c r="HV27" i="33"/>
  <c r="K15" i="37"/>
  <c r="AP21" i="33"/>
  <c r="FF6" i="33"/>
  <c r="O18" i="8"/>
  <c r="CT27" i="33"/>
  <c r="N18" i="8"/>
  <c r="AH19" i="35"/>
  <c r="R16" i="8"/>
  <c r="FF7" i="33"/>
  <c r="F35" i="33"/>
  <c r="J26" i="35"/>
  <c r="R26" i="35"/>
  <c r="M22" i="37"/>
  <c r="M478" i="2" s="1"/>
  <c r="Y12" i="37"/>
  <c r="N25" i="35"/>
  <c r="Z15" i="37"/>
  <c r="DB21" i="33"/>
  <c r="G32" i="33"/>
  <c r="AX18" i="33"/>
  <c r="DB15" i="33"/>
  <c r="W17" i="8"/>
  <c r="F23" i="27"/>
  <c r="BV20" i="33"/>
  <c r="FT34" i="33"/>
  <c r="HY27" i="33"/>
  <c r="AG18" i="36"/>
  <c r="AG11" i="45" s="1"/>
  <c r="AA18" i="36"/>
  <c r="AA11" i="45" s="1"/>
  <c r="I16" i="36"/>
  <c r="I9" i="45" s="1"/>
  <c r="AF21" i="36"/>
  <c r="AF14" i="45" s="1"/>
  <c r="AF14" i="36"/>
  <c r="AF7" i="45" s="1"/>
  <c r="W20" i="36"/>
  <c r="W13" i="45" s="1"/>
  <c r="R17" i="36"/>
  <c r="R10" i="45" s="1"/>
  <c r="W14" i="36"/>
  <c r="W7" i="45" s="1"/>
  <c r="H16" i="36"/>
  <c r="H9" i="45" s="1"/>
  <c r="C18" i="36"/>
  <c r="C11" i="45" s="1"/>
  <c r="X21" i="36"/>
  <c r="X14" i="45" s="1"/>
  <c r="CT33" i="33"/>
  <c r="U16" i="27"/>
  <c r="D17" i="8"/>
  <c r="J20" i="35"/>
  <c r="AX5" i="33"/>
  <c r="T24" i="35"/>
  <c r="AI19" i="35"/>
  <c r="Z14" i="8"/>
  <c r="N22" i="37"/>
  <c r="N478" i="2" s="1"/>
  <c r="EP29" i="33"/>
  <c r="I20" i="3"/>
  <c r="DF27" i="33"/>
  <c r="R15" i="37"/>
  <c r="BJ27" i="33"/>
  <c r="G16" i="27"/>
  <c r="U20" i="37"/>
  <c r="T21" i="35"/>
  <c r="G31" i="33"/>
  <c r="H28" i="33"/>
  <c r="T20" i="37"/>
  <c r="S13" i="37"/>
  <c r="AB22" i="37"/>
  <c r="F28" i="35"/>
  <c r="CT8" i="33"/>
  <c r="E17" i="8"/>
  <c r="R23" i="37"/>
  <c r="FB33" i="33"/>
  <c r="R27" i="27"/>
  <c r="AA14" i="8"/>
  <c r="E23" i="27"/>
  <c r="L29" i="35"/>
  <c r="BN9" i="33"/>
  <c r="AC15" i="37"/>
  <c r="S23" i="3"/>
  <c r="CB32" i="33"/>
  <c r="N26" i="35"/>
  <c r="Y20" i="37"/>
  <c r="H35" i="33"/>
  <c r="N20" i="8"/>
  <c r="E18" i="8"/>
  <c r="BP32" i="33"/>
  <c r="L23" i="35"/>
  <c r="C17" i="8"/>
  <c r="K19" i="27"/>
  <c r="FF9" i="33"/>
  <c r="W22" i="35"/>
  <c r="D25" i="35"/>
  <c r="V13" i="37"/>
  <c r="F19" i="27"/>
  <c r="O24" i="27"/>
  <c r="E23" i="3"/>
  <c r="U28" i="35"/>
  <c r="G34" i="33"/>
  <c r="L21" i="35"/>
  <c r="HS27" i="33"/>
  <c r="AL31" i="33"/>
  <c r="BN8" i="33"/>
  <c r="P24" i="3"/>
  <c r="D24" i="3"/>
  <c r="N20" i="3"/>
  <c r="Y26" i="35"/>
  <c r="DJ7" i="33"/>
  <c r="AI20" i="35"/>
  <c r="W13" i="8"/>
  <c r="AH12" i="37"/>
  <c r="H21" i="27"/>
  <c r="S22" i="37"/>
  <c r="CT4" i="33"/>
  <c r="B8" i="33"/>
  <c r="R29" i="35"/>
  <c r="EP6" i="33"/>
  <c r="R14" i="8"/>
  <c r="H23" i="27"/>
  <c r="DJ17" i="33"/>
  <c r="FH28" i="33"/>
  <c r="T19" i="8"/>
  <c r="L21" i="37"/>
  <c r="L477" i="2" s="1"/>
  <c r="N31" i="33"/>
  <c r="FZ29" i="33"/>
  <c r="P14" i="8"/>
  <c r="AF15" i="37"/>
  <c r="FZ33" i="33"/>
  <c r="E24" i="35"/>
  <c r="K14" i="8"/>
  <c r="K18" i="3"/>
  <c r="DR19" i="33"/>
  <c r="FF8" i="33"/>
  <c r="FF18" i="33"/>
  <c r="N25" i="27"/>
  <c r="F18" i="27"/>
  <c r="V28" i="3"/>
  <c r="Y19" i="27"/>
  <c r="P21" i="35"/>
  <c r="S20" i="8"/>
  <c r="K28" i="35"/>
  <c r="V26" i="27"/>
  <c r="N32" i="33"/>
  <c r="V24" i="3"/>
  <c r="Y20" i="27"/>
  <c r="CT5" i="33"/>
  <c r="BJ35" i="33"/>
  <c r="CT17" i="33"/>
  <c r="AF22" i="37"/>
  <c r="X27" i="35"/>
  <c r="R18" i="35"/>
  <c r="W15" i="37"/>
  <c r="C18" i="8"/>
  <c r="D23" i="35"/>
  <c r="EX15" i="33"/>
  <c r="F19" i="8"/>
  <c r="J25" i="27"/>
  <c r="R20" i="37"/>
  <c r="CL18" i="33"/>
  <c r="J22" i="35"/>
  <c r="AA22" i="27"/>
  <c r="Z28" i="35"/>
  <c r="O20" i="8"/>
  <c r="CT7" i="33"/>
  <c r="W28" i="35"/>
  <c r="H27" i="33"/>
  <c r="AG21" i="37"/>
  <c r="DR22" i="33"/>
  <c r="DJ18" i="33"/>
  <c r="DJ11" i="33"/>
  <c r="AR29" i="33"/>
  <c r="AH10" i="33"/>
  <c r="AA19" i="35"/>
  <c r="U24" i="35"/>
  <c r="CD3" i="33"/>
  <c r="J21" i="8"/>
  <c r="M15" i="37"/>
  <c r="M471" i="2" s="1"/>
  <c r="DL35" i="33"/>
  <c r="CT19" i="33"/>
  <c r="CT23" i="33"/>
  <c r="F12" i="36"/>
  <c r="F5" i="45" s="1"/>
  <c r="I15" i="36"/>
  <c r="I8" i="45" s="1"/>
  <c r="AF13" i="36"/>
  <c r="AF6" i="45" s="1"/>
  <c r="AH21" i="36"/>
  <c r="AH14" i="45" s="1"/>
  <c r="M13" i="36"/>
  <c r="M6" i="45" s="1"/>
  <c r="Z15" i="36"/>
  <c r="Z8" i="45" s="1"/>
  <c r="C13" i="36"/>
  <c r="C6" i="45" s="1"/>
  <c r="Q11" i="36"/>
  <c r="Q4" i="45" s="1"/>
  <c r="AB13" i="36"/>
  <c r="AB6" i="45" s="1"/>
  <c r="AD22" i="36"/>
  <c r="AD15" i="45" s="1"/>
  <c r="T12" i="36"/>
  <c r="T5" i="45" s="1"/>
  <c r="I21" i="36"/>
  <c r="I14" i="45" s="1"/>
  <c r="P19" i="36"/>
  <c r="P12" i="45" s="1"/>
  <c r="F17" i="37"/>
  <c r="F473" i="2" s="1"/>
  <c r="T28" i="33"/>
  <c r="Y17" i="8"/>
  <c r="AD24" i="35"/>
  <c r="BN20" i="33"/>
  <c r="AD27" i="35"/>
  <c r="F20" i="3"/>
  <c r="M21" i="37"/>
  <c r="M477" i="2" s="1"/>
  <c r="T16" i="27"/>
  <c r="Z26" i="35"/>
  <c r="X15" i="37"/>
  <c r="BF23" i="33"/>
  <c r="U18" i="35"/>
  <c r="X19" i="37"/>
  <c r="Y13" i="36"/>
  <c r="Y6" i="45" s="1"/>
  <c r="S18" i="36"/>
  <c r="S11" i="45" s="1"/>
  <c r="D17" i="36"/>
  <c r="D10" i="45" s="1"/>
  <c r="K12" i="36"/>
  <c r="K5" i="45" s="1"/>
  <c r="AH18" i="36"/>
  <c r="AH11" i="45" s="1"/>
  <c r="P15" i="36"/>
  <c r="P8" i="45" s="1"/>
  <c r="AG16" i="36"/>
  <c r="AG9" i="45" s="1"/>
  <c r="E15" i="36"/>
  <c r="E8" i="45" s="1"/>
  <c r="AJ17" i="36"/>
  <c r="AJ10" i="45" s="1"/>
  <c r="O18" i="36"/>
  <c r="O11" i="45" s="1"/>
  <c r="Y21" i="36"/>
  <c r="Y14" i="45" s="1"/>
  <c r="T18" i="36"/>
  <c r="T11" i="45" s="1"/>
  <c r="AE20" i="36"/>
  <c r="AE13" i="45" s="1"/>
  <c r="AC12" i="36"/>
  <c r="AC5" i="45" s="1"/>
  <c r="AC18" i="36"/>
  <c r="AC11" i="45" s="1"/>
  <c r="AJ12" i="36"/>
  <c r="AJ5" i="45" s="1"/>
  <c r="W16" i="36"/>
  <c r="W9" i="45" s="1"/>
  <c r="D18" i="36"/>
  <c r="D11" i="45" s="1"/>
  <c r="L22" i="36"/>
  <c r="L15" i="45" s="1"/>
  <c r="P18" i="36"/>
  <c r="P11" i="45" s="1"/>
  <c r="U19" i="36"/>
  <c r="U12" i="45" s="1"/>
  <c r="N17" i="36"/>
  <c r="N10" i="45" s="1"/>
  <c r="T15" i="36"/>
  <c r="T8" i="45" s="1"/>
  <c r="D19" i="36"/>
  <c r="D12" i="45" s="1"/>
  <c r="AJ22" i="36"/>
  <c r="AJ15" i="45" s="1"/>
  <c r="Y12" i="36"/>
  <c r="Y5" i="45" s="1"/>
  <c r="D11" i="36"/>
  <c r="D4" i="45" s="1"/>
  <c r="I14" i="37"/>
  <c r="I470" i="2" s="1"/>
  <c r="E15" i="37"/>
  <c r="E471" i="2" s="1"/>
  <c r="CZ30" i="33"/>
  <c r="HZ27" i="33"/>
  <c r="M19" i="8"/>
  <c r="Y22" i="37"/>
  <c r="AI18" i="35"/>
  <c r="Z21" i="35"/>
  <c r="DR31" i="33"/>
  <c r="K21" i="35"/>
  <c r="AX8" i="33"/>
  <c r="M11" i="36"/>
  <c r="M4" i="45" s="1"/>
  <c r="AD16" i="36"/>
  <c r="AD9" i="45" s="1"/>
  <c r="R12" i="36"/>
  <c r="R5" i="45" s="1"/>
  <c r="AJ11" i="36"/>
  <c r="AJ4" i="45" s="1"/>
  <c r="G18" i="36"/>
  <c r="G11" i="45" s="1"/>
  <c r="G13" i="36"/>
  <c r="G6" i="45" s="1"/>
  <c r="E21" i="36"/>
  <c r="E14" i="45" s="1"/>
  <c r="AE19" i="36"/>
  <c r="AE12" i="45" s="1"/>
  <c r="N20" i="36"/>
  <c r="N13" i="45" s="1"/>
  <c r="AI19" i="36"/>
  <c r="AI12" i="45" s="1"/>
  <c r="AH14" i="36"/>
  <c r="AH7" i="45" s="1"/>
  <c r="P17" i="36"/>
  <c r="P10" i="45" s="1"/>
  <c r="U15" i="36"/>
  <c r="U8" i="45" s="1"/>
  <c r="X19" i="36"/>
  <c r="X12" i="45" s="1"/>
  <c r="T17" i="36"/>
  <c r="T10" i="45" s="1"/>
  <c r="J19" i="36"/>
  <c r="J12" i="45" s="1"/>
  <c r="J17" i="36"/>
  <c r="J10" i="45" s="1"/>
  <c r="N15" i="36"/>
  <c r="N8" i="45" s="1"/>
  <c r="AE18" i="36"/>
  <c r="AE11" i="45" s="1"/>
  <c r="O12" i="36"/>
  <c r="O5" i="45" s="1"/>
  <c r="C15" i="37"/>
  <c r="C471" i="2" s="1"/>
  <c r="N22" i="36"/>
  <c r="N15" i="45" s="1"/>
  <c r="Y18" i="36"/>
  <c r="Y11" i="45" s="1"/>
  <c r="G15" i="36"/>
  <c r="G8" i="45" s="1"/>
  <c r="R22" i="36"/>
  <c r="R15" i="45" s="1"/>
  <c r="H12" i="36"/>
  <c r="H5" i="45" s="1"/>
  <c r="AE15" i="36"/>
  <c r="AE8" i="45" s="1"/>
  <c r="E22" i="36"/>
  <c r="E15" i="45" s="1"/>
  <c r="AI18" i="36"/>
  <c r="AI11" i="45" s="1"/>
  <c r="AG15" i="36"/>
  <c r="AG8" i="45" s="1"/>
  <c r="P14" i="36"/>
  <c r="P7" i="45" s="1"/>
  <c r="O21" i="36"/>
  <c r="O14" i="45" s="1"/>
  <c r="BC59" i="2"/>
  <c r="BC88" i="2" s="1"/>
  <c r="H20" i="37"/>
  <c r="H476" i="2" s="1"/>
  <c r="W15" i="36"/>
  <c r="W8" i="45" s="1"/>
  <c r="V17" i="36"/>
  <c r="V10" i="45" s="1"/>
  <c r="D22" i="36"/>
  <c r="D15" i="45" s="1"/>
  <c r="AI11" i="36"/>
  <c r="AI4" i="45" s="1"/>
  <c r="U22" i="36"/>
  <c r="U15" i="45" s="1"/>
  <c r="N11" i="36"/>
  <c r="N4" i="45" s="1"/>
  <c r="AH15" i="36"/>
  <c r="AH8" i="45" s="1"/>
  <c r="E14" i="36"/>
  <c r="E7" i="45" s="1"/>
  <c r="AF16" i="36"/>
  <c r="AF9" i="45" s="1"/>
  <c r="S15" i="36"/>
  <c r="S8" i="45" s="1"/>
  <c r="C23" i="37"/>
  <c r="C479" i="2" s="1"/>
  <c r="AC16" i="36"/>
  <c r="AC9" i="45" s="1"/>
  <c r="AI20" i="36"/>
  <c r="AI13" i="45" s="1"/>
  <c r="AD17" i="36"/>
  <c r="AD10" i="45" s="1"/>
  <c r="W11" i="36"/>
  <c r="W4" i="45" s="1"/>
  <c r="G12" i="36"/>
  <c r="G5" i="45" s="1"/>
  <c r="Z20" i="36"/>
  <c r="Z13" i="45" s="1"/>
  <c r="O16" i="36"/>
  <c r="O9" i="45" s="1"/>
  <c r="C18" i="37"/>
  <c r="C474" i="2" s="1"/>
  <c r="U18" i="36"/>
  <c r="U11" i="45" s="1"/>
  <c r="T13" i="36"/>
  <c r="T6" i="45" s="1"/>
  <c r="K16" i="36"/>
  <c r="K9" i="45" s="1"/>
  <c r="I14" i="36"/>
  <c r="I7" i="45" s="1"/>
  <c r="H22" i="36"/>
  <c r="H15" i="45" s="1"/>
  <c r="C17" i="36"/>
  <c r="C10" i="45" s="1"/>
  <c r="H23" i="37"/>
  <c r="H479" i="2" s="1"/>
  <c r="F15" i="37"/>
  <c r="F471" i="2" s="1"/>
  <c r="F19" i="37"/>
  <c r="F475" i="2" s="1"/>
  <c r="I18" i="37"/>
  <c r="I474" i="2" s="1"/>
  <c r="O14" i="36"/>
  <c r="O7" i="45" s="1"/>
  <c r="C20" i="37"/>
  <c r="C476" i="2" s="1"/>
  <c r="I12" i="36"/>
  <c r="I5" i="45" s="1"/>
  <c r="G16" i="36"/>
  <c r="G9" i="45" s="1"/>
  <c r="AJ16" i="36"/>
  <c r="AJ9" i="45" s="1"/>
  <c r="V13" i="36"/>
  <c r="V6" i="45" s="1"/>
  <c r="Q16" i="36"/>
  <c r="Q9" i="45" s="1"/>
  <c r="U13" i="36"/>
  <c r="U6" i="45" s="1"/>
  <c r="M14" i="36"/>
  <c r="M7" i="45" s="1"/>
  <c r="AA17" i="36"/>
  <c r="AA10" i="45" s="1"/>
  <c r="T16" i="36"/>
  <c r="T9" i="45" s="1"/>
  <c r="AG12" i="36"/>
  <c r="AG5" i="45" s="1"/>
  <c r="E11" i="36"/>
  <c r="E4" i="45" s="1"/>
  <c r="O19" i="36"/>
  <c r="O12" i="45" s="1"/>
  <c r="D12" i="37"/>
  <c r="D468" i="2" s="1"/>
  <c r="G21" i="37"/>
  <c r="G477" i="2" s="1"/>
  <c r="D16" i="37"/>
  <c r="D472" i="2" s="1"/>
  <c r="E19" i="37"/>
  <c r="E475" i="2" s="1"/>
  <c r="F20" i="37"/>
  <c r="F476" i="2" s="1"/>
  <c r="AJ15" i="36"/>
  <c r="AJ8" i="45" s="1"/>
  <c r="F17" i="36"/>
  <c r="F10" i="45" s="1"/>
  <c r="H17" i="36"/>
  <c r="H10" i="45" s="1"/>
  <c r="G21" i="36"/>
  <c r="G14" i="45" s="1"/>
  <c r="J16" i="36"/>
  <c r="J9" i="45" s="1"/>
  <c r="Z12" i="36"/>
  <c r="Z5" i="45" s="1"/>
  <c r="Z16" i="36"/>
  <c r="Z9" i="45" s="1"/>
  <c r="AI13" i="36"/>
  <c r="AI6" i="45" s="1"/>
  <c r="T19" i="36"/>
  <c r="T12" i="45" s="1"/>
  <c r="Q19" i="36"/>
  <c r="Q12" i="45" s="1"/>
  <c r="AS59" i="2"/>
  <c r="AG17" i="36"/>
  <c r="AG10" i="45" s="1"/>
  <c r="O15" i="36"/>
  <c r="O8" i="45" s="1"/>
  <c r="O22" i="36"/>
  <c r="O15" i="45" s="1"/>
  <c r="H14" i="36"/>
  <c r="H7" i="45" s="1"/>
  <c r="U16" i="36"/>
  <c r="U9" i="45" s="1"/>
  <c r="AC19" i="36"/>
  <c r="AC12" i="45" s="1"/>
  <c r="AB20" i="36"/>
  <c r="AB13" i="45" s="1"/>
  <c r="I21" i="37"/>
  <c r="I477" i="2" s="1"/>
  <c r="J21" i="37"/>
  <c r="J477" i="2" s="1"/>
  <c r="D18" i="37"/>
  <c r="D474" i="2" s="1"/>
  <c r="D22" i="37"/>
  <c r="D478" i="2" s="1"/>
  <c r="G23" i="37"/>
  <c r="G479" i="2" s="1"/>
  <c r="J18" i="37"/>
  <c r="J474" i="2" s="1"/>
  <c r="J20" i="37"/>
  <c r="J476" i="2" s="1"/>
  <c r="BB59" i="2"/>
  <c r="BB88" i="2" s="1"/>
  <c r="Z18" i="36"/>
  <c r="Z11" i="45" s="1"/>
  <c r="Z22" i="36"/>
  <c r="Z15" i="45" s="1"/>
  <c r="L17" i="36"/>
  <c r="L10" i="45" s="1"/>
  <c r="AF18" i="36"/>
  <c r="AF11" i="45" s="1"/>
  <c r="Q20" i="36"/>
  <c r="Q13" i="45" s="1"/>
  <c r="S16" i="36"/>
  <c r="S9" i="45" s="1"/>
  <c r="Z19" i="36"/>
  <c r="Z12" i="45" s="1"/>
  <c r="L20" i="36"/>
  <c r="L13" i="45" s="1"/>
  <c r="D14" i="36"/>
  <c r="D7" i="45" s="1"/>
  <c r="AH16" i="36"/>
  <c r="AH9" i="45" s="1"/>
  <c r="T22" i="36"/>
  <c r="T15" i="45" s="1"/>
  <c r="Y17" i="36"/>
  <c r="Y10" i="45" s="1"/>
  <c r="AB18" i="36"/>
  <c r="AB11" i="45" s="1"/>
  <c r="AH19" i="36"/>
  <c r="AH12" i="45" s="1"/>
  <c r="X13" i="36"/>
  <c r="X6" i="45" s="1"/>
  <c r="W13" i="36"/>
  <c r="W6" i="45" s="1"/>
  <c r="AD14" i="36"/>
  <c r="AD7" i="45" s="1"/>
  <c r="S13" i="36"/>
  <c r="S6" i="45" s="1"/>
  <c r="K17" i="36"/>
  <c r="K10" i="45" s="1"/>
  <c r="M17" i="36"/>
  <c r="M10" i="45" s="1"/>
  <c r="AC15" i="36"/>
  <c r="AC8" i="45" s="1"/>
  <c r="I20" i="36"/>
  <c r="I13" i="45" s="1"/>
  <c r="J21" i="36"/>
  <c r="J14" i="45" s="1"/>
  <c r="M20" i="36"/>
  <c r="M13" i="45" s="1"/>
  <c r="AC21" i="36"/>
  <c r="AC14" i="45" s="1"/>
  <c r="Z11" i="36"/>
  <c r="Z4" i="45" s="1"/>
  <c r="AA22" i="36"/>
  <c r="AA15" i="45" s="1"/>
  <c r="C21" i="36"/>
  <c r="C14" i="45" s="1"/>
  <c r="AH11" i="36"/>
  <c r="AH4" i="45" s="1"/>
  <c r="N12" i="36"/>
  <c r="N5" i="45" s="1"/>
  <c r="V14" i="36"/>
  <c r="V7" i="45" s="1"/>
  <c r="R21" i="36"/>
  <c r="R14" i="45" s="1"/>
  <c r="F13" i="36"/>
  <c r="F6" i="45" s="1"/>
  <c r="K15" i="36"/>
  <c r="K8" i="45" s="1"/>
  <c r="U14" i="36"/>
  <c r="U7" i="45" s="1"/>
  <c r="R15" i="36"/>
  <c r="R8" i="45" s="1"/>
  <c r="G11" i="36"/>
  <c r="G4" i="45" s="1"/>
  <c r="F19" i="36"/>
  <c r="F12" i="45" s="1"/>
  <c r="N13" i="36"/>
  <c r="N6" i="45" s="1"/>
  <c r="M16" i="36"/>
  <c r="M9" i="45" s="1"/>
  <c r="K11" i="36"/>
  <c r="K4" i="45" s="1"/>
  <c r="BE59" i="2"/>
  <c r="BE88" i="2" s="1"/>
  <c r="G15" i="37"/>
  <c r="G471" i="2" s="1"/>
  <c r="BG59" i="2"/>
  <c r="BG88" i="2" s="1"/>
  <c r="G22" i="37"/>
  <c r="G478" i="2" s="1"/>
  <c r="H12" i="37"/>
  <c r="H468" i="2" s="1"/>
  <c r="J12" i="37"/>
  <c r="J468" i="2" s="1"/>
  <c r="I19" i="37"/>
  <c r="I475" i="2" s="1"/>
  <c r="E22" i="37"/>
  <c r="E478" i="2" s="1"/>
  <c r="E18" i="37"/>
  <c r="E474" i="2" s="1"/>
  <c r="I23" i="37"/>
  <c r="I479" i="2" s="1"/>
  <c r="D14" i="37"/>
  <c r="D470" i="2" s="1"/>
  <c r="H16" i="37"/>
  <c r="H472" i="2" s="1"/>
  <c r="D23" i="37"/>
  <c r="D479" i="2" s="1"/>
  <c r="E14" i="37"/>
  <c r="E470" i="2" s="1"/>
  <c r="G20" i="37"/>
  <c r="G476" i="2" s="1"/>
  <c r="C19" i="37"/>
  <c r="C475" i="2" s="1"/>
  <c r="AD11" i="36"/>
  <c r="AD4" i="45" s="1"/>
  <c r="AA16" i="36"/>
  <c r="AA9" i="45" s="1"/>
  <c r="AB22" i="36"/>
  <c r="AB15" i="45" s="1"/>
  <c r="C14" i="37"/>
  <c r="C470" i="2" s="1"/>
  <c r="Q14" i="36"/>
  <c r="Q7" i="45" s="1"/>
  <c r="J18" i="36"/>
  <c r="J11" i="45" s="1"/>
  <c r="AI14" i="36"/>
  <c r="AI7" i="45" s="1"/>
  <c r="V16" i="36"/>
  <c r="V9" i="45" s="1"/>
  <c r="AA19" i="36"/>
  <c r="AA12" i="45" s="1"/>
  <c r="AD18" i="36"/>
  <c r="AD11" i="45" s="1"/>
  <c r="Q15" i="36"/>
  <c r="Q8" i="45" s="1"/>
  <c r="C15" i="36"/>
  <c r="C8" i="45" s="1"/>
  <c r="G19" i="36"/>
  <c r="G12" i="45" s="1"/>
  <c r="AJ21" i="36"/>
  <c r="AJ14" i="45" s="1"/>
  <c r="Z13" i="36"/>
  <c r="Z6" i="45" s="1"/>
  <c r="T20" i="36"/>
  <c r="T13" i="45" s="1"/>
  <c r="G16" i="37"/>
  <c r="G472" i="2" s="1"/>
  <c r="F13" i="37"/>
  <c r="F469" i="2" s="1"/>
  <c r="E23" i="37"/>
  <c r="E479" i="2" s="1"/>
  <c r="E21" i="37"/>
  <c r="E477" i="2" s="1"/>
  <c r="I17" i="37"/>
  <c r="I473" i="2" s="1"/>
  <c r="J22" i="37"/>
  <c r="J478" i="2" s="1"/>
  <c r="G14" i="37"/>
  <c r="G470" i="2" s="1"/>
  <c r="F16" i="37"/>
  <c r="F472" i="2" s="1"/>
  <c r="BD59" i="2"/>
  <c r="BD88" i="2" s="1"/>
  <c r="D19" i="37"/>
  <c r="D475" i="2" s="1"/>
  <c r="I16" i="37"/>
  <c r="I472" i="2" s="1"/>
  <c r="J19" i="37"/>
  <c r="J475" i="2" s="1"/>
  <c r="H21" i="37"/>
  <c r="H477" i="2" s="1"/>
  <c r="I22" i="37"/>
  <c r="I478" i="2" s="1"/>
  <c r="BF59" i="2"/>
  <c r="BF88" i="2" s="1"/>
  <c r="D17" i="37"/>
  <c r="D473" i="2" s="1"/>
  <c r="F22" i="37"/>
  <c r="F478" i="2" s="1"/>
  <c r="J16" i="37"/>
  <c r="J472" i="2" s="1"/>
  <c r="AV100" i="2" l="1"/>
  <c r="AG2" i="3"/>
  <c r="AV101" i="2"/>
  <c r="AV96" i="2"/>
  <c r="AX80" i="2"/>
  <c r="AX81" i="2" s="1"/>
  <c r="BA80" i="2"/>
  <c r="BA81" i="2" s="1"/>
  <c r="AQ97" i="2"/>
  <c r="AF51" i="8" s="1"/>
  <c r="AH51" i="8" s="1"/>
  <c r="AL51" i="8" s="1"/>
  <c r="AV99" i="2"/>
  <c r="AV95" i="2"/>
  <c r="AZ80" i="2"/>
  <c r="AZ81" i="2" s="1"/>
  <c r="AS88" i="2"/>
  <c r="AU69" i="2"/>
  <c r="AU71" i="2" s="1"/>
  <c r="AT80" i="2"/>
  <c r="AT81" i="2" s="1"/>
  <c r="AR69" i="2"/>
  <c r="AR71" i="2" s="1"/>
  <c r="AV103" i="2"/>
  <c r="AV88" i="2"/>
  <c r="AV97" i="2"/>
  <c r="E15" i="1"/>
  <c r="AQ95" i="2"/>
  <c r="AF49" i="8" s="1"/>
  <c r="AH49" i="8" s="1"/>
  <c r="AL49" i="8" s="1"/>
  <c r="BD80" i="2"/>
  <c r="BD81" i="2" s="1"/>
  <c r="E21" i="1"/>
  <c r="D57" i="8" s="1"/>
  <c r="J64" i="45" a="1"/>
  <c r="E64" i="45" a="1"/>
  <c r="AN468" i="2"/>
  <c r="AT55" i="51" s="1"/>
  <c r="BK64" i="45" a="1"/>
  <c r="H64" i="45" a="1"/>
  <c r="F64" i="45" a="1"/>
  <c r="BI64" i="45" a="1"/>
  <c r="BI59" i="2"/>
  <c r="BB80" i="2"/>
  <c r="BB81" i="2" s="1"/>
  <c r="BB69" i="2"/>
  <c r="BB71" i="2" s="1"/>
  <c r="BI61" i="2"/>
  <c r="AY88" i="2"/>
  <c r="AV102" i="2"/>
  <c r="AP468" i="2"/>
  <c r="AV55" i="51" s="1"/>
  <c r="E25" i="1"/>
  <c r="E23" i="1"/>
  <c r="BE69" i="2"/>
  <c r="BE71" i="2" s="1"/>
  <c r="I64" i="45" a="1"/>
  <c r="BL64" i="45" a="1"/>
  <c r="BC80" i="2"/>
  <c r="BC81" i="2" s="1"/>
  <c r="BH64" i="45" a="1"/>
  <c r="BE64" i="45" a="1"/>
  <c r="B64" i="45" a="1"/>
  <c r="BF69" i="2"/>
  <c r="BF71" i="2" s="1"/>
  <c r="AQ98" i="2"/>
  <c r="AQ94" i="2"/>
  <c r="AQ80" i="2"/>
  <c r="E12" i="1"/>
  <c r="AQ69" i="2"/>
  <c r="AQ71" i="2" s="1"/>
  <c r="AP69" i="2"/>
  <c r="AP71" i="2" s="1"/>
  <c r="AK468" i="2"/>
  <c r="AM468" i="2"/>
  <c r="AS55" i="51" s="1"/>
  <c r="AL468" i="2"/>
  <c r="AR55" i="51" s="1"/>
  <c r="E26" i="1"/>
  <c r="L64" i="45" a="1"/>
  <c r="BC69" i="2"/>
  <c r="BC71" i="2" s="1"/>
  <c r="G64" i="45" a="1"/>
  <c r="AX69" i="2"/>
  <c r="AX71" i="2" s="1"/>
  <c r="M64" i="45" a="1"/>
  <c r="BP64" i="45" a="1"/>
  <c r="BJ64" i="45" a="1"/>
  <c r="AS80" i="2"/>
  <c r="AS81" i="2" s="1"/>
  <c r="E20" i="1"/>
  <c r="AY69" i="2"/>
  <c r="AY71" i="2" s="1"/>
  <c r="AQ102" i="2"/>
  <c r="AY80" i="2"/>
  <c r="AY81" i="2" s="1"/>
  <c r="AW69" i="2"/>
  <c r="AW71" i="2" s="1"/>
  <c r="AO468" i="2"/>
  <c r="AU55" i="51" s="1"/>
  <c r="BI64" i="2"/>
  <c r="BO64" i="45" a="1"/>
  <c r="BG64" i="45" a="1"/>
  <c r="D64" i="45" a="1"/>
  <c r="AU88" i="2"/>
  <c r="AV98" i="2"/>
  <c r="BI65" i="2"/>
  <c r="BF64" i="45" a="1"/>
  <c r="BN64" i="45" a="1"/>
  <c r="K64" i="45" a="1"/>
  <c r="BM64" i="45" a="1"/>
  <c r="AQ99" i="2"/>
  <c r="AV69" i="2"/>
  <c r="AV71" i="2" s="1"/>
  <c r="AV80" i="2"/>
  <c r="AV81" i="2" s="1"/>
  <c r="AW80" i="2"/>
  <c r="AW81" i="2" s="1"/>
  <c r="BG80" i="2"/>
  <c r="BG81" i="2" s="1"/>
  <c r="BG69" i="2"/>
  <c r="BG71" i="2" s="1"/>
  <c r="BA69" i="2"/>
  <c r="BA71" i="2" s="1"/>
  <c r="BI58" i="2"/>
  <c r="AO69" i="2"/>
  <c r="AO71" i="2" s="1"/>
  <c r="E17" i="1"/>
  <c r="E28" i="1"/>
  <c r="BI60" i="2"/>
  <c r="E18" i="1"/>
  <c r="BF80" i="2"/>
  <c r="BF81" i="2" s="1"/>
  <c r="E16" i="1"/>
  <c r="EE262" i="1" s="1"/>
  <c r="AS69" i="2"/>
  <c r="AS71" i="2" s="1"/>
  <c r="AT69" i="2"/>
  <c r="AT71" i="2" s="1"/>
  <c r="BE80" i="2"/>
  <c r="BE81" i="2" s="1"/>
  <c r="BD69" i="2"/>
  <c r="BD71" i="2" s="1"/>
  <c r="E14" i="1"/>
  <c r="AQ96" i="2"/>
  <c r="AQ100" i="2"/>
  <c r="E22" i="1"/>
  <c r="AU80" i="2"/>
  <c r="AU81" i="2" s="1"/>
  <c r="AV94" i="2"/>
  <c r="E13" i="1"/>
  <c r="EE165" i="1" s="1"/>
  <c r="C64" i="45" a="1"/>
  <c r="AQ103" i="2"/>
  <c r="AQ101" i="2"/>
  <c r="E19" i="1"/>
  <c r="E24" i="1"/>
  <c r="E27" i="1"/>
  <c r="AZ69" i="2"/>
  <c r="AZ71" i="2" s="1"/>
  <c r="AR80" i="2"/>
  <c r="AR81" i="2" s="1"/>
  <c r="EE127" i="1" l="1"/>
  <c r="EE50" i="1"/>
  <c r="EE118" i="1"/>
  <c r="EE193" i="1"/>
  <c r="EE42" i="1"/>
  <c r="EE10" i="1"/>
  <c r="C48" i="27"/>
  <c r="X48" i="27" s="1"/>
  <c r="R47" i="3" s="1"/>
  <c r="V39" i="36" s="1"/>
  <c r="EE43" i="1"/>
  <c r="C54" i="27"/>
  <c r="X54" i="27" s="1"/>
  <c r="R53" i="3" s="1"/>
  <c r="K21" i="1"/>
  <c r="AW95" i="2"/>
  <c r="AW97" i="2"/>
  <c r="C47" i="37"/>
  <c r="AE47" i="37" s="1"/>
  <c r="C41" i="37"/>
  <c r="AE41" i="37" s="1"/>
  <c r="D51" i="8"/>
  <c r="BI88" i="2"/>
  <c r="C39" i="36"/>
  <c r="C47" i="3"/>
  <c r="AE47" i="3" s="1"/>
  <c r="K15" i="1"/>
  <c r="C60" i="27"/>
  <c r="X60" i="27" s="1"/>
  <c r="R59" i="3" s="1"/>
  <c r="K27" i="1"/>
  <c r="K14" i="1"/>
  <c r="C40" i="37"/>
  <c r="AE40" i="37" s="1"/>
  <c r="C47" i="27"/>
  <c r="X47" i="27" s="1"/>
  <c r="R46" i="3" s="1"/>
  <c r="V38" i="36" s="1"/>
  <c r="C46" i="3"/>
  <c r="AE46" i="3" s="1"/>
  <c r="C38" i="36"/>
  <c r="EE250" i="1"/>
  <c r="D50" i="8"/>
  <c r="K50" i="8" s="1"/>
  <c r="P34" i="3"/>
  <c r="Z26" i="36" s="1"/>
  <c r="P34" i="35"/>
  <c r="L28" i="37"/>
  <c r="L34" i="27"/>
  <c r="M34" i="3"/>
  <c r="BI69" i="2"/>
  <c r="BI71" i="2" s="1"/>
  <c r="J34" i="27"/>
  <c r="M34" i="35"/>
  <c r="J28" i="37"/>
  <c r="G34" i="3"/>
  <c r="M26" i="36" s="1"/>
  <c r="F34" i="27"/>
  <c r="F28" i="37"/>
  <c r="G34" i="35"/>
  <c r="G84" i="45"/>
  <c r="T84" i="45" s="1"/>
  <c r="G89" i="45"/>
  <c r="T89" i="45" s="1"/>
  <c r="G68" i="45"/>
  <c r="T68" i="45" s="1"/>
  <c r="G79" i="45"/>
  <c r="T79" i="45" s="1"/>
  <c r="G92" i="45"/>
  <c r="T92" i="45" s="1"/>
  <c r="G90" i="45"/>
  <c r="T90" i="45" s="1"/>
  <c r="G69" i="45"/>
  <c r="T69" i="45" s="1"/>
  <c r="G77" i="45"/>
  <c r="T77" i="45" s="1"/>
  <c r="G86" i="45"/>
  <c r="T86" i="45" s="1"/>
  <c r="G81" i="45"/>
  <c r="T81" i="45" s="1"/>
  <c r="G78" i="45"/>
  <c r="T78" i="45" s="1"/>
  <c r="G97" i="45"/>
  <c r="T97" i="45" s="1"/>
  <c r="G93" i="45"/>
  <c r="T93" i="45" s="1"/>
  <c r="G70" i="45"/>
  <c r="T70" i="45" s="1"/>
  <c r="G80" i="45"/>
  <c r="T80" i="45" s="1"/>
  <c r="G64" i="45"/>
  <c r="T64" i="45" s="1"/>
  <c r="G74" i="45"/>
  <c r="T74" i="45" s="1"/>
  <c r="G73" i="45"/>
  <c r="T73" i="45" s="1"/>
  <c r="G94" i="45"/>
  <c r="T94" i="45" s="1"/>
  <c r="G75" i="45"/>
  <c r="T75" i="45" s="1"/>
  <c r="G83" i="45"/>
  <c r="T83" i="45" s="1"/>
  <c r="G85" i="45"/>
  <c r="T85" i="45" s="1"/>
  <c r="G87" i="45"/>
  <c r="T87" i="45" s="1"/>
  <c r="G66" i="45"/>
  <c r="T66" i="45" s="1"/>
  <c r="G71" i="45"/>
  <c r="T71" i="45" s="1"/>
  <c r="G67" i="45"/>
  <c r="T67" i="45" s="1"/>
  <c r="G96" i="45"/>
  <c r="T96" i="45" s="1"/>
  <c r="G91" i="45"/>
  <c r="T91" i="45" s="1"/>
  <c r="G82" i="45"/>
  <c r="T82" i="45" s="1"/>
  <c r="G65" i="45"/>
  <c r="T65" i="45" s="1"/>
  <c r="G76" i="45"/>
  <c r="T76" i="45" s="1"/>
  <c r="G72" i="45"/>
  <c r="T72" i="45" s="1"/>
  <c r="G95" i="45"/>
  <c r="T95" i="45" s="1"/>
  <c r="G88" i="45"/>
  <c r="T88" i="45" s="1"/>
  <c r="I72" i="45"/>
  <c r="V72" i="45" s="1"/>
  <c r="I91" i="45"/>
  <c r="V91" i="45" s="1"/>
  <c r="I97" i="45"/>
  <c r="V97" i="45" s="1"/>
  <c r="I82" i="45"/>
  <c r="V82" i="45" s="1"/>
  <c r="I88" i="45"/>
  <c r="V88" i="45" s="1"/>
  <c r="I96" i="45"/>
  <c r="V96" i="45" s="1"/>
  <c r="I64" i="45"/>
  <c r="V64" i="45" s="1"/>
  <c r="I75" i="45"/>
  <c r="V75" i="45" s="1"/>
  <c r="I89" i="45"/>
  <c r="V89" i="45" s="1"/>
  <c r="I76" i="45"/>
  <c r="V76" i="45" s="1"/>
  <c r="I90" i="45"/>
  <c r="V90" i="45" s="1"/>
  <c r="I65" i="45"/>
  <c r="V65" i="45" s="1"/>
  <c r="I68" i="45"/>
  <c r="V68" i="45" s="1"/>
  <c r="I83" i="45"/>
  <c r="V83" i="45" s="1"/>
  <c r="I71" i="45"/>
  <c r="V71" i="45" s="1"/>
  <c r="I95" i="45"/>
  <c r="V95" i="45" s="1"/>
  <c r="I66" i="45"/>
  <c r="V66" i="45" s="1"/>
  <c r="I87" i="45"/>
  <c r="V87" i="45" s="1"/>
  <c r="I79" i="45"/>
  <c r="V79" i="45" s="1"/>
  <c r="I85" i="45"/>
  <c r="V85" i="45" s="1"/>
  <c r="I80" i="45"/>
  <c r="V80" i="45" s="1"/>
  <c r="I81" i="45"/>
  <c r="V81" i="45" s="1"/>
  <c r="I84" i="45"/>
  <c r="V84" i="45" s="1"/>
  <c r="I94" i="45"/>
  <c r="V94" i="45" s="1"/>
  <c r="I69" i="45"/>
  <c r="V69" i="45" s="1"/>
  <c r="I78" i="45"/>
  <c r="V78" i="45" s="1"/>
  <c r="I70" i="45"/>
  <c r="V70" i="45" s="1"/>
  <c r="I86" i="45"/>
  <c r="V86" i="45" s="1"/>
  <c r="I92" i="45"/>
  <c r="V92" i="45" s="1"/>
  <c r="I77" i="45"/>
  <c r="V77" i="45" s="1"/>
  <c r="I73" i="45"/>
  <c r="V73" i="45" s="1"/>
  <c r="I93" i="45"/>
  <c r="V93" i="45" s="1"/>
  <c r="I74" i="45"/>
  <c r="V74" i="45" s="1"/>
  <c r="I67" i="45"/>
  <c r="V67" i="45" s="1"/>
  <c r="BK71" i="45"/>
  <c r="BX71" i="45" s="1"/>
  <c r="BK77" i="45"/>
  <c r="BX77" i="45" s="1"/>
  <c r="BK66" i="45"/>
  <c r="BX66" i="45" s="1"/>
  <c r="BK86" i="45"/>
  <c r="BX86" i="45" s="1"/>
  <c r="BK96" i="45"/>
  <c r="BX96" i="45" s="1"/>
  <c r="BK70" i="45"/>
  <c r="BX70" i="45" s="1"/>
  <c r="BK94" i="45"/>
  <c r="BX94" i="45" s="1"/>
  <c r="BK88" i="45"/>
  <c r="BX88" i="45" s="1"/>
  <c r="BK85" i="45"/>
  <c r="BX85" i="45" s="1"/>
  <c r="BK83" i="45"/>
  <c r="BX83" i="45" s="1"/>
  <c r="BK78" i="45"/>
  <c r="BX78" i="45" s="1"/>
  <c r="BK72" i="45"/>
  <c r="BX72" i="45" s="1"/>
  <c r="BK89" i="45"/>
  <c r="BX89" i="45" s="1"/>
  <c r="BK75" i="45"/>
  <c r="BX75" i="45" s="1"/>
  <c r="BK65" i="45"/>
  <c r="BX65" i="45" s="1"/>
  <c r="BK76" i="45"/>
  <c r="BX76" i="45" s="1"/>
  <c r="BK67" i="45"/>
  <c r="BX67" i="45" s="1"/>
  <c r="BK93" i="45"/>
  <c r="BX93" i="45" s="1"/>
  <c r="BK95" i="45"/>
  <c r="BX95" i="45" s="1"/>
  <c r="BK69" i="45"/>
  <c r="BX69" i="45" s="1"/>
  <c r="BK92" i="45"/>
  <c r="BX92" i="45" s="1"/>
  <c r="BK80" i="45"/>
  <c r="BX80" i="45" s="1"/>
  <c r="BK64" i="45"/>
  <c r="BX64" i="45" s="1"/>
  <c r="BK82" i="45"/>
  <c r="BX82" i="45" s="1"/>
  <c r="BK81" i="45"/>
  <c r="BX81" i="45" s="1"/>
  <c r="BK84" i="45"/>
  <c r="BX84" i="45" s="1"/>
  <c r="BK91" i="45"/>
  <c r="BX91" i="45" s="1"/>
  <c r="BK73" i="45"/>
  <c r="BX73" i="45" s="1"/>
  <c r="BK90" i="45"/>
  <c r="BX90" i="45" s="1"/>
  <c r="BK79" i="45"/>
  <c r="BX79" i="45" s="1"/>
  <c r="BK87" i="45"/>
  <c r="BX87" i="45" s="1"/>
  <c r="BK68" i="45"/>
  <c r="BX68" i="45" s="1"/>
  <c r="BK74" i="45"/>
  <c r="BX74" i="45" s="1"/>
  <c r="BP83" i="45"/>
  <c r="CC83" i="45" s="1"/>
  <c r="BP82" i="45"/>
  <c r="CC82" i="45" s="1"/>
  <c r="BP73" i="45"/>
  <c r="CC73" i="45" s="1"/>
  <c r="BP94" i="45"/>
  <c r="CC94" i="45" s="1"/>
  <c r="BP86" i="45"/>
  <c r="CC86" i="45" s="1"/>
  <c r="BP76" i="45"/>
  <c r="CC76" i="45" s="1"/>
  <c r="BP67" i="45"/>
  <c r="CC67" i="45" s="1"/>
  <c r="BP79" i="45"/>
  <c r="CC79" i="45" s="1"/>
  <c r="BP72" i="45"/>
  <c r="CC72" i="45" s="1"/>
  <c r="BP88" i="45"/>
  <c r="CC88" i="45" s="1"/>
  <c r="BP91" i="45"/>
  <c r="CC91" i="45" s="1"/>
  <c r="BP69" i="45"/>
  <c r="CC69" i="45" s="1"/>
  <c r="BP80" i="45"/>
  <c r="CC80" i="45" s="1"/>
  <c r="BP64" i="45"/>
  <c r="CC64" i="45" s="1"/>
  <c r="BP66" i="45"/>
  <c r="CC66" i="45" s="1"/>
  <c r="BP65" i="45"/>
  <c r="CC65" i="45" s="1"/>
  <c r="BP81" i="45"/>
  <c r="CC81" i="45" s="1"/>
  <c r="BP89" i="45"/>
  <c r="CC89" i="45" s="1"/>
  <c r="BP92" i="45"/>
  <c r="CC92" i="45" s="1"/>
  <c r="BP68" i="45"/>
  <c r="CC68" i="45" s="1"/>
  <c r="BP78" i="45"/>
  <c r="CC78" i="45" s="1"/>
  <c r="BP95" i="45"/>
  <c r="CC95" i="45" s="1"/>
  <c r="BP71" i="45"/>
  <c r="CC71" i="45" s="1"/>
  <c r="BP87" i="45"/>
  <c r="CC87" i="45" s="1"/>
  <c r="BP74" i="45"/>
  <c r="CC74" i="45" s="1"/>
  <c r="BP90" i="45"/>
  <c r="CC90" i="45" s="1"/>
  <c r="BP96" i="45"/>
  <c r="CC96" i="45" s="1"/>
  <c r="BP85" i="45"/>
  <c r="CC85" i="45" s="1"/>
  <c r="BP93" i="45"/>
  <c r="CC93" i="45" s="1"/>
  <c r="BP70" i="45"/>
  <c r="CC70" i="45" s="1"/>
  <c r="BP75" i="45"/>
  <c r="CC75" i="45" s="1"/>
  <c r="BP84" i="45"/>
  <c r="CC84" i="45" s="1"/>
  <c r="BP77" i="45"/>
  <c r="CC77" i="45" s="1"/>
  <c r="AW98" i="2"/>
  <c r="AF52" i="8"/>
  <c r="AH52" i="8" s="1"/>
  <c r="AL52" i="8" s="1"/>
  <c r="BH80" i="45"/>
  <c r="BU80" i="45" s="1"/>
  <c r="BH70" i="45"/>
  <c r="BU70" i="45" s="1"/>
  <c r="BH73" i="45"/>
  <c r="BU73" i="45" s="1"/>
  <c r="BH87" i="45"/>
  <c r="BU87" i="45" s="1"/>
  <c r="BH71" i="45"/>
  <c r="BU71" i="45" s="1"/>
  <c r="BH90" i="45"/>
  <c r="BU90" i="45" s="1"/>
  <c r="BH66" i="45"/>
  <c r="BU66" i="45" s="1"/>
  <c r="BH95" i="45"/>
  <c r="BU95" i="45" s="1"/>
  <c r="BH83" i="45"/>
  <c r="BU83" i="45" s="1"/>
  <c r="BH79" i="45"/>
  <c r="BU79" i="45" s="1"/>
  <c r="BH76" i="45"/>
  <c r="BU76" i="45" s="1"/>
  <c r="BH64" i="45"/>
  <c r="BU64" i="45" s="1"/>
  <c r="BH77" i="45"/>
  <c r="BU77" i="45" s="1"/>
  <c r="BH81" i="45"/>
  <c r="BU81" i="45" s="1"/>
  <c r="BH92" i="45"/>
  <c r="BU92" i="45" s="1"/>
  <c r="BH72" i="45"/>
  <c r="BU72" i="45" s="1"/>
  <c r="BH93" i="45"/>
  <c r="BU93" i="45" s="1"/>
  <c r="BH94" i="45"/>
  <c r="BU94" i="45" s="1"/>
  <c r="BH85" i="45"/>
  <c r="BU85" i="45" s="1"/>
  <c r="BH69" i="45"/>
  <c r="BU69" i="45" s="1"/>
  <c r="BH75" i="45"/>
  <c r="BU75" i="45" s="1"/>
  <c r="BH84" i="45"/>
  <c r="BU84" i="45" s="1"/>
  <c r="BH86" i="45"/>
  <c r="BU86" i="45" s="1"/>
  <c r="BH67" i="45"/>
  <c r="BU67" i="45" s="1"/>
  <c r="BH82" i="45"/>
  <c r="BU82" i="45" s="1"/>
  <c r="BH74" i="45"/>
  <c r="BU74" i="45" s="1"/>
  <c r="BH88" i="45"/>
  <c r="BU88" i="45" s="1"/>
  <c r="BH89" i="45"/>
  <c r="BU89" i="45" s="1"/>
  <c r="BH78" i="45"/>
  <c r="BU78" i="45" s="1"/>
  <c r="BH65" i="45"/>
  <c r="BU65" i="45" s="1"/>
  <c r="BH96" i="45"/>
  <c r="BU96" i="45" s="1"/>
  <c r="BH91" i="45"/>
  <c r="BU91" i="45" s="1"/>
  <c r="BH68" i="45"/>
  <c r="BU68" i="45" s="1"/>
  <c r="BI74" i="45"/>
  <c r="BV74" i="45" s="1"/>
  <c r="BI76" i="45"/>
  <c r="BV76" i="45" s="1"/>
  <c r="BI84" i="45"/>
  <c r="BV84" i="45" s="1"/>
  <c r="BI65" i="45"/>
  <c r="BV65" i="45" s="1"/>
  <c r="BI88" i="45"/>
  <c r="BV88" i="45" s="1"/>
  <c r="BI66" i="45"/>
  <c r="BV66" i="45" s="1"/>
  <c r="BI91" i="45"/>
  <c r="BV91" i="45" s="1"/>
  <c r="BI83" i="45"/>
  <c r="BV83" i="45" s="1"/>
  <c r="BI77" i="45"/>
  <c r="BV77" i="45" s="1"/>
  <c r="BI68" i="45"/>
  <c r="BV68" i="45" s="1"/>
  <c r="BI78" i="45"/>
  <c r="BV78" i="45" s="1"/>
  <c r="BI79" i="45"/>
  <c r="BV79" i="45" s="1"/>
  <c r="BI92" i="45"/>
  <c r="BV92" i="45" s="1"/>
  <c r="BI72" i="45"/>
  <c r="BV72" i="45" s="1"/>
  <c r="BI86" i="45"/>
  <c r="BV86" i="45" s="1"/>
  <c r="BI89" i="45"/>
  <c r="BV89" i="45" s="1"/>
  <c r="BI87" i="45"/>
  <c r="BV87" i="45" s="1"/>
  <c r="BI94" i="45"/>
  <c r="BV94" i="45" s="1"/>
  <c r="BI75" i="45"/>
  <c r="BV75" i="45" s="1"/>
  <c r="BI85" i="45"/>
  <c r="BV85" i="45" s="1"/>
  <c r="BI90" i="45"/>
  <c r="BV90" i="45" s="1"/>
  <c r="BI71" i="45"/>
  <c r="BV71" i="45" s="1"/>
  <c r="BI95" i="45"/>
  <c r="BV95" i="45" s="1"/>
  <c r="BI81" i="45"/>
  <c r="BV81" i="45" s="1"/>
  <c r="BI82" i="45"/>
  <c r="BV82" i="45" s="1"/>
  <c r="BI96" i="45"/>
  <c r="BV96" i="45" s="1"/>
  <c r="BI80" i="45"/>
  <c r="BV80" i="45" s="1"/>
  <c r="BI73" i="45"/>
  <c r="BV73" i="45" s="1"/>
  <c r="BI93" i="45"/>
  <c r="BV93" i="45" s="1"/>
  <c r="BI67" i="45"/>
  <c r="BV67" i="45" s="1"/>
  <c r="BI69" i="45"/>
  <c r="BV69" i="45" s="1"/>
  <c r="BI64" i="45"/>
  <c r="BV64" i="45" s="1"/>
  <c r="BI70" i="45"/>
  <c r="BV70" i="45" s="1"/>
  <c r="BM65" i="45"/>
  <c r="BZ65" i="45" s="1"/>
  <c r="BM95" i="45"/>
  <c r="BZ95" i="45" s="1"/>
  <c r="BM92" i="45"/>
  <c r="BZ92" i="45" s="1"/>
  <c r="BM73" i="45"/>
  <c r="BZ73" i="45" s="1"/>
  <c r="BM66" i="45"/>
  <c r="BZ66" i="45" s="1"/>
  <c r="BM85" i="45"/>
  <c r="BZ85" i="45" s="1"/>
  <c r="BM83" i="45"/>
  <c r="BZ83" i="45" s="1"/>
  <c r="BM67" i="45"/>
  <c r="BZ67" i="45" s="1"/>
  <c r="BM96" i="45"/>
  <c r="BZ96" i="45" s="1"/>
  <c r="BM91" i="45"/>
  <c r="BZ91" i="45" s="1"/>
  <c r="BM78" i="45"/>
  <c r="BZ78" i="45" s="1"/>
  <c r="BM71" i="45"/>
  <c r="BZ71" i="45" s="1"/>
  <c r="BM86" i="45"/>
  <c r="BZ86" i="45" s="1"/>
  <c r="BM77" i="45"/>
  <c r="BZ77" i="45" s="1"/>
  <c r="BM81" i="45"/>
  <c r="BZ81" i="45" s="1"/>
  <c r="BM76" i="45"/>
  <c r="BZ76" i="45" s="1"/>
  <c r="BM79" i="45"/>
  <c r="BZ79" i="45" s="1"/>
  <c r="BM68" i="45"/>
  <c r="BZ68" i="45" s="1"/>
  <c r="BM80" i="45"/>
  <c r="BZ80" i="45" s="1"/>
  <c r="BM69" i="45"/>
  <c r="BZ69" i="45" s="1"/>
  <c r="BM64" i="45"/>
  <c r="BZ64" i="45" s="1"/>
  <c r="BM89" i="45"/>
  <c r="BZ89" i="45" s="1"/>
  <c r="BM93" i="45"/>
  <c r="BZ93" i="45" s="1"/>
  <c r="BM70" i="45"/>
  <c r="BZ70" i="45" s="1"/>
  <c r="BM75" i="45"/>
  <c r="BZ75" i="45" s="1"/>
  <c r="BM74" i="45"/>
  <c r="BZ74" i="45" s="1"/>
  <c r="BM87" i="45"/>
  <c r="BZ87" i="45" s="1"/>
  <c r="BM88" i="45"/>
  <c r="BZ88" i="45" s="1"/>
  <c r="BM72" i="45"/>
  <c r="BZ72" i="45" s="1"/>
  <c r="BM82" i="45"/>
  <c r="BZ82" i="45" s="1"/>
  <c r="BM94" i="45"/>
  <c r="BZ94" i="45" s="1"/>
  <c r="BM84" i="45"/>
  <c r="BZ84" i="45" s="1"/>
  <c r="BM90" i="45"/>
  <c r="BZ90" i="45" s="1"/>
  <c r="BJ83" i="45"/>
  <c r="BW83" i="45" s="1"/>
  <c r="BJ80" i="45"/>
  <c r="BW80" i="45" s="1"/>
  <c r="BJ87" i="45"/>
  <c r="BW87" i="45" s="1"/>
  <c r="BJ72" i="45"/>
  <c r="BW72" i="45" s="1"/>
  <c r="BJ65" i="45"/>
  <c r="BW65" i="45" s="1"/>
  <c r="BJ86" i="45"/>
  <c r="BW86" i="45" s="1"/>
  <c r="BJ81" i="45"/>
  <c r="BW81" i="45" s="1"/>
  <c r="BJ85" i="45"/>
  <c r="BW85" i="45" s="1"/>
  <c r="BJ71" i="45"/>
  <c r="BW71" i="45" s="1"/>
  <c r="BJ91" i="45"/>
  <c r="BW91" i="45" s="1"/>
  <c r="BJ90" i="45"/>
  <c r="BW90" i="45" s="1"/>
  <c r="BJ84" i="45"/>
  <c r="BW84" i="45" s="1"/>
  <c r="BJ95" i="45"/>
  <c r="BW95" i="45" s="1"/>
  <c r="BJ73" i="45"/>
  <c r="BW73" i="45" s="1"/>
  <c r="BJ68" i="45"/>
  <c r="BW68" i="45" s="1"/>
  <c r="BJ69" i="45"/>
  <c r="BW69" i="45" s="1"/>
  <c r="BJ79" i="45"/>
  <c r="BW79" i="45" s="1"/>
  <c r="BJ93" i="45"/>
  <c r="BW93" i="45" s="1"/>
  <c r="BJ77" i="45"/>
  <c r="BW77" i="45" s="1"/>
  <c r="BJ66" i="45"/>
  <c r="BW66" i="45" s="1"/>
  <c r="BJ94" i="45"/>
  <c r="BW94" i="45" s="1"/>
  <c r="BJ78" i="45"/>
  <c r="BW78" i="45" s="1"/>
  <c r="BJ82" i="45"/>
  <c r="BW82" i="45" s="1"/>
  <c r="BJ74" i="45"/>
  <c r="BW74" i="45" s="1"/>
  <c r="BJ75" i="45"/>
  <c r="BW75" i="45" s="1"/>
  <c r="BJ96" i="45"/>
  <c r="BW96" i="45" s="1"/>
  <c r="BJ76" i="45"/>
  <c r="BW76" i="45" s="1"/>
  <c r="BJ88" i="45"/>
  <c r="BW88" i="45" s="1"/>
  <c r="BJ89" i="45"/>
  <c r="BW89" i="45" s="1"/>
  <c r="BJ64" i="45"/>
  <c r="BW64" i="45" s="1"/>
  <c r="BJ67" i="45"/>
  <c r="BW67" i="45" s="1"/>
  <c r="BJ70" i="45"/>
  <c r="BW70" i="45" s="1"/>
  <c r="BJ92" i="45"/>
  <c r="BW92" i="45" s="1"/>
  <c r="C57" i="27"/>
  <c r="X57" i="27" s="1"/>
  <c r="R56" i="3" s="1"/>
  <c r="K24" i="1"/>
  <c r="K22" i="1"/>
  <c r="C55" i="27"/>
  <c r="X55" i="27" s="1"/>
  <c r="R54" i="3" s="1"/>
  <c r="K28" i="1"/>
  <c r="C61" i="27"/>
  <c r="X61" i="27" s="1"/>
  <c r="R60" i="3" s="1"/>
  <c r="V45" i="36" s="1"/>
  <c r="K69" i="45"/>
  <c r="X69" i="45" s="1"/>
  <c r="K66" i="45"/>
  <c r="X66" i="45" s="1"/>
  <c r="K83" i="45"/>
  <c r="X83" i="45" s="1"/>
  <c r="K75" i="45"/>
  <c r="X75" i="45" s="1"/>
  <c r="K77" i="45"/>
  <c r="X77" i="45" s="1"/>
  <c r="K84" i="45"/>
  <c r="X84" i="45" s="1"/>
  <c r="K87" i="45"/>
  <c r="X87" i="45" s="1"/>
  <c r="K76" i="45"/>
  <c r="X76" i="45" s="1"/>
  <c r="K92" i="45"/>
  <c r="X92" i="45" s="1"/>
  <c r="K74" i="45"/>
  <c r="X74" i="45" s="1"/>
  <c r="K94" i="45"/>
  <c r="X94" i="45" s="1"/>
  <c r="K80" i="45"/>
  <c r="X80" i="45" s="1"/>
  <c r="K88" i="45"/>
  <c r="X88" i="45" s="1"/>
  <c r="K89" i="45"/>
  <c r="X89" i="45" s="1"/>
  <c r="K95" i="45"/>
  <c r="X95" i="45" s="1"/>
  <c r="K81" i="45"/>
  <c r="X81" i="45" s="1"/>
  <c r="K65" i="45"/>
  <c r="X65" i="45" s="1"/>
  <c r="K96" i="45"/>
  <c r="X96" i="45" s="1"/>
  <c r="K82" i="45"/>
  <c r="X82" i="45" s="1"/>
  <c r="K90" i="45"/>
  <c r="X90" i="45" s="1"/>
  <c r="K78" i="45"/>
  <c r="X78" i="45" s="1"/>
  <c r="K67" i="45"/>
  <c r="X67" i="45" s="1"/>
  <c r="K68" i="45"/>
  <c r="X68" i="45" s="1"/>
  <c r="K71" i="45"/>
  <c r="X71" i="45" s="1"/>
  <c r="K73" i="45"/>
  <c r="X73" i="45" s="1"/>
  <c r="K93" i="45"/>
  <c r="X93" i="45" s="1"/>
  <c r="K91" i="45"/>
  <c r="X91" i="45" s="1"/>
  <c r="K70" i="45"/>
  <c r="X70" i="45" s="1"/>
  <c r="K64" i="45"/>
  <c r="X64" i="45" s="1"/>
  <c r="K72" i="45"/>
  <c r="X72" i="45" s="1"/>
  <c r="K79" i="45"/>
  <c r="X79" i="45" s="1"/>
  <c r="K85" i="45"/>
  <c r="X85" i="45" s="1"/>
  <c r="K86" i="45"/>
  <c r="X86" i="45" s="1"/>
  <c r="K97" i="45"/>
  <c r="X97" i="45" s="1"/>
  <c r="BN82" i="45"/>
  <c r="CA82" i="45" s="1"/>
  <c r="BN77" i="45"/>
  <c r="CA77" i="45" s="1"/>
  <c r="BN87" i="45"/>
  <c r="CA87" i="45" s="1"/>
  <c r="BN65" i="45"/>
  <c r="CA65" i="45" s="1"/>
  <c r="BN91" i="45"/>
  <c r="CA91" i="45" s="1"/>
  <c r="BN74" i="45"/>
  <c r="CA74" i="45" s="1"/>
  <c r="BN88" i="45"/>
  <c r="CA88" i="45" s="1"/>
  <c r="BN64" i="45"/>
  <c r="CA64" i="45" s="1"/>
  <c r="BN81" i="45"/>
  <c r="CA81" i="45" s="1"/>
  <c r="BN80" i="45"/>
  <c r="CA80" i="45" s="1"/>
  <c r="BN69" i="45"/>
  <c r="CA69" i="45" s="1"/>
  <c r="BN93" i="45"/>
  <c r="CA93" i="45" s="1"/>
  <c r="BN83" i="45"/>
  <c r="CA83" i="45" s="1"/>
  <c r="BN96" i="45"/>
  <c r="CA96" i="45" s="1"/>
  <c r="BN79" i="45"/>
  <c r="CA79" i="45" s="1"/>
  <c r="BN85" i="45"/>
  <c r="CA85" i="45" s="1"/>
  <c r="BN94" i="45"/>
  <c r="CA94" i="45" s="1"/>
  <c r="BN71" i="45"/>
  <c r="CA71" i="45" s="1"/>
  <c r="BN68" i="45"/>
  <c r="CA68" i="45" s="1"/>
  <c r="BN75" i="45"/>
  <c r="CA75" i="45" s="1"/>
  <c r="BN84" i="45"/>
  <c r="CA84" i="45" s="1"/>
  <c r="BN78" i="45"/>
  <c r="CA78" i="45" s="1"/>
  <c r="BN89" i="45"/>
  <c r="CA89" i="45" s="1"/>
  <c r="BN95" i="45"/>
  <c r="CA95" i="45" s="1"/>
  <c r="BN67" i="45"/>
  <c r="CA67" i="45" s="1"/>
  <c r="BN72" i="45"/>
  <c r="CA72" i="45" s="1"/>
  <c r="BN73" i="45"/>
  <c r="CA73" i="45" s="1"/>
  <c r="BN90" i="45"/>
  <c r="CA90" i="45" s="1"/>
  <c r="BN92" i="45"/>
  <c r="CA92" i="45" s="1"/>
  <c r="BN70" i="45"/>
  <c r="CA70" i="45" s="1"/>
  <c r="BN86" i="45"/>
  <c r="CA86" i="45" s="1"/>
  <c r="BN76" i="45"/>
  <c r="CA76" i="45" s="1"/>
  <c r="BN66" i="45"/>
  <c r="CA66" i="45" s="1"/>
  <c r="J34" i="3"/>
  <c r="Q26" i="36" s="1"/>
  <c r="H28" i="37"/>
  <c r="J34" i="35"/>
  <c r="H34" i="27"/>
  <c r="K20" i="1"/>
  <c r="C46" i="37"/>
  <c r="AE46" i="37" s="1"/>
  <c r="C53" i="27"/>
  <c r="X53" i="27" s="1"/>
  <c r="R52" i="3" s="1"/>
  <c r="D56" i="8"/>
  <c r="K56" i="8" s="1"/>
  <c r="M75" i="45"/>
  <c r="Z75" i="45" s="1"/>
  <c r="M78" i="45"/>
  <c r="Z78" i="45" s="1"/>
  <c r="M69" i="45"/>
  <c r="Z69" i="45" s="1"/>
  <c r="M94" i="45"/>
  <c r="Z94" i="45" s="1"/>
  <c r="M73" i="45"/>
  <c r="Z73" i="45" s="1"/>
  <c r="M72" i="45"/>
  <c r="Z72" i="45" s="1"/>
  <c r="M81" i="45"/>
  <c r="Z81" i="45" s="1"/>
  <c r="M82" i="45"/>
  <c r="Z82" i="45" s="1"/>
  <c r="M71" i="45"/>
  <c r="Z71" i="45" s="1"/>
  <c r="M80" i="45"/>
  <c r="Z80" i="45" s="1"/>
  <c r="M76" i="45"/>
  <c r="Z76" i="45" s="1"/>
  <c r="M88" i="45"/>
  <c r="Z88" i="45" s="1"/>
  <c r="M83" i="45"/>
  <c r="Z83" i="45" s="1"/>
  <c r="M93" i="45"/>
  <c r="Z93" i="45" s="1"/>
  <c r="M96" i="45"/>
  <c r="Z96" i="45" s="1"/>
  <c r="M66" i="45"/>
  <c r="Z66" i="45" s="1"/>
  <c r="M84" i="45"/>
  <c r="Z84" i="45" s="1"/>
  <c r="M92" i="45"/>
  <c r="Z92" i="45" s="1"/>
  <c r="M64" i="45"/>
  <c r="Z64" i="45" s="1"/>
  <c r="M90" i="45"/>
  <c r="Z90" i="45" s="1"/>
  <c r="M89" i="45"/>
  <c r="Z89" i="45" s="1"/>
  <c r="M86" i="45"/>
  <c r="Z86" i="45" s="1"/>
  <c r="M91" i="45"/>
  <c r="Z91" i="45" s="1"/>
  <c r="M79" i="45"/>
  <c r="Z79" i="45" s="1"/>
  <c r="M74" i="45"/>
  <c r="Z74" i="45" s="1"/>
  <c r="M70" i="45"/>
  <c r="Z70" i="45" s="1"/>
  <c r="M67" i="45"/>
  <c r="Z67" i="45" s="1"/>
  <c r="M68" i="45"/>
  <c r="Z68" i="45" s="1"/>
  <c r="M97" i="45"/>
  <c r="Z97" i="45" s="1"/>
  <c r="M85" i="45"/>
  <c r="Z85" i="45" s="1"/>
  <c r="M65" i="45"/>
  <c r="Z65" i="45" s="1"/>
  <c r="M77" i="45"/>
  <c r="Z77" i="45" s="1"/>
  <c r="M95" i="45"/>
  <c r="Z95" i="45" s="1"/>
  <c r="M87" i="45"/>
  <c r="Z87" i="45" s="1"/>
  <c r="L81" i="45"/>
  <c r="Y81" i="45" s="1"/>
  <c r="L91" i="45"/>
  <c r="Y91" i="45" s="1"/>
  <c r="L76" i="45"/>
  <c r="Y76" i="45" s="1"/>
  <c r="L85" i="45"/>
  <c r="Y85" i="45" s="1"/>
  <c r="L72" i="45"/>
  <c r="Y72" i="45" s="1"/>
  <c r="L68" i="45"/>
  <c r="Y68" i="45" s="1"/>
  <c r="L86" i="45"/>
  <c r="Y86" i="45" s="1"/>
  <c r="L66" i="45"/>
  <c r="Y66" i="45" s="1"/>
  <c r="L79" i="45"/>
  <c r="Y79" i="45" s="1"/>
  <c r="L65" i="45"/>
  <c r="Y65" i="45" s="1"/>
  <c r="L74" i="45"/>
  <c r="Y74" i="45" s="1"/>
  <c r="L92" i="45"/>
  <c r="Y92" i="45" s="1"/>
  <c r="L64" i="45"/>
  <c r="Y64" i="45" s="1"/>
  <c r="L87" i="45"/>
  <c r="Y87" i="45" s="1"/>
  <c r="L67" i="45"/>
  <c r="Y67" i="45" s="1"/>
  <c r="L78" i="45"/>
  <c r="Y78" i="45" s="1"/>
  <c r="L71" i="45"/>
  <c r="Y71" i="45" s="1"/>
  <c r="L80" i="45"/>
  <c r="Y80" i="45" s="1"/>
  <c r="L97" i="45"/>
  <c r="Y97" i="45" s="1"/>
  <c r="L94" i="45"/>
  <c r="Y94" i="45" s="1"/>
  <c r="L95" i="45"/>
  <c r="Y95" i="45" s="1"/>
  <c r="L93" i="45"/>
  <c r="Y93" i="45" s="1"/>
  <c r="L89" i="45"/>
  <c r="Y89" i="45" s="1"/>
  <c r="L82" i="45"/>
  <c r="Y82" i="45" s="1"/>
  <c r="L75" i="45"/>
  <c r="Y75" i="45" s="1"/>
  <c r="L83" i="45"/>
  <c r="Y83" i="45" s="1"/>
  <c r="L69" i="45"/>
  <c r="Y69" i="45" s="1"/>
  <c r="L88" i="45"/>
  <c r="Y88" i="45" s="1"/>
  <c r="L96" i="45"/>
  <c r="Y96" i="45" s="1"/>
  <c r="L77" i="45"/>
  <c r="Y77" i="45" s="1"/>
  <c r="L84" i="45"/>
  <c r="Y84" i="45" s="1"/>
  <c r="L73" i="45"/>
  <c r="Y73" i="45" s="1"/>
  <c r="L70" i="45"/>
  <c r="Y70" i="45" s="1"/>
  <c r="L90" i="45"/>
  <c r="Y90" i="45" s="1"/>
  <c r="C59" i="27"/>
  <c r="X59" i="27" s="1"/>
  <c r="R58" i="3" s="1"/>
  <c r="V44" i="36" s="1"/>
  <c r="K26" i="1"/>
  <c r="C38" i="37"/>
  <c r="K12" i="1"/>
  <c r="C45" i="27"/>
  <c r="X45" i="27" s="1"/>
  <c r="R44" i="3" s="1"/>
  <c r="V36" i="36" s="1"/>
  <c r="E29" i="1"/>
  <c r="N32" i="1" s="1"/>
  <c r="C36" i="36"/>
  <c r="EE137" i="1"/>
  <c r="D48" i="8"/>
  <c r="K48" i="8" s="1"/>
  <c r="C44" i="3"/>
  <c r="C56" i="27"/>
  <c r="X56" i="27" s="1"/>
  <c r="R55" i="3" s="1"/>
  <c r="K23" i="1"/>
  <c r="F97" i="45"/>
  <c r="S97" i="45" s="1"/>
  <c r="F70" i="45"/>
  <c r="S70" i="45" s="1"/>
  <c r="F85" i="45"/>
  <c r="S85" i="45" s="1"/>
  <c r="F84" i="45"/>
  <c r="S84" i="45" s="1"/>
  <c r="F72" i="45"/>
  <c r="S72" i="45" s="1"/>
  <c r="F88" i="45"/>
  <c r="S88" i="45" s="1"/>
  <c r="F96" i="45"/>
  <c r="S96" i="45" s="1"/>
  <c r="F75" i="45"/>
  <c r="S75" i="45" s="1"/>
  <c r="F92" i="45"/>
  <c r="S92" i="45" s="1"/>
  <c r="F94" i="45"/>
  <c r="S94" i="45" s="1"/>
  <c r="F82" i="45"/>
  <c r="S82" i="45" s="1"/>
  <c r="F67" i="45"/>
  <c r="S67" i="45" s="1"/>
  <c r="F93" i="45"/>
  <c r="S93" i="45" s="1"/>
  <c r="F86" i="45"/>
  <c r="S86" i="45" s="1"/>
  <c r="F66" i="45"/>
  <c r="S66" i="45" s="1"/>
  <c r="F77" i="45"/>
  <c r="S77" i="45" s="1"/>
  <c r="F68" i="45"/>
  <c r="S68" i="45" s="1"/>
  <c r="F95" i="45"/>
  <c r="S95" i="45" s="1"/>
  <c r="F76" i="45"/>
  <c r="S76" i="45" s="1"/>
  <c r="F89" i="45"/>
  <c r="S89" i="45" s="1"/>
  <c r="F73" i="45"/>
  <c r="S73" i="45" s="1"/>
  <c r="F64" i="45"/>
  <c r="S64" i="45" s="1"/>
  <c r="F81" i="45"/>
  <c r="S81" i="45" s="1"/>
  <c r="F69" i="45"/>
  <c r="S69" i="45" s="1"/>
  <c r="F80" i="45"/>
  <c r="S80" i="45" s="1"/>
  <c r="F71" i="45"/>
  <c r="S71" i="45" s="1"/>
  <c r="F83" i="45"/>
  <c r="S83" i="45" s="1"/>
  <c r="F65" i="45"/>
  <c r="S65" i="45" s="1"/>
  <c r="F87" i="45"/>
  <c r="S87" i="45" s="1"/>
  <c r="F90" i="45"/>
  <c r="S90" i="45" s="1"/>
  <c r="F74" i="45"/>
  <c r="S74" i="45" s="1"/>
  <c r="F78" i="45"/>
  <c r="S78" i="45" s="1"/>
  <c r="F91" i="45"/>
  <c r="S91" i="45" s="1"/>
  <c r="F79" i="45"/>
  <c r="S79" i="45" s="1"/>
  <c r="E84" i="45"/>
  <c r="R84" i="45" s="1"/>
  <c r="E76" i="45"/>
  <c r="R76" i="45" s="1"/>
  <c r="E64" i="45"/>
  <c r="R64" i="45" s="1"/>
  <c r="E77" i="45"/>
  <c r="R77" i="45" s="1"/>
  <c r="E87" i="45"/>
  <c r="R87" i="45" s="1"/>
  <c r="E89" i="45"/>
  <c r="R89" i="45" s="1"/>
  <c r="E72" i="45"/>
  <c r="R72" i="45" s="1"/>
  <c r="E96" i="45"/>
  <c r="R96" i="45" s="1"/>
  <c r="E86" i="45"/>
  <c r="R86" i="45" s="1"/>
  <c r="E73" i="45"/>
  <c r="R73" i="45" s="1"/>
  <c r="E94" i="45"/>
  <c r="R94" i="45" s="1"/>
  <c r="E93" i="45"/>
  <c r="R93" i="45" s="1"/>
  <c r="E74" i="45"/>
  <c r="R74" i="45" s="1"/>
  <c r="E67" i="45"/>
  <c r="R67" i="45" s="1"/>
  <c r="E78" i="45"/>
  <c r="R78" i="45" s="1"/>
  <c r="E82" i="45"/>
  <c r="R82" i="45" s="1"/>
  <c r="E69" i="45"/>
  <c r="R69" i="45" s="1"/>
  <c r="E92" i="45"/>
  <c r="R92" i="45" s="1"/>
  <c r="E83" i="45"/>
  <c r="R83" i="45" s="1"/>
  <c r="E68" i="45"/>
  <c r="R68" i="45" s="1"/>
  <c r="E65" i="45"/>
  <c r="R65" i="45" s="1"/>
  <c r="E79" i="45"/>
  <c r="R79" i="45" s="1"/>
  <c r="E88" i="45"/>
  <c r="R88" i="45" s="1"/>
  <c r="E75" i="45"/>
  <c r="R75" i="45" s="1"/>
  <c r="E97" i="45"/>
  <c r="R97" i="45" s="1"/>
  <c r="E80" i="45"/>
  <c r="R80" i="45" s="1"/>
  <c r="E95" i="45"/>
  <c r="R95" i="45" s="1"/>
  <c r="E91" i="45"/>
  <c r="R91" i="45" s="1"/>
  <c r="E90" i="45"/>
  <c r="R90" i="45" s="1"/>
  <c r="E85" i="45"/>
  <c r="R85" i="45" s="1"/>
  <c r="E70" i="45"/>
  <c r="R70" i="45" s="1"/>
  <c r="E71" i="45"/>
  <c r="R71" i="45" s="1"/>
  <c r="E81" i="45"/>
  <c r="R81" i="45" s="1"/>
  <c r="E66" i="45"/>
  <c r="R66" i="45" s="1"/>
  <c r="AW103" i="2"/>
  <c r="AF57" i="8"/>
  <c r="AH57" i="8" s="1"/>
  <c r="AL57" i="8" s="1"/>
  <c r="BG82" i="45"/>
  <c r="BT82" i="45" s="1"/>
  <c r="BG94" i="45"/>
  <c r="BT94" i="45" s="1"/>
  <c r="BG93" i="45"/>
  <c r="BT93" i="45" s="1"/>
  <c r="BG77" i="45"/>
  <c r="BT77" i="45" s="1"/>
  <c r="BG96" i="45"/>
  <c r="BT96" i="45" s="1"/>
  <c r="BG71" i="45"/>
  <c r="BT71" i="45" s="1"/>
  <c r="BG88" i="45"/>
  <c r="BT88" i="45" s="1"/>
  <c r="BG87" i="45"/>
  <c r="BT87" i="45" s="1"/>
  <c r="BG81" i="45"/>
  <c r="BT81" i="45" s="1"/>
  <c r="BG85" i="45"/>
  <c r="BT85" i="45" s="1"/>
  <c r="BG75" i="45"/>
  <c r="BT75" i="45" s="1"/>
  <c r="BG67" i="45"/>
  <c r="BT67" i="45" s="1"/>
  <c r="BG84" i="45"/>
  <c r="BT84" i="45" s="1"/>
  <c r="BG80" i="45"/>
  <c r="BT80" i="45" s="1"/>
  <c r="BG86" i="45"/>
  <c r="BT86" i="45" s="1"/>
  <c r="BG89" i="45"/>
  <c r="BT89" i="45" s="1"/>
  <c r="BG78" i="45"/>
  <c r="BT78" i="45" s="1"/>
  <c r="BG74" i="45"/>
  <c r="BT74" i="45" s="1"/>
  <c r="BG68" i="45"/>
  <c r="BT68" i="45" s="1"/>
  <c r="BG92" i="45"/>
  <c r="BT92" i="45" s="1"/>
  <c r="BG95" i="45"/>
  <c r="BT95" i="45" s="1"/>
  <c r="BG69" i="45"/>
  <c r="BT69" i="45" s="1"/>
  <c r="BG66" i="45"/>
  <c r="BT66" i="45" s="1"/>
  <c r="BG65" i="45"/>
  <c r="BT65" i="45" s="1"/>
  <c r="BG90" i="45"/>
  <c r="BT90" i="45" s="1"/>
  <c r="BG83" i="45"/>
  <c r="BT83" i="45" s="1"/>
  <c r="BG76" i="45"/>
  <c r="BT76" i="45" s="1"/>
  <c r="BG72" i="45"/>
  <c r="BT72" i="45" s="1"/>
  <c r="BG73" i="45"/>
  <c r="BT73" i="45" s="1"/>
  <c r="BG70" i="45"/>
  <c r="BT70" i="45" s="1"/>
  <c r="BG64" i="45"/>
  <c r="BT64" i="45" s="1"/>
  <c r="BG91" i="45"/>
  <c r="BT91" i="45" s="1"/>
  <c r="BG79" i="45"/>
  <c r="BT79" i="45" s="1"/>
  <c r="AW102" i="2"/>
  <c r="AF56" i="8"/>
  <c r="AH56" i="8" s="1"/>
  <c r="AL56" i="8" s="1"/>
  <c r="AW94" i="2"/>
  <c r="AF48" i="8"/>
  <c r="AH48" i="8" s="1"/>
  <c r="AL48" i="8" s="1"/>
  <c r="AQ104" i="2"/>
  <c r="BE75" i="45"/>
  <c r="BR75" i="45" s="1"/>
  <c r="BE93" i="45"/>
  <c r="BR93" i="45" s="1"/>
  <c r="BE91" i="45"/>
  <c r="BR91" i="45" s="1"/>
  <c r="BE77" i="45"/>
  <c r="BR77" i="45" s="1"/>
  <c r="BE85" i="45"/>
  <c r="BR85" i="45" s="1"/>
  <c r="BE73" i="45"/>
  <c r="BR73" i="45" s="1"/>
  <c r="BE83" i="45"/>
  <c r="BR83" i="45" s="1"/>
  <c r="BE80" i="45"/>
  <c r="BR80" i="45" s="1"/>
  <c r="BE94" i="45"/>
  <c r="BR94" i="45" s="1"/>
  <c r="BE64" i="45"/>
  <c r="BR64" i="45" s="1"/>
  <c r="BE68" i="45"/>
  <c r="BR68" i="45" s="1"/>
  <c r="BE71" i="45"/>
  <c r="BR71" i="45" s="1"/>
  <c r="BE66" i="45"/>
  <c r="BR66" i="45" s="1"/>
  <c r="BE78" i="45"/>
  <c r="BR78" i="45" s="1"/>
  <c r="BE70" i="45"/>
  <c r="BR70" i="45" s="1"/>
  <c r="BE74" i="45"/>
  <c r="BR74" i="45" s="1"/>
  <c r="BE89" i="45"/>
  <c r="BR89" i="45" s="1"/>
  <c r="BE84" i="45"/>
  <c r="BR84" i="45" s="1"/>
  <c r="BE76" i="45"/>
  <c r="BR76" i="45" s="1"/>
  <c r="BE88" i="45"/>
  <c r="BR88" i="45" s="1"/>
  <c r="BE86" i="45"/>
  <c r="BR86" i="45" s="1"/>
  <c r="BE87" i="45"/>
  <c r="BR87" i="45" s="1"/>
  <c r="BE90" i="45"/>
  <c r="BR90" i="45" s="1"/>
  <c r="BE92" i="45"/>
  <c r="BR92" i="45" s="1"/>
  <c r="BE95" i="45"/>
  <c r="BR95" i="45" s="1"/>
  <c r="BE65" i="45"/>
  <c r="BR65" i="45" s="1"/>
  <c r="BE82" i="45"/>
  <c r="BR82" i="45" s="1"/>
  <c r="BE81" i="45"/>
  <c r="BR81" i="45" s="1"/>
  <c r="BE72" i="45"/>
  <c r="BR72" i="45" s="1"/>
  <c r="BE67" i="45"/>
  <c r="BR67" i="45" s="1"/>
  <c r="BE96" i="45"/>
  <c r="BR96" i="45" s="1"/>
  <c r="BE69" i="45"/>
  <c r="BR69" i="45" s="1"/>
  <c r="BE79" i="45"/>
  <c r="BR79" i="45" s="1"/>
  <c r="K25" i="1"/>
  <c r="C58" i="27"/>
  <c r="X58" i="27" s="1"/>
  <c r="R57" i="3" s="1"/>
  <c r="V43" i="36" s="1"/>
  <c r="S57" i="8"/>
  <c r="K57" i="8"/>
  <c r="C75" i="45"/>
  <c r="P75" i="45" s="1"/>
  <c r="C90" i="45"/>
  <c r="P90" i="45" s="1"/>
  <c r="C91" i="45"/>
  <c r="P91" i="45" s="1"/>
  <c r="C95" i="45"/>
  <c r="P95" i="45" s="1"/>
  <c r="C80" i="45"/>
  <c r="P80" i="45" s="1"/>
  <c r="C73" i="45"/>
  <c r="P73" i="45" s="1"/>
  <c r="C87" i="45"/>
  <c r="P87" i="45" s="1"/>
  <c r="C83" i="45"/>
  <c r="P83" i="45" s="1"/>
  <c r="C82" i="45"/>
  <c r="P82" i="45" s="1"/>
  <c r="C72" i="45"/>
  <c r="P72" i="45" s="1"/>
  <c r="C93" i="45"/>
  <c r="P93" i="45" s="1"/>
  <c r="C96" i="45"/>
  <c r="P96" i="45" s="1"/>
  <c r="C85" i="45"/>
  <c r="P85" i="45" s="1"/>
  <c r="C71" i="45"/>
  <c r="P71" i="45" s="1"/>
  <c r="C84" i="45"/>
  <c r="P84" i="45" s="1"/>
  <c r="C94" i="45"/>
  <c r="P94" i="45" s="1"/>
  <c r="C70" i="45"/>
  <c r="P70" i="45" s="1"/>
  <c r="C64" i="45"/>
  <c r="P64" i="45" s="1"/>
  <c r="C74" i="45"/>
  <c r="P74" i="45" s="1"/>
  <c r="C66" i="45"/>
  <c r="P66" i="45" s="1"/>
  <c r="C76" i="45"/>
  <c r="P76" i="45" s="1"/>
  <c r="C77" i="45"/>
  <c r="P77" i="45" s="1"/>
  <c r="C97" i="45"/>
  <c r="P97" i="45" s="1"/>
  <c r="C67" i="45"/>
  <c r="P67" i="45" s="1"/>
  <c r="C81" i="45"/>
  <c r="P81" i="45" s="1"/>
  <c r="C89" i="45"/>
  <c r="P89" i="45" s="1"/>
  <c r="C78" i="45"/>
  <c r="P78" i="45" s="1"/>
  <c r="C65" i="45"/>
  <c r="P65" i="45" s="1"/>
  <c r="C88" i="45"/>
  <c r="P88" i="45" s="1"/>
  <c r="C79" i="45"/>
  <c r="P79" i="45" s="1"/>
  <c r="C86" i="45"/>
  <c r="P86" i="45" s="1"/>
  <c r="C92" i="45"/>
  <c r="P92" i="45" s="1"/>
  <c r="C68" i="45"/>
  <c r="P68" i="45" s="1"/>
  <c r="C69" i="45"/>
  <c r="P69" i="45" s="1"/>
  <c r="K16" i="1"/>
  <c r="D52" i="8"/>
  <c r="K52" i="8" s="1"/>
  <c r="C48" i="3"/>
  <c r="AE48" i="3" s="1"/>
  <c r="C49" i="27"/>
  <c r="X49" i="27" s="1"/>
  <c r="R48" i="3" s="1"/>
  <c r="V40" i="36" s="1"/>
  <c r="C42" i="37"/>
  <c r="AE42" i="37" s="1"/>
  <c r="C51" i="3"/>
  <c r="AE51" i="3" s="1"/>
  <c r="C40" i="36"/>
  <c r="BO94" i="45"/>
  <c r="CB94" i="45" s="1"/>
  <c r="BO87" i="45"/>
  <c r="CB87" i="45" s="1"/>
  <c r="BO90" i="45"/>
  <c r="CB90" i="45" s="1"/>
  <c r="BO83" i="45"/>
  <c r="CB83" i="45" s="1"/>
  <c r="BO88" i="45"/>
  <c r="CB88" i="45" s="1"/>
  <c r="BO95" i="45"/>
  <c r="CB95" i="45" s="1"/>
  <c r="BO75" i="45"/>
  <c r="CB75" i="45" s="1"/>
  <c r="BO66" i="45"/>
  <c r="CB66" i="45" s="1"/>
  <c r="BO65" i="45"/>
  <c r="CB65" i="45" s="1"/>
  <c r="BO68" i="45"/>
  <c r="CB68" i="45" s="1"/>
  <c r="BO64" i="45"/>
  <c r="CB64" i="45" s="1"/>
  <c r="BO91" i="45"/>
  <c r="CB91" i="45" s="1"/>
  <c r="BO72" i="45"/>
  <c r="CB72" i="45" s="1"/>
  <c r="BO84" i="45"/>
  <c r="CB84" i="45" s="1"/>
  <c r="BO79" i="45"/>
  <c r="CB79" i="45" s="1"/>
  <c r="BO74" i="45"/>
  <c r="CB74" i="45" s="1"/>
  <c r="BO77" i="45"/>
  <c r="CB77" i="45" s="1"/>
  <c r="BO70" i="45"/>
  <c r="CB70" i="45" s="1"/>
  <c r="BO67" i="45"/>
  <c r="CB67" i="45" s="1"/>
  <c r="BO92" i="45"/>
  <c r="CB92" i="45" s="1"/>
  <c r="BO82" i="45"/>
  <c r="CB82" i="45" s="1"/>
  <c r="BO96" i="45"/>
  <c r="CB96" i="45" s="1"/>
  <c r="BO76" i="45"/>
  <c r="CB76" i="45" s="1"/>
  <c r="BO69" i="45"/>
  <c r="CB69" i="45" s="1"/>
  <c r="BO93" i="45"/>
  <c r="CB93" i="45" s="1"/>
  <c r="BO81" i="45"/>
  <c r="CB81" i="45" s="1"/>
  <c r="BO86" i="45"/>
  <c r="CB86" i="45" s="1"/>
  <c r="BO80" i="45"/>
  <c r="CB80" i="45" s="1"/>
  <c r="BO85" i="45"/>
  <c r="CB85" i="45" s="1"/>
  <c r="BO78" i="45"/>
  <c r="CB78" i="45" s="1"/>
  <c r="BO73" i="45"/>
  <c r="CB73" i="45" s="1"/>
  <c r="BO89" i="45"/>
  <c r="CB89" i="45" s="1"/>
  <c r="BO71" i="45"/>
  <c r="CB71" i="45" s="1"/>
  <c r="C45" i="37"/>
  <c r="AE45" i="37" s="1"/>
  <c r="K19" i="1"/>
  <c r="C52" i="27"/>
  <c r="X52" i="27" s="1"/>
  <c r="R51" i="3" s="1"/>
  <c r="D55" i="8"/>
  <c r="K55" i="8" s="1"/>
  <c r="K13" i="1"/>
  <c r="EE16" i="1"/>
  <c r="C46" i="27"/>
  <c r="X46" i="27" s="1"/>
  <c r="C45" i="3"/>
  <c r="AE45" i="3" s="1"/>
  <c r="C37" i="36"/>
  <c r="D49" i="8"/>
  <c r="K49" i="8" s="1"/>
  <c r="C39" i="37"/>
  <c r="AE39" i="37" s="1"/>
  <c r="AF54" i="8"/>
  <c r="AH54" i="8" s="1"/>
  <c r="AL54" i="8" s="1"/>
  <c r="AW100" i="2"/>
  <c r="D53" i="8"/>
  <c r="K17" i="1"/>
  <c r="C50" i="27"/>
  <c r="X50" i="27" s="1"/>
  <c r="R49" i="3" s="1"/>
  <c r="V41" i="36" s="1"/>
  <c r="C43" i="37"/>
  <c r="AE43" i="37" s="1"/>
  <c r="AF55" i="8"/>
  <c r="AH55" i="8" s="1"/>
  <c r="AL55" i="8" s="1"/>
  <c r="AW101" i="2"/>
  <c r="AV104" i="2"/>
  <c r="AW96" i="2"/>
  <c r="AF50" i="8"/>
  <c r="AH50" i="8" s="1"/>
  <c r="AL50" i="8" s="1"/>
  <c r="D54" i="8"/>
  <c r="K18" i="1"/>
  <c r="C51" i="27"/>
  <c r="X51" i="27" s="1"/>
  <c r="R50" i="3" s="1"/>
  <c r="V42" i="36" s="1"/>
  <c r="C44" i="37"/>
  <c r="AE44" i="37" s="1"/>
  <c r="AW99" i="2"/>
  <c r="AF53" i="8"/>
  <c r="AH53" i="8" s="1"/>
  <c r="AL53" i="8" s="1"/>
  <c r="BF80" i="45"/>
  <c r="BS80" i="45" s="1"/>
  <c r="BF90" i="45"/>
  <c r="BS90" i="45" s="1"/>
  <c r="BF79" i="45"/>
  <c r="BS79" i="45" s="1"/>
  <c r="BF87" i="45"/>
  <c r="BS87" i="45" s="1"/>
  <c r="BF73" i="45"/>
  <c r="BS73" i="45" s="1"/>
  <c r="BF89" i="45"/>
  <c r="BS89" i="45" s="1"/>
  <c r="BF81" i="45"/>
  <c r="BS81" i="45" s="1"/>
  <c r="BF75" i="45"/>
  <c r="BS75" i="45" s="1"/>
  <c r="BF77" i="45"/>
  <c r="BS77" i="45" s="1"/>
  <c r="BF82" i="45"/>
  <c r="BS82" i="45" s="1"/>
  <c r="BF64" i="45"/>
  <c r="BS64" i="45" s="1"/>
  <c r="BF69" i="45"/>
  <c r="BS69" i="45" s="1"/>
  <c r="BF67" i="45"/>
  <c r="BS67" i="45" s="1"/>
  <c r="BF85" i="45"/>
  <c r="BS85" i="45" s="1"/>
  <c r="BF68" i="45"/>
  <c r="BS68" i="45" s="1"/>
  <c r="BF70" i="45"/>
  <c r="BS70" i="45" s="1"/>
  <c r="BF84" i="45"/>
  <c r="BS84" i="45" s="1"/>
  <c r="BF66" i="45"/>
  <c r="BS66" i="45" s="1"/>
  <c r="BF91" i="45"/>
  <c r="BS91" i="45" s="1"/>
  <c r="BF71" i="45"/>
  <c r="BS71" i="45" s="1"/>
  <c r="BF74" i="45"/>
  <c r="BS74" i="45" s="1"/>
  <c r="BF92" i="45"/>
  <c r="BS92" i="45" s="1"/>
  <c r="BF94" i="45"/>
  <c r="BS94" i="45" s="1"/>
  <c r="BF78" i="45"/>
  <c r="BS78" i="45" s="1"/>
  <c r="BF83" i="45"/>
  <c r="BS83" i="45" s="1"/>
  <c r="BF86" i="45"/>
  <c r="BS86" i="45" s="1"/>
  <c r="BF96" i="45"/>
  <c r="BS96" i="45" s="1"/>
  <c r="BF93" i="45"/>
  <c r="BS93" i="45" s="1"/>
  <c r="BF72" i="45"/>
  <c r="BS72" i="45" s="1"/>
  <c r="BF95" i="45"/>
  <c r="BS95" i="45" s="1"/>
  <c r="BF65" i="45"/>
  <c r="BS65" i="45" s="1"/>
  <c r="BF88" i="45"/>
  <c r="BS88" i="45" s="1"/>
  <c r="BF76" i="45"/>
  <c r="BS76" i="45" s="1"/>
  <c r="D74" i="45"/>
  <c r="Q74" i="45" s="1"/>
  <c r="D69" i="45"/>
  <c r="Q69" i="45" s="1"/>
  <c r="D76" i="45"/>
  <c r="Q76" i="45" s="1"/>
  <c r="D93" i="45"/>
  <c r="Q93" i="45" s="1"/>
  <c r="D70" i="45"/>
  <c r="Q70" i="45" s="1"/>
  <c r="D73" i="45"/>
  <c r="Q73" i="45" s="1"/>
  <c r="D95" i="45"/>
  <c r="Q95" i="45" s="1"/>
  <c r="D96" i="45"/>
  <c r="Q96" i="45" s="1"/>
  <c r="D81" i="45"/>
  <c r="Q81" i="45" s="1"/>
  <c r="D85" i="45"/>
  <c r="Q85" i="45" s="1"/>
  <c r="D65" i="45"/>
  <c r="Q65" i="45" s="1"/>
  <c r="D89" i="45"/>
  <c r="Q89" i="45" s="1"/>
  <c r="D84" i="45"/>
  <c r="Q84" i="45" s="1"/>
  <c r="D77" i="45"/>
  <c r="Q77" i="45" s="1"/>
  <c r="D90" i="45"/>
  <c r="Q90" i="45" s="1"/>
  <c r="D66" i="45"/>
  <c r="Q66" i="45" s="1"/>
  <c r="D86" i="45"/>
  <c r="Q86" i="45" s="1"/>
  <c r="D71" i="45"/>
  <c r="Q71" i="45" s="1"/>
  <c r="D79" i="45"/>
  <c r="Q79" i="45" s="1"/>
  <c r="D82" i="45"/>
  <c r="Q82" i="45" s="1"/>
  <c r="D87" i="45"/>
  <c r="Q87" i="45" s="1"/>
  <c r="D91" i="45"/>
  <c r="Q91" i="45" s="1"/>
  <c r="D83" i="45"/>
  <c r="Q83" i="45" s="1"/>
  <c r="D72" i="45"/>
  <c r="Q72" i="45" s="1"/>
  <c r="D80" i="45"/>
  <c r="Q80" i="45" s="1"/>
  <c r="D75" i="45"/>
  <c r="Q75" i="45" s="1"/>
  <c r="D88" i="45"/>
  <c r="Q88" i="45" s="1"/>
  <c r="D67" i="45"/>
  <c r="Q67" i="45" s="1"/>
  <c r="D68" i="45"/>
  <c r="Q68" i="45" s="1"/>
  <c r="D94" i="45"/>
  <c r="Q94" i="45" s="1"/>
  <c r="D97" i="45"/>
  <c r="Q97" i="45" s="1"/>
  <c r="D64" i="45"/>
  <c r="Q64" i="45" s="1"/>
  <c r="D78" i="45"/>
  <c r="Q78" i="45" s="1"/>
  <c r="D92" i="45"/>
  <c r="Q92" i="45" s="1"/>
  <c r="AQ468" i="2"/>
  <c r="AQ55" i="51"/>
  <c r="AQ81" i="2"/>
  <c r="BI81" i="2" s="1"/>
  <c r="BI80" i="2"/>
  <c r="B96" i="45"/>
  <c r="O96" i="45" s="1"/>
  <c r="B83" i="45"/>
  <c r="O83" i="45" s="1"/>
  <c r="B85" i="45"/>
  <c r="O85" i="45" s="1"/>
  <c r="B97" i="45"/>
  <c r="O97" i="45" s="1"/>
  <c r="B73" i="45"/>
  <c r="O73" i="45" s="1"/>
  <c r="B78" i="45"/>
  <c r="O78" i="45" s="1"/>
  <c r="B81" i="45"/>
  <c r="O81" i="45" s="1"/>
  <c r="B79" i="45"/>
  <c r="O79" i="45" s="1"/>
  <c r="B84" i="45"/>
  <c r="O84" i="45" s="1"/>
  <c r="B74" i="45"/>
  <c r="O74" i="45" s="1"/>
  <c r="B92" i="45"/>
  <c r="O92" i="45" s="1"/>
  <c r="B72" i="45"/>
  <c r="O72" i="45" s="1"/>
  <c r="B70" i="45"/>
  <c r="O70" i="45" s="1"/>
  <c r="B77" i="45"/>
  <c r="O77" i="45" s="1"/>
  <c r="B64" i="45"/>
  <c r="O64" i="45" s="1"/>
  <c r="B87" i="45"/>
  <c r="O87" i="45" s="1"/>
  <c r="B71" i="45"/>
  <c r="O71" i="45" s="1"/>
  <c r="B90" i="45"/>
  <c r="O90" i="45" s="1"/>
  <c r="B89" i="45"/>
  <c r="O89" i="45" s="1"/>
  <c r="B91" i="45"/>
  <c r="O91" i="45" s="1"/>
  <c r="B93" i="45"/>
  <c r="O93" i="45" s="1"/>
  <c r="B76" i="45"/>
  <c r="O76" i="45" s="1"/>
  <c r="B95" i="45"/>
  <c r="O95" i="45" s="1"/>
  <c r="B68" i="45"/>
  <c r="O68" i="45" s="1"/>
  <c r="B82" i="45"/>
  <c r="O82" i="45" s="1"/>
  <c r="B69" i="45"/>
  <c r="O69" i="45" s="1"/>
  <c r="B66" i="45"/>
  <c r="O66" i="45" s="1"/>
  <c r="B94" i="45"/>
  <c r="O94" i="45" s="1"/>
  <c r="B88" i="45"/>
  <c r="O88" i="45" s="1"/>
  <c r="B75" i="45"/>
  <c r="O75" i="45" s="1"/>
  <c r="B86" i="45"/>
  <c r="O86" i="45" s="1"/>
  <c r="B65" i="45"/>
  <c r="O65" i="45" s="1"/>
  <c r="B80" i="45"/>
  <c r="O80" i="45" s="1"/>
  <c r="B67" i="45"/>
  <c r="O67" i="45" s="1"/>
  <c r="BL90" i="45"/>
  <c r="BY90" i="45" s="1"/>
  <c r="BL91" i="45"/>
  <c r="BY91" i="45" s="1"/>
  <c r="BL86" i="45"/>
  <c r="BY86" i="45" s="1"/>
  <c r="BL67" i="45"/>
  <c r="BY67" i="45" s="1"/>
  <c r="BL64" i="45"/>
  <c r="BY64" i="45" s="1"/>
  <c r="BL77" i="45"/>
  <c r="BY77" i="45" s="1"/>
  <c r="BL81" i="45"/>
  <c r="BY81" i="45" s="1"/>
  <c r="BL92" i="45"/>
  <c r="BY92" i="45" s="1"/>
  <c r="BL87" i="45"/>
  <c r="BY87" i="45" s="1"/>
  <c r="BL83" i="45"/>
  <c r="BY83" i="45" s="1"/>
  <c r="BL76" i="45"/>
  <c r="BY76" i="45" s="1"/>
  <c r="BL82" i="45"/>
  <c r="BY82" i="45" s="1"/>
  <c r="BL79" i="45"/>
  <c r="BY79" i="45" s="1"/>
  <c r="BL75" i="45"/>
  <c r="BY75" i="45" s="1"/>
  <c r="BL95" i="45"/>
  <c r="BY95" i="45" s="1"/>
  <c r="BL88" i="45"/>
  <c r="BY88" i="45" s="1"/>
  <c r="BL89" i="45"/>
  <c r="BY89" i="45" s="1"/>
  <c r="BL65" i="45"/>
  <c r="BY65" i="45" s="1"/>
  <c r="BL78" i="45"/>
  <c r="BY78" i="45" s="1"/>
  <c r="BL73" i="45"/>
  <c r="BY73" i="45" s="1"/>
  <c r="BL72" i="45"/>
  <c r="BY72" i="45" s="1"/>
  <c r="BL74" i="45"/>
  <c r="BY74" i="45" s="1"/>
  <c r="BL69" i="45"/>
  <c r="BY69" i="45" s="1"/>
  <c r="BL93" i="45"/>
  <c r="BY93" i="45" s="1"/>
  <c r="BL85" i="45"/>
  <c r="BY85" i="45" s="1"/>
  <c r="BL84" i="45"/>
  <c r="BY84" i="45" s="1"/>
  <c r="BL94" i="45"/>
  <c r="BY94" i="45" s="1"/>
  <c r="BL96" i="45"/>
  <c r="BY96" i="45" s="1"/>
  <c r="BL66" i="45"/>
  <c r="BY66" i="45" s="1"/>
  <c r="BL68" i="45"/>
  <c r="BY68" i="45" s="1"/>
  <c r="BL80" i="45"/>
  <c r="BY80" i="45" s="1"/>
  <c r="BL70" i="45"/>
  <c r="BY70" i="45" s="1"/>
  <c r="BL71" i="45"/>
  <c r="BY71" i="45" s="1"/>
  <c r="H96" i="45"/>
  <c r="U96" i="45" s="1"/>
  <c r="H93" i="45"/>
  <c r="U93" i="45" s="1"/>
  <c r="H78" i="45"/>
  <c r="U78" i="45" s="1"/>
  <c r="H67" i="45"/>
  <c r="U67" i="45" s="1"/>
  <c r="H80" i="45"/>
  <c r="U80" i="45" s="1"/>
  <c r="H69" i="45"/>
  <c r="U69" i="45" s="1"/>
  <c r="H79" i="45"/>
  <c r="U79" i="45" s="1"/>
  <c r="H90" i="45"/>
  <c r="U90" i="45" s="1"/>
  <c r="H76" i="45"/>
  <c r="U76" i="45" s="1"/>
  <c r="H85" i="45"/>
  <c r="U85" i="45" s="1"/>
  <c r="H74" i="45"/>
  <c r="U74" i="45" s="1"/>
  <c r="H89" i="45"/>
  <c r="U89" i="45" s="1"/>
  <c r="H81" i="45"/>
  <c r="U81" i="45" s="1"/>
  <c r="H66" i="45"/>
  <c r="U66" i="45" s="1"/>
  <c r="H83" i="45"/>
  <c r="U83" i="45" s="1"/>
  <c r="H65" i="45"/>
  <c r="U65" i="45" s="1"/>
  <c r="H97" i="45"/>
  <c r="U97" i="45" s="1"/>
  <c r="H95" i="45"/>
  <c r="U95" i="45" s="1"/>
  <c r="H88" i="45"/>
  <c r="U88" i="45" s="1"/>
  <c r="H70" i="45"/>
  <c r="U70" i="45" s="1"/>
  <c r="H68" i="45"/>
  <c r="U68" i="45" s="1"/>
  <c r="H84" i="45"/>
  <c r="U84" i="45" s="1"/>
  <c r="H71" i="45"/>
  <c r="U71" i="45" s="1"/>
  <c r="H86" i="45"/>
  <c r="U86" i="45" s="1"/>
  <c r="H91" i="45"/>
  <c r="U91" i="45" s="1"/>
  <c r="H92" i="45"/>
  <c r="U92" i="45" s="1"/>
  <c r="H82" i="45"/>
  <c r="U82" i="45" s="1"/>
  <c r="H75" i="45"/>
  <c r="U75" i="45" s="1"/>
  <c r="H64" i="45"/>
  <c r="U64" i="45" s="1"/>
  <c r="H73" i="45"/>
  <c r="U73" i="45" s="1"/>
  <c r="H94" i="45"/>
  <c r="U94" i="45" s="1"/>
  <c r="H77" i="45"/>
  <c r="U77" i="45" s="1"/>
  <c r="H87" i="45"/>
  <c r="U87" i="45" s="1"/>
  <c r="H72" i="45"/>
  <c r="U72" i="45" s="1"/>
  <c r="J80" i="45"/>
  <c r="W80" i="45" s="1"/>
  <c r="J76" i="45"/>
  <c r="W76" i="45" s="1"/>
  <c r="J73" i="45"/>
  <c r="W73" i="45" s="1"/>
  <c r="J84" i="45"/>
  <c r="W84" i="45" s="1"/>
  <c r="J87" i="45"/>
  <c r="W87" i="45" s="1"/>
  <c r="J78" i="45"/>
  <c r="W78" i="45" s="1"/>
  <c r="J71" i="45"/>
  <c r="W71" i="45" s="1"/>
  <c r="J82" i="45"/>
  <c r="W82" i="45" s="1"/>
  <c r="J92" i="45"/>
  <c r="W92" i="45" s="1"/>
  <c r="J66" i="45"/>
  <c r="W66" i="45" s="1"/>
  <c r="J74" i="45"/>
  <c r="W74" i="45" s="1"/>
  <c r="J97" i="45"/>
  <c r="W97" i="45" s="1"/>
  <c r="J64" i="45"/>
  <c r="W64" i="45" s="1"/>
  <c r="J83" i="45"/>
  <c r="W83" i="45" s="1"/>
  <c r="J91" i="45"/>
  <c r="W91" i="45" s="1"/>
  <c r="J85" i="45"/>
  <c r="W85" i="45" s="1"/>
  <c r="J75" i="45"/>
  <c r="W75" i="45" s="1"/>
  <c r="J96" i="45"/>
  <c r="W96" i="45" s="1"/>
  <c r="J68" i="45"/>
  <c r="W68" i="45" s="1"/>
  <c r="J72" i="45"/>
  <c r="W72" i="45" s="1"/>
  <c r="J90" i="45"/>
  <c r="W90" i="45" s="1"/>
  <c r="J95" i="45"/>
  <c r="W95" i="45" s="1"/>
  <c r="J93" i="45"/>
  <c r="W93" i="45" s="1"/>
  <c r="J67" i="45"/>
  <c r="W67" i="45" s="1"/>
  <c r="J69" i="45"/>
  <c r="W69" i="45" s="1"/>
  <c r="J70" i="45"/>
  <c r="W70" i="45" s="1"/>
  <c r="J81" i="45"/>
  <c r="W81" i="45" s="1"/>
  <c r="J88" i="45"/>
  <c r="W88" i="45" s="1"/>
  <c r="J65" i="45"/>
  <c r="W65" i="45" s="1"/>
  <c r="J86" i="45"/>
  <c r="W86" i="45" s="1"/>
  <c r="J77" i="45"/>
  <c r="W77" i="45" s="1"/>
  <c r="J89" i="45"/>
  <c r="W89" i="45" s="1"/>
  <c r="J94" i="45"/>
  <c r="W94" i="45" s="1"/>
  <c r="J79" i="45"/>
  <c r="W79" i="45" s="1"/>
  <c r="GO53" i="1" l="1"/>
  <c r="GT53" i="1" s="1"/>
  <c r="H46" i="35"/>
  <c r="GO47" i="1"/>
  <c r="GT47" i="1" s="1"/>
  <c r="AH2" i="3"/>
  <c r="K51" i="8"/>
  <c r="S51" i="8"/>
  <c r="W51" i="8" s="1"/>
  <c r="AN51" i="8" s="1"/>
  <c r="GO45" i="1"/>
  <c r="GT45" i="1" s="1"/>
  <c r="S56" i="8"/>
  <c r="AE44" i="3"/>
  <c r="AJ2" i="3"/>
  <c r="S55" i="8"/>
  <c r="W55" i="8" s="1"/>
  <c r="AN55" i="8" s="1"/>
  <c r="S54" i="8"/>
  <c r="U54" i="8" s="1"/>
  <c r="S53" i="8"/>
  <c r="C62" i="27"/>
  <c r="CK90" i="45" a="1"/>
  <c r="CK90" i="45" s="1"/>
  <c r="CX90" i="45" s="1"/>
  <c r="CK87" i="45" a="1"/>
  <c r="CK87" i="45" s="1"/>
  <c r="CX87" i="45" s="1"/>
  <c r="AH90" i="45" a="1"/>
  <c r="AH90" i="45" s="1"/>
  <c r="AU90" i="45" s="1"/>
  <c r="CK84" i="45" a="1"/>
  <c r="CK84" i="45" s="1"/>
  <c r="CX84" i="45" s="1"/>
  <c r="CK79" i="45" a="1"/>
  <c r="CK79" i="45" s="1"/>
  <c r="CX79" i="45" s="1"/>
  <c r="CK72" i="45" a="1"/>
  <c r="CK72" i="45" s="1"/>
  <c r="CX72" i="45" s="1"/>
  <c r="CK75" i="45" a="1"/>
  <c r="CK75" i="45" s="1"/>
  <c r="CX75" i="45" s="1"/>
  <c r="AH84" i="45" a="1"/>
  <c r="AH84" i="45" s="1"/>
  <c r="AU84" i="45" s="1"/>
  <c r="AH77" i="45" a="1"/>
  <c r="AH77" i="45" s="1"/>
  <c r="AU77" i="45" s="1"/>
  <c r="CK88" i="45" a="1"/>
  <c r="CK88" i="45" s="1"/>
  <c r="CX88" i="45" s="1"/>
  <c r="AH92" i="45" a="1"/>
  <c r="AH92" i="45" s="1"/>
  <c r="AU92" i="45" s="1"/>
  <c r="CK85" i="45" a="1"/>
  <c r="CK85" i="45" s="1"/>
  <c r="CX85" i="45" s="1"/>
  <c r="CK94" i="45" a="1"/>
  <c r="CK94" i="45" s="1"/>
  <c r="CX94" i="45" s="1"/>
  <c r="AH67" i="45" a="1"/>
  <c r="AH67" i="45" s="1"/>
  <c r="AU67" i="45" s="1"/>
  <c r="CK65" i="45" a="1"/>
  <c r="CK65" i="45" s="1"/>
  <c r="CX65" i="45" s="1"/>
  <c r="AH68" i="45" a="1"/>
  <c r="AH68" i="45" s="1"/>
  <c r="AU68" i="45" s="1"/>
  <c r="CK68" i="45" a="1"/>
  <c r="CK68" i="45" s="1"/>
  <c r="CX68" i="45" s="1"/>
  <c r="CK82" i="45" a="1"/>
  <c r="CK82" i="45" s="1"/>
  <c r="CX82" i="45" s="1"/>
  <c r="CK66" i="45" a="1"/>
  <c r="CK66" i="45" s="1"/>
  <c r="CX66" i="45" s="1"/>
  <c r="AH81" i="45" a="1"/>
  <c r="AH81" i="45" s="1"/>
  <c r="AU81" i="45" s="1"/>
  <c r="CK78" i="45" a="1"/>
  <c r="CK78" i="45" s="1"/>
  <c r="CX78" i="45" s="1"/>
  <c r="AH85" i="45" a="1"/>
  <c r="AH85" i="45" s="1"/>
  <c r="AU85" i="45" s="1"/>
  <c r="AH64" i="45" a="1"/>
  <c r="AH64" i="45" s="1"/>
  <c r="AU64" i="45" s="1"/>
  <c r="AH89" i="45" a="1"/>
  <c r="AH89" i="45" s="1"/>
  <c r="AU89" i="45" s="1"/>
  <c r="AH78" i="45" a="1"/>
  <c r="AH78" i="45" s="1"/>
  <c r="AU78" i="45" s="1"/>
  <c r="AH83" i="45" a="1"/>
  <c r="AH83" i="45" s="1"/>
  <c r="AU83" i="45" s="1"/>
  <c r="CK76" i="45" a="1"/>
  <c r="CK76" i="45" s="1"/>
  <c r="CX76" i="45" s="1"/>
  <c r="AH94" i="45" a="1"/>
  <c r="AH94" i="45" s="1"/>
  <c r="AU94" i="45" s="1"/>
  <c r="AH97" i="45" a="1"/>
  <c r="AH97" i="45" s="1"/>
  <c r="AU97" i="45" s="1"/>
  <c r="CK81" i="45" a="1"/>
  <c r="CK81" i="45" s="1"/>
  <c r="CX81" i="45" s="1"/>
  <c r="CK89" i="45" a="1"/>
  <c r="CK89" i="45" s="1"/>
  <c r="CX89" i="45" s="1"/>
  <c r="CK71" i="45" a="1"/>
  <c r="CK71" i="45" s="1"/>
  <c r="CX71" i="45" s="1"/>
  <c r="AH70" i="45" a="1"/>
  <c r="AH70" i="45" s="1"/>
  <c r="AU70" i="45" s="1"/>
  <c r="AH80" i="45" a="1"/>
  <c r="AH80" i="45" s="1"/>
  <c r="AU80" i="45" s="1"/>
  <c r="CK69" i="45" a="1"/>
  <c r="CK69" i="45" s="1"/>
  <c r="CX69" i="45" s="1"/>
  <c r="CK92" i="45" a="1"/>
  <c r="CK92" i="45" s="1"/>
  <c r="CX92" i="45" s="1"/>
  <c r="AH95" i="45" a="1"/>
  <c r="AH95" i="45" s="1"/>
  <c r="AU95" i="45" s="1"/>
  <c r="AH87" i="45" a="1"/>
  <c r="AH87" i="45" s="1"/>
  <c r="AU87" i="45" s="1"/>
  <c r="AH79" i="45" a="1"/>
  <c r="AH79" i="45" s="1"/>
  <c r="AU79" i="45" s="1"/>
  <c r="AH82" i="45" a="1"/>
  <c r="AH82" i="45" s="1"/>
  <c r="AU82" i="45" s="1"/>
  <c r="AH86" i="45" a="1"/>
  <c r="AH86" i="45" s="1"/>
  <c r="AU86" i="45" s="1"/>
  <c r="AH88" i="45" a="1"/>
  <c r="AH88" i="45" s="1"/>
  <c r="AU88" i="45" s="1"/>
  <c r="CK67" i="45" a="1"/>
  <c r="CK67" i="45" s="1"/>
  <c r="CX67" i="45" s="1"/>
  <c r="CK70" i="45" a="1"/>
  <c r="CK70" i="45" s="1"/>
  <c r="CX70" i="45" s="1"/>
  <c r="AH66" i="45" a="1"/>
  <c r="AH66" i="45" s="1"/>
  <c r="AU66" i="45" s="1"/>
  <c r="CK74" i="45" a="1"/>
  <c r="CK74" i="45" s="1"/>
  <c r="CX74" i="45" s="1"/>
  <c r="AH76" i="45" a="1"/>
  <c r="AH76" i="45" s="1"/>
  <c r="AU76" i="45" s="1"/>
  <c r="AH91" i="45" a="1"/>
  <c r="AH91" i="45" s="1"/>
  <c r="AU91" i="45" s="1"/>
  <c r="CK73" i="45" a="1"/>
  <c r="CK73" i="45" s="1"/>
  <c r="CX73" i="45" s="1"/>
  <c r="AH96" i="45" a="1"/>
  <c r="AH96" i="45" s="1"/>
  <c r="AU96" i="45" s="1"/>
  <c r="CK95" i="45" a="1"/>
  <c r="CK95" i="45" s="1"/>
  <c r="CX95" i="45" s="1"/>
  <c r="AH73" i="45" a="1"/>
  <c r="AH73" i="45" s="1"/>
  <c r="AU73" i="45" s="1"/>
  <c r="CK80" i="45" a="1"/>
  <c r="CK80" i="45" s="1"/>
  <c r="CX80" i="45" s="1"/>
  <c r="AH75" i="45" a="1"/>
  <c r="AH75" i="45" s="1"/>
  <c r="AU75" i="45" s="1"/>
  <c r="CK77" i="45" a="1"/>
  <c r="CK77" i="45" s="1"/>
  <c r="CX77" i="45" s="1"/>
  <c r="CK86" i="45" a="1"/>
  <c r="CK86" i="45" s="1"/>
  <c r="CX86" i="45" s="1"/>
  <c r="AH72" i="45" a="1"/>
  <c r="AH72" i="45" s="1"/>
  <c r="AU72" i="45" s="1"/>
  <c r="AH74" i="45" a="1"/>
  <c r="AH74" i="45" s="1"/>
  <c r="AU74" i="45" s="1"/>
  <c r="CK83" i="45" a="1"/>
  <c r="CK83" i="45" s="1"/>
  <c r="CX83" i="45" s="1"/>
  <c r="AH65" i="45" a="1"/>
  <c r="AH65" i="45" s="1"/>
  <c r="AU65" i="45" s="1"/>
  <c r="CK91" i="45" a="1"/>
  <c r="CK91" i="45" s="1"/>
  <c r="CX91" i="45" s="1"/>
  <c r="AH69" i="45" a="1"/>
  <c r="AH69" i="45" s="1"/>
  <c r="AU69" i="45" s="1"/>
  <c r="AH71" i="45" a="1"/>
  <c r="AH71" i="45" s="1"/>
  <c r="AU71" i="45" s="1"/>
  <c r="CK64" i="45" a="1"/>
  <c r="CK64" i="45" s="1"/>
  <c r="CX64" i="45" s="1"/>
  <c r="CK96" i="45" a="1"/>
  <c r="CK96" i="45" s="1"/>
  <c r="CX96" i="45" s="1"/>
  <c r="CK93" i="45" a="1"/>
  <c r="CK93" i="45" s="1"/>
  <c r="CX93" i="45" s="1"/>
  <c r="AH93" i="45" a="1"/>
  <c r="AH93" i="45" s="1"/>
  <c r="AU93" i="45" s="1"/>
  <c r="S49" i="8"/>
  <c r="H44" i="35"/>
  <c r="H47" i="35"/>
  <c r="S52" i="8"/>
  <c r="U57" i="8"/>
  <c r="W57" i="8"/>
  <c r="AN57" i="8" s="1"/>
  <c r="S48" i="8"/>
  <c r="K29" i="1"/>
  <c r="H43" i="35"/>
  <c r="AI88" i="45" a="1"/>
  <c r="AI88" i="45" s="1"/>
  <c r="AV88" i="45" s="1"/>
  <c r="AI69" i="45" a="1"/>
  <c r="AI69" i="45" s="1"/>
  <c r="AV69" i="45" s="1"/>
  <c r="CL96" i="45" a="1"/>
  <c r="CL96" i="45" s="1"/>
  <c r="CY96" i="45" s="1"/>
  <c r="CL65" i="45" a="1"/>
  <c r="CL65" i="45" s="1"/>
  <c r="CY65" i="45" s="1"/>
  <c r="AI76" i="45" a="1"/>
  <c r="AI76" i="45" s="1"/>
  <c r="AV76" i="45" s="1"/>
  <c r="CL67" i="45" a="1"/>
  <c r="CL67" i="45" s="1"/>
  <c r="CY67" i="45" s="1"/>
  <c r="AI82" i="45" a="1"/>
  <c r="AI82" i="45" s="1"/>
  <c r="AV82" i="45" s="1"/>
  <c r="AI67" i="45" a="1"/>
  <c r="AI67" i="45" s="1"/>
  <c r="AV67" i="45" s="1"/>
  <c r="AI78" i="45" a="1"/>
  <c r="AI78" i="45" s="1"/>
  <c r="AV78" i="45" s="1"/>
  <c r="CL93" i="45" a="1"/>
  <c r="CL93" i="45" s="1"/>
  <c r="CY93" i="45" s="1"/>
  <c r="CL87" i="45" a="1"/>
  <c r="CL87" i="45" s="1"/>
  <c r="CY87" i="45" s="1"/>
  <c r="AI75" i="45" a="1"/>
  <c r="AI75" i="45" s="1"/>
  <c r="AV75" i="45" s="1"/>
  <c r="CL71" i="45" a="1"/>
  <c r="CL71" i="45" s="1"/>
  <c r="CY71" i="45" s="1"/>
  <c r="CL68" i="45" a="1"/>
  <c r="CL68" i="45" s="1"/>
  <c r="CY68" i="45" s="1"/>
  <c r="AI90" i="45" a="1"/>
  <c r="AI90" i="45" s="1"/>
  <c r="AV90" i="45" s="1"/>
  <c r="AI85" i="45" a="1"/>
  <c r="AI85" i="45" s="1"/>
  <c r="AV85" i="45" s="1"/>
  <c r="CL89" i="45" a="1"/>
  <c r="CL89" i="45" s="1"/>
  <c r="CY89" i="45" s="1"/>
  <c r="AI80" i="45" a="1"/>
  <c r="AI80" i="45" s="1"/>
  <c r="AV80" i="45" s="1"/>
  <c r="CL64" i="45" a="1"/>
  <c r="CL64" i="45" s="1"/>
  <c r="CY64" i="45" s="1"/>
  <c r="AI84" i="45" a="1"/>
  <c r="AI84" i="45" s="1"/>
  <c r="AV84" i="45" s="1"/>
  <c r="AI92" i="45" a="1"/>
  <c r="AI92" i="45" s="1"/>
  <c r="AV92" i="45" s="1"/>
  <c r="CL92" i="45" a="1"/>
  <c r="CL92" i="45" s="1"/>
  <c r="CY92" i="45" s="1"/>
  <c r="CL86" i="45" a="1"/>
  <c r="CL86" i="45" s="1"/>
  <c r="CY86" i="45" s="1"/>
  <c r="AI64" i="45" a="1"/>
  <c r="AI64" i="45" s="1"/>
  <c r="AV64" i="45" s="1"/>
  <c r="AI87" i="45" a="1"/>
  <c r="AI87" i="45" s="1"/>
  <c r="AV87" i="45" s="1"/>
  <c r="AI77" i="45" a="1"/>
  <c r="AI77" i="45" s="1"/>
  <c r="AV77" i="45" s="1"/>
  <c r="CL78" i="45" a="1"/>
  <c r="CL78" i="45" s="1"/>
  <c r="CY78" i="45" s="1"/>
  <c r="CL80" i="45" a="1"/>
  <c r="CL80" i="45" s="1"/>
  <c r="CY80" i="45" s="1"/>
  <c r="AI74" i="45" a="1"/>
  <c r="AI74" i="45" s="1"/>
  <c r="AV74" i="45" s="1"/>
  <c r="CL90" i="45" a="1"/>
  <c r="CL90" i="45" s="1"/>
  <c r="CY90" i="45" s="1"/>
  <c r="AI66" i="45" a="1"/>
  <c r="AI66" i="45" s="1"/>
  <c r="AV66" i="45" s="1"/>
  <c r="AI81" i="45" a="1"/>
  <c r="AI81" i="45" s="1"/>
  <c r="AV81" i="45" s="1"/>
  <c r="CL94" i="45" a="1"/>
  <c r="CL94" i="45" s="1"/>
  <c r="CY94" i="45" s="1"/>
  <c r="CL85" i="45" a="1"/>
  <c r="CL85" i="45" s="1"/>
  <c r="CY85" i="45" s="1"/>
  <c r="AI70" i="45" a="1"/>
  <c r="AI70" i="45" s="1"/>
  <c r="AV70" i="45" s="1"/>
  <c r="AI72" i="45" a="1"/>
  <c r="AI72" i="45" s="1"/>
  <c r="AV72" i="45" s="1"/>
  <c r="AI93" i="45" a="1"/>
  <c r="AI93" i="45" s="1"/>
  <c r="AV93" i="45" s="1"/>
  <c r="AI91" i="45" a="1"/>
  <c r="AI91" i="45" s="1"/>
  <c r="AV91" i="45" s="1"/>
  <c r="CL91" i="45" a="1"/>
  <c r="CL91" i="45" s="1"/>
  <c r="CY91" i="45" s="1"/>
  <c r="AI96" i="45" a="1"/>
  <c r="AI96" i="45" s="1"/>
  <c r="AV96" i="45" s="1"/>
  <c r="CL75" i="45" a="1"/>
  <c r="CL75" i="45" s="1"/>
  <c r="CY75" i="45" s="1"/>
  <c r="CL66" i="45" a="1"/>
  <c r="CL66" i="45" s="1"/>
  <c r="CY66" i="45" s="1"/>
  <c r="CL76" i="45" a="1"/>
  <c r="CL76" i="45" s="1"/>
  <c r="CY76" i="45" s="1"/>
  <c r="CL83" i="45" a="1"/>
  <c r="CL83" i="45" s="1"/>
  <c r="CY83" i="45" s="1"/>
  <c r="AI95" i="45" a="1"/>
  <c r="AI95" i="45" s="1"/>
  <c r="AV95" i="45" s="1"/>
  <c r="CL82" i="45" a="1"/>
  <c r="CL82" i="45" s="1"/>
  <c r="CY82" i="45" s="1"/>
  <c r="AI73" i="45" a="1"/>
  <c r="AI73" i="45" s="1"/>
  <c r="AV73" i="45" s="1"/>
  <c r="AI86" i="45" a="1"/>
  <c r="AI86" i="45" s="1"/>
  <c r="AV86" i="45" s="1"/>
  <c r="AI65" i="45" a="1"/>
  <c r="AI65" i="45" s="1"/>
  <c r="AV65" i="45" s="1"/>
  <c r="CL73" i="45" a="1"/>
  <c r="CL73" i="45" s="1"/>
  <c r="CY73" i="45" s="1"/>
  <c r="AI79" i="45" a="1"/>
  <c r="AI79" i="45" s="1"/>
  <c r="AV79" i="45" s="1"/>
  <c r="CL69" i="45" a="1"/>
  <c r="CL69" i="45" s="1"/>
  <c r="CY69" i="45" s="1"/>
  <c r="CL88" i="45" a="1"/>
  <c r="CL88" i="45" s="1"/>
  <c r="CY88" i="45" s="1"/>
  <c r="AI89" i="45" a="1"/>
  <c r="AI89" i="45" s="1"/>
  <c r="AV89" i="45" s="1"/>
  <c r="CL72" i="45" a="1"/>
  <c r="CL72" i="45" s="1"/>
  <c r="CY72" i="45" s="1"/>
  <c r="CL70" i="45" a="1"/>
  <c r="CL70" i="45" s="1"/>
  <c r="CY70" i="45" s="1"/>
  <c r="CL81" i="45" a="1"/>
  <c r="CL81" i="45" s="1"/>
  <c r="CY81" i="45" s="1"/>
  <c r="AI94" i="45" a="1"/>
  <c r="AI94" i="45" s="1"/>
  <c r="AV94" i="45" s="1"/>
  <c r="AI71" i="45" a="1"/>
  <c r="AI71" i="45" s="1"/>
  <c r="AV71" i="45" s="1"/>
  <c r="AI68" i="45" a="1"/>
  <c r="AI68" i="45" s="1"/>
  <c r="AV68" i="45" s="1"/>
  <c r="CL84" i="45" a="1"/>
  <c r="CL84" i="45" s="1"/>
  <c r="CY84" i="45" s="1"/>
  <c r="CL77" i="45" a="1"/>
  <c r="CL77" i="45" s="1"/>
  <c r="CY77" i="45" s="1"/>
  <c r="AI97" i="45" a="1"/>
  <c r="AI97" i="45" s="1"/>
  <c r="AV97" i="45" s="1"/>
  <c r="AI83" i="45" a="1"/>
  <c r="AI83" i="45" s="1"/>
  <c r="AV83" i="45" s="1"/>
  <c r="CL74" i="45" a="1"/>
  <c r="CL74" i="45" s="1"/>
  <c r="CY74" i="45" s="1"/>
  <c r="CL95" i="45" a="1"/>
  <c r="CL95" i="45" s="1"/>
  <c r="CY95" i="45" s="1"/>
  <c r="CL79" i="45" a="1"/>
  <c r="CL79" i="45" s="1"/>
  <c r="CY79" i="45" s="1"/>
  <c r="S50" i="8"/>
  <c r="H45" i="35"/>
  <c r="K53" i="8"/>
  <c r="H48" i="35"/>
  <c r="CH66" i="45" a="1"/>
  <c r="CH66" i="45" s="1"/>
  <c r="CU66" i="45" s="1"/>
  <c r="CH64" i="45" a="1"/>
  <c r="CH64" i="45" s="1"/>
  <c r="CU64" i="45" s="1"/>
  <c r="AE82" i="45" a="1"/>
  <c r="AE82" i="45" s="1"/>
  <c r="AR82" i="45" s="1"/>
  <c r="CH85" i="45" a="1"/>
  <c r="CH85" i="45" s="1"/>
  <c r="CU85" i="45" s="1"/>
  <c r="AE71" i="45" a="1"/>
  <c r="AE71" i="45" s="1"/>
  <c r="AR71" i="45" s="1"/>
  <c r="CH77" i="45" a="1"/>
  <c r="CH77" i="45" s="1"/>
  <c r="CU77" i="45" s="1"/>
  <c r="CH83" i="45" a="1"/>
  <c r="CH83" i="45" s="1"/>
  <c r="CU83" i="45" s="1"/>
  <c r="CH88" i="45" a="1"/>
  <c r="CH88" i="45" s="1"/>
  <c r="CU88" i="45" s="1"/>
  <c r="AE77" i="45" a="1"/>
  <c r="AE77" i="45" s="1"/>
  <c r="AR77" i="45" s="1"/>
  <c r="AE86" i="45" a="1"/>
  <c r="AE86" i="45" s="1"/>
  <c r="AR86" i="45" s="1"/>
  <c r="AE66" i="45" a="1"/>
  <c r="AE66" i="45" s="1"/>
  <c r="AR66" i="45" s="1"/>
  <c r="AE68" i="45" a="1"/>
  <c r="AE68" i="45" s="1"/>
  <c r="AR68" i="45" s="1"/>
  <c r="CH93" i="45" a="1"/>
  <c r="CH93" i="45" s="1"/>
  <c r="CU93" i="45" s="1"/>
  <c r="AE67" i="45" a="1"/>
  <c r="AE67" i="45" s="1"/>
  <c r="AR67" i="45" s="1"/>
  <c r="CH67" i="45" a="1"/>
  <c r="CH67" i="45" s="1"/>
  <c r="CU67" i="45" s="1"/>
  <c r="CH78" i="45" a="1"/>
  <c r="CH78" i="45" s="1"/>
  <c r="CU78" i="45" s="1"/>
  <c r="CH71" i="45" a="1"/>
  <c r="CH71" i="45" s="1"/>
  <c r="CU71" i="45" s="1"/>
  <c r="CH84" i="45" a="1"/>
  <c r="CH84" i="45" s="1"/>
  <c r="CU84" i="45" s="1"/>
  <c r="CH70" i="45" a="1"/>
  <c r="CH70" i="45" s="1"/>
  <c r="CU70" i="45" s="1"/>
  <c r="AE85" i="45" a="1"/>
  <c r="AE85" i="45" s="1"/>
  <c r="AR85" i="45" s="1"/>
  <c r="CH82" i="45" a="1"/>
  <c r="CH82" i="45" s="1"/>
  <c r="CU82" i="45" s="1"/>
  <c r="CH72" i="45" a="1"/>
  <c r="CH72" i="45" s="1"/>
  <c r="CU72" i="45" s="1"/>
  <c r="AE69" i="45" a="1"/>
  <c r="AE69" i="45" s="1"/>
  <c r="AR69" i="45" s="1"/>
  <c r="CH87" i="45" a="1"/>
  <c r="CH87" i="45" s="1"/>
  <c r="CU87" i="45" s="1"/>
  <c r="AE70" i="45" a="1"/>
  <c r="AE70" i="45" s="1"/>
  <c r="AR70" i="45" s="1"/>
  <c r="CH86" i="45" a="1"/>
  <c r="CH86" i="45" s="1"/>
  <c r="CU86" i="45" s="1"/>
  <c r="AE73" i="45" a="1"/>
  <c r="AE73" i="45" s="1"/>
  <c r="AR73" i="45" s="1"/>
  <c r="AE64" i="45" a="1"/>
  <c r="AE64" i="45" s="1"/>
  <c r="AR64" i="45" s="1"/>
  <c r="CH90" i="45" a="1"/>
  <c r="CH90" i="45" s="1"/>
  <c r="CU90" i="45" s="1"/>
  <c r="CH76" i="45" a="1"/>
  <c r="CH76" i="45" s="1"/>
  <c r="CU76" i="45" s="1"/>
  <c r="AE79" i="45" a="1"/>
  <c r="AE79" i="45" s="1"/>
  <c r="AR79" i="45" s="1"/>
  <c r="CH95" i="45" a="1"/>
  <c r="CH95" i="45" s="1"/>
  <c r="CU95" i="45" s="1"/>
  <c r="AE83" i="45" a="1"/>
  <c r="AE83" i="45" s="1"/>
  <c r="AR83" i="45" s="1"/>
  <c r="AE72" i="45" a="1"/>
  <c r="AE72" i="45" s="1"/>
  <c r="AR72" i="45" s="1"/>
  <c r="AE93" i="45" a="1"/>
  <c r="AE93" i="45" s="1"/>
  <c r="AR93" i="45" s="1"/>
  <c r="AE78" i="45" a="1"/>
  <c r="AE78" i="45" s="1"/>
  <c r="AR78" i="45" s="1"/>
  <c r="CH94" i="45" a="1"/>
  <c r="CH94" i="45" s="1"/>
  <c r="CU94" i="45" s="1"/>
  <c r="AE88" i="45" a="1"/>
  <c r="AE88" i="45" s="1"/>
  <c r="AR88" i="45" s="1"/>
  <c r="CH75" i="45" a="1"/>
  <c r="CH75" i="45" s="1"/>
  <c r="CU75" i="45" s="1"/>
  <c r="AE76" i="45" a="1"/>
  <c r="AE76" i="45" s="1"/>
  <c r="AR76" i="45" s="1"/>
  <c r="CH80" i="45" a="1"/>
  <c r="CH80" i="45" s="1"/>
  <c r="CU80" i="45" s="1"/>
  <c r="AE65" i="45" a="1"/>
  <c r="AE65" i="45" s="1"/>
  <c r="AR65" i="45" s="1"/>
  <c r="CH74" i="45" a="1"/>
  <c r="CH74" i="45" s="1"/>
  <c r="CU74" i="45" s="1"/>
  <c r="CH68" i="45" a="1"/>
  <c r="CH68" i="45" s="1"/>
  <c r="CU68" i="45" s="1"/>
  <c r="AE97" i="45" a="1"/>
  <c r="AE97" i="45" s="1"/>
  <c r="AR97" i="45" s="1"/>
  <c r="AE87" i="45" a="1"/>
  <c r="AE87" i="45" s="1"/>
  <c r="AR87" i="45" s="1"/>
  <c r="AE90" i="45" a="1"/>
  <c r="AE90" i="45" s="1"/>
  <c r="AR90" i="45" s="1"/>
  <c r="CH81" i="45" a="1"/>
  <c r="CH81" i="45" s="1"/>
  <c r="CU81" i="45" s="1"/>
  <c r="AE74" i="45" a="1"/>
  <c r="AE74" i="45" s="1"/>
  <c r="AR74" i="45" s="1"/>
  <c r="AE75" i="45" a="1"/>
  <c r="AE75" i="45" s="1"/>
  <c r="AR75" i="45" s="1"/>
  <c r="CH92" i="45" a="1"/>
  <c r="CH92" i="45" s="1"/>
  <c r="CU92" i="45" s="1"/>
  <c r="AE96" i="45" a="1"/>
  <c r="AE96" i="45" s="1"/>
  <c r="AR96" i="45" s="1"/>
  <c r="AE92" i="45" a="1"/>
  <c r="AE92" i="45" s="1"/>
  <c r="AR92" i="45" s="1"/>
  <c r="CH89" i="45" a="1"/>
  <c r="CH89" i="45" s="1"/>
  <c r="CU89" i="45" s="1"/>
  <c r="AE89" i="45" a="1"/>
  <c r="AE89" i="45" s="1"/>
  <c r="AR89" i="45" s="1"/>
  <c r="AE95" i="45" a="1"/>
  <c r="AE95" i="45" s="1"/>
  <c r="AR95" i="45" s="1"/>
  <c r="AE80" i="45" a="1"/>
  <c r="AE80" i="45" s="1"/>
  <c r="AR80" i="45" s="1"/>
  <c r="AE81" i="45" a="1"/>
  <c r="AE81" i="45" s="1"/>
  <c r="AR81" i="45" s="1"/>
  <c r="CH73" i="45" a="1"/>
  <c r="CH73" i="45" s="1"/>
  <c r="CU73" i="45" s="1"/>
  <c r="CH69" i="45" a="1"/>
  <c r="CH69" i="45" s="1"/>
  <c r="CU69" i="45" s="1"/>
  <c r="CH96" i="45" a="1"/>
  <c r="CH96" i="45" s="1"/>
  <c r="CU96" i="45" s="1"/>
  <c r="AE94" i="45" a="1"/>
  <c r="AE94" i="45" s="1"/>
  <c r="AR94" i="45" s="1"/>
  <c r="AE91" i="45" a="1"/>
  <c r="AE91" i="45" s="1"/>
  <c r="AR91" i="45" s="1"/>
  <c r="CH91" i="45" a="1"/>
  <c r="CH91" i="45" s="1"/>
  <c r="CU91" i="45" s="1"/>
  <c r="CH65" i="45" a="1"/>
  <c r="CH65" i="45" s="1"/>
  <c r="CU65" i="45" s="1"/>
  <c r="CH79" i="45" a="1"/>
  <c r="CH79" i="45" s="1"/>
  <c r="CU79" i="45" s="1"/>
  <c r="AE84" i="45" a="1"/>
  <c r="AE84" i="45" s="1"/>
  <c r="AR84" i="45" s="1"/>
  <c r="AD74" i="45" a="1"/>
  <c r="AD74" i="45" s="1"/>
  <c r="AQ74" i="45" s="1"/>
  <c r="AD80" i="45" a="1"/>
  <c r="AD80" i="45" s="1"/>
  <c r="AQ80" i="45" s="1"/>
  <c r="CG71" i="45" a="1"/>
  <c r="CG71" i="45" s="1"/>
  <c r="CT71" i="45" s="1"/>
  <c r="AD84" i="45" a="1"/>
  <c r="AD84" i="45" s="1"/>
  <c r="AQ84" i="45" s="1"/>
  <c r="AD67" i="45" a="1"/>
  <c r="AD67" i="45" s="1"/>
  <c r="AQ67" i="45" s="1"/>
  <c r="AD96" i="45" a="1"/>
  <c r="AD96" i="45" s="1"/>
  <c r="AQ96" i="45" s="1"/>
  <c r="AD77" i="45" a="1"/>
  <c r="AD77" i="45" s="1"/>
  <c r="AQ77" i="45" s="1"/>
  <c r="AD90" i="45" a="1"/>
  <c r="AD90" i="45" s="1"/>
  <c r="AQ90" i="45" s="1"/>
  <c r="AD68" i="45" a="1"/>
  <c r="AD68" i="45" s="1"/>
  <c r="AQ68" i="45" s="1"/>
  <c r="CG64" i="45" a="1"/>
  <c r="CG64" i="45" s="1"/>
  <c r="CT64" i="45" s="1"/>
  <c r="CG79" i="45" a="1"/>
  <c r="CG79" i="45" s="1"/>
  <c r="CT79" i="45" s="1"/>
  <c r="AD97" i="45" a="1"/>
  <c r="AD97" i="45" s="1"/>
  <c r="AQ97" i="45" s="1"/>
  <c r="CG74" i="45" a="1"/>
  <c r="CG74" i="45" s="1"/>
  <c r="CT74" i="45" s="1"/>
  <c r="CG69" i="45" a="1"/>
  <c r="CG69" i="45" s="1"/>
  <c r="CT69" i="45" s="1"/>
  <c r="CG94" i="45" a="1"/>
  <c r="CG94" i="45" s="1"/>
  <c r="CT94" i="45" s="1"/>
  <c r="CG65" i="45" a="1"/>
  <c r="CG65" i="45" s="1"/>
  <c r="CT65" i="45" s="1"/>
  <c r="AD82" i="45" a="1"/>
  <c r="AD82" i="45" s="1"/>
  <c r="AQ82" i="45" s="1"/>
  <c r="AD89" i="45" a="1"/>
  <c r="AD89" i="45" s="1"/>
  <c r="AQ89" i="45" s="1"/>
  <c r="AD76" i="45" a="1"/>
  <c r="AD76" i="45" s="1"/>
  <c r="AQ76" i="45" s="1"/>
  <c r="CG82" i="45" a="1"/>
  <c r="CG82" i="45" s="1"/>
  <c r="CT82" i="45" s="1"/>
  <c r="AD78" i="45" a="1"/>
  <c r="AD78" i="45" s="1"/>
  <c r="AQ78" i="45" s="1"/>
  <c r="AD87" i="45" a="1"/>
  <c r="AD87" i="45" s="1"/>
  <c r="AQ87" i="45" s="1"/>
  <c r="CG70" i="45" a="1"/>
  <c r="CG70" i="45" s="1"/>
  <c r="CT70" i="45" s="1"/>
  <c r="CG72" i="45" a="1"/>
  <c r="CG72" i="45" s="1"/>
  <c r="CT72" i="45" s="1"/>
  <c r="CG91" i="45" a="1"/>
  <c r="CG91" i="45" s="1"/>
  <c r="CT91" i="45" s="1"/>
  <c r="AD64" i="45" a="1"/>
  <c r="AD64" i="45" s="1"/>
  <c r="AQ64" i="45" s="1"/>
  <c r="AD75" i="45" a="1"/>
  <c r="AD75" i="45" s="1"/>
  <c r="AQ75" i="45" s="1"/>
  <c r="CG81" i="45" a="1"/>
  <c r="CG81" i="45" s="1"/>
  <c r="CT81" i="45" s="1"/>
  <c r="CG77" i="45" a="1"/>
  <c r="CG77" i="45" s="1"/>
  <c r="CT77" i="45" s="1"/>
  <c r="CG95" i="45" a="1"/>
  <c r="CG95" i="45" s="1"/>
  <c r="CT95" i="45" s="1"/>
  <c r="CG88" i="45" a="1"/>
  <c r="CG88" i="45" s="1"/>
  <c r="CT88" i="45" s="1"/>
  <c r="CG83" i="45" a="1"/>
  <c r="CG83" i="45" s="1"/>
  <c r="CT83" i="45" s="1"/>
  <c r="AD65" i="45" a="1"/>
  <c r="AD65" i="45" s="1"/>
  <c r="AQ65" i="45" s="1"/>
  <c r="CG75" i="45" a="1"/>
  <c r="CG75" i="45" s="1"/>
  <c r="CT75" i="45" s="1"/>
  <c r="AD66" i="45" a="1"/>
  <c r="AD66" i="45" s="1"/>
  <c r="AQ66" i="45" s="1"/>
  <c r="CG76" i="45" a="1"/>
  <c r="CG76" i="45" s="1"/>
  <c r="CT76" i="45" s="1"/>
  <c r="CG78" i="45" a="1"/>
  <c r="CG78" i="45" s="1"/>
  <c r="CT78" i="45" s="1"/>
  <c r="AD69" i="45" a="1"/>
  <c r="AD69" i="45" s="1"/>
  <c r="AQ69" i="45" s="1"/>
  <c r="CG84" i="45" a="1"/>
  <c r="CG84" i="45" s="1"/>
  <c r="CT84" i="45" s="1"/>
  <c r="AD95" i="45" a="1"/>
  <c r="AD95" i="45" s="1"/>
  <c r="AQ95" i="45" s="1"/>
  <c r="AD92" i="45" a="1"/>
  <c r="AD92" i="45" s="1"/>
  <c r="AQ92" i="45" s="1"/>
  <c r="AD83" i="45" a="1"/>
  <c r="AD83" i="45" s="1"/>
  <c r="AQ83" i="45" s="1"/>
  <c r="CG96" i="45" a="1"/>
  <c r="CG96" i="45" s="1"/>
  <c r="CT96" i="45" s="1"/>
  <c r="CG66" i="45" a="1"/>
  <c r="CG66" i="45" s="1"/>
  <c r="CT66" i="45" s="1"/>
  <c r="CG80" i="45" a="1"/>
  <c r="CG80" i="45" s="1"/>
  <c r="CT80" i="45" s="1"/>
  <c r="AD70" i="45" a="1"/>
  <c r="AD70" i="45" s="1"/>
  <c r="AQ70" i="45" s="1"/>
  <c r="CG89" i="45" a="1"/>
  <c r="CG89" i="45" s="1"/>
  <c r="CT89" i="45" s="1"/>
  <c r="CG68" i="45" a="1"/>
  <c r="CG68" i="45" s="1"/>
  <c r="CT68" i="45" s="1"/>
  <c r="AD72" i="45" a="1"/>
  <c r="AD72" i="45" s="1"/>
  <c r="AQ72" i="45" s="1"/>
  <c r="CG87" i="45" a="1"/>
  <c r="CG87" i="45" s="1"/>
  <c r="CT87" i="45" s="1"/>
  <c r="CG67" i="45" a="1"/>
  <c r="CG67" i="45" s="1"/>
  <c r="CT67" i="45" s="1"/>
  <c r="AD73" i="45" a="1"/>
  <c r="AD73" i="45" s="1"/>
  <c r="AQ73" i="45" s="1"/>
  <c r="AD71" i="45" a="1"/>
  <c r="AD71" i="45" s="1"/>
  <c r="AQ71" i="45" s="1"/>
  <c r="AD79" i="45" a="1"/>
  <c r="AD79" i="45" s="1"/>
  <c r="AQ79" i="45" s="1"/>
  <c r="CG73" i="45" a="1"/>
  <c r="CG73" i="45" s="1"/>
  <c r="CT73" i="45" s="1"/>
  <c r="AD94" i="45" a="1"/>
  <c r="AD94" i="45" s="1"/>
  <c r="AQ94" i="45" s="1"/>
  <c r="AD85" i="45" a="1"/>
  <c r="AD85" i="45" s="1"/>
  <c r="AQ85" i="45" s="1"/>
  <c r="AD86" i="45" a="1"/>
  <c r="AD86" i="45" s="1"/>
  <c r="AQ86" i="45" s="1"/>
  <c r="CG86" i="45" a="1"/>
  <c r="CG86" i="45" s="1"/>
  <c r="CT86" i="45" s="1"/>
  <c r="CG93" i="45" a="1"/>
  <c r="CG93" i="45" s="1"/>
  <c r="CT93" i="45" s="1"/>
  <c r="AD81" i="45" a="1"/>
  <c r="AD81" i="45" s="1"/>
  <c r="AQ81" i="45" s="1"/>
  <c r="CG85" i="45" a="1"/>
  <c r="CG85" i="45" s="1"/>
  <c r="CT85" i="45" s="1"/>
  <c r="CG90" i="45" a="1"/>
  <c r="CG90" i="45" s="1"/>
  <c r="CT90" i="45" s="1"/>
  <c r="CG92" i="45" a="1"/>
  <c r="CG92" i="45" s="1"/>
  <c r="CT92" i="45" s="1"/>
  <c r="AD93" i="45" a="1"/>
  <c r="AD93" i="45" s="1"/>
  <c r="AQ93" i="45" s="1"/>
  <c r="AD91" i="45" a="1"/>
  <c r="AD91" i="45" s="1"/>
  <c r="AQ91" i="45" s="1"/>
  <c r="AD88" i="45" a="1"/>
  <c r="AD88" i="45" s="1"/>
  <c r="AQ88" i="45" s="1"/>
  <c r="AB91" i="45" a="1"/>
  <c r="AB91" i="45" s="1"/>
  <c r="AO91" i="45" s="1"/>
  <c r="AB79" i="45" a="1"/>
  <c r="AB79" i="45" s="1"/>
  <c r="AO79" i="45" s="1"/>
  <c r="AB97" i="45" a="1"/>
  <c r="AB97" i="45" s="1"/>
  <c r="AO97" i="45" s="1"/>
  <c r="AB93" i="45" a="1"/>
  <c r="AB93" i="45" s="1"/>
  <c r="AO93" i="45" s="1"/>
  <c r="CE73" i="45" a="1"/>
  <c r="CE73" i="45" s="1"/>
  <c r="CR73" i="45" s="1"/>
  <c r="AB90" i="45" a="1"/>
  <c r="AB90" i="45" s="1"/>
  <c r="AO90" i="45" s="1"/>
  <c r="AB76" i="45" a="1"/>
  <c r="AB76" i="45" s="1"/>
  <c r="AO76" i="45" s="1"/>
  <c r="CE89" i="45" a="1"/>
  <c r="CE89" i="45" s="1"/>
  <c r="CR89" i="45" s="1"/>
  <c r="AB65" i="45" a="1"/>
  <c r="AB65" i="45" s="1"/>
  <c r="AO65" i="45" s="1"/>
  <c r="CE94" i="45" a="1"/>
  <c r="CE94" i="45" s="1"/>
  <c r="CR94" i="45" s="1"/>
  <c r="CE67" i="45" a="1"/>
  <c r="CE67" i="45" s="1"/>
  <c r="CR67" i="45" s="1"/>
  <c r="AB74" i="45" a="1"/>
  <c r="AB74" i="45" s="1"/>
  <c r="AO74" i="45" s="1"/>
  <c r="AB92" i="45" a="1"/>
  <c r="AB92" i="45" s="1"/>
  <c r="AO92" i="45" s="1"/>
  <c r="CE74" i="45" a="1"/>
  <c r="CE74" i="45" s="1"/>
  <c r="CR74" i="45" s="1"/>
  <c r="CE64" i="45" a="1"/>
  <c r="CE64" i="45" s="1"/>
  <c r="CR64" i="45" s="1"/>
  <c r="CE87" i="45" a="1"/>
  <c r="CE87" i="45" s="1"/>
  <c r="CR87" i="45" s="1"/>
  <c r="AB87" i="45" a="1"/>
  <c r="AB87" i="45" s="1"/>
  <c r="AO87" i="45" s="1"/>
  <c r="AB82" i="45" a="1"/>
  <c r="AB82" i="45" s="1"/>
  <c r="AO82" i="45" s="1"/>
  <c r="CE81" i="45" a="1"/>
  <c r="CE81" i="45" s="1"/>
  <c r="CR81" i="45" s="1"/>
  <c r="AB70" i="45" a="1"/>
  <c r="AB70" i="45" s="1"/>
  <c r="AO70" i="45" s="1"/>
  <c r="CE86" i="45" a="1"/>
  <c r="CE86" i="45" s="1"/>
  <c r="CR86" i="45" s="1"/>
  <c r="CE68" i="45" a="1"/>
  <c r="CE68" i="45" s="1"/>
  <c r="CR68" i="45" s="1"/>
  <c r="CE93" i="45" a="1"/>
  <c r="CE93" i="45" s="1"/>
  <c r="CR93" i="45" s="1"/>
  <c r="CE78" i="45" a="1"/>
  <c r="CE78" i="45" s="1"/>
  <c r="CR78" i="45" s="1"/>
  <c r="CE72" i="45" a="1"/>
  <c r="CE72" i="45" s="1"/>
  <c r="CR72" i="45" s="1"/>
  <c r="AB86" i="45" a="1"/>
  <c r="AB86" i="45" s="1"/>
  <c r="AO86" i="45" s="1"/>
  <c r="AB67" i="45" a="1"/>
  <c r="AB67" i="45" s="1"/>
  <c r="AO67" i="45" s="1"/>
  <c r="CE66" i="45" a="1"/>
  <c r="CE66" i="45" s="1"/>
  <c r="CR66" i="45" s="1"/>
  <c r="CE80" i="45" a="1"/>
  <c r="CE80" i="45" s="1"/>
  <c r="CR80" i="45" s="1"/>
  <c r="AB95" i="45" a="1"/>
  <c r="AB95" i="45" s="1"/>
  <c r="AO95" i="45" s="1"/>
  <c r="CE96" i="45" a="1"/>
  <c r="CE96" i="45" s="1"/>
  <c r="CR96" i="45" s="1"/>
  <c r="CE90" i="45" a="1"/>
  <c r="CE90" i="45" s="1"/>
  <c r="CR90" i="45" s="1"/>
  <c r="AB66" i="45" a="1"/>
  <c r="AB66" i="45" s="1"/>
  <c r="AO66" i="45" s="1"/>
  <c r="CE76" i="45" a="1"/>
  <c r="CE76" i="45" s="1"/>
  <c r="CR76" i="45" s="1"/>
  <c r="AB89" i="45" a="1"/>
  <c r="AB89" i="45" s="1"/>
  <c r="AO89" i="45" s="1"/>
  <c r="CE77" i="45" a="1"/>
  <c r="CE77" i="45" s="1"/>
  <c r="CR77" i="45" s="1"/>
  <c r="AB75" i="45" a="1"/>
  <c r="AB75" i="45" s="1"/>
  <c r="AO75" i="45" s="1"/>
  <c r="CE92" i="45" a="1"/>
  <c r="CE92" i="45" s="1"/>
  <c r="CR92" i="45" s="1"/>
  <c r="AB80" i="45" a="1"/>
  <c r="AB80" i="45" s="1"/>
  <c r="AO80" i="45" s="1"/>
  <c r="CE70" i="45" a="1"/>
  <c r="CE70" i="45" s="1"/>
  <c r="CR70" i="45" s="1"/>
  <c r="CE69" i="45" a="1"/>
  <c r="CE69" i="45" s="1"/>
  <c r="CR69" i="45" s="1"/>
  <c r="AB77" i="45" a="1"/>
  <c r="AB77" i="45" s="1"/>
  <c r="AO77" i="45" s="1"/>
  <c r="AB64" i="45" a="1"/>
  <c r="AB64" i="45" s="1"/>
  <c r="AO64" i="45" s="1"/>
  <c r="AB83" i="45" a="1"/>
  <c r="AB83" i="45" s="1"/>
  <c r="AO83" i="45" s="1"/>
  <c r="AB94" i="45" a="1"/>
  <c r="AB94" i="45" s="1"/>
  <c r="AO94" i="45" s="1"/>
  <c r="AB96" i="45" a="1"/>
  <c r="AB96" i="45" s="1"/>
  <c r="AO96" i="45" s="1"/>
  <c r="CE82" i="45" a="1"/>
  <c r="CE82" i="45" s="1"/>
  <c r="CR82" i="45" s="1"/>
  <c r="CE65" i="45" a="1"/>
  <c r="CE65" i="45" s="1"/>
  <c r="CR65" i="45" s="1"/>
  <c r="AB68" i="45" a="1"/>
  <c r="AB68" i="45" s="1"/>
  <c r="AO68" i="45" s="1"/>
  <c r="AB81" i="45" a="1"/>
  <c r="AB81" i="45" s="1"/>
  <c r="AO81" i="45" s="1"/>
  <c r="CE85" i="45" a="1"/>
  <c r="CE85" i="45" s="1"/>
  <c r="CR85" i="45" s="1"/>
  <c r="AB85" i="45" a="1"/>
  <c r="AB85" i="45" s="1"/>
  <c r="AO85" i="45" s="1"/>
  <c r="AB69" i="45" a="1"/>
  <c r="AB69" i="45" s="1"/>
  <c r="AO69" i="45" s="1"/>
  <c r="AB84" i="45" a="1"/>
  <c r="AB84" i="45" s="1"/>
  <c r="AO84" i="45" s="1"/>
  <c r="CE84" i="45" a="1"/>
  <c r="CE84" i="45" s="1"/>
  <c r="CR84" i="45" s="1"/>
  <c r="CE83" i="45" a="1"/>
  <c r="CE83" i="45" s="1"/>
  <c r="CR83" i="45" s="1"/>
  <c r="AB73" i="45" a="1"/>
  <c r="AB73" i="45" s="1"/>
  <c r="AO73" i="45" s="1"/>
  <c r="AB88" i="45" a="1"/>
  <c r="AB88" i="45" s="1"/>
  <c r="AO88" i="45" s="1"/>
  <c r="CE95" i="45" a="1"/>
  <c r="CE95" i="45" s="1"/>
  <c r="CR95" i="45" s="1"/>
  <c r="AB71" i="45" a="1"/>
  <c r="AB71" i="45" s="1"/>
  <c r="AO71" i="45" s="1"/>
  <c r="CE75" i="45" a="1"/>
  <c r="CE75" i="45" s="1"/>
  <c r="CR75" i="45" s="1"/>
  <c r="CE91" i="45" a="1"/>
  <c r="CE91" i="45" s="1"/>
  <c r="CR91" i="45" s="1"/>
  <c r="CE71" i="45" a="1"/>
  <c r="CE71" i="45" s="1"/>
  <c r="CR71" i="45" s="1"/>
  <c r="CE79" i="45" a="1"/>
  <c r="CE79" i="45" s="1"/>
  <c r="CR79" i="45" s="1"/>
  <c r="AB72" i="45" a="1"/>
  <c r="AB72" i="45" s="1"/>
  <c r="AO72" i="45" s="1"/>
  <c r="CE88" i="45" a="1"/>
  <c r="CE88" i="45" s="1"/>
  <c r="CR88" i="45" s="1"/>
  <c r="AB78" i="45" a="1"/>
  <c r="AB78" i="45" s="1"/>
  <c r="AO78" i="45" s="1"/>
  <c r="AT112" i="2"/>
  <c r="AS112" i="2" s="1"/>
  <c r="O3" i="1" s="1" a="1"/>
  <c r="O3" i="1" s="1"/>
  <c r="AU112" i="2"/>
  <c r="AC87" i="45" a="1"/>
  <c r="AC87" i="45" s="1"/>
  <c r="AP87" i="45" s="1"/>
  <c r="AC66" i="45" a="1"/>
  <c r="AC66" i="45" s="1"/>
  <c r="AP66" i="45" s="1"/>
  <c r="AC77" i="45" a="1"/>
  <c r="AC77" i="45" s="1"/>
  <c r="AP77" i="45" s="1"/>
  <c r="CF93" i="45" a="1"/>
  <c r="CF93" i="45" s="1"/>
  <c r="CS93" i="45" s="1"/>
  <c r="AC64" i="45" a="1"/>
  <c r="AC64" i="45" s="1"/>
  <c r="AP64" i="45" s="1"/>
  <c r="CF86" i="45" a="1"/>
  <c r="CF86" i="45" s="1"/>
  <c r="CS86" i="45" s="1"/>
  <c r="AC67" i="45" a="1"/>
  <c r="AC67" i="45" s="1"/>
  <c r="AP67" i="45" s="1"/>
  <c r="AC85" i="45" a="1"/>
  <c r="AC85" i="45" s="1"/>
  <c r="AP85" i="45" s="1"/>
  <c r="CF71" i="45" a="1"/>
  <c r="CF71" i="45" s="1"/>
  <c r="CS71" i="45" s="1"/>
  <c r="AC89" i="45" a="1"/>
  <c r="AC89" i="45" s="1"/>
  <c r="AP89" i="45" s="1"/>
  <c r="CF67" i="45" a="1"/>
  <c r="CF67" i="45" s="1"/>
  <c r="CS67" i="45" s="1"/>
  <c r="AC78" i="45" a="1"/>
  <c r="AC78" i="45" s="1"/>
  <c r="AP78" i="45" s="1"/>
  <c r="CF76" i="45" a="1"/>
  <c r="CF76" i="45" s="1"/>
  <c r="CS76" i="45" s="1"/>
  <c r="AC83" i="45" a="1"/>
  <c r="AC83" i="45" s="1"/>
  <c r="AP83" i="45" s="1"/>
  <c r="CF69" i="45" a="1"/>
  <c r="CF69" i="45" s="1"/>
  <c r="CS69" i="45" s="1"/>
  <c r="AC76" i="45" a="1"/>
  <c r="AC76" i="45" s="1"/>
  <c r="AP76" i="45" s="1"/>
  <c r="CF85" i="45" a="1"/>
  <c r="CF85" i="45" s="1"/>
  <c r="CS85" i="45" s="1"/>
  <c r="AC79" i="45" a="1"/>
  <c r="AC79" i="45" s="1"/>
  <c r="AP79" i="45" s="1"/>
  <c r="AC96" i="45" a="1"/>
  <c r="AC96" i="45" s="1"/>
  <c r="AP96" i="45" s="1"/>
  <c r="AC68" i="45" a="1"/>
  <c r="AC68" i="45" s="1"/>
  <c r="AP68" i="45" s="1"/>
  <c r="CF75" i="45" a="1"/>
  <c r="CF75" i="45" s="1"/>
  <c r="CS75" i="45" s="1"/>
  <c r="CF74" i="45" a="1"/>
  <c r="CF74" i="45" s="1"/>
  <c r="CS74" i="45" s="1"/>
  <c r="CF84" i="45" a="1"/>
  <c r="CF84" i="45" s="1"/>
  <c r="CS84" i="45" s="1"/>
  <c r="CF72" i="45" a="1"/>
  <c r="CF72" i="45" s="1"/>
  <c r="CS72" i="45" s="1"/>
  <c r="CF92" i="45" a="1"/>
  <c r="CF92" i="45" s="1"/>
  <c r="CS92" i="45" s="1"/>
  <c r="CF90" i="45" a="1"/>
  <c r="CF90" i="45" s="1"/>
  <c r="CS90" i="45" s="1"/>
  <c r="CF77" i="45" a="1"/>
  <c r="CF77" i="45" s="1"/>
  <c r="CS77" i="45" s="1"/>
  <c r="CF81" i="45" a="1"/>
  <c r="CF81" i="45" s="1"/>
  <c r="CS81" i="45" s="1"/>
  <c r="CF88" i="45" a="1"/>
  <c r="CF88" i="45" s="1"/>
  <c r="CS88" i="45" s="1"/>
  <c r="CF87" i="45" a="1"/>
  <c r="CF87" i="45" s="1"/>
  <c r="CS87" i="45" s="1"/>
  <c r="CF89" i="45" a="1"/>
  <c r="CF89" i="45" s="1"/>
  <c r="CS89" i="45" s="1"/>
  <c r="CF82" i="45" a="1"/>
  <c r="CF82" i="45" s="1"/>
  <c r="CS82" i="45" s="1"/>
  <c r="CF78" i="45" a="1"/>
  <c r="CF78" i="45" s="1"/>
  <c r="CS78" i="45" s="1"/>
  <c r="AC92" i="45" a="1"/>
  <c r="AC92" i="45" s="1"/>
  <c r="AP92" i="45" s="1"/>
  <c r="AC69" i="45" a="1"/>
  <c r="AC69" i="45" s="1"/>
  <c r="AP69" i="45" s="1"/>
  <c r="AC90" i="45" a="1"/>
  <c r="AC90" i="45" s="1"/>
  <c r="AP90" i="45" s="1"/>
  <c r="AC65" i="45" a="1"/>
  <c r="AC65" i="45" s="1"/>
  <c r="AP65" i="45" s="1"/>
  <c r="AC71" i="45" a="1"/>
  <c r="AC71" i="45" s="1"/>
  <c r="AP71" i="45" s="1"/>
  <c r="CF79" i="45" a="1"/>
  <c r="CF79" i="45" s="1"/>
  <c r="CS79" i="45" s="1"/>
  <c r="CF68" i="45" a="1"/>
  <c r="CF68" i="45" s="1"/>
  <c r="CS68" i="45" s="1"/>
  <c r="AC84" i="45" a="1"/>
  <c r="AC84" i="45" s="1"/>
  <c r="AP84" i="45" s="1"/>
  <c r="AC70" i="45" a="1"/>
  <c r="AC70" i="45" s="1"/>
  <c r="AP70" i="45" s="1"/>
  <c r="CF96" i="45" a="1"/>
  <c r="CF96" i="45" s="1"/>
  <c r="CS96" i="45" s="1"/>
  <c r="AC80" i="45" a="1"/>
  <c r="AC80" i="45" s="1"/>
  <c r="AP80" i="45" s="1"/>
  <c r="CF91" i="45" a="1"/>
  <c r="CF91" i="45" s="1"/>
  <c r="CS91" i="45" s="1"/>
  <c r="AC95" i="45" a="1"/>
  <c r="AC95" i="45" s="1"/>
  <c r="AP95" i="45" s="1"/>
  <c r="AC94" i="45" a="1"/>
  <c r="AC94" i="45" s="1"/>
  <c r="AP94" i="45" s="1"/>
  <c r="AC93" i="45" a="1"/>
  <c r="AC93" i="45" s="1"/>
  <c r="AP93" i="45" s="1"/>
  <c r="CF65" i="45" a="1"/>
  <c r="CF65" i="45" s="1"/>
  <c r="CS65" i="45" s="1"/>
  <c r="CF70" i="45" a="1"/>
  <c r="CF70" i="45" s="1"/>
  <c r="CS70" i="45" s="1"/>
  <c r="CF64" i="45" a="1"/>
  <c r="CF64" i="45" s="1"/>
  <c r="CS64" i="45" s="1"/>
  <c r="AC73" i="45" a="1"/>
  <c r="AC73" i="45" s="1"/>
  <c r="AP73" i="45" s="1"/>
  <c r="AC72" i="45" a="1"/>
  <c r="AC72" i="45" s="1"/>
  <c r="AP72" i="45" s="1"/>
  <c r="AC91" i="45" a="1"/>
  <c r="AC91" i="45" s="1"/>
  <c r="AP91" i="45" s="1"/>
  <c r="AC88" i="45" a="1"/>
  <c r="AC88" i="45" s="1"/>
  <c r="AP88" i="45" s="1"/>
  <c r="AC97" i="45" a="1"/>
  <c r="AC97" i="45" s="1"/>
  <c r="AP97" i="45" s="1"/>
  <c r="AC86" i="45" a="1"/>
  <c r="AC86" i="45" s="1"/>
  <c r="AP86" i="45" s="1"/>
  <c r="CF94" i="45" a="1"/>
  <c r="CF94" i="45" s="1"/>
  <c r="CS94" i="45" s="1"/>
  <c r="AC75" i="45" a="1"/>
  <c r="AC75" i="45" s="1"/>
  <c r="AP75" i="45" s="1"/>
  <c r="CF80" i="45" a="1"/>
  <c r="CF80" i="45" s="1"/>
  <c r="CS80" i="45" s="1"/>
  <c r="AC81" i="45" a="1"/>
  <c r="AC81" i="45" s="1"/>
  <c r="AP81" i="45" s="1"/>
  <c r="CF95" i="45" a="1"/>
  <c r="CF95" i="45" s="1"/>
  <c r="CS95" i="45" s="1"/>
  <c r="CF73" i="45" a="1"/>
  <c r="CF73" i="45" s="1"/>
  <c r="CS73" i="45" s="1"/>
  <c r="AC74" i="45" a="1"/>
  <c r="AC74" i="45" s="1"/>
  <c r="AP74" i="45" s="1"/>
  <c r="CF83" i="45" a="1"/>
  <c r="CF83" i="45" s="1"/>
  <c r="CS83" i="45" s="1"/>
  <c r="AC82" i="45" a="1"/>
  <c r="AC82" i="45" s="1"/>
  <c r="AP82" i="45" s="1"/>
  <c r="CF66" i="45" a="1"/>
  <c r="CF66" i="45" s="1"/>
  <c r="CS66" i="45" s="1"/>
  <c r="AL58" i="8"/>
  <c r="AS113" i="2" s="1"/>
  <c r="C48" i="37"/>
  <c r="AE38" i="37"/>
  <c r="AE48" i="37" s="1"/>
  <c r="AL85" i="45" a="1"/>
  <c r="AL85" i="45" s="1"/>
  <c r="AY85" i="45" s="1"/>
  <c r="AL71" i="45" a="1"/>
  <c r="AL71" i="45" s="1"/>
  <c r="AY71" i="45" s="1"/>
  <c r="CO82" i="45" a="1"/>
  <c r="CO82" i="45" s="1"/>
  <c r="DB82" i="45" s="1"/>
  <c r="AL95" i="45" a="1"/>
  <c r="AL95" i="45" s="1"/>
  <c r="AY95" i="45" s="1"/>
  <c r="CO75" i="45" a="1"/>
  <c r="CO75" i="45" s="1"/>
  <c r="DB75" i="45" s="1"/>
  <c r="AL86" i="45" a="1"/>
  <c r="AL86" i="45" s="1"/>
  <c r="AY86" i="45" s="1"/>
  <c r="CO85" i="45" a="1"/>
  <c r="CO85" i="45" s="1"/>
  <c r="DB85" i="45" s="1"/>
  <c r="CO72" i="45" a="1"/>
  <c r="CO72" i="45" s="1"/>
  <c r="DB72" i="45" s="1"/>
  <c r="AL70" i="45" a="1"/>
  <c r="AL70" i="45" s="1"/>
  <c r="AY70" i="45" s="1"/>
  <c r="CO74" i="45" a="1"/>
  <c r="CO74" i="45" s="1"/>
  <c r="DB74" i="45" s="1"/>
  <c r="AL93" i="45" a="1"/>
  <c r="AL93" i="45" s="1"/>
  <c r="AY93" i="45" s="1"/>
  <c r="CO78" i="45" a="1"/>
  <c r="CO78" i="45" s="1"/>
  <c r="DB78" i="45" s="1"/>
  <c r="AL77" i="45" a="1"/>
  <c r="AL77" i="45" s="1"/>
  <c r="AY77" i="45" s="1"/>
  <c r="CO84" i="45" a="1"/>
  <c r="CO84" i="45" s="1"/>
  <c r="DB84" i="45" s="1"/>
  <c r="AL94" i="45" a="1"/>
  <c r="AL94" i="45" s="1"/>
  <c r="AY94" i="45" s="1"/>
  <c r="AL69" i="45" a="1"/>
  <c r="AL69" i="45" s="1"/>
  <c r="AY69" i="45" s="1"/>
  <c r="CO81" i="45" a="1"/>
  <c r="CO81" i="45" s="1"/>
  <c r="DB81" i="45" s="1"/>
  <c r="CO92" i="45" a="1"/>
  <c r="CO92" i="45" s="1"/>
  <c r="DB92" i="45" s="1"/>
  <c r="CO95" i="45" a="1"/>
  <c r="CO95" i="45" s="1"/>
  <c r="DB95" i="45" s="1"/>
  <c r="AL68" i="45" a="1"/>
  <c r="AL68" i="45" s="1"/>
  <c r="AY68" i="45" s="1"/>
  <c r="CO90" i="45" a="1"/>
  <c r="CO90" i="45" s="1"/>
  <c r="DB90" i="45" s="1"/>
  <c r="CO68" i="45" a="1"/>
  <c r="CO68" i="45" s="1"/>
  <c r="DB68" i="45" s="1"/>
  <c r="CO65" i="45" a="1"/>
  <c r="CO65" i="45" s="1"/>
  <c r="DB65" i="45" s="1"/>
  <c r="AL83" i="45" a="1"/>
  <c r="AL83" i="45" s="1"/>
  <c r="AY83" i="45" s="1"/>
  <c r="AL92" i="45" a="1"/>
  <c r="AL92" i="45" s="1"/>
  <c r="AY92" i="45" s="1"/>
  <c r="AL73" i="45" a="1"/>
  <c r="AL73" i="45" s="1"/>
  <c r="AY73" i="45" s="1"/>
  <c r="CO93" i="45" a="1"/>
  <c r="CO93" i="45" s="1"/>
  <c r="DB93" i="45" s="1"/>
  <c r="CO86" i="45" a="1"/>
  <c r="CO86" i="45" s="1"/>
  <c r="DB86" i="45" s="1"/>
  <c r="AL90" i="45" a="1"/>
  <c r="AL90" i="45" s="1"/>
  <c r="AY90" i="45" s="1"/>
  <c r="CO94" i="45" a="1"/>
  <c r="CO94" i="45" s="1"/>
  <c r="DB94" i="45" s="1"/>
  <c r="CO77" i="45" a="1"/>
  <c r="CO77" i="45" s="1"/>
  <c r="DB77" i="45" s="1"/>
  <c r="AL72" i="45" a="1"/>
  <c r="AL72" i="45" s="1"/>
  <c r="AY72" i="45" s="1"/>
  <c r="AL79" i="45" a="1"/>
  <c r="AL79" i="45" s="1"/>
  <c r="AY79" i="45" s="1"/>
  <c r="CO88" i="45" a="1"/>
  <c r="CO88" i="45" s="1"/>
  <c r="DB88" i="45" s="1"/>
  <c r="CO71" i="45" a="1"/>
  <c r="CO71" i="45" s="1"/>
  <c r="DB71" i="45" s="1"/>
  <c r="CO69" i="45" a="1"/>
  <c r="CO69" i="45" s="1"/>
  <c r="DB69" i="45" s="1"/>
  <c r="CO87" i="45" a="1"/>
  <c r="CO87" i="45" s="1"/>
  <c r="DB87" i="45" s="1"/>
  <c r="AL84" i="45" a="1"/>
  <c r="AL84" i="45" s="1"/>
  <c r="AY84" i="45" s="1"/>
  <c r="AL91" i="45" a="1"/>
  <c r="AL91" i="45" s="1"/>
  <c r="AY91" i="45" s="1"/>
  <c r="AL96" i="45" a="1"/>
  <c r="AL96" i="45" s="1"/>
  <c r="AY96" i="45" s="1"/>
  <c r="CO66" i="45" a="1"/>
  <c r="CO66" i="45" s="1"/>
  <c r="DB66" i="45" s="1"/>
  <c r="AL82" i="45" a="1"/>
  <c r="AL82" i="45" s="1"/>
  <c r="AY82" i="45" s="1"/>
  <c r="AL65" i="45" a="1"/>
  <c r="AL65" i="45" s="1"/>
  <c r="AY65" i="45" s="1"/>
  <c r="AL74" i="45" a="1"/>
  <c r="AL74" i="45" s="1"/>
  <c r="AY74" i="45" s="1"/>
  <c r="AL76" i="45" a="1"/>
  <c r="AL76" i="45" s="1"/>
  <c r="AY76" i="45" s="1"/>
  <c r="CO96" i="45" a="1"/>
  <c r="CO96" i="45" s="1"/>
  <c r="DB96" i="45" s="1"/>
  <c r="CO73" i="45" a="1"/>
  <c r="CO73" i="45" s="1"/>
  <c r="DB73" i="45" s="1"/>
  <c r="CO80" i="45" a="1"/>
  <c r="CO80" i="45" s="1"/>
  <c r="DB80" i="45" s="1"/>
  <c r="CO70" i="45" a="1"/>
  <c r="CO70" i="45" s="1"/>
  <c r="DB70" i="45" s="1"/>
  <c r="CO64" i="45" a="1"/>
  <c r="CO64" i="45" s="1"/>
  <c r="DB64" i="45" s="1"/>
  <c r="AL75" i="45" a="1"/>
  <c r="AL75" i="45" s="1"/>
  <c r="AY75" i="45" s="1"/>
  <c r="CO79" i="45" a="1"/>
  <c r="CO79" i="45" s="1"/>
  <c r="DB79" i="45" s="1"/>
  <c r="AL88" i="45" a="1"/>
  <c r="AL88" i="45" s="1"/>
  <c r="AY88" i="45" s="1"/>
  <c r="AL78" i="45" a="1"/>
  <c r="AL78" i="45" s="1"/>
  <c r="AY78" i="45" s="1"/>
  <c r="AL81" i="45" a="1"/>
  <c r="AL81" i="45" s="1"/>
  <c r="AY81" i="45" s="1"/>
  <c r="AL89" i="45" a="1"/>
  <c r="AL89" i="45" s="1"/>
  <c r="AY89" i="45" s="1"/>
  <c r="AL64" i="45" a="1"/>
  <c r="AL64" i="45" s="1"/>
  <c r="AY64" i="45" s="1"/>
  <c r="CO91" i="45" a="1"/>
  <c r="CO91" i="45" s="1"/>
  <c r="DB91" i="45" s="1"/>
  <c r="AL80" i="45" a="1"/>
  <c r="AL80" i="45" s="1"/>
  <c r="AY80" i="45" s="1"/>
  <c r="AL87" i="45" a="1"/>
  <c r="AL87" i="45" s="1"/>
  <c r="AY87" i="45" s="1"/>
  <c r="AL97" i="45" a="1"/>
  <c r="AL97" i="45" s="1"/>
  <c r="AY97" i="45" s="1"/>
  <c r="CO67" i="45" a="1"/>
  <c r="CO67" i="45" s="1"/>
  <c r="DB67" i="45" s="1"/>
  <c r="AL67" i="45" a="1"/>
  <c r="AL67" i="45" s="1"/>
  <c r="AY67" i="45" s="1"/>
  <c r="CO76" i="45" a="1"/>
  <c r="CO76" i="45" s="1"/>
  <c r="DB76" i="45" s="1"/>
  <c r="CO89" i="45" a="1"/>
  <c r="CO89" i="45" s="1"/>
  <c r="DB89" i="45" s="1"/>
  <c r="AL66" i="45" a="1"/>
  <c r="AL66" i="45" s="1"/>
  <c r="AY66" i="45" s="1"/>
  <c r="CO83" i="45" a="1"/>
  <c r="CO83" i="45" s="1"/>
  <c r="DB83" i="45" s="1"/>
  <c r="CP90" i="45" a="1"/>
  <c r="CP90" i="45" s="1"/>
  <c r="DC90" i="45" s="1"/>
  <c r="AM68" i="45" a="1"/>
  <c r="AM68" i="45" s="1"/>
  <c r="AZ68" i="45" s="1"/>
  <c r="AM79" i="45" a="1"/>
  <c r="AM79" i="45" s="1"/>
  <c r="AZ79" i="45" s="1"/>
  <c r="CP84" i="45" a="1"/>
  <c r="CP84" i="45" s="1"/>
  <c r="DC84" i="45" s="1"/>
  <c r="AM66" i="45" a="1"/>
  <c r="AM66" i="45" s="1"/>
  <c r="AZ66" i="45" s="1"/>
  <c r="CP89" i="45" a="1"/>
  <c r="CP89" i="45" s="1"/>
  <c r="DC89" i="45" s="1"/>
  <c r="AM89" i="45" a="1"/>
  <c r="AM89" i="45" s="1"/>
  <c r="AZ89" i="45" s="1"/>
  <c r="AM83" i="45" a="1"/>
  <c r="AM83" i="45" s="1"/>
  <c r="AZ83" i="45" s="1"/>
  <c r="CP78" i="45" a="1"/>
  <c r="CP78" i="45" s="1"/>
  <c r="DC78" i="45" s="1"/>
  <c r="CP86" i="45" a="1"/>
  <c r="CP86" i="45" s="1"/>
  <c r="DC86" i="45" s="1"/>
  <c r="AM86" i="45" a="1"/>
  <c r="AM86" i="45" s="1"/>
  <c r="AZ86" i="45" s="1"/>
  <c r="CP95" i="45" a="1"/>
  <c r="CP95" i="45" s="1"/>
  <c r="DC95" i="45" s="1"/>
  <c r="AM84" i="45" a="1"/>
  <c r="AM84" i="45" s="1"/>
  <c r="AZ84" i="45" s="1"/>
  <c r="CP64" i="45" a="1"/>
  <c r="CP64" i="45" s="1"/>
  <c r="DC64" i="45" s="1"/>
  <c r="AM73" i="45" a="1"/>
  <c r="AM73" i="45" s="1"/>
  <c r="AZ73" i="45" s="1"/>
  <c r="AM80" i="45" a="1"/>
  <c r="AM80" i="45" s="1"/>
  <c r="AZ80" i="45" s="1"/>
  <c r="AM77" i="45" a="1"/>
  <c r="AM77" i="45" s="1"/>
  <c r="AZ77" i="45" s="1"/>
  <c r="AM69" i="45" a="1"/>
  <c r="AM69" i="45" s="1"/>
  <c r="AZ69" i="45" s="1"/>
  <c r="CP72" i="45" a="1"/>
  <c r="CP72" i="45" s="1"/>
  <c r="DC72" i="45" s="1"/>
  <c r="CP94" i="45" a="1"/>
  <c r="CP94" i="45" s="1"/>
  <c r="DC94" i="45" s="1"/>
  <c r="CP77" i="45" a="1"/>
  <c r="CP77" i="45" s="1"/>
  <c r="DC77" i="45" s="1"/>
  <c r="CP76" i="45" a="1"/>
  <c r="CP76" i="45" s="1"/>
  <c r="DC76" i="45" s="1"/>
  <c r="AM70" i="45" a="1"/>
  <c r="AM70" i="45" s="1"/>
  <c r="AZ70" i="45" s="1"/>
  <c r="CP71" i="45" a="1"/>
  <c r="CP71" i="45" s="1"/>
  <c r="DC71" i="45" s="1"/>
  <c r="CP80" i="45" a="1"/>
  <c r="CP80" i="45" s="1"/>
  <c r="DC80" i="45" s="1"/>
  <c r="CP85" i="45" a="1"/>
  <c r="CP85" i="45" s="1"/>
  <c r="DC85" i="45" s="1"/>
  <c r="AM97" i="45" a="1"/>
  <c r="AM97" i="45" s="1"/>
  <c r="AZ97" i="45" s="1"/>
  <c r="AM93" i="45" a="1"/>
  <c r="AM93" i="45" s="1"/>
  <c r="AZ93" i="45" s="1"/>
  <c r="CP93" i="45" a="1"/>
  <c r="CP93" i="45" s="1"/>
  <c r="DC93" i="45" s="1"/>
  <c r="CP67" i="45" a="1"/>
  <c r="CP67" i="45" s="1"/>
  <c r="DC67" i="45" s="1"/>
  <c r="CP66" i="45" a="1"/>
  <c r="CP66" i="45" s="1"/>
  <c r="DC66" i="45" s="1"/>
  <c r="AM94" i="45" a="1"/>
  <c r="AM94" i="45" s="1"/>
  <c r="AZ94" i="45" s="1"/>
  <c r="AM96" i="45" a="1"/>
  <c r="AM96" i="45" s="1"/>
  <c r="AZ96" i="45" s="1"/>
  <c r="AM91" i="45" a="1"/>
  <c r="AM91" i="45" s="1"/>
  <c r="AZ91" i="45" s="1"/>
  <c r="CP87" i="45" a="1"/>
  <c r="CP87" i="45" s="1"/>
  <c r="DC87" i="45" s="1"/>
  <c r="AM87" i="45" a="1"/>
  <c r="AM87" i="45" s="1"/>
  <c r="AZ87" i="45" s="1"/>
  <c r="AM76" i="45" a="1"/>
  <c r="AM76" i="45" s="1"/>
  <c r="AZ76" i="45" s="1"/>
  <c r="AM85" i="45" a="1"/>
  <c r="AM85" i="45" s="1"/>
  <c r="AZ85" i="45" s="1"/>
  <c r="AM67" i="45" a="1"/>
  <c r="AM67" i="45" s="1"/>
  <c r="AZ67" i="45" s="1"/>
  <c r="CP74" i="45" a="1"/>
  <c r="CP74" i="45" s="1"/>
  <c r="DC74" i="45" s="1"/>
  <c r="CP91" i="45" a="1"/>
  <c r="CP91" i="45" s="1"/>
  <c r="DC91" i="45" s="1"/>
  <c r="AM92" i="45" a="1"/>
  <c r="AM92" i="45" s="1"/>
  <c r="AZ92" i="45" s="1"/>
  <c r="AM78" i="45" a="1"/>
  <c r="AM78" i="45" s="1"/>
  <c r="AZ78" i="45" s="1"/>
  <c r="AM95" i="45" a="1"/>
  <c r="AM95" i="45" s="1"/>
  <c r="AZ95" i="45" s="1"/>
  <c r="CP83" i="45" a="1"/>
  <c r="CP83" i="45" s="1"/>
  <c r="DC83" i="45" s="1"/>
  <c r="CP69" i="45" a="1"/>
  <c r="CP69" i="45" s="1"/>
  <c r="DC69" i="45" s="1"/>
  <c r="AM71" i="45" a="1"/>
  <c r="AM71" i="45" s="1"/>
  <c r="AZ71" i="45" s="1"/>
  <c r="AM75" i="45" a="1"/>
  <c r="AM75" i="45" s="1"/>
  <c r="AZ75" i="45" s="1"/>
  <c r="AM74" i="45" a="1"/>
  <c r="AM74" i="45" s="1"/>
  <c r="AZ74" i="45" s="1"/>
  <c r="AM64" i="45" a="1"/>
  <c r="AM64" i="45" s="1"/>
  <c r="AZ64" i="45" s="1"/>
  <c r="CP92" i="45" a="1"/>
  <c r="CP92" i="45" s="1"/>
  <c r="DC92" i="45" s="1"/>
  <c r="CP65" i="45" a="1"/>
  <c r="CP65" i="45" s="1"/>
  <c r="DC65" i="45" s="1"/>
  <c r="CP81" i="45" a="1"/>
  <c r="CP81" i="45" s="1"/>
  <c r="DC81" i="45" s="1"/>
  <c r="CP68" i="45" a="1"/>
  <c r="CP68" i="45" s="1"/>
  <c r="DC68" i="45" s="1"/>
  <c r="CP70" i="45" a="1"/>
  <c r="CP70" i="45" s="1"/>
  <c r="DC70" i="45" s="1"/>
  <c r="AM90" i="45" a="1"/>
  <c r="AM90" i="45" s="1"/>
  <c r="AZ90" i="45" s="1"/>
  <c r="AM65" i="45" a="1"/>
  <c r="AM65" i="45" s="1"/>
  <c r="AZ65" i="45" s="1"/>
  <c r="CP75" i="45" a="1"/>
  <c r="CP75" i="45" s="1"/>
  <c r="DC75" i="45" s="1"/>
  <c r="AM72" i="45" a="1"/>
  <c r="AM72" i="45" s="1"/>
  <c r="AZ72" i="45" s="1"/>
  <c r="CP79" i="45" a="1"/>
  <c r="CP79" i="45" s="1"/>
  <c r="DC79" i="45" s="1"/>
  <c r="CP82" i="45" a="1"/>
  <c r="CP82" i="45" s="1"/>
  <c r="DC82" i="45" s="1"/>
  <c r="CP96" i="45" a="1"/>
  <c r="CP96" i="45" s="1"/>
  <c r="DC96" i="45" s="1"/>
  <c r="AM81" i="45" a="1"/>
  <c r="AM81" i="45" s="1"/>
  <c r="AZ81" i="45" s="1"/>
  <c r="CP73" i="45" a="1"/>
  <c r="CP73" i="45" s="1"/>
  <c r="DC73" i="45" s="1"/>
  <c r="CP88" i="45" a="1"/>
  <c r="CP88" i="45" s="1"/>
  <c r="DC88" i="45" s="1"/>
  <c r="AM82" i="45" a="1"/>
  <c r="AM82" i="45" s="1"/>
  <c r="AZ82" i="45" s="1"/>
  <c r="AM88" i="45" a="1"/>
  <c r="AM88" i="45" s="1"/>
  <c r="AZ88" i="45" s="1"/>
  <c r="AG64" i="45" a="1"/>
  <c r="AG64" i="45" s="1"/>
  <c r="AT64" i="45" s="1"/>
  <c r="AG75" i="45" a="1"/>
  <c r="AG75" i="45" s="1"/>
  <c r="AT75" i="45" s="1"/>
  <c r="AG74" i="45" a="1"/>
  <c r="AG74" i="45" s="1"/>
  <c r="AT74" i="45" s="1"/>
  <c r="CJ74" i="45" a="1"/>
  <c r="CJ74" i="45" s="1"/>
  <c r="CW74" i="45" s="1"/>
  <c r="AG87" i="45" a="1"/>
  <c r="AG87" i="45" s="1"/>
  <c r="AT87" i="45" s="1"/>
  <c r="CJ91" i="45" a="1"/>
  <c r="CJ91" i="45" s="1"/>
  <c r="CW91" i="45" s="1"/>
  <c r="AG82" i="45" a="1"/>
  <c r="AG82" i="45" s="1"/>
  <c r="AT82" i="45" s="1"/>
  <c r="AG96" i="45" a="1"/>
  <c r="AG96" i="45" s="1"/>
  <c r="AT96" i="45" s="1"/>
  <c r="CJ79" i="45" a="1"/>
  <c r="CJ79" i="45" s="1"/>
  <c r="CW79" i="45" s="1"/>
  <c r="AG83" i="45" a="1"/>
  <c r="AG83" i="45" s="1"/>
  <c r="AT83" i="45" s="1"/>
  <c r="CJ84" i="45" a="1"/>
  <c r="CJ84" i="45" s="1"/>
  <c r="CW84" i="45" s="1"/>
  <c r="AG80" i="45" a="1"/>
  <c r="AG80" i="45" s="1"/>
  <c r="AT80" i="45" s="1"/>
  <c r="CJ77" i="45" a="1"/>
  <c r="CJ77" i="45" s="1"/>
  <c r="CW77" i="45" s="1"/>
  <c r="CJ80" i="45" a="1"/>
  <c r="CJ80" i="45" s="1"/>
  <c r="CW80" i="45" s="1"/>
  <c r="CJ87" i="45" a="1"/>
  <c r="CJ87" i="45" s="1"/>
  <c r="CW87" i="45" s="1"/>
  <c r="AG79" i="45" a="1"/>
  <c r="AG79" i="45" s="1"/>
  <c r="AT79" i="45" s="1"/>
  <c r="CJ85" i="45" a="1"/>
  <c r="CJ85" i="45" s="1"/>
  <c r="CW85" i="45" s="1"/>
  <c r="CJ71" i="45" a="1"/>
  <c r="CJ71" i="45" s="1"/>
  <c r="CW71" i="45" s="1"/>
  <c r="CJ88" i="45" a="1"/>
  <c r="CJ88" i="45" s="1"/>
  <c r="CW88" i="45" s="1"/>
  <c r="AG97" i="45" a="1"/>
  <c r="AG97" i="45" s="1"/>
  <c r="AT97" i="45" s="1"/>
  <c r="AG94" i="45" a="1"/>
  <c r="AG94" i="45" s="1"/>
  <c r="AT94" i="45" s="1"/>
  <c r="CJ66" i="45" a="1"/>
  <c r="CJ66" i="45" s="1"/>
  <c r="CW66" i="45" s="1"/>
  <c r="CJ76" i="45" a="1"/>
  <c r="CJ76" i="45" s="1"/>
  <c r="CW76" i="45" s="1"/>
  <c r="AG81" i="45" a="1"/>
  <c r="AG81" i="45" s="1"/>
  <c r="AT81" i="45" s="1"/>
  <c r="AG92" i="45" a="1"/>
  <c r="AG92" i="45" s="1"/>
  <c r="AT92" i="45" s="1"/>
  <c r="AG69" i="45" a="1"/>
  <c r="AG69" i="45" s="1"/>
  <c r="AT69" i="45" s="1"/>
  <c r="AG68" i="45" a="1"/>
  <c r="AG68" i="45" s="1"/>
  <c r="AT68" i="45" s="1"/>
  <c r="CJ65" i="45" a="1"/>
  <c r="CJ65" i="45" s="1"/>
  <c r="CW65" i="45" s="1"/>
  <c r="AG88" i="45" a="1"/>
  <c r="AG88" i="45" s="1"/>
  <c r="AT88" i="45" s="1"/>
  <c r="AG73" i="45" a="1"/>
  <c r="AG73" i="45" s="1"/>
  <c r="AT73" i="45" s="1"/>
  <c r="CJ92" i="45" a="1"/>
  <c r="CJ92" i="45" s="1"/>
  <c r="CW92" i="45" s="1"/>
  <c r="AG67" i="45" a="1"/>
  <c r="AG67" i="45" s="1"/>
  <c r="AT67" i="45" s="1"/>
  <c r="AG89" i="45" a="1"/>
  <c r="AG89" i="45" s="1"/>
  <c r="AT89" i="45" s="1"/>
  <c r="CJ75" i="45" a="1"/>
  <c r="CJ75" i="45" s="1"/>
  <c r="CW75" i="45" s="1"/>
  <c r="AG86" i="45" a="1"/>
  <c r="AG86" i="45" s="1"/>
  <c r="AT86" i="45" s="1"/>
  <c r="CJ83" i="45" a="1"/>
  <c r="CJ83" i="45" s="1"/>
  <c r="CW83" i="45" s="1"/>
  <c r="AG71" i="45" a="1"/>
  <c r="AG71" i="45" s="1"/>
  <c r="AT71" i="45" s="1"/>
  <c r="AG91" i="45" a="1"/>
  <c r="AG91" i="45" s="1"/>
  <c r="AT91" i="45" s="1"/>
  <c r="AG78" i="45" a="1"/>
  <c r="AG78" i="45" s="1"/>
  <c r="AT78" i="45" s="1"/>
  <c r="AG66" i="45" a="1"/>
  <c r="AG66" i="45" s="1"/>
  <c r="AT66" i="45" s="1"/>
  <c r="AG77" i="45" a="1"/>
  <c r="AG77" i="45" s="1"/>
  <c r="AT77" i="45" s="1"/>
  <c r="CJ89" i="45" a="1"/>
  <c r="CJ89" i="45" s="1"/>
  <c r="CW89" i="45" s="1"/>
  <c r="CJ81" i="45" a="1"/>
  <c r="CJ81" i="45" s="1"/>
  <c r="CW81" i="45" s="1"/>
  <c r="AG85" i="45" a="1"/>
  <c r="AG85" i="45" s="1"/>
  <c r="AT85" i="45" s="1"/>
  <c r="CJ70" i="45" a="1"/>
  <c r="CJ70" i="45" s="1"/>
  <c r="CW70" i="45" s="1"/>
  <c r="AG65" i="45" a="1"/>
  <c r="AG65" i="45" s="1"/>
  <c r="AT65" i="45" s="1"/>
  <c r="CJ90" i="45" a="1"/>
  <c r="CJ90" i="45" s="1"/>
  <c r="CW90" i="45" s="1"/>
  <c r="CJ94" i="45" a="1"/>
  <c r="CJ94" i="45" s="1"/>
  <c r="CW94" i="45" s="1"/>
  <c r="CJ78" i="45" a="1"/>
  <c r="CJ78" i="45" s="1"/>
  <c r="CW78" i="45" s="1"/>
  <c r="CJ67" i="45" a="1"/>
  <c r="CJ67" i="45" s="1"/>
  <c r="CW67" i="45" s="1"/>
  <c r="AG93" i="45" a="1"/>
  <c r="AG93" i="45" s="1"/>
  <c r="AT93" i="45" s="1"/>
  <c r="CJ96" i="45" a="1"/>
  <c r="CJ96" i="45" s="1"/>
  <c r="CW96" i="45" s="1"/>
  <c r="CJ72" i="45" a="1"/>
  <c r="CJ72" i="45" s="1"/>
  <c r="CW72" i="45" s="1"/>
  <c r="CJ95" i="45" a="1"/>
  <c r="CJ95" i="45" s="1"/>
  <c r="CW95" i="45" s="1"/>
  <c r="CJ82" i="45" a="1"/>
  <c r="CJ82" i="45" s="1"/>
  <c r="CW82" i="45" s="1"/>
  <c r="CJ73" i="45" a="1"/>
  <c r="CJ73" i="45" s="1"/>
  <c r="CW73" i="45" s="1"/>
  <c r="CJ68" i="45" a="1"/>
  <c r="CJ68" i="45" s="1"/>
  <c r="CW68" i="45" s="1"/>
  <c r="AG95" i="45" a="1"/>
  <c r="AG95" i="45" s="1"/>
  <c r="AT95" i="45" s="1"/>
  <c r="CJ64" i="45" a="1"/>
  <c r="CJ64" i="45" s="1"/>
  <c r="CW64" i="45" s="1"/>
  <c r="CJ93" i="45" a="1"/>
  <c r="CJ93" i="45" s="1"/>
  <c r="CW93" i="45" s="1"/>
  <c r="AG84" i="45" a="1"/>
  <c r="AG84" i="45" s="1"/>
  <c r="AT84" i="45" s="1"/>
  <c r="CJ69" i="45" a="1"/>
  <c r="CJ69" i="45" s="1"/>
  <c r="CW69" i="45" s="1"/>
  <c r="AG90" i="45" a="1"/>
  <c r="AG90" i="45" s="1"/>
  <c r="AT90" i="45" s="1"/>
  <c r="AG76" i="45" a="1"/>
  <c r="AG76" i="45" s="1"/>
  <c r="AT76" i="45" s="1"/>
  <c r="AG70" i="45" a="1"/>
  <c r="AG70" i="45" s="1"/>
  <c r="AT70" i="45" s="1"/>
  <c r="AG72" i="45" a="1"/>
  <c r="AG72" i="45" s="1"/>
  <c r="AT72" i="45" s="1"/>
  <c r="CJ86" i="45" a="1"/>
  <c r="CJ86" i="45" s="1"/>
  <c r="CW86" i="45" s="1"/>
  <c r="V26" i="36"/>
  <c r="AJ78" i="45" a="1"/>
  <c r="AJ78" i="45" s="1"/>
  <c r="AW78" i="45" s="1"/>
  <c r="AJ93" i="45" a="1"/>
  <c r="AJ93" i="45" s="1"/>
  <c r="AW93" i="45" s="1"/>
  <c r="AJ92" i="45" a="1"/>
  <c r="AJ92" i="45" s="1"/>
  <c r="AW92" i="45" s="1"/>
  <c r="CM85" i="45" a="1"/>
  <c r="CM85" i="45" s="1"/>
  <c r="CZ85" i="45" s="1"/>
  <c r="AJ67" i="45" a="1"/>
  <c r="AJ67" i="45" s="1"/>
  <c r="AW67" i="45" s="1"/>
  <c r="CM68" i="45" a="1"/>
  <c r="CM68" i="45" s="1"/>
  <c r="CZ68" i="45" s="1"/>
  <c r="CM94" i="45" a="1"/>
  <c r="CM94" i="45" s="1"/>
  <c r="CZ94" i="45" s="1"/>
  <c r="CM91" i="45" a="1"/>
  <c r="CM91" i="45" s="1"/>
  <c r="CZ91" i="45" s="1"/>
  <c r="AJ97" i="45" a="1"/>
  <c r="AJ97" i="45" s="1"/>
  <c r="AW97" i="45" s="1"/>
  <c r="CM89" i="45" a="1"/>
  <c r="CM89" i="45" s="1"/>
  <c r="CZ89" i="45" s="1"/>
  <c r="AJ71" i="45" a="1"/>
  <c r="AJ71" i="45" s="1"/>
  <c r="AW71" i="45" s="1"/>
  <c r="CM69" i="45" a="1"/>
  <c r="CM69" i="45" s="1"/>
  <c r="CZ69" i="45" s="1"/>
  <c r="CM92" i="45" a="1"/>
  <c r="CM92" i="45" s="1"/>
  <c r="CZ92" i="45" s="1"/>
  <c r="CM93" i="45" a="1"/>
  <c r="CM93" i="45" s="1"/>
  <c r="CZ93" i="45" s="1"/>
  <c r="AJ82" i="45" a="1"/>
  <c r="AJ82" i="45" s="1"/>
  <c r="AW82" i="45" s="1"/>
  <c r="CM86" i="45" a="1"/>
  <c r="CM86" i="45" s="1"/>
  <c r="CZ86" i="45" s="1"/>
  <c r="CM77" i="45" a="1"/>
  <c r="CM77" i="45" s="1"/>
  <c r="CZ77" i="45" s="1"/>
  <c r="CM78" i="45" a="1"/>
  <c r="CM78" i="45" s="1"/>
  <c r="CZ78" i="45" s="1"/>
  <c r="AJ83" i="45" a="1"/>
  <c r="AJ83" i="45" s="1"/>
  <c r="AW83" i="45" s="1"/>
  <c r="CM80" i="45" a="1"/>
  <c r="CM80" i="45" s="1"/>
  <c r="CZ80" i="45" s="1"/>
  <c r="CM67" i="45" a="1"/>
  <c r="CM67" i="45" s="1"/>
  <c r="CZ67" i="45" s="1"/>
  <c r="AJ73" i="45" a="1"/>
  <c r="AJ73" i="45" s="1"/>
  <c r="AW73" i="45" s="1"/>
  <c r="CM75" i="45" a="1"/>
  <c r="CM75" i="45" s="1"/>
  <c r="CZ75" i="45" s="1"/>
  <c r="AJ96" i="45" a="1"/>
  <c r="AJ96" i="45" s="1"/>
  <c r="AW96" i="45" s="1"/>
  <c r="CM88" i="45" a="1"/>
  <c r="CM88" i="45" s="1"/>
  <c r="CZ88" i="45" s="1"/>
  <c r="CM84" i="45" a="1"/>
  <c r="CM84" i="45" s="1"/>
  <c r="CZ84" i="45" s="1"/>
  <c r="CM83" i="45" a="1"/>
  <c r="CM83" i="45" s="1"/>
  <c r="CZ83" i="45" s="1"/>
  <c r="AJ94" i="45" a="1"/>
  <c r="AJ94" i="45" s="1"/>
  <c r="AW94" i="45" s="1"/>
  <c r="AJ68" i="45" a="1"/>
  <c r="AJ68" i="45" s="1"/>
  <c r="AW68" i="45" s="1"/>
  <c r="CM90" i="45" a="1"/>
  <c r="CM90" i="45" s="1"/>
  <c r="CZ90" i="45" s="1"/>
  <c r="AJ89" i="45" a="1"/>
  <c r="AJ89" i="45" s="1"/>
  <c r="AW89" i="45" s="1"/>
  <c r="CM82" i="45" a="1"/>
  <c r="CM82" i="45" s="1"/>
  <c r="CZ82" i="45" s="1"/>
  <c r="CM87" i="45" a="1"/>
  <c r="CM87" i="45" s="1"/>
  <c r="CZ87" i="45" s="1"/>
  <c r="AJ80" i="45" a="1"/>
  <c r="AJ80" i="45" s="1"/>
  <c r="AW80" i="45" s="1"/>
  <c r="CM66" i="45" a="1"/>
  <c r="CM66" i="45" s="1"/>
  <c r="CZ66" i="45" s="1"/>
  <c r="CM64" i="45" a="1"/>
  <c r="CM64" i="45" s="1"/>
  <c r="CZ64" i="45" s="1"/>
  <c r="AJ90" i="45" a="1"/>
  <c r="AJ90" i="45" s="1"/>
  <c r="AW90" i="45" s="1"/>
  <c r="CM79" i="45" a="1"/>
  <c r="CM79" i="45" s="1"/>
  <c r="CZ79" i="45" s="1"/>
  <c r="CM65" i="45" a="1"/>
  <c r="CM65" i="45" s="1"/>
  <c r="CZ65" i="45" s="1"/>
  <c r="CM72" i="45" a="1"/>
  <c r="CM72" i="45" s="1"/>
  <c r="CZ72" i="45" s="1"/>
  <c r="AJ76" i="45" a="1"/>
  <c r="AJ76" i="45" s="1"/>
  <c r="AW76" i="45" s="1"/>
  <c r="CM95" i="45" a="1"/>
  <c r="CM95" i="45" s="1"/>
  <c r="CZ95" i="45" s="1"/>
  <c r="AJ77" i="45" a="1"/>
  <c r="AJ77" i="45" s="1"/>
  <c r="AW77" i="45" s="1"/>
  <c r="CM76" i="45" a="1"/>
  <c r="CM76" i="45" s="1"/>
  <c r="CZ76" i="45" s="1"/>
  <c r="CM71" i="45" a="1"/>
  <c r="CM71" i="45" s="1"/>
  <c r="CZ71" i="45" s="1"/>
  <c r="CM70" i="45" a="1"/>
  <c r="CM70" i="45" s="1"/>
  <c r="CZ70" i="45" s="1"/>
  <c r="AJ72" i="45" a="1"/>
  <c r="AJ72" i="45" s="1"/>
  <c r="AW72" i="45" s="1"/>
  <c r="AJ87" i="45" a="1"/>
  <c r="AJ87" i="45" s="1"/>
  <c r="AW87" i="45" s="1"/>
  <c r="AJ81" i="45" a="1"/>
  <c r="AJ81" i="45" s="1"/>
  <c r="AW81" i="45" s="1"/>
  <c r="AJ88" i="45" a="1"/>
  <c r="AJ88" i="45" s="1"/>
  <c r="AW88" i="45" s="1"/>
  <c r="AJ84" i="45" a="1"/>
  <c r="AJ84" i="45" s="1"/>
  <c r="AW84" i="45" s="1"/>
  <c r="AJ64" i="45" a="1"/>
  <c r="AJ64" i="45" s="1"/>
  <c r="AW64" i="45" s="1"/>
  <c r="AJ79" i="45" a="1"/>
  <c r="AJ79" i="45" s="1"/>
  <c r="AW79" i="45" s="1"/>
  <c r="AJ65" i="45" a="1"/>
  <c r="AJ65" i="45" s="1"/>
  <c r="AW65" i="45" s="1"/>
  <c r="AJ75" i="45" a="1"/>
  <c r="AJ75" i="45" s="1"/>
  <c r="AW75" i="45" s="1"/>
  <c r="AJ66" i="45" a="1"/>
  <c r="AJ66" i="45" s="1"/>
  <c r="AW66" i="45" s="1"/>
  <c r="AJ91" i="45" a="1"/>
  <c r="AJ91" i="45" s="1"/>
  <c r="AW91" i="45" s="1"/>
  <c r="AJ85" i="45" a="1"/>
  <c r="AJ85" i="45" s="1"/>
  <c r="AW85" i="45" s="1"/>
  <c r="CM96" i="45" a="1"/>
  <c r="CM96" i="45" s="1"/>
  <c r="CZ96" i="45" s="1"/>
  <c r="AJ86" i="45" a="1"/>
  <c r="AJ86" i="45" s="1"/>
  <c r="AW86" i="45" s="1"/>
  <c r="AJ95" i="45" a="1"/>
  <c r="AJ95" i="45" s="1"/>
  <c r="AW95" i="45" s="1"/>
  <c r="CM73" i="45" a="1"/>
  <c r="CM73" i="45" s="1"/>
  <c r="CZ73" i="45" s="1"/>
  <c r="AJ70" i="45" a="1"/>
  <c r="AJ70" i="45" s="1"/>
  <c r="AW70" i="45" s="1"/>
  <c r="AJ74" i="45" a="1"/>
  <c r="AJ74" i="45" s="1"/>
  <c r="AW74" i="45" s="1"/>
  <c r="AJ69" i="45" a="1"/>
  <c r="AJ69" i="45" s="1"/>
  <c r="AW69" i="45" s="1"/>
  <c r="CM74" i="45" a="1"/>
  <c r="CM74" i="45" s="1"/>
  <c r="CZ74" i="45" s="1"/>
  <c r="CM81" i="45" a="1"/>
  <c r="CM81" i="45" s="1"/>
  <c r="CZ81" i="45" s="1"/>
  <c r="K54" i="8"/>
  <c r="H49" i="35"/>
  <c r="X62" i="27"/>
  <c r="R45" i="3"/>
  <c r="AI2" i="3" s="1" a="1"/>
  <c r="AI2" i="3" s="1"/>
  <c r="AW104" i="2"/>
  <c r="AF70" i="45" a="1"/>
  <c r="AF70" i="45" s="1"/>
  <c r="AS70" i="45" s="1"/>
  <c r="CI67" i="45" a="1"/>
  <c r="CI67" i="45" s="1"/>
  <c r="CV67" i="45" s="1"/>
  <c r="AF84" i="45" a="1"/>
  <c r="AF84" i="45" s="1"/>
  <c r="AS84" i="45" s="1"/>
  <c r="AF79" i="45" a="1"/>
  <c r="AF79" i="45" s="1"/>
  <c r="AS79" i="45" s="1"/>
  <c r="AF94" i="45" a="1"/>
  <c r="AF94" i="45" s="1"/>
  <c r="AS94" i="45" s="1"/>
  <c r="AF92" i="45" a="1"/>
  <c r="AF92" i="45" s="1"/>
  <c r="AS92" i="45" s="1"/>
  <c r="CI66" i="45" a="1"/>
  <c r="CI66" i="45" s="1"/>
  <c r="CV66" i="45" s="1"/>
  <c r="AF88" i="45" a="1"/>
  <c r="AF88" i="45" s="1"/>
  <c r="AS88" i="45" s="1"/>
  <c r="AF91" i="45" a="1"/>
  <c r="AF91" i="45" s="1"/>
  <c r="AS91" i="45" s="1"/>
  <c r="CI95" i="45" a="1"/>
  <c r="CI95" i="45" s="1"/>
  <c r="CV95" i="45" s="1"/>
  <c r="AF83" i="45" a="1"/>
  <c r="AF83" i="45" s="1"/>
  <c r="AS83" i="45" s="1"/>
  <c r="AF66" i="45" a="1"/>
  <c r="AF66" i="45" s="1"/>
  <c r="AS66" i="45" s="1"/>
  <c r="CI93" i="45" a="1"/>
  <c r="CI93" i="45" s="1"/>
  <c r="CV93" i="45" s="1"/>
  <c r="AF87" i="45" a="1"/>
  <c r="AF87" i="45" s="1"/>
  <c r="AS87" i="45" s="1"/>
  <c r="AF95" i="45" a="1"/>
  <c r="AF95" i="45" s="1"/>
  <c r="AS95" i="45" s="1"/>
  <c r="CI78" i="45" a="1"/>
  <c r="CI78" i="45" s="1"/>
  <c r="CV78" i="45" s="1"/>
  <c r="AF69" i="45" a="1"/>
  <c r="AF69" i="45" s="1"/>
  <c r="AS69" i="45" s="1"/>
  <c r="CI79" i="45" a="1"/>
  <c r="CI79" i="45" s="1"/>
  <c r="CV79" i="45" s="1"/>
  <c r="CI72" i="45" a="1"/>
  <c r="CI72" i="45" s="1"/>
  <c r="CV72" i="45" s="1"/>
  <c r="CI86" i="45" a="1"/>
  <c r="CI86" i="45" s="1"/>
  <c r="CV86" i="45" s="1"/>
  <c r="CI85" i="45" a="1"/>
  <c r="CI85" i="45" s="1"/>
  <c r="CV85" i="45" s="1"/>
  <c r="CI69" i="45" a="1"/>
  <c r="CI69" i="45" s="1"/>
  <c r="CV69" i="45" s="1"/>
  <c r="AF81" i="45" a="1"/>
  <c r="AF81" i="45" s="1"/>
  <c r="AS81" i="45" s="1"/>
  <c r="AF93" i="45" a="1"/>
  <c r="AF93" i="45" s="1"/>
  <c r="AS93" i="45" s="1"/>
  <c r="CI83" i="45" a="1"/>
  <c r="CI83" i="45" s="1"/>
  <c r="CV83" i="45" s="1"/>
  <c r="CI87" i="45" a="1"/>
  <c r="CI87" i="45" s="1"/>
  <c r="CV87" i="45" s="1"/>
  <c r="CI81" i="45" a="1"/>
  <c r="CI81" i="45" s="1"/>
  <c r="CV81" i="45" s="1"/>
  <c r="AF75" i="45" a="1"/>
  <c r="AF75" i="45" s="1"/>
  <c r="AS75" i="45" s="1"/>
  <c r="CI75" i="45" a="1"/>
  <c r="CI75" i="45" s="1"/>
  <c r="CV75" i="45" s="1"/>
  <c r="AF68" i="45" a="1"/>
  <c r="AF68" i="45" s="1"/>
  <c r="AS68" i="45" s="1"/>
  <c r="CI88" i="45" a="1"/>
  <c r="CI88" i="45" s="1"/>
  <c r="CV88" i="45" s="1"/>
  <c r="AF80" i="45" a="1"/>
  <c r="AF80" i="45" s="1"/>
  <c r="AS80" i="45" s="1"/>
  <c r="AF71" i="45" a="1"/>
  <c r="AF71" i="45" s="1"/>
  <c r="AS71" i="45" s="1"/>
  <c r="AF73" i="45" a="1"/>
  <c r="AF73" i="45" s="1"/>
  <c r="AS73" i="45" s="1"/>
  <c r="CI70" i="45" a="1"/>
  <c r="CI70" i="45" s="1"/>
  <c r="CV70" i="45" s="1"/>
  <c r="CI73" i="45" a="1"/>
  <c r="CI73" i="45" s="1"/>
  <c r="CV73" i="45" s="1"/>
  <c r="AF78" i="45" a="1"/>
  <c r="AF78" i="45" s="1"/>
  <c r="AS78" i="45" s="1"/>
  <c r="CI77" i="45" a="1"/>
  <c r="CI77" i="45" s="1"/>
  <c r="CV77" i="45" s="1"/>
  <c r="CI84" i="45" a="1"/>
  <c r="CI84" i="45" s="1"/>
  <c r="CV84" i="45" s="1"/>
  <c r="AF67" i="45" a="1"/>
  <c r="AF67" i="45" s="1"/>
  <c r="AS67" i="45" s="1"/>
  <c r="CI92" i="45" a="1"/>
  <c r="CI92" i="45" s="1"/>
  <c r="CV92" i="45" s="1"/>
  <c r="AF90" i="45" a="1"/>
  <c r="AF90" i="45" s="1"/>
  <c r="AS90" i="45" s="1"/>
  <c r="AF77" i="45" a="1"/>
  <c r="AF77" i="45" s="1"/>
  <c r="AS77" i="45" s="1"/>
  <c r="AF65" i="45" a="1"/>
  <c r="AF65" i="45" s="1"/>
  <c r="AS65" i="45" s="1"/>
  <c r="AF76" i="45" a="1"/>
  <c r="AF76" i="45" s="1"/>
  <c r="AS76" i="45" s="1"/>
  <c r="AF86" i="45" a="1"/>
  <c r="AF86" i="45" s="1"/>
  <c r="AS86" i="45" s="1"/>
  <c r="CI65" i="45" a="1"/>
  <c r="CI65" i="45" s="1"/>
  <c r="CV65" i="45" s="1"/>
  <c r="CI74" i="45" a="1"/>
  <c r="CI74" i="45" s="1"/>
  <c r="CV74" i="45" s="1"/>
  <c r="AF85" i="45" a="1"/>
  <c r="AF85" i="45" s="1"/>
  <c r="AS85" i="45" s="1"/>
  <c r="CI82" i="45" a="1"/>
  <c r="CI82" i="45" s="1"/>
  <c r="CV82" i="45" s="1"/>
  <c r="CI90" i="45" a="1"/>
  <c r="CI90" i="45" s="1"/>
  <c r="CV90" i="45" s="1"/>
  <c r="CI94" i="45" a="1"/>
  <c r="CI94" i="45" s="1"/>
  <c r="CV94" i="45" s="1"/>
  <c r="AF64" i="45" a="1"/>
  <c r="AF64" i="45" s="1"/>
  <c r="AS64" i="45" s="1"/>
  <c r="CI64" i="45" a="1"/>
  <c r="CI64" i="45" s="1"/>
  <c r="CV64" i="45" s="1"/>
  <c r="CI91" i="45" a="1"/>
  <c r="CI91" i="45" s="1"/>
  <c r="CV91" i="45" s="1"/>
  <c r="CI96" i="45" a="1"/>
  <c r="CI96" i="45" s="1"/>
  <c r="CV96" i="45" s="1"/>
  <c r="AF97" i="45" a="1"/>
  <c r="AF97" i="45" s="1"/>
  <c r="AS97" i="45" s="1"/>
  <c r="CI68" i="45" a="1"/>
  <c r="CI68" i="45" s="1"/>
  <c r="CV68" i="45" s="1"/>
  <c r="CI71" i="45" a="1"/>
  <c r="CI71" i="45" s="1"/>
  <c r="CV71" i="45" s="1"/>
  <c r="AF82" i="45" a="1"/>
  <c r="AF82" i="45" s="1"/>
  <c r="AS82" i="45" s="1"/>
  <c r="AF96" i="45" a="1"/>
  <c r="AF96" i="45" s="1"/>
  <c r="AS96" i="45" s="1"/>
  <c r="CI76" i="45" a="1"/>
  <c r="CI76" i="45" s="1"/>
  <c r="CV76" i="45" s="1"/>
  <c r="CI80" i="45" a="1"/>
  <c r="CI80" i="45" s="1"/>
  <c r="CV80" i="45" s="1"/>
  <c r="AF89" i="45" a="1"/>
  <c r="AF89" i="45" s="1"/>
  <c r="AS89" i="45" s="1"/>
  <c r="CI89" i="45" a="1"/>
  <c r="CI89" i="45" s="1"/>
  <c r="CV89" i="45" s="1"/>
  <c r="AF74" i="45" a="1"/>
  <c r="AF74" i="45" s="1"/>
  <c r="AS74" i="45" s="1"/>
  <c r="AF72" i="45" a="1"/>
  <c r="AF72" i="45" s="1"/>
  <c r="AS72" i="45" s="1"/>
  <c r="CN68" i="45" a="1"/>
  <c r="CN68" i="45" s="1"/>
  <c r="DA68" i="45" s="1"/>
  <c r="CN89" i="45" a="1"/>
  <c r="CN89" i="45" s="1"/>
  <c r="DA89" i="45" s="1"/>
  <c r="AK65" i="45" a="1"/>
  <c r="AK65" i="45" s="1"/>
  <c r="AX65" i="45" s="1"/>
  <c r="AK77" i="45" a="1"/>
  <c r="AK77" i="45" s="1"/>
  <c r="AX77" i="45" s="1"/>
  <c r="AK83" i="45" a="1"/>
  <c r="AK83" i="45" s="1"/>
  <c r="AX83" i="45" s="1"/>
  <c r="CN85" i="45" a="1"/>
  <c r="CN85" i="45" s="1"/>
  <c r="DA85" i="45" s="1"/>
  <c r="CN64" i="45" a="1"/>
  <c r="CN64" i="45" s="1"/>
  <c r="DA64" i="45" s="1"/>
  <c r="CN78" i="45" a="1"/>
  <c r="CN78" i="45" s="1"/>
  <c r="DA78" i="45" s="1"/>
  <c r="CN80" i="45" a="1"/>
  <c r="CN80" i="45" s="1"/>
  <c r="DA80" i="45" s="1"/>
  <c r="AK88" i="45" a="1"/>
  <c r="AK88" i="45" s="1"/>
  <c r="AX88" i="45" s="1"/>
  <c r="AK74" i="45" a="1"/>
  <c r="AK74" i="45" s="1"/>
  <c r="AX74" i="45" s="1"/>
  <c r="AK91" i="45" a="1"/>
  <c r="AK91" i="45" s="1"/>
  <c r="AX91" i="45" s="1"/>
  <c r="CN76" i="45" a="1"/>
  <c r="CN76" i="45" s="1"/>
  <c r="DA76" i="45" s="1"/>
  <c r="CN92" i="45" a="1"/>
  <c r="CN92" i="45" s="1"/>
  <c r="DA92" i="45" s="1"/>
  <c r="AK68" i="45" a="1"/>
  <c r="AK68" i="45" s="1"/>
  <c r="AX68" i="45" s="1"/>
  <c r="AK97" i="45" a="1"/>
  <c r="AK97" i="45" s="1"/>
  <c r="AX97" i="45" s="1"/>
  <c r="CN70" i="45" a="1"/>
  <c r="CN70" i="45" s="1"/>
  <c r="DA70" i="45" s="1"/>
  <c r="AK78" i="45" a="1"/>
  <c r="AK78" i="45" s="1"/>
  <c r="AX78" i="45" s="1"/>
  <c r="AK92" i="45" a="1"/>
  <c r="AK92" i="45" s="1"/>
  <c r="AX92" i="45" s="1"/>
  <c r="CN81" i="45" a="1"/>
  <c r="CN81" i="45" s="1"/>
  <c r="DA81" i="45" s="1"/>
  <c r="CN65" i="45" a="1"/>
  <c r="CN65" i="45" s="1"/>
  <c r="DA65" i="45" s="1"/>
  <c r="AK67" i="45" a="1"/>
  <c r="AK67" i="45" s="1"/>
  <c r="AX67" i="45" s="1"/>
  <c r="AK75" i="45" a="1"/>
  <c r="AK75" i="45" s="1"/>
  <c r="AX75" i="45" s="1"/>
  <c r="CN86" i="45" a="1"/>
  <c r="CN86" i="45" s="1"/>
  <c r="DA86" i="45" s="1"/>
  <c r="AK93" i="45" a="1"/>
  <c r="AK93" i="45" s="1"/>
  <c r="AX93" i="45" s="1"/>
  <c r="AK95" i="45" a="1"/>
  <c r="AK95" i="45" s="1"/>
  <c r="AX95" i="45" s="1"/>
  <c r="AK66" i="45" a="1"/>
  <c r="AK66" i="45" s="1"/>
  <c r="AX66" i="45" s="1"/>
  <c r="CN69" i="45" a="1"/>
  <c r="CN69" i="45" s="1"/>
  <c r="DA69" i="45" s="1"/>
  <c r="AK71" i="45" a="1"/>
  <c r="AK71" i="45" s="1"/>
  <c r="AX71" i="45" s="1"/>
  <c r="CN93" i="45" a="1"/>
  <c r="CN93" i="45" s="1"/>
  <c r="DA93" i="45" s="1"/>
  <c r="CN83" i="45" a="1"/>
  <c r="CN83" i="45" s="1"/>
  <c r="DA83" i="45" s="1"/>
  <c r="CN87" i="45" a="1"/>
  <c r="CN87" i="45" s="1"/>
  <c r="DA87" i="45" s="1"/>
  <c r="CN71" i="45" a="1"/>
  <c r="CN71" i="45" s="1"/>
  <c r="DA71" i="45" s="1"/>
  <c r="AK64" i="45" a="1"/>
  <c r="AK64" i="45" s="1"/>
  <c r="AX64" i="45" s="1"/>
  <c r="CN88" i="45" a="1"/>
  <c r="CN88" i="45" s="1"/>
  <c r="DA88" i="45" s="1"/>
  <c r="CN66" i="45" a="1"/>
  <c r="CN66" i="45" s="1"/>
  <c r="DA66" i="45" s="1"/>
  <c r="AK79" i="45" a="1"/>
  <c r="AK79" i="45" s="1"/>
  <c r="AX79" i="45" s="1"/>
  <c r="AK84" i="45" a="1"/>
  <c r="AK84" i="45" s="1"/>
  <c r="AX84" i="45" s="1"/>
  <c r="CN95" i="45" a="1"/>
  <c r="CN95" i="45" s="1"/>
  <c r="DA95" i="45" s="1"/>
  <c r="CN91" i="45" a="1"/>
  <c r="CN91" i="45" s="1"/>
  <c r="DA91" i="45" s="1"/>
  <c r="CN96" i="45" a="1"/>
  <c r="CN96" i="45" s="1"/>
  <c r="DA96" i="45" s="1"/>
  <c r="AK86" i="45" a="1"/>
  <c r="AK86" i="45" s="1"/>
  <c r="AX86" i="45" s="1"/>
  <c r="AK82" i="45" a="1"/>
  <c r="AK82" i="45" s="1"/>
  <c r="AX82" i="45" s="1"/>
  <c r="AK76" i="45" a="1"/>
  <c r="AK76" i="45" s="1"/>
  <c r="AX76" i="45" s="1"/>
  <c r="AK72" i="45" a="1"/>
  <c r="AK72" i="45" s="1"/>
  <c r="AX72" i="45" s="1"/>
  <c r="AK85" i="45" a="1"/>
  <c r="AK85" i="45" s="1"/>
  <c r="AX85" i="45" s="1"/>
  <c r="CN75" i="45" a="1"/>
  <c r="CN75" i="45" s="1"/>
  <c r="DA75" i="45" s="1"/>
  <c r="CN90" i="45" a="1"/>
  <c r="CN90" i="45" s="1"/>
  <c r="DA90" i="45" s="1"/>
  <c r="CN84" i="45" a="1"/>
  <c r="CN84" i="45" s="1"/>
  <c r="DA84" i="45" s="1"/>
  <c r="CN72" i="45" a="1"/>
  <c r="CN72" i="45" s="1"/>
  <c r="DA72" i="45" s="1"/>
  <c r="AK90" i="45" a="1"/>
  <c r="AK90" i="45" s="1"/>
  <c r="AX90" i="45" s="1"/>
  <c r="CN74" i="45" a="1"/>
  <c r="CN74" i="45" s="1"/>
  <c r="DA74" i="45" s="1"/>
  <c r="CN73" i="45" a="1"/>
  <c r="CN73" i="45" s="1"/>
  <c r="DA73" i="45" s="1"/>
  <c r="AK73" i="45" a="1"/>
  <c r="AK73" i="45" s="1"/>
  <c r="AX73" i="45" s="1"/>
  <c r="AK89" i="45" a="1"/>
  <c r="AK89" i="45" s="1"/>
  <c r="AX89" i="45" s="1"/>
  <c r="AK94" i="45" a="1"/>
  <c r="AK94" i="45" s="1"/>
  <c r="AX94" i="45" s="1"/>
  <c r="AK81" i="45" a="1"/>
  <c r="AK81" i="45" s="1"/>
  <c r="AX81" i="45" s="1"/>
  <c r="CN77" i="45" a="1"/>
  <c r="CN77" i="45" s="1"/>
  <c r="DA77" i="45" s="1"/>
  <c r="CN94" i="45" a="1"/>
  <c r="CN94" i="45" s="1"/>
  <c r="DA94" i="45" s="1"/>
  <c r="AK70" i="45" a="1"/>
  <c r="AK70" i="45" s="1"/>
  <c r="AX70" i="45" s="1"/>
  <c r="CN67" i="45" a="1"/>
  <c r="CN67" i="45" s="1"/>
  <c r="DA67" i="45" s="1"/>
  <c r="CN79" i="45" a="1"/>
  <c r="CN79" i="45" s="1"/>
  <c r="DA79" i="45" s="1"/>
  <c r="CN82" i="45" a="1"/>
  <c r="CN82" i="45" s="1"/>
  <c r="DA82" i="45" s="1"/>
  <c r="AK69" i="45" a="1"/>
  <c r="AK69" i="45" s="1"/>
  <c r="AX69" i="45" s="1"/>
  <c r="AK96" i="45" a="1"/>
  <c r="AK96" i="45" s="1"/>
  <c r="AX96" i="45" s="1"/>
  <c r="AK80" i="45" a="1"/>
  <c r="AK80" i="45" s="1"/>
  <c r="AX80" i="45" s="1"/>
  <c r="AK87" i="45" a="1"/>
  <c r="AK87" i="45" s="1"/>
  <c r="AX87" i="45" s="1"/>
  <c r="I39" i="35"/>
  <c r="AB46" i="35" l="1"/>
  <c r="AE46" i="35" s="1"/>
  <c r="U51" i="8"/>
  <c r="GU28" i="1"/>
  <c r="U56" i="8"/>
  <c r="W56" i="8"/>
  <c r="U53" i="8"/>
  <c r="W53" i="8"/>
  <c r="GU21" i="1"/>
  <c r="HE21" i="1" s="1"/>
  <c r="T46" i="51" s="1"/>
  <c r="GU20" i="1"/>
  <c r="GU29" i="1"/>
  <c r="GU22" i="1"/>
  <c r="GU25" i="1"/>
  <c r="GU23" i="1"/>
  <c r="GU26" i="1"/>
  <c r="GU24" i="1"/>
  <c r="GU27" i="1"/>
  <c r="GU30" i="1"/>
  <c r="HE30" i="1" s="1"/>
  <c r="T55" i="51" s="1"/>
  <c r="W54" i="8"/>
  <c r="AB49" i="35"/>
  <c r="AE49" i="35" s="1"/>
  <c r="AB1" i="3"/>
  <c r="U55" i="8"/>
  <c r="AB48" i="35"/>
  <c r="AE48" i="35" s="1"/>
  <c r="Y55" i="8"/>
  <c r="Y51" i="8"/>
  <c r="Y57" i="8"/>
  <c r="V37" i="36"/>
  <c r="BF113" i="45" a="1"/>
  <c r="C113" i="45" a="1"/>
  <c r="C112" i="45" a="1"/>
  <c r="BF112" i="45" a="1"/>
  <c r="U50" i="8"/>
  <c r="W50" i="8"/>
  <c r="AN50" i="8" s="1"/>
  <c r="AB45" i="35"/>
  <c r="AE45" i="35" s="1"/>
  <c r="C109" i="45" a="1"/>
  <c r="BF109" i="45" a="1"/>
  <c r="BF111" i="45" a="1"/>
  <c r="C111" i="45" a="1"/>
  <c r="C106" i="45" a="1"/>
  <c r="BF106" i="45" a="1"/>
  <c r="BF102" i="45" a="1"/>
  <c r="C102" i="45" a="1"/>
  <c r="BF104" i="45" a="1"/>
  <c r="C104" i="45" a="1"/>
  <c r="BF105" i="45" a="1"/>
  <c r="C105" i="45" a="1"/>
  <c r="W49" i="8"/>
  <c r="AN49" i="8" s="1"/>
  <c r="U49" i="8"/>
  <c r="AB44" i="35"/>
  <c r="AE44" i="35" s="1"/>
  <c r="C110" i="45" a="1"/>
  <c r="BF110" i="45" a="1"/>
  <c r="C107" i="45" a="1"/>
  <c r="BF107" i="45" a="1"/>
  <c r="BF103" i="45" a="1"/>
  <c r="C103" i="45" a="1"/>
  <c r="AB43" i="35"/>
  <c r="AE43" i="35" s="1"/>
  <c r="W48" i="8"/>
  <c r="AN48" i="8" s="1"/>
  <c r="U48" i="8"/>
  <c r="AB47" i="35"/>
  <c r="AE47" i="35" s="1"/>
  <c r="U52" i="8"/>
  <c r="W52" i="8"/>
  <c r="AN52" i="8" s="1"/>
  <c r="C108" i="45" a="1"/>
  <c r="BF108" i="45" a="1"/>
  <c r="GV28" i="1" l="1"/>
  <c r="P53" i="51" s="1"/>
  <c r="GW28" i="1"/>
  <c r="HE28" i="1"/>
  <c r="T53" i="51" s="1"/>
  <c r="HA28" i="1"/>
  <c r="HF28" i="1"/>
  <c r="A53" i="51" s="1"/>
  <c r="HB28" i="1"/>
  <c r="GY28" i="1"/>
  <c r="HC28" i="1"/>
  <c r="V53" i="51" s="1"/>
  <c r="HG28" i="1"/>
  <c r="C53" i="51" s="1"/>
  <c r="AK53" i="51" s="1"/>
  <c r="GX28" i="1"/>
  <c r="GZ28" i="1"/>
  <c r="HD28" i="1"/>
  <c r="X53" i="51" s="1"/>
  <c r="AN54" i="8"/>
  <c r="Y54" i="8"/>
  <c r="GW29" i="1"/>
  <c r="HE29" i="1"/>
  <c r="T54" i="51" s="1"/>
  <c r="HA29" i="1"/>
  <c r="AN56" i="8"/>
  <c r="Y56" i="8"/>
  <c r="AN53" i="8"/>
  <c r="Y53" i="8"/>
  <c r="HG21" i="1"/>
  <c r="C46" i="51" s="1"/>
  <c r="AK46" i="51" s="1"/>
  <c r="GW21" i="1"/>
  <c r="HF21" i="1"/>
  <c r="A46" i="51" s="1"/>
  <c r="GV21" i="1"/>
  <c r="P46" i="51" s="1"/>
  <c r="GZ21" i="1"/>
  <c r="GY21" i="1"/>
  <c r="HB21" i="1"/>
  <c r="HA21" i="1"/>
  <c r="GX21" i="1"/>
  <c r="HC21" i="1"/>
  <c r="V46" i="51" s="1"/>
  <c r="HD21" i="1"/>
  <c r="X46" i="51" s="1"/>
  <c r="Z46" i="51" s="1"/>
  <c r="HA20" i="1"/>
  <c r="GX20" i="1"/>
  <c r="HC20" i="1"/>
  <c r="GW20" i="1"/>
  <c r="HB20" i="1"/>
  <c r="GV20" i="1"/>
  <c r="GY20" i="1"/>
  <c r="HE20" i="1"/>
  <c r="HG20" i="1"/>
  <c r="HD20" i="1"/>
  <c r="GV29" i="1"/>
  <c r="P54" i="51" s="1"/>
  <c r="GZ20" i="1"/>
  <c r="HF20" i="1"/>
  <c r="GY29" i="1"/>
  <c r="GZ29" i="1"/>
  <c r="HG29" i="1"/>
  <c r="C54" i="51" s="1"/>
  <c r="AK54" i="51" s="1"/>
  <c r="GX29" i="1"/>
  <c r="HD29" i="1"/>
  <c r="X54" i="51" s="1"/>
  <c r="HC29" i="1"/>
  <c r="V54" i="51" s="1"/>
  <c r="HF29" i="1"/>
  <c r="A55" i="51" s="1"/>
  <c r="HB29" i="1"/>
  <c r="GX22" i="1"/>
  <c r="HB22" i="1"/>
  <c r="HB23" i="1"/>
  <c r="GY23" i="1"/>
  <c r="HD23" i="1"/>
  <c r="X48" i="51" s="1"/>
  <c r="HE23" i="1"/>
  <c r="T48" i="51" s="1"/>
  <c r="GX23" i="1"/>
  <c r="GX26" i="1"/>
  <c r="HE26" i="1"/>
  <c r="T51" i="51" s="1"/>
  <c r="HG26" i="1"/>
  <c r="C51" i="51" s="1"/>
  <c r="AK51" i="51" s="1"/>
  <c r="GV26" i="1"/>
  <c r="P51" i="51" s="1"/>
  <c r="HD26" i="1"/>
  <c r="X51" i="51" s="1"/>
  <c r="GY26" i="1"/>
  <c r="GZ26" i="1"/>
  <c r="HB26" i="1"/>
  <c r="HC26" i="1"/>
  <c r="V51" i="51" s="1"/>
  <c r="HF26" i="1"/>
  <c r="A51" i="51" s="1"/>
  <c r="HA22" i="1"/>
  <c r="GV22" i="1"/>
  <c r="P47" i="51" s="1"/>
  <c r="GW23" i="1"/>
  <c r="HG23" i="1"/>
  <c r="C48" i="51" s="1"/>
  <c r="AK48" i="51" s="1"/>
  <c r="HF23" i="1"/>
  <c r="A48" i="51" s="1"/>
  <c r="GV23" i="1"/>
  <c r="P48" i="51" s="1"/>
  <c r="HA23" i="1"/>
  <c r="GZ23" i="1"/>
  <c r="HC23" i="1"/>
  <c r="V48" i="51" s="1"/>
  <c r="HB30" i="1"/>
  <c r="GX30" i="1"/>
  <c r="GZ30" i="1"/>
  <c r="HC30" i="1"/>
  <c r="V55" i="51" s="1"/>
  <c r="HG30" i="1"/>
  <c r="C55" i="51" s="1"/>
  <c r="AK55" i="51" s="1"/>
  <c r="HA30" i="1"/>
  <c r="GW30" i="1"/>
  <c r="GY30" i="1"/>
  <c r="HD30" i="1"/>
  <c r="X55" i="51" s="1"/>
  <c r="Z55" i="51" s="1"/>
  <c r="HF30" i="1"/>
  <c r="HF25" i="1"/>
  <c r="A50" i="51" s="1"/>
  <c r="GY25" i="1"/>
  <c r="HE25" i="1"/>
  <c r="T50" i="51" s="1"/>
  <c r="GW25" i="1"/>
  <c r="HB25" i="1"/>
  <c r="HG25" i="1"/>
  <c r="C50" i="51" s="1"/>
  <c r="AK50" i="51" s="1"/>
  <c r="HC25" i="1"/>
  <c r="V50" i="51" s="1"/>
  <c r="HA25" i="1"/>
  <c r="GX25" i="1"/>
  <c r="GZ25" i="1"/>
  <c r="GV25" i="1"/>
  <c r="P50" i="51" s="1"/>
  <c r="HD25" i="1"/>
  <c r="X50" i="51" s="1"/>
  <c r="HD24" i="1"/>
  <c r="X49" i="51" s="1"/>
  <c r="HC24" i="1"/>
  <c r="V49" i="51" s="1"/>
  <c r="GY24" i="1"/>
  <c r="GZ24" i="1"/>
  <c r="HG27" i="1"/>
  <c r="C52" i="51" s="1"/>
  <c r="AK52" i="51" s="1"/>
  <c r="HC27" i="1"/>
  <c r="V52" i="51" s="1"/>
  <c r="HE27" i="1"/>
  <c r="T52" i="51" s="1"/>
  <c r="GZ27" i="1"/>
  <c r="HA27" i="1"/>
  <c r="HF27" i="1"/>
  <c r="A52" i="51" s="1"/>
  <c r="HB27" i="1"/>
  <c r="GW27" i="1"/>
  <c r="GY27" i="1"/>
  <c r="GX27" i="1"/>
  <c r="HD27" i="1"/>
  <c r="X52" i="51" s="1"/>
  <c r="GV27" i="1"/>
  <c r="P52" i="51" s="1"/>
  <c r="HF22" i="1"/>
  <c r="A47" i="51" s="1"/>
  <c r="GZ22" i="1"/>
  <c r="GW22" i="1"/>
  <c r="HB24" i="1"/>
  <c r="GX24" i="1"/>
  <c r="HE24" i="1"/>
  <c r="T49" i="51" s="1"/>
  <c r="HC22" i="1"/>
  <c r="V47" i="51" s="1"/>
  <c r="HG22" i="1"/>
  <c r="C47" i="51" s="1"/>
  <c r="AK47" i="51" s="1"/>
  <c r="HD22" i="1"/>
  <c r="X47" i="51" s="1"/>
  <c r="GW26" i="1"/>
  <c r="HA26" i="1"/>
  <c r="GV24" i="1"/>
  <c r="P49" i="51" s="1"/>
  <c r="HF24" i="1"/>
  <c r="A49" i="51" s="1"/>
  <c r="HG24" i="1"/>
  <c r="C49" i="51" s="1"/>
  <c r="AK49" i="51" s="1"/>
  <c r="HE22" i="1"/>
  <c r="T47" i="51" s="1"/>
  <c r="GY22" i="1"/>
  <c r="GW24" i="1"/>
  <c r="HA24" i="1"/>
  <c r="Y52" i="8"/>
  <c r="Y48" i="8"/>
  <c r="Y49" i="8"/>
  <c r="Y50" i="8"/>
  <c r="P103" i="45"/>
  <c r="G103" i="45"/>
  <c r="F103" i="45"/>
  <c r="L103" i="45"/>
  <c r="Z103" i="45"/>
  <c r="N103" i="45"/>
  <c r="W103" i="45"/>
  <c r="V103" i="45"/>
  <c r="AI103" i="45"/>
  <c r="R103" i="45"/>
  <c r="AJ103" i="45"/>
  <c r="AF103" i="45"/>
  <c r="O103" i="45"/>
  <c r="C103" i="45"/>
  <c r="M103" i="45"/>
  <c r="Y103" i="45"/>
  <c r="D103" i="45"/>
  <c r="X103" i="45"/>
  <c r="U103" i="45"/>
  <c r="AC103" i="45"/>
  <c r="AE103" i="45"/>
  <c r="J103" i="45"/>
  <c r="AG103" i="45"/>
  <c r="AB103" i="45"/>
  <c r="AA103" i="45"/>
  <c r="AH103" i="45"/>
  <c r="E103" i="45"/>
  <c r="Q103" i="45"/>
  <c r="AD103" i="45"/>
  <c r="K103" i="45"/>
  <c r="S103" i="45"/>
  <c r="H103" i="45"/>
  <c r="T103" i="45"/>
  <c r="I103" i="45"/>
  <c r="AF113" i="45"/>
  <c r="N113" i="45"/>
  <c r="C113" i="45"/>
  <c r="Q113" i="45"/>
  <c r="AH113" i="45"/>
  <c r="M113" i="45"/>
  <c r="AE113" i="45"/>
  <c r="T113" i="45"/>
  <c r="P113" i="45"/>
  <c r="E113" i="45"/>
  <c r="R113" i="45"/>
  <c r="D113" i="45"/>
  <c r="AG113" i="45"/>
  <c r="S113" i="45"/>
  <c r="H113" i="45"/>
  <c r="G113" i="45"/>
  <c r="AI113" i="45"/>
  <c r="U113" i="45"/>
  <c r="L113" i="45"/>
  <c r="AD113" i="45"/>
  <c r="AB113" i="45"/>
  <c r="K113" i="45"/>
  <c r="Y113" i="45"/>
  <c r="W113" i="45"/>
  <c r="X113" i="45"/>
  <c r="Z113" i="45"/>
  <c r="AA113" i="45"/>
  <c r="O113" i="45"/>
  <c r="F113" i="45"/>
  <c r="AC113" i="45"/>
  <c r="V113" i="45"/>
  <c r="I113" i="45"/>
  <c r="J113" i="45"/>
  <c r="AJ113" i="45"/>
  <c r="CH108" i="45"/>
  <c r="BF108" i="45"/>
  <c r="BI108" i="45"/>
  <c r="BO108" i="45"/>
  <c r="BL108" i="45"/>
  <c r="CB108" i="45"/>
  <c r="CA108" i="45"/>
  <c r="BY108" i="45"/>
  <c r="BT108" i="45"/>
  <c r="CE108" i="45"/>
  <c r="BQ108" i="45"/>
  <c r="BJ108" i="45"/>
  <c r="BX108" i="45"/>
  <c r="BV108" i="45"/>
  <c r="BU108" i="45"/>
  <c r="BM108" i="45"/>
  <c r="BN108" i="45"/>
  <c r="BH108" i="45"/>
  <c r="BS108" i="45"/>
  <c r="CK108" i="45"/>
  <c r="BK108" i="45"/>
  <c r="CD108" i="45"/>
  <c r="BP108" i="45"/>
  <c r="BZ108" i="45"/>
  <c r="BG108" i="45"/>
  <c r="CI108" i="45"/>
  <c r="BR108" i="45"/>
  <c r="CJ108" i="45"/>
  <c r="CL108" i="45"/>
  <c r="BW108" i="45"/>
  <c r="CG108" i="45"/>
  <c r="CC108" i="45"/>
  <c r="CF108" i="45"/>
  <c r="CC103" i="45"/>
  <c r="BH103" i="45"/>
  <c r="CD103" i="45"/>
  <c r="BN103" i="45"/>
  <c r="BO103" i="45"/>
  <c r="BT103" i="45"/>
  <c r="CI103" i="45"/>
  <c r="BG103" i="45"/>
  <c r="CG103" i="45"/>
  <c r="CJ103" i="45"/>
  <c r="CK103" i="45"/>
  <c r="CE103" i="45"/>
  <c r="BI103" i="45"/>
  <c r="BR103" i="45"/>
  <c r="CF103" i="45"/>
  <c r="BU103" i="45"/>
  <c r="BY103" i="45"/>
  <c r="BS103" i="45"/>
  <c r="BZ103" i="45"/>
  <c r="BP103" i="45"/>
  <c r="BW103" i="45"/>
  <c r="BX103" i="45"/>
  <c r="CL103" i="45"/>
  <c r="CB103" i="45"/>
  <c r="BF103" i="45"/>
  <c r="BM103" i="45"/>
  <c r="BQ103" i="45"/>
  <c r="BJ103" i="45"/>
  <c r="CA103" i="45"/>
  <c r="BV103" i="45"/>
  <c r="BK103" i="45"/>
  <c r="CH103" i="45"/>
  <c r="BL103" i="45"/>
  <c r="G110" i="45"/>
  <c r="J110" i="45"/>
  <c r="S110" i="45"/>
  <c r="T110" i="45"/>
  <c r="K110" i="45"/>
  <c r="Z110" i="45"/>
  <c r="Q110" i="45"/>
  <c r="AJ110" i="45"/>
  <c r="AC110" i="45"/>
  <c r="AB110" i="45"/>
  <c r="M110" i="45"/>
  <c r="N110" i="45"/>
  <c r="AF110" i="45"/>
  <c r="R110" i="45"/>
  <c r="I110" i="45"/>
  <c r="D110" i="45"/>
  <c r="P110" i="45"/>
  <c r="W110" i="45"/>
  <c r="C110" i="45"/>
  <c r="AG110" i="45"/>
  <c r="X110" i="45"/>
  <c r="L110" i="45"/>
  <c r="AE110" i="45"/>
  <c r="AH110" i="45"/>
  <c r="H110" i="45"/>
  <c r="AI110" i="45"/>
  <c r="O110" i="45"/>
  <c r="E110" i="45"/>
  <c r="Y110" i="45"/>
  <c r="AD110" i="45"/>
  <c r="V110" i="45"/>
  <c r="U110" i="45"/>
  <c r="F110" i="45"/>
  <c r="AA110" i="45"/>
  <c r="BS104" i="45"/>
  <c r="BW104" i="45"/>
  <c r="BJ104" i="45"/>
  <c r="CI104" i="45"/>
  <c r="BL104" i="45"/>
  <c r="BY104" i="45"/>
  <c r="CG104" i="45"/>
  <c r="BO104" i="45"/>
  <c r="BH104" i="45"/>
  <c r="CC104" i="45"/>
  <c r="CA104" i="45"/>
  <c r="BZ104" i="45"/>
  <c r="BM104" i="45"/>
  <c r="BN104" i="45"/>
  <c r="BI104" i="45"/>
  <c r="BR104" i="45"/>
  <c r="CH104" i="45"/>
  <c r="BV104" i="45"/>
  <c r="BF104" i="45"/>
  <c r="BQ104" i="45"/>
  <c r="BU104" i="45"/>
  <c r="CF104" i="45"/>
  <c r="CK104" i="45"/>
  <c r="BX104" i="45"/>
  <c r="CJ104" i="45"/>
  <c r="BG104" i="45"/>
  <c r="BP104" i="45"/>
  <c r="CE104" i="45"/>
  <c r="CL104" i="45"/>
  <c r="CD104" i="45"/>
  <c r="CB104" i="45"/>
  <c r="BT104" i="45"/>
  <c r="BK104" i="45"/>
  <c r="W106" i="45"/>
  <c r="N106" i="45"/>
  <c r="AI106" i="45"/>
  <c r="I106" i="45"/>
  <c r="AD106" i="45"/>
  <c r="J106" i="45"/>
  <c r="L106" i="45"/>
  <c r="E106" i="45"/>
  <c r="G106" i="45"/>
  <c r="X106" i="45"/>
  <c r="O106" i="45"/>
  <c r="Y106" i="45"/>
  <c r="R106" i="45"/>
  <c r="P106" i="45"/>
  <c r="F106" i="45"/>
  <c r="D106" i="45"/>
  <c r="AC106" i="45"/>
  <c r="T106" i="45"/>
  <c r="AG106" i="45"/>
  <c r="AF106" i="45"/>
  <c r="AJ106" i="45"/>
  <c r="U106" i="45"/>
  <c r="AE106" i="45"/>
  <c r="AB106" i="45"/>
  <c r="C106" i="45"/>
  <c r="V106" i="45"/>
  <c r="Q106" i="45"/>
  <c r="S106" i="45"/>
  <c r="AH106" i="45"/>
  <c r="Z106" i="45"/>
  <c r="H106" i="45"/>
  <c r="M106" i="45"/>
  <c r="K106" i="45"/>
  <c r="AA106" i="45"/>
  <c r="G109" i="45"/>
  <c r="V109" i="45"/>
  <c r="Q109" i="45"/>
  <c r="AB109" i="45"/>
  <c r="S109" i="45"/>
  <c r="X109" i="45"/>
  <c r="U109" i="45"/>
  <c r="H109" i="45"/>
  <c r="L109" i="45"/>
  <c r="O109" i="45"/>
  <c r="AF109" i="45"/>
  <c r="AH109" i="45"/>
  <c r="W109" i="45"/>
  <c r="AC109" i="45"/>
  <c r="J109" i="45"/>
  <c r="M109" i="45"/>
  <c r="Y109" i="45"/>
  <c r="AI109" i="45"/>
  <c r="D109" i="45"/>
  <c r="AA109" i="45"/>
  <c r="P109" i="45"/>
  <c r="AJ109" i="45"/>
  <c r="K109" i="45"/>
  <c r="E109" i="45"/>
  <c r="Z109" i="45"/>
  <c r="N109" i="45"/>
  <c r="F109" i="45"/>
  <c r="AG109" i="45"/>
  <c r="C109" i="45"/>
  <c r="AD109" i="45"/>
  <c r="T109" i="45"/>
  <c r="I109" i="45"/>
  <c r="AE109" i="45"/>
  <c r="R109" i="45"/>
  <c r="BT113" i="45"/>
  <c r="CF113" i="45"/>
  <c r="CI113" i="45"/>
  <c r="BN113" i="45"/>
  <c r="BF113" i="45"/>
  <c r="BW113" i="45"/>
  <c r="BG113" i="45"/>
  <c r="BY113" i="45"/>
  <c r="BJ113" i="45"/>
  <c r="BQ113" i="45"/>
  <c r="BU113" i="45"/>
  <c r="BL113" i="45"/>
  <c r="BX113" i="45"/>
  <c r="BR113" i="45"/>
  <c r="BS113" i="45"/>
  <c r="CC113" i="45"/>
  <c r="CL113" i="45"/>
  <c r="CG113" i="45"/>
  <c r="CH113" i="45"/>
  <c r="BH113" i="45"/>
  <c r="BM113" i="45"/>
  <c r="CA113" i="45"/>
  <c r="CK113" i="45"/>
  <c r="CE113" i="45"/>
  <c r="CD113" i="45"/>
  <c r="CB113" i="45"/>
  <c r="CJ113" i="45"/>
  <c r="BO113" i="45"/>
  <c r="BI113" i="45"/>
  <c r="BP113" i="45"/>
  <c r="BZ113" i="45"/>
  <c r="BV113" i="45"/>
  <c r="BK113" i="45"/>
  <c r="BK109" i="45"/>
  <c r="CJ109" i="45"/>
  <c r="CC109" i="45"/>
  <c r="BV109" i="45"/>
  <c r="BT109" i="45"/>
  <c r="CL109" i="45"/>
  <c r="BS109" i="45"/>
  <c r="BP109" i="45"/>
  <c r="BJ109" i="45"/>
  <c r="CD109" i="45"/>
  <c r="CH109" i="45"/>
  <c r="BH109" i="45"/>
  <c r="BG109" i="45"/>
  <c r="BO109" i="45"/>
  <c r="BW109" i="45"/>
  <c r="BZ109" i="45"/>
  <c r="BL109" i="45"/>
  <c r="CF109" i="45"/>
  <c r="BM109" i="45"/>
  <c r="CE109" i="45"/>
  <c r="CB109" i="45"/>
  <c r="BN109" i="45"/>
  <c r="BF109" i="45"/>
  <c r="BR109" i="45"/>
  <c r="CG109" i="45"/>
  <c r="BU109" i="45"/>
  <c r="CK109" i="45"/>
  <c r="BI109" i="45"/>
  <c r="BQ109" i="45"/>
  <c r="BX109" i="45"/>
  <c r="CI109" i="45"/>
  <c r="BY109" i="45"/>
  <c r="CA109" i="45"/>
  <c r="CG107" i="45"/>
  <c r="CH107" i="45"/>
  <c r="BG107" i="45"/>
  <c r="BW107" i="45"/>
  <c r="CD107" i="45"/>
  <c r="BR107" i="45"/>
  <c r="BZ107" i="45"/>
  <c r="BJ107" i="45"/>
  <c r="CL107" i="45"/>
  <c r="BL107" i="45"/>
  <c r="BM107" i="45"/>
  <c r="BU107" i="45"/>
  <c r="BO107" i="45"/>
  <c r="BY107" i="45"/>
  <c r="BH107" i="45"/>
  <c r="CK107" i="45"/>
  <c r="BN107" i="45"/>
  <c r="CF107" i="45"/>
  <c r="BF107" i="45"/>
  <c r="CA107" i="45"/>
  <c r="BI107" i="45"/>
  <c r="BT107" i="45"/>
  <c r="CJ107" i="45"/>
  <c r="CI107" i="45"/>
  <c r="CB107" i="45"/>
  <c r="BX107" i="45"/>
  <c r="CE107" i="45"/>
  <c r="BQ107" i="45"/>
  <c r="BS107" i="45"/>
  <c r="BP107" i="45"/>
  <c r="BK107" i="45"/>
  <c r="BV107" i="45"/>
  <c r="CC107" i="45"/>
  <c r="E105" i="45"/>
  <c r="X105" i="45"/>
  <c r="L105" i="45"/>
  <c r="N105" i="45"/>
  <c r="U105" i="45"/>
  <c r="Y105" i="45"/>
  <c r="R105" i="45"/>
  <c r="AB105" i="45"/>
  <c r="H105" i="45"/>
  <c r="C105" i="45"/>
  <c r="G105" i="45"/>
  <c r="AE105" i="45"/>
  <c r="AD105" i="45"/>
  <c r="P105" i="45"/>
  <c r="AJ105" i="45"/>
  <c r="J105" i="45"/>
  <c r="AA105" i="45"/>
  <c r="O105" i="45"/>
  <c r="AG105" i="45"/>
  <c r="V105" i="45"/>
  <c r="Q105" i="45"/>
  <c r="S105" i="45"/>
  <c r="F105" i="45"/>
  <c r="D105" i="45"/>
  <c r="AH105" i="45"/>
  <c r="T105" i="45"/>
  <c r="K105" i="45"/>
  <c r="Z105" i="45"/>
  <c r="AC105" i="45"/>
  <c r="I105" i="45"/>
  <c r="M105" i="45"/>
  <c r="W105" i="45"/>
  <c r="AF105" i="45"/>
  <c r="AI105" i="45"/>
  <c r="R102" i="45"/>
  <c r="T102" i="45"/>
  <c r="J102" i="45"/>
  <c r="AE102" i="45"/>
  <c r="H102" i="45"/>
  <c r="AH102" i="45"/>
  <c r="L102" i="45"/>
  <c r="W102" i="45"/>
  <c r="AF102" i="45"/>
  <c r="AG102" i="45"/>
  <c r="AB102" i="45"/>
  <c r="Z102" i="45"/>
  <c r="AC102" i="45"/>
  <c r="S102" i="45"/>
  <c r="U102" i="45"/>
  <c r="E102" i="45"/>
  <c r="M102" i="45"/>
  <c r="D102" i="45"/>
  <c r="AJ102" i="45"/>
  <c r="X102" i="45"/>
  <c r="N102" i="45"/>
  <c r="Q102" i="45"/>
  <c r="Y102" i="45"/>
  <c r="K102" i="45"/>
  <c r="F102" i="45"/>
  <c r="V102" i="45"/>
  <c r="P102" i="45"/>
  <c r="I102" i="45"/>
  <c r="AD102" i="45"/>
  <c r="O102" i="45"/>
  <c r="AA102" i="45"/>
  <c r="AI102" i="45"/>
  <c r="C102" i="45"/>
  <c r="G102" i="45"/>
  <c r="X111" i="45"/>
  <c r="R111" i="45"/>
  <c r="K111" i="45"/>
  <c r="Q111" i="45"/>
  <c r="Y111" i="45"/>
  <c r="AB111" i="45"/>
  <c r="AD111" i="45"/>
  <c r="F111" i="45"/>
  <c r="H111" i="45"/>
  <c r="J111" i="45"/>
  <c r="AG111" i="45"/>
  <c r="AA111" i="45"/>
  <c r="W111" i="45"/>
  <c r="AE111" i="45"/>
  <c r="U111" i="45"/>
  <c r="P111" i="45"/>
  <c r="I111" i="45"/>
  <c r="E111" i="45"/>
  <c r="C111" i="45"/>
  <c r="T111" i="45"/>
  <c r="AH111" i="45"/>
  <c r="M111" i="45"/>
  <c r="S111" i="45"/>
  <c r="AJ111" i="45"/>
  <c r="AF111" i="45"/>
  <c r="Z111" i="45"/>
  <c r="D111" i="45"/>
  <c r="N111" i="45"/>
  <c r="O111" i="45"/>
  <c r="AI111" i="45"/>
  <c r="L111" i="45"/>
  <c r="V111" i="45"/>
  <c r="G111" i="45"/>
  <c r="AC111" i="45"/>
  <c r="BX112" i="45"/>
  <c r="BM112" i="45"/>
  <c r="BI112" i="45"/>
  <c r="BR112" i="45"/>
  <c r="BO112" i="45"/>
  <c r="BK112" i="45"/>
  <c r="BS112" i="45"/>
  <c r="BF112" i="45"/>
  <c r="CC112" i="45"/>
  <c r="CG112" i="45"/>
  <c r="BH112" i="45"/>
  <c r="BG112" i="45"/>
  <c r="CA112" i="45"/>
  <c r="BQ112" i="45"/>
  <c r="BL112" i="45"/>
  <c r="CJ112" i="45"/>
  <c r="CF112" i="45"/>
  <c r="CB112" i="45"/>
  <c r="BV112" i="45"/>
  <c r="CI112" i="45"/>
  <c r="CD112" i="45"/>
  <c r="BY112" i="45"/>
  <c r="CE112" i="45"/>
  <c r="CK112" i="45"/>
  <c r="BZ112" i="45"/>
  <c r="BN112" i="45"/>
  <c r="CH112" i="45"/>
  <c r="BT112" i="45"/>
  <c r="BU112" i="45"/>
  <c r="CL112" i="45"/>
  <c r="BJ112" i="45"/>
  <c r="BW112" i="45"/>
  <c r="BP112" i="45"/>
  <c r="BP110" i="45"/>
  <c r="CC110" i="45"/>
  <c r="BZ110" i="45"/>
  <c r="BJ110" i="45"/>
  <c r="BR110" i="45"/>
  <c r="CF110" i="45"/>
  <c r="BO110" i="45"/>
  <c r="CJ110" i="45"/>
  <c r="BT110" i="45"/>
  <c r="BG110" i="45"/>
  <c r="CK110" i="45"/>
  <c r="CL110" i="45"/>
  <c r="BK110" i="45"/>
  <c r="BU110" i="45"/>
  <c r="BH110" i="45"/>
  <c r="BM110" i="45"/>
  <c r="BL110" i="45"/>
  <c r="CA110" i="45"/>
  <c r="BQ110" i="45"/>
  <c r="BX110" i="45"/>
  <c r="BN110" i="45"/>
  <c r="CD110" i="45"/>
  <c r="CE110" i="45"/>
  <c r="BY110" i="45"/>
  <c r="BS110" i="45"/>
  <c r="BW110" i="45"/>
  <c r="BV110" i="45"/>
  <c r="CG110" i="45"/>
  <c r="BF110" i="45"/>
  <c r="CB110" i="45"/>
  <c r="CI110" i="45"/>
  <c r="BI110" i="45"/>
  <c r="CH110" i="45"/>
  <c r="AJ104" i="45"/>
  <c r="O104" i="45"/>
  <c r="AG104" i="45"/>
  <c r="L104" i="45"/>
  <c r="AC104" i="45"/>
  <c r="W104" i="45"/>
  <c r="H104" i="45"/>
  <c r="U104" i="45"/>
  <c r="AB104" i="45"/>
  <c r="J104" i="45"/>
  <c r="I104" i="45"/>
  <c r="F104" i="45"/>
  <c r="E104" i="45"/>
  <c r="AD104" i="45"/>
  <c r="N104" i="45"/>
  <c r="R104" i="45"/>
  <c r="Q104" i="45"/>
  <c r="M104" i="45"/>
  <c r="K104" i="45"/>
  <c r="G104" i="45"/>
  <c r="Z104" i="45"/>
  <c r="AE104" i="45"/>
  <c r="D104" i="45"/>
  <c r="Y104" i="45"/>
  <c r="AH104" i="45"/>
  <c r="X104" i="45"/>
  <c r="T104" i="45"/>
  <c r="S104" i="45"/>
  <c r="V104" i="45"/>
  <c r="AF104" i="45"/>
  <c r="P104" i="45"/>
  <c r="AI104" i="45"/>
  <c r="AA104" i="45"/>
  <c r="C104" i="45"/>
  <c r="BY106" i="45"/>
  <c r="BR106" i="45"/>
  <c r="CE106" i="45"/>
  <c r="BW106" i="45"/>
  <c r="BL106" i="45"/>
  <c r="CJ106" i="45"/>
  <c r="BH106" i="45"/>
  <c r="CL106" i="45"/>
  <c r="CD106" i="45"/>
  <c r="CF106" i="45"/>
  <c r="BI106" i="45"/>
  <c r="BV106" i="45"/>
  <c r="CI106" i="45"/>
  <c r="BG106" i="45"/>
  <c r="BT106" i="45"/>
  <c r="BJ106" i="45"/>
  <c r="BU106" i="45"/>
  <c r="BX106" i="45"/>
  <c r="CK106" i="45"/>
  <c r="CB106" i="45"/>
  <c r="BS106" i="45"/>
  <c r="BF106" i="45"/>
  <c r="BQ106" i="45"/>
  <c r="BP106" i="45"/>
  <c r="BK106" i="45"/>
  <c r="BZ106" i="45"/>
  <c r="BN106" i="45"/>
  <c r="CA106" i="45"/>
  <c r="CH106" i="45"/>
  <c r="CC106" i="45"/>
  <c r="BO106" i="45"/>
  <c r="CG106" i="45"/>
  <c r="BM106" i="45"/>
  <c r="AH108" i="45"/>
  <c r="D108" i="45"/>
  <c r="U108" i="45"/>
  <c r="R108" i="45"/>
  <c r="H108" i="45"/>
  <c r="Z108" i="45"/>
  <c r="AI108" i="45"/>
  <c r="W108" i="45"/>
  <c r="AE108" i="45"/>
  <c r="AC108" i="45"/>
  <c r="AG108" i="45"/>
  <c r="F108" i="45"/>
  <c r="V108" i="45"/>
  <c r="T108" i="45"/>
  <c r="AJ108" i="45"/>
  <c r="I108" i="45"/>
  <c r="O108" i="45"/>
  <c r="N108" i="45"/>
  <c r="K108" i="45"/>
  <c r="Q108" i="45"/>
  <c r="L108" i="45"/>
  <c r="P108" i="45"/>
  <c r="X108" i="45"/>
  <c r="J108" i="45"/>
  <c r="G108" i="45"/>
  <c r="E108" i="45"/>
  <c r="M108" i="45"/>
  <c r="C108" i="45"/>
  <c r="AB108" i="45"/>
  <c r="AF108" i="45"/>
  <c r="AA108" i="45"/>
  <c r="S108" i="45"/>
  <c r="Y108" i="45"/>
  <c r="AD108" i="45"/>
  <c r="AD56" i="35"/>
  <c r="O107" i="45"/>
  <c r="AI107" i="45"/>
  <c r="L107" i="45"/>
  <c r="G107" i="45"/>
  <c r="U107" i="45"/>
  <c r="T107" i="45"/>
  <c r="M107" i="45"/>
  <c r="AA107" i="45"/>
  <c r="C107" i="45"/>
  <c r="P107" i="45"/>
  <c r="AB107" i="45"/>
  <c r="X107" i="45"/>
  <c r="I107" i="45"/>
  <c r="J107" i="45"/>
  <c r="S107" i="45"/>
  <c r="K107" i="45"/>
  <c r="AG107" i="45"/>
  <c r="AJ107" i="45"/>
  <c r="Y107" i="45"/>
  <c r="W107" i="45"/>
  <c r="V107" i="45"/>
  <c r="AH107" i="45"/>
  <c r="AF107" i="45"/>
  <c r="E107" i="45"/>
  <c r="F107" i="45"/>
  <c r="AE107" i="45"/>
  <c r="R107" i="45"/>
  <c r="N107" i="45"/>
  <c r="Q107" i="45"/>
  <c r="AD107" i="45"/>
  <c r="AC107" i="45"/>
  <c r="H107" i="45"/>
  <c r="D107" i="45"/>
  <c r="Z107" i="45"/>
  <c r="CC105" i="45"/>
  <c r="BI105" i="45"/>
  <c r="BM105" i="45"/>
  <c r="CI105" i="45"/>
  <c r="BT105" i="45"/>
  <c r="BZ105" i="45"/>
  <c r="CK105" i="45"/>
  <c r="BV105" i="45"/>
  <c r="BQ105" i="45"/>
  <c r="BN105" i="45"/>
  <c r="CG105" i="45"/>
  <c r="CF105" i="45"/>
  <c r="BL105" i="45"/>
  <c r="BY105" i="45"/>
  <c r="CJ105" i="45"/>
  <c r="BH105" i="45"/>
  <c r="BK105" i="45"/>
  <c r="BS105" i="45"/>
  <c r="BU105" i="45"/>
  <c r="BR105" i="45"/>
  <c r="CL105" i="45"/>
  <c r="BF105" i="45"/>
  <c r="CE105" i="45"/>
  <c r="CH105" i="45"/>
  <c r="BX105" i="45"/>
  <c r="CB105" i="45"/>
  <c r="BP105" i="45"/>
  <c r="BJ105" i="45"/>
  <c r="BW105" i="45"/>
  <c r="BG105" i="45"/>
  <c r="CA105" i="45"/>
  <c r="BO105" i="45"/>
  <c r="CD105" i="45"/>
  <c r="BW102" i="45"/>
  <c r="BG102" i="45"/>
  <c r="BK102" i="45"/>
  <c r="CE102" i="45"/>
  <c r="BT102" i="45"/>
  <c r="CF102" i="45"/>
  <c r="CA102" i="45"/>
  <c r="BS102" i="45"/>
  <c r="BJ102" i="45"/>
  <c r="BR102" i="45"/>
  <c r="BF102" i="45"/>
  <c r="CL102" i="45"/>
  <c r="BO102" i="45"/>
  <c r="BU102" i="45"/>
  <c r="CJ102" i="45"/>
  <c r="BM102" i="45"/>
  <c r="BY102" i="45"/>
  <c r="CG102" i="45"/>
  <c r="CH102" i="45"/>
  <c r="BP102" i="45"/>
  <c r="BN102" i="45"/>
  <c r="CK102" i="45"/>
  <c r="BI102" i="45"/>
  <c r="BX102" i="45"/>
  <c r="CB102" i="45"/>
  <c r="CI102" i="45"/>
  <c r="BQ102" i="45"/>
  <c r="BH102" i="45"/>
  <c r="CD102" i="45"/>
  <c r="BL102" i="45"/>
  <c r="CC102" i="45"/>
  <c r="BV102" i="45"/>
  <c r="BZ102" i="45"/>
  <c r="BX111" i="45"/>
  <c r="CG111" i="45"/>
  <c r="CH111" i="45"/>
  <c r="BI111" i="45"/>
  <c r="BT111" i="45"/>
  <c r="BM111" i="45"/>
  <c r="CJ111" i="45"/>
  <c r="CE111" i="45"/>
  <c r="BV111" i="45"/>
  <c r="BQ111" i="45"/>
  <c r="BJ111" i="45"/>
  <c r="CD111" i="45"/>
  <c r="CC111" i="45"/>
  <c r="CB111" i="45"/>
  <c r="CI111" i="45"/>
  <c r="BY111" i="45"/>
  <c r="BN111" i="45"/>
  <c r="CL111" i="45"/>
  <c r="BP111" i="45"/>
  <c r="CF111" i="45"/>
  <c r="BS111" i="45"/>
  <c r="BW111" i="45"/>
  <c r="BH111" i="45"/>
  <c r="CA111" i="45"/>
  <c r="BR111" i="45"/>
  <c r="BK111" i="45"/>
  <c r="BG111" i="45"/>
  <c r="BL111" i="45"/>
  <c r="BU111" i="45"/>
  <c r="CK111" i="45"/>
  <c r="BZ111" i="45"/>
  <c r="BF111" i="45"/>
  <c r="BO111" i="45"/>
  <c r="AE112" i="45"/>
  <c r="V112" i="45"/>
  <c r="M112" i="45"/>
  <c r="AJ112" i="45"/>
  <c r="K112" i="45"/>
  <c r="T112" i="45"/>
  <c r="E112" i="45"/>
  <c r="F112" i="45"/>
  <c r="J112" i="45"/>
  <c r="AH112" i="45"/>
  <c r="AG112" i="45"/>
  <c r="AF112" i="45"/>
  <c r="D112" i="45"/>
  <c r="AD112" i="45"/>
  <c r="W112" i="45"/>
  <c r="O112" i="45"/>
  <c r="AB112" i="45"/>
  <c r="Z112" i="45"/>
  <c r="Y112" i="45"/>
  <c r="G112" i="45"/>
  <c r="I112" i="45"/>
  <c r="N112" i="45"/>
  <c r="S112" i="45"/>
  <c r="P112" i="45"/>
  <c r="L112" i="45"/>
  <c r="X112" i="45"/>
  <c r="H112" i="45"/>
  <c r="Q112" i="45"/>
  <c r="AI112" i="45"/>
  <c r="C112" i="45"/>
  <c r="AC112" i="45"/>
  <c r="R112" i="45"/>
  <c r="U112" i="45"/>
  <c r="AA112" i="45"/>
  <c r="Z54" i="51" l="1"/>
  <c r="Z53" i="51"/>
  <c r="AN58" i="8"/>
  <c r="O32" i="1" s="1"/>
  <c r="Z49" i="51"/>
  <c r="Z48" i="51"/>
  <c r="A54" i="51"/>
  <c r="Z51" i="51"/>
  <c r="AN46" i="51"/>
  <c r="Z50" i="51"/>
  <c r="Z52" i="51"/>
  <c r="Z47" i="51"/>
  <c r="Y58" i="8"/>
  <c r="X52" i="45"/>
  <c r="X26" i="51" s="1"/>
  <c r="X33" i="45"/>
  <c r="T33" i="45"/>
  <c r="T52" i="45"/>
  <c r="T26" i="51" s="1"/>
  <c r="BG51" i="45"/>
  <c r="BG32" i="45"/>
  <c r="CI32" i="45"/>
  <c r="CI51" i="45"/>
  <c r="CH32" i="45"/>
  <c r="CH51" i="45"/>
  <c r="CB42" i="45"/>
  <c r="CB23" i="45"/>
  <c r="BY23" i="45"/>
  <c r="BY42" i="45"/>
  <c r="BO23" i="45"/>
  <c r="BO42" i="45"/>
  <c r="BT42" i="45"/>
  <c r="BT23" i="45"/>
  <c r="BG26" i="45"/>
  <c r="BG45" i="45"/>
  <c r="CB45" i="45"/>
  <c r="CB26" i="45"/>
  <c r="BF45" i="45"/>
  <c r="BF26" i="45"/>
  <c r="BS45" i="45"/>
  <c r="BS26" i="45"/>
  <c r="BN45" i="45"/>
  <c r="BN26" i="45"/>
  <c r="BZ26" i="45"/>
  <c r="BZ45" i="45"/>
  <c r="BI26" i="45"/>
  <c r="BI45" i="45"/>
  <c r="C52" i="45"/>
  <c r="C26" i="51" s="1"/>
  <c r="C33" i="45"/>
  <c r="Z33" i="45"/>
  <c r="Z52" i="45"/>
  <c r="Z26" i="51" s="1"/>
  <c r="AD33" i="45"/>
  <c r="AD52" i="45"/>
  <c r="AD26" i="51" s="1"/>
  <c r="V52" i="45"/>
  <c r="V26" i="51" s="1"/>
  <c r="V33" i="45"/>
  <c r="BH51" i="45"/>
  <c r="BH32" i="45"/>
  <c r="BJ32" i="45"/>
  <c r="BJ51" i="45"/>
  <c r="BZ23" i="45"/>
  <c r="BZ42" i="45"/>
  <c r="BW42" i="45"/>
  <c r="BW23" i="45"/>
  <c r="H47" i="45"/>
  <c r="H21" i="51" s="1"/>
  <c r="H28" i="45"/>
  <c r="N28" i="45"/>
  <c r="N47" i="45"/>
  <c r="N21" i="51" s="1"/>
  <c r="E28" i="45"/>
  <c r="E47" i="45"/>
  <c r="E21" i="51" s="1"/>
  <c r="W47" i="45"/>
  <c r="W21" i="51" s="1"/>
  <c r="W28" i="45"/>
  <c r="K28" i="45"/>
  <c r="K47" i="45"/>
  <c r="K21" i="51" s="1"/>
  <c r="X28" i="45"/>
  <c r="X47" i="45"/>
  <c r="X21" i="51" s="1"/>
  <c r="AA47" i="45"/>
  <c r="AA21" i="51" s="1"/>
  <c r="AA28" i="45"/>
  <c r="G28" i="45"/>
  <c r="G47" i="45"/>
  <c r="G21" i="51" s="1"/>
  <c r="AA48" i="45"/>
  <c r="AA22" i="51" s="1"/>
  <c r="AA29" i="45"/>
  <c r="X29" i="45"/>
  <c r="X48" i="45"/>
  <c r="X22" i="51" s="1"/>
  <c r="AJ48" i="45"/>
  <c r="AJ22" i="51" s="1"/>
  <c r="AJ29" i="45"/>
  <c r="AI48" i="45"/>
  <c r="AI22" i="51" s="1"/>
  <c r="AI29" i="45"/>
  <c r="CG46" i="45"/>
  <c r="CG27" i="45"/>
  <c r="BP27" i="45"/>
  <c r="BP46" i="45"/>
  <c r="BJ46" i="45"/>
  <c r="BJ27" i="45"/>
  <c r="CL46" i="45"/>
  <c r="CL27" i="45"/>
  <c r="C44" i="45"/>
  <c r="C18" i="51" s="1"/>
  <c r="C25" i="45"/>
  <c r="X44" i="45"/>
  <c r="X18" i="51" s="1"/>
  <c r="X25" i="45"/>
  <c r="AE44" i="45"/>
  <c r="AE18" i="51" s="1"/>
  <c r="AE25" i="45"/>
  <c r="J44" i="45"/>
  <c r="J18" i="51" s="1"/>
  <c r="J25" i="45"/>
  <c r="CK50" i="45"/>
  <c r="CK31" i="45"/>
  <c r="CE47" i="45"/>
  <c r="CE28" i="45"/>
  <c r="CJ47" i="45"/>
  <c r="CJ28" i="45"/>
  <c r="BH28" i="45"/>
  <c r="BH47" i="45"/>
  <c r="BZ28" i="45"/>
  <c r="BZ47" i="45"/>
  <c r="CA30" i="45"/>
  <c r="CA49" i="45"/>
  <c r="CG49" i="45"/>
  <c r="CG30" i="45"/>
  <c r="BL49" i="45"/>
  <c r="BL30" i="45"/>
  <c r="BJ30" i="45"/>
  <c r="BJ49" i="45"/>
  <c r="BK30" i="45"/>
  <c r="BK49" i="45"/>
  <c r="CB53" i="45"/>
  <c r="CB34" i="45"/>
  <c r="CA34" i="45"/>
  <c r="CA53" i="45"/>
  <c r="BR53" i="45"/>
  <c r="BR34" i="45"/>
  <c r="BW53" i="45"/>
  <c r="BW34" i="45"/>
  <c r="I30" i="45"/>
  <c r="I49" i="45"/>
  <c r="I23" i="51" s="1"/>
  <c r="AA30" i="45"/>
  <c r="AA49" i="45"/>
  <c r="AA23" i="51" s="1"/>
  <c r="AH30" i="45"/>
  <c r="AH49" i="45"/>
  <c r="AH23" i="51" s="1"/>
  <c r="AB30" i="45"/>
  <c r="AB49" i="45"/>
  <c r="AB23" i="51" s="1"/>
  <c r="Z46" i="45"/>
  <c r="Z20" i="51" s="1"/>
  <c r="Z27" i="45"/>
  <c r="U27" i="45"/>
  <c r="U46" i="45"/>
  <c r="U20" i="51" s="1"/>
  <c r="P46" i="45"/>
  <c r="P20" i="51" s="1"/>
  <c r="P27" i="45"/>
  <c r="N46" i="45"/>
  <c r="N20" i="51" s="1"/>
  <c r="N27" i="45"/>
  <c r="CB25" i="45"/>
  <c r="CB44" i="45"/>
  <c r="CK25" i="45"/>
  <c r="CK44" i="45"/>
  <c r="CA44" i="45"/>
  <c r="CA25" i="45"/>
  <c r="BJ44" i="45"/>
  <c r="BJ25" i="45"/>
  <c r="AD50" i="45"/>
  <c r="AD24" i="51" s="1"/>
  <c r="AD31" i="45"/>
  <c r="AI50" i="45"/>
  <c r="AI24" i="51" s="1"/>
  <c r="AI31" i="45"/>
  <c r="W50" i="45"/>
  <c r="W24" i="51" s="1"/>
  <c r="W31" i="45"/>
  <c r="AB50" i="45"/>
  <c r="AB24" i="51" s="1"/>
  <c r="AB31" i="45"/>
  <c r="J50" i="45"/>
  <c r="J24" i="51" s="1"/>
  <c r="J31" i="45"/>
  <c r="BK43" i="45"/>
  <c r="BK24" i="45"/>
  <c r="CL43" i="45"/>
  <c r="CL24" i="45"/>
  <c r="BZ43" i="45"/>
  <c r="BZ24" i="45"/>
  <c r="CK24" i="45"/>
  <c r="CK43" i="45"/>
  <c r="CD43" i="45"/>
  <c r="CD24" i="45"/>
  <c r="CJ29" i="45"/>
  <c r="CJ48" i="45"/>
  <c r="CK29" i="45"/>
  <c r="CK48" i="45"/>
  <c r="BM48" i="45"/>
  <c r="BM29" i="45"/>
  <c r="BY29" i="45"/>
  <c r="BY48" i="45"/>
  <c r="AJ53" i="45"/>
  <c r="AJ27" i="51" s="1"/>
  <c r="AJ34" i="45"/>
  <c r="Z34" i="45"/>
  <c r="Z53" i="45"/>
  <c r="Z27" i="51" s="1"/>
  <c r="S34" i="45"/>
  <c r="S53" i="45"/>
  <c r="S27" i="51" s="1"/>
  <c r="M34" i="45"/>
  <c r="M53" i="45"/>
  <c r="M27" i="51" s="1"/>
  <c r="Q24" i="45"/>
  <c r="Q43" i="45"/>
  <c r="Q17" i="51" s="1"/>
  <c r="AC43" i="45"/>
  <c r="AC17" i="51" s="1"/>
  <c r="AC24" i="45"/>
  <c r="L24" i="45"/>
  <c r="L43" i="45"/>
  <c r="L17" i="51" s="1"/>
  <c r="U52" i="45"/>
  <c r="U26" i="51" s="1"/>
  <c r="U33" i="45"/>
  <c r="L52" i="45"/>
  <c r="L26" i="51" s="1"/>
  <c r="L33" i="45"/>
  <c r="AB52" i="45"/>
  <c r="AB26" i="51" s="1"/>
  <c r="AB33" i="45"/>
  <c r="J52" i="45"/>
  <c r="J26" i="51" s="1"/>
  <c r="J33" i="45"/>
  <c r="CL32" i="45"/>
  <c r="CL51" i="45"/>
  <c r="R28" i="45"/>
  <c r="R47" i="45"/>
  <c r="R21" i="51" s="1"/>
  <c r="Y47" i="45"/>
  <c r="Y21" i="51" s="1"/>
  <c r="Y28" i="45"/>
  <c r="AB47" i="45"/>
  <c r="AB21" i="51" s="1"/>
  <c r="AB28" i="45"/>
  <c r="L28" i="45"/>
  <c r="L47" i="45"/>
  <c r="L21" i="51" s="1"/>
  <c r="AF48" i="45"/>
  <c r="AF22" i="51" s="1"/>
  <c r="AF29" i="45"/>
  <c r="P48" i="45"/>
  <c r="P22" i="51" s="1"/>
  <c r="P29" i="45"/>
  <c r="T29" i="45"/>
  <c r="T48" i="45"/>
  <c r="T22" i="51" s="1"/>
  <c r="Z29" i="45"/>
  <c r="Z48" i="45"/>
  <c r="Z22" i="51" s="1"/>
  <c r="BO46" i="45"/>
  <c r="BO27" i="45"/>
  <c r="BQ27" i="45"/>
  <c r="BQ46" i="45"/>
  <c r="BT46" i="45"/>
  <c r="BT27" i="45"/>
  <c r="CE27" i="45"/>
  <c r="CE46" i="45"/>
  <c r="BW50" i="45"/>
  <c r="BW31" i="45"/>
  <c r="BX28" i="45"/>
  <c r="BX47" i="45"/>
  <c r="CF47" i="45"/>
  <c r="CF28" i="45"/>
  <c r="BL47" i="45"/>
  <c r="BL28" i="45"/>
  <c r="CH28" i="45"/>
  <c r="CH47" i="45"/>
  <c r="BI49" i="45"/>
  <c r="BI30" i="45"/>
  <c r="CE49" i="45"/>
  <c r="CE30" i="45"/>
  <c r="BH49" i="45"/>
  <c r="BH30" i="45"/>
  <c r="BV30" i="45"/>
  <c r="BV49" i="45"/>
  <c r="CD53" i="45"/>
  <c r="CD34" i="45"/>
  <c r="CL53" i="45"/>
  <c r="CL34" i="45"/>
  <c r="BJ53" i="45"/>
  <c r="BJ34" i="45"/>
  <c r="BT34" i="45"/>
  <c r="BT53" i="45"/>
  <c r="F49" i="45"/>
  <c r="F23" i="51" s="1"/>
  <c r="F30" i="45"/>
  <c r="K49" i="45"/>
  <c r="K23" i="51" s="1"/>
  <c r="K30" i="45"/>
  <c r="D30" i="45"/>
  <c r="D49" i="45"/>
  <c r="D23" i="51" s="1"/>
  <c r="J49" i="45"/>
  <c r="J23" i="51" s="1"/>
  <c r="J30" i="45"/>
  <c r="U49" i="45"/>
  <c r="U23" i="51" s="1"/>
  <c r="U30" i="45"/>
  <c r="Q49" i="45"/>
  <c r="Q23" i="51" s="1"/>
  <c r="Q30" i="45"/>
  <c r="K27" i="45"/>
  <c r="K46" i="45"/>
  <c r="K20" i="51" s="1"/>
  <c r="AH46" i="45"/>
  <c r="AH20" i="51" s="1"/>
  <c r="AH27" i="45"/>
  <c r="C46" i="45"/>
  <c r="C20" i="51" s="1"/>
  <c r="C27" i="45"/>
  <c r="AJ27" i="45"/>
  <c r="AJ46" i="45"/>
  <c r="AJ20" i="51" s="1"/>
  <c r="AC46" i="45"/>
  <c r="AC20" i="51" s="1"/>
  <c r="AC27" i="45"/>
  <c r="R46" i="45"/>
  <c r="R20" i="51" s="1"/>
  <c r="R27" i="45"/>
  <c r="G46" i="45"/>
  <c r="G20" i="51" s="1"/>
  <c r="G27" i="45"/>
  <c r="AD46" i="45"/>
  <c r="AD20" i="51" s="1"/>
  <c r="AD27" i="45"/>
  <c r="W27" i="45"/>
  <c r="W46" i="45"/>
  <c r="W20" i="51" s="1"/>
  <c r="CD25" i="45"/>
  <c r="CD44" i="45"/>
  <c r="BG44" i="45"/>
  <c r="BG25" i="45"/>
  <c r="CF44" i="45"/>
  <c r="CF25" i="45"/>
  <c r="BV25" i="45"/>
  <c r="BV44" i="45"/>
  <c r="BN25" i="45"/>
  <c r="BN44" i="45"/>
  <c r="CC44" i="45"/>
  <c r="CC25" i="45"/>
  <c r="BY25" i="45"/>
  <c r="BY44" i="45"/>
  <c r="BW25" i="45"/>
  <c r="BW44" i="45"/>
  <c r="F50" i="45"/>
  <c r="F24" i="51" s="1"/>
  <c r="F31" i="45"/>
  <c r="Y50" i="45"/>
  <c r="Y24" i="51" s="1"/>
  <c r="Y31" i="45"/>
  <c r="H50" i="45"/>
  <c r="H24" i="51" s="1"/>
  <c r="H31" i="45"/>
  <c r="X50" i="45"/>
  <c r="X24" i="51" s="1"/>
  <c r="X31" i="45"/>
  <c r="P31" i="45"/>
  <c r="P50" i="45"/>
  <c r="P24" i="51" s="1"/>
  <c r="AF50" i="45"/>
  <c r="AF24" i="51" s="1"/>
  <c r="AF31" i="45"/>
  <c r="AC50" i="45"/>
  <c r="AC24" i="51" s="1"/>
  <c r="AC31" i="45"/>
  <c r="K31" i="45"/>
  <c r="K50" i="45"/>
  <c r="K24" i="51" s="1"/>
  <c r="G31" i="45"/>
  <c r="G50" i="45"/>
  <c r="G24" i="51" s="1"/>
  <c r="BV43" i="45"/>
  <c r="BV24" i="45"/>
  <c r="BM24" i="45"/>
  <c r="BM43" i="45"/>
  <c r="BX43" i="45"/>
  <c r="BX24" i="45"/>
  <c r="BR43" i="45"/>
  <c r="BR24" i="45"/>
  <c r="CJ24" i="45"/>
  <c r="CJ43" i="45"/>
  <c r="BT43" i="45"/>
  <c r="BT24" i="45"/>
  <c r="BH24" i="45"/>
  <c r="BH43" i="45"/>
  <c r="CG29" i="45"/>
  <c r="CG48" i="45"/>
  <c r="BR48" i="45"/>
  <c r="BR29" i="45"/>
  <c r="BP48" i="45"/>
  <c r="BP29" i="45"/>
  <c r="BS48" i="45"/>
  <c r="BS29" i="45"/>
  <c r="BU48" i="45"/>
  <c r="BU29" i="45"/>
  <c r="BQ48" i="45"/>
  <c r="BQ29" i="45"/>
  <c r="CA29" i="45"/>
  <c r="CA48" i="45"/>
  <c r="BI29" i="45"/>
  <c r="BI48" i="45"/>
  <c r="J34" i="45"/>
  <c r="J53" i="45"/>
  <c r="J27" i="51" s="1"/>
  <c r="F34" i="45"/>
  <c r="F53" i="45"/>
  <c r="F27" i="51" s="1"/>
  <c r="X34" i="45"/>
  <c r="X53" i="45"/>
  <c r="X27" i="51" s="1"/>
  <c r="AB53" i="45"/>
  <c r="AB27" i="51" s="1"/>
  <c r="AB34" i="45"/>
  <c r="AI53" i="45"/>
  <c r="AI27" i="51" s="1"/>
  <c r="AI34" i="45"/>
  <c r="AG34" i="45"/>
  <c r="AG53" i="45"/>
  <c r="AG27" i="51" s="1"/>
  <c r="P53" i="45"/>
  <c r="P27" i="51" s="1"/>
  <c r="P34" i="45"/>
  <c r="AH53" i="45"/>
  <c r="AH27" i="51" s="1"/>
  <c r="AH34" i="45"/>
  <c r="AF53" i="45"/>
  <c r="AF27" i="51" s="1"/>
  <c r="AF34" i="45"/>
  <c r="S43" i="45"/>
  <c r="S17" i="51" s="1"/>
  <c r="S24" i="45"/>
  <c r="E43" i="45"/>
  <c r="E17" i="51" s="1"/>
  <c r="E24" i="45"/>
  <c r="AG43" i="45"/>
  <c r="AG17" i="51" s="1"/>
  <c r="AG24" i="45"/>
  <c r="U43" i="45"/>
  <c r="U17" i="51" s="1"/>
  <c r="U24" i="45"/>
  <c r="M43" i="45"/>
  <c r="M17" i="51" s="1"/>
  <c r="M24" i="45"/>
  <c r="AJ43" i="45"/>
  <c r="AJ17" i="51" s="1"/>
  <c r="AJ24" i="45"/>
  <c r="W43" i="45"/>
  <c r="W17" i="51" s="1"/>
  <c r="W24" i="45"/>
  <c r="F43" i="45"/>
  <c r="F17" i="51" s="1"/>
  <c r="F24" i="45"/>
  <c r="R52" i="45"/>
  <c r="R26" i="51" s="1"/>
  <c r="R33" i="45"/>
  <c r="Q52" i="45"/>
  <c r="Q26" i="51" s="1"/>
  <c r="Q33" i="45"/>
  <c r="P52" i="45"/>
  <c r="P26" i="51" s="1"/>
  <c r="P33" i="45"/>
  <c r="G33" i="45"/>
  <c r="G52" i="45"/>
  <c r="G26" i="51" s="1"/>
  <c r="O33" i="45"/>
  <c r="O52" i="45"/>
  <c r="O26" i="51" s="1"/>
  <c r="AF52" i="45"/>
  <c r="AF26" i="51" s="1"/>
  <c r="AF33" i="45"/>
  <c r="F33" i="45"/>
  <c r="F52" i="45"/>
  <c r="F26" i="51" s="1"/>
  <c r="AJ52" i="45"/>
  <c r="AJ26" i="51" s="1"/>
  <c r="AJ33" i="45"/>
  <c r="BO32" i="45"/>
  <c r="BO51" i="45"/>
  <c r="BU32" i="45"/>
  <c r="BU51" i="45"/>
  <c r="BR32" i="45"/>
  <c r="BR51" i="45"/>
  <c r="BS32" i="45"/>
  <c r="BS51" i="45"/>
  <c r="BN32" i="45"/>
  <c r="BN51" i="45"/>
  <c r="CC32" i="45"/>
  <c r="CC51" i="45"/>
  <c r="BV32" i="45"/>
  <c r="BV51" i="45"/>
  <c r="BT32" i="45"/>
  <c r="BT51" i="45"/>
  <c r="BX51" i="45"/>
  <c r="BX32" i="45"/>
  <c r="CC42" i="45"/>
  <c r="CC23" i="45"/>
  <c r="BQ42" i="45"/>
  <c r="BQ23" i="45"/>
  <c r="BI23" i="45"/>
  <c r="BI42" i="45"/>
  <c r="CH23" i="45"/>
  <c r="CH42" i="45"/>
  <c r="CJ42" i="45"/>
  <c r="CJ23" i="45"/>
  <c r="BF42" i="45"/>
  <c r="BF23" i="45"/>
  <c r="CA23" i="45"/>
  <c r="CA42" i="45"/>
  <c r="BK23" i="45"/>
  <c r="BK42" i="45"/>
  <c r="BO26" i="45"/>
  <c r="BO45" i="45"/>
  <c r="BJ45" i="45"/>
  <c r="BJ26" i="45"/>
  <c r="CH26" i="45"/>
  <c r="CH45" i="45"/>
  <c r="BR45" i="45"/>
  <c r="BR26" i="45"/>
  <c r="BH26" i="45"/>
  <c r="BH45" i="45"/>
  <c r="CF26" i="45"/>
  <c r="CF45" i="45"/>
  <c r="BV26" i="45"/>
  <c r="BV45" i="45"/>
  <c r="CI45" i="45"/>
  <c r="CI26" i="45"/>
  <c r="Z47" i="45"/>
  <c r="Z21" i="51" s="1"/>
  <c r="Z28" i="45"/>
  <c r="AD47" i="45"/>
  <c r="AD21" i="51" s="1"/>
  <c r="AD28" i="45"/>
  <c r="AE28" i="45"/>
  <c r="AE47" i="45"/>
  <c r="AE21" i="51" s="1"/>
  <c r="AH47" i="45"/>
  <c r="AH21" i="51" s="1"/>
  <c r="AH28" i="45"/>
  <c r="AJ47" i="45"/>
  <c r="AJ21" i="51" s="1"/>
  <c r="AJ28" i="45"/>
  <c r="J28" i="45"/>
  <c r="J47" i="45"/>
  <c r="J21" i="51" s="1"/>
  <c r="P47" i="45"/>
  <c r="P21" i="51" s="1"/>
  <c r="P28" i="45"/>
  <c r="T47" i="45"/>
  <c r="T21" i="51" s="1"/>
  <c r="T28" i="45"/>
  <c r="AI47" i="45"/>
  <c r="AI21" i="51" s="1"/>
  <c r="AI28" i="45"/>
  <c r="Y29" i="45"/>
  <c r="Y48" i="45"/>
  <c r="Y22" i="51" s="1"/>
  <c r="AB48" i="45"/>
  <c r="AB22" i="51" s="1"/>
  <c r="AB29" i="45"/>
  <c r="G29" i="45"/>
  <c r="G48" i="45"/>
  <c r="G22" i="51" s="1"/>
  <c r="L29" i="45"/>
  <c r="L48" i="45"/>
  <c r="L22" i="51" s="1"/>
  <c r="O48" i="45"/>
  <c r="O22" i="51" s="1"/>
  <c r="O29" i="45"/>
  <c r="V29" i="45"/>
  <c r="V48" i="45"/>
  <c r="V22" i="51" s="1"/>
  <c r="AE48" i="45"/>
  <c r="AE22" i="51" s="1"/>
  <c r="AE29" i="45"/>
  <c r="H48" i="45"/>
  <c r="H22" i="51" s="1"/>
  <c r="H29" i="45"/>
  <c r="AH29" i="45"/>
  <c r="AH48" i="45"/>
  <c r="AH22" i="51" s="1"/>
  <c r="CC27" i="45"/>
  <c r="CC46" i="45"/>
  <c r="BZ27" i="45"/>
  <c r="BZ46" i="45"/>
  <c r="BF27" i="45"/>
  <c r="BF46" i="45"/>
  <c r="BX27" i="45"/>
  <c r="BX46" i="45"/>
  <c r="BG46" i="45"/>
  <c r="BG27" i="45"/>
  <c r="CF27" i="45"/>
  <c r="CF46" i="45"/>
  <c r="CJ27" i="45"/>
  <c r="CJ46" i="45"/>
  <c r="BR27" i="45"/>
  <c r="BR46" i="45"/>
  <c r="AI44" i="45"/>
  <c r="AI18" i="51" s="1"/>
  <c r="AI25" i="45"/>
  <c r="S44" i="45"/>
  <c r="S18" i="51" s="1"/>
  <c r="S25" i="45"/>
  <c r="Y25" i="45"/>
  <c r="Y44" i="45"/>
  <c r="Y18" i="51" s="1"/>
  <c r="G25" i="45"/>
  <c r="G44" i="45"/>
  <c r="G18" i="51" s="1"/>
  <c r="R25" i="45"/>
  <c r="R44" i="45"/>
  <c r="R18" i="51" s="1"/>
  <c r="F25" i="45"/>
  <c r="F44" i="45"/>
  <c r="F18" i="51" s="1"/>
  <c r="U44" i="45"/>
  <c r="U18" i="51" s="1"/>
  <c r="U25" i="45"/>
  <c r="L44" i="45"/>
  <c r="L18" i="51" s="1"/>
  <c r="L25" i="45"/>
  <c r="CH31" i="45"/>
  <c r="CH50" i="45"/>
  <c r="BF50" i="45"/>
  <c r="BF31" i="45"/>
  <c r="BS50" i="45"/>
  <c r="BS31" i="45"/>
  <c r="BN31" i="45"/>
  <c r="BN50" i="45"/>
  <c r="BL31" i="45"/>
  <c r="BL50" i="45"/>
  <c r="BK50" i="45"/>
  <c r="BK31" i="45"/>
  <c r="BT50" i="45"/>
  <c r="BT31" i="45"/>
  <c r="BR31" i="45"/>
  <c r="BR50" i="45"/>
  <c r="BP31" i="45"/>
  <c r="BP50" i="45"/>
  <c r="BJ52" i="45"/>
  <c r="BJ33" i="45"/>
  <c r="CH52" i="45"/>
  <c r="CH33" i="45"/>
  <c r="CE52" i="45"/>
  <c r="CE33" i="45"/>
  <c r="BV52" i="45"/>
  <c r="BV33" i="45"/>
  <c r="BL33" i="45"/>
  <c r="BL52" i="45"/>
  <c r="BH33" i="45"/>
  <c r="BH52" i="45"/>
  <c r="BS52" i="45"/>
  <c r="BS33" i="45"/>
  <c r="BI33" i="45"/>
  <c r="BI52" i="45"/>
  <c r="G51" i="45"/>
  <c r="G25" i="51" s="1"/>
  <c r="G32" i="45"/>
  <c r="O51" i="45"/>
  <c r="O25" i="51" s="1"/>
  <c r="O32" i="45"/>
  <c r="AF32" i="45"/>
  <c r="AF51" i="45"/>
  <c r="AF25" i="51" s="1"/>
  <c r="AH51" i="45"/>
  <c r="AH25" i="51" s="1"/>
  <c r="AH32" i="45"/>
  <c r="I32" i="45"/>
  <c r="I51" i="45"/>
  <c r="I25" i="51" s="1"/>
  <c r="W51" i="45"/>
  <c r="W25" i="51" s="1"/>
  <c r="W32" i="45"/>
  <c r="H32" i="45"/>
  <c r="H51" i="45"/>
  <c r="H25" i="51" s="1"/>
  <c r="Y32" i="45"/>
  <c r="Y51" i="45"/>
  <c r="Y25" i="51" s="1"/>
  <c r="X32" i="45"/>
  <c r="X51" i="45"/>
  <c r="X25" i="51" s="1"/>
  <c r="AA42" i="45"/>
  <c r="AA16" i="51" s="1"/>
  <c r="AA23" i="45"/>
  <c r="P42" i="45"/>
  <c r="P16" i="51" s="1"/>
  <c r="P23" i="45"/>
  <c r="Y42" i="45"/>
  <c r="Y16" i="51" s="1"/>
  <c r="Y23" i="45"/>
  <c r="AJ23" i="45"/>
  <c r="AJ42" i="45"/>
  <c r="AJ16" i="51" s="1"/>
  <c r="U42" i="45"/>
  <c r="U16" i="51" s="1"/>
  <c r="U23" i="45"/>
  <c r="AB23" i="45"/>
  <c r="AB42" i="45"/>
  <c r="AB16" i="51" s="1"/>
  <c r="L23" i="45"/>
  <c r="L42" i="45"/>
  <c r="L16" i="51" s="1"/>
  <c r="J23" i="45"/>
  <c r="J42" i="45"/>
  <c r="J16" i="51" s="1"/>
  <c r="AF45" i="45"/>
  <c r="AF19" i="51" s="1"/>
  <c r="AF26" i="45"/>
  <c r="AC45" i="45"/>
  <c r="AC19" i="51" s="1"/>
  <c r="AC26" i="45"/>
  <c r="AH26" i="45"/>
  <c r="AH45" i="45"/>
  <c r="AH19" i="51" s="1"/>
  <c r="Q26" i="45"/>
  <c r="Q45" i="45"/>
  <c r="Q19" i="51" s="1"/>
  <c r="AA26" i="45"/>
  <c r="AA45" i="45"/>
  <c r="AA19" i="51" s="1"/>
  <c r="AD45" i="45"/>
  <c r="AD19" i="51" s="1"/>
  <c r="AD26" i="45"/>
  <c r="H45" i="45"/>
  <c r="H19" i="51" s="1"/>
  <c r="H26" i="45"/>
  <c r="U45" i="45"/>
  <c r="U19" i="51" s="1"/>
  <c r="U26" i="45"/>
  <c r="E45" i="45"/>
  <c r="E19" i="51" s="1"/>
  <c r="E26" i="45"/>
  <c r="CC28" i="45"/>
  <c r="CC47" i="45"/>
  <c r="BS28" i="45"/>
  <c r="BS47" i="45"/>
  <c r="CB47" i="45"/>
  <c r="CB28" i="45"/>
  <c r="BI47" i="45"/>
  <c r="BI28" i="45"/>
  <c r="BN47" i="45"/>
  <c r="BN28" i="45"/>
  <c r="BO28" i="45"/>
  <c r="BO47" i="45"/>
  <c r="CL47" i="45"/>
  <c r="CL28" i="45"/>
  <c r="CD28" i="45"/>
  <c r="CD47" i="45"/>
  <c r="CG28" i="45"/>
  <c r="CG47" i="45"/>
  <c r="CI49" i="45"/>
  <c r="CI30" i="45"/>
  <c r="CK30" i="45"/>
  <c r="CK49" i="45"/>
  <c r="BF30" i="45"/>
  <c r="BF49" i="45"/>
  <c r="BM30" i="45"/>
  <c r="BM49" i="45"/>
  <c r="BW49" i="45"/>
  <c r="BW30" i="45"/>
  <c r="CH30" i="45"/>
  <c r="CH49" i="45"/>
  <c r="BS30" i="45"/>
  <c r="BS49" i="45"/>
  <c r="CC49" i="45"/>
  <c r="CC30" i="45"/>
  <c r="BV53" i="45"/>
  <c r="BV34" i="45"/>
  <c r="BO53" i="45"/>
  <c r="BO34" i="45"/>
  <c r="CE34" i="45"/>
  <c r="CE53" i="45"/>
  <c r="BH34" i="45"/>
  <c r="BH53" i="45"/>
  <c r="CC34" i="45"/>
  <c r="CC53" i="45"/>
  <c r="BL34" i="45"/>
  <c r="BL53" i="45"/>
  <c r="BY53" i="45"/>
  <c r="BY34" i="45"/>
  <c r="BN34" i="45"/>
  <c r="BN53" i="45"/>
  <c r="R30" i="45"/>
  <c r="R49" i="45"/>
  <c r="R23" i="51" s="1"/>
  <c r="AD30" i="45"/>
  <c r="AD49" i="45"/>
  <c r="AD23" i="51" s="1"/>
  <c r="N30" i="45"/>
  <c r="N49" i="45"/>
  <c r="N23" i="51" s="1"/>
  <c r="AJ49" i="45"/>
  <c r="AJ23" i="51" s="1"/>
  <c r="AJ30" i="45"/>
  <c r="AI49" i="45"/>
  <c r="AI23" i="51" s="1"/>
  <c r="AI30" i="45"/>
  <c r="AC49" i="45"/>
  <c r="AC23" i="51" s="1"/>
  <c r="AC30" i="45"/>
  <c r="O30" i="45"/>
  <c r="O49" i="45"/>
  <c r="O23" i="51" s="1"/>
  <c r="X30" i="45"/>
  <c r="X49" i="45"/>
  <c r="X23" i="51" s="1"/>
  <c r="V49" i="45"/>
  <c r="V23" i="51" s="1"/>
  <c r="V30" i="45"/>
  <c r="M46" i="45"/>
  <c r="M20" i="51" s="1"/>
  <c r="M27" i="45"/>
  <c r="S46" i="45"/>
  <c r="S20" i="51" s="1"/>
  <c r="S27" i="45"/>
  <c r="AB46" i="45"/>
  <c r="AB20" i="51" s="1"/>
  <c r="AB27" i="45"/>
  <c r="AF46" i="45"/>
  <c r="AF20" i="51" s="1"/>
  <c r="AF27" i="45"/>
  <c r="D46" i="45"/>
  <c r="D20" i="51" s="1"/>
  <c r="D27" i="45"/>
  <c r="Y27" i="45"/>
  <c r="Y46" i="45"/>
  <c r="Y20" i="51" s="1"/>
  <c r="E46" i="45"/>
  <c r="E20" i="51" s="1"/>
  <c r="E27" i="45"/>
  <c r="I27" i="45"/>
  <c r="I46" i="45"/>
  <c r="I20" i="51" s="1"/>
  <c r="BK44" i="45"/>
  <c r="BK25" i="45"/>
  <c r="CL25" i="45"/>
  <c r="CL44" i="45"/>
  <c r="CJ44" i="45"/>
  <c r="CJ25" i="45"/>
  <c r="BU25" i="45"/>
  <c r="BU44" i="45"/>
  <c r="CH44" i="45"/>
  <c r="CH25" i="45"/>
  <c r="BM44" i="45"/>
  <c r="BM25" i="45"/>
  <c r="BH44" i="45"/>
  <c r="BH25" i="45"/>
  <c r="BL44" i="45"/>
  <c r="BL25" i="45"/>
  <c r="BS25" i="45"/>
  <c r="BS44" i="45"/>
  <c r="U50" i="45"/>
  <c r="U24" i="51" s="1"/>
  <c r="U31" i="45"/>
  <c r="E50" i="45"/>
  <c r="E24" i="51" s="1"/>
  <c r="E31" i="45"/>
  <c r="AH31" i="45"/>
  <c r="AH50" i="45"/>
  <c r="AH24" i="51" s="1"/>
  <c r="AG50" i="45"/>
  <c r="AG24" i="51" s="1"/>
  <c r="AG31" i="45"/>
  <c r="D50" i="45"/>
  <c r="D24" i="51" s="1"/>
  <c r="D31" i="45"/>
  <c r="N50" i="45"/>
  <c r="N24" i="51" s="1"/>
  <c r="N31" i="45"/>
  <c r="AJ50" i="45"/>
  <c r="AJ24" i="51" s="1"/>
  <c r="AJ31" i="45"/>
  <c r="T50" i="45"/>
  <c r="T24" i="51" s="1"/>
  <c r="T31" i="45"/>
  <c r="BL43" i="45"/>
  <c r="BL24" i="45"/>
  <c r="CA24" i="45"/>
  <c r="CA43" i="45"/>
  <c r="BF24" i="45"/>
  <c r="BF43" i="45"/>
  <c r="BW43" i="45"/>
  <c r="BW24" i="45"/>
  <c r="BY24" i="45"/>
  <c r="BY43" i="45"/>
  <c r="BI43" i="45"/>
  <c r="BI24" i="45"/>
  <c r="CG24" i="45"/>
  <c r="CG43" i="45"/>
  <c r="BO24" i="45"/>
  <c r="BO43" i="45"/>
  <c r="CC24" i="45"/>
  <c r="CC43" i="45"/>
  <c r="BW29" i="45"/>
  <c r="BW48" i="45"/>
  <c r="CI48" i="45"/>
  <c r="CI29" i="45"/>
  <c r="CD29" i="45"/>
  <c r="CD48" i="45"/>
  <c r="BH29" i="45"/>
  <c r="BH48" i="45"/>
  <c r="BV29" i="45"/>
  <c r="BV48" i="45"/>
  <c r="CE29" i="45"/>
  <c r="CE48" i="45"/>
  <c r="CB48" i="45"/>
  <c r="CB29" i="45"/>
  <c r="BF48" i="45"/>
  <c r="BF29" i="45"/>
  <c r="I34" i="45"/>
  <c r="I53" i="45"/>
  <c r="I27" i="51" s="1"/>
  <c r="O53" i="45"/>
  <c r="O27" i="51" s="1"/>
  <c r="O34" i="45"/>
  <c r="W53" i="45"/>
  <c r="W27" i="51" s="1"/>
  <c r="W34" i="45"/>
  <c r="AD34" i="45"/>
  <c r="AD53" i="45"/>
  <c r="AD27" i="51" s="1"/>
  <c r="G34" i="45"/>
  <c r="G53" i="45"/>
  <c r="G27" i="51" s="1"/>
  <c r="D34" i="45"/>
  <c r="D53" i="45"/>
  <c r="D27" i="51" s="1"/>
  <c r="T53" i="45"/>
  <c r="T27" i="51" s="1"/>
  <c r="T34" i="45"/>
  <c r="Q34" i="45"/>
  <c r="Q53" i="45"/>
  <c r="Q27" i="51" s="1"/>
  <c r="I43" i="45"/>
  <c r="I17" i="51" s="1"/>
  <c r="I24" i="45"/>
  <c r="K43" i="45"/>
  <c r="K17" i="51" s="1"/>
  <c r="K24" i="45"/>
  <c r="AH43" i="45"/>
  <c r="AH17" i="51" s="1"/>
  <c r="AH24" i="45"/>
  <c r="J43" i="45"/>
  <c r="J17" i="51" s="1"/>
  <c r="J24" i="45"/>
  <c r="X24" i="45"/>
  <c r="X43" i="45"/>
  <c r="X17" i="51" s="1"/>
  <c r="C24" i="45"/>
  <c r="C43" i="45"/>
  <c r="C17" i="51" s="1"/>
  <c r="R43" i="45"/>
  <c r="R17" i="51" s="1"/>
  <c r="R24" i="45"/>
  <c r="N43" i="45"/>
  <c r="N17" i="51" s="1"/>
  <c r="N24" i="45"/>
  <c r="G43" i="45"/>
  <c r="G17" i="51" s="1"/>
  <c r="G24" i="45"/>
  <c r="AA52" i="45"/>
  <c r="AA26" i="51" s="1"/>
  <c r="AA33" i="45"/>
  <c r="N52" i="45"/>
  <c r="N26" i="51" s="1"/>
  <c r="N33" i="45"/>
  <c r="AH52" i="45"/>
  <c r="AH26" i="51" s="1"/>
  <c r="AH33" i="45"/>
  <c r="BZ32" i="45"/>
  <c r="BZ51" i="45"/>
  <c r="BP51" i="45"/>
  <c r="BP32" i="45"/>
  <c r="CJ51" i="45"/>
  <c r="CJ32" i="45"/>
  <c r="CD42" i="45"/>
  <c r="CD23" i="45"/>
  <c r="BN23" i="45"/>
  <c r="BN42" i="45"/>
  <c r="BJ42" i="45"/>
  <c r="BJ23" i="45"/>
  <c r="BY26" i="45"/>
  <c r="BY45" i="45"/>
  <c r="M48" i="45"/>
  <c r="M22" i="51" s="1"/>
  <c r="M29" i="45"/>
  <c r="K48" i="45"/>
  <c r="K22" i="51" s="1"/>
  <c r="K29" i="45"/>
  <c r="AG48" i="45"/>
  <c r="AG22" i="51" s="1"/>
  <c r="AG29" i="45"/>
  <c r="U48" i="45"/>
  <c r="U22" i="51" s="1"/>
  <c r="U29" i="45"/>
  <c r="CA27" i="45"/>
  <c r="CA46" i="45"/>
  <c r="CB27" i="45"/>
  <c r="CB46" i="45"/>
  <c r="BV27" i="45"/>
  <c r="BV46" i="45"/>
  <c r="BW46" i="45"/>
  <c r="BW27" i="45"/>
  <c r="AF44" i="45"/>
  <c r="AF18" i="51" s="1"/>
  <c r="AF25" i="45"/>
  <c r="M44" i="45"/>
  <c r="M18" i="51" s="1"/>
  <c r="M25" i="45"/>
  <c r="AD25" i="45"/>
  <c r="AD44" i="45"/>
  <c r="AD18" i="51" s="1"/>
  <c r="W25" i="45"/>
  <c r="W44" i="45"/>
  <c r="W18" i="51" s="1"/>
  <c r="O44" i="45"/>
  <c r="O18" i="51" s="1"/>
  <c r="O25" i="45"/>
  <c r="CI31" i="45"/>
  <c r="CI50" i="45"/>
  <c r="BV50" i="45"/>
  <c r="BV31" i="45"/>
  <c r="CE31" i="45"/>
  <c r="CE50" i="45"/>
  <c r="BQ31" i="45"/>
  <c r="BQ50" i="45"/>
  <c r="BH31" i="45"/>
  <c r="BH50" i="45"/>
  <c r="BO31" i="45"/>
  <c r="BO50" i="45"/>
  <c r="BZ31" i="45"/>
  <c r="BZ50" i="45"/>
  <c r="BP52" i="45"/>
  <c r="BP33" i="45"/>
  <c r="BU33" i="45"/>
  <c r="BU52" i="45"/>
  <c r="BZ33" i="45"/>
  <c r="BZ52" i="45"/>
  <c r="CD52" i="45"/>
  <c r="CD33" i="45"/>
  <c r="CF52" i="45"/>
  <c r="CF33" i="45"/>
  <c r="CA52" i="45"/>
  <c r="CA33" i="45"/>
  <c r="CC52" i="45"/>
  <c r="CC33" i="45"/>
  <c r="BO52" i="45"/>
  <c r="BO33" i="45"/>
  <c r="BX33" i="45"/>
  <c r="BX52" i="45"/>
  <c r="L32" i="45"/>
  <c r="L51" i="45"/>
  <c r="L25" i="51" s="1"/>
  <c r="D32" i="45"/>
  <c r="D51" i="45"/>
  <c r="D25" i="51" s="1"/>
  <c r="S32" i="45"/>
  <c r="S51" i="45"/>
  <c r="S25" i="51" s="1"/>
  <c r="C32" i="45"/>
  <c r="C51" i="45"/>
  <c r="C25" i="51" s="1"/>
  <c r="U51" i="45"/>
  <c r="U25" i="51" s="1"/>
  <c r="U32" i="45"/>
  <c r="AG51" i="45"/>
  <c r="AG25" i="51" s="1"/>
  <c r="AG32" i="45"/>
  <c r="AD51" i="45"/>
  <c r="AD25" i="51" s="1"/>
  <c r="AD32" i="45"/>
  <c r="K51" i="45"/>
  <c r="K25" i="51" s="1"/>
  <c r="K32" i="45"/>
  <c r="C42" i="45"/>
  <c r="C16" i="51" s="1"/>
  <c r="C23" i="45"/>
  <c r="AD23" i="45"/>
  <c r="AD42" i="45"/>
  <c r="AD16" i="51" s="1"/>
  <c r="F42" i="45"/>
  <c r="F16" i="51" s="1"/>
  <c r="F23" i="45"/>
  <c r="N23" i="45"/>
  <c r="N42" i="45"/>
  <c r="N16" i="51" s="1"/>
  <c r="M23" i="45"/>
  <c r="M42" i="45"/>
  <c r="M16" i="51" s="1"/>
  <c r="AC42" i="45"/>
  <c r="AC16" i="51" s="1"/>
  <c r="AC23" i="45"/>
  <c r="AF23" i="45"/>
  <c r="AF42" i="45"/>
  <c r="AF16" i="51" s="1"/>
  <c r="H42" i="45"/>
  <c r="H16" i="51" s="1"/>
  <c r="H23" i="45"/>
  <c r="R42" i="45"/>
  <c r="R16" i="51" s="1"/>
  <c r="R23" i="45"/>
  <c r="M26" i="45"/>
  <c r="M45" i="45"/>
  <c r="M19" i="51" s="1"/>
  <c r="K45" i="45"/>
  <c r="K19" i="51" s="1"/>
  <c r="K26" i="45"/>
  <c r="F45" i="45"/>
  <c r="F19" i="51" s="1"/>
  <c r="F26" i="45"/>
  <c r="AG45" i="45"/>
  <c r="AG19" i="51" s="1"/>
  <c r="AG26" i="45"/>
  <c r="AJ26" i="45"/>
  <c r="AJ45" i="45"/>
  <c r="AJ19" i="51" s="1"/>
  <c r="G45" i="45"/>
  <c r="G19" i="51" s="1"/>
  <c r="G26" i="45"/>
  <c r="R26" i="45"/>
  <c r="R45" i="45"/>
  <c r="R19" i="51" s="1"/>
  <c r="L45" i="45"/>
  <c r="L19" i="51" s="1"/>
  <c r="L26" i="45"/>
  <c r="BK28" i="45"/>
  <c r="BK47" i="45"/>
  <c r="BF47" i="45"/>
  <c r="BF28" i="45"/>
  <c r="BM28" i="45"/>
  <c r="BM47" i="45"/>
  <c r="BG47" i="45"/>
  <c r="BG28" i="45"/>
  <c r="BQ49" i="45"/>
  <c r="BQ30" i="45"/>
  <c r="CB30" i="45"/>
  <c r="CB49" i="45"/>
  <c r="BG30" i="45"/>
  <c r="BG49" i="45"/>
  <c r="BT49" i="45"/>
  <c r="BT30" i="45"/>
  <c r="BP53" i="45"/>
  <c r="BP34" i="45"/>
  <c r="CG34" i="45"/>
  <c r="CG53" i="45"/>
  <c r="BQ53" i="45"/>
  <c r="BQ34" i="45"/>
  <c r="CF34" i="45"/>
  <c r="CF53" i="45"/>
  <c r="AG49" i="45"/>
  <c r="AG23" i="51" s="1"/>
  <c r="AG30" i="45"/>
  <c r="E49" i="45"/>
  <c r="E23" i="51" s="1"/>
  <c r="E30" i="45"/>
  <c r="M30" i="45"/>
  <c r="M49" i="45"/>
  <c r="M23" i="51" s="1"/>
  <c r="H49" i="45"/>
  <c r="H23" i="51" s="1"/>
  <c r="H30" i="45"/>
  <c r="AA46" i="45"/>
  <c r="AA20" i="51" s="1"/>
  <c r="AA27" i="45"/>
  <c r="V46" i="45"/>
  <c r="V20" i="51" s="1"/>
  <c r="V27" i="45"/>
  <c r="T27" i="45"/>
  <c r="T46" i="45"/>
  <c r="T20" i="51" s="1"/>
  <c r="X27" i="45"/>
  <c r="X46" i="45"/>
  <c r="X20" i="51" s="1"/>
  <c r="J27" i="45"/>
  <c r="J46" i="45"/>
  <c r="J20" i="51" s="1"/>
  <c r="BP25" i="45"/>
  <c r="BP44" i="45"/>
  <c r="BF25" i="45"/>
  <c r="BF44" i="45"/>
  <c r="BI25" i="45"/>
  <c r="BI44" i="45"/>
  <c r="CG25" i="45"/>
  <c r="CG44" i="45"/>
  <c r="AA31" i="45"/>
  <c r="AA50" i="45"/>
  <c r="AA24" i="51" s="1"/>
  <c r="L50" i="45"/>
  <c r="L24" i="51" s="1"/>
  <c r="L31" i="45"/>
  <c r="R31" i="45"/>
  <c r="R50" i="45"/>
  <c r="R24" i="51" s="1"/>
  <c r="Z50" i="45"/>
  <c r="Z24" i="51" s="1"/>
  <c r="Z31" i="45"/>
  <c r="BQ24" i="45"/>
  <c r="BQ43" i="45"/>
  <c r="CF24" i="45"/>
  <c r="CF43" i="45"/>
  <c r="CI24" i="45"/>
  <c r="CI43" i="45"/>
  <c r="CC29" i="45"/>
  <c r="CC48" i="45"/>
  <c r="BZ29" i="45"/>
  <c r="BZ48" i="45"/>
  <c r="BJ48" i="45"/>
  <c r="BJ29" i="45"/>
  <c r="BO48" i="45"/>
  <c r="BO29" i="45"/>
  <c r="AC34" i="45"/>
  <c r="AC53" i="45"/>
  <c r="AC27" i="51" s="1"/>
  <c r="K34" i="45"/>
  <c r="K53" i="45"/>
  <c r="K27" i="51" s="1"/>
  <c r="U53" i="45"/>
  <c r="U27" i="51" s="1"/>
  <c r="U34" i="45"/>
  <c r="E53" i="45"/>
  <c r="E27" i="51" s="1"/>
  <c r="E34" i="45"/>
  <c r="N53" i="45"/>
  <c r="N27" i="51" s="1"/>
  <c r="N34" i="45"/>
  <c r="H43" i="45"/>
  <c r="H17" i="51" s="1"/>
  <c r="H24" i="45"/>
  <c r="AB24" i="45"/>
  <c r="AB43" i="45"/>
  <c r="AB17" i="51" s="1"/>
  <c r="Y24" i="45"/>
  <c r="Y43" i="45"/>
  <c r="Y17" i="51" s="1"/>
  <c r="AF43" i="45"/>
  <c r="AF17" i="51" s="1"/>
  <c r="AF24" i="45"/>
  <c r="V43" i="45"/>
  <c r="V17" i="51" s="1"/>
  <c r="V24" i="45"/>
  <c r="AI33" i="45"/>
  <c r="AI52" i="45"/>
  <c r="AI26" i="51" s="1"/>
  <c r="I33" i="45"/>
  <c r="I52" i="45"/>
  <c r="I26" i="51" s="1"/>
  <c r="D52" i="45"/>
  <c r="D26" i="51" s="1"/>
  <c r="D33" i="45"/>
  <c r="K52" i="45"/>
  <c r="K26" i="51" s="1"/>
  <c r="K33" i="45"/>
  <c r="AE33" i="45"/>
  <c r="AE52" i="45"/>
  <c r="AE26" i="51" s="1"/>
  <c r="CK32" i="45"/>
  <c r="CK51" i="45"/>
  <c r="BK32" i="45"/>
  <c r="BK51" i="45"/>
  <c r="BW51" i="45"/>
  <c r="BW32" i="45"/>
  <c r="CB32" i="45"/>
  <c r="CB51" i="45"/>
  <c r="BQ32" i="45"/>
  <c r="BQ51" i="45"/>
  <c r="BM32" i="45"/>
  <c r="BM51" i="45"/>
  <c r="CG51" i="45"/>
  <c r="CG32" i="45"/>
  <c r="BV23" i="45"/>
  <c r="BV42" i="45"/>
  <c r="BH42" i="45"/>
  <c r="BH23" i="45"/>
  <c r="BX42" i="45"/>
  <c r="BX23" i="45"/>
  <c r="BP23" i="45"/>
  <c r="BP42" i="45"/>
  <c r="BM42" i="45"/>
  <c r="BM23" i="45"/>
  <c r="CL42" i="45"/>
  <c r="CL23" i="45"/>
  <c r="BS23" i="45"/>
  <c r="BS42" i="45"/>
  <c r="CE23" i="45"/>
  <c r="CE42" i="45"/>
  <c r="CD45" i="45"/>
  <c r="CD26" i="45"/>
  <c r="BW26" i="45"/>
  <c r="BW45" i="45"/>
  <c r="BX26" i="45"/>
  <c r="BX45" i="45"/>
  <c r="CL45" i="45"/>
  <c r="CL26" i="45"/>
  <c r="BK45" i="45"/>
  <c r="BK26" i="45"/>
  <c r="BL45" i="45"/>
  <c r="BL26" i="45"/>
  <c r="BQ45" i="45"/>
  <c r="BQ26" i="45"/>
  <c r="BT45" i="45"/>
  <c r="BT26" i="45"/>
  <c r="CC26" i="45"/>
  <c r="CC45" i="45"/>
  <c r="AC47" i="45"/>
  <c r="AC21" i="51" s="1"/>
  <c r="AC28" i="45"/>
  <c r="AF28" i="45"/>
  <c r="AF47" i="45"/>
  <c r="AF21" i="51" s="1"/>
  <c r="S47" i="45"/>
  <c r="S21" i="51" s="1"/>
  <c r="S28" i="45"/>
  <c r="M47" i="45"/>
  <c r="M21" i="51" s="1"/>
  <c r="M28" i="45"/>
  <c r="AD48" i="45"/>
  <c r="AD22" i="51" s="1"/>
  <c r="AD29" i="45"/>
  <c r="E29" i="45"/>
  <c r="E48" i="45"/>
  <c r="E22" i="51" s="1"/>
  <c r="N29" i="45"/>
  <c r="N48" i="45"/>
  <c r="N22" i="51" s="1"/>
  <c r="AC29" i="45"/>
  <c r="AC48" i="45"/>
  <c r="AC22" i="51" s="1"/>
  <c r="D29" i="45"/>
  <c r="D48" i="45"/>
  <c r="D22" i="51" s="1"/>
  <c r="BN46" i="45"/>
  <c r="BN27" i="45"/>
  <c r="CK46" i="45"/>
  <c r="CK27" i="45"/>
  <c r="BI27" i="45"/>
  <c r="BI46" i="45"/>
  <c r="BH46" i="45"/>
  <c r="BH27" i="45"/>
  <c r="AA25" i="45"/>
  <c r="AA44" i="45"/>
  <c r="AA18" i="51" s="1"/>
  <c r="V44" i="45"/>
  <c r="V18" i="51" s="1"/>
  <c r="V25" i="45"/>
  <c r="AH44" i="45"/>
  <c r="AH18" i="51" s="1"/>
  <c r="AH25" i="45"/>
  <c r="Z44" i="45"/>
  <c r="Z18" i="51" s="1"/>
  <c r="Z25" i="45"/>
  <c r="Q44" i="45"/>
  <c r="Q18" i="51" s="1"/>
  <c r="Q25" i="45"/>
  <c r="E44" i="45"/>
  <c r="E18" i="51" s="1"/>
  <c r="E25" i="45"/>
  <c r="AB25" i="45"/>
  <c r="AB44" i="45"/>
  <c r="AB18" i="51" s="1"/>
  <c r="AC25" i="45"/>
  <c r="AC44" i="45"/>
  <c r="AC18" i="51" s="1"/>
  <c r="AJ44" i="45"/>
  <c r="AJ18" i="51" s="1"/>
  <c r="AJ25" i="45"/>
  <c r="CB50" i="45"/>
  <c r="CB31" i="45"/>
  <c r="CD31" i="45"/>
  <c r="CD50" i="45"/>
  <c r="CA31" i="45"/>
  <c r="CA50" i="45"/>
  <c r="BU50" i="45"/>
  <c r="BU31" i="45"/>
  <c r="BG31" i="45"/>
  <c r="BG50" i="45"/>
  <c r="CF31" i="45"/>
  <c r="CF50" i="45"/>
  <c r="CC50" i="45"/>
  <c r="CC31" i="45"/>
  <c r="BW52" i="45"/>
  <c r="BW33" i="45"/>
  <c r="BT52" i="45"/>
  <c r="BT33" i="45"/>
  <c r="CK52" i="45"/>
  <c r="CK33" i="45"/>
  <c r="CI33" i="45"/>
  <c r="CI52" i="45"/>
  <c r="CJ52" i="45"/>
  <c r="CJ33" i="45"/>
  <c r="BG52" i="45"/>
  <c r="BG33" i="45"/>
  <c r="BF52" i="45"/>
  <c r="BF33" i="45"/>
  <c r="BR33" i="45"/>
  <c r="BR52" i="45"/>
  <c r="AC32" i="45"/>
  <c r="AC51" i="45"/>
  <c r="AC25" i="51" s="1"/>
  <c r="AI51" i="45"/>
  <c r="AI25" i="51" s="1"/>
  <c r="AI32" i="45"/>
  <c r="Z32" i="45"/>
  <c r="Z51" i="45"/>
  <c r="Z25" i="51" s="1"/>
  <c r="M51" i="45"/>
  <c r="M25" i="51" s="1"/>
  <c r="M32" i="45"/>
  <c r="E51" i="45"/>
  <c r="E25" i="51" s="1"/>
  <c r="E32" i="45"/>
  <c r="AE32" i="45"/>
  <c r="AE51" i="45"/>
  <c r="AE25" i="51" s="1"/>
  <c r="J51" i="45"/>
  <c r="J25" i="51" s="1"/>
  <c r="J32" i="45"/>
  <c r="AB51" i="45"/>
  <c r="AB25" i="51" s="1"/>
  <c r="AB32" i="45"/>
  <c r="R51" i="45"/>
  <c r="R25" i="51" s="1"/>
  <c r="R32" i="45"/>
  <c r="AI42" i="45"/>
  <c r="AI16" i="51" s="1"/>
  <c r="AI23" i="45"/>
  <c r="I42" i="45"/>
  <c r="I16" i="51" s="1"/>
  <c r="I23" i="45"/>
  <c r="K42" i="45"/>
  <c r="K16" i="51" s="1"/>
  <c r="K23" i="45"/>
  <c r="X42" i="45"/>
  <c r="X16" i="51" s="1"/>
  <c r="X23" i="45"/>
  <c r="E42" i="45"/>
  <c r="E16" i="51" s="1"/>
  <c r="E23" i="45"/>
  <c r="Z23" i="45"/>
  <c r="Z42" i="45"/>
  <c r="Z16" i="51" s="1"/>
  <c r="W23" i="45"/>
  <c r="W42" i="45"/>
  <c r="W16" i="51" s="1"/>
  <c r="AE42" i="45"/>
  <c r="AE16" i="51" s="1"/>
  <c r="AE23" i="45"/>
  <c r="AI45" i="45"/>
  <c r="AI19" i="51" s="1"/>
  <c r="AI26" i="45"/>
  <c r="I26" i="45"/>
  <c r="I45" i="45"/>
  <c r="I19" i="51" s="1"/>
  <c r="T45" i="45"/>
  <c r="T19" i="51" s="1"/>
  <c r="T26" i="45"/>
  <c r="S45" i="45"/>
  <c r="S19" i="51" s="1"/>
  <c r="S26" i="45"/>
  <c r="O45" i="45"/>
  <c r="O19" i="51" s="1"/>
  <c r="O26" i="45"/>
  <c r="P45" i="45"/>
  <c r="P19" i="51" s="1"/>
  <c r="P26" i="45"/>
  <c r="C26" i="45"/>
  <c r="C45" i="45"/>
  <c r="C19" i="51" s="1"/>
  <c r="Y26" i="45"/>
  <c r="Y45" i="45"/>
  <c r="Y19" i="51" s="1"/>
  <c r="X26" i="45"/>
  <c r="X45" i="45"/>
  <c r="X19" i="51" s="1"/>
  <c r="BP28" i="45"/>
  <c r="BP47" i="45"/>
  <c r="BT28" i="45"/>
  <c r="BT47" i="45"/>
  <c r="BY47" i="45"/>
  <c r="BY28" i="45"/>
  <c r="BR28" i="45"/>
  <c r="BR47" i="45"/>
  <c r="BY30" i="45"/>
  <c r="BY49" i="45"/>
  <c r="BR49" i="45"/>
  <c r="BR30" i="45"/>
  <c r="BZ30" i="45"/>
  <c r="BZ49" i="45"/>
  <c r="BP49" i="45"/>
  <c r="BP30" i="45"/>
  <c r="BK34" i="45"/>
  <c r="BK53" i="45"/>
  <c r="BI53" i="45"/>
  <c r="BI34" i="45"/>
  <c r="BM53" i="45"/>
  <c r="BM34" i="45"/>
  <c r="BX53" i="45"/>
  <c r="BX34" i="45"/>
  <c r="BF34" i="45"/>
  <c r="BF53" i="45"/>
  <c r="T49" i="45"/>
  <c r="T23" i="51" s="1"/>
  <c r="T30" i="45"/>
  <c r="AF49" i="45"/>
  <c r="AF23" i="51" s="1"/>
  <c r="AF30" i="45"/>
  <c r="BS24" i="45"/>
  <c r="BS43" i="45"/>
  <c r="AC33" i="45"/>
  <c r="AC52" i="45"/>
  <c r="AC26" i="51" s="1"/>
  <c r="H52" i="45"/>
  <c r="H26" i="51" s="1"/>
  <c r="H33" i="45"/>
  <c r="S33" i="45"/>
  <c r="S52" i="45"/>
  <c r="S26" i="51" s="1"/>
  <c r="Y52" i="45"/>
  <c r="Y26" i="51" s="1"/>
  <c r="Y33" i="45"/>
  <c r="W52" i="45"/>
  <c r="W26" i="51" s="1"/>
  <c r="W33" i="45"/>
  <c r="AG52" i="45"/>
  <c r="AG26" i="51" s="1"/>
  <c r="AG33" i="45"/>
  <c r="E33" i="45"/>
  <c r="E52" i="45"/>
  <c r="E26" i="51" s="1"/>
  <c r="M52" i="45"/>
  <c r="M26" i="51" s="1"/>
  <c r="M33" i="45"/>
  <c r="BF32" i="45"/>
  <c r="BF51" i="45"/>
  <c r="BL51" i="45"/>
  <c r="BL32" i="45"/>
  <c r="CA51" i="45"/>
  <c r="CA32" i="45"/>
  <c r="CF32" i="45"/>
  <c r="CF51" i="45"/>
  <c r="BY32" i="45"/>
  <c r="BY51" i="45"/>
  <c r="CD32" i="45"/>
  <c r="CD51" i="45"/>
  <c r="CE51" i="45"/>
  <c r="CE32" i="45"/>
  <c r="BI32" i="45"/>
  <c r="BI51" i="45"/>
  <c r="BL23" i="45"/>
  <c r="BL42" i="45"/>
  <c r="CI42" i="45"/>
  <c r="CI23" i="45"/>
  <c r="CK23" i="45"/>
  <c r="CK42" i="45"/>
  <c r="CG42" i="45"/>
  <c r="CG23" i="45"/>
  <c r="BU23" i="45"/>
  <c r="BU42" i="45"/>
  <c r="BR23" i="45"/>
  <c r="BR42" i="45"/>
  <c r="CF42" i="45"/>
  <c r="CF23" i="45"/>
  <c r="BG42" i="45"/>
  <c r="BG23" i="45"/>
  <c r="CA26" i="45"/>
  <c r="CA45" i="45"/>
  <c r="BP26" i="45"/>
  <c r="BP45" i="45"/>
  <c r="CE45" i="45"/>
  <c r="CE26" i="45"/>
  <c r="BU45" i="45"/>
  <c r="BU26" i="45"/>
  <c r="CJ45" i="45"/>
  <c r="CJ26" i="45"/>
  <c r="CG26" i="45"/>
  <c r="CG45" i="45"/>
  <c r="CK45" i="45"/>
  <c r="CK26" i="45"/>
  <c r="BM26" i="45"/>
  <c r="BM45" i="45"/>
  <c r="D28" i="45"/>
  <c r="D47" i="45"/>
  <c r="D21" i="51" s="1"/>
  <c r="Q47" i="45"/>
  <c r="Q21" i="51" s="1"/>
  <c r="Q28" i="45"/>
  <c r="F47" i="45"/>
  <c r="F21" i="51" s="1"/>
  <c r="F28" i="45"/>
  <c r="V47" i="45"/>
  <c r="V21" i="51" s="1"/>
  <c r="V28" i="45"/>
  <c r="AG28" i="45"/>
  <c r="AG47" i="45"/>
  <c r="AG21" i="51" s="1"/>
  <c r="I47" i="45"/>
  <c r="I21" i="51" s="1"/>
  <c r="I28" i="45"/>
  <c r="C47" i="45"/>
  <c r="C21" i="51" s="1"/>
  <c r="C28" i="45"/>
  <c r="U28" i="45"/>
  <c r="U47" i="45"/>
  <c r="U21" i="51" s="1"/>
  <c r="O47" i="45"/>
  <c r="O21" i="51" s="1"/>
  <c r="O28" i="45"/>
  <c r="S29" i="45"/>
  <c r="S48" i="45"/>
  <c r="S22" i="51" s="1"/>
  <c r="C48" i="45"/>
  <c r="C22" i="51" s="1"/>
  <c r="C29" i="45"/>
  <c r="J48" i="45"/>
  <c r="J22" i="51" s="1"/>
  <c r="J29" i="45"/>
  <c r="Q29" i="45"/>
  <c r="Q48" i="45"/>
  <c r="Q22" i="51" s="1"/>
  <c r="I48" i="45"/>
  <c r="I22" i="51" s="1"/>
  <c r="I29" i="45"/>
  <c r="F48" i="45"/>
  <c r="F22" i="51" s="1"/>
  <c r="F29" i="45"/>
  <c r="W48" i="45"/>
  <c r="W22" i="51" s="1"/>
  <c r="W29" i="45"/>
  <c r="R48" i="45"/>
  <c r="R22" i="51" s="1"/>
  <c r="R29" i="45"/>
  <c r="BM46" i="45"/>
  <c r="BM27" i="45"/>
  <c r="CH27" i="45"/>
  <c r="CH46" i="45"/>
  <c r="BK27" i="45"/>
  <c r="BK46" i="45"/>
  <c r="BS46" i="45"/>
  <c r="BS27" i="45"/>
  <c r="BU27" i="45"/>
  <c r="BU46" i="45"/>
  <c r="CI46" i="45"/>
  <c r="CI27" i="45"/>
  <c r="CD27" i="45"/>
  <c r="CD46" i="45"/>
  <c r="BL27" i="45"/>
  <c r="BL46" i="45"/>
  <c r="BY27" i="45"/>
  <c r="BY46" i="45"/>
  <c r="P44" i="45"/>
  <c r="P18" i="51" s="1"/>
  <c r="P25" i="45"/>
  <c r="T44" i="45"/>
  <c r="T18" i="51" s="1"/>
  <c r="T25" i="45"/>
  <c r="D25" i="45"/>
  <c r="D44" i="45"/>
  <c r="D18" i="51" s="1"/>
  <c r="K44" i="45"/>
  <c r="K18" i="51" s="1"/>
  <c r="K25" i="45"/>
  <c r="N25" i="45"/>
  <c r="N44" i="45"/>
  <c r="N18" i="51" s="1"/>
  <c r="I25" i="45"/>
  <c r="I44" i="45"/>
  <c r="I18" i="51" s="1"/>
  <c r="H25" i="45"/>
  <c r="H44" i="45"/>
  <c r="H18" i="51" s="1"/>
  <c r="AG44" i="45"/>
  <c r="AG18" i="51" s="1"/>
  <c r="AG25" i="45"/>
  <c r="BI31" i="45"/>
  <c r="BI50" i="45"/>
  <c r="CG50" i="45"/>
  <c r="CG31" i="45"/>
  <c r="BY31" i="45"/>
  <c r="BY50" i="45"/>
  <c r="BX31" i="45"/>
  <c r="BX50" i="45"/>
  <c r="BM31" i="45"/>
  <c r="BM50" i="45"/>
  <c r="CL31" i="45"/>
  <c r="CL50" i="45"/>
  <c r="CJ50" i="45"/>
  <c r="CJ31" i="45"/>
  <c r="BJ50" i="45"/>
  <c r="BJ31" i="45"/>
  <c r="CL52" i="45"/>
  <c r="CL33" i="45"/>
  <c r="BN52" i="45"/>
  <c r="BN33" i="45"/>
  <c r="BY33" i="45"/>
  <c r="BY52" i="45"/>
  <c r="CB52" i="45"/>
  <c r="CB33" i="45"/>
  <c r="BQ52" i="45"/>
  <c r="BQ33" i="45"/>
  <c r="CG52" i="45"/>
  <c r="CG33" i="45"/>
  <c r="BK33" i="45"/>
  <c r="BK52" i="45"/>
  <c r="BM52" i="45"/>
  <c r="BM33" i="45"/>
  <c r="V51" i="45"/>
  <c r="V25" i="51" s="1"/>
  <c r="V32" i="45"/>
  <c r="N32" i="45"/>
  <c r="N51" i="45"/>
  <c r="N25" i="51" s="1"/>
  <c r="AJ32" i="45"/>
  <c r="AJ51" i="45"/>
  <c r="AJ25" i="51" s="1"/>
  <c r="T51" i="45"/>
  <c r="T25" i="51" s="1"/>
  <c r="T32" i="45"/>
  <c r="P32" i="45"/>
  <c r="P51" i="45"/>
  <c r="P25" i="51" s="1"/>
  <c r="AA51" i="45"/>
  <c r="AA25" i="51" s="1"/>
  <c r="AA32" i="45"/>
  <c r="F32" i="45"/>
  <c r="F51" i="45"/>
  <c r="F25" i="51" s="1"/>
  <c r="Q51" i="45"/>
  <c r="Q25" i="51" s="1"/>
  <c r="Q32" i="45"/>
  <c r="G23" i="45"/>
  <c r="G42" i="45"/>
  <c r="G16" i="51" s="1"/>
  <c r="O23" i="45"/>
  <c r="O42" i="45"/>
  <c r="O16" i="51" s="1"/>
  <c r="V42" i="45"/>
  <c r="V16" i="51" s="1"/>
  <c r="V23" i="45"/>
  <c r="Q42" i="45"/>
  <c r="Q16" i="51" s="1"/>
  <c r="Q23" i="45"/>
  <c r="D23" i="45"/>
  <c r="D42" i="45"/>
  <c r="D16" i="51" s="1"/>
  <c r="S42" i="45"/>
  <c r="S16" i="51" s="1"/>
  <c r="S23" i="45"/>
  <c r="AG23" i="45"/>
  <c r="AG42" i="45"/>
  <c r="AG16" i="51" s="1"/>
  <c r="AH42" i="45"/>
  <c r="AH16" i="51" s="1"/>
  <c r="AH23" i="45"/>
  <c r="T42" i="45"/>
  <c r="T16" i="51" s="1"/>
  <c r="T23" i="45"/>
  <c r="W26" i="45"/>
  <c r="W45" i="45"/>
  <c r="W19" i="51" s="1"/>
  <c r="Z26" i="45"/>
  <c r="Z45" i="45"/>
  <c r="Z19" i="51" s="1"/>
  <c r="D26" i="45"/>
  <c r="D45" i="45"/>
  <c r="D19" i="51" s="1"/>
  <c r="V45" i="45"/>
  <c r="V19" i="51" s="1"/>
  <c r="V26" i="45"/>
  <c r="J26" i="45"/>
  <c r="J45" i="45"/>
  <c r="J19" i="51" s="1"/>
  <c r="AE26" i="45"/>
  <c r="AE45" i="45"/>
  <c r="AE19" i="51" s="1"/>
  <c r="AB45" i="45"/>
  <c r="AB19" i="51" s="1"/>
  <c r="AB26" i="45"/>
  <c r="N45" i="45"/>
  <c r="N19" i="51" s="1"/>
  <c r="N26" i="45"/>
  <c r="BV28" i="45"/>
  <c r="BV47" i="45"/>
  <c r="BQ47" i="45"/>
  <c r="BQ28" i="45"/>
  <c r="CI47" i="45"/>
  <c r="CI28" i="45"/>
  <c r="CA47" i="45"/>
  <c r="CA28" i="45"/>
  <c r="CK47" i="45"/>
  <c r="CK28" i="45"/>
  <c r="BU28" i="45"/>
  <c r="BU47" i="45"/>
  <c r="BJ28" i="45"/>
  <c r="BJ47" i="45"/>
  <c r="BW28" i="45"/>
  <c r="BW47" i="45"/>
  <c r="BX49" i="45"/>
  <c r="BX30" i="45"/>
  <c r="BU49" i="45"/>
  <c r="BU30" i="45"/>
  <c r="BN49" i="45"/>
  <c r="BN30" i="45"/>
  <c r="CF49" i="45"/>
  <c r="CF30" i="45"/>
  <c r="BO30" i="45"/>
  <c r="BO49" i="45"/>
  <c r="CD49" i="45"/>
  <c r="CD30" i="45"/>
  <c r="CL30" i="45"/>
  <c r="CL49" i="45"/>
  <c r="CJ30" i="45"/>
  <c r="CJ49" i="45"/>
  <c r="BZ53" i="45"/>
  <c r="BZ34" i="45"/>
  <c r="CJ53" i="45"/>
  <c r="CJ34" i="45"/>
  <c r="CK53" i="45"/>
  <c r="CK34" i="45"/>
  <c r="CH34" i="45"/>
  <c r="CH53" i="45"/>
  <c r="BS34" i="45"/>
  <c r="BS53" i="45"/>
  <c r="BU34" i="45"/>
  <c r="BU53" i="45"/>
  <c r="BG34" i="45"/>
  <c r="BG53" i="45"/>
  <c r="CI34" i="45"/>
  <c r="CI53" i="45"/>
  <c r="AE49" i="45"/>
  <c r="AE23" i="51" s="1"/>
  <c r="AE30" i="45"/>
  <c r="C49" i="45"/>
  <c r="C23" i="51" s="1"/>
  <c r="C30" i="45"/>
  <c r="Z49" i="45"/>
  <c r="Z23" i="51" s="1"/>
  <c r="Z30" i="45"/>
  <c r="P30" i="45"/>
  <c r="P49" i="45"/>
  <c r="P23" i="51" s="1"/>
  <c r="Y30" i="45"/>
  <c r="Y49" i="45"/>
  <c r="Y23" i="51" s="1"/>
  <c r="W30" i="45"/>
  <c r="W49" i="45"/>
  <c r="W23" i="51" s="1"/>
  <c r="L49" i="45"/>
  <c r="L23" i="51" s="1"/>
  <c r="L30" i="45"/>
  <c r="S30" i="45"/>
  <c r="S49" i="45"/>
  <c r="S23" i="51" s="1"/>
  <c r="G49" i="45"/>
  <c r="G23" i="51" s="1"/>
  <c r="G30" i="45"/>
  <c r="H27" i="45"/>
  <c r="H46" i="45"/>
  <c r="H20" i="51" s="1"/>
  <c r="Q46" i="45"/>
  <c r="Q20" i="51" s="1"/>
  <c r="Q27" i="45"/>
  <c r="AE46" i="45"/>
  <c r="AE20" i="51" s="1"/>
  <c r="AE27" i="45"/>
  <c r="AG46" i="45"/>
  <c r="AG20" i="51" s="1"/>
  <c r="AG27" i="45"/>
  <c r="F27" i="45"/>
  <c r="F46" i="45"/>
  <c r="F20" i="51" s="1"/>
  <c r="O27" i="45"/>
  <c r="O46" i="45"/>
  <c r="O20" i="51" s="1"/>
  <c r="L27" i="45"/>
  <c r="L46" i="45"/>
  <c r="L20" i="51" s="1"/>
  <c r="AI46" i="45"/>
  <c r="AI20" i="51" s="1"/>
  <c r="AI27" i="45"/>
  <c r="BT25" i="45"/>
  <c r="BT44" i="45"/>
  <c r="CE25" i="45"/>
  <c r="CE44" i="45"/>
  <c r="BX25" i="45"/>
  <c r="BX44" i="45"/>
  <c r="BQ25" i="45"/>
  <c r="BQ44" i="45"/>
  <c r="BR25" i="45"/>
  <c r="BR44" i="45"/>
  <c r="BZ25" i="45"/>
  <c r="BZ44" i="45"/>
  <c r="BO44" i="45"/>
  <c r="BO25" i="45"/>
  <c r="CI25" i="45"/>
  <c r="CI44" i="45"/>
  <c r="V31" i="45"/>
  <c r="V50" i="45"/>
  <c r="V24" i="51" s="1"/>
  <c r="O31" i="45"/>
  <c r="O50" i="45"/>
  <c r="O24" i="51" s="1"/>
  <c r="AE50" i="45"/>
  <c r="AE24" i="51" s="1"/>
  <c r="AE31" i="45"/>
  <c r="C50" i="45"/>
  <c r="C24" i="51" s="1"/>
  <c r="C31" i="45"/>
  <c r="I50" i="45"/>
  <c r="I24" i="51" s="1"/>
  <c r="I31" i="45"/>
  <c r="M50" i="45"/>
  <c r="M24" i="51" s="1"/>
  <c r="M31" i="45"/>
  <c r="Q50" i="45"/>
  <c r="Q24" i="51" s="1"/>
  <c r="Q31" i="45"/>
  <c r="S31" i="45"/>
  <c r="S50" i="45"/>
  <c r="S24" i="51" s="1"/>
  <c r="CH43" i="45"/>
  <c r="CH24" i="45"/>
  <c r="BJ43" i="45"/>
  <c r="BJ24" i="45"/>
  <c r="CB43" i="45"/>
  <c r="CB24" i="45"/>
  <c r="BP43" i="45"/>
  <c r="BP24" i="45"/>
  <c r="BU43" i="45"/>
  <c r="BU24" i="45"/>
  <c r="CE43" i="45"/>
  <c r="CE24" i="45"/>
  <c r="BG24" i="45"/>
  <c r="BG43" i="45"/>
  <c r="BN43" i="45"/>
  <c r="BN24" i="45"/>
  <c r="CF29" i="45"/>
  <c r="CF48" i="45"/>
  <c r="CL29" i="45"/>
  <c r="CL48" i="45"/>
  <c r="BG29" i="45"/>
  <c r="BG48" i="45"/>
  <c r="BK29" i="45"/>
  <c r="BK48" i="45"/>
  <c r="BN48" i="45"/>
  <c r="BN29" i="45"/>
  <c r="BX48" i="45"/>
  <c r="BX29" i="45"/>
  <c r="BT48" i="45"/>
  <c r="BT29" i="45"/>
  <c r="BL48" i="45"/>
  <c r="BL29" i="45"/>
  <c r="CH48" i="45"/>
  <c r="CH29" i="45"/>
  <c r="V34" i="45"/>
  <c r="V53" i="45"/>
  <c r="V27" i="51" s="1"/>
  <c r="AA34" i="45"/>
  <c r="AA53" i="45"/>
  <c r="AA27" i="51" s="1"/>
  <c r="Y53" i="45"/>
  <c r="Y27" i="51" s="1"/>
  <c r="Y34" i="45"/>
  <c r="L53" i="45"/>
  <c r="L27" i="51" s="1"/>
  <c r="L34" i="45"/>
  <c r="H34" i="45"/>
  <c r="H53" i="45"/>
  <c r="H27" i="51" s="1"/>
  <c r="R34" i="45"/>
  <c r="R53" i="45"/>
  <c r="R27" i="51" s="1"/>
  <c r="AE53" i="45"/>
  <c r="AE27" i="51" s="1"/>
  <c r="AE34" i="45"/>
  <c r="C53" i="45"/>
  <c r="C27" i="51" s="1"/>
  <c r="C34" i="45"/>
  <c r="T43" i="45"/>
  <c r="T17" i="51" s="1"/>
  <c r="T24" i="45"/>
  <c r="AD43" i="45"/>
  <c r="AD17" i="51" s="1"/>
  <c r="AD24" i="45"/>
  <c r="AA43" i="45"/>
  <c r="AA17" i="51" s="1"/>
  <c r="AA24" i="45"/>
  <c r="AE43" i="45"/>
  <c r="AE17" i="51" s="1"/>
  <c r="AE24" i="45"/>
  <c r="D24" i="45"/>
  <c r="D43" i="45"/>
  <c r="D17" i="51" s="1"/>
  <c r="O24" i="45"/>
  <c r="O43" i="45"/>
  <c r="O17" i="51" s="1"/>
  <c r="AI43" i="45"/>
  <c r="AI17" i="51" s="1"/>
  <c r="AI24" i="45"/>
  <c r="Z24" i="45"/>
  <c r="Z43" i="45"/>
  <c r="Z17" i="51" s="1"/>
  <c r="P43" i="45"/>
  <c r="P17" i="51" s="1"/>
  <c r="P24" i="45"/>
  <c r="Z56" i="51" l="1"/>
  <c r="AS114" i="2"/>
  <c r="O4" i="1"/>
  <c r="AM21" i="51"/>
  <c r="H32" i="51"/>
  <c r="AM19" i="51"/>
  <c r="AM20" i="51"/>
  <c r="A32" i="51"/>
  <c r="L32" i="51"/>
  <c r="I41" i="51" s="1"/>
  <c r="AP55" i="51" l="1"/>
  <c r="O2" i="1" a="1"/>
  <c r="O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<sst xmlns="http://schemas.openxmlformats.org/spreadsheetml/2006/main" count="11547" uniqueCount="2537">
  <si>
    <t>ARDT Work Order No</t>
  </si>
  <si>
    <t>Serial Number</t>
  </si>
  <si>
    <t>Item</t>
  </si>
  <si>
    <t>Service</t>
  </si>
  <si>
    <t>Qty</t>
  </si>
  <si>
    <t>Cutter part #</t>
  </si>
  <si>
    <t>Size</t>
  </si>
  <si>
    <t>Type</t>
  </si>
  <si>
    <t>Mat #</t>
  </si>
  <si>
    <t>Bit size from 7" to 8-7/8"</t>
  </si>
  <si>
    <t>Bit size from 9" to 14-7/8"</t>
  </si>
  <si>
    <t xml:space="preserve">From </t>
  </si>
  <si>
    <t>Requested by</t>
  </si>
  <si>
    <t>Evaluated by</t>
  </si>
  <si>
    <t>QC By</t>
  </si>
  <si>
    <t>Pin Size</t>
  </si>
  <si>
    <t>Price</t>
  </si>
  <si>
    <t>Cutter's number from ID to Gauge area</t>
  </si>
  <si>
    <t>Blade's number</t>
  </si>
  <si>
    <t xml:space="preserve">Remarks: </t>
  </si>
  <si>
    <t>R- rotate</t>
  </si>
  <si>
    <t>Total</t>
  </si>
  <si>
    <t>ARABIAN ROCKBITS &amp; DRILLING TOOLS CO. LTD.</t>
  </si>
  <si>
    <t xml:space="preserve">         </t>
  </si>
  <si>
    <t>Quality Form</t>
  </si>
  <si>
    <t>Form: QAS/1001-1</t>
  </si>
  <si>
    <t>Page 1 of 1</t>
  </si>
  <si>
    <t xml:space="preserve">Work Order No: </t>
  </si>
  <si>
    <t xml:space="preserve">Serial No: </t>
  </si>
  <si>
    <t xml:space="preserve">Size: </t>
  </si>
  <si>
    <t xml:space="preserve">Material No: </t>
  </si>
  <si>
    <t xml:space="preserve">Type: </t>
  </si>
  <si>
    <t xml:space="preserve">From: </t>
  </si>
  <si>
    <t xml:space="preserve">Contract No: </t>
  </si>
  <si>
    <t>Evaluator: (Sign)</t>
  </si>
  <si>
    <t>QC (Sign):</t>
  </si>
  <si>
    <t xml:space="preserve">Date: </t>
  </si>
  <si>
    <t xml:space="preserve">For Repair: </t>
  </si>
  <si>
    <t xml:space="preserve">For Scrap: </t>
  </si>
  <si>
    <t>For Plant Use Only: Cutters Details</t>
  </si>
  <si>
    <t>Quantity</t>
  </si>
  <si>
    <t>Cutter Size-mm</t>
  </si>
  <si>
    <t>Cutters Part #</t>
  </si>
  <si>
    <t>Description</t>
  </si>
  <si>
    <t>Remarks</t>
  </si>
  <si>
    <t>FC BIT EVALUATION CHECKLIST</t>
  </si>
  <si>
    <t>OK</t>
  </si>
  <si>
    <t>FC BIT REPAIR ROUTER SHEET</t>
  </si>
  <si>
    <t>T</t>
  </si>
  <si>
    <t>S</t>
  </si>
  <si>
    <t xml:space="preserve">  ARABIAN ROCKBITS &amp; DRILLING TOOLS CO.LTD</t>
  </si>
  <si>
    <t>FC Repair Bit - Liquid Penetrant Testing Report</t>
  </si>
  <si>
    <t>Technique: Fluorescent – Washable Technique</t>
  </si>
  <si>
    <t>Procedure: SA-PP-1013 Liquid Penetrant Testing</t>
  </si>
  <si>
    <t>PRODUCT NAME</t>
  </si>
  <si>
    <t>BATCH NO</t>
  </si>
  <si>
    <t>CHEMICAL EXPIRY DATE</t>
  </si>
  <si>
    <t>Water</t>
  </si>
  <si>
    <t>----</t>
  </si>
  <si>
    <t xml:space="preserve">Surface Temperature: </t>
  </si>
  <si>
    <t xml:space="preserve">Penetrant Dwell Time: </t>
  </si>
  <si>
    <t xml:space="preserve">Light Intensity: </t>
  </si>
  <si>
    <t xml:space="preserve">Developer Dwell Time: </t>
  </si>
  <si>
    <t xml:space="preserve">LPT Operator: </t>
  </si>
  <si>
    <t xml:space="preserve">Name: </t>
  </si>
  <si>
    <t xml:space="preserve">Sign: </t>
  </si>
  <si>
    <t xml:space="preserve">   (        ) OK</t>
  </si>
  <si>
    <t>Disposition / Remarks:</t>
  </si>
  <si>
    <t xml:space="preserve">   (        ) NOT OK</t>
  </si>
  <si>
    <t xml:space="preserve">LPT Evaluator Sign &amp; Date: </t>
  </si>
  <si>
    <t>Contract Title: Repair PDC Drilling Bit</t>
  </si>
  <si>
    <t>Unit</t>
  </si>
  <si>
    <t>Result in Repair</t>
  </si>
  <si>
    <t>MMD54H</t>
  </si>
  <si>
    <t>1002869M</t>
  </si>
  <si>
    <t>1032847M</t>
  </si>
  <si>
    <t>1054398M</t>
  </si>
  <si>
    <t>1061431M</t>
  </si>
  <si>
    <t>1079481M</t>
  </si>
  <si>
    <t>791578M</t>
  </si>
  <si>
    <t>874733M</t>
  </si>
  <si>
    <t>952533M</t>
  </si>
  <si>
    <t>952724M</t>
  </si>
  <si>
    <t>986403M</t>
  </si>
  <si>
    <t>MAT</t>
  </si>
  <si>
    <t>Component</t>
  </si>
  <si>
    <t>CT31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</si>
  <si>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</si>
  <si>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</si>
  <si>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</si>
  <si>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</si>
  <si>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</si>
  <si>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</si>
  <si>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</si>
  <si>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</si>
  <si>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</si>
  <si>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</si>
  <si>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</si>
  <si>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</si>
  <si>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C7</t>
  </si>
  <si>
    <t>C8</t>
  </si>
  <si>
    <t>CT200</t>
  </si>
  <si>
    <t>CT125</t>
  </si>
  <si>
    <t>X#</t>
  </si>
  <si>
    <t>CT82</t>
  </si>
  <si>
    <t>H1</t>
  </si>
  <si>
    <t>H2</t>
  </si>
  <si>
    <t>H3</t>
  </si>
  <si>
    <t>#</t>
  </si>
  <si>
    <t>Cutter Details</t>
  </si>
  <si>
    <t>X</t>
  </si>
  <si>
    <t>B7</t>
  </si>
  <si>
    <t>B8</t>
  </si>
  <si>
    <t>B9</t>
  </si>
  <si>
    <t>B10</t>
  </si>
  <si>
    <t>B11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</si>
  <si>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</si>
  <si>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</si>
  <si>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</si>
  <si>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</si>
  <si>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</si>
  <si>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</si>
  <si>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</si>
  <si>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</si>
  <si>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</si>
  <si>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</si>
  <si>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</si>
  <si>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</si>
  <si>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</si>
  <si>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</si>
  <si>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</si>
  <si>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</si>
  <si>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</si>
  <si>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ARDT EVALUATION</t>
  </si>
  <si>
    <t>FINAL EVALUATION</t>
  </si>
  <si>
    <t>ENGINEER MODIFICATION</t>
  </si>
  <si>
    <t>X1</t>
  </si>
  <si>
    <t>X2</t>
  </si>
  <si>
    <t>X3</t>
  </si>
  <si>
    <t>X4</t>
  </si>
  <si>
    <t>X5</t>
  </si>
  <si>
    <t>Rotate</t>
  </si>
  <si>
    <t>L</t>
  </si>
  <si>
    <t>Spin</t>
  </si>
  <si>
    <t>Fill</t>
  </si>
  <si>
    <t>XO</t>
  </si>
  <si>
    <t>B</t>
  </si>
  <si>
    <t>BPS</t>
  </si>
  <si>
    <t>No</t>
  </si>
  <si>
    <t>Re-Claimed</t>
  </si>
  <si>
    <t>for 37/8"</t>
  </si>
  <si>
    <t>1005 CT 109 TSPV (0.010")</t>
  </si>
  <si>
    <t>1308 CT133 0.018</t>
  </si>
  <si>
    <t>1608 CT133 0.018</t>
  </si>
  <si>
    <t>1313 Triple Diamond element PDC</t>
  </si>
  <si>
    <t>1608 CT 142 0.010</t>
  </si>
  <si>
    <t>1308 CT138 0.018</t>
  </si>
  <si>
    <t>1313 CT138 0.018</t>
  </si>
  <si>
    <t>1608 CT138 0.018</t>
  </si>
  <si>
    <t>1613 CT138 0.018</t>
  </si>
  <si>
    <t>1913 CT138 TSP V 0.018</t>
  </si>
  <si>
    <t xml:space="preserve"> 1303 CT200 DROPIN</t>
  </si>
  <si>
    <t>13MM R1 PEP .012R LG BEVEL</t>
  </si>
  <si>
    <t>1325 Graphite for Rinho Cutter Plug</t>
  </si>
  <si>
    <t>1919CT-27 BL .02</t>
  </si>
  <si>
    <t>1308 CT31 Drop in</t>
  </si>
  <si>
    <t>1613 CT-36 Round Cutter  0.020</t>
  </si>
  <si>
    <t>1313CT-36 PDC ROUND 0.010"</t>
  </si>
  <si>
    <t>1613 CT36 0.010"</t>
  </si>
  <si>
    <t>1608 CT-36 V(0.010)</t>
  </si>
  <si>
    <t>1313CT-61 0.020</t>
  </si>
  <si>
    <t>1010CT-61(.018")</t>
  </si>
  <si>
    <t>1913 CT-62 V 0.01</t>
  </si>
  <si>
    <t>1908 CT-62 V0.020</t>
  </si>
  <si>
    <t>1318 MDR</t>
  </si>
  <si>
    <t>1318 Carbide Impact Arrestor</t>
  </si>
  <si>
    <t>1308 CT70 0.018</t>
  </si>
  <si>
    <t>1313CT70 (.018")</t>
  </si>
  <si>
    <t>1613 CT70 0.018"</t>
  </si>
  <si>
    <t>1308 CT66 0.018</t>
  </si>
  <si>
    <t>1913 CT70 0.010</t>
  </si>
  <si>
    <t>1913 CT 70 0.018 L</t>
  </si>
  <si>
    <t>1308CT66 0.010"</t>
  </si>
  <si>
    <t>1613 CT66 0.010</t>
  </si>
  <si>
    <t>1613 CT200 0.018</t>
  </si>
  <si>
    <t>16mm Short Bullet CT66 0.018</t>
  </si>
  <si>
    <t>16mm Long Bullet CT66 0.018</t>
  </si>
  <si>
    <t>1313 CT200 0.010</t>
  </si>
  <si>
    <t>1913CT200 0.010"</t>
  </si>
  <si>
    <t>1913 CT200 0.018''</t>
  </si>
  <si>
    <t>1010 CT200 .018</t>
  </si>
  <si>
    <t>1308CT200 0.010"</t>
  </si>
  <si>
    <t>1308CT200 0.018"</t>
  </si>
  <si>
    <t>1308CT82 .010</t>
  </si>
  <si>
    <t>1313 CT82 .010"</t>
  </si>
  <si>
    <t>1613 CT82 0.010</t>
  </si>
  <si>
    <t>1308CT82 K 0.018"</t>
  </si>
  <si>
    <t>1313 CT82 .018"</t>
  </si>
  <si>
    <t>1608 CT82 .018''</t>
  </si>
  <si>
    <t>1613 CT82 0.018</t>
  </si>
  <si>
    <t>1308 CT91 .010"</t>
  </si>
  <si>
    <t>1308 CT91 .018"</t>
  </si>
  <si>
    <t>1613 CT81 0.018''</t>
  </si>
  <si>
    <t>1308CT80 0.010</t>
  </si>
  <si>
    <t>1613 CT80 0.018</t>
  </si>
  <si>
    <t>1913CT82 0.010</t>
  </si>
  <si>
    <t>1913CT82 0.018"L</t>
  </si>
  <si>
    <t>1010 CT82 .018</t>
  </si>
  <si>
    <t>1313 CT81 0.018</t>
  </si>
  <si>
    <t>1010 CT81 0.018''</t>
  </si>
  <si>
    <t>1913 CT80 0.018</t>
  </si>
  <si>
    <t>1623 CT80(0.018)</t>
  </si>
  <si>
    <t>1316 CT-80 V(0.010)</t>
  </si>
  <si>
    <t>1618CT80 BL(0.018)</t>
  </si>
  <si>
    <t>19mm Short Bullet CT80 0.018</t>
  </si>
  <si>
    <t>1005 CT200 0.010</t>
  </si>
  <si>
    <t>1005 CT 200 0.018"</t>
  </si>
  <si>
    <t>1010CT80 10"</t>
  </si>
  <si>
    <t>1010 CT80 (0.018)</t>
  </si>
  <si>
    <t>1308CT97 .010"</t>
  </si>
  <si>
    <t>1313 CT97  0.010"</t>
  </si>
  <si>
    <t>1913 CT125 0.018</t>
  </si>
  <si>
    <t>1313 CT200 0.018</t>
  </si>
  <si>
    <t>0808 CT80 .018"</t>
  </si>
  <si>
    <t>1308 CT109 0.018"</t>
  </si>
  <si>
    <t>1313 CT109 0.018"</t>
  </si>
  <si>
    <t>1313 CT125 GEDB 0.010</t>
  </si>
  <si>
    <t>1010 CT109 TSPV (0.010")</t>
  </si>
  <si>
    <t>1313 CT 405 0.010''</t>
  </si>
  <si>
    <t>10.5 MED BLT CT217 0.018"</t>
  </si>
  <si>
    <t>1308 CT216 0.018</t>
  </si>
  <si>
    <t>1313 CT216 0.018</t>
  </si>
  <si>
    <t>1613 CT216 0.018</t>
  </si>
  <si>
    <t>1913 CT216 0.018</t>
  </si>
  <si>
    <t>Triple Diamond element PDC</t>
  </si>
  <si>
    <t>R1 PEP .012R LG BEVEL</t>
  </si>
  <si>
    <t>Carbide Impact Arrestor</t>
  </si>
  <si>
    <t>MDR</t>
  </si>
  <si>
    <t>Graphite for Rinho Cutter Plug</t>
  </si>
  <si>
    <t>0.010"</t>
  </si>
  <si>
    <t>0.018"</t>
  </si>
  <si>
    <t>0.020"</t>
  </si>
  <si>
    <t>TSPV</t>
  </si>
  <si>
    <t>CT142</t>
  </si>
  <si>
    <t>TSP V</t>
  </si>
  <si>
    <t>DROPIN</t>
  </si>
  <si>
    <t>BL</t>
  </si>
  <si>
    <t>CT109</t>
  </si>
  <si>
    <t>CT133</t>
  </si>
  <si>
    <t>CT138</t>
  </si>
  <si>
    <t>CT27</t>
  </si>
  <si>
    <t>CT36</t>
  </si>
  <si>
    <t>CT61</t>
  </si>
  <si>
    <t>CT62</t>
  </si>
  <si>
    <t>CT70</t>
  </si>
  <si>
    <t>CT66</t>
  </si>
  <si>
    <t>CT 70</t>
  </si>
  <si>
    <t>Short Bullet</t>
  </si>
  <si>
    <t>Long Bullet</t>
  </si>
  <si>
    <t>K</t>
  </si>
  <si>
    <t>CT91</t>
  </si>
  <si>
    <t>CT81</t>
  </si>
  <si>
    <t>CT80</t>
  </si>
  <si>
    <t>CT216</t>
  </si>
  <si>
    <t>CT217</t>
  </si>
  <si>
    <t>MED BLT</t>
  </si>
  <si>
    <t>CT405</t>
  </si>
  <si>
    <t>CT97</t>
  </si>
  <si>
    <t>Drop in</t>
  </si>
  <si>
    <t>Round Cutter</t>
  </si>
  <si>
    <t>PDC ROUND</t>
  </si>
  <si>
    <t>V</t>
  </si>
  <si>
    <t>GEDB</t>
  </si>
  <si>
    <t xml:space="preserve">Description </t>
  </si>
  <si>
    <t>Chamfer</t>
  </si>
  <si>
    <t>Cutter Size mm</t>
  </si>
  <si>
    <t>Cutter size</t>
  </si>
  <si>
    <t xml:space="preserve"> More Description</t>
  </si>
  <si>
    <t>ROWS</t>
  </si>
  <si>
    <t>FIND X1 IN ROWS</t>
  </si>
  <si>
    <t>BRING X1 UP</t>
  </si>
  <si>
    <t>FIND X2 IN ROWS</t>
  </si>
  <si>
    <t>BRING X2UP</t>
  </si>
  <si>
    <t>FIND X3 IN ROWS</t>
  </si>
  <si>
    <t>BRING X3 UP</t>
  </si>
  <si>
    <t>FIND X4 IN ROWS</t>
  </si>
  <si>
    <t>BRING X4 UP</t>
  </si>
  <si>
    <t>FIND X5IN ROWS</t>
  </si>
  <si>
    <t>BRING X5UP</t>
  </si>
  <si>
    <t>FIND X6 IN ROWS</t>
  </si>
  <si>
    <t>BRING X6 UP</t>
  </si>
  <si>
    <t>FIND X7 IN ROWS</t>
  </si>
  <si>
    <t>BRING X7 UP</t>
  </si>
  <si>
    <t>FIND X8 IN ROWS</t>
  </si>
  <si>
    <t>BRING X8 UP</t>
  </si>
  <si>
    <t>FIND X9 IN ROWS</t>
  </si>
  <si>
    <t>BRING X9 UP</t>
  </si>
  <si>
    <t>FIND X10 IN ROWS</t>
  </si>
  <si>
    <t>BRING X10 UP</t>
  </si>
  <si>
    <t>X6</t>
  </si>
  <si>
    <t>X7</t>
  </si>
  <si>
    <t>X8</t>
  </si>
  <si>
    <t>X9</t>
  </si>
  <si>
    <t>X10</t>
  </si>
  <si>
    <t xml:space="preserve"> </t>
  </si>
  <si>
    <t>ARDT EVALUATION Build up or Hardfacing</t>
  </si>
  <si>
    <t>Pocket build up           (P)</t>
  </si>
  <si>
    <t>Impact arestor             (I)</t>
  </si>
  <si>
    <t>Body build up or HF   (B)</t>
  </si>
  <si>
    <t>Fin build up                 (V)</t>
  </si>
  <si>
    <t>Modified cutter1</t>
  </si>
  <si>
    <t>Modified cutter2</t>
  </si>
  <si>
    <t>Modified cutter3</t>
  </si>
  <si>
    <t xml:space="preserve">B1P1, </t>
  </si>
  <si>
    <t xml:space="preserve">B1P2, </t>
  </si>
  <si>
    <t xml:space="preserve">B1P3, </t>
  </si>
  <si>
    <t xml:space="preserve">B1P4, </t>
  </si>
  <si>
    <t xml:space="preserve">B1P5, </t>
  </si>
  <si>
    <t xml:space="preserve">B1P6, </t>
  </si>
  <si>
    <t xml:space="preserve">B1P7, </t>
  </si>
  <si>
    <t xml:space="preserve">B1P8, </t>
  </si>
  <si>
    <t xml:space="preserve">B1P9, </t>
  </si>
  <si>
    <t xml:space="preserve">B1P10, </t>
  </si>
  <si>
    <t xml:space="preserve">B1P11, </t>
  </si>
  <si>
    <t xml:space="preserve">B1P12, </t>
  </si>
  <si>
    <t xml:space="preserve">B1P13, </t>
  </si>
  <si>
    <t xml:space="preserve">B1P14, </t>
  </si>
  <si>
    <t xml:space="preserve">B1P15, </t>
  </si>
  <si>
    <t xml:space="preserve">B1P16, </t>
  </si>
  <si>
    <t xml:space="preserve">B1P17, </t>
  </si>
  <si>
    <t xml:space="preserve">B1P18, </t>
  </si>
  <si>
    <t xml:space="preserve">B1P19, </t>
  </si>
  <si>
    <t xml:space="preserve">B1P20, </t>
  </si>
  <si>
    <t xml:space="preserve">B1P21, </t>
  </si>
  <si>
    <t xml:space="preserve">B1P22, </t>
  </si>
  <si>
    <t xml:space="preserve">B1P23, </t>
  </si>
  <si>
    <t xml:space="preserve">B1P24, </t>
  </si>
  <si>
    <t xml:space="preserve">B1P25, </t>
  </si>
  <si>
    <t xml:space="preserve">B1P26, </t>
  </si>
  <si>
    <t xml:space="preserve">B1P27, </t>
  </si>
  <si>
    <t xml:space="preserve">B1P28, </t>
  </si>
  <si>
    <t xml:space="preserve">B1P29, </t>
  </si>
  <si>
    <t xml:space="preserve">B1P30, </t>
  </si>
  <si>
    <t xml:space="preserve">B1P31, </t>
  </si>
  <si>
    <t xml:space="preserve">B1P32, </t>
  </si>
  <si>
    <t xml:space="preserve">B1P33, </t>
  </si>
  <si>
    <t xml:space="preserve">B2P1, </t>
  </si>
  <si>
    <t xml:space="preserve">B2P2, </t>
  </si>
  <si>
    <t xml:space="preserve">B2P3, </t>
  </si>
  <si>
    <t xml:space="preserve">B2P4, </t>
  </si>
  <si>
    <t xml:space="preserve">B2P5, </t>
  </si>
  <si>
    <t xml:space="preserve">B2P6, </t>
  </si>
  <si>
    <t xml:space="preserve">B2P7, </t>
  </si>
  <si>
    <t xml:space="preserve">B2P8, </t>
  </si>
  <si>
    <t xml:space="preserve">B2P9, </t>
  </si>
  <si>
    <t xml:space="preserve">B2P10, </t>
  </si>
  <si>
    <t xml:space="preserve">B2P11, </t>
  </si>
  <si>
    <t xml:space="preserve">B2P12, </t>
  </si>
  <si>
    <t xml:space="preserve">B2P13, </t>
  </si>
  <si>
    <t xml:space="preserve">B2P14, </t>
  </si>
  <si>
    <t xml:space="preserve">B2P15, </t>
  </si>
  <si>
    <t xml:space="preserve">B2P16, </t>
  </si>
  <si>
    <t xml:space="preserve">B2P17, </t>
  </si>
  <si>
    <t xml:space="preserve">B2P18, </t>
  </si>
  <si>
    <t xml:space="preserve">B2P19, </t>
  </si>
  <si>
    <t xml:space="preserve">B2P20, </t>
  </si>
  <si>
    <t xml:space="preserve">B2P21, </t>
  </si>
  <si>
    <t xml:space="preserve">B2P22, </t>
  </si>
  <si>
    <t xml:space="preserve">B2P23, </t>
  </si>
  <si>
    <t xml:space="preserve">B2P24, </t>
  </si>
  <si>
    <t xml:space="preserve">B2P25, </t>
  </si>
  <si>
    <t xml:space="preserve">B2P26, </t>
  </si>
  <si>
    <t xml:space="preserve">B2P27, </t>
  </si>
  <si>
    <t xml:space="preserve">B2P28, </t>
  </si>
  <si>
    <t xml:space="preserve">B2P29, </t>
  </si>
  <si>
    <t xml:space="preserve">B2P30, </t>
  </si>
  <si>
    <t xml:space="preserve">B2P31, </t>
  </si>
  <si>
    <t xml:space="preserve">B2P32, </t>
  </si>
  <si>
    <t xml:space="preserve">B2P33, </t>
  </si>
  <si>
    <t xml:space="preserve">B3P1, </t>
  </si>
  <si>
    <t xml:space="preserve">B3P2, </t>
  </si>
  <si>
    <t xml:space="preserve">B3P3, </t>
  </si>
  <si>
    <t xml:space="preserve">B3P4, </t>
  </si>
  <si>
    <t xml:space="preserve">B3P5, </t>
  </si>
  <si>
    <t xml:space="preserve">B3P6, </t>
  </si>
  <si>
    <t xml:space="preserve">B3P7, </t>
  </si>
  <si>
    <t xml:space="preserve">B3P8, </t>
  </si>
  <si>
    <t xml:space="preserve">B3P9, </t>
  </si>
  <si>
    <t xml:space="preserve">B3P10, </t>
  </si>
  <si>
    <t xml:space="preserve">B3P11, </t>
  </si>
  <si>
    <t xml:space="preserve">B3P12, </t>
  </si>
  <si>
    <t xml:space="preserve">B3P13, </t>
  </si>
  <si>
    <t xml:space="preserve">B3P14, </t>
  </si>
  <si>
    <t xml:space="preserve">B3P15, </t>
  </si>
  <si>
    <t xml:space="preserve">B3P16, </t>
  </si>
  <si>
    <t xml:space="preserve">B3P17, </t>
  </si>
  <si>
    <t xml:space="preserve">B3P18, </t>
  </si>
  <si>
    <t xml:space="preserve">B3P19, </t>
  </si>
  <si>
    <t xml:space="preserve">B3P20, </t>
  </si>
  <si>
    <t xml:space="preserve">B3P21, </t>
  </si>
  <si>
    <t xml:space="preserve">B3P22, </t>
  </si>
  <si>
    <t xml:space="preserve">B3P23, </t>
  </si>
  <si>
    <t xml:space="preserve">B3P24, </t>
  </si>
  <si>
    <t xml:space="preserve">B3P25, </t>
  </si>
  <si>
    <t xml:space="preserve">B3P26, </t>
  </si>
  <si>
    <t xml:space="preserve">B3P27, </t>
  </si>
  <si>
    <t xml:space="preserve">B3P28, </t>
  </si>
  <si>
    <t xml:space="preserve">B3P29, </t>
  </si>
  <si>
    <t xml:space="preserve">B3P30, </t>
  </si>
  <si>
    <t xml:space="preserve">B3P31, </t>
  </si>
  <si>
    <t xml:space="preserve">B3P32, </t>
  </si>
  <si>
    <t xml:space="preserve">B3P33, </t>
  </si>
  <si>
    <t xml:space="preserve">B4P1, </t>
  </si>
  <si>
    <t xml:space="preserve">B4P2, </t>
  </si>
  <si>
    <t xml:space="preserve">B4P3, </t>
  </si>
  <si>
    <t xml:space="preserve">B4P4, </t>
  </si>
  <si>
    <t xml:space="preserve">B4P5, </t>
  </si>
  <si>
    <t xml:space="preserve">B4P6, </t>
  </si>
  <si>
    <t xml:space="preserve">B4P7, </t>
  </si>
  <si>
    <t xml:space="preserve">B4P8, </t>
  </si>
  <si>
    <t xml:space="preserve">B4P9, </t>
  </si>
  <si>
    <t xml:space="preserve">B4P10, </t>
  </si>
  <si>
    <t xml:space="preserve">B4P11, </t>
  </si>
  <si>
    <t xml:space="preserve">B4P12, </t>
  </si>
  <si>
    <t xml:space="preserve">B4P13, </t>
  </si>
  <si>
    <t xml:space="preserve">B4P14, </t>
  </si>
  <si>
    <t xml:space="preserve">B4P15, </t>
  </si>
  <si>
    <t xml:space="preserve">B4P16, </t>
  </si>
  <si>
    <t xml:space="preserve">B4P17, </t>
  </si>
  <si>
    <t xml:space="preserve">B4P18, </t>
  </si>
  <si>
    <t xml:space="preserve">B4P19, </t>
  </si>
  <si>
    <t xml:space="preserve">B4P20, </t>
  </si>
  <si>
    <t xml:space="preserve">B4P21, </t>
  </si>
  <si>
    <t xml:space="preserve">B4P22, </t>
  </si>
  <si>
    <t xml:space="preserve">B4P23, </t>
  </si>
  <si>
    <t xml:space="preserve">B4P24, </t>
  </si>
  <si>
    <t xml:space="preserve">B4P25, </t>
  </si>
  <si>
    <t xml:space="preserve">B4P26, </t>
  </si>
  <si>
    <t xml:space="preserve">B4P27, </t>
  </si>
  <si>
    <t xml:space="preserve">B4P28, </t>
  </si>
  <si>
    <t xml:space="preserve">B4P29, </t>
  </si>
  <si>
    <t xml:space="preserve">B4P30, </t>
  </si>
  <si>
    <t xml:space="preserve">B4P31, </t>
  </si>
  <si>
    <t xml:space="preserve">B4P32, </t>
  </si>
  <si>
    <t xml:space="preserve">B4P33, </t>
  </si>
  <si>
    <t xml:space="preserve">B5P1, </t>
  </si>
  <si>
    <t xml:space="preserve">B5P2, </t>
  </si>
  <si>
    <t xml:space="preserve">B5P3, </t>
  </si>
  <si>
    <t xml:space="preserve">B5P4, </t>
  </si>
  <si>
    <t xml:space="preserve">B5P5, </t>
  </si>
  <si>
    <t xml:space="preserve">B5P6, </t>
  </si>
  <si>
    <t xml:space="preserve">B5P7, </t>
  </si>
  <si>
    <t xml:space="preserve">B5P8, </t>
  </si>
  <si>
    <t xml:space="preserve">B5P9, </t>
  </si>
  <si>
    <t xml:space="preserve">B5P10, </t>
  </si>
  <si>
    <t xml:space="preserve">B5P11, </t>
  </si>
  <si>
    <t xml:space="preserve">B5P12, </t>
  </si>
  <si>
    <t xml:space="preserve">B5P13, </t>
  </si>
  <si>
    <t xml:space="preserve">B5P14, </t>
  </si>
  <si>
    <t xml:space="preserve">B5P15, </t>
  </si>
  <si>
    <t xml:space="preserve">B5P16, </t>
  </si>
  <si>
    <t xml:space="preserve">B5P17, </t>
  </si>
  <si>
    <t xml:space="preserve">B5P18, </t>
  </si>
  <si>
    <t xml:space="preserve">B5P19, </t>
  </si>
  <si>
    <t xml:space="preserve">B5P20, </t>
  </si>
  <si>
    <t xml:space="preserve">B5P21, </t>
  </si>
  <si>
    <t xml:space="preserve">B5P22, </t>
  </si>
  <si>
    <t xml:space="preserve">B5P23, </t>
  </si>
  <si>
    <t xml:space="preserve">B5P24, </t>
  </si>
  <si>
    <t xml:space="preserve">B5P25, </t>
  </si>
  <si>
    <t xml:space="preserve">B5P26, </t>
  </si>
  <si>
    <t xml:space="preserve">B5P27, </t>
  </si>
  <si>
    <t xml:space="preserve">B5P28, </t>
  </si>
  <si>
    <t xml:space="preserve">B5P29, </t>
  </si>
  <si>
    <t xml:space="preserve">B5P30, </t>
  </si>
  <si>
    <t xml:space="preserve">B5P31, </t>
  </si>
  <si>
    <t xml:space="preserve">B5P32, </t>
  </si>
  <si>
    <t xml:space="preserve">B5P33, </t>
  </si>
  <si>
    <t xml:space="preserve">B6P1, </t>
  </si>
  <si>
    <t xml:space="preserve">B6P2, </t>
  </si>
  <si>
    <t xml:space="preserve">B6P3, </t>
  </si>
  <si>
    <t xml:space="preserve">B6P4, </t>
  </si>
  <si>
    <t xml:space="preserve">B6P5, </t>
  </si>
  <si>
    <t xml:space="preserve">B6P6, </t>
  </si>
  <si>
    <t xml:space="preserve">B6P7, </t>
  </si>
  <si>
    <t xml:space="preserve">B6P8, </t>
  </si>
  <si>
    <t xml:space="preserve">B6P9, </t>
  </si>
  <si>
    <t xml:space="preserve">B6P10, </t>
  </si>
  <si>
    <t xml:space="preserve">B6P11, </t>
  </si>
  <si>
    <t xml:space="preserve">B6P12, </t>
  </si>
  <si>
    <t xml:space="preserve">B6P13, </t>
  </si>
  <si>
    <t xml:space="preserve">B6P14, </t>
  </si>
  <si>
    <t xml:space="preserve">B6P15, </t>
  </si>
  <si>
    <t xml:space="preserve">B6P16, </t>
  </si>
  <si>
    <t xml:space="preserve">B6P17, </t>
  </si>
  <si>
    <t xml:space="preserve">B6P18, </t>
  </si>
  <si>
    <t xml:space="preserve">B6P19, </t>
  </si>
  <si>
    <t xml:space="preserve">B6P20, </t>
  </si>
  <si>
    <t xml:space="preserve">B6P21, </t>
  </si>
  <si>
    <t xml:space="preserve">B6P22, </t>
  </si>
  <si>
    <t xml:space="preserve">B6P23, </t>
  </si>
  <si>
    <t xml:space="preserve">B6P24, </t>
  </si>
  <si>
    <t xml:space="preserve">B6P25, </t>
  </si>
  <si>
    <t xml:space="preserve">B6P26, </t>
  </si>
  <si>
    <t xml:space="preserve">B6P27, </t>
  </si>
  <si>
    <t xml:space="preserve">B6P28, </t>
  </si>
  <si>
    <t xml:space="preserve">B6P29, </t>
  </si>
  <si>
    <t xml:space="preserve">B6P30, </t>
  </si>
  <si>
    <t xml:space="preserve">B6P31, </t>
  </si>
  <si>
    <t xml:space="preserve">B6P32, </t>
  </si>
  <si>
    <t xml:space="preserve">B6P33, </t>
  </si>
  <si>
    <t xml:space="preserve">B7P1, </t>
  </si>
  <si>
    <t xml:space="preserve">B7P2, </t>
  </si>
  <si>
    <t xml:space="preserve">B7P3, </t>
  </si>
  <si>
    <t xml:space="preserve">B7P4, </t>
  </si>
  <si>
    <t xml:space="preserve">B7P5, </t>
  </si>
  <si>
    <t xml:space="preserve">B7P6, </t>
  </si>
  <si>
    <t xml:space="preserve">B7P7, </t>
  </si>
  <si>
    <t xml:space="preserve">B7P8, </t>
  </si>
  <si>
    <t xml:space="preserve">B7P9, </t>
  </si>
  <si>
    <t xml:space="preserve">B7P10, </t>
  </si>
  <si>
    <t xml:space="preserve">B7P11, </t>
  </si>
  <si>
    <t xml:space="preserve">B7P12, </t>
  </si>
  <si>
    <t xml:space="preserve">B7P13, </t>
  </si>
  <si>
    <t xml:space="preserve">B7P14, </t>
  </si>
  <si>
    <t xml:space="preserve">B7P15, </t>
  </si>
  <si>
    <t xml:space="preserve">B7P16, </t>
  </si>
  <si>
    <t xml:space="preserve">B7P17, </t>
  </si>
  <si>
    <t xml:space="preserve">B7P18, </t>
  </si>
  <si>
    <t xml:space="preserve">B7P19, </t>
  </si>
  <si>
    <t xml:space="preserve">B7P20, </t>
  </si>
  <si>
    <t xml:space="preserve">B7P21, </t>
  </si>
  <si>
    <t xml:space="preserve">B7P22, </t>
  </si>
  <si>
    <t xml:space="preserve">B7P23, </t>
  </si>
  <si>
    <t xml:space="preserve">B7P24, </t>
  </si>
  <si>
    <t xml:space="preserve">B7P25, </t>
  </si>
  <si>
    <t xml:space="preserve">B7P26, </t>
  </si>
  <si>
    <t xml:space="preserve">B7P27, </t>
  </si>
  <si>
    <t xml:space="preserve">B7P28, </t>
  </si>
  <si>
    <t xml:space="preserve">B7P29, </t>
  </si>
  <si>
    <t xml:space="preserve">B7P30, </t>
  </si>
  <si>
    <t xml:space="preserve">B7P31, </t>
  </si>
  <si>
    <t xml:space="preserve">B7P32, </t>
  </si>
  <si>
    <t xml:space="preserve">B7P33, </t>
  </si>
  <si>
    <t xml:space="preserve">B8P1, </t>
  </si>
  <si>
    <t xml:space="preserve">B8P2, </t>
  </si>
  <si>
    <t xml:space="preserve">B8P3, </t>
  </si>
  <si>
    <t xml:space="preserve">B8P4, </t>
  </si>
  <si>
    <t xml:space="preserve">B8P5, </t>
  </si>
  <si>
    <t xml:space="preserve">B8P6, </t>
  </si>
  <si>
    <t xml:space="preserve">B8P7, </t>
  </si>
  <si>
    <t xml:space="preserve">B8P8, </t>
  </si>
  <si>
    <t xml:space="preserve">B8P9, </t>
  </si>
  <si>
    <t xml:space="preserve">B8P10, </t>
  </si>
  <si>
    <t xml:space="preserve">B8P11, </t>
  </si>
  <si>
    <t xml:space="preserve">B8P12, </t>
  </si>
  <si>
    <t xml:space="preserve">B8P13, </t>
  </si>
  <si>
    <t xml:space="preserve">B8P14, </t>
  </si>
  <si>
    <t xml:space="preserve">B8P15, </t>
  </si>
  <si>
    <t xml:space="preserve">B8P16, </t>
  </si>
  <si>
    <t xml:space="preserve">B8P17, </t>
  </si>
  <si>
    <t xml:space="preserve">B8P18, </t>
  </si>
  <si>
    <t xml:space="preserve">B8P19, </t>
  </si>
  <si>
    <t xml:space="preserve">B8P20, </t>
  </si>
  <si>
    <t xml:space="preserve">B8P21, </t>
  </si>
  <si>
    <t xml:space="preserve">B8P22, </t>
  </si>
  <si>
    <t xml:space="preserve">B8P23, </t>
  </si>
  <si>
    <t xml:space="preserve">B8P24, </t>
  </si>
  <si>
    <t xml:space="preserve">B8P25, </t>
  </si>
  <si>
    <t xml:space="preserve">B8P26, </t>
  </si>
  <si>
    <t xml:space="preserve">B8P27, </t>
  </si>
  <si>
    <t xml:space="preserve">B8P28, </t>
  </si>
  <si>
    <t xml:space="preserve">B8P29, </t>
  </si>
  <si>
    <t xml:space="preserve">B8P30, </t>
  </si>
  <si>
    <t xml:space="preserve">B8P31, </t>
  </si>
  <si>
    <t xml:space="preserve">B8P32, </t>
  </si>
  <si>
    <t xml:space="preserve">B8P33, </t>
  </si>
  <si>
    <t xml:space="preserve">B9P1, </t>
  </si>
  <si>
    <t xml:space="preserve">B9P2, </t>
  </si>
  <si>
    <t xml:space="preserve">B9P3, </t>
  </si>
  <si>
    <t xml:space="preserve">B9P4, </t>
  </si>
  <si>
    <t xml:space="preserve">B9P5, </t>
  </si>
  <si>
    <t xml:space="preserve">B9P6, </t>
  </si>
  <si>
    <t xml:space="preserve">B9P7, </t>
  </si>
  <si>
    <t xml:space="preserve">B9P8, </t>
  </si>
  <si>
    <t xml:space="preserve">B9P9, </t>
  </si>
  <si>
    <t xml:space="preserve">B9P10, </t>
  </si>
  <si>
    <t xml:space="preserve">B9P11, </t>
  </si>
  <si>
    <t xml:space="preserve">B9P12, </t>
  </si>
  <si>
    <t xml:space="preserve">B9P13, </t>
  </si>
  <si>
    <t xml:space="preserve">B9P14, </t>
  </si>
  <si>
    <t xml:space="preserve">B9P15, </t>
  </si>
  <si>
    <t xml:space="preserve">B9P16, </t>
  </si>
  <si>
    <t xml:space="preserve">B9P17, </t>
  </si>
  <si>
    <t xml:space="preserve">B9P18, </t>
  </si>
  <si>
    <t xml:space="preserve">B9P19, </t>
  </si>
  <si>
    <t xml:space="preserve">B9P20, </t>
  </si>
  <si>
    <t xml:space="preserve">B9P21, </t>
  </si>
  <si>
    <t xml:space="preserve">B9P22, </t>
  </si>
  <si>
    <t xml:space="preserve">B9P23, </t>
  </si>
  <si>
    <t xml:space="preserve">B9P24, </t>
  </si>
  <si>
    <t xml:space="preserve">B9P25, </t>
  </si>
  <si>
    <t xml:space="preserve">B9P26, </t>
  </si>
  <si>
    <t xml:space="preserve">B9P27, </t>
  </si>
  <si>
    <t xml:space="preserve">B9P28, </t>
  </si>
  <si>
    <t xml:space="preserve">B9P29, </t>
  </si>
  <si>
    <t xml:space="preserve">B9P30, </t>
  </si>
  <si>
    <t xml:space="preserve">B9P31, </t>
  </si>
  <si>
    <t xml:space="preserve">B9P32, </t>
  </si>
  <si>
    <t xml:space="preserve">B9P33, </t>
  </si>
  <si>
    <t xml:space="preserve">B10P1, </t>
  </si>
  <si>
    <t xml:space="preserve">B10P2, </t>
  </si>
  <si>
    <t xml:space="preserve">B10P3, </t>
  </si>
  <si>
    <t xml:space="preserve">B10P4, </t>
  </si>
  <si>
    <t xml:space="preserve">B10P5, </t>
  </si>
  <si>
    <t xml:space="preserve">B10P6, </t>
  </si>
  <si>
    <t xml:space="preserve">B10P7, </t>
  </si>
  <si>
    <t xml:space="preserve">B10P8, </t>
  </si>
  <si>
    <t xml:space="preserve">B10P9, </t>
  </si>
  <si>
    <t xml:space="preserve">B10P10, </t>
  </si>
  <si>
    <t xml:space="preserve">B10P11, </t>
  </si>
  <si>
    <t xml:space="preserve">B10P12, </t>
  </si>
  <si>
    <t xml:space="preserve">B10P13, </t>
  </si>
  <si>
    <t xml:space="preserve">B10P14, </t>
  </si>
  <si>
    <t xml:space="preserve">B10P15, </t>
  </si>
  <si>
    <t xml:space="preserve">B10P16, </t>
  </si>
  <si>
    <t xml:space="preserve">B10P17, </t>
  </si>
  <si>
    <t xml:space="preserve">B10P18, </t>
  </si>
  <si>
    <t xml:space="preserve">B10P19, </t>
  </si>
  <si>
    <t xml:space="preserve">B10P20, </t>
  </si>
  <si>
    <t xml:space="preserve">B10P21, </t>
  </si>
  <si>
    <t xml:space="preserve">B10P22, </t>
  </si>
  <si>
    <t xml:space="preserve">B10P23, </t>
  </si>
  <si>
    <t xml:space="preserve">B10P24, </t>
  </si>
  <si>
    <t xml:space="preserve">B10P25, </t>
  </si>
  <si>
    <t xml:space="preserve">B10P26, </t>
  </si>
  <si>
    <t xml:space="preserve">B10P27, </t>
  </si>
  <si>
    <t xml:space="preserve">B10P28, </t>
  </si>
  <si>
    <t xml:space="preserve">B10P29, </t>
  </si>
  <si>
    <t xml:space="preserve">B10P30, </t>
  </si>
  <si>
    <t xml:space="preserve">B10P31, </t>
  </si>
  <si>
    <t xml:space="preserve">B10P32, </t>
  </si>
  <si>
    <t xml:space="preserve">B10P33, </t>
  </si>
  <si>
    <t xml:space="preserve">B11P1, </t>
  </si>
  <si>
    <t xml:space="preserve">B11P2, </t>
  </si>
  <si>
    <t xml:space="preserve">B11P3, </t>
  </si>
  <si>
    <t xml:space="preserve">B11P4, </t>
  </si>
  <si>
    <t xml:space="preserve">B11P5, </t>
  </si>
  <si>
    <t xml:space="preserve">B11P6, </t>
  </si>
  <si>
    <t xml:space="preserve">B11P7, </t>
  </si>
  <si>
    <t xml:space="preserve">B11P8, </t>
  </si>
  <si>
    <t xml:space="preserve">B11P9, </t>
  </si>
  <si>
    <t xml:space="preserve">B11P10, </t>
  </si>
  <si>
    <t xml:space="preserve">B11P11, </t>
  </si>
  <si>
    <t xml:space="preserve">B11P12, </t>
  </si>
  <si>
    <t xml:space="preserve">B11P13, </t>
  </si>
  <si>
    <t xml:space="preserve">B11P14, </t>
  </si>
  <si>
    <t xml:space="preserve">B11P15, </t>
  </si>
  <si>
    <t xml:space="preserve">B11P16, </t>
  </si>
  <si>
    <t xml:space="preserve">B11P17, </t>
  </si>
  <si>
    <t xml:space="preserve">B11P18, </t>
  </si>
  <si>
    <t xml:space="preserve">B11P19, </t>
  </si>
  <si>
    <t xml:space="preserve">B11P20, </t>
  </si>
  <si>
    <t xml:space="preserve">B11P21, </t>
  </si>
  <si>
    <t xml:space="preserve">B11P22, </t>
  </si>
  <si>
    <t xml:space="preserve">B11P23, </t>
  </si>
  <si>
    <t xml:space="preserve">B11P24, </t>
  </si>
  <si>
    <t xml:space="preserve">B11P25, </t>
  </si>
  <si>
    <t xml:space="preserve">B11P26, </t>
  </si>
  <si>
    <t xml:space="preserve">B11P27, </t>
  </si>
  <si>
    <t xml:space="preserve">B11P28, </t>
  </si>
  <si>
    <t xml:space="preserve">B11P29, </t>
  </si>
  <si>
    <t xml:space="preserve">B11P30, </t>
  </si>
  <si>
    <t xml:space="preserve">B11P31, </t>
  </si>
  <si>
    <t xml:space="preserve">B11P32, </t>
  </si>
  <si>
    <t xml:space="preserve">B11P33, </t>
  </si>
  <si>
    <t xml:space="preserve">B12P1, </t>
  </si>
  <si>
    <t xml:space="preserve">B12P2, </t>
  </si>
  <si>
    <t xml:space="preserve">B12P3, </t>
  </si>
  <si>
    <t xml:space="preserve">B12P4, </t>
  </si>
  <si>
    <t xml:space="preserve">B12P5, </t>
  </si>
  <si>
    <t xml:space="preserve">B12P6, </t>
  </si>
  <si>
    <t xml:space="preserve">B12P7, </t>
  </si>
  <si>
    <t xml:space="preserve">B12P8, </t>
  </si>
  <si>
    <t xml:space="preserve">B12P9, </t>
  </si>
  <si>
    <t xml:space="preserve">B12P10, </t>
  </si>
  <si>
    <t xml:space="preserve">B12P11, </t>
  </si>
  <si>
    <t xml:space="preserve">B12P12, </t>
  </si>
  <si>
    <t xml:space="preserve">B12P13, </t>
  </si>
  <si>
    <t xml:space="preserve">B12P14, </t>
  </si>
  <si>
    <t xml:space="preserve">B12P15, </t>
  </si>
  <si>
    <t xml:space="preserve">B12P16, </t>
  </si>
  <si>
    <t xml:space="preserve">B12P17, </t>
  </si>
  <si>
    <t xml:space="preserve">B12P18, </t>
  </si>
  <si>
    <t xml:space="preserve">B12P19, </t>
  </si>
  <si>
    <t xml:space="preserve">B12P20, </t>
  </si>
  <si>
    <t xml:space="preserve">B12P21, </t>
  </si>
  <si>
    <t xml:space="preserve">B12P22, </t>
  </si>
  <si>
    <t xml:space="preserve">B12P23, </t>
  </si>
  <si>
    <t xml:space="preserve">B12P24, </t>
  </si>
  <si>
    <t xml:space="preserve">B12P25, </t>
  </si>
  <si>
    <t xml:space="preserve">B12P26, </t>
  </si>
  <si>
    <t xml:space="preserve">B12P27, </t>
  </si>
  <si>
    <t xml:space="preserve">B12P28, </t>
  </si>
  <si>
    <t xml:space="preserve">B12P29, </t>
  </si>
  <si>
    <t xml:space="preserve">B12P30, </t>
  </si>
  <si>
    <t xml:space="preserve">B12P31, </t>
  </si>
  <si>
    <t xml:space="preserve">B12P32, </t>
  </si>
  <si>
    <t xml:space="preserve">B12P33, </t>
  </si>
  <si>
    <t>Impact Arestor build up           (I)</t>
  </si>
  <si>
    <t>Body build up          (B)</t>
  </si>
  <si>
    <t>Fin build up          (V)</t>
  </si>
  <si>
    <t xml:space="preserve">pocket </t>
  </si>
  <si>
    <t xml:space="preserve">pockets </t>
  </si>
  <si>
    <t xml:space="preserve">I.A. </t>
  </si>
  <si>
    <t xml:space="preserve">body next to </t>
  </si>
  <si>
    <t>ENGINEER EVALUATION Build up or Hardfacing</t>
  </si>
  <si>
    <t>X Replaced by new</t>
  </si>
  <si>
    <t>X Replaced by salvage</t>
  </si>
  <si>
    <t>Lost Replaced by new</t>
  </si>
  <si>
    <t>Lost Replaced by salvage</t>
  </si>
  <si>
    <t>ARDT X price</t>
  </si>
  <si>
    <t>ARDT R price</t>
  </si>
  <si>
    <t>Eng. X reduc.</t>
  </si>
  <si>
    <t>Eng. R reduc.</t>
  </si>
  <si>
    <t>Eng. X reduc. Price</t>
  </si>
  <si>
    <t>Eng. R reduc. Price</t>
  </si>
  <si>
    <t>Reclaim</t>
  </si>
  <si>
    <t>New</t>
  </si>
  <si>
    <t>Reviewed by Eng.:</t>
  </si>
  <si>
    <t>Cutters Part No.</t>
  </si>
  <si>
    <t>FI Report No:</t>
  </si>
  <si>
    <t>P</t>
  </si>
  <si>
    <t xml:space="preserve">Client Approval: </t>
  </si>
  <si>
    <t>For Rerun:</t>
  </si>
  <si>
    <t xml:space="preserve">ARDT Order No: </t>
  </si>
  <si>
    <t>B12</t>
  </si>
  <si>
    <t>SF53</t>
  </si>
  <si>
    <t>1st IN ALL AND 2nd IN B1 &amp; B3</t>
  </si>
  <si>
    <t>MMD63</t>
  </si>
  <si>
    <t>MMG64H</t>
  </si>
  <si>
    <t>907609, CT125</t>
  </si>
  <si>
    <t>MMD64</t>
  </si>
  <si>
    <t>FMH3651H</t>
  </si>
  <si>
    <t>MMD65H</t>
  </si>
  <si>
    <t>MMD76H</t>
  </si>
  <si>
    <t>B1C1, B3C1 &amp; B5C1</t>
  </si>
  <si>
    <t>SFD66CH</t>
  </si>
  <si>
    <t>GT76H</t>
  </si>
  <si>
    <t>B1C2, B3C2 &amp; B5C2</t>
  </si>
  <si>
    <t>FC3943i</t>
  </si>
  <si>
    <t>BEFORE THE GAUGE ALL</t>
  </si>
  <si>
    <t>FC3937</t>
  </si>
  <si>
    <t>FC3743</t>
  </si>
  <si>
    <t>FC3933</t>
  </si>
  <si>
    <t>GTD65Cs</t>
  </si>
  <si>
    <t>1st two cutters in Blades 1, 3, 5</t>
  </si>
  <si>
    <t>SF56</t>
  </si>
  <si>
    <t>SFE65M</t>
  </si>
  <si>
    <t>SF366DH</t>
  </si>
  <si>
    <t>MME65R</t>
  </si>
  <si>
    <t>1st two cutters in B1, B3 &amp; B5, and last in all blades</t>
  </si>
  <si>
    <t>the 2nd row ( after CT31 or CT200)</t>
  </si>
  <si>
    <t>B2C8, B4C8 &amp; B6C8</t>
  </si>
  <si>
    <t>B1C12, B3C11 &amp; B5C11</t>
  </si>
  <si>
    <t>Remark</t>
  </si>
  <si>
    <t>8 3/8 x 4</t>
  </si>
  <si>
    <t>B1C1, B3C1 &amp; B5C1, and last (2 )before the gauge in all blades except in B3 &amp; B4 just 1 cutter.</t>
  </si>
  <si>
    <t>C26</t>
  </si>
  <si>
    <t>C27</t>
  </si>
  <si>
    <t>C28</t>
  </si>
  <si>
    <t>C29</t>
  </si>
  <si>
    <t>C30</t>
  </si>
  <si>
    <t>C31</t>
  </si>
  <si>
    <t>Reclaim X Price reduc.</t>
  </si>
  <si>
    <t>Modified cutters</t>
  </si>
  <si>
    <t>To Replaced Cutter #</t>
  </si>
  <si>
    <t>Reclaim*</t>
  </si>
  <si>
    <t>Cutter Size</t>
  </si>
  <si>
    <r>
      <t>Inch</t>
    </r>
    <r>
      <rPr>
        <b/>
        <vertAlign val="superscript"/>
        <sz val="11"/>
        <rFont val="Calibri"/>
        <family val="2"/>
        <scheme val="minor"/>
      </rPr>
      <t>3</t>
    </r>
  </si>
  <si>
    <t>Upper Section Size</t>
  </si>
  <si>
    <t>Bit Size</t>
  </si>
  <si>
    <t>IN CASE ENG. CHANGED TO RERUN ENTER " 1 "</t>
  </si>
  <si>
    <t>Paperwork</t>
  </si>
  <si>
    <t>Apex</t>
  </si>
  <si>
    <t>Rework #1</t>
  </si>
  <si>
    <t>Rework #2</t>
  </si>
  <si>
    <t>Rework #3</t>
  </si>
  <si>
    <t>NCR Ref NO:</t>
  </si>
  <si>
    <t>1010 CT200 0.010</t>
  </si>
  <si>
    <t>Rerun by ARDT</t>
  </si>
  <si>
    <t>ARDT</t>
  </si>
  <si>
    <t>PRICES</t>
  </si>
  <si>
    <t>ENGINEER</t>
  </si>
  <si>
    <t>RECLAIM</t>
  </si>
  <si>
    <t xml:space="preserve">Evaluator: </t>
  </si>
  <si>
    <t>QC:</t>
  </si>
  <si>
    <t>Remark:</t>
  </si>
  <si>
    <t>LSTK Engineer Remark</t>
  </si>
  <si>
    <t>ARDT Evaluator Remark</t>
  </si>
  <si>
    <t>1308 CT133  0.018"</t>
  </si>
  <si>
    <t xml:space="preserve">1308 CT133 </t>
  </si>
  <si>
    <t>1608 CT133  0.018"</t>
  </si>
  <si>
    <t xml:space="preserve">1608 CT133 </t>
  </si>
  <si>
    <t xml:space="preserve">1313  Triple Diamond element PDC </t>
  </si>
  <si>
    <t>1313  Triple Diamond element PDC</t>
  </si>
  <si>
    <t>1608 CT142  0.010"</t>
  </si>
  <si>
    <t xml:space="preserve">1608 CT142 </t>
  </si>
  <si>
    <t>1308 CT138  0.018"</t>
  </si>
  <si>
    <t xml:space="preserve">1308 CT138 </t>
  </si>
  <si>
    <t>1313 CT138  0.018"</t>
  </si>
  <si>
    <t xml:space="preserve">1313 CT138 </t>
  </si>
  <si>
    <t>Add the cutter in list</t>
  </si>
  <si>
    <t>MM64R</t>
  </si>
  <si>
    <t>Cutters as BOM</t>
  </si>
  <si>
    <t>FOR THE DROP IN LIST</t>
  </si>
  <si>
    <t>Qty as BOM</t>
  </si>
  <si>
    <t>ARDT REMARK</t>
  </si>
  <si>
    <t>ENG REMARK</t>
  </si>
  <si>
    <t>Cutters Replacement Charge</t>
  </si>
  <si>
    <t xml:space="preserve">fin inbetween </t>
  </si>
  <si>
    <t xml:space="preserve">fins inbetween </t>
  </si>
  <si>
    <t>Fin build up          (V) FINAL</t>
  </si>
  <si>
    <t>Fin build up          (V)FINAL</t>
  </si>
  <si>
    <t>Setup Charge</t>
  </si>
  <si>
    <t>Requested by:</t>
  </si>
  <si>
    <t>Evaluated by:</t>
  </si>
  <si>
    <t>Evaluation Date:</t>
  </si>
  <si>
    <t>Scrap Date:</t>
  </si>
  <si>
    <t xml:space="preserve">Approved by: </t>
  </si>
  <si>
    <t>Approval Date:</t>
  </si>
  <si>
    <t>Final Approval:</t>
  </si>
  <si>
    <t>Received Date:</t>
  </si>
  <si>
    <t>Department head approval:</t>
  </si>
  <si>
    <t>Total amount</t>
  </si>
  <si>
    <t>Reviewed by:
(Sign &amp; Date)</t>
  </si>
  <si>
    <t>Engineering Initial:</t>
  </si>
  <si>
    <t>Approved by: (Sign &amp; Date)</t>
  </si>
  <si>
    <t>Department head</t>
  </si>
  <si>
    <t>Approved by</t>
  </si>
  <si>
    <t>Approval Date</t>
  </si>
  <si>
    <t>Final approval</t>
  </si>
  <si>
    <t>Add charge for rework</t>
  </si>
  <si>
    <t>Rework</t>
  </si>
  <si>
    <t>After Rework</t>
  </si>
  <si>
    <t>From:</t>
  </si>
  <si>
    <t>GT65DH</t>
  </si>
  <si>
    <t xml:space="preserve">Repair: </t>
  </si>
  <si>
    <t>Scrap:</t>
  </si>
  <si>
    <t>Rerun:</t>
  </si>
  <si>
    <t>509477M</t>
  </si>
  <si>
    <t>639070M</t>
  </si>
  <si>
    <t>671133M</t>
  </si>
  <si>
    <t>792414M</t>
  </si>
  <si>
    <t>859588M</t>
  </si>
  <si>
    <t>870474M</t>
  </si>
  <si>
    <t>888856M</t>
  </si>
  <si>
    <t>899327M</t>
  </si>
  <si>
    <t>905235M</t>
  </si>
  <si>
    <t>952071M</t>
  </si>
  <si>
    <t>952636M</t>
  </si>
  <si>
    <t>953042M</t>
  </si>
  <si>
    <t>969409M</t>
  </si>
  <si>
    <t>1007863M</t>
  </si>
  <si>
    <t>1011366M</t>
  </si>
  <si>
    <t>1025815M</t>
  </si>
  <si>
    <t>1034046M</t>
  </si>
  <si>
    <t>1041673M</t>
  </si>
  <si>
    <t>1056359M</t>
  </si>
  <si>
    <t>1059290M</t>
  </si>
  <si>
    <t>1083403M</t>
  </si>
  <si>
    <t>WITHOUT REWORK</t>
  </si>
  <si>
    <t>8 1/2" X 4"</t>
  </si>
  <si>
    <t>FC3843</t>
  </si>
  <si>
    <t>The last before the gauge.(This is what Abdul decide. I think B1, 3, 5, 7 the 1st &amp; 5th)</t>
  </si>
  <si>
    <t>the last in all blades.</t>
  </si>
  <si>
    <t>SF75</t>
  </si>
  <si>
    <t>Last cutter in all blades</t>
  </si>
  <si>
    <t>2nd row</t>
  </si>
  <si>
    <t>B1C[2-7], B3C[2-5], B5C[2-6], B6C1, B7C1</t>
  </si>
  <si>
    <t>GTI65H</t>
  </si>
  <si>
    <t>SF75H</t>
  </si>
  <si>
    <t>B(1,6)C(1,2,3,4), B4C(1,2,3,4,5)</t>
  </si>
  <si>
    <t>B(1,6)C(5,6), B(2,3,5,7)C1, B4C(6,7)</t>
  </si>
  <si>
    <t>B(1,4,6)Cb(1,2,3,4,last), B(2,3,5,7)Cb(1,last)</t>
  </si>
  <si>
    <t>MM85D</t>
  </si>
  <si>
    <t>B1C(15,16), B(2,3,5,8)C(10,11), B(4,6)C(14,15), B7(11,12)</t>
  </si>
  <si>
    <t>B(2,4,6,8)C1</t>
  </si>
  <si>
    <t>B(1,3,5)C1</t>
  </si>
  <si>
    <t>B(1,3,5)C2</t>
  </si>
  <si>
    <t>B(1)C(14,15), B(2,3,7)C(9,10), B5C(8,9), B(4,6)C(13,14)</t>
  </si>
  <si>
    <t>937159M</t>
  </si>
  <si>
    <t>1067911M</t>
  </si>
  <si>
    <t>1026622M</t>
  </si>
  <si>
    <t>1086630M</t>
  </si>
  <si>
    <t>903299M</t>
  </si>
  <si>
    <t>757448M</t>
  </si>
  <si>
    <t>0808CT82 0.010</t>
  </si>
  <si>
    <t>1613 CT200 0.010</t>
  </si>
  <si>
    <t>1613 CT404 GEDB 0.010</t>
  </si>
  <si>
    <t>1313 CT404 GEDB 0.010</t>
  </si>
  <si>
    <t>1308 CT31 PDC Dome</t>
  </si>
  <si>
    <t>19mm Medium bullet CT80  0.018</t>
  </si>
  <si>
    <t>13mm Long bullet CT80 0.018</t>
  </si>
  <si>
    <t>TBO-Cutter 1913 CT97 0.018</t>
  </si>
  <si>
    <t>TBO-Cutter 1613 CT97 0.018</t>
  </si>
  <si>
    <t>TBO-Cutter 1313 CT97 0.018</t>
  </si>
  <si>
    <t>16mm Long bullet CT80 0.010</t>
  </si>
  <si>
    <t>TBO-Cutter 1613 CT97 0.010</t>
  </si>
  <si>
    <t>16mm Long BLT CT217 0.018</t>
  </si>
  <si>
    <t>1613 CT405 GEDB 0.018</t>
  </si>
  <si>
    <t>1318 Short MDR CT214 STEEL</t>
  </si>
  <si>
    <t>13mm Short Bullet CT80 0.018</t>
  </si>
  <si>
    <t>0808CT82 0.010"</t>
  </si>
  <si>
    <t>1613 CT200 0.010"</t>
  </si>
  <si>
    <t>1613 CT404 GEDB 0.010"</t>
  </si>
  <si>
    <t>1313 CT404 GEDB 0.010"</t>
  </si>
  <si>
    <t>19mm Medium bullet CT80  0.018"</t>
  </si>
  <si>
    <t>13mm Long bullet CT80 0.018"</t>
  </si>
  <si>
    <t>TBO-Cutter 1913 CT97 0.018"</t>
  </si>
  <si>
    <t>TBO-Cutter 1613 CT97 0.018"</t>
  </si>
  <si>
    <t>TBO-Cutter 1313 CT97 0.018"</t>
  </si>
  <si>
    <t>16mm Long bullet CT80 0.010"</t>
  </si>
  <si>
    <t>TBO-Cutter 1613 CT97 0.010"</t>
  </si>
  <si>
    <t>16mm Long BLT CT217 0.018"</t>
  </si>
  <si>
    <t>1613 CT405 GEDB 0.018"</t>
  </si>
  <si>
    <t>13mm Short Bullet CT80 0.018"</t>
  </si>
  <si>
    <t>08</t>
  </si>
  <si>
    <t>0808</t>
  </si>
  <si>
    <t>CT404</t>
  </si>
  <si>
    <t>CT214</t>
  </si>
  <si>
    <t>GEDB 0.010"</t>
  </si>
  <si>
    <t>PDC Dome</t>
  </si>
  <si>
    <t>Medium bullet</t>
  </si>
  <si>
    <t>Long bullet</t>
  </si>
  <si>
    <t>TBO-Cutter</t>
  </si>
  <si>
    <t>Long BLT</t>
  </si>
  <si>
    <t>GEDB 0.018"</t>
  </si>
  <si>
    <t>Short MDR STEEL</t>
  </si>
  <si>
    <t>ARDT Evaluation</t>
  </si>
  <si>
    <r>
      <t xml:space="preserve">Bit Date Received </t>
    </r>
    <r>
      <rPr>
        <sz val="8"/>
        <rFont val="Arial"/>
        <family val="2"/>
      </rPr>
      <t>(MM/DD/YYYY)</t>
    </r>
  </si>
  <si>
    <r>
      <t xml:space="preserve">Date of Evaluation </t>
    </r>
    <r>
      <rPr>
        <sz val="8"/>
        <rFont val="Arial"/>
        <family val="2"/>
      </rPr>
      <t>(MM/DD/YYYY)</t>
    </r>
  </si>
  <si>
    <r>
      <t xml:space="preserve">Date of Review </t>
    </r>
    <r>
      <rPr>
        <sz val="8"/>
        <rFont val="Arial"/>
        <family val="2"/>
      </rPr>
      <t>(MM/DD/YYYY)</t>
    </r>
  </si>
  <si>
    <t>GTi76H</t>
  </si>
  <si>
    <t>1093745M</t>
  </si>
  <si>
    <t>GTi65DH</t>
  </si>
  <si>
    <t>1093876M</t>
  </si>
  <si>
    <t>Evaluators</t>
  </si>
  <si>
    <t>Ali Salman</t>
  </si>
  <si>
    <t>QC</t>
  </si>
  <si>
    <t>To Replace Cutter #</t>
  </si>
  <si>
    <t>Not OK</t>
  </si>
  <si>
    <t xml:space="preserve">LPT Result Evaluator: </t>
  </si>
  <si>
    <t>Cutter quantities changed after Engineer cutter entry filled</t>
  </si>
  <si>
    <t>Upper Section Replacement</t>
  </si>
  <si>
    <t>Bit Size Up to 6 7/8"</t>
  </si>
  <si>
    <t>result in Re run</t>
  </si>
  <si>
    <t>13mm long impact arrestor</t>
  </si>
  <si>
    <t>long impact arrestor</t>
  </si>
  <si>
    <t>13mm Short Impact Arrestor</t>
  </si>
  <si>
    <t>Short Impact Arrestor</t>
  </si>
  <si>
    <t>SAP No</t>
  </si>
  <si>
    <t>Book Stock</t>
  </si>
  <si>
    <t>Impact arrestor             (I)</t>
  </si>
  <si>
    <t>Total cutters in BOM</t>
  </si>
  <si>
    <t>Add 1 if you want to track salvage cutters location?</t>
  </si>
  <si>
    <r>
      <t xml:space="preserve">Date Received: 
</t>
    </r>
    <r>
      <rPr>
        <sz val="10.5"/>
        <rFont val="Calibri"/>
        <family val="2"/>
        <scheme val="minor"/>
      </rPr>
      <t>(MM/DD/YYYY)</t>
    </r>
  </si>
  <si>
    <t>ARABIAN ROCKBITS &amp; DRILLING TOOLS CO. LTD</t>
  </si>
  <si>
    <t>S- Spin</t>
  </si>
  <si>
    <t>O- Ok</t>
  </si>
  <si>
    <t>F- Fill</t>
  </si>
  <si>
    <t>X- Replace</t>
  </si>
  <si>
    <t>L- Lost</t>
  </si>
  <si>
    <t>Evaluation Step Description</t>
  </si>
  <si>
    <t>Document No: QAS/1002</t>
  </si>
  <si>
    <t>Reviewed by: Ahmed Faizan Chisti</t>
  </si>
  <si>
    <t>Approved by: Abdul Rahiman</t>
  </si>
  <si>
    <t>ARABIAN ROCKBITS &amp; DRILLING TOOLS
CO. LTD.</t>
  </si>
  <si>
    <t>Bit Stamping</t>
  </si>
  <si>
    <t>Die Check</t>
  </si>
  <si>
    <t>Ring Gauge ( Go Gauge )</t>
  </si>
  <si>
    <t>Ring Gauge ( No Go Gauge )</t>
  </si>
  <si>
    <t>Nozzle BoreLiner (Where Applicable)</t>
  </si>
  <si>
    <t>Nozzle Threads</t>
  </si>
  <si>
    <t>Junk Slot</t>
  </si>
  <si>
    <t>Breaker Slot</t>
  </si>
  <si>
    <t>Body Condition</t>
  </si>
  <si>
    <t>Mud Seal Surface</t>
  </si>
  <si>
    <t>API Pin</t>
  </si>
  <si>
    <t>Inner Diameter</t>
  </si>
  <si>
    <t>Photos Update To The Server</t>
  </si>
  <si>
    <t>Other Comments (If Any)</t>
  </si>
  <si>
    <t xml:space="preserve">Evaluated by: </t>
  </si>
  <si>
    <t>Sr. No</t>
  </si>
  <si>
    <t>Bit Cleanliness (Washing &amp; Sand Blasting)</t>
  </si>
  <si>
    <t>REMARKS</t>
  </si>
  <si>
    <t>Nozzle Removal</t>
  </si>
  <si>
    <t>Washing</t>
  </si>
  <si>
    <t>Sand Blasting</t>
  </si>
  <si>
    <t>Pressure Test (If Applicable)</t>
  </si>
  <si>
    <t>Photos &amp; Evaluation</t>
  </si>
  <si>
    <t>Bit Head Preparation</t>
  </si>
  <si>
    <t>Bit Head Preparation For Brazing</t>
  </si>
  <si>
    <t>Brazing</t>
  </si>
  <si>
    <t>Pocket, Blade or IA Grinding (If Applicable)</t>
  </si>
  <si>
    <t>Upper Section Sub-Arc Welding
(If Applicable)</t>
  </si>
  <si>
    <t>Shank Machining (If Applicable)</t>
  </si>
  <si>
    <t>Final Grinding</t>
  </si>
  <si>
    <t>Tip Grinding</t>
  </si>
  <si>
    <t>Bit Photos</t>
  </si>
  <si>
    <t>QC Inspection</t>
  </si>
  <si>
    <t>Final Inspection</t>
  </si>
  <si>
    <t>Painting &amp; Boxing</t>
  </si>
  <si>
    <t>For Brazing</t>
  </si>
  <si>
    <t>De-Brazing</t>
  </si>
  <si>
    <t>Time Bit Taken Out of Furnace (hh:mm)</t>
  </si>
  <si>
    <t>De-Brazing (If Applicable)</t>
  </si>
  <si>
    <t>Time Completion of Job (hh:mm)</t>
  </si>
  <si>
    <t>Bit Head Temperature Completion of Job</t>
  </si>
  <si>
    <t>Gas Pressure</t>
  </si>
  <si>
    <t>Oxygen</t>
  </si>
  <si>
    <t>Acetylene</t>
  </si>
  <si>
    <t>Nitrogen</t>
  </si>
  <si>
    <t>Time Cooking Started (hh:mm)</t>
  </si>
  <si>
    <t>Bit Head Temperature Taken Out of Furnace</t>
  </si>
  <si>
    <t>Document No: QAS/1006</t>
  </si>
  <si>
    <t xml:space="preserve">Work Order # </t>
  </si>
  <si>
    <t>Document No: QAS/1004-1</t>
  </si>
  <si>
    <t>Approved by: Abdul Rahman</t>
  </si>
  <si>
    <t>CLEANER</t>
  </si>
  <si>
    <t>PENETRANT</t>
  </si>
  <si>
    <t>DEVELOPER</t>
  </si>
  <si>
    <t>Serial No:</t>
  </si>
  <si>
    <r>
      <t xml:space="preserve">Date Received: 
</t>
    </r>
    <r>
      <rPr>
        <sz val="11"/>
        <rFont val="Calibri"/>
        <family val="2"/>
        <scheme val="minor"/>
      </rPr>
      <t>(MM/DD/YYYY)</t>
    </r>
  </si>
  <si>
    <t xml:space="preserve">NCR Ref. No: </t>
  </si>
  <si>
    <t xml:space="preserve"> BATCH NO</t>
  </si>
  <si>
    <t xml:space="preserve">MATERIAL </t>
  </si>
  <si>
    <t xml:space="preserve">CLEANER </t>
  </si>
  <si>
    <t xml:space="preserve">PENETRANT </t>
  </si>
  <si>
    <t xml:space="preserve">DEVELOPER </t>
  </si>
  <si>
    <t xml:space="preserve"> Reviewed by: Ahmed Faizan Chisti</t>
  </si>
  <si>
    <t xml:space="preserve"> Approved by: Abdul Rahman</t>
  </si>
  <si>
    <t xml:space="preserve">Rework No: </t>
  </si>
  <si>
    <t xml:space="preserve">FI Report No: </t>
  </si>
  <si>
    <t xml:space="preserve">Date Received: 
(MM/DD/YYYY) </t>
  </si>
  <si>
    <t xml:space="preserve">Final Inspector: </t>
  </si>
  <si>
    <t>R- Rotate</t>
  </si>
  <si>
    <t>R-Rotate</t>
  </si>
  <si>
    <t>S-Spin</t>
  </si>
  <si>
    <t>O-Ok</t>
  </si>
  <si>
    <t>F-Fill</t>
  </si>
  <si>
    <t>X-Replace</t>
  </si>
  <si>
    <t>L-Lost</t>
  </si>
  <si>
    <t xml:space="preserve">Repair manager Approval: </t>
  </si>
  <si>
    <t xml:space="preserve"> Document No: QAS/2001-1</t>
  </si>
  <si>
    <r>
      <t xml:space="preserve">Size
</t>
    </r>
    <r>
      <rPr>
        <b/>
        <sz val="9"/>
        <rFont val="Calibri"/>
        <family val="2"/>
        <scheme val="minor"/>
      </rPr>
      <t>mm</t>
    </r>
  </si>
  <si>
    <t xml:space="preserve">Evaluation Requested by: </t>
  </si>
  <si>
    <r>
      <t xml:space="preserve">Pressure Test </t>
    </r>
    <r>
      <rPr>
        <sz val="10"/>
        <rFont val="Calibri"/>
        <family val="2"/>
        <scheme val="minor"/>
      </rPr>
      <t>(Where Applicable)</t>
    </r>
  </si>
  <si>
    <t xml:space="preserve"> Document No: QAS/3001</t>
  </si>
  <si>
    <t>Final Inspector Sign &amp; Date:</t>
  </si>
  <si>
    <t>MMD64H</t>
  </si>
  <si>
    <t>952982M</t>
  </si>
  <si>
    <t>Date: 08/15/2019 Rev: D</t>
  </si>
  <si>
    <t>Rev No &amp; Date: G &amp; 08/15/2019</t>
  </si>
  <si>
    <t xml:space="preserve"> Rev No &amp; Date:  C &amp; 08/15/2019</t>
  </si>
  <si>
    <t>Material No:</t>
  </si>
  <si>
    <t>Halliburton</t>
  </si>
  <si>
    <t>P.O.BOX 31722, AL-KHOBAR 31952, SAUDI ARABIA</t>
  </si>
  <si>
    <t>Work Order No.</t>
  </si>
  <si>
    <t>Mat. No.</t>
  </si>
  <si>
    <t>From</t>
  </si>
  <si>
    <t xml:space="preserve">SN/Tech.ID No.     </t>
  </si>
  <si>
    <t>Date Received</t>
  </si>
  <si>
    <t>Assembly No.</t>
  </si>
  <si>
    <t>Ref/PO No:</t>
  </si>
  <si>
    <t>Instructions:</t>
  </si>
  <si>
    <r>
      <t xml:space="preserve">Clearly mark the # 1 blade with permanent marker or pen; Begin with the inner most cutter on the blade, mark each cutter with </t>
    </r>
    <r>
      <rPr>
        <b/>
        <sz val="8"/>
        <rFont val="Arial"/>
        <family val="2"/>
      </rPr>
      <t>X</t>
    </r>
    <r>
      <rPr>
        <sz val="8"/>
        <rFont val="Arial"/>
        <family val="2"/>
      </rPr>
      <t xml:space="preserve"> if needs to be                                                                                                        </t>
    </r>
  </si>
  <si>
    <r>
      <t xml:space="preserve">replaced, </t>
    </r>
    <r>
      <rPr>
        <b/>
        <sz val="8"/>
        <rFont val="Arial"/>
        <family val="2"/>
      </rPr>
      <t>R</t>
    </r>
    <r>
      <rPr>
        <sz val="8"/>
        <rFont val="Arial"/>
        <family val="2"/>
      </rPr>
      <t xml:space="preserve"> if needs to be rotated, and </t>
    </r>
    <r>
      <rPr>
        <b/>
        <sz val="8"/>
        <rFont val="Arial"/>
        <family val="2"/>
      </rPr>
      <t>O</t>
    </r>
    <r>
      <rPr>
        <sz val="8"/>
        <rFont val="Arial"/>
        <family val="2"/>
      </rPr>
      <t xml:space="preserve"> if okay. Then go for the next blade in a clockwise direction and do the same.</t>
    </r>
  </si>
  <si>
    <r>
      <t xml:space="preserve">After the checking and marking of cutters through all the blades, transfer </t>
    </r>
    <r>
      <rPr>
        <b/>
        <sz val="8"/>
        <rFont val="Arial"/>
        <family val="2"/>
      </rPr>
      <t>X</t>
    </r>
    <r>
      <rPr>
        <sz val="8"/>
        <rFont val="Arial"/>
        <family val="2"/>
      </rPr>
      <t xml:space="preserve">s, </t>
    </r>
    <r>
      <rPr>
        <b/>
        <sz val="8"/>
        <rFont val="Arial"/>
        <family val="2"/>
      </rPr>
      <t>R</t>
    </r>
    <r>
      <rPr>
        <sz val="8"/>
        <rFont val="Arial"/>
        <family val="2"/>
      </rPr>
      <t xml:space="preserve">s and </t>
    </r>
    <r>
      <rPr>
        <b/>
        <sz val="8"/>
        <rFont val="Arial"/>
        <family val="2"/>
      </rPr>
      <t>O</t>
    </r>
    <r>
      <rPr>
        <sz val="8"/>
        <rFont val="Arial"/>
        <family val="2"/>
      </rPr>
      <t>s to the Table below.</t>
    </r>
  </si>
  <si>
    <t>Date:</t>
  </si>
  <si>
    <r>
      <t>R</t>
    </r>
    <r>
      <rPr>
        <sz val="10"/>
        <rFont val="Arial"/>
        <family val="2"/>
      </rPr>
      <t>- rotate</t>
    </r>
  </si>
  <si>
    <r>
      <t>S</t>
    </r>
    <r>
      <rPr>
        <sz val="10"/>
        <rFont val="Arial"/>
        <family val="2"/>
      </rPr>
      <t>- spin</t>
    </r>
  </si>
  <si>
    <r>
      <t>O</t>
    </r>
    <r>
      <rPr>
        <sz val="10"/>
        <rFont val="Arial"/>
        <family val="2"/>
      </rPr>
      <t>- ok</t>
    </r>
  </si>
  <si>
    <r>
      <t>F</t>
    </r>
    <r>
      <rPr>
        <sz val="10"/>
        <rFont val="Arial"/>
        <family val="2"/>
      </rPr>
      <t>- fill</t>
    </r>
  </si>
  <si>
    <r>
      <t>X</t>
    </r>
    <r>
      <rPr>
        <sz val="10"/>
        <rFont val="Arial"/>
        <family val="2"/>
      </rPr>
      <t>- replace</t>
    </r>
  </si>
  <si>
    <t>Lost C.</t>
  </si>
  <si>
    <t>Total Cutters to Replace</t>
  </si>
  <si>
    <r>
      <t>For Plant Use Only</t>
    </r>
    <r>
      <rPr>
        <b/>
        <sz val="10"/>
        <rFont val="Arial"/>
        <family val="2"/>
      </rPr>
      <t xml:space="preserve">                                    Cutters To Be Used and Cost Estimation</t>
    </r>
  </si>
  <si>
    <t>Cutter</t>
  </si>
  <si>
    <t>Z3</t>
  </si>
  <si>
    <t>Claw</t>
  </si>
  <si>
    <t>Ring Claw</t>
  </si>
  <si>
    <t>Elite/Step DRC</t>
  </si>
  <si>
    <t>Others</t>
  </si>
  <si>
    <t>Part Nos.</t>
  </si>
  <si>
    <t>Size- mm</t>
  </si>
  <si>
    <t>Used</t>
  </si>
  <si>
    <t>per Cutter</t>
  </si>
  <si>
    <t>Base Charge</t>
  </si>
  <si>
    <t>Labor Cost:</t>
  </si>
  <si>
    <t>Hours</t>
  </si>
  <si>
    <t xml:space="preserve">    </t>
  </si>
  <si>
    <t>OT Labor Cost:</t>
  </si>
  <si>
    <t xml:space="preserve">Blade </t>
  </si>
  <si>
    <t>x</t>
  </si>
  <si>
    <t>Repair Approved by:</t>
  </si>
  <si>
    <t>Clients</t>
  </si>
  <si>
    <t>LSTK</t>
  </si>
  <si>
    <t>Halliburton Reg.</t>
  </si>
  <si>
    <t>Engineer Evaluation</t>
  </si>
  <si>
    <t>Data Entry for Bits</t>
  </si>
  <si>
    <t>Rerun by  Engineer</t>
  </si>
  <si>
    <t>AFTER :         TIP GRINDING  (    )          BRAZING  (    )</t>
  </si>
  <si>
    <t>B1C1, B3C1 &amp; B4C1</t>
  </si>
  <si>
    <t>1ST IN B3, B6, B9</t>
  </si>
  <si>
    <r>
      <t xml:space="preserve">B1C1, B3C1, B5C1 </t>
    </r>
    <r>
      <rPr>
        <b/>
        <sz val="9"/>
        <rFont val="Calibri"/>
        <family val="2"/>
        <scheme val="minor"/>
      </rPr>
      <t>&amp;</t>
    </r>
    <r>
      <rPr>
        <sz val="9"/>
        <rFont val="Calibri"/>
        <family val="2"/>
        <scheme val="minor"/>
      </rPr>
      <t xml:space="preserve"> LAST</t>
    </r>
  </si>
  <si>
    <t>B1C1, B3C1, B4C1 &amp; LAST</t>
  </si>
  <si>
    <t>B1C1, B3C1, B5C1 &amp; LAST</t>
  </si>
  <si>
    <t>Internal Evaluation Sheet</t>
  </si>
  <si>
    <t>Reviewed by Eng. Sign &amp; Date:</t>
  </si>
  <si>
    <t>Rework Sheet</t>
  </si>
  <si>
    <t>LPT AFTER REWORK</t>
  </si>
  <si>
    <t>External Evaluation Sheet</t>
  </si>
  <si>
    <t>902208M</t>
  </si>
  <si>
    <t>FC3843i</t>
  </si>
  <si>
    <t>Quotation</t>
  </si>
  <si>
    <t>16"</t>
  </si>
  <si>
    <t>FMH3853Z</t>
  </si>
  <si>
    <t>1033011M</t>
  </si>
  <si>
    <t>1034022M</t>
  </si>
  <si>
    <t>17"</t>
  </si>
  <si>
    <t>SFD75DH</t>
  </si>
  <si>
    <t>1092978M</t>
  </si>
  <si>
    <t>12.25"</t>
  </si>
  <si>
    <t>MME65DMH</t>
  </si>
  <si>
    <t>1033499M</t>
  </si>
  <si>
    <t>N/A</t>
  </si>
  <si>
    <t>1313 CT91 0.018</t>
  </si>
  <si>
    <t xml:space="preserve">                           BEFORE BRAZING  (    )          OTHERS  (    )  _____________________ </t>
  </si>
  <si>
    <t>TBO-Cutter  1613 CT91 0.018</t>
  </si>
  <si>
    <t>TBO-Cutter  1613 CT91 0.018"</t>
  </si>
  <si>
    <t xml:space="preserve">TBO-Cutter </t>
  </si>
  <si>
    <t>1313 CT91 0.018"</t>
  </si>
  <si>
    <t>662603M</t>
  </si>
  <si>
    <t>1313 CT80 0.010</t>
  </si>
  <si>
    <t>1313 CT80 0.010"</t>
  </si>
  <si>
    <t>P.O. BOX 31722</t>
  </si>
  <si>
    <t>AL KHOBAR 31952</t>
  </si>
  <si>
    <t>SAUDI ARABIA</t>
  </si>
  <si>
    <t>Phone: +966-3-812 1179</t>
  </si>
  <si>
    <t>Fax: +966-3-812 1139</t>
  </si>
  <si>
    <t>DELIVERY TICKET</t>
  </si>
  <si>
    <t xml:space="preserve">SENT TO : </t>
  </si>
  <si>
    <t>Del. Ticket No :</t>
  </si>
  <si>
    <t xml:space="preserve">P.O. Box : </t>
  </si>
  <si>
    <t>Item Received at ARDT :</t>
  </si>
  <si>
    <t xml:space="preserve">City : </t>
  </si>
  <si>
    <t>P.O. Number :</t>
  </si>
  <si>
    <t xml:space="preserve">Country : </t>
  </si>
  <si>
    <t>Released by :</t>
  </si>
  <si>
    <t xml:space="preserve">Attention. : </t>
  </si>
  <si>
    <t>Signture :</t>
  </si>
  <si>
    <t xml:space="preserve">Phone : </t>
  </si>
  <si>
    <t>Date :</t>
  </si>
  <si>
    <t>NO.</t>
  </si>
  <si>
    <t>SIZE</t>
  </si>
  <si>
    <t>TYPE</t>
  </si>
  <si>
    <t>QTY.</t>
  </si>
  <si>
    <t>SERIAL NO.</t>
  </si>
  <si>
    <t>WORK ORDER NO.</t>
  </si>
  <si>
    <t xml:space="preserve">GOODS RECEIVED BY : </t>
  </si>
  <si>
    <t xml:space="preserve">REC. DATE : </t>
  </si>
  <si>
    <t xml:space="preserve">BADGE NO : </t>
  </si>
  <si>
    <t xml:space="preserve">TIME : </t>
  </si>
  <si>
    <t>FC3647</t>
  </si>
  <si>
    <t>1055117M</t>
  </si>
  <si>
    <t>0808 CT82 0.018</t>
  </si>
  <si>
    <t>0808 CT82 0.018"</t>
  </si>
  <si>
    <t>1102437M</t>
  </si>
  <si>
    <t>5 7/8"</t>
  </si>
  <si>
    <t>GT75DH</t>
  </si>
  <si>
    <t>1308 CR31 TEST USS DL 0.018 PDC</t>
  </si>
  <si>
    <t>1608 CR31 TEST USS DL 0.018 PDC</t>
  </si>
  <si>
    <t>1313 CR31 TEST USS DL 0.018 PDC</t>
  </si>
  <si>
    <t>1308 CR31 TEST USS DL 0.010 PDC</t>
  </si>
  <si>
    <t>CR31</t>
  </si>
  <si>
    <t>NOT OK</t>
  </si>
  <si>
    <t>8 1/2 X 4"</t>
  </si>
  <si>
    <t>803492M</t>
  </si>
  <si>
    <t>Initial Bit Inspection</t>
  </si>
  <si>
    <t>1109628M</t>
  </si>
  <si>
    <t>8 3/8 X 4</t>
  </si>
  <si>
    <t>792657M</t>
  </si>
  <si>
    <t>GTi64H</t>
  </si>
  <si>
    <t>1108037M</t>
  </si>
  <si>
    <t>1103149M</t>
  </si>
  <si>
    <t>GT85WH</t>
  </si>
  <si>
    <t>1061407M</t>
  </si>
  <si>
    <t>8 3/8"</t>
  </si>
  <si>
    <t>1608 CT216 0.018"</t>
  </si>
  <si>
    <t>8 1/2"</t>
  </si>
  <si>
    <t>1111265M</t>
  </si>
  <si>
    <t>Add 1 to Show Full Data in Internal eval.</t>
  </si>
  <si>
    <t>Scrap</t>
  </si>
  <si>
    <t>GTD55H</t>
  </si>
  <si>
    <t>1096422M</t>
  </si>
  <si>
    <t>IF(C201&lt;&gt;"",IF(OR(COUNTIF(C201,"L*"),COUNTIF(C201, "X*")),IF(AND(COUNTIF(C201,"*P*"),COUNTIF(C201,"*V*")),IF(COUNTIF(C201,"*R*"),SUBSTITUTE(SUBSTITUTE(C201,"P",""),"R","S")&amp; Data!BO29,SUBSTITUTE(C201,"P","")&amp; Data!BO29),IF(AND(COUNTIF(C201,"*P*"),COUNTIF(C201,"*R*")),SUBSTITUTE(C201,"R","S")&amp;Data!BO29,IF(AND(COUNTIF(C201,"*V*"),COUNTIF(C201,"*R*")),SUBSTITUTE(C201,"R","S")&amp;Data!BO29,C201 &amp; Data!BO29))),SUBSTITUTE(SUBSTITUTE(SUBSTITUTE(SUBSTITUTE(SUBSTITUTE(SUBSTITUTE(SUBSTITUTE(SUBSTITUTE(SUBSTITUTE(SUBSTITUTE(IF(AND(COUNTIF(C201,"*P*"),COUNTIF(C201,"*V*")),IF(COUNTIF(C201,"*R*"),SUBSTITUTE(SUBSTITUTE(C201,"P",""),"R","S"),SUBSTITUTE(C201,"P","")),IF(AND(COUNTIF(C201,"*P*"),COUNTIF(C201,"*R*")),SUBSTITUTE(C201,"R","S"),IF(AND(COUNTIF(C201,"*V*"),COUNTIF(C201,"*R*")),SUBSTITUTE(C201,"R","S"),C201))),"0",""),"1",""),"2",""),"3",""),"4",""),"5",""),"6",""),"7",""),"8",""),"9","")&amp; Data!BO29),"")</t>
  </si>
  <si>
    <t>12 1/4"</t>
  </si>
  <si>
    <t>1112857M</t>
  </si>
  <si>
    <t>12"</t>
  </si>
  <si>
    <t>FMH3863Z</t>
  </si>
  <si>
    <t>780769M</t>
  </si>
  <si>
    <t>FC3943</t>
  </si>
  <si>
    <t>CARBIDE NOZZLE DEFLECTOR 0.437 DIA</t>
  </si>
  <si>
    <t>792702M</t>
  </si>
  <si>
    <t>933078M</t>
  </si>
  <si>
    <t>942975M</t>
  </si>
  <si>
    <t>CARBIDE NOZZLE DEFLECTOR</t>
  </si>
  <si>
    <t>carbide nozzle deflector 17/32</t>
  </si>
  <si>
    <t>17/32</t>
  </si>
  <si>
    <t>carbide nozzle deflector</t>
  </si>
  <si>
    <t>1613 CT133 0.018"</t>
  </si>
  <si>
    <t>1083564M</t>
  </si>
  <si>
    <t>CR42</t>
  </si>
  <si>
    <t>EDL Grinding</t>
  </si>
  <si>
    <t>953047M</t>
  </si>
  <si>
    <t>1002910M</t>
  </si>
  <si>
    <t>Pocket, Body, Fin and Impact Arrestor Buildup Charge</t>
  </si>
  <si>
    <t>1913 CT418 0.018"</t>
  </si>
  <si>
    <t>1613 CT182 0.018"</t>
  </si>
  <si>
    <t>1313 CT182 0.018"</t>
  </si>
  <si>
    <t>CT418</t>
  </si>
  <si>
    <t>CT182</t>
  </si>
  <si>
    <t>FXD85</t>
  </si>
  <si>
    <t>TBO 1613 CT70 0.018"</t>
  </si>
  <si>
    <t>FM3763Z</t>
  </si>
  <si>
    <t>1913 CT182 0.018"</t>
  </si>
  <si>
    <t>1913 CT81 0.018"</t>
  </si>
  <si>
    <t>FM3563Z</t>
  </si>
  <si>
    <t>1308 CT182 0.018"</t>
  </si>
  <si>
    <t>FMH3651Z</t>
  </si>
  <si>
    <t>1313 CT88 0.018"</t>
  </si>
  <si>
    <t>1613 CT88 0.018"</t>
  </si>
  <si>
    <t>1313 ELITE RC 0.018"</t>
  </si>
  <si>
    <t>FMR3751Z</t>
  </si>
  <si>
    <t>690800M</t>
  </si>
  <si>
    <t>989853M</t>
  </si>
  <si>
    <t>1000080M</t>
  </si>
  <si>
    <t>892722M</t>
  </si>
  <si>
    <t>801053M</t>
  </si>
  <si>
    <t>890428M</t>
  </si>
  <si>
    <t>854024M</t>
  </si>
  <si>
    <t>687527M</t>
  </si>
  <si>
    <t>702957M</t>
  </si>
  <si>
    <t>767900M</t>
  </si>
  <si>
    <t>1608 CT200 0.018"</t>
  </si>
  <si>
    <t>1  5</t>
  </si>
  <si>
    <t>1 2</t>
  </si>
  <si>
    <t>CT88</t>
  </si>
  <si>
    <t>ELITE RC</t>
  </si>
  <si>
    <t>TBO</t>
  </si>
  <si>
    <t>Modified cutter4</t>
  </si>
  <si>
    <t>Modified cutter5</t>
  </si>
  <si>
    <t>Qty Reclaims Used</t>
  </si>
  <si>
    <t># Cutters Replaced</t>
  </si>
  <si>
    <t>Reclaim $ Value</t>
  </si>
  <si>
    <t xml:space="preserve"> # Bits Scrapped</t>
  </si>
  <si>
    <t># Bits Debrazed</t>
  </si>
  <si>
    <t>Saved by reclaim</t>
  </si>
  <si>
    <t>for Global Scorecard report use</t>
  </si>
  <si>
    <t>1313 CT418 0.010"</t>
  </si>
  <si>
    <t>Special Repair</t>
  </si>
  <si>
    <t>Bit Size regional</t>
  </si>
  <si>
    <t>Hours needed for repair</t>
  </si>
  <si>
    <t>Base charge with 25% benefit</t>
  </si>
  <si>
    <t>ARDTS AND REGIONAL BITS</t>
  </si>
  <si>
    <t>HOURS</t>
  </si>
  <si>
    <t>BASIC</t>
  </si>
  <si>
    <t>ARDTS</t>
  </si>
  <si>
    <t>Corehead</t>
  </si>
  <si>
    <t>GT75 DH</t>
  </si>
  <si>
    <t>1059102M</t>
  </si>
  <si>
    <t>17 1/2"</t>
  </si>
  <si>
    <t>GTE85DHs</t>
  </si>
  <si>
    <t>SFE66DH</t>
  </si>
  <si>
    <t>GTi65DM</t>
  </si>
  <si>
    <t>1313 CT81 0.010"</t>
  </si>
  <si>
    <t>1613 CT81 0.010"</t>
  </si>
  <si>
    <t>1084180M</t>
  </si>
  <si>
    <t>8 mm Carbide Impact Arestor</t>
  </si>
  <si>
    <t>Carbide Impact Arestor</t>
  </si>
  <si>
    <t>GT65Hs</t>
  </si>
  <si>
    <t>16mm  Long BLT ELITE RC 0.018</t>
  </si>
  <si>
    <t>MME65DM</t>
  </si>
  <si>
    <t>GTi65R</t>
  </si>
  <si>
    <t>1313 CT182 0.010"</t>
  </si>
  <si>
    <t>1613 CT182 0.010"</t>
  </si>
  <si>
    <t>1313 CT80 0.018"</t>
  </si>
  <si>
    <t>MMD65R</t>
  </si>
  <si>
    <t>1613 CT405 GEDB 0.010</t>
  </si>
  <si>
    <t xml:space="preserve">1308 CT23-4X DROP-IN </t>
  </si>
  <si>
    <t>1090676M</t>
  </si>
  <si>
    <t>1100518M</t>
  </si>
  <si>
    <t>1022975M</t>
  </si>
  <si>
    <t>1002926M</t>
  </si>
  <si>
    <t>870489M</t>
  </si>
  <si>
    <t>1038108M</t>
  </si>
  <si>
    <t>1068137M</t>
  </si>
  <si>
    <t>983003M</t>
  </si>
  <si>
    <t>Long BLT ELITE RC</t>
  </si>
  <si>
    <t>CT221</t>
  </si>
  <si>
    <t>R1</t>
  </si>
  <si>
    <t>0.0180"</t>
  </si>
  <si>
    <t>CT23-4X</t>
  </si>
  <si>
    <t>DROP-IN</t>
  </si>
  <si>
    <t>DL</t>
  </si>
  <si>
    <t>1088287M</t>
  </si>
  <si>
    <t>1318 R1 CT221</t>
  </si>
  <si>
    <t>1137348M</t>
  </si>
  <si>
    <t>6 1/8"</t>
  </si>
  <si>
    <t>412958M</t>
  </si>
  <si>
    <t>MM65DH</t>
  </si>
  <si>
    <t>1041191M</t>
  </si>
  <si>
    <t>1080537M</t>
  </si>
  <si>
    <t>1141517M</t>
  </si>
  <si>
    <t>1092981M</t>
  </si>
  <si>
    <t>L3 bit material consume form</t>
  </si>
  <si>
    <t>Grinding burr</t>
  </si>
  <si>
    <t>Pc</t>
  </si>
  <si>
    <t>Sand blast</t>
  </si>
  <si>
    <t>Kg/bit</t>
  </si>
  <si>
    <t>Super solvent</t>
  </si>
  <si>
    <t>Pre braze flux</t>
  </si>
  <si>
    <t>pc/bit</t>
  </si>
  <si>
    <t>Protecto Metal</t>
  </si>
  <si>
    <t>Insool</t>
  </si>
  <si>
    <t>Feet</t>
  </si>
  <si>
    <t>Brown flux</t>
  </si>
  <si>
    <t>g/bit</t>
  </si>
  <si>
    <t>White flux</t>
  </si>
  <si>
    <t>Brazing wire</t>
  </si>
  <si>
    <t>m/bit</t>
  </si>
  <si>
    <t>Gas</t>
  </si>
  <si>
    <t>cylinder</t>
  </si>
  <si>
    <t>Pointed Shape grinding Wheel</t>
  </si>
  <si>
    <t>Pieces</t>
  </si>
  <si>
    <t>CNC grinding wheel</t>
  </si>
  <si>
    <t>Solvent</t>
  </si>
  <si>
    <t>Lr/bit</t>
  </si>
  <si>
    <t>Penetrant</t>
  </si>
  <si>
    <t>ml/bit</t>
  </si>
  <si>
    <t>Developer</t>
  </si>
  <si>
    <t>gram/bit</t>
  </si>
  <si>
    <t>painting</t>
  </si>
  <si>
    <t>Misslanious</t>
  </si>
  <si>
    <t>Electricity</t>
  </si>
  <si>
    <t>Kw</t>
  </si>
  <si>
    <t>Man power</t>
  </si>
  <si>
    <t>hr</t>
  </si>
  <si>
    <t>Logistic</t>
  </si>
  <si>
    <t>1142907M</t>
  </si>
  <si>
    <t>MMD64RH</t>
  </si>
  <si>
    <t>965522M</t>
  </si>
  <si>
    <t>1613 CR42 0.018</t>
  </si>
  <si>
    <t>GT64KHO</t>
  </si>
  <si>
    <t>1313 2- SEAM CT145 0.010"</t>
  </si>
  <si>
    <t>1313 DBLCHT CT142 0.010"</t>
  </si>
  <si>
    <t>8 mm Short Soft Carbide Impact Arestor</t>
  </si>
  <si>
    <t>2- SEAM CT145</t>
  </si>
  <si>
    <t>DBLCHT CT142</t>
  </si>
  <si>
    <t>Short Soft Carbide Impact Arestor</t>
  </si>
  <si>
    <t>1140397M</t>
  </si>
  <si>
    <t>GTD54HO</t>
  </si>
  <si>
    <t>1135183M</t>
  </si>
  <si>
    <t>MME65H</t>
  </si>
  <si>
    <t>1613 CT80 0.010"</t>
  </si>
  <si>
    <t>GTE65</t>
  </si>
  <si>
    <t>1318 M2 CT220</t>
  </si>
  <si>
    <t>GTi65DMH</t>
  </si>
  <si>
    <t>1007406M</t>
  </si>
  <si>
    <t>1104950M</t>
  </si>
  <si>
    <t>1109015M</t>
  </si>
  <si>
    <t>1140887M</t>
  </si>
  <si>
    <t>TBO 1313 CT211 0.010"</t>
  </si>
  <si>
    <t>M2 CT220</t>
  </si>
  <si>
    <t>CT211</t>
  </si>
  <si>
    <t>Woodland price</t>
  </si>
  <si>
    <t>ARDT REGIONAL PRICES</t>
  </si>
  <si>
    <t>Upper Section</t>
  </si>
  <si>
    <t>EDL NEEDED GRINDING WHEELS</t>
  </si>
  <si>
    <t>5 7/8" X 2 5/8"</t>
  </si>
  <si>
    <t>FC3845</t>
  </si>
  <si>
    <t>695382M</t>
  </si>
  <si>
    <t>8  3/8" X 4"</t>
  </si>
  <si>
    <t>1109629M</t>
  </si>
  <si>
    <t>Corehead price</t>
  </si>
  <si>
    <t>8.5 X 4</t>
  </si>
  <si>
    <t>8 3/8" X 4</t>
  </si>
  <si>
    <t>8 1/2" X 3 1/4"</t>
  </si>
  <si>
    <t>8 3/8" X 4"</t>
  </si>
  <si>
    <t>8 3/8"X 4"</t>
  </si>
  <si>
    <t>others: Box</t>
  </si>
  <si>
    <t>649706M</t>
  </si>
  <si>
    <t>1308 OBS PDC ROUND CRC 0.010"</t>
  </si>
  <si>
    <t>376796M</t>
  </si>
  <si>
    <t>1305 PDC 1 FACE CUT CLAW 0.010"</t>
  </si>
  <si>
    <t>PDC 1 FACE CUT CLAW</t>
  </si>
  <si>
    <t>OBS PDC ROUND CRC</t>
  </si>
  <si>
    <t>1308-CT153 0.010"</t>
  </si>
  <si>
    <t>1308-CR45 0.010"</t>
  </si>
  <si>
    <t>1308-CT138 0.010"</t>
  </si>
  <si>
    <t>CT153</t>
  </si>
  <si>
    <t>CR45</t>
  </si>
  <si>
    <t>SF55</t>
  </si>
  <si>
    <t>1059146M</t>
  </si>
  <si>
    <t>LSTK prices</t>
  </si>
  <si>
    <t xml:space="preserve"> GT65DH</t>
  </si>
  <si>
    <t>1613 CT418 0.018</t>
  </si>
  <si>
    <t>1613 CT144 0.018</t>
  </si>
  <si>
    <t>CT144</t>
  </si>
  <si>
    <t>1140761M</t>
  </si>
  <si>
    <t>3 5/8"</t>
  </si>
  <si>
    <t>MMD53DH</t>
  </si>
  <si>
    <t>1010 CT138 0.010"</t>
  </si>
  <si>
    <t>1005 CT138 0.010"</t>
  </si>
  <si>
    <t>1084341M</t>
  </si>
  <si>
    <t>1608 CT182 0.018"</t>
  </si>
  <si>
    <t>882281M</t>
  </si>
  <si>
    <t>FX96D</t>
  </si>
  <si>
    <t>OBS 1613 ELITE RC 0.018"</t>
  </si>
  <si>
    <t>756668M</t>
  </si>
  <si>
    <t>OBS ELITE RC</t>
  </si>
  <si>
    <t>1137349M</t>
  </si>
  <si>
    <t>Additional comment</t>
  </si>
  <si>
    <t>ARDT PROCESSES</t>
  </si>
  <si>
    <t>EDL</t>
  </si>
  <si>
    <t>Cutter Debraze</t>
  </si>
  <si>
    <t>Level 3</t>
  </si>
  <si>
    <t>Level 4</t>
  </si>
  <si>
    <t>Retrofit Bit Impact Arestor</t>
  </si>
  <si>
    <t>Retrofit Bit Cutters</t>
  </si>
  <si>
    <t>MM85DH</t>
  </si>
  <si>
    <t>MMG75H</t>
  </si>
  <si>
    <t>MME75H</t>
  </si>
  <si>
    <t>756537M</t>
  </si>
  <si>
    <t>756502M</t>
  </si>
  <si>
    <t>866362M</t>
  </si>
  <si>
    <t>FMFX651Z</t>
  </si>
  <si>
    <t>OBS 1608 CT27 0.010"</t>
  </si>
  <si>
    <t>OBS CT27</t>
  </si>
  <si>
    <t>1608 ELITE RC 0.010"</t>
  </si>
  <si>
    <t>549372M</t>
  </si>
  <si>
    <t>PIN Mat No.</t>
  </si>
  <si>
    <t>13MM SHORT BLT CT217 0.018"</t>
  </si>
  <si>
    <t>TBO 16MM SHORT CT182 0.018"</t>
  </si>
  <si>
    <t>1107565M</t>
  </si>
  <si>
    <t>SHORT BLT</t>
  </si>
  <si>
    <t>TBO SHORT</t>
  </si>
  <si>
    <t>1137355M</t>
  </si>
  <si>
    <t>1005462M</t>
  </si>
  <si>
    <t>942738M</t>
  </si>
  <si>
    <t>1020531M</t>
  </si>
  <si>
    <t>1058252M</t>
  </si>
  <si>
    <t>1060889M</t>
  </si>
  <si>
    <t>GTD64H</t>
  </si>
  <si>
    <t>1313 CT427 0.010</t>
  </si>
  <si>
    <t>CT427</t>
  </si>
  <si>
    <t>1162241M</t>
  </si>
  <si>
    <t>MM76DH</t>
  </si>
  <si>
    <t>886362M</t>
  </si>
  <si>
    <t>1000708M</t>
  </si>
  <si>
    <t>Document No: QAS/1004</t>
  </si>
  <si>
    <t>Rev No &amp; Date:  C &amp; 05/08/2018</t>
  </si>
  <si>
    <t>Liquid Penetrant Testing Report</t>
  </si>
  <si>
    <t>Technique:           Fluorescent – Washable Technique</t>
  </si>
  <si>
    <t>Procedure:           SA-PP-1013 Liquid Penetrant Testing</t>
  </si>
  <si>
    <t>Remarks if any:</t>
  </si>
  <si>
    <r>
      <t>Tick (</t>
    </r>
    <r>
      <rPr>
        <b/>
        <sz val="12"/>
        <rFont val="Wingdings"/>
        <charset val="2"/>
      </rPr>
      <t>ü</t>
    </r>
    <r>
      <rPr>
        <b/>
        <sz val="12"/>
        <rFont val="Calibri"/>
        <family val="2"/>
        <scheme val="minor"/>
      </rPr>
      <t>) &amp; Fill Info as Applicable:</t>
    </r>
  </si>
  <si>
    <t>New Cutter:</t>
  </si>
  <si>
    <t>Reclaimed Cutters:</t>
  </si>
  <si>
    <t>New Bit:</t>
  </si>
  <si>
    <t>GTE75MH</t>
  </si>
  <si>
    <t>22"</t>
  </si>
  <si>
    <t>SF96DH</t>
  </si>
  <si>
    <t>1094728M</t>
  </si>
  <si>
    <t>1108207M</t>
  </si>
  <si>
    <t>THE REST OF THI S BIT CUTTERS</t>
  </si>
  <si>
    <t>1613 CT421 0.018"</t>
  </si>
  <si>
    <t>CT421</t>
  </si>
  <si>
    <t>1313 60deg 0.010"</t>
  </si>
  <si>
    <t>60deg</t>
  </si>
  <si>
    <t>1149944M</t>
  </si>
  <si>
    <t>Instructions: Clearly mark the # 1 blade with permanent marker or pen; Begin with the inner most cutter on the blade, mark each cutter with X if needs to be replaced, R if needs to be rotated, and O if okay. Then go for the next blade in a clockwise direction and do the same. And  P if pocket needs to build up, I if Impact Arrestor needs to build up, V surrounding the fin needs to build up. After checking and marking cutters through all the blades, transfer Xs, Rs and Os to the Table below.</t>
  </si>
  <si>
    <t>Reviewed by Eng. Sign &amp; Date.:</t>
  </si>
  <si>
    <t>Approval for Evaluation Sign &amp; Date:</t>
  </si>
  <si>
    <r>
      <t>Instructions:</t>
    </r>
    <r>
      <rPr>
        <sz val="10"/>
        <rFont val="Calibri"/>
        <family val="2"/>
        <scheme val="minor"/>
      </rPr>
      <t xml:space="preserve"> Clearly mark the # 1 blade with permanent marker or pen; Begin with the inner most cutter on the blade, mark each cutter with X if needs to be replaced, R if needs to be rotated, and O if okay. Then go for the next blade in a clockwise direction and do the same. And  P if pocket needs to build up, I if Impact Arrestor needs to build up, V surrounding the fin needs to build up. After checking and marking cutters through all the blades, transfer Xs, Rs and Os to the Table below.</t>
    </r>
  </si>
  <si>
    <t>1056029M</t>
  </si>
  <si>
    <t>1150007M</t>
  </si>
  <si>
    <t>Check with Azim to change to new MAT No. instead of this L4 MAT No.</t>
  </si>
  <si>
    <t>Evaluation &amp; Quotation Sheet - ARAMCO</t>
  </si>
  <si>
    <t xml:space="preserve">New Serial No: </t>
  </si>
  <si>
    <t xml:space="preserve">DRSS No: </t>
  </si>
  <si>
    <t xml:space="preserve">New Type: </t>
  </si>
  <si>
    <t xml:space="preserve">Ref/PO No: </t>
  </si>
  <si>
    <t xml:space="preserve">Vendor No: </t>
  </si>
  <si>
    <t>Note: X for Replace, R for Rotate &amp; O for Okay Cutter</t>
  </si>
  <si>
    <t xml:space="preserve">QC: </t>
  </si>
  <si>
    <t>Total Cutters to Rotate</t>
  </si>
  <si>
    <t>Cutters OK</t>
  </si>
  <si>
    <t>To Replace</t>
  </si>
  <si>
    <t>Total Cutters</t>
  </si>
  <si>
    <t>Particulars as Per Contract:</t>
  </si>
  <si>
    <t>Supplier Part #</t>
  </si>
  <si>
    <t>EA</t>
  </si>
  <si>
    <t>Grand Total (USD)</t>
  </si>
  <si>
    <t>DRSS No :</t>
  </si>
  <si>
    <t>SAUDI ARAMCO</t>
  </si>
  <si>
    <t>Ref / PO No</t>
  </si>
  <si>
    <t>Contract No</t>
  </si>
  <si>
    <t>Vendor No</t>
  </si>
  <si>
    <t>Approved for Quot: 1 OK, 2 NOT OK</t>
  </si>
  <si>
    <t>Additional ARAMCO Remark</t>
  </si>
  <si>
    <t xml:space="preserve">Up to 6 7/8" </t>
  </si>
  <si>
    <t xml:space="preserve">7" to 8 7/8" </t>
  </si>
  <si>
    <t xml:space="preserve">9" to 14 7/8" </t>
  </si>
  <si>
    <t xml:space="preserve">15" to 28" </t>
  </si>
  <si>
    <t xml:space="preserve">2 3/8" </t>
  </si>
  <si>
    <t>2 7/8"</t>
  </si>
  <si>
    <t xml:space="preserve">3 1/2" </t>
  </si>
  <si>
    <t xml:space="preserve">4 1/2" </t>
  </si>
  <si>
    <t xml:space="preserve">6 5/8" </t>
  </si>
  <si>
    <t xml:space="preserve">7 5/8" </t>
  </si>
  <si>
    <t xml:space="preserve">8 5/8" </t>
  </si>
  <si>
    <t>Bit size from 15" to 28"</t>
  </si>
  <si>
    <t>ARAMCO BIT SETUP CHARGE TYPE</t>
  </si>
  <si>
    <t xml:space="preserve">LSTK U.S.R. COST </t>
  </si>
  <si>
    <t>ARAMCO U.S.R. COST</t>
  </si>
  <si>
    <t>Category BPS</t>
  </si>
  <si>
    <t>ARAMCO Product Name</t>
  </si>
  <si>
    <t>ARAMCO UID</t>
  </si>
  <si>
    <t>ARAMCO Supplier Part Number</t>
  </si>
  <si>
    <t>ARAMCO Contract Price</t>
  </si>
  <si>
    <t>ARAMCO Service Type</t>
  </si>
  <si>
    <t/>
  </si>
  <si>
    <t>MMD65DH</t>
  </si>
  <si>
    <t>GT86DH</t>
  </si>
  <si>
    <t>SF65H</t>
  </si>
  <si>
    <t>GTI65DH</t>
  </si>
  <si>
    <t>MMD85DH</t>
  </si>
  <si>
    <t>TBO 1608 CT125 GEDB 0.018</t>
  </si>
  <si>
    <t>1010 CT182 0.018"</t>
  </si>
  <si>
    <t>1005 CT182 0.018"</t>
  </si>
  <si>
    <t>SF86DH</t>
  </si>
  <si>
    <t>GT76DH</t>
  </si>
  <si>
    <t>SF76H</t>
  </si>
  <si>
    <t>TBO 19MM SHORT CT182 0.018"</t>
  </si>
  <si>
    <t>959209M</t>
  </si>
  <si>
    <t>1097591M</t>
  </si>
  <si>
    <t>1098918M</t>
  </si>
  <si>
    <t>1093763M</t>
  </si>
  <si>
    <t>1023917M</t>
  </si>
  <si>
    <t>1083976M</t>
  </si>
  <si>
    <t>960723M</t>
  </si>
  <si>
    <t>1094991M</t>
  </si>
  <si>
    <t>1095217M</t>
  </si>
  <si>
    <t>1085745M</t>
  </si>
  <si>
    <t xml:space="preserve">TBO SHORT </t>
  </si>
  <si>
    <r>
      <t xml:space="preserve">TBO </t>
    </r>
    <r>
      <rPr>
        <b/>
        <sz val="11"/>
        <color theme="1"/>
        <rFont val="Calibri"/>
        <family val="2"/>
        <scheme val="minor"/>
      </rPr>
      <t>GEDB</t>
    </r>
  </si>
  <si>
    <t>Rev No &amp; Date:  C &amp; 02/16/2021</t>
  </si>
  <si>
    <t>Rev No &amp; Date: L &amp; 02/16/2021</t>
  </si>
  <si>
    <t>Step</t>
  </si>
  <si>
    <t>Date</t>
  </si>
  <si>
    <t>Time Receipt</t>
  </si>
  <si>
    <t>Operator Sign</t>
  </si>
  <si>
    <t>Cerebro Removal:      Yes         No</t>
  </si>
  <si>
    <t>Cer.O-Ring Removal: Yes          No</t>
  </si>
  <si>
    <t>Matrix or Hardfacing Repair (If Applicable)</t>
  </si>
  <si>
    <r>
      <t xml:space="preserve">Upper Section Removal &amp; Assemply </t>
    </r>
    <r>
      <rPr>
        <sz val="10"/>
        <rFont val="Calibri"/>
        <family val="2"/>
        <scheme val="minor"/>
      </rPr>
      <t>(If Applicable)</t>
    </r>
  </si>
  <si>
    <t>Cerebro Installation: Yes        No</t>
  </si>
  <si>
    <t>Cerebro Cap Tightening:   Yes          No</t>
  </si>
  <si>
    <t xml:space="preserve"> Rev No &amp; Date: A &amp; 02/16/2021</t>
  </si>
  <si>
    <t>CONTRACT TITLE: Drill bits Services</t>
  </si>
  <si>
    <t>PerUOM</t>
  </si>
  <si>
    <t>Item Number</t>
  </si>
  <si>
    <t>Service Number</t>
  </si>
  <si>
    <t>Drill bits Services-Initial Inspection</t>
  </si>
  <si>
    <t>Price (USD)</t>
  </si>
  <si>
    <t>6.1.1</t>
  </si>
  <si>
    <t>6.2.1</t>
  </si>
  <si>
    <t>6.3.1</t>
  </si>
  <si>
    <t>6.4.1</t>
  </si>
  <si>
    <t>6.5.1</t>
  </si>
  <si>
    <t>VAL</t>
  </si>
  <si>
    <t>Cutter Replacement Charge Size 8mm Standard</t>
  </si>
  <si>
    <t>Cutter Replacement Charge Size 8mm Premium</t>
  </si>
  <si>
    <t>Cutter Replacement Charge Size 8mm Super Premium</t>
  </si>
  <si>
    <t>Cutter Replacement Charge Size 8mm Other</t>
  </si>
  <si>
    <t>Cutter Replacement Charge Size 13mm Premium</t>
  </si>
  <si>
    <t>Cutter Replacement Charge Size 13mm Super Premium</t>
  </si>
  <si>
    <t>Cutter Replacement Charge Size 13mm Other</t>
  </si>
  <si>
    <t>Cutter Replacement Charge Size 16mm Standard</t>
  </si>
  <si>
    <t>Cutter Replacement Charge Size 16mm Premium</t>
  </si>
  <si>
    <t>Cutter Replacement Charge Size 16mm Super Premium</t>
  </si>
  <si>
    <t>Cutter Replacement Charge Size 16mm Other</t>
  </si>
  <si>
    <t>Cutter Replacement Charge Size 19mm Standard</t>
  </si>
  <si>
    <t>Cutter Replacement Charge Size 19mm Premium</t>
  </si>
  <si>
    <t>Cutter Replacement Charge Size 19mm Super Premium</t>
  </si>
  <si>
    <t>Cutter Replacement Charge Size 19mm Other</t>
  </si>
  <si>
    <t>Cutter Replacement Charge Size 10.5mm Standard</t>
  </si>
  <si>
    <t>Cutter Replacement Charge Size 10.5mm Other</t>
  </si>
  <si>
    <t>Cutter Replacement Charge Size 10.5mm Super Premium</t>
  </si>
  <si>
    <t>Cutter Replacement Charge Size 10.5mm Premium</t>
  </si>
  <si>
    <t>KM</t>
  </si>
  <si>
    <t>Jet Nozzles Replacement Micro Nozzles</t>
  </si>
  <si>
    <t>Jet Nozzles Replacement Standard Nozzles</t>
  </si>
  <si>
    <t>Jet Nozzles Replacement Replaceable Ports</t>
  </si>
  <si>
    <t>Jet Nozzles Replacement Specialty Nozzles</t>
  </si>
  <si>
    <t>Transportation Pick-up Delivery Charge</t>
  </si>
  <si>
    <t>Specialzed items Arabian Rockbits Large Diameter Roller Cone Servicing Initial Inspection</t>
  </si>
  <si>
    <t>Specialzed items Arabian Rockbits Large Diameter Roller Cone Servicing 22"-28"</t>
  </si>
  <si>
    <t>Specialzed items Arabian Rockbits Large Diameter Roller Cone Servicing 32"-34"</t>
  </si>
  <si>
    <t>Specialzed items Arabian Rockbits Large Diameter Roller Cone Servicing 38"-44"</t>
  </si>
  <si>
    <t>Schedule "A" Pay items Work Package</t>
  </si>
  <si>
    <t>Schedule "C" Pay items Set off</t>
  </si>
  <si>
    <t>Schedule "H" Pay items Contractor Additional Incentive</t>
  </si>
  <si>
    <t>Schedule "H" Pay items Third Party Charges</t>
  </si>
  <si>
    <t>Schedule "H" Pay items International Price Book</t>
  </si>
  <si>
    <t>6 7/8" Below</t>
  </si>
  <si>
    <t>7" up to 8 7/8"</t>
  </si>
  <si>
    <t>9" up to 14 7/8"</t>
  </si>
  <si>
    <t>15 up to 16"</t>
  </si>
  <si>
    <t>17 – 171/2"</t>
  </si>
  <si>
    <t>17 5/8" - 22"</t>
  </si>
  <si>
    <t>22 1/8" - 28</t>
  </si>
  <si>
    <t>API Size 2-3/8" Labor and Material</t>
  </si>
  <si>
    <t>API Size 2-7/8" Labor and Material</t>
  </si>
  <si>
    <t>API Size 3-1/2" Labor and Material</t>
  </si>
  <si>
    <t>API Size 4-1/2" Labor and Material</t>
  </si>
  <si>
    <t>API Size 6-5/8" Labor and Material</t>
  </si>
  <si>
    <t>API Size 7-5/8" Labor and Material</t>
  </si>
  <si>
    <t>API Size 8-5/8" Labor and Material</t>
  </si>
  <si>
    <t>Cutter Replacement Charge Size 8mm Depth of Cut Control Elements/Impact Arrestor-Diamond</t>
  </si>
  <si>
    <t>Cutter Replacement Charge Size 8mm Depth of Cut Control Elements/Impact Arrestor-Carbide</t>
  </si>
  <si>
    <t>Cutter Replacement Charge Size 10.5mm Depth of Cut Control Elements/Impact Arrestor-Diamond</t>
  </si>
  <si>
    <t>Cutter Replacement Charge Size 10.5mm Depth of Cut Control Elements/Impact Arrestor-Carbide</t>
  </si>
  <si>
    <t>Cutter Replacement Charge Size 13mm Depth of Cut Control Elements/Impact Arrestor-Diamond</t>
  </si>
  <si>
    <t>Cutter Replacement Charge Size 13mm Depth of Cut Control Elements/Impact Arrestor-Carbide</t>
  </si>
  <si>
    <t>Cutter Replacement Charge Size 16mm Depth of Cut Control Elements/Impact Arrestor-Diamond</t>
  </si>
  <si>
    <t>Cutter Replacement Charge Size 16mm Depth of Cut Control Elements/Impact Arrestor-Carbide</t>
  </si>
  <si>
    <t>Cutter Replacement Charge Size 19mm Depth of Cut Control Elements/Impact Arrestor-Diamond</t>
  </si>
  <si>
    <t>Cutter Replacement Charge Size 19mm Depth of Cut Control Elements/Impact Arrestor-Carbide</t>
  </si>
  <si>
    <t>SCHEDULE "C" ATTACHMENT I</t>
  </si>
  <si>
    <t>CONTRACTOR NAME: ARABIAN ROCKBITS AND DRILLING</t>
  </si>
  <si>
    <t xml:space="preserve">CONTRACT NUMBER: 6600048646 </t>
  </si>
  <si>
    <t>VERSION NUMBER: 0</t>
  </si>
  <si>
    <t>VENDOR NO.; 10012130</t>
  </si>
  <si>
    <t>Matrix Body PDC Bit-Bit Size Up to 6-7/8" Set-up &amp; repair charge</t>
  </si>
  <si>
    <t>Matrix Body PDC Bit-Bit Size from 7" to 8-7/8" Set-up &amp; repair charge</t>
  </si>
  <si>
    <t>Matrix Body PDC Bit-Bit Size from 9" to 14-7/8" Set-up &amp; repair charge</t>
  </si>
  <si>
    <t>Matrix Body PDC Bit-Bit Size from 15" to 28" Set-up &amp; repair charge</t>
  </si>
  <si>
    <t>Steel Body PDC Bit-Bit Size Up to 6-7/8" Set-up &amp; repair charge</t>
  </si>
  <si>
    <t>Steel Body PDC Bit-Bit Size from 7" to 8-7/8" Set-up &amp; repair charge</t>
  </si>
  <si>
    <t>Steel Body PDC Bit-Bit Size from 9" to 14-7/8" Set-up &amp; repair charge</t>
  </si>
  <si>
    <t>Steel Body PDC Bit-Bit Size from 15" to 28" Set-up &amp; repair charge</t>
  </si>
  <si>
    <t>Specialized items AraF17kbits Bestebit for Turbine Sleeves. Standard Bit Size Up to 6-7/8" Set-up &amp; repair charge</t>
  </si>
  <si>
    <t>Specialized items Arabian Rockbits Bestebit for Turbine Sleeves. PDC Reinforced Bit Size Up to 6-7/8" Set-up &amp; repair charge</t>
  </si>
  <si>
    <t>Specialized items Arabian Rockbits Bestebit for Turbine Sleeves. Standard Bit Size from 7" to 8-7/8" Set-up &amp; repair charge</t>
  </si>
  <si>
    <t>Specialized items Arabian Rockbits Bestebit for Turbine Sleeves. PDC Reinforced Bit Size from 7" to 8-7/8" V</t>
  </si>
  <si>
    <t>16mm</t>
  </si>
  <si>
    <t>19mm</t>
  </si>
  <si>
    <t>13mm</t>
  </si>
  <si>
    <t>10.5mm</t>
  </si>
  <si>
    <t>8mm</t>
  </si>
  <si>
    <t>16mm Cutter Replacement Super Premium</t>
  </si>
  <si>
    <t>19mm Cutter Replacement Super Premium</t>
  </si>
  <si>
    <t>13mm Cutter Replacement Standard</t>
  </si>
  <si>
    <t>19mm Cutter Replacement Premium</t>
  </si>
  <si>
    <t>13mm Cutter Replacement Super Premium</t>
  </si>
  <si>
    <t>10.5mm Cutter Replacement Standard</t>
  </si>
  <si>
    <t>13mm Cutter Replacement Premium</t>
  </si>
  <si>
    <t>16mm Cutter Replacement Premium</t>
  </si>
  <si>
    <t>16mm Cutter Replacement Standard</t>
  </si>
  <si>
    <t>19mm Cutter Replacement Standard</t>
  </si>
  <si>
    <t>10.5mm Cutter Replacement Super Premium</t>
  </si>
  <si>
    <t>10.5mm Cutter Replacement Premium</t>
  </si>
  <si>
    <t>8mm Cutter Replacement Standard</t>
  </si>
  <si>
    <t>8mm Cutter Replacement Super Premium</t>
  </si>
  <si>
    <t>ARAMCO Item Number</t>
  </si>
  <si>
    <t xml:space="preserve">ARAMCO Description </t>
  </si>
  <si>
    <t>ARAMCO Price (USD)</t>
  </si>
  <si>
    <t>Up to 6 7/8" Matrix Body PDC Bit Set-up Charge</t>
  </si>
  <si>
    <t>7"-8 7/8" Matrix Body PDC Bit Set-up Charge</t>
  </si>
  <si>
    <t>9"-14 7/8" Matrix Body PDC Bit Set-up Charge</t>
  </si>
  <si>
    <t>15"-28" Matrix Body PDC Bit Set-up Charge</t>
  </si>
  <si>
    <t>Up to 6 7/8" Steel Body PDC Bit Set-up Charge</t>
  </si>
  <si>
    <t>7"-8 7/8" Steel Body PDC Bit Set-up Charge</t>
  </si>
  <si>
    <t>9" to 14 7/8" Steel Body PDC Bit Set-up Charge</t>
  </si>
  <si>
    <t>15"-28" Steel Body PDC Bit Set-up Charge</t>
  </si>
  <si>
    <t>Up to 6 7/8" Specialized items for Turbine Sleeves. Standard Bit</t>
  </si>
  <si>
    <t>Up to 6 7/8" Specialized items for Turbine Sleeves. PDC Reinforced Bit</t>
  </si>
  <si>
    <t>7" to 8 7/8" Specialized items for Turbine Sleeves. Standard Bit</t>
  </si>
  <si>
    <t>7" to 8 7/8" Specialized items for Turbine Sleeves. PDC Reinforced Bit</t>
  </si>
  <si>
    <t>8mm Cutter Replacement Premium</t>
  </si>
  <si>
    <t>8mm Cutter Replacement Other</t>
  </si>
  <si>
    <t>8mm Cutter Replacement Depth of Cut Control Elements/Impact Arrestor-Diamond</t>
  </si>
  <si>
    <t>8mm Cutter Replacement Depth of Cut Control Elements/Impact Arrestor-Carbide</t>
  </si>
  <si>
    <t>10.5mm Cutter Replacement Other</t>
  </si>
  <si>
    <t>10.5mm Cutter Replacement Depth of Cut Control Elements/Impact Arrestor-Diamond</t>
  </si>
  <si>
    <t>10.5mm Cutter Replacement Depth of Cut Control Elements/Impact Arrestor-Carbide</t>
  </si>
  <si>
    <t>13mm Cutter Replacement Other</t>
  </si>
  <si>
    <t>13mm Cutter Replacement Depth of Cut Control Elements/Impact Arrestor-Diamond</t>
  </si>
  <si>
    <t>13mm Cutter Replacement Depth of Cut Control Elements/Impact Arrestor-Carbide</t>
  </si>
  <si>
    <t>16mm Cutter Replacement Other</t>
  </si>
  <si>
    <t>16mm Cutter Replacement Depth of Cut Control Elements/Impact Arrestor-Diamond</t>
  </si>
  <si>
    <t>16mm Cutter Replacement Depth of Cut Control Elements/Impact Arrestor-Carbide</t>
  </si>
  <si>
    <t>19mm Cutter Replacement Other</t>
  </si>
  <si>
    <t>19mm Cutter Replacement Depth of Cut Control Elements/Impact Arrestor-Diamond</t>
  </si>
  <si>
    <t>19mm Cutter Replacement Depth of Cut Control Elements/Impact Arrestor-Carbide</t>
  </si>
  <si>
    <t>2-3/8" API Labor and Material</t>
  </si>
  <si>
    <t>2-7/8" API Labor and Material</t>
  </si>
  <si>
    <t>3-1/2" API Labor and Material</t>
  </si>
  <si>
    <t>4-1/2" API Labor and Material</t>
  </si>
  <si>
    <t>6-5/8" API Labor and Material</t>
  </si>
  <si>
    <t>7-5/8" API Labor and Material</t>
  </si>
  <si>
    <t>8-5/8" API Labor and Material</t>
  </si>
  <si>
    <t>Jet Nozzles Replacement Micro</t>
  </si>
  <si>
    <t>Jet Nozzles Replacement Standard</t>
  </si>
  <si>
    <t>Jet Nozzles Replacement Specialty</t>
  </si>
  <si>
    <t>Specialized items Large Diameter Roller Cone Servicing Initial Inspection</t>
  </si>
  <si>
    <t>22"-28" Specialized items Large Diameter Roller Cone Servicing</t>
  </si>
  <si>
    <t>22"-28"</t>
  </si>
  <si>
    <t>32"-34" Specialized items Large Diameter Roller Cone Servicing</t>
  </si>
  <si>
    <t>32"-34"</t>
  </si>
  <si>
    <t>38"-44" Specialized items Large Diameter Roller Cone Servicing</t>
  </si>
  <si>
    <t>38"-44"</t>
  </si>
  <si>
    <t>Cutters Qty</t>
  </si>
  <si>
    <t>6.4.1 30</t>
  </si>
  <si>
    <t>6.5.1 30</t>
  </si>
  <si>
    <t>6.3.1 10</t>
  </si>
  <si>
    <t>6.5.1 20</t>
  </si>
  <si>
    <t>6.3.1 30</t>
  </si>
  <si>
    <t>6.2.1 10</t>
  </si>
  <si>
    <t>6.3.1 20</t>
  </si>
  <si>
    <t>6.4.1 20</t>
  </si>
  <si>
    <t>6.4.1 10</t>
  </si>
  <si>
    <t>6.5.1 10</t>
  </si>
  <si>
    <t>6.2.1 30</t>
  </si>
  <si>
    <t>6.2.1 20</t>
  </si>
  <si>
    <t>6.1.1 10</t>
  </si>
  <si>
    <t>6.1.1 30</t>
  </si>
  <si>
    <t>SERV-ITEM</t>
  </si>
  <si>
    <t>IFERROR(INDEX($A$122:$A$145, MATCH(1, COUNTIFS($D$43, $G$122:$G$145, $O$7, $H$122:$H$145), 0)),"")</t>
  </si>
  <si>
    <t>D</t>
  </si>
  <si>
    <t>C</t>
  </si>
  <si>
    <t>O</t>
  </si>
  <si>
    <t>Size1</t>
  </si>
  <si>
    <t>Size2</t>
  </si>
  <si>
    <t>Up to 6 7/8"</t>
  </si>
  <si>
    <t>Matrix Body PDC Bit Set-up Charge</t>
  </si>
  <si>
    <t>7"-8 7/8"</t>
  </si>
  <si>
    <t>9"-14 7/8"</t>
  </si>
  <si>
    <t>15"-28"</t>
  </si>
  <si>
    <t>Steel Body PDC Bit Set-up Charge</t>
  </si>
  <si>
    <t>Specialized items for Turbine Sleeves. Standard Bit</t>
  </si>
  <si>
    <t>Specialized items for Turbine Sleeves. PDC Reinforced Bit</t>
  </si>
  <si>
    <t>Description2</t>
  </si>
  <si>
    <t>Cutter Replacement Standard</t>
  </si>
  <si>
    <t>Cutter Replacement Premium</t>
  </si>
  <si>
    <t>Cutter Replacement Super Premium</t>
  </si>
  <si>
    <t>Cutter Replacement Other</t>
  </si>
  <si>
    <t>Cutter Replacement Depth of Cut Control Elements/Impact Arrestor-Diamond</t>
  </si>
  <si>
    <t>Cutter Replacement Depth of Cut Control Elements/Impact Arrestor-Carbide</t>
  </si>
  <si>
    <t>Upper section Replacement - API - Labor and Material</t>
  </si>
  <si>
    <t>SERV-ITEM- formated</t>
  </si>
  <si>
    <t>SIZE2</t>
  </si>
  <si>
    <t>DESCRIPTION2</t>
  </si>
  <si>
    <t>SERV-ITEM-FORMATED</t>
  </si>
  <si>
    <r>
      <t xml:space="preserve">Date Received: 
</t>
    </r>
    <r>
      <rPr>
        <sz val="9"/>
        <rFont val="Arial"/>
        <family val="2"/>
      </rPr>
      <t>(MM/DD/YYYY)</t>
    </r>
  </si>
  <si>
    <t xml:space="preserve">B1P34, </t>
  </si>
  <si>
    <t xml:space="preserve">B2P34, </t>
  </si>
  <si>
    <t xml:space="preserve">B3P34, </t>
  </si>
  <si>
    <t xml:space="preserve">B4P34, </t>
  </si>
  <si>
    <t xml:space="preserve">B5P34, </t>
  </si>
  <si>
    <t xml:space="preserve">B6P34, </t>
  </si>
  <si>
    <t xml:space="preserve">B7P34, </t>
  </si>
  <si>
    <t xml:space="preserve">B8P34, </t>
  </si>
  <si>
    <t xml:space="preserve">B9P34, </t>
  </si>
  <si>
    <t xml:space="preserve">B10P34, </t>
  </si>
  <si>
    <t xml:space="preserve">B11P34, </t>
  </si>
  <si>
    <t xml:space="preserve">B12P34, </t>
  </si>
  <si>
    <t>C32</t>
  </si>
  <si>
    <t>C33</t>
  </si>
  <si>
    <t>C34</t>
  </si>
  <si>
    <r>
      <t xml:space="preserve">DTD/TSSD
</t>
    </r>
    <r>
      <rPr>
        <b/>
        <sz val="7.8"/>
        <rFont val="Arial"/>
        <family val="2"/>
      </rPr>
      <t>Final Inspector:</t>
    </r>
    <r>
      <rPr>
        <sz val="8"/>
        <rFont val="Arial"/>
        <family val="2"/>
      </rPr>
      <t>(Sign &amp; Date)</t>
    </r>
  </si>
  <si>
    <t>Approved Quotation (MAFD):</t>
  </si>
  <si>
    <r>
      <t xml:space="preserve">Dept.Head Approval: 
</t>
    </r>
    <r>
      <rPr>
        <sz val="10"/>
        <rFont val="Arial"/>
        <family val="2"/>
      </rPr>
      <t>(Sign &amp; Date)</t>
    </r>
  </si>
  <si>
    <t>Serv-Item No.</t>
  </si>
  <si>
    <t xml:space="preserve"> 13mm Cutter Replacement Depth of Cut Control Elements/I A-Diamond</t>
  </si>
  <si>
    <t>6.3.1 50</t>
  </si>
  <si>
    <t xml:space="preserve"> 13mm Cutter Replacement Super Premium</t>
  </si>
  <si>
    <t xml:space="preserve"> 16mm Cutter Replacement Super Premium</t>
  </si>
  <si>
    <t xml:space="preserve"> 13mm Cutter Replacement Other</t>
  </si>
  <si>
    <t>6.3.1 40</t>
  </si>
  <si>
    <t>8mm Cutter Replacement Depth of Cut Control Elements/I A-Carbide</t>
  </si>
  <si>
    <t>6.1.1 60</t>
  </si>
  <si>
    <t xml:space="preserve"> 16mm Cutter Replacement Standard</t>
  </si>
  <si>
    <t xml:space="preserve"> 13mm Cutter Replacement Standard</t>
  </si>
  <si>
    <t xml:space="preserve"> 13mm Cutter Replacement Depth of Cut Control Elements/I A-Carbide</t>
  </si>
  <si>
    <t>6.3.1 60</t>
  </si>
  <si>
    <t xml:space="preserve"> 16mm Cutter Replacement Other</t>
  </si>
  <si>
    <t>6.4.1 40</t>
  </si>
  <si>
    <t>6.1.1 20</t>
  </si>
  <si>
    <t>6.1.1 40</t>
  </si>
  <si>
    <t>8mm Cutter Replacement Depth of Cut Control Elements/I A-Diamond</t>
  </si>
  <si>
    <t>6.1.1 50</t>
  </si>
  <si>
    <t>6.2.1 40</t>
  </si>
  <si>
    <t>10.5mm Cutter Replacement Depth of Cut Control Elements/I A-Diamond</t>
  </si>
  <si>
    <t>6.2.1 50</t>
  </si>
  <si>
    <t>10.5mm Cutter Replacement Depth of Cut Control Elements/I A-Carbide</t>
  </si>
  <si>
    <t>6.2.1 60</t>
  </si>
  <si>
    <t xml:space="preserve"> 13mm Cutter Replacement Premium</t>
  </si>
  <si>
    <t xml:space="preserve"> 16mm Cutter Replacement Premium</t>
  </si>
  <si>
    <t xml:space="preserve"> 16mm Cutter Replacement Depth of Cut Control Elements/I A-Diamond</t>
  </si>
  <si>
    <t>6.4.1 50</t>
  </si>
  <si>
    <t xml:space="preserve"> 16mm Cutter Replacement Depth of Cut Control Elements/I A-Carbide</t>
  </si>
  <si>
    <t>6.4.1 60</t>
  </si>
  <si>
    <t xml:space="preserve"> 19mm Cutter Replacement Standard</t>
  </si>
  <si>
    <t xml:space="preserve"> 19mm Cutter Replacement Premium</t>
  </si>
  <si>
    <t xml:space="preserve"> 19mm Cutter Replacement Super Premium</t>
  </si>
  <si>
    <t xml:space="preserve"> 19mm Cutter Replacement Other</t>
  </si>
  <si>
    <t>6.5.1 40</t>
  </si>
  <si>
    <t xml:space="preserve"> 19mm Cutter Replacement Depth of Cut Control Elements/I A-Diamond</t>
  </si>
  <si>
    <t>6.5.1 50</t>
  </si>
  <si>
    <t xml:space="preserve"> 19mm Cutter Replacement Depth of Cut Control Elements/I A-Carbide</t>
  </si>
  <si>
    <t>6.5.1 60</t>
  </si>
  <si>
    <t>Category</t>
  </si>
  <si>
    <t>1170939M</t>
  </si>
  <si>
    <t>1174282M</t>
  </si>
  <si>
    <t>1176919M</t>
  </si>
  <si>
    <t>CS55RKOs</t>
  </si>
  <si>
    <t>13MM CT143</t>
  </si>
  <si>
    <t>CT143</t>
  </si>
  <si>
    <t>1159702M</t>
  </si>
  <si>
    <t>GT76HO</t>
  </si>
  <si>
    <t>1138896M</t>
  </si>
  <si>
    <t>1147796M</t>
  </si>
  <si>
    <t>MMD65H-2</t>
  </si>
  <si>
    <t>1135558M</t>
  </si>
  <si>
    <t>1010 CT182 0.010"</t>
  </si>
  <si>
    <t>1005 CT182 0.010"</t>
  </si>
  <si>
    <t>1096183M</t>
  </si>
  <si>
    <t>657759M</t>
  </si>
  <si>
    <t>MM86DH</t>
  </si>
  <si>
    <t>MME65DH</t>
  </si>
  <si>
    <t>MM95H</t>
  </si>
  <si>
    <t>TBO 1308 ELITE RC 0.018"</t>
  </si>
  <si>
    <t>MM96D</t>
  </si>
  <si>
    <t>1913 CT182 0.010"</t>
  </si>
  <si>
    <t>GT75WH</t>
  </si>
  <si>
    <t>1608 TEST USS DL 0.010"</t>
  </si>
  <si>
    <t>1070175M</t>
  </si>
  <si>
    <t>756447M</t>
  </si>
  <si>
    <t>800418M</t>
  </si>
  <si>
    <t>1005293M</t>
  </si>
  <si>
    <t>1020985M</t>
  </si>
  <si>
    <t>1029802M</t>
  </si>
  <si>
    <t>763567M</t>
  </si>
  <si>
    <t>836417M</t>
  </si>
  <si>
    <t>1103307M</t>
  </si>
  <si>
    <t>1141552M</t>
  </si>
  <si>
    <t>TEST USS DL</t>
  </si>
  <si>
    <t>TBO ELITE RC</t>
  </si>
  <si>
    <t>OBS 1308 CT61 .010</t>
  </si>
  <si>
    <t>OBS</t>
  </si>
  <si>
    <t>616958M</t>
  </si>
  <si>
    <t>Section A: Pre-Repair</t>
  </si>
  <si>
    <t xml:space="preserve">Do Not Repair: </t>
  </si>
  <si>
    <t>Initial Inspection</t>
  </si>
  <si>
    <t>Name:</t>
  </si>
  <si>
    <t>Signature:</t>
  </si>
  <si>
    <t>Section B: Post-Repair (Bits approved in Section A requiring additional inspection)</t>
  </si>
  <si>
    <t xml:space="preserve">Ok: </t>
  </si>
  <si>
    <t xml:space="preserve">Not Ok: </t>
  </si>
  <si>
    <t>Evaluation</t>
  </si>
  <si>
    <t>Check points</t>
  </si>
  <si>
    <t>Ok</t>
  </si>
  <si>
    <t>Not ok</t>
  </si>
  <si>
    <t>Pin face</t>
  </si>
  <si>
    <t>Thread</t>
  </si>
  <si>
    <t>Pitch gauge</t>
  </si>
  <si>
    <t>Mud seal</t>
  </si>
  <si>
    <t>Other observation</t>
  </si>
  <si>
    <t>Tick the required operation in case of thread repair:</t>
  </si>
  <si>
    <t>After Repair</t>
  </si>
  <si>
    <t>Size:</t>
  </si>
  <si>
    <t>Type:</t>
  </si>
  <si>
    <t>Serial #:</t>
  </si>
  <si>
    <t>Pin size:</t>
  </si>
  <si>
    <t>Pin height:</t>
  </si>
  <si>
    <t>QC sign:</t>
  </si>
  <si>
    <t>Conformance statements:</t>
  </si>
  <si>
    <t>This is to certify that the product detailed here conforms to the API requirements and has satisfactorily passed our quality control procedures.</t>
  </si>
  <si>
    <t>Final inspector (sign):</t>
  </si>
  <si>
    <t>EMP.#</t>
  </si>
  <si>
    <t>Thread repair:</t>
  </si>
  <si>
    <t>Required</t>
  </si>
  <si>
    <t>Not required</t>
  </si>
  <si>
    <t>Repair / Brush</t>
  </si>
  <si>
    <t>Upper section replacement</t>
  </si>
  <si>
    <t>API Thread Inspection Form</t>
  </si>
  <si>
    <t>Saudi Aramco TSSD-DTD Final Inspector:</t>
  </si>
  <si>
    <t>Form: QAS/1200</t>
  </si>
  <si>
    <t>Date: 06/07/2021 Rev: 0</t>
  </si>
  <si>
    <t>Form: QAS/1100</t>
  </si>
  <si>
    <t>Order #:</t>
  </si>
  <si>
    <t>Die Check Evaluation - 1</t>
  </si>
  <si>
    <t>Die Check Evaluation - 2</t>
  </si>
  <si>
    <t>1308 CR42 0.018"</t>
  </si>
  <si>
    <t>1608 CT138 0.010"</t>
  </si>
  <si>
    <t>1613 CR45 TEST USS DL 0.018 PDC</t>
  </si>
  <si>
    <t>0.01+DL119:DR1198"</t>
  </si>
  <si>
    <t>GT75DHA</t>
  </si>
  <si>
    <t>1126138M</t>
  </si>
  <si>
    <t>FXD45D</t>
  </si>
  <si>
    <t>1160951M</t>
  </si>
  <si>
    <t>887309M</t>
  </si>
  <si>
    <t>979843M</t>
  </si>
  <si>
    <t>709378M</t>
  </si>
  <si>
    <t>1006037M</t>
  </si>
  <si>
    <t>1019988M</t>
  </si>
  <si>
    <t>1029800M</t>
  </si>
  <si>
    <t>1032643M</t>
  </si>
  <si>
    <t>1040699M</t>
  </si>
  <si>
    <t>1053617M</t>
  </si>
  <si>
    <t>791867M</t>
  </si>
  <si>
    <t>1308 CT182 0.010"</t>
  </si>
  <si>
    <t>791391M</t>
  </si>
  <si>
    <t>Changed by Saad's Email , July 29, 2021 10:55 AM</t>
  </si>
  <si>
    <t xml:space="preserve">12    </t>
  </si>
  <si>
    <t>GTD64HO</t>
  </si>
  <si>
    <t>GT65RHs</t>
  </si>
  <si>
    <t>GTD55WKH</t>
  </si>
  <si>
    <t>13 MMS R1</t>
  </si>
  <si>
    <t>1613 CT182M</t>
  </si>
  <si>
    <t>GT55WUH</t>
  </si>
  <si>
    <t>TBO 1613 CT144H 0.018"</t>
  </si>
  <si>
    <t>1102426M</t>
  </si>
  <si>
    <t>1121983M</t>
  </si>
  <si>
    <t>1186699M</t>
  </si>
  <si>
    <t>1134878M</t>
  </si>
  <si>
    <t>CT182M</t>
  </si>
  <si>
    <t>CT144H</t>
  </si>
  <si>
    <t>1608 CT70 0.018"</t>
  </si>
  <si>
    <t>Primery Replace</t>
  </si>
  <si>
    <t>Primery Rotate</t>
  </si>
  <si>
    <t>Back Up Replace</t>
  </si>
  <si>
    <t>Back Up Rotate</t>
  </si>
  <si>
    <t>Back Reamer Replace</t>
  </si>
  <si>
    <t>Back Reaper Rotate</t>
  </si>
  <si>
    <t>Repair Price</t>
  </si>
  <si>
    <t>New Type</t>
  </si>
  <si>
    <t>GTD54Hs</t>
  </si>
  <si>
    <t>1115680M</t>
  </si>
  <si>
    <t>1201053M</t>
  </si>
  <si>
    <t>13MM CT228</t>
  </si>
  <si>
    <t>13MM  CT228</t>
  </si>
  <si>
    <t>CT228</t>
  </si>
  <si>
    <t>13MM STEEL R1 CT 221</t>
  </si>
  <si>
    <t>13MM CT221</t>
  </si>
  <si>
    <t>1162267M</t>
  </si>
  <si>
    <t>GTD75WH</t>
  </si>
  <si>
    <t>1190973M</t>
  </si>
  <si>
    <t>1201087M</t>
  </si>
  <si>
    <t>CS54Os</t>
  </si>
  <si>
    <t>1308  Perf MT 0.010"</t>
  </si>
  <si>
    <t>1308 Perf MT</t>
  </si>
  <si>
    <t>Perf MT</t>
  </si>
  <si>
    <t>need to chcek the category and enter aramco details</t>
  </si>
  <si>
    <t>1313 CT138 0.010"</t>
  </si>
  <si>
    <t>1207508M</t>
  </si>
  <si>
    <t>1083599M</t>
  </si>
  <si>
    <t>1212043M</t>
  </si>
  <si>
    <t>1613 CT155 0.018"</t>
  </si>
  <si>
    <t>CT155</t>
  </si>
  <si>
    <t>1608 CT155 U</t>
  </si>
  <si>
    <t>U</t>
  </si>
  <si>
    <t>1608 CR42 0.018"</t>
  </si>
  <si>
    <t xml:space="preserve"> 1913 CT421 0.018"</t>
  </si>
  <si>
    <t>1308 CT154 0.018</t>
  </si>
  <si>
    <t>1608 CT154 0.018</t>
  </si>
  <si>
    <t>CT154</t>
  </si>
  <si>
    <t>1152687M</t>
  </si>
  <si>
    <t>1608 CT155 0.018"</t>
  </si>
  <si>
    <t>1308 CT155 0.018"</t>
  </si>
  <si>
    <t>CT156</t>
  </si>
  <si>
    <t>CT220</t>
  </si>
  <si>
    <t>13MMS</t>
  </si>
  <si>
    <t>GT85DMHOs</t>
  </si>
  <si>
    <t>1205342M</t>
  </si>
  <si>
    <t>1613 CT156 U</t>
  </si>
  <si>
    <t xml:space="preserve">13MMS CT220 </t>
  </si>
  <si>
    <t>1613 CT418 U</t>
  </si>
  <si>
    <t>1208059M</t>
  </si>
  <si>
    <t>1212207M</t>
  </si>
  <si>
    <t>3 3/4"</t>
  </si>
  <si>
    <t>GT53</t>
  </si>
  <si>
    <t xml:space="preserve">1010 FMT U </t>
  </si>
  <si>
    <t>FMT</t>
  </si>
  <si>
    <t xml:space="preserve">Old Type: </t>
  </si>
  <si>
    <t>GT64KHF</t>
  </si>
  <si>
    <t>GTD64HF</t>
  </si>
  <si>
    <t>1214858M</t>
  </si>
  <si>
    <t>1218197M</t>
  </si>
  <si>
    <t>1219697M</t>
  </si>
  <si>
    <t>**CUTTRES CHANGED TO CT-427 AS PER TECH MAIL ON DATED  6-6-2022</t>
  </si>
  <si>
    <t>1172697M</t>
  </si>
  <si>
    <t>MT NL</t>
  </si>
  <si>
    <t>23"</t>
  </si>
  <si>
    <t>GT76s</t>
  </si>
  <si>
    <t>1176225M</t>
  </si>
  <si>
    <t>1913 MT NL U</t>
  </si>
  <si>
    <t>1613 MT NL U</t>
  </si>
  <si>
    <t>GT66s</t>
  </si>
  <si>
    <t>1137408M</t>
  </si>
  <si>
    <t>1913 MT U</t>
  </si>
  <si>
    <t>MT</t>
  </si>
  <si>
    <t>1212881M</t>
  </si>
  <si>
    <t>1313 FMT 0.010"</t>
  </si>
  <si>
    <t>HD54</t>
  </si>
  <si>
    <t>1226841M</t>
  </si>
  <si>
    <t>1313 CT147G U</t>
  </si>
  <si>
    <t>CT147G</t>
  </si>
  <si>
    <t>1010 CT182 U</t>
  </si>
  <si>
    <t>1224750M</t>
  </si>
  <si>
    <t>GT53s</t>
  </si>
  <si>
    <t>GT65WKH</t>
  </si>
  <si>
    <t>1613 CT430MV3 U TBO</t>
  </si>
  <si>
    <t>1613 MT U</t>
  </si>
  <si>
    <t>CT430MV3</t>
  </si>
  <si>
    <t>SF85DIMKHO</t>
  </si>
  <si>
    <t>TESTUSSDL</t>
  </si>
  <si>
    <t>CT147</t>
  </si>
  <si>
    <t>8MM</t>
  </si>
  <si>
    <t>13MM</t>
  </si>
  <si>
    <t>IMPREG</t>
  </si>
  <si>
    <t>1219765M</t>
  </si>
  <si>
    <t>1913 TESTUSSDL NA</t>
  </si>
  <si>
    <t>1913 CT418 U</t>
  </si>
  <si>
    <t>1913 CT147 U</t>
  </si>
  <si>
    <t>8MM CT220 NA</t>
  </si>
  <si>
    <t>13MM IMPREG NA</t>
  </si>
  <si>
    <t>GT75DKHs</t>
  </si>
  <si>
    <t>1218052M</t>
  </si>
  <si>
    <t>1613 CT147 U</t>
  </si>
  <si>
    <t>1221158M</t>
  </si>
  <si>
    <t>[9 ENO]</t>
  </si>
  <si>
    <t>[33 New], [9 ENO]</t>
  </si>
  <si>
    <t>1224225M</t>
  </si>
  <si>
    <t>3 7/8"</t>
  </si>
  <si>
    <t>GTD54HF</t>
  </si>
  <si>
    <t>1219698M</t>
  </si>
  <si>
    <t>NA</t>
  </si>
  <si>
    <t>CT158H</t>
  </si>
  <si>
    <t>1313 CT158H</t>
  </si>
  <si>
    <t>HD64K</t>
  </si>
  <si>
    <t>1226735M</t>
  </si>
  <si>
    <t>10C</t>
  </si>
  <si>
    <t>CT158DM</t>
  </si>
  <si>
    <t>CARBIDE</t>
  </si>
  <si>
    <t>HD64KHF</t>
  </si>
  <si>
    <t>1225753M</t>
  </si>
  <si>
    <t>1313 CT158DM 0.010"</t>
  </si>
  <si>
    <t>18C</t>
  </si>
  <si>
    <t>MMD53DH-2</t>
  </si>
  <si>
    <t>1016454M</t>
  </si>
  <si>
    <t>5-7/8"</t>
  </si>
  <si>
    <t>GT73DH</t>
  </si>
  <si>
    <t>1138943M</t>
  </si>
  <si>
    <t>FC3747</t>
  </si>
  <si>
    <t>791141M</t>
  </si>
  <si>
    <t>673359M</t>
  </si>
  <si>
    <t>1010 MT NL U PDC</t>
  </si>
  <si>
    <t>1308 MT NL U PDC</t>
  </si>
  <si>
    <t>FC3645</t>
  </si>
  <si>
    <t>508149M</t>
  </si>
  <si>
    <t>1308 CT27 OBS ROUND CRC 0.010"</t>
  </si>
  <si>
    <t>0808 CLAW OBS 0.010"</t>
  </si>
  <si>
    <t>1308 ELITE RC OBS 0.010"</t>
  </si>
  <si>
    <t>CLAW OBS</t>
  </si>
  <si>
    <t>ELITE RC OBS</t>
  </si>
  <si>
    <t>Round 1613 CR45  0.018" (T)</t>
  </si>
  <si>
    <t>648918M</t>
  </si>
  <si>
    <t>HD54F</t>
  </si>
  <si>
    <t>1233276M</t>
  </si>
  <si>
    <t>1220553M</t>
  </si>
  <si>
    <t>HD65O</t>
  </si>
  <si>
    <t>1240803M</t>
  </si>
  <si>
    <t>1613 CT147G U</t>
  </si>
  <si>
    <t>MM65DH-1</t>
  </si>
  <si>
    <t>1134806M</t>
  </si>
  <si>
    <t>GTi54H</t>
  </si>
  <si>
    <t>1093690M</t>
  </si>
  <si>
    <t>HD65D</t>
  </si>
  <si>
    <t>1212690M</t>
  </si>
  <si>
    <t>1613 CT418 60 deg U</t>
  </si>
  <si>
    <t>1613 CT147R U</t>
  </si>
  <si>
    <t>CT147R</t>
  </si>
  <si>
    <t>CT418 60 deg</t>
  </si>
  <si>
    <t>1251085M</t>
  </si>
  <si>
    <t>HD75Fs</t>
  </si>
  <si>
    <t>1241180M</t>
  </si>
  <si>
    <t>1313 CT418 U</t>
  </si>
  <si>
    <t>1613 CT162R U</t>
  </si>
  <si>
    <t>CT162</t>
  </si>
  <si>
    <t>Add 1 to choose regional price, 2 to choose Core head price and 3 for Landing cost</t>
  </si>
  <si>
    <t>GT75DOs</t>
  </si>
  <si>
    <t>1226210M</t>
  </si>
  <si>
    <t>1254482M</t>
  </si>
  <si>
    <t>1613 PMT 0.018"</t>
  </si>
  <si>
    <t>PMT</t>
  </si>
  <si>
    <t>1252149M</t>
  </si>
  <si>
    <t>1613 CT418NL U</t>
  </si>
  <si>
    <t>CT418NL</t>
  </si>
  <si>
    <t>1913 CT418NL U</t>
  </si>
  <si>
    <t>HD54F-1</t>
  </si>
  <si>
    <t>GTD86DH</t>
  </si>
  <si>
    <t>1913 PMT 0.018"</t>
  </si>
  <si>
    <t>FC37WRKs</t>
  </si>
  <si>
    <t>1010 CT156 0.018"</t>
  </si>
  <si>
    <t>1313 CT156 0.018"</t>
  </si>
  <si>
    <t>1308 CT418 0.018"</t>
  </si>
  <si>
    <t>1308 CT158 0.010"</t>
  </si>
  <si>
    <t>OBS 13MM STEEL R3 CT221</t>
  </si>
  <si>
    <t>CT158</t>
  </si>
  <si>
    <t>1251098M</t>
  </si>
  <si>
    <t>1137431M</t>
  </si>
  <si>
    <t>1238638M</t>
  </si>
  <si>
    <t>1249569M</t>
  </si>
  <si>
    <t>1207425M</t>
  </si>
  <si>
    <t>1092722M</t>
  </si>
  <si>
    <t>742471M</t>
  </si>
  <si>
    <t>FC3747A</t>
  </si>
  <si>
    <t>888995M</t>
  </si>
  <si>
    <t>OBS 1313CT91 0.010"</t>
  </si>
  <si>
    <t>1255267M</t>
  </si>
  <si>
    <t>1608 PMT 0.018"</t>
  </si>
  <si>
    <t>Cerebro Installation Add 1 to add the charge</t>
  </si>
  <si>
    <t>GT65RHS</t>
  </si>
  <si>
    <t>1613 CT147 0.018"</t>
  </si>
  <si>
    <t>1198387M</t>
  </si>
  <si>
    <t>1313 CT418 25-75</t>
  </si>
  <si>
    <t>25-75</t>
  </si>
  <si>
    <t>1613 CT418 25-75</t>
  </si>
  <si>
    <t>1252168M</t>
  </si>
  <si>
    <t>EM65D</t>
  </si>
  <si>
    <t>1308 CT155 U-60</t>
  </si>
  <si>
    <t>1313 CT155 U-60</t>
  </si>
  <si>
    <t>1613 CT155 U-60</t>
  </si>
  <si>
    <t>1235768M</t>
  </si>
  <si>
    <t>U-60</t>
  </si>
  <si>
    <t>CT147GV4</t>
  </si>
  <si>
    <t>1259957M</t>
  </si>
  <si>
    <t>1313 CT147GV4 U</t>
  </si>
  <si>
    <t>1268728M</t>
  </si>
  <si>
    <t>1613 CT147 18C-60</t>
  </si>
  <si>
    <t>18C-60</t>
  </si>
  <si>
    <t>1613 CT418 18C-60</t>
  </si>
  <si>
    <t>1261733M</t>
  </si>
  <si>
    <t>1269308M</t>
  </si>
  <si>
    <t>1267829M</t>
  </si>
  <si>
    <t>1269498M</t>
  </si>
  <si>
    <t>1239176M</t>
  </si>
  <si>
    <t>GT65DHF-1</t>
  </si>
  <si>
    <t>CT170</t>
  </si>
  <si>
    <t>HD55DO</t>
  </si>
  <si>
    <t>WC­MAT400</t>
  </si>
  <si>
    <t>HD75WF</t>
  </si>
  <si>
    <t>1313 CT418 18C-60</t>
  </si>
  <si>
    <t>1263805M</t>
  </si>
  <si>
    <t>1613 CT170 18C-60</t>
  </si>
  <si>
    <t>1613 CT421 U</t>
  </si>
  <si>
    <t>8MM WC­MAT400 NA</t>
  </si>
  <si>
    <t>13MM WC­MAT400 NA</t>
  </si>
  <si>
    <t>1257458M</t>
  </si>
  <si>
    <t>GTD64k</t>
  </si>
  <si>
    <t>6"</t>
  </si>
  <si>
    <t>1193587M</t>
  </si>
  <si>
    <t>1262090M</t>
  </si>
  <si>
    <t>HD86D</t>
  </si>
  <si>
    <t>1251627M</t>
  </si>
  <si>
    <t>1913 CT164R U</t>
  </si>
  <si>
    <t>CT164R</t>
  </si>
  <si>
    <t>1613 CT164R U</t>
  </si>
  <si>
    <t>1613 CT418 DER</t>
  </si>
  <si>
    <t>1613 CT164 U</t>
  </si>
  <si>
    <t>CT164</t>
  </si>
  <si>
    <t>DER</t>
  </si>
  <si>
    <t>1313 CT421 0.018"</t>
  </si>
  <si>
    <t>1313 MT NL U</t>
  </si>
  <si>
    <t>MT NL</t>
  </si>
  <si>
    <t>GTD564Ms</t>
  </si>
  <si>
    <t>GTi64Ms</t>
  </si>
  <si>
    <t>1166297M</t>
  </si>
  <si>
    <t>1186627M</t>
  </si>
  <si>
    <t>1313 CT418NL U-60</t>
  </si>
  <si>
    <t>1618 CT182 U-60</t>
  </si>
  <si>
    <t>ORDER NO.</t>
  </si>
  <si>
    <t>SEREAL NO.</t>
  </si>
  <si>
    <t>FROM</t>
  </si>
  <si>
    <t>Instruction</t>
  </si>
  <si>
    <t>Total Instruction:</t>
  </si>
  <si>
    <t>Join Row</t>
  </si>
  <si>
    <t>Saad 12/11/2023 9:36 AM: Ramzi Please use below E&amp;O ground cutters on gauge for this bit. 729691 Round 1613 CT82 0.018"</t>
  </si>
  <si>
    <t>Write "N" To Remove The Default</t>
  </si>
  <si>
    <t>Cutters</t>
  </si>
  <si>
    <t>EXP/OFF</t>
  </si>
  <si>
    <t>GT65RHS-1</t>
  </si>
  <si>
    <t>1276939M</t>
  </si>
  <si>
    <t xml:space="preserve">Gage relieved bit. Place the bit pin side up and check that No-Go Gage passes the full gage pad. </t>
  </si>
  <si>
    <t>ARDT-LV4</t>
  </si>
  <si>
    <t>Check if hard facing build up is required. Check first pockets of secondary blades.</t>
  </si>
  <si>
    <t xml:space="preserve">Check if hard facing build up is required. Check first pockets of secondary blades. </t>
  </si>
  <si>
    <t>ARDT-LV3</t>
  </si>
  <si>
    <t>WFD</t>
  </si>
  <si>
    <t>1613 CT421 18-60</t>
  </si>
  <si>
    <t>18-60</t>
  </si>
  <si>
    <t>LV5 Mat #</t>
  </si>
  <si>
    <t>LV3 or LV4 Mat #</t>
  </si>
  <si>
    <t>LV3 or LV4 Remark</t>
  </si>
  <si>
    <t>Habeeb Radi</t>
  </si>
  <si>
    <t>Ahmed Faizan</t>
  </si>
  <si>
    <t>Radi Al Wasmi</t>
  </si>
  <si>
    <t>Ahmed Redwan</t>
  </si>
  <si>
    <t>Habeeb Sabaa</t>
  </si>
  <si>
    <t>Habeeb Mohana</t>
  </si>
  <si>
    <t>Haitham Al Amri</t>
  </si>
  <si>
    <t>Mahdi Hassan</t>
  </si>
  <si>
    <t>Ramzi Kassab</t>
  </si>
  <si>
    <t>Melwin Fernandiz</t>
  </si>
  <si>
    <t>Ranjith Shiti</t>
  </si>
  <si>
    <t>Murthada Turaifi</t>
  </si>
  <si>
    <t>LV3 or LV4 MAT NO.</t>
  </si>
  <si>
    <t>LV5 MAT NO.</t>
  </si>
  <si>
    <t>Full gauge pad grinding (grind 1/64" on radius  (1/32" on diameter) for the entire length of the gauge.</t>
  </si>
  <si>
    <t>MMD85DHF</t>
  </si>
  <si>
    <t>1239258M</t>
  </si>
  <si>
    <t>1239239M</t>
  </si>
  <si>
    <t>GTD86DHF</t>
  </si>
  <si>
    <t>1608 CT421 18C</t>
  </si>
  <si>
    <t>GT63WH</t>
  </si>
  <si>
    <t>1216970M</t>
  </si>
  <si>
    <t>1005 CT155 U-60</t>
  </si>
  <si>
    <t>Add cutter 1145493 as replacement for 1100696. was retrofit in 2024-ARDT-017</t>
  </si>
  <si>
    <t>Saad: Cutters CT421 and CT182 are interchangeable</t>
  </si>
  <si>
    <t>Saad: Cutters CT182 and CT421 are interchangeable</t>
  </si>
  <si>
    <t>Saad: Cutters CT421 and CT182 IN mat 1249569 are interchangeable</t>
  </si>
  <si>
    <t>1257527M</t>
  </si>
  <si>
    <t>1263988M</t>
  </si>
  <si>
    <t>1211650M</t>
  </si>
  <si>
    <t>1217619M</t>
  </si>
  <si>
    <t>1238637M</t>
  </si>
  <si>
    <t xml:space="preserve">16    </t>
  </si>
  <si>
    <t>GT75DMKOs</t>
  </si>
  <si>
    <t>HDi75DMKOs</t>
  </si>
  <si>
    <t>GTi75DRMOs</t>
  </si>
  <si>
    <t>GTi75RHO</t>
  </si>
  <si>
    <t>GTi65WRCOs</t>
  </si>
  <si>
    <t>12MM CT221NL NA</t>
  </si>
  <si>
    <t>12MM</t>
  </si>
  <si>
    <t>CT221NL</t>
  </si>
  <si>
    <t>1313 CT418NLMv3 U</t>
  </si>
  <si>
    <t>CT418NLMv3</t>
  </si>
  <si>
    <t>1313 MT U</t>
  </si>
  <si>
    <t>1308 CT80NLM 10C</t>
  </si>
  <si>
    <t>CT80NLM</t>
  </si>
  <si>
    <t>1245357M</t>
  </si>
  <si>
    <t>GT75DHO</t>
  </si>
  <si>
    <t>1176003M</t>
  </si>
  <si>
    <t>U­60</t>
  </si>
  <si>
    <t>8.5"</t>
  </si>
  <si>
    <t>MME65DMHO</t>
  </si>
  <si>
    <t>SFE65CH</t>
  </si>
  <si>
    <t>SFD65DMO</t>
  </si>
  <si>
    <t>SFD66DBMO</t>
  </si>
  <si>
    <t>1186863M</t>
  </si>
  <si>
    <t>1199049M</t>
  </si>
  <si>
    <t>1228762M</t>
  </si>
  <si>
    <t>1258120M</t>
  </si>
  <si>
    <t>1913 CT418 U-60</t>
  </si>
  <si>
    <t>1246020M</t>
  </si>
  <si>
    <t>1608 CT418 18C</t>
  </si>
  <si>
    <t>1272498M</t>
  </si>
  <si>
    <t>1283277M</t>
  </si>
  <si>
    <t>1613 CT172R U</t>
  </si>
  <si>
    <t>CT172R</t>
  </si>
  <si>
    <t>1613 CT156 18C</t>
  </si>
  <si>
    <t>FC3846</t>
  </si>
  <si>
    <t>6 1/8" X 2 5/8"</t>
  </si>
  <si>
    <t>865213M</t>
  </si>
  <si>
    <t>662604M</t>
  </si>
  <si>
    <t>665777M</t>
  </si>
  <si>
    <t>1239257M</t>
  </si>
  <si>
    <t>HD65Os</t>
  </si>
  <si>
    <t>1270865M</t>
  </si>
  <si>
    <t>13MM CT200 RND 18C</t>
  </si>
  <si>
    <t>1246680M</t>
  </si>
  <si>
    <t>Full gauge pad grinding (grind 1/64” on radius  (1/32" on diameter) for the entire length of the gauge. If MAT is 1269308M.</t>
  </si>
  <si>
    <t>Check if Full gauge pad grinding is needed ??</t>
  </si>
  <si>
    <t>8 ½" x 3 ¼"</t>
  </si>
  <si>
    <t>FC3837A</t>
  </si>
  <si>
    <t>1175992M</t>
  </si>
  <si>
    <t>UR</t>
  </si>
  <si>
    <t>16''</t>
  </si>
  <si>
    <t>1613 CT176 18-60</t>
  </si>
  <si>
    <t>CT176</t>
  </si>
  <si>
    <t>Yakoob Alajawad</t>
  </si>
  <si>
    <t>8 1/2''</t>
  </si>
  <si>
    <t>1254762M</t>
  </si>
  <si>
    <t>1613 CT184R U</t>
  </si>
  <si>
    <t>CT184R</t>
  </si>
  <si>
    <t>1613 CT437 18-60</t>
  </si>
  <si>
    <t>CT437</t>
  </si>
  <si>
    <t>FC74WK</t>
  </si>
  <si>
    <t>1246037M</t>
  </si>
  <si>
    <t>1267829M1</t>
  </si>
  <si>
    <t>1276939M1</t>
  </si>
  <si>
    <t>1255267M1</t>
  </si>
  <si>
    <t>Replace B1C7, B2C4, B3C6, B4C4, B5C6, B6C4</t>
  </si>
  <si>
    <t>B1C7</t>
  </si>
  <si>
    <t>B2C4</t>
  </si>
  <si>
    <t>B3C6</t>
  </si>
  <si>
    <t>B4C4</t>
  </si>
  <si>
    <t>B5C6</t>
  </si>
  <si>
    <t>B6C4</t>
  </si>
  <si>
    <t>Instruction to replace UR cutters.</t>
  </si>
  <si>
    <t>Ali Alhammad</t>
  </si>
  <si>
    <t>Jabbar</t>
  </si>
  <si>
    <t>Husain Almoosaiw</t>
  </si>
  <si>
    <t>HXi55Ds</t>
  </si>
  <si>
    <t>2105535M</t>
  </si>
  <si>
    <t>1613 CT179 18C-60</t>
  </si>
  <si>
    <t>CT179T</t>
  </si>
  <si>
    <t>CT179</t>
  </si>
  <si>
    <t>HXi65Ds</t>
  </si>
  <si>
    <t>2016764M</t>
  </si>
  <si>
    <t>6 1/8''</t>
  </si>
  <si>
    <t>1313 CT436Mv3 U-60</t>
  </si>
  <si>
    <t>CT436Mv3</t>
  </si>
  <si>
    <t>1313 CT182H 0.010''</t>
  </si>
  <si>
    <t>CT182H</t>
  </si>
  <si>
    <t>0.010''</t>
  </si>
  <si>
    <t>2017803M</t>
  </si>
  <si>
    <t>1913 CT172 18-60</t>
  </si>
  <si>
    <t>1283630M</t>
  </si>
  <si>
    <t>1613 U­60 CT154</t>
  </si>
  <si>
    <t>U 60</t>
  </si>
  <si>
    <t>1613 18C­60 PMT</t>
  </si>
  <si>
    <t>19C-60 PMT</t>
  </si>
  <si>
    <t xml:space="preserve"> 12MM NA WC­MAT404</t>
  </si>
  <si>
    <t>NA WC MAT404</t>
  </si>
  <si>
    <t>1613 U CT179R</t>
  </si>
  <si>
    <t>CT179R</t>
  </si>
  <si>
    <t>1613 CT179T U-60</t>
  </si>
  <si>
    <t>5 7/8''</t>
  </si>
  <si>
    <t>HXi64Ds</t>
  </si>
  <si>
    <t>2018723M</t>
  </si>
  <si>
    <t>1613 CT179R U</t>
  </si>
  <si>
    <t>1613 CT154  U­60</t>
  </si>
  <si>
    <t>1313 CT179T U-60</t>
  </si>
  <si>
    <t>1308 CT418 0.010''</t>
  </si>
  <si>
    <t>2015327M</t>
  </si>
  <si>
    <t>1313 CT436 18C-60</t>
  </si>
  <si>
    <t>CT436</t>
  </si>
  <si>
    <t>1613 CT172 18C-60</t>
  </si>
  <si>
    <t>CT172</t>
  </si>
  <si>
    <t>12MM WC­MAT400</t>
  </si>
  <si>
    <t>18C­60</t>
  </si>
  <si>
    <t>INSPECTOR</t>
  </si>
  <si>
    <t>VERIFIED</t>
  </si>
  <si>
    <r>
      <rPr>
        <b/>
        <sz val="12"/>
        <rFont val="Arial"/>
        <family val="2"/>
      </rPr>
      <t xml:space="preserve">ARABIAN ROCKBITS &amp; DRILLING TOOLS
</t>
    </r>
    <r>
      <rPr>
        <b/>
        <sz val="12"/>
        <rFont val="Arial"/>
        <family val="2"/>
      </rPr>
      <t>CO.LTD</t>
    </r>
  </si>
  <si>
    <r>
      <rPr>
        <sz val="11"/>
        <rFont val="Arial"/>
        <family val="2"/>
      </rPr>
      <t>Document No: QAS/109</t>
    </r>
  </si>
  <si>
    <r>
      <rPr>
        <sz val="11"/>
        <rFont val="Arial"/>
        <family val="2"/>
      </rPr>
      <t>Rev No &amp; Date:  0 &amp; 07/04/2017</t>
    </r>
  </si>
  <si>
    <r>
      <rPr>
        <sz val="11"/>
        <rFont val="Arial"/>
        <family val="2"/>
      </rPr>
      <t>Repair Roller Cone Bit Inspection Report</t>
    </r>
  </si>
  <si>
    <r>
      <rPr>
        <sz val="11"/>
        <rFont val="Arial"/>
        <family val="2"/>
      </rPr>
      <t>Reviewed by: Ahmed Faizan Chisti</t>
    </r>
  </si>
  <si>
    <r>
      <rPr>
        <sz val="11"/>
        <rFont val="Arial"/>
        <family val="2"/>
      </rPr>
      <t>Approved by: Abdul Rahman</t>
    </r>
  </si>
  <si>
    <r>
      <rPr>
        <b/>
        <sz val="10"/>
        <rFont val="Arial"/>
        <family val="2"/>
      </rPr>
      <t>NO</t>
    </r>
  </si>
  <si>
    <r>
      <rPr>
        <b/>
        <sz val="10"/>
        <rFont val="Arial"/>
        <family val="2"/>
      </rPr>
      <t>CRITERIA</t>
    </r>
  </si>
  <si>
    <r>
      <rPr>
        <b/>
        <sz val="10"/>
        <rFont val="Arial"/>
        <family val="2"/>
      </rPr>
      <t>FINAL INSPECTOR</t>
    </r>
  </si>
  <si>
    <r>
      <rPr>
        <b/>
        <sz val="10"/>
        <rFont val="Arial"/>
        <family val="2"/>
      </rPr>
      <t>OK</t>
    </r>
  </si>
  <si>
    <r>
      <rPr>
        <b/>
        <sz val="10"/>
        <rFont val="Arial"/>
        <family val="2"/>
      </rPr>
      <t>NOT OK</t>
    </r>
  </si>
  <si>
    <r>
      <rPr>
        <b/>
        <sz val="10"/>
        <rFont val="Arial"/>
        <family val="2"/>
      </rPr>
      <t>REMARKS</t>
    </r>
  </si>
  <si>
    <r>
      <rPr>
        <b/>
        <sz val="10"/>
        <rFont val="Arial"/>
        <family val="2"/>
      </rPr>
      <t>Bit Cleanliness</t>
    </r>
  </si>
  <si>
    <r>
      <rPr>
        <b/>
        <sz val="10"/>
        <rFont val="Arial"/>
        <family val="2"/>
      </rPr>
      <t>Ring Gage No Go</t>
    </r>
  </si>
  <si>
    <r>
      <rPr>
        <b/>
        <sz val="10"/>
        <rFont val="Arial"/>
        <family val="2"/>
      </rPr>
      <t>Cone Rotation for Smoothness/ Roughness</t>
    </r>
  </si>
  <si>
    <r>
      <rPr>
        <b/>
        <sz val="10"/>
        <rFont val="Arial"/>
        <family val="2"/>
      </rPr>
      <t>Chipped Or Broken Teeth/Inserts</t>
    </r>
  </si>
  <si>
    <r>
      <rPr>
        <b/>
        <sz val="10"/>
        <rFont val="Arial"/>
        <family val="2"/>
      </rPr>
      <t>API Pin</t>
    </r>
  </si>
  <si>
    <r>
      <rPr>
        <b/>
        <sz val="10"/>
        <rFont val="Arial"/>
        <family val="2"/>
      </rPr>
      <t>Center Jet Assembly</t>
    </r>
  </si>
  <si>
    <r>
      <rPr>
        <b/>
        <sz val="10"/>
        <rFont val="Arial"/>
        <family val="2"/>
      </rPr>
      <t>Visual Weld Appearance Dome, Seam, Ball Plug</t>
    </r>
  </si>
  <si>
    <r>
      <rPr>
        <b/>
        <sz val="11"/>
        <rFont val="Arial"/>
        <family val="2"/>
      </rPr>
      <t>Inspector</t>
    </r>
  </si>
  <si>
    <r>
      <rPr>
        <b/>
        <sz val="10"/>
        <rFont val="Arial"/>
        <family val="2"/>
      </rPr>
      <t xml:space="preserve">Additional Comments: </t>
    </r>
    <r>
      <rPr>
        <b/>
        <sz val="8"/>
        <rFont val="Arial"/>
        <family val="2"/>
      </rPr>
      <t>(</t>
    </r>
    <r>
      <rPr>
        <sz val="8"/>
        <rFont val="Arial"/>
        <family val="2"/>
      </rPr>
      <t>about nozzles, rework, any other issue</t>
    </r>
    <r>
      <rPr>
        <b/>
        <sz val="7"/>
        <rFont val="Arial"/>
        <family val="2"/>
      </rPr>
      <t>)</t>
    </r>
  </si>
  <si>
    <r>
      <rPr>
        <b/>
        <sz val="10"/>
        <rFont val="Arial"/>
        <family val="2"/>
      </rPr>
      <t>Inspectors Name:</t>
    </r>
  </si>
  <si>
    <r>
      <rPr>
        <b/>
        <sz val="10"/>
        <rFont val="Arial"/>
        <family val="2"/>
      </rPr>
      <t>Sign:</t>
    </r>
  </si>
  <si>
    <r>
      <rPr>
        <b/>
        <sz val="10"/>
        <rFont val="Arial"/>
        <family val="2"/>
      </rPr>
      <t>Stamp:</t>
    </r>
  </si>
  <si>
    <r>
      <rPr>
        <b/>
        <sz val="10"/>
        <rFont val="Arial"/>
        <family val="2"/>
      </rPr>
      <t>Date:</t>
    </r>
  </si>
  <si>
    <r>
      <rPr>
        <b/>
        <sz val="10"/>
        <rFont val="Arial"/>
        <family val="2"/>
      </rPr>
      <t>Final Inspector</t>
    </r>
  </si>
  <si>
    <r>
      <rPr>
        <b/>
        <sz val="10"/>
        <rFont val="Arial"/>
        <family val="2"/>
      </rPr>
      <t>F. Inspectors Name:</t>
    </r>
  </si>
  <si>
    <r>
      <rPr>
        <b/>
        <sz val="10"/>
        <rFont val="Arial"/>
        <family val="2"/>
      </rPr>
      <t xml:space="preserve">Tech.
</t>
    </r>
    <r>
      <rPr>
        <b/>
        <sz val="10"/>
        <rFont val="Arial"/>
        <family val="2"/>
      </rPr>
      <t>Department</t>
    </r>
  </si>
  <si>
    <r>
      <rPr>
        <b/>
        <sz val="11"/>
        <rFont val="Arial"/>
        <family val="2"/>
      </rPr>
      <t>Comments:</t>
    </r>
  </si>
  <si>
    <r>
      <rPr>
        <b/>
        <sz val="11"/>
        <rFont val="Arial"/>
        <family val="2"/>
      </rPr>
      <t>Tech. Dept. Sign:</t>
    </r>
  </si>
  <si>
    <r>
      <rPr>
        <b/>
        <sz val="11"/>
        <rFont val="Arial"/>
        <family val="2"/>
      </rPr>
      <t>Date:</t>
    </r>
  </si>
  <si>
    <t>JO No:</t>
  </si>
  <si>
    <r>
      <rPr>
        <b/>
        <sz val="10"/>
        <rFont val="Arial"/>
        <family val="2"/>
      </rPr>
      <t xml:space="preserve">Technology Approval Required:
</t>
    </r>
    <r>
      <rPr>
        <b/>
        <sz val="11"/>
        <rFont val="Arial"/>
        <family val="2"/>
      </rPr>
      <t xml:space="preserve">              YES    </t>
    </r>
    <r>
      <rPr>
        <sz val="11"/>
        <rFont val="Wingdings"/>
        <charset val="2"/>
      </rPr>
      <t></t>
    </r>
    <r>
      <rPr>
        <sz val="11"/>
        <rFont val="Times New Roman"/>
        <family val="1"/>
      </rPr>
      <t xml:space="preserve">    </t>
    </r>
    <r>
      <rPr>
        <b/>
        <sz val="11"/>
        <rFont val="Arial"/>
        <family val="2"/>
      </rPr>
      <t xml:space="preserve">NO    </t>
    </r>
    <r>
      <rPr>
        <sz val="11"/>
        <rFont val="Wingdings"/>
        <charset val="2"/>
      </rPr>
      <t></t>
    </r>
  </si>
  <si>
    <r>
      <rPr>
        <b/>
        <sz val="10"/>
        <rFont val="Arial"/>
        <family val="2"/>
      </rPr>
      <t xml:space="preserve">Disposition by Technology:
</t>
    </r>
    <r>
      <rPr>
        <b/>
        <sz val="11"/>
        <rFont val="Arial"/>
        <family val="2"/>
      </rPr>
      <t xml:space="preserve">          REPAIR    </t>
    </r>
    <r>
      <rPr>
        <sz val="11"/>
        <rFont val="Wingdings"/>
        <charset val="2"/>
      </rPr>
      <t></t>
    </r>
    <r>
      <rPr>
        <sz val="11"/>
        <rFont val="Times New Roman"/>
        <family val="1"/>
      </rPr>
      <t xml:space="preserve">    </t>
    </r>
    <r>
      <rPr>
        <b/>
        <sz val="11"/>
        <rFont val="Arial"/>
        <family val="2"/>
      </rPr>
      <t xml:space="preserve">SCRAP    </t>
    </r>
    <r>
      <rPr>
        <sz val="11"/>
        <rFont val="Wingdings"/>
        <charset val="2"/>
      </rPr>
      <t></t>
    </r>
  </si>
  <si>
    <t>2019412M</t>
  </si>
  <si>
    <t>HXi65DKs</t>
  </si>
  <si>
    <t>1613 CT436MV3 U-60</t>
  </si>
  <si>
    <t>CT436MV3</t>
  </si>
  <si>
    <t>CT188</t>
  </si>
  <si>
    <t>CT187</t>
  </si>
  <si>
    <t>1308 CT188 U-60</t>
  </si>
  <si>
    <t>1308 CT187 U-60</t>
  </si>
  <si>
    <t>1613 CT187 U-60</t>
  </si>
  <si>
    <t>2020054M</t>
  </si>
  <si>
    <t>HXi54s</t>
  </si>
  <si>
    <t>2017993M</t>
  </si>
  <si>
    <t>1313 CT188 U-60</t>
  </si>
  <si>
    <t>N</t>
  </si>
  <si>
    <t>1618 CT182 U-60-STATOR</t>
  </si>
  <si>
    <t>########R3</t>
  </si>
  <si>
    <t>Do not repair UR bits if serial has R3</t>
  </si>
  <si>
    <t>HD65DK</t>
  </si>
  <si>
    <t>2019414M</t>
  </si>
  <si>
    <t>1a</t>
  </si>
  <si>
    <t>2a</t>
  </si>
  <si>
    <t>3a</t>
  </si>
  <si>
    <t>4a</t>
  </si>
  <si>
    <t>5a</t>
  </si>
  <si>
    <t>6a</t>
  </si>
  <si>
    <t>7a</t>
  </si>
  <si>
    <t>8a</t>
  </si>
  <si>
    <t>0a</t>
  </si>
  <si>
    <t>1b</t>
  </si>
  <si>
    <t>2b</t>
  </si>
  <si>
    <t>3b</t>
  </si>
  <si>
    <t>ARABIAN ROCKBITS &amp; DRILLING TOOLS CO.LTD</t>
  </si>
  <si>
    <r>
      <rPr>
        <sz val="12"/>
        <rFont val="Calibri"/>
        <family val="2"/>
      </rPr>
      <t>Document No: QAS/1004</t>
    </r>
  </si>
  <si>
    <r>
      <rPr>
        <sz val="12"/>
        <rFont val="Calibri"/>
        <family val="2"/>
      </rPr>
      <t xml:space="preserve">Rev No &amp; Date : D &amp; </t>
    </r>
    <r>
      <rPr>
        <sz val="11"/>
        <rFont val="Calibri"/>
        <family val="2"/>
      </rPr>
      <t>06/04/2025</t>
    </r>
  </si>
  <si>
    <r>
      <rPr>
        <sz val="12"/>
        <rFont val="Calibri"/>
        <family val="2"/>
      </rPr>
      <t>Liquid Penetrant Testing Report</t>
    </r>
  </si>
  <si>
    <t>Reviewed by:  Javed Lohar</t>
  </si>
  <si>
    <t>Approved by:  Ahmed Faizan Chisti</t>
  </si>
  <si>
    <t>Technique:</t>
  </si>
  <si>
    <t>Fluorescent - Washable Technique</t>
  </si>
  <si>
    <t>Procedure:</t>
  </si>
  <si>
    <t>SA-PP-1013 Liquid Penetrant Testing</t>
  </si>
  <si>
    <t>Tick (✓) &amp; Fill Info as Applicable:</t>
  </si>
  <si>
    <t>Reclaimed Cutters</t>
  </si>
  <si>
    <t>Order#:</t>
  </si>
  <si>
    <t>Bit Serial#:</t>
  </si>
  <si>
    <t>Bit Size:</t>
  </si>
  <si>
    <t>Bit Type:</t>
  </si>
  <si>
    <t>SAP #</t>
  </si>
  <si>
    <t>Surface Temperature:</t>
  </si>
  <si>
    <t>Light Intensity:</t>
  </si>
  <si>
    <t>Penetration Dwell Time:</t>
  </si>
  <si>
    <t>Developer Dwell Time:</t>
  </si>
  <si>
    <t>Material</t>
  </si>
  <si>
    <t>Product Name</t>
  </si>
  <si>
    <t>Batch No</t>
  </si>
  <si>
    <t>Chemical expiry Date</t>
  </si>
  <si>
    <t>Cleaner</t>
  </si>
  <si>
    <t>------</t>
  </si>
  <si>
    <t>LPT Operator:</t>
  </si>
  <si>
    <t>Sign:</t>
  </si>
  <si>
    <t>LPT Result:</t>
  </si>
  <si>
    <t>LPT Evaluator:</t>
  </si>
  <si>
    <t>Cutter Category List</t>
  </si>
  <si>
    <t>New Stock</t>
  </si>
  <si>
    <t>Retrofit</t>
  </si>
  <si>
    <t>ENO As New</t>
  </si>
  <si>
    <t>ENO Ground</t>
  </si>
  <si>
    <t>ARDT Reclaim</t>
  </si>
  <si>
    <t>LSTK Reclaim</t>
  </si>
  <si>
    <t>2009244M</t>
  </si>
  <si>
    <t>2016137M</t>
  </si>
  <si>
    <t>8 3/8''</t>
  </si>
  <si>
    <t>2009246M</t>
  </si>
  <si>
    <t>GT65DH-1</t>
  </si>
  <si>
    <t>n</t>
  </si>
  <si>
    <t xml:space="preserve">To Replace Cutter # 1 [33 New] </t>
  </si>
  <si>
    <t xml:space="preserve">To Replace Cutter SAP# 1255773 [16 New] </t>
  </si>
  <si>
    <t xml:space="preserve">To Replace Cutter SAP# 1255773 [4 New] </t>
  </si>
  <si>
    <t>X11</t>
  </si>
  <si>
    <t>X12</t>
  </si>
  <si>
    <t>X13</t>
  </si>
  <si>
    <t>X14</t>
  </si>
  <si>
    <t>X15</t>
  </si>
  <si>
    <t>X16</t>
  </si>
  <si>
    <t>X17</t>
  </si>
  <si>
    <t>FIND X11 IN ROWS</t>
  </si>
  <si>
    <t>BRING X11 UP</t>
  </si>
  <si>
    <t>FIND X12 IN ROWS</t>
  </si>
  <si>
    <t>BRING X12 UP</t>
  </si>
  <si>
    <t>FIND X13 IN ROWS</t>
  </si>
  <si>
    <t>BRING X13 UP</t>
  </si>
  <si>
    <t>FIND X14 IN ROWS</t>
  </si>
  <si>
    <t>BRING X14 UP</t>
  </si>
  <si>
    <t>FIND X15 IN ROWS</t>
  </si>
  <si>
    <t>BRING X15 UP</t>
  </si>
  <si>
    <t>FIND X16 IN ROWS</t>
  </si>
  <si>
    <t>BRING X16 UP</t>
  </si>
  <si>
    <t>FIND X17 IN ROWS</t>
  </si>
  <si>
    <t>BRING X17 UP</t>
  </si>
  <si>
    <r>
      <rPr>
        <b/>
        <sz val="8"/>
        <rFont val="Calibri"/>
        <family val="2"/>
        <scheme val="minor"/>
      </rPr>
      <t>Instructions:</t>
    </r>
    <r>
      <rPr>
        <sz val="8"/>
        <rFont val="Calibri"/>
        <family val="2"/>
        <scheme val="minor"/>
      </rPr>
      <t xml:space="preserve"> Clearly mark the # 1 blade with permanent marker or pen; Begin with the inner most cutter on the blade, mark each cutter with X if needs to be replaced, R if needs to be rotated, and O if okay. Then go for the next blade in a clockwise direction and do the same. And  P if pocket needs to build up, I if Impact Arrestor needs to build up, V surrounding the fin needs to build up. After checking and marking cutters through all the blades, transfer Xs, Rs and Os to the Table below.</t>
    </r>
  </si>
  <si>
    <r>
      <t xml:space="preserve">Approval for Evaluation: 
</t>
    </r>
    <r>
      <rPr>
        <sz val="10"/>
        <rFont val="Calibri"/>
        <family val="2"/>
        <scheme val="minor"/>
      </rPr>
      <t xml:space="preserve">(Sign &amp; Date) </t>
    </r>
  </si>
  <si>
    <t xml:space="preserve">To Replace Cutter # 1 [6 ENO] </t>
  </si>
  <si>
    <t>1613 CT158 18C</t>
  </si>
  <si>
    <t>1613 CT418 10C</t>
  </si>
  <si>
    <t>2021865M</t>
  </si>
  <si>
    <t>1313 CT187 U-60</t>
  </si>
  <si>
    <t>1290130M</t>
  </si>
  <si>
    <t>12 1/4''</t>
  </si>
  <si>
    <t>2008912M</t>
  </si>
  <si>
    <t>WCMAT404</t>
  </si>
  <si>
    <t>13 WCMAT404</t>
  </si>
  <si>
    <t>EM75D</t>
  </si>
  <si>
    <t>1283482M</t>
  </si>
  <si>
    <t>Cutters Table</t>
  </si>
  <si>
    <t>X- Count Cell</t>
  </si>
  <si>
    <t>12 CT200NL</t>
  </si>
  <si>
    <t>CT200NL</t>
  </si>
  <si>
    <t>1613 CT418 18-60</t>
  </si>
  <si>
    <t xml:space="preserve"> Octavio Alvarez-                              (  )    Mohammed Y. Othman - 781022 (  )</t>
  </si>
  <si>
    <t>2025-AR-105</t>
  </si>
  <si>
    <t>R</t>
  </si>
  <si>
    <t>Shank need clean. Pinface and mud seal need buffing.</t>
  </si>
  <si>
    <t>-</t>
  </si>
  <si>
    <t>[ ENO GRD 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</si>
</sst>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m/d/yy;@"/>
    <numFmt numFmtId="165" formatCode="[$-409]mmmm\ d\,\ yyyy;@"/>
    <numFmt numFmtId="166" formatCode="&quot;$&quot;#,##0"/>
    <numFmt numFmtId="167" formatCode="_([$$-409]* #,##0_);_([$$-409]* \(#,##0\);_([$$-409]* &quot;-&quot;_);_(@_)"/>
    <numFmt numFmtId="168" formatCode="00.0"/>
    <numFmt numFmtId="169" formatCode="0.0"/>
  </numFmts>
  <fonts count="1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8"/>
      <name val="Arial"/>
      <family val="2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676767"/>
      <name val="Segoe UI"/>
      <family val="2"/>
    </font>
    <font>
      <sz val="12"/>
      <color rgb="FF0A0101"/>
      <name val="Arial"/>
      <family val="2"/>
    </font>
    <font>
      <sz val="9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9"/>
      <name val="Arial"/>
      <family val="2"/>
    </font>
    <font>
      <sz val="12"/>
      <color indexed="8"/>
      <name val="Arial"/>
      <family val="2"/>
    </font>
    <font>
      <b/>
      <sz val="18"/>
      <color theme="1"/>
      <name val="Calibri"/>
      <family val="2"/>
      <scheme val="minor"/>
    </font>
    <font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name val="Arial"/>
      <family val="2"/>
    </font>
    <font>
      <b/>
      <sz val="16"/>
      <color theme="1"/>
      <name val="Calibri"/>
      <family val="2"/>
      <scheme val="minor"/>
    </font>
    <font>
      <b/>
      <sz val="15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.5"/>
      <color theme="1"/>
      <name val="Cambria"/>
      <family val="1"/>
      <scheme val="major"/>
    </font>
    <font>
      <sz val="20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Arial"/>
      <family val="2"/>
    </font>
    <font>
      <sz val="18"/>
      <color theme="1"/>
      <name val="Calibri"/>
      <family val="2"/>
      <scheme val="minor"/>
    </font>
    <font>
      <sz val="14.5"/>
      <color theme="1"/>
      <name val="Calibri"/>
      <family val="2"/>
      <scheme val="minor"/>
    </font>
    <font>
      <b/>
      <i/>
      <sz val="10"/>
      <color theme="9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u/>
      <sz val="10.5"/>
      <name val="Calibri"/>
      <family val="2"/>
      <scheme val="minor"/>
    </font>
    <font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sz val="15"/>
      <name val="Calibri"/>
      <family val="2"/>
      <scheme val="minor"/>
    </font>
    <font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Arial Narrow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2"/>
      <name val="Bookman Old Style"/>
      <family val="1"/>
    </font>
    <font>
      <sz val="11"/>
      <name val="Forte"/>
      <family val="4"/>
    </font>
    <font>
      <b/>
      <sz val="10"/>
      <name val="Tahoma"/>
      <family val="2"/>
    </font>
    <font>
      <sz val="14"/>
      <name val="Calibri"/>
      <family val="2"/>
    </font>
    <font>
      <sz val="14"/>
      <name val="Wingdings"/>
      <charset val="2"/>
    </font>
    <font>
      <b/>
      <sz val="10"/>
      <color indexed="8"/>
      <name val="Arial"/>
      <family val="2"/>
    </font>
    <font>
      <b/>
      <sz val="8"/>
      <color indexed="10"/>
      <name val="Arial"/>
      <family val="2"/>
    </font>
    <font>
      <b/>
      <i/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8"/>
      <color theme="1"/>
      <name val="Calibri"/>
      <family val="2"/>
      <scheme val="minor"/>
    </font>
    <font>
      <b/>
      <sz val="12"/>
      <name val="Wingdings"/>
      <charset val="2"/>
    </font>
    <font>
      <sz val="7.75"/>
      <name val="Calibri"/>
      <family val="2"/>
      <scheme val="minor"/>
    </font>
    <font>
      <sz val="7.5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7.8"/>
      <name val="Arial"/>
      <family val="2"/>
    </font>
    <font>
      <sz val="11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.5"/>
      <color rgb="FF333333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sz val="10"/>
      <color rgb="FF000000"/>
      <name val="Arial"/>
      <family val="2"/>
    </font>
    <font>
      <sz val="18"/>
      <color rgb="FFFF0000"/>
      <name val="Arial"/>
      <family val="2"/>
    </font>
    <font>
      <b/>
      <sz val="10"/>
      <color rgb="FF000000"/>
      <name val="Arial"/>
      <family val="2"/>
    </font>
    <font>
      <b/>
      <sz val="7"/>
      <name val="Arial"/>
      <family val="2"/>
    </font>
    <font>
      <sz val="11"/>
      <name val="Wingdings"/>
      <charset val="2"/>
    </font>
    <font>
      <sz val="11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2"/>
    </font>
    <font>
      <b/>
      <sz val="11"/>
      <color rgb="FF00B0F0"/>
      <name val="Arial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1"/>
      <color theme="1"/>
      <name val="Aptos"/>
      <family val="2"/>
    </font>
    <font>
      <b/>
      <sz val="12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0"/>
      <color rgb="FF000000"/>
      <name val="Times New Roman"/>
      <family val="1"/>
    </font>
    <font>
      <b/>
      <sz val="10"/>
      <name val="Calibri"/>
      <family val="2"/>
    </font>
    <font>
      <b/>
      <sz val="8"/>
      <name val="Calibri"/>
      <family val="2"/>
    </font>
    <font>
      <b/>
      <sz val="12"/>
      <color theme="0"/>
      <name val="Times New Roman"/>
      <family val="1"/>
    </font>
    <font>
      <b/>
      <sz val="12"/>
      <color rgb="FFC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0"/>
      <name val="Times New Roman"/>
      <family val="1"/>
    </font>
    <font>
      <sz val="10"/>
      <color rgb="FF0070C0"/>
      <name val="Times New Roman"/>
      <family val="1"/>
    </font>
    <font>
      <b/>
      <sz val="10"/>
      <color indexed="8"/>
      <name val="Calibri"/>
      <family val="2"/>
      <scheme val="minor"/>
    </font>
    <font>
      <sz val="10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F45C7"/>
        <bgColor indexed="64"/>
      </patternFill>
    </fill>
    <fill>
      <patternFill patternType="solid">
        <fgColor rgb="FF967200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8F45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EFD9B"/>
        <bgColor indexed="64"/>
      </patternFill>
    </fill>
    <fill>
      <patternFill patternType="solid">
        <fgColor rgb="FFEA0688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FFFF99"/>
        <bgColor indexed="64"/>
      </patternFill>
    </fill>
  </fills>
  <borders count="1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B05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B050"/>
      </right>
      <top style="thin">
        <color indexed="64"/>
      </top>
      <bottom style="medium">
        <color rgb="FF00B05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B0F0"/>
      </right>
      <top style="medium">
        <color rgb="FF00B0F0"/>
      </top>
      <bottom style="thin">
        <color indexed="64"/>
      </bottom>
      <diagonal/>
    </border>
    <border>
      <left style="thin">
        <color indexed="64"/>
      </left>
      <right style="medium">
        <color rgb="FF00B0F0"/>
      </right>
      <top style="thin">
        <color indexed="64"/>
      </top>
      <bottom style="medium">
        <color rgb="FF00B0F0"/>
      </bottom>
      <diagonal/>
    </border>
    <border>
      <left style="thin">
        <color indexed="64"/>
      </left>
      <right style="medium">
        <color rgb="FF00B0F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B050"/>
      </bottom>
      <diagonal/>
    </border>
    <border>
      <left style="medium">
        <color indexed="64"/>
      </left>
      <right style="thin">
        <color indexed="64"/>
      </right>
      <top style="medium">
        <color rgb="FF00B0F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B0F0"/>
      </bottom>
      <diagonal/>
    </border>
    <border>
      <left/>
      <right/>
      <top/>
      <bottom style="dotted">
        <color indexed="64"/>
      </bottom>
      <diagonal/>
    </border>
    <border>
      <left style="medium">
        <color rgb="FFFF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FF0000"/>
      </right>
      <top style="medium">
        <color indexed="64"/>
      </top>
      <bottom/>
      <diagonal/>
    </border>
    <border>
      <left style="medium">
        <color rgb="FFFF0000"/>
      </left>
      <right/>
      <top/>
      <bottom style="medium">
        <color indexed="64"/>
      </bottom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medium">
        <color indexed="64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0">
    <xf numFmtId="0" fontId="0" fillId="0" borderId="0"/>
    <xf numFmtId="0" fontId="2" fillId="0" borderId="0"/>
    <xf numFmtId="0" fontId="40" fillId="0" borderId="0"/>
    <xf numFmtId="44" fontId="2" fillId="0" borderId="0" applyFont="0" applyFill="0" applyBorder="0" applyAlignment="0" applyProtection="0"/>
    <xf numFmtId="0" fontId="59" fillId="0" borderId="0"/>
    <xf numFmtId="0" fontId="71" fillId="0" borderId="0"/>
    <xf numFmtId="0" fontId="75" fillId="0" borderId="0"/>
    <xf numFmtId="44" fontId="76" fillId="0" borderId="0" applyFont="0" applyFill="0" applyBorder="0" applyAlignment="0" applyProtection="0"/>
    <xf numFmtId="0" fontId="84" fillId="0" borderId="0"/>
    <xf numFmtId="0" fontId="108" fillId="0" borderId="0"/>
  </cellStyleXfs>
  <cellXfs count="2423">
    <xf numFmtId="0" fontId="0" fillId="0" borderId="0" xfId="0"/>
    <xf numFmtId="0" fontId="7" fillId="0" borderId="3" xfId="0" applyFont="1" applyBorder="1" applyAlignment="1" applyProtection="1">
      <alignment horizontal="left" vertical="center"/>
      <protection locked="0"/>
    </xf>
    <xf numFmtId="14" fontId="3" fillId="0" borderId="3" xfId="0" applyNumberFormat="1" applyFont="1" applyBorder="1" applyAlignment="1" applyProtection="1">
      <alignment horizontal="left" vertical="center"/>
      <protection locked="0"/>
    </xf>
    <xf numFmtId="0" fontId="0" fillId="0" borderId="7" xfId="0" applyBorder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20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0" fontId="12" fillId="0" borderId="0" xfId="0" applyFont="1" applyAlignment="1">
      <alignment horizontal="center" vertical="center" textRotation="90"/>
    </xf>
    <xf numFmtId="0" fontId="4" fillId="0" borderId="58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40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4" fillId="0" borderId="59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0" fillId="0" borderId="18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/>
    <xf numFmtId="0" fontId="0" fillId="0" borderId="8" xfId="0" applyBorder="1"/>
    <xf numFmtId="0" fontId="0" fillId="0" borderId="24" xfId="0" applyBorder="1"/>
    <xf numFmtId="0" fontId="6" fillId="0" borderId="7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0" fillId="0" borderId="11" xfId="0" applyBorder="1"/>
    <xf numFmtId="12" fontId="0" fillId="3" borderId="6" xfId="0" applyNumberFormat="1" applyFill="1" applyBorder="1"/>
    <xf numFmtId="0" fontId="0" fillId="0" borderId="60" xfId="0" applyBorder="1"/>
    <xf numFmtId="0" fontId="4" fillId="0" borderId="24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7" xfId="0" applyBorder="1"/>
    <xf numFmtId="0" fontId="9" fillId="0" borderId="0" xfId="0" applyFont="1" applyAlignment="1" applyProtection="1">
      <alignment horizontal="center" vertical="center"/>
      <protection locked="0"/>
    </xf>
    <xf numFmtId="0" fontId="22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2" xfId="0" applyFont="1" applyBorder="1"/>
    <xf numFmtId="0" fontId="23" fillId="0" borderId="62" xfId="0" applyFont="1" applyBorder="1"/>
    <xf numFmtId="0" fontId="23" fillId="0" borderId="0" xfId="0" applyFont="1"/>
    <xf numFmtId="0" fontId="0" fillId="0" borderId="2" xfId="0" quotePrefix="1" applyBorder="1" applyAlignment="1">
      <alignment horizontal="center" vertical="center"/>
    </xf>
    <xf numFmtId="0" fontId="0" fillId="0" borderId="18" xfId="0" applyBorder="1"/>
    <xf numFmtId="0" fontId="0" fillId="2" borderId="20" xfId="0" applyFill="1" applyBorder="1"/>
    <xf numFmtId="0" fontId="0" fillId="6" borderId="20" xfId="0" applyFill="1" applyBorder="1"/>
    <xf numFmtId="0" fontId="0" fillId="5" borderId="20" xfId="0" applyFill="1" applyBorder="1"/>
    <xf numFmtId="0" fontId="3" fillId="3" borderId="20" xfId="0" applyFont="1" applyFill="1" applyBorder="1"/>
    <xf numFmtId="0" fontId="0" fillId="7" borderId="20" xfId="0" applyFill="1" applyBorder="1"/>
    <xf numFmtId="0" fontId="0" fillId="8" borderId="20" xfId="0" applyFill="1" applyBorder="1"/>
    <xf numFmtId="0" fontId="0" fillId="9" borderId="20" xfId="0" applyFill="1" applyBorder="1"/>
    <xf numFmtId="0" fontId="0" fillId="10" borderId="20" xfId="0" applyFill="1" applyBorder="1"/>
    <xf numFmtId="0" fontId="0" fillId="11" borderId="20" xfId="0" applyFill="1" applyBorder="1"/>
    <xf numFmtId="0" fontId="0" fillId="12" borderId="20" xfId="0" applyFill="1" applyBorder="1"/>
    <xf numFmtId="0" fontId="0" fillId="12" borderId="19" xfId="0" applyFill="1" applyBorder="1"/>
    <xf numFmtId="0" fontId="0" fillId="0" borderId="23" xfId="0" applyBorder="1"/>
    <xf numFmtId="0" fontId="15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1" fillId="0" borderId="2" xfId="0" applyFont="1" applyBorder="1" applyAlignment="1" applyProtection="1">
      <alignment horizontal="center" vertical="center"/>
      <protection locked="0"/>
    </xf>
    <xf numFmtId="0" fontId="0" fillId="0" borderId="61" xfId="0" applyBorder="1"/>
    <xf numFmtId="0" fontId="0" fillId="0" borderId="64" xfId="0" applyBorder="1"/>
    <xf numFmtId="0" fontId="0" fillId="0" borderId="65" xfId="0" applyBorder="1"/>
    <xf numFmtId="0" fontId="2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20" xfId="0" applyBorder="1"/>
    <xf numFmtId="0" fontId="0" fillId="0" borderId="19" xfId="0" applyBorder="1"/>
    <xf numFmtId="0" fontId="11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0" fillId="0" borderId="63" xfId="0" applyBorder="1"/>
    <xf numFmtId="0" fontId="0" fillId="0" borderId="66" xfId="0" applyBorder="1"/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/>
    <xf numFmtId="0" fontId="0" fillId="0" borderId="26" xfId="0" applyBorder="1"/>
    <xf numFmtId="0" fontId="12" fillId="0" borderId="0" xfId="0" applyFont="1" applyAlignment="1">
      <alignment vertical="center"/>
    </xf>
    <xf numFmtId="0" fontId="0" fillId="0" borderId="7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3" borderId="27" xfId="0" applyFill="1" applyBorder="1"/>
    <xf numFmtId="0" fontId="0" fillId="3" borderId="2" xfId="0" applyFill="1" applyBorder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15" borderId="3" xfId="0" applyFont="1" applyFill="1" applyBorder="1" applyAlignment="1">
      <alignment horizontal="left" vertical="center"/>
    </xf>
    <xf numFmtId="1" fontId="3" fillId="15" borderId="3" xfId="0" applyNumberFormat="1" applyFont="1" applyFill="1" applyBorder="1" applyAlignment="1">
      <alignment horizontal="left" vertical="center"/>
    </xf>
    <xf numFmtId="3" fontId="5" fillId="0" borderId="22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62" xfId="0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60" xfId="0" applyFont="1" applyBorder="1" applyAlignment="1">
      <alignment horizontal="left" vertical="center" wrapText="1"/>
    </xf>
    <xf numFmtId="0" fontId="2" fillId="0" borderId="60" xfId="0" applyFont="1" applyBorder="1" applyAlignment="1">
      <alignment horizontal="left" vertical="center"/>
    </xf>
    <xf numFmtId="0" fontId="2" fillId="2" borderId="60" xfId="0" applyFont="1" applyFill="1" applyBorder="1" applyAlignment="1">
      <alignment horizontal="left" vertical="center"/>
    </xf>
    <xf numFmtId="0" fontId="24" fillId="13" borderId="2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top"/>
    </xf>
    <xf numFmtId="0" fontId="3" fillId="0" borderId="76" xfId="0" applyFont="1" applyBorder="1" applyAlignment="1" applyProtection="1">
      <alignment horizontal="left" vertical="center"/>
      <protection locked="0"/>
    </xf>
    <xf numFmtId="14" fontId="2" fillId="0" borderId="77" xfId="0" applyNumberFormat="1" applyFont="1" applyBorder="1" applyAlignment="1" applyProtection="1">
      <alignment horizontal="left" vertical="center"/>
      <protection locked="0"/>
    </xf>
    <xf numFmtId="14" fontId="3" fillId="0" borderId="78" xfId="0" applyNumberFormat="1" applyFont="1" applyBorder="1" applyAlignment="1" applyProtection="1">
      <alignment horizontal="left" vertical="center"/>
      <protection locked="0"/>
    </xf>
    <xf numFmtId="0" fontId="0" fillId="2" borderId="60" xfId="0" applyFill="1" applyBorder="1"/>
    <xf numFmtId="3" fontId="0" fillId="0" borderId="60" xfId="0" applyNumberFormat="1" applyBorder="1"/>
    <xf numFmtId="0" fontId="0" fillId="2" borderId="42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 textRotation="90"/>
    </xf>
    <xf numFmtId="0" fontId="9" fillId="0" borderId="0" xfId="0" applyFont="1" applyAlignment="1">
      <alignment horizontal="center" vertical="center" wrapText="1"/>
    </xf>
    <xf numFmtId="0" fontId="0" fillId="0" borderId="61" xfId="0" applyBorder="1" applyAlignment="1">
      <alignment horizontal="left" vertical="center"/>
    </xf>
    <xf numFmtId="0" fontId="0" fillId="0" borderId="64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22" fillId="0" borderId="7" xfId="0" applyFont="1" applyBorder="1" applyAlignment="1">
      <alignment horizontal="center" vertical="center"/>
    </xf>
    <xf numFmtId="0" fontId="16" fillId="0" borderId="43" xfId="0" applyFont="1" applyBorder="1" applyAlignment="1">
      <alignment vertical="center"/>
    </xf>
    <xf numFmtId="3" fontId="16" fillId="0" borderId="43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6" fillId="15" borderId="29" xfId="0" applyFont="1" applyFill="1" applyBorder="1" applyAlignment="1">
      <alignment horizontal="center" vertical="center" wrapText="1"/>
    </xf>
    <xf numFmtId="12" fontId="6" fillId="15" borderId="60" xfId="0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62" xfId="0" applyFont="1" applyBorder="1" applyAlignment="1">
      <alignment vertical="center"/>
    </xf>
    <xf numFmtId="0" fontId="2" fillId="2" borderId="4" xfId="0" applyFont="1" applyFill="1" applyBorder="1" applyAlignment="1">
      <alignment horizontal="left" vertical="center"/>
    </xf>
    <xf numFmtId="0" fontId="4" fillId="0" borderId="47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2" fillId="2" borderId="7" xfId="0" applyFont="1" applyFill="1" applyBorder="1" applyAlignment="1">
      <alignment horizontal="left" vertical="center"/>
    </xf>
    <xf numFmtId="0" fontId="2" fillId="15" borderId="7" xfId="0" applyFont="1" applyFill="1" applyBorder="1" applyAlignment="1">
      <alignment horizontal="left" vertical="center"/>
    </xf>
    <xf numFmtId="0" fontId="2" fillId="2" borderId="81" xfId="0" applyFont="1" applyFill="1" applyBorder="1" applyAlignment="1">
      <alignment horizontal="left" vertical="center"/>
    </xf>
    <xf numFmtId="0" fontId="2" fillId="2" borderId="82" xfId="0" applyFont="1" applyFill="1" applyBorder="1" applyAlignment="1">
      <alignment horizontal="left" vertical="center"/>
    </xf>
    <xf numFmtId="0" fontId="2" fillId="2" borderId="83" xfId="0" applyFont="1" applyFill="1" applyBorder="1" applyAlignment="1">
      <alignment horizontal="left" vertical="center"/>
    </xf>
    <xf numFmtId="0" fontId="2" fillId="15" borderId="60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0" fillId="15" borderId="58" xfId="0" applyFill="1" applyBorder="1" applyAlignment="1">
      <alignment horizontal="center" vertical="center"/>
    </xf>
    <xf numFmtId="0" fontId="0" fillId="15" borderId="80" xfId="0" applyFill="1" applyBorder="1" applyAlignment="1">
      <alignment horizontal="center" vertical="center"/>
    </xf>
    <xf numFmtId="0" fontId="0" fillId="15" borderId="42" xfId="0" applyFill="1" applyBorder="1" applyAlignment="1">
      <alignment horizontal="center" vertical="center"/>
    </xf>
    <xf numFmtId="0" fontId="0" fillId="15" borderId="60" xfId="0" applyFill="1" applyBorder="1" applyAlignment="1">
      <alignment horizontal="center" vertical="center"/>
    </xf>
    <xf numFmtId="16" fontId="0" fillId="0" borderId="0" xfId="0" applyNumberFormat="1"/>
    <xf numFmtId="0" fontId="22" fillId="3" borderId="2" xfId="0" applyFont="1" applyFill="1" applyBorder="1" applyAlignment="1">
      <alignment horizontal="center" vertical="center"/>
    </xf>
    <xf numFmtId="0" fontId="2" fillId="15" borderId="60" xfId="0" applyFont="1" applyFill="1" applyBorder="1" applyAlignment="1">
      <alignment horizontal="left" vertical="center"/>
    </xf>
    <xf numFmtId="0" fontId="2" fillId="17" borderId="60" xfId="0" applyFont="1" applyFill="1" applyBorder="1" applyAlignment="1">
      <alignment horizontal="center" vertical="center"/>
    </xf>
    <xf numFmtId="0" fontId="2" fillId="18" borderId="60" xfId="0" applyFont="1" applyFill="1" applyBorder="1" applyAlignment="1">
      <alignment horizontal="center" vertical="center"/>
    </xf>
    <xf numFmtId="0" fontId="2" fillId="19" borderId="60" xfId="0" applyFont="1" applyFill="1" applyBorder="1" applyAlignment="1">
      <alignment horizontal="center" vertical="center"/>
    </xf>
    <xf numFmtId="0" fontId="2" fillId="16" borderId="60" xfId="0" applyFont="1" applyFill="1" applyBorder="1" applyAlignment="1">
      <alignment horizontal="center" vertical="center"/>
    </xf>
    <xf numFmtId="0" fontId="2" fillId="20" borderId="60" xfId="0" applyFont="1" applyFill="1" applyBorder="1" applyAlignment="1">
      <alignment horizontal="center" vertical="center"/>
    </xf>
    <xf numFmtId="0" fontId="2" fillId="21" borderId="60" xfId="0" applyFont="1" applyFill="1" applyBorder="1" applyAlignment="1">
      <alignment horizontal="center" vertical="center"/>
    </xf>
    <xf numFmtId="0" fontId="2" fillId="22" borderId="60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32" xfId="0" applyBorder="1"/>
    <xf numFmtId="0" fontId="24" fillId="0" borderId="0" xfId="0" applyFont="1" applyAlignment="1">
      <alignment vertical="center" wrapText="1"/>
    </xf>
    <xf numFmtId="0" fontId="11" fillId="0" borderId="23" xfId="0" applyFont="1" applyBorder="1" applyAlignment="1">
      <alignment vertical="center" textRotation="255" shrinkToFit="1"/>
    </xf>
    <xf numFmtId="0" fontId="18" fillId="0" borderId="0" xfId="0" applyFont="1"/>
    <xf numFmtId="0" fontId="21" fillId="4" borderId="49" xfId="0" applyFont="1" applyFill="1" applyBorder="1" applyAlignment="1">
      <alignment horizontal="center" vertical="center"/>
    </xf>
    <xf numFmtId="0" fontId="21" fillId="4" borderId="2" xfId="0" applyFont="1" applyFill="1" applyBorder="1"/>
    <xf numFmtId="0" fontId="21" fillId="4" borderId="2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2" xfId="0" applyFont="1" applyBorder="1"/>
    <xf numFmtId="0" fontId="22" fillId="0" borderId="48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6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73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2" borderId="2" xfId="0" applyFont="1" applyFill="1" applyBorder="1"/>
    <xf numFmtId="0" fontId="25" fillId="0" borderId="2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2" fillId="0" borderId="56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70" xfId="0" applyFont="1" applyBorder="1" applyAlignment="1">
      <alignment horizontal="center" vertical="center"/>
    </xf>
    <xf numFmtId="0" fontId="25" fillId="0" borderId="68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5" fillId="0" borderId="74" xfId="0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2" fillId="0" borderId="27" xfId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2" fillId="0" borderId="67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2" fillId="0" borderId="27" xfId="1" applyFont="1" applyBorder="1" applyAlignment="1">
      <alignment horizontal="center" vertical="center"/>
    </xf>
    <xf numFmtId="0" fontId="22" fillId="0" borderId="40" xfId="1" applyFont="1" applyBorder="1" applyAlignment="1">
      <alignment horizontal="center" vertical="center"/>
    </xf>
    <xf numFmtId="0" fontId="22" fillId="0" borderId="5" xfId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2" fillId="0" borderId="7" xfId="1" applyFont="1" applyBorder="1" applyAlignment="1">
      <alignment horizontal="center" vertical="center"/>
    </xf>
    <xf numFmtId="0" fontId="22" fillId="0" borderId="2" xfId="1" applyFont="1" applyBorder="1" applyAlignment="1">
      <alignment horizontal="center" vertical="center"/>
    </xf>
    <xf numFmtId="0" fontId="22" fillId="0" borderId="43" xfId="1" applyFont="1" applyBorder="1" applyAlignment="1">
      <alignment horizontal="center" vertical="center"/>
    </xf>
    <xf numFmtId="0" fontId="22" fillId="0" borderId="48" xfId="1" applyFont="1" applyBorder="1" applyAlignment="1">
      <alignment horizontal="center" vertical="center"/>
    </xf>
    <xf numFmtId="0" fontId="22" fillId="0" borderId="49" xfId="1" applyFont="1" applyBorder="1" applyAlignment="1">
      <alignment horizontal="center" vertical="center"/>
    </xf>
    <xf numFmtId="0" fontId="22" fillId="0" borderId="32" xfId="1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2" fillId="0" borderId="26" xfId="1" applyFont="1" applyBorder="1" applyAlignment="1">
      <alignment horizontal="center" vertical="center"/>
    </xf>
    <xf numFmtId="0" fontId="22" fillId="0" borderId="75" xfId="1" applyFont="1" applyBorder="1" applyAlignment="1">
      <alignment horizontal="center" vertical="center"/>
    </xf>
    <xf numFmtId="0" fontId="22" fillId="0" borderId="34" xfId="1" applyFont="1" applyBorder="1" applyAlignment="1">
      <alignment horizontal="center" vertical="center"/>
    </xf>
    <xf numFmtId="0" fontId="22" fillId="0" borderId="35" xfId="1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2" fillId="0" borderId="4" xfId="1" applyFont="1" applyBorder="1" applyAlignment="1">
      <alignment horizontal="center" vertical="center"/>
    </xf>
    <xf numFmtId="0" fontId="22" fillId="0" borderId="37" xfId="1" applyFont="1" applyBorder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2" fillId="0" borderId="39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2" fillId="0" borderId="10" xfId="1" applyFont="1" applyBorder="1" applyAlignment="1">
      <alignment horizontal="center" vertical="center"/>
    </xf>
    <xf numFmtId="0" fontId="22" fillId="0" borderId="56" xfId="1" applyFont="1" applyBorder="1" applyAlignment="1">
      <alignment horizontal="center" vertical="center"/>
    </xf>
    <xf numFmtId="0" fontId="22" fillId="0" borderId="45" xfId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2" fillId="0" borderId="37" xfId="0" applyFont="1" applyBorder="1" applyAlignment="1">
      <alignment vertical="center"/>
    </xf>
    <xf numFmtId="0" fontId="22" fillId="0" borderId="74" xfId="0" applyFont="1" applyBorder="1" applyAlignment="1">
      <alignment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22" fillId="5" borderId="5" xfId="0" applyFont="1" applyFill="1" applyBorder="1" applyAlignment="1">
      <alignment horizontal="center" vertical="center"/>
    </xf>
    <xf numFmtId="0" fontId="0" fillId="0" borderId="5" xfId="0" applyBorder="1"/>
    <xf numFmtId="0" fontId="3" fillId="0" borderId="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22" fillId="5" borderId="10" xfId="0" applyFont="1" applyFill="1" applyBorder="1" applyAlignment="1">
      <alignment horizontal="center" vertical="center"/>
    </xf>
    <xf numFmtId="0" fontId="0" fillId="0" borderId="10" xfId="0" applyBorder="1"/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14" fillId="0" borderId="0" xfId="0" applyFont="1" applyAlignment="1">
      <alignment horizontal="left" vertical="center"/>
    </xf>
    <xf numFmtId="0" fontId="13" fillId="0" borderId="42" xfId="0" applyFont="1" applyBorder="1" applyAlignment="1">
      <alignment horizontal="left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13" fillId="0" borderId="41" xfId="0" applyFont="1" applyBorder="1" applyAlignment="1">
      <alignment horizontal="left" vertical="center"/>
    </xf>
    <xf numFmtId="0" fontId="0" fillId="0" borderId="63" xfId="0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0" fillId="13" borderId="0" xfId="0" applyFill="1"/>
    <xf numFmtId="0" fontId="0" fillId="0" borderId="7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center" vertical="center"/>
      <protection locked="0"/>
    </xf>
    <xf numFmtId="0" fontId="10" fillId="0" borderId="5" xfId="0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0" fontId="10" fillId="0" borderId="9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vertical="center"/>
    </xf>
    <xf numFmtId="0" fontId="22" fillId="5" borderId="27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 textRotation="255" shrinkToFit="1"/>
    </xf>
    <xf numFmtId="0" fontId="12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 textRotation="255" shrinkToFit="1"/>
    </xf>
    <xf numFmtId="0" fontId="12" fillId="0" borderId="20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60" xfId="0" applyFont="1" applyFill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0" fillId="0" borderId="86" xfId="0" applyBorder="1"/>
    <xf numFmtId="0" fontId="11" fillId="0" borderId="87" xfId="0" applyFont="1" applyBorder="1" applyAlignment="1">
      <alignment vertical="center" textRotation="255" shrinkToFit="1"/>
    </xf>
    <xf numFmtId="0" fontId="0" fillId="0" borderId="88" xfId="0" applyBorder="1"/>
    <xf numFmtId="0" fontId="11" fillId="0" borderId="89" xfId="0" applyFont="1" applyBorder="1" applyAlignment="1">
      <alignment horizontal="center" vertical="center" textRotation="255" shrinkToFit="1"/>
    </xf>
    <xf numFmtId="0" fontId="12" fillId="0" borderId="90" xfId="0" applyFont="1" applyBorder="1" applyAlignment="1">
      <alignment horizontal="center" vertical="center" textRotation="90"/>
    </xf>
    <xf numFmtId="0" fontId="0" fillId="0" borderId="94" xfId="0" applyBorder="1"/>
    <xf numFmtId="0" fontId="0" fillId="0" borderId="92" xfId="0" applyBorder="1"/>
    <xf numFmtId="0" fontId="0" fillId="0" borderId="95" xfId="0" applyBorder="1"/>
    <xf numFmtId="0" fontId="12" fillId="0" borderId="96" xfId="0" applyFont="1" applyBorder="1" applyAlignment="1">
      <alignment horizontal="center" vertical="center" textRotation="90"/>
    </xf>
    <xf numFmtId="0" fontId="4" fillId="0" borderId="97" xfId="0" applyFont="1" applyBorder="1" applyAlignment="1">
      <alignment horizontal="center" vertical="center"/>
    </xf>
    <xf numFmtId="0" fontId="11" fillId="0" borderId="97" xfId="0" applyFont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7" xfId="0" applyBorder="1"/>
    <xf numFmtId="0" fontId="0" fillId="0" borderId="98" xfId="0" applyBorder="1"/>
    <xf numFmtId="0" fontId="11" fillId="0" borderId="90" xfId="0" applyFont="1" applyBorder="1" applyAlignment="1">
      <alignment horizontal="center" vertical="center" textRotation="255" shrinkToFit="1"/>
    </xf>
    <xf numFmtId="0" fontId="12" fillId="0" borderId="91" xfId="0" applyFont="1" applyBorder="1" applyAlignment="1">
      <alignment horizontal="center" vertical="center" textRotation="90"/>
    </xf>
    <xf numFmtId="0" fontId="4" fillId="0" borderId="92" xfId="0" applyFont="1" applyBorder="1" applyAlignment="1">
      <alignment horizontal="center" vertical="center"/>
    </xf>
    <xf numFmtId="0" fontId="11" fillId="0" borderId="92" xfId="0" applyFont="1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45" fillId="0" borderId="18" xfId="0" applyFont="1" applyBorder="1" applyAlignment="1">
      <alignment vertical="center"/>
    </xf>
    <xf numFmtId="0" fontId="45" fillId="0" borderId="20" xfId="0" applyFont="1" applyBorder="1" applyAlignment="1">
      <alignment vertical="center"/>
    </xf>
    <xf numFmtId="0" fontId="45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0" fontId="46" fillId="0" borderId="0" xfId="0" applyFont="1"/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45" fillId="0" borderId="0" xfId="0" applyFont="1" applyAlignment="1">
      <alignment horizontal="left" vertical="center"/>
    </xf>
    <xf numFmtId="0" fontId="46" fillId="0" borderId="0" xfId="0" applyFont="1" applyAlignment="1">
      <alignment horizontal="center" vertical="center"/>
    </xf>
    <xf numFmtId="0" fontId="45" fillId="0" borderId="0" xfId="0" applyFont="1" applyAlignment="1">
      <alignment horizontal="right" vertical="center"/>
    </xf>
    <xf numFmtId="0" fontId="47" fillId="0" borderId="23" xfId="0" applyFont="1" applyBorder="1" applyAlignment="1">
      <alignment horizontal="center" vertical="center" textRotation="255" shrinkToFit="1"/>
    </xf>
    <xf numFmtId="0" fontId="46" fillId="0" borderId="25" xfId="0" applyFont="1" applyBorder="1"/>
    <xf numFmtId="0" fontId="45" fillId="0" borderId="0" xfId="0" applyFont="1" applyAlignment="1">
      <alignment horizontal="center"/>
    </xf>
    <xf numFmtId="0" fontId="45" fillId="0" borderId="0" xfId="0" applyFont="1" applyAlignment="1">
      <alignment vertical="center" wrapText="1"/>
    </xf>
    <xf numFmtId="0" fontId="46" fillId="0" borderId="22" xfId="0" applyFont="1" applyBorder="1"/>
    <xf numFmtId="0" fontId="45" fillId="0" borderId="23" xfId="0" applyFont="1" applyBorder="1" applyAlignment="1">
      <alignment vertical="center" wrapText="1"/>
    </xf>
    <xf numFmtId="0" fontId="47" fillId="0" borderId="21" xfId="0" applyFont="1" applyBorder="1" applyAlignment="1">
      <alignment vertical="center"/>
    </xf>
    <xf numFmtId="0" fontId="47" fillId="0" borderId="23" xfId="0" applyFont="1" applyBorder="1" applyAlignment="1">
      <alignment vertical="center"/>
    </xf>
    <xf numFmtId="0" fontId="46" fillId="0" borderId="23" xfId="0" applyFont="1" applyBorder="1"/>
    <xf numFmtId="0" fontId="29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vertical="center"/>
    </xf>
    <xf numFmtId="0" fontId="29" fillId="0" borderId="0" xfId="0" applyFont="1" applyAlignment="1">
      <alignment horizont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right" vertical="center"/>
    </xf>
    <xf numFmtId="0" fontId="27" fillId="0" borderId="18" xfId="0" applyFont="1" applyBorder="1"/>
    <xf numFmtId="0" fontId="54" fillId="0" borderId="58" xfId="0" applyFont="1" applyBorder="1" applyAlignment="1">
      <alignment horizontal="center" vertical="center" wrapText="1"/>
    </xf>
    <xf numFmtId="0" fontId="52" fillId="0" borderId="60" xfId="0" applyFont="1" applyBorder="1" applyAlignment="1">
      <alignment horizontal="center" vertical="center"/>
    </xf>
    <xf numFmtId="12" fontId="27" fillId="0" borderId="0" xfId="0" applyNumberFormat="1" applyFont="1"/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left"/>
    </xf>
    <xf numFmtId="12" fontId="52" fillId="0" borderId="60" xfId="0" applyNumberFormat="1" applyFont="1" applyBorder="1" applyAlignment="1">
      <alignment horizontal="center" vertical="center"/>
    </xf>
    <xf numFmtId="0" fontId="29" fillId="0" borderId="99" xfId="0" applyFont="1" applyBorder="1" applyAlignment="1">
      <alignment vertical="center"/>
    </xf>
    <xf numFmtId="0" fontId="27" fillId="0" borderId="100" xfId="0" applyFont="1" applyBorder="1"/>
    <xf numFmtId="0" fontId="27" fillId="0" borderId="99" xfId="0" applyFont="1" applyBorder="1" applyAlignment="1">
      <alignment vertical="center"/>
    </xf>
    <xf numFmtId="0" fontId="26" fillId="0" borderId="60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/>
    </xf>
    <xf numFmtId="0" fontId="3" fillId="0" borderId="27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27" fillId="0" borderId="38" xfId="0" applyFont="1" applyBorder="1"/>
    <xf numFmtId="166" fontId="16" fillId="0" borderId="43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52" fillId="0" borderId="0" xfId="0" applyFont="1" applyAlignment="1">
      <alignment horizontal="left" vertical="center"/>
    </xf>
    <xf numFmtId="0" fontId="55" fillId="0" borderId="0" xfId="0" applyFont="1"/>
    <xf numFmtId="0" fontId="52" fillId="0" borderId="18" xfId="0" applyFont="1" applyBorder="1" applyAlignment="1">
      <alignment horizontal="center" vertical="center"/>
    </xf>
    <xf numFmtId="0" fontId="52" fillId="0" borderId="58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/>
    </xf>
    <xf numFmtId="0" fontId="16" fillId="0" borderId="8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164" fontId="16" fillId="0" borderId="0" xfId="0" applyNumberFormat="1" applyFont="1" applyAlignment="1">
      <alignment horizontal="center" vertical="center"/>
    </xf>
    <xf numFmtId="0" fontId="57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25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textRotation="90"/>
    </xf>
    <xf numFmtId="0" fontId="16" fillId="0" borderId="25" xfId="0" applyFont="1" applyBorder="1" applyAlignment="1">
      <alignment vertical="center" wrapText="1"/>
    </xf>
    <xf numFmtId="0" fontId="16" fillId="0" borderId="24" xfId="0" applyFont="1" applyBorder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/>
    <xf numFmtId="0" fontId="3" fillId="0" borderId="0" xfId="0" applyFont="1"/>
    <xf numFmtId="0" fontId="3" fillId="0" borderId="60" xfId="0" applyFont="1" applyBorder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16" fillId="0" borderId="0" xfId="0" applyFont="1" applyAlignment="1">
      <alignment horizontal="center" vertical="top"/>
    </xf>
    <xf numFmtId="0" fontId="3" fillId="0" borderId="24" xfId="0" applyFont="1" applyBorder="1" applyAlignment="1">
      <alignment horizontal="center" vertical="center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center" vertical="center" textRotation="90"/>
    </xf>
    <xf numFmtId="0" fontId="16" fillId="0" borderId="33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6" fillId="0" borderId="35" xfId="0" applyFont="1" applyBorder="1" applyAlignment="1">
      <alignment vertical="center"/>
    </xf>
    <xf numFmtId="167" fontId="16" fillId="0" borderId="2" xfId="0" applyNumberFormat="1" applyFont="1" applyBorder="1" applyAlignment="1">
      <alignment vertical="center"/>
    </xf>
    <xf numFmtId="167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34" xfId="0" applyFont="1" applyBorder="1" applyAlignment="1">
      <alignment vertical="center"/>
    </xf>
    <xf numFmtId="0" fontId="16" fillId="0" borderId="46" xfId="0" applyFont="1" applyBorder="1" applyAlignment="1">
      <alignment vertical="center"/>
    </xf>
    <xf numFmtId="0" fontId="16" fillId="0" borderId="24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0" fontId="47" fillId="0" borderId="21" xfId="0" applyFont="1" applyBorder="1" applyAlignment="1">
      <alignment horizontal="center" vertical="center" textRotation="255" shrinkToFit="1"/>
    </xf>
    <xf numFmtId="0" fontId="0" fillId="0" borderId="68" xfId="0" applyBorder="1" applyAlignment="1">
      <alignment vertical="center"/>
    </xf>
    <xf numFmtId="0" fontId="0" fillId="0" borderId="1" xfId="0" applyBorder="1"/>
    <xf numFmtId="0" fontId="22" fillId="5" borderId="1" xfId="0" applyFont="1" applyFill="1" applyBorder="1" applyAlignment="1">
      <alignment horizontal="center" vertical="center"/>
    </xf>
    <xf numFmtId="0" fontId="0" fillId="0" borderId="69" xfId="0" applyBorder="1"/>
    <xf numFmtId="0" fontId="60" fillId="0" borderId="4" xfId="4" applyFont="1" applyBorder="1"/>
    <xf numFmtId="0" fontId="60" fillId="0" borderId="5" xfId="4" applyFont="1" applyBorder="1"/>
    <xf numFmtId="0" fontId="59" fillId="0" borderId="0" xfId="4"/>
    <xf numFmtId="0" fontId="63" fillId="0" borderId="9" xfId="4" applyFont="1" applyBorder="1"/>
    <xf numFmtId="0" fontId="63" fillId="0" borderId="10" xfId="4" applyFont="1" applyBorder="1"/>
    <xf numFmtId="0" fontId="64" fillId="0" borderId="0" xfId="4" applyFont="1" applyAlignment="1">
      <alignment horizontal="center"/>
    </xf>
    <xf numFmtId="0" fontId="2" fillId="0" borderId="0" xfId="4" applyFont="1" applyAlignment="1">
      <alignment horizontal="center"/>
    </xf>
    <xf numFmtId="0" fontId="59" fillId="0" borderId="0" xfId="4" applyAlignment="1">
      <alignment horizontal="left"/>
    </xf>
    <xf numFmtId="0" fontId="59" fillId="0" borderId="0" xfId="4" applyAlignment="1">
      <alignment horizontal="center"/>
    </xf>
    <xf numFmtId="0" fontId="4" fillId="0" borderId="0" xfId="4" applyFont="1"/>
    <xf numFmtId="0" fontId="12" fillId="0" borderId="20" xfId="4" applyFont="1" applyBorder="1"/>
    <xf numFmtId="0" fontId="59" fillId="0" borderId="19" xfId="4" applyBorder="1"/>
    <xf numFmtId="0" fontId="12" fillId="0" borderId="0" xfId="4" applyFont="1"/>
    <xf numFmtId="0" fontId="59" fillId="0" borderId="25" xfId="4" applyBorder="1"/>
    <xf numFmtId="0" fontId="13" fillId="0" borderId="2" xfId="4" applyFont="1" applyBorder="1" applyAlignment="1">
      <alignment horizontal="center"/>
    </xf>
    <xf numFmtId="0" fontId="13" fillId="0" borderId="10" xfId="4" applyFont="1" applyBorder="1" applyAlignment="1">
      <alignment horizontal="center"/>
    </xf>
    <xf numFmtId="0" fontId="11" fillId="0" borderId="24" xfId="4" applyFont="1" applyBorder="1" applyAlignment="1">
      <alignment horizontal="center"/>
    </xf>
    <xf numFmtId="0" fontId="11" fillId="0" borderId="0" xfId="4" applyFont="1" applyAlignment="1">
      <alignment horizontal="center"/>
    </xf>
    <xf numFmtId="0" fontId="4" fillId="0" borderId="0" xfId="4" applyFont="1" applyAlignment="1">
      <alignment horizontal="center"/>
    </xf>
    <xf numFmtId="0" fontId="59" fillId="0" borderId="24" xfId="4" applyBorder="1"/>
    <xf numFmtId="0" fontId="4" fillId="0" borderId="0" xfId="4" applyFont="1" applyAlignment="1">
      <alignment horizontal="right" vertical="center"/>
    </xf>
    <xf numFmtId="0" fontId="12" fillId="0" borderId="58" xfId="4" applyFont="1" applyBorder="1"/>
    <xf numFmtId="0" fontId="12" fillId="0" borderId="40" xfId="4" applyFont="1" applyBorder="1"/>
    <xf numFmtId="0" fontId="59" fillId="0" borderId="40" xfId="4" applyBorder="1"/>
    <xf numFmtId="0" fontId="13" fillId="0" borderId="40" xfId="4" applyFont="1" applyBorder="1"/>
    <xf numFmtId="0" fontId="59" fillId="0" borderId="108" xfId="4" applyBorder="1"/>
    <xf numFmtId="0" fontId="59" fillId="0" borderId="35" xfId="4" applyBorder="1"/>
    <xf numFmtId="0" fontId="13" fillId="0" borderId="35" xfId="4" applyFont="1" applyBorder="1"/>
    <xf numFmtId="0" fontId="59" fillId="0" borderId="43" xfId="4" applyBorder="1"/>
    <xf numFmtId="0" fontId="13" fillId="0" borderId="43" xfId="4" applyFont="1" applyBorder="1" applyAlignment="1">
      <alignment horizontal="right"/>
    </xf>
    <xf numFmtId="0" fontId="4" fillId="0" borderId="43" xfId="4" applyFont="1" applyBorder="1" applyAlignment="1">
      <alignment horizontal="center"/>
    </xf>
    <xf numFmtId="0" fontId="4" fillId="0" borderId="43" xfId="4" applyFont="1" applyBorder="1"/>
    <xf numFmtId="0" fontId="59" fillId="0" borderId="44" xfId="4" applyBorder="1"/>
    <xf numFmtId="0" fontId="59" fillId="0" borderId="45" xfId="4" applyBorder="1"/>
    <xf numFmtId="0" fontId="13" fillId="0" borderId="45" xfId="4" applyFont="1" applyBorder="1"/>
    <xf numFmtId="0" fontId="13" fillId="0" borderId="45" xfId="4" applyFont="1" applyBorder="1" applyAlignment="1">
      <alignment horizontal="right"/>
    </xf>
    <xf numFmtId="0" fontId="2" fillId="0" borderId="45" xfId="4" applyFont="1" applyBorder="1" applyAlignment="1">
      <alignment horizontal="center"/>
    </xf>
    <xf numFmtId="0" fontId="4" fillId="0" borderId="45" xfId="4" applyFont="1" applyBorder="1"/>
    <xf numFmtId="0" fontId="4" fillId="0" borderId="75" xfId="4" applyFont="1" applyBorder="1"/>
    <xf numFmtId="0" fontId="4" fillId="0" borderId="23" xfId="4" applyFont="1" applyBorder="1"/>
    <xf numFmtId="0" fontId="59" fillId="0" borderId="20" xfId="4" applyBorder="1"/>
    <xf numFmtId="0" fontId="4" fillId="0" borderId="0" xfId="4" applyFont="1" applyAlignment="1">
      <alignment horizontal="right"/>
    </xf>
    <xf numFmtId="0" fontId="52" fillId="0" borderId="60" xfId="0" applyFont="1" applyBorder="1" applyAlignment="1">
      <alignment horizontal="center" vertical="center" shrinkToFit="1"/>
    </xf>
    <xf numFmtId="14" fontId="3" fillId="0" borderId="76" xfId="0" applyNumberFormat="1" applyFont="1" applyBorder="1" applyAlignment="1" applyProtection="1">
      <alignment horizontal="left" vertical="center"/>
      <protection locked="0"/>
    </xf>
    <xf numFmtId="0" fontId="47" fillId="0" borderId="0" xfId="0" applyFont="1" applyAlignment="1">
      <alignment vertical="center"/>
    </xf>
    <xf numFmtId="0" fontId="47" fillId="0" borderId="24" xfId="0" applyFont="1" applyBorder="1" applyAlignment="1">
      <alignment vertical="center"/>
    </xf>
    <xf numFmtId="164" fontId="45" fillId="0" borderId="0" xfId="0" applyNumberFormat="1" applyFont="1" applyAlignment="1">
      <alignment horizontal="center" vertical="center"/>
    </xf>
    <xf numFmtId="0" fontId="48" fillId="0" borderId="0" xfId="0" applyFont="1" applyAlignment="1">
      <alignment vertical="center"/>
    </xf>
    <xf numFmtId="0" fontId="47" fillId="0" borderId="0" xfId="0" applyFont="1" applyAlignment="1">
      <alignment vertical="center" wrapText="1"/>
    </xf>
    <xf numFmtId="0" fontId="45" fillId="0" borderId="24" xfId="0" applyFont="1" applyBorder="1" applyAlignment="1">
      <alignment vertical="center"/>
    </xf>
    <xf numFmtId="0" fontId="71" fillId="0" borderId="0" xfId="5"/>
    <xf numFmtId="0" fontId="15" fillId="0" borderId="0" xfId="5" applyFont="1" applyAlignment="1">
      <alignment vertical="center"/>
    </xf>
    <xf numFmtId="0" fontId="72" fillId="0" borderId="0" xfId="5" applyFont="1" applyAlignment="1">
      <alignment vertical="center"/>
    </xf>
    <xf numFmtId="0" fontId="71" fillId="0" borderId="0" xfId="5" applyAlignment="1">
      <alignment horizontal="left" vertical="center"/>
    </xf>
    <xf numFmtId="0" fontId="15" fillId="0" borderId="43" xfId="5" applyFont="1" applyBorder="1" applyAlignment="1">
      <alignment vertical="center"/>
    </xf>
    <xf numFmtId="0" fontId="15" fillId="0" borderId="2" xfId="5" applyFont="1" applyBorder="1" applyAlignment="1">
      <alignment horizontal="center" vertical="center"/>
    </xf>
    <xf numFmtId="12" fontId="15" fillId="0" borderId="2" xfId="5" applyNumberFormat="1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62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109" xfId="0" applyFont="1" applyBorder="1" applyAlignment="1">
      <alignment horizontal="center" vertical="center"/>
    </xf>
    <xf numFmtId="0" fontId="13" fillId="15" borderId="60" xfId="0" applyFont="1" applyFill="1" applyBorder="1" applyAlignment="1">
      <alignment horizontal="center" vertical="center" wrapText="1"/>
    </xf>
    <xf numFmtId="0" fontId="6" fillId="0" borderId="60" xfId="0" applyFont="1" applyBorder="1" applyAlignment="1" applyProtection="1">
      <alignment horizontal="center" vertical="center"/>
      <protection locked="0"/>
    </xf>
    <xf numFmtId="12" fontId="0" fillId="0" borderId="5" xfId="0" applyNumberFormat="1" applyBorder="1"/>
    <xf numFmtId="12" fontId="0" fillId="0" borderId="2" xfId="0" applyNumberFormat="1" applyBorder="1"/>
    <xf numFmtId="12" fontId="0" fillId="0" borderId="10" xfId="0" applyNumberFormat="1" applyBorder="1"/>
    <xf numFmtId="0" fontId="0" fillId="6" borderId="0" xfId="0" applyFill="1" applyAlignment="1">
      <alignment horizontal="center" vertical="center"/>
    </xf>
    <xf numFmtId="0" fontId="12" fillId="0" borderId="2" xfId="4" applyFont="1" applyBorder="1"/>
    <xf numFmtId="0" fontId="13" fillId="0" borderId="49" xfId="4" applyFont="1" applyBorder="1" applyAlignment="1">
      <alignment horizontal="center"/>
    </xf>
    <xf numFmtId="0" fontId="59" fillId="0" borderId="8" xfId="4" applyBorder="1"/>
    <xf numFmtId="0" fontId="0" fillId="2" borderId="58" xfId="0" applyFill="1" applyBorder="1" applyAlignment="1">
      <alignment horizontal="center" vertical="center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2" fillId="29" borderId="60" xfId="0" applyFont="1" applyFill="1" applyBorder="1" applyAlignment="1">
      <alignment horizontal="center" vertical="center"/>
    </xf>
    <xf numFmtId="0" fontId="2" fillId="30" borderId="60" xfId="0" applyFont="1" applyFill="1" applyBorder="1" applyAlignment="1">
      <alignment horizontal="center" vertical="center"/>
    </xf>
    <xf numFmtId="0" fontId="2" fillId="31" borderId="6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4" fillId="0" borderId="0" xfId="0" applyFont="1"/>
    <xf numFmtId="0" fontId="16" fillId="0" borderId="40" xfId="0" applyFont="1" applyBorder="1" applyAlignment="1">
      <alignment horizontal="center" vertical="center"/>
    </xf>
    <xf numFmtId="0" fontId="0" fillId="15" borderId="108" xfId="0" applyFill="1" applyBorder="1" applyAlignment="1">
      <alignment horizontal="center" vertical="center"/>
    </xf>
    <xf numFmtId="0" fontId="0" fillId="15" borderId="18" xfId="0" applyFill="1" applyBorder="1" applyAlignment="1">
      <alignment horizontal="center" vertical="center"/>
    </xf>
    <xf numFmtId="0" fontId="0" fillId="15" borderId="61" xfId="0" applyFill="1" applyBorder="1" applyAlignment="1">
      <alignment horizontal="center" vertical="center"/>
    </xf>
    <xf numFmtId="0" fontId="2" fillId="15" borderId="60" xfId="0" applyFont="1" applyFill="1" applyBorder="1" applyAlignment="1">
      <alignment horizontal="center" vertical="center"/>
    </xf>
    <xf numFmtId="0" fontId="6" fillId="32" borderId="60" xfId="0" applyFont="1" applyFill="1" applyBorder="1" applyAlignment="1">
      <alignment horizontal="center" vertical="center" wrapText="1"/>
    </xf>
    <xf numFmtId="0" fontId="0" fillId="6" borderId="8" xfId="0" applyFill="1" applyBorder="1"/>
    <xf numFmtId="0" fontId="0" fillId="6" borderId="11" xfId="0" applyFill="1" applyBorder="1"/>
    <xf numFmtId="2" fontId="0" fillId="0" borderId="60" xfId="0" applyNumberFormat="1" applyBorder="1"/>
    <xf numFmtId="0" fontId="0" fillId="0" borderId="31" xfId="0" applyBorder="1"/>
    <xf numFmtId="0" fontId="0" fillId="0" borderId="6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33" borderId="60" xfId="0" applyFill="1" applyBorder="1"/>
    <xf numFmtId="0" fontId="0" fillId="0" borderId="0" xfId="0" quotePrefix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2" fillId="0" borderId="61" xfId="0" applyFont="1" applyBorder="1" applyAlignment="1">
      <alignment vertical="top"/>
    </xf>
    <xf numFmtId="0" fontId="0" fillId="5" borderId="102" xfId="0" applyFill="1" applyBorder="1" applyAlignment="1">
      <alignment horizontal="center" vertical="center"/>
    </xf>
    <xf numFmtId="0" fontId="0" fillId="5" borderId="75" xfId="0" applyFill="1" applyBorder="1" applyAlignment="1">
      <alignment horizontal="center" vertical="center"/>
    </xf>
    <xf numFmtId="0" fontId="0" fillId="5" borderId="111" xfId="0" applyFill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2" fontId="0" fillId="0" borderId="27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2" fontId="0" fillId="0" borderId="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13" borderId="2" xfId="0" applyNumberFormat="1" applyFill="1" applyBorder="1" applyAlignment="1">
      <alignment horizontal="center" vertical="center"/>
    </xf>
    <xf numFmtId="2" fontId="0" fillId="13" borderId="8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62" fillId="0" borderId="65" xfId="0" applyFont="1" applyBorder="1" applyAlignment="1">
      <alignment horizontal="center" vertical="center"/>
    </xf>
    <xf numFmtId="0" fontId="4" fillId="0" borderId="45" xfId="4" applyFont="1" applyBorder="1" applyAlignment="1">
      <alignment horizontal="center"/>
    </xf>
    <xf numFmtId="0" fontId="0" fillId="5" borderId="20" xfId="0" applyFill="1" applyBorder="1" applyAlignment="1">
      <alignment horizontal="center" vertical="center"/>
    </xf>
    <xf numFmtId="0" fontId="4" fillId="0" borderId="42" xfId="4" applyFont="1" applyBorder="1"/>
    <xf numFmtId="44" fontId="4" fillId="0" borderId="43" xfId="3" applyFont="1" applyBorder="1" applyAlignment="1"/>
    <xf numFmtId="12" fontId="0" fillId="0" borderId="0" xfId="0" applyNumberFormat="1"/>
    <xf numFmtId="0" fontId="0" fillId="33" borderId="0" xfId="0" applyFill="1"/>
    <xf numFmtId="0" fontId="0" fillId="5" borderId="63" xfId="0" applyFill="1" applyBorder="1" applyAlignment="1">
      <alignment horizontal="center" vertical="center"/>
    </xf>
    <xf numFmtId="0" fontId="0" fillId="5" borderId="66" xfId="0" applyFill="1" applyBorder="1" applyAlignment="1">
      <alignment horizontal="center" vertical="center"/>
    </xf>
    <xf numFmtId="0" fontId="0" fillId="5" borderId="67" xfId="0" applyFill="1" applyBorder="1" applyAlignment="1">
      <alignment horizontal="center" vertical="center"/>
    </xf>
    <xf numFmtId="0" fontId="78" fillId="5" borderId="60" xfId="0" applyFont="1" applyFill="1" applyBorder="1" applyAlignment="1">
      <alignment horizontal="center" vertical="center" wrapText="1"/>
    </xf>
    <xf numFmtId="0" fontId="0" fillId="5" borderId="60" xfId="0" applyFill="1" applyBorder="1" applyAlignment="1">
      <alignment horizontal="center" vertical="center"/>
    </xf>
    <xf numFmtId="0" fontId="2" fillId="0" borderId="0" xfId="4" applyFont="1"/>
    <xf numFmtId="0" fontId="59" fillId="0" borderId="63" xfId="4" applyBorder="1"/>
    <xf numFmtId="0" fontId="59" fillId="0" borderId="66" xfId="4" applyBorder="1"/>
    <xf numFmtId="0" fontId="59" fillId="0" borderId="67" xfId="4" applyBorder="1"/>
    <xf numFmtId="0" fontId="79" fillId="0" borderId="75" xfId="4" applyFont="1" applyBorder="1"/>
    <xf numFmtId="0" fontId="2" fillId="2" borderId="82" xfId="0" applyFont="1" applyFill="1" applyBorder="1" applyAlignment="1">
      <alignment horizontal="left" vertical="center" wrapText="1"/>
    </xf>
    <xf numFmtId="0" fontId="0" fillId="9" borderId="60" xfId="0" applyFill="1" applyBorder="1"/>
    <xf numFmtId="0" fontId="80" fillId="34" borderId="61" xfId="0" applyFont="1" applyFill="1" applyBorder="1" applyAlignment="1">
      <alignment shrinkToFit="1"/>
    </xf>
    <xf numFmtId="12" fontId="0" fillId="0" borderId="66" xfId="0" applyNumberFormat="1" applyBorder="1"/>
    <xf numFmtId="0" fontId="0" fillId="0" borderId="67" xfId="0" applyBorder="1"/>
    <xf numFmtId="0" fontId="0" fillId="2" borderId="63" xfId="0" applyFill="1" applyBorder="1"/>
    <xf numFmtId="0" fontId="5" fillId="2" borderId="20" xfId="0" applyFont="1" applyFill="1" applyBorder="1" applyAlignment="1">
      <alignment vertical="center"/>
    </xf>
    <xf numFmtId="0" fontId="5" fillId="2" borderId="30" xfId="0" applyFont="1" applyFill="1" applyBorder="1" applyAlignment="1">
      <alignment vertical="center" wrapText="1"/>
    </xf>
    <xf numFmtId="0" fontId="26" fillId="0" borderId="5" xfId="0" applyFont="1" applyBorder="1" applyAlignment="1">
      <alignment horizontal="left" vertical="center"/>
    </xf>
    <xf numFmtId="0" fontId="26" fillId="0" borderId="6" xfId="0" applyFont="1" applyBorder="1" applyAlignment="1">
      <alignment horizontal="left" vertical="center"/>
    </xf>
    <xf numFmtId="0" fontId="29" fillId="0" borderId="0" xfId="0" applyFont="1" applyAlignment="1">
      <alignment horizontal="right" vertical="center"/>
    </xf>
    <xf numFmtId="0" fontId="52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9" fillId="0" borderId="4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right" vertical="center"/>
    </xf>
    <xf numFmtId="0" fontId="26" fillId="0" borderId="0" xfId="0" applyFont="1" applyAlignment="1">
      <alignment horizontal="center" vertical="center" shrinkToFit="1"/>
    </xf>
    <xf numFmtId="0" fontId="26" fillId="0" borderId="61" xfId="0" applyFont="1" applyBorder="1" applyAlignment="1">
      <alignment horizontal="center" vertical="center" shrinkToFit="1"/>
    </xf>
    <xf numFmtId="0" fontId="26" fillId="0" borderId="61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 shrinkToFit="1"/>
    </xf>
    <xf numFmtId="0" fontId="29" fillId="0" borderId="20" xfId="0" applyFont="1" applyBorder="1" applyAlignment="1">
      <alignment horizontal="right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9" fillId="0" borderId="21" xfId="0" applyFont="1" applyBorder="1" applyAlignment="1">
      <alignment horizontal="right" vertical="center"/>
    </xf>
    <xf numFmtId="0" fontId="26" fillId="0" borderId="23" xfId="0" applyFont="1" applyBorder="1" applyAlignment="1">
      <alignment horizontal="center" vertical="center" shrinkToFit="1"/>
    </xf>
    <xf numFmtId="0" fontId="29" fillId="0" borderId="23" xfId="0" applyFont="1" applyBorder="1" applyAlignment="1">
      <alignment horizontal="right" vertical="center"/>
    </xf>
    <xf numFmtId="0" fontId="26" fillId="0" borderId="23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9" fillId="0" borderId="24" xfId="0" applyFont="1" applyBorder="1" applyAlignment="1">
      <alignment horizontal="right" vertical="center"/>
    </xf>
    <xf numFmtId="0" fontId="26" fillId="0" borderId="25" xfId="0" applyFont="1" applyBorder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29" fillId="0" borderId="0" xfId="0" applyFont="1" applyAlignment="1">
      <alignment horizontal="left" vertical="center" wrapText="1"/>
    </xf>
    <xf numFmtId="0" fontId="52" fillId="0" borderId="0" xfId="0" applyFont="1" applyAlignment="1">
      <alignment vertical="center"/>
    </xf>
    <xf numFmtId="0" fontId="8" fillId="0" borderId="24" xfId="0" applyFont="1" applyBorder="1"/>
    <xf numFmtId="0" fontId="8" fillId="0" borderId="0" xfId="0" applyFont="1"/>
    <xf numFmtId="164" fontId="8" fillId="0" borderId="0" xfId="0" applyNumberFormat="1" applyFont="1"/>
    <xf numFmtId="0" fontId="16" fillId="0" borderId="99" xfId="0" applyFont="1" applyBorder="1" applyAlignment="1">
      <alignment vertical="top"/>
    </xf>
    <xf numFmtId="0" fontId="16" fillId="0" borderId="84" xfId="0" applyFont="1" applyBorder="1" applyAlignment="1">
      <alignment vertical="top"/>
    </xf>
    <xf numFmtId="0" fontId="84" fillId="0" borderId="0" xfId="8"/>
    <xf numFmtId="0" fontId="2" fillId="0" borderId="0" xfId="8" applyFont="1" applyAlignment="1">
      <alignment horizontal="center" vertical="center"/>
    </xf>
    <xf numFmtId="0" fontId="2" fillId="0" borderId="20" xfId="8" applyFont="1" applyBorder="1" applyAlignment="1">
      <alignment horizontal="center" vertical="center"/>
    </xf>
    <xf numFmtId="0" fontId="84" fillId="0" borderId="0" xfId="8" applyAlignment="1">
      <alignment vertical="center"/>
    </xf>
    <xf numFmtId="0" fontId="4" fillId="0" borderId="0" xfId="8" applyFont="1" applyAlignment="1">
      <alignment vertical="center"/>
    </xf>
    <xf numFmtId="0" fontId="84" fillId="0" borderId="0" xfId="8" applyAlignment="1">
      <alignment horizontal="center" vertical="center"/>
    </xf>
    <xf numFmtId="0" fontId="2" fillId="0" borderId="0" xfId="8" applyFont="1" applyAlignment="1">
      <alignment vertical="center"/>
    </xf>
    <xf numFmtId="0" fontId="85" fillId="0" borderId="0" xfId="8" applyFont="1" applyAlignment="1">
      <alignment vertical="center"/>
    </xf>
    <xf numFmtId="0" fontId="4" fillId="0" borderId="0" xfId="8" applyFont="1"/>
    <xf numFmtId="14" fontId="4" fillId="0" borderId="0" xfId="8" applyNumberFormat="1" applyFont="1" applyAlignment="1">
      <alignment horizontal="center" vertical="center"/>
    </xf>
    <xf numFmtId="0" fontId="0" fillId="6" borderId="64" xfId="0" applyFill="1" applyBorder="1"/>
    <xf numFmtId="0" fontId="88" fillId="32" borderId="60" xfId="0" applyFont="1" applyFill="1" applyBorder="1" applyAlignment="1">
      <alignment horizontal="center" vertical="center" wrapText="1"/>
    </xf>
    <xf numFmtId="0" fontId="88" fillId="2" borderId="60" xfId="0" applyFont="1" applyFill="1" applyBorder="1" applyAlignment="1">
      <alignment horizontal="center" vertical="center" wrapText="1"/>
    </xf>
    <xf numFmtId="0" fontId="0" fillId="0" borderId="22" xfId="0" applyBorder="1"/>
    <xf numFmtId="1" fontId="88" fillId="0" borderId="0" xfId="0" applyNumberFormat="1" applyFont="1"/>
    <xf numFmtId="1" fontId="0" fillId="0" borderId="0" xfId="0" applyNumberFormat="1"/>
    <xf numFmtId="0" fontId="6" fillId="0" borderId="4" xfId="0" applyFont="1" applyBorder="1" applyAlignment="1">
      <alignment horizontal="left" vertical="center"/>
    </xf>
    <xf numFmtId="0" fontId="0" fillId="6" borderId="6" xfId="0" applyFill="1" applyBorder="1"/>
    <xf numFmtId="0" fontId="0" fillId="0" borderId="21" xfId="0" applyBorder="1"/>
    <xf numFmtId="0" fontId="49" fillId="24" borderId="18" xfId="0" applyFont="1" applyFill="1" applyBorder="1" applyAlignment="1">
      <alignment vertical="center" textRotation="255" shrinkToFit="1"/>
    </xf>
    <xf numFmtId="0" fontId="49" fillId="24" borderId="18" xfId="0" applyFont="1" applyFill="1" applyBorder="1" applyAlignment="1">
      <alignment vertical="center"/>
    </xf>
    <xf numFmtId="0" fontId="49" fillId="24" borderId="20" xfId="0" applyFont="1" applyFill="1" applyBorder="1" applyAlignment="1">
      <alignment vertical="center"/>
    </xf>
    <xf numFmtId="0" fontId="49" fillId="24" borderId="19" xfId="0" applyFont="1" applyFill="1" applyBorder="1" applyAlignment="1">
      <alignment vertical="center"/>
    </xf>
    <xf numFmtId="0" fontId="49" fillId="24" borderId="20" xfId="0" applyFont="1" applyFill="1" applyBorder="1" applyAlignment="1">
      <alignment horizontal="center" vertical="center"/>
    </xf>
    <xf numFmtId="0" fontId="49" fillId="24" borderId="21" xfId="0" applyFont="1" applyFill="1" applyBorder="1" applyAlignment="1">
      <alignment vertical="center" textRotation="255" shrinkToFit="1"/>
    </xf>
    <xf numFmtId="0" fontId="49" fillId="24" borderId="18" xfId="0" applyFont="1" applyFill="1" applyBorder="1" applyAlignment="1">
      <alignment vertical="center" textRotation="90"/>
    </xf>
    <xf numFmtId="0" fontId="49" fillId="24" borderId="24" xfId="0" applyFont="1" applyFill="1" applyBorder="1" applyAlignment="1">
      <alignment vertical="center" textRotation="90"/>
    </xf>
    <xf numFmtId="0" fontId="49" fillId="0" borderId="7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49" fillId="24" borderId="21" xfId="0" applyFont="1" applyFill="1" applyBorder="1" applyAlignment="1">
      <alignment vertical="center" textRotation="90"/>
    </xf>
    <xf numFmtId="0" fontId="49" fillId="0" borderId="9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49" fillId="0" borderId="11" xfId="0" applyFont="1" applyBorder="1" applyAlignment="1">
      <alignment horizontal="center" vertical="center"/>
    </xf>
    <xf numFmtId="0" fontId="24" fillId="24" borderId="23" xfId="0" applyFont="1" applyFill="1" applyBorder="1" applyAlignment="1">
      <alignment vertical="center"/>
    </xf>
    <xf numFmtId="0" fontId="2" fillId="24" borderId="18" xfId="0" applyFont="1" applyFill="1" applyBorder="1" applyAlignment="1">
      <alignment vertical="center" textRotation="255" shrinkToFit="1"/>
    </xf>
    <xf numFmtId="0" fontId="2" fillId="24" borderId="19" xfId="0" applyFont="1" applyFill="1" applyBorder="1" applyAlignment="1">
      <alignment vertical="center" textRotation="255" shrinkToFit="1"/>
    </xf>
    <xf numFmtId="0" fontId="4" fillId="24" borderId="18" xfId="0" applyFont="1" applyFill="1" applyBorder="1" applyAlignment="1">
      <alignment vertical="center"/>
    </xf>
    <xf numFmtId="0" fontId="4" fillId="24" borderId="20" xfId="0" applyFont="1" applyFill="1" applyBorder="1" applyAlignment="1">
      <alignment vertical="center"/>
    </xf>
    <xf numFmtId="0" fontId="4" fillId="24" borderId="19" xfId="0" applyFont="1" applyFill="1" applyBorder="1" applyAlignment="1">
      <alignment vertical="center"/>
    </xf>
    <xf numFmtId="0" fontId="4" fillId="24" borderId="20" xfId="0" applyFont="1" applyFill="1" applyBorder="1" applyAlignment="1">
      <alignment horizontal="center" vertical="center"/>
    </xf>
    <xf numFmtId="0" fontId="2" fillId="24" borderId="21" xfId="0" applyFont="1" applyFill="1" applyBorder="1" applyAlignment="1">
      <alignment vertical="center" textRotation="255" shrinkToFit="1"/>
    </xf>
    <xf numFmtId="0" fontId="2" fillId="24" borderId="22" xfId="0" applyFont="1" applyFill="1" applyBorder="1" applyAlignment="1">
      <alignment vertical="center" textRotation="255" shrinkToFit="1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24" borderId="18" xfId="0" applyFont="1" applyFill="1" applyBorder="1" applyAlignment="1">
      <alignment vertical="center" textRotation="90"/>
    </xf>
    <xf numFmtId="0" fontId="4" fillId="0" borderId="5" xfId="0" applyFont="1" applyBorder="1" applyAlignment="1" applyProtection="1">
      <alignment horizontal="center" vertical="center"/>
      <protection locked="0"/>
    </xf>
    <xf numFmtId="0" fontId="26" fillId="0" borderId="70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4" fillId="24" borderId="24" xfId="0" applyFont="1" applyFill="1" applyBorder="1" applyAlignment="1">
      <alignment vertical="center" textRotation="90"/>
    </xf>
    <xf numFmtId="0" fontId="4" fillId="0" borderId="2" xfId="0" applyFont="1" applyBorder="1" applyAlignment="1" applyProtection="1">
      <alignment horizontal="center" vertical="center"/>
      <protection locked="0"/>
    </xf>
    <xf numFmtId="0" fontId="26" fillId="0" borderId="49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4" fillId="24" borderId="21" xfId="0" applyFont="1" applyFill="1" applyBorder="1" applyAlignment="1">
      <alignment vertical="center" textRotation="90"/>
    </xf>
    <xf numFmtId="0" fontId="4" fillId="0" borderId="10" xfId="0" applyFont="1" applyBorder="1" applyAlignment="1" applyProtection="1">
      <alignment horizontal="center" vertical="center"/>
      <protection locked="0"/>
    </xf>
    <xf numFmtId="0" fontId="26" fillId="0" borderId="33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0" fillId="0" borderId="0" xfId="0" applyProtection="1">
      <protection locked="0"/>
    </xf>
    <xf numFmtId="0" fontId="24" fillId="24" borderId="23" xfId="0" applyFont="1" applyFill="1" applyBorder="1" applyAlignment="1" applyProtection="1">
      <alignment vertical="center"/>
      <protection locked="0"/>
    </xf>
    <xf numFmtId="0" fontId="2" fillId="24" borderId="19" xfId="0" applyFont="1" applyFill="1" applyBorder="1" applyAlignment="1" applyProtection="1">
      <alignment vertical="center" textRotation="255" shrinkToFit="1"/>
      <protection locked="0"/>
    </xf>
    <xf numFmtId="0" fontId="4" fillId="24" borderId="18" xfId="0" applyFont="1" applyFill="1" applyBorder="1" applyAlignment="1" applyProtection="1">
      <alignment vertical="center"/>
      <protection locked="0"/>
    </xf>
    <xf numFmtId="0" fontId="4" fillId="24" borderId="20" xfId="0" applyFont="1" applyFill="1" applyBorder="1" applyAlignment="1" applyProtection="1">
      <alignment vertical="center"/>
      <protection locked="0"/>
    </xf>
    <xf numFmtId="0" fontId="4" fillId="24" borderId="19" xfId="0" applyFont="1" applyFill="1" applyBorder="1" applyAlignment="1" applyProtection="1">
      <alignment vertical="center"/>
      <protection locked="0"/>
    </xf>
    <xf numFmtId="0" fontId="4" fillId="24" borderId="20" xfId="0" applyFont="1" applyFill="1" applyBorder="1" applyAlignment="1" applyProtection="1">
      <alignment horizontal="center" vertical="center"/>
      <protection locked="0"/>
    </xf>
    <xf numFmtId="0" fontId="2" fillId="24" borderId="22" xfId="0" applyFont="1" applyFill="1" applyBorder="1" applyAlignment="1" applyProtection="1">
      <alignment vertical="center" textRotation="255" shrinkToFit="1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26" fillId="0" borderId="4" xfId="0" applyFont="1" applyBorder="1" applyAlignment="1">
      <alignment horizontal="center" vertical="center"/>
    </xf>
    <xf numFmtId="0" fontId="4" fillId="0" borderId="48" xfId="0" applyFont="1" applyBorder="1" applyAlignment="1" applyProtection="1">
      <alignment horizontal="center" vertical="center"/>
      <protection locked="0"/>
    </xf>
    <xf numFmtId="0" fontId="26" fillId="0" borderId="7" xfId="0" applyFont="1" applyBorder="1" applyAlignment="1">
      <alignment horizontal="center" vertical="center"/>
    </xf>
    <xf numFmtId="0" fontId="4" fillId="0" borderId="56" xfId="0" applyFont="1" applyBorder="1" applyAlignment="1" applyProtection="1">
      <alignment horizontal="center" vertical="center"/>
      <protection locked="0"/>
    </xf>
    <xf numFmtId="0" fontId="26" fillId="0" borderId="9" xfId="0" applyFont="1" applyBorder="1" applyAlignment="1">
      <alignment horizontal="center" vertical="center"/>
    </xf>
    <xf numFmtId="0" fontId="4" fillId="0" borderId="0" xfId="8" applyFont="1" applyAlignment="1">
      <alignment horizontal="center" vertical="center"/>
    </xf>
    <xf numFmtId="0" fontId="88" fillId="0" borderId="0" xfId="8" applyFont="1" applyAlignment="1">
      <alignment horizontal="center" vertical="center"/>
    </xf>
    <xf numFmtId="0" fontId="0" fillId="0" borderId="0" xfId="8" applyFont="1"/>
    <xf numFmtId="0" fontId="2" fillId="24" borderId="23" xfId="0" applyFont="1" applyFill="1" applyBorder="1" applyAlignment="1" applyProtection="1">
      <alignment vertical="center" textRotation="255" shrinkToFit="1"/>
      <protection locked="0"/>
    </xf>
    <xf numFmtId="0" fontId="24" fillId="24" borderId="0" xfId="0" applyFont="1" applyFill="1" applyAlignment="1" applyProtection="1">
      <alignment vertical="center"/>
      <protection locked="0"/>
    </xf>
    <xf numFmtId="0" fontId="2" fillId="24" borderId="20" xfId="0" applyFont="1" applyFill="1" applyBorder="1" applyAlignment="1" applyProtection="1">
      <alignment vertical="center" textRotation="255" shrinkToFit="1"/>
      <protection locked="0"/>
    </xf>
    <xf numFmtId="0" fontId="49" fillId="24" borderId="20" xfId="0" applyFont="1" applyFill="1" applyBorder="1" applyAlignment="1">
      <alignment vertical="center" textRotation="255" shrinkToFit="1"/>
    </xf>
    <xf numFmtId="0" fontId="49" fillId="24" borderId="23" xfId="0" applyFont="1" applyFill="1" applyBorder="1" applyAlignment="1">
      <alignment vertical="center" textRotation="255" shrinkToFit="1"/>
    </xf>
    <xf numFmtId="0" fontId="49" fillId="0" borderId="26" xfId="0" applyFont="1" applyBorder="1" applyAlignment="1">
      <alignment horizontal="center" vertical="center"/>
    </xf>
    <xf numFmtId="0" fontId="49" fillId="0" borderId="27" xfId="0" applyFont="1" applyBorder="1" applyAlignment="1">
      <alignment horizontal="center" vertical="center"/>
    </xf>
    <xf numFmtId="0" fontId="49" fillId="0" borderId="28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0" fontId="49" fillId="0" borderId="23" xfId="0" applyFont="1" applyBorder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0" fontId="6" fillId="24" borderId="29" xfId="0" applyFont="1" applyFill="1" applyBorder="1" applyAlignment="1">
      <alignment vertical="center"/>
    </xf>
    <xf numFmtId="0" fontId="6" fillId="24" borderId="30" xfId="0" applyFont="1" applyFill="1" applyBorder="1" applyAlignment="1">
      <alignment vertical="center"/>
    </xf>
    <xf numFmtId="0" fontId="4" fillId="0" borderId="39" xfId="0" applyFont="1" applyBorder="1" applyAlignment="1" applyProtection="1">
      <alignment horizontal="center" vertical="center"/>
      <protection locked="0"/>
    </xf>
    <xf numFmtId="0" fontId="26" fillId="0" borderId="26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4" fillId="24" borderId="29" xfId="0" applyFont="1" applyFill="1" applyBorder="1" applyAlignment="1">
      <alignment vertical="center"/>
    </xf>
    <xf numFmtId="0" fontId="24" fillId="24" borderId="30" xfId="0" applyFont="1" applyFill="1" applyBorder="1" applyAlignment="1" applyProtection="1">
      <alignment vertical="center"/>
      <protection locked="0"/>
    </xf>
    <xf numFmtId="0" fontId="24" fillId="24" borderId="31" xfId="0" applyFont="1" applyFill="1" applyBorder="1" applyAlignment="1" applyProtection="1">
      <alignment vertical="center"/>
      <protection locked="0"/>
    </xf>
    <xf numFmtId="0" fontId="6" fillId="24" borderId="31" xfId="0" applyFont="1" applyFill="1" applyBorder="1" applyAlignment="1">
      <alignment vertical="center"/>
    </xf>
    <xf numFmtId="0" fontId="16" fillId="0" borderId="25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 shrinkToFit="1"/>
    </xf>
    <xf numFmtId="0" fontId="29" fillId="0" borderId="7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right" vertical="center"/>
    </xf>
    <xf numFmtId="0" fontId="26" fillId="0" borderId="2" xfId="0" applyFont="1" applyBorder="1" applyAlignment="1">
      <alignment horizontal="left" vertical="center"/>
    </xf>
    <xf numFmtId="0" fontId="26" fillId="0" borderId="8" xfId="0" applyFont="1" applyBorder="1" applyAlignment="1">
      <alignment horizontal="left" vertical="center"/>
    </xf>
    <xf numFmtId="0" fontId="3" fillId="0" borderId="34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60" xfId="0" applyFont="1" applyBorder="1" applyAlignment="1">
      <alignment horizontal="center" vertical="center" shrinkToFit="1"/>
    </xf>
    <xf numFmtId="0" fontId="3" fillId="0" borderId="0" xfId="0" applyFont="1" applyAlignment="1">
      <alignment horizontal="right" vertical="center"/>
    </xf>
    <xf numFmtId="0" fontId="3" fillId="0" borderId="60" xfId="0" applyFont="1" applyBorder="1" applyAlignment="1">
      <alignment horizontal="center" vertical="center"/>
    </xf>
    <xf numFmtId="12" fontId="3" fillId="0" borderId="60" xfId="0" applyNumberFormat="1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 wrapText="1"/>
    </xf>
    <xf numFmtId="0" fontId="26" fillId="0" borderId="2" xfId="0" applyFont="1" applyBorder="1" applyAlignment="1">
      <alignment vertical="center"/>
    </xf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3" fillId="0" borderId="20" xfId="0" applyFont="1" applyBorder="1" applyAlignment="1">
      <alignment horizontal="center" vertical="center"/>
    </xf>
    <xf numFmtId="0" fontId="73" fillId="0" borderId="7" xfId="0" applyFont="1" applyBorder="1" applyAlignment="1">
      <alignment horizontal="center" vertical="center"/>
    </xf>
    <xf numFmtId="0" fontId="73" fillId="0" borderId="2" xfId="0" applyFont="1" applyBorder="1" applyAlignment="1">
      <alignment horizontal="center" vertical="center"/>
    </xf>
    <xf numFmtId="0" fontId="73" fillId="0" borderId="8" xfId="0" applyFont="1" applyBorder="1" applyAlignment="1">
      <alignment horizontal="center" vertical="center"/>
    </xf>
    <xf numFmtId="0" fontId="73" fillId="0" borderId="9" xfId="0" applyFont="1" applyBorder="1" applyAlignment="1">
      <alignment horizontal="center" vertical="center"/>
    </xf>
    <xf numFmtId="0" fontId="73" fillId="0" borderId="10" xfId="0" applyFont="1" applyBorder="1" applyAlignment="1">
      <alignment horizontal="center" vertical="center"/>
    </xf>
    <xf numFmtId="0" fontId="73" fillId="0" borderId="11" xfId="0" applyFont="1" applyBorder="1" applyAlignment="1">
      <alignment horizontal="center" vertical="center"/>
    </xf>
    <xf numFmtId="0" fontId="16" fillId="0" borderId="24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2" fillId="0" borderId="0" xfId="0" applyFont="1" applyAlignment="1">
      <alignment vertical="center" wrapText="1"/>
    </xf>
    <xf numFmtId="0" fontId="0" fillId="28" borderId="24" xfId="0" applyFill="1" applyBorder="1"/>
    <xf numFmtId="0" fontId="0" fillId="28" borderId="0" xfId="0" applyFill="1"/>
    <xf numFmtId="0" fontId="0" fillId="28" borderId="25" xfId="0" applyFill="1" applyBorder="1"/>
    <xf numFmtId="0" fontId="16" fillId="0" borderId="0" xfId="0" applyFont="1" applyAlignment="1">
      <alignment vertical="top"/>
    </xf>
    <xf numFmtId="0" fontId="73" fillId="0" borderId="26" xfId="0" applyFont="1" applyBorder="1" applyAlignment="1">
      <alignment horizontal="center" vertical="center"/>
    </xf>
    <xf numFmtId="0" fontId="73" fillId="0" borderId="27" xfId="0" applyFont="1" applyBorder="1" applyAlignment="1">
      <alignment horizontal="center" vertical="center"/>
    </xf>
    <xf numFmtId="0" fontId="73" fillId="0" borderId="28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73" fillId="0" borderId="49" xfId="0" applyFont="1" applyBorder="1" applyAlignment="1">
      <alignment horizontal="center" vertical="center"/>
    </xf>
    <xf numFmtId="0" fontId="73" fillId="0" borderId="33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4" fillId="0" borderId="0" xfId="8" applyFont="1" applyAlignment="1">
      <alignment horizontal="left" vertical="center"/>
    </xf>
    <xf numFmtId="0" fontId="4" fillId="0" borderId="0" xfId="8" applyFont="1" applyAlignment="1">
      <alignment horizontal="right" vertical="center"/>
    </xf>
    <xf numFmtId="0" fontId="27" fillId="5" borderId="5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 vertical="center"/>
    </xf>
    <xf numFmtId="0" fontId="27" fillId="5" borderId="47" xfId="0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center" vertical="center"/>
    </xf>
    <xf numFmtId="0" fontId="27" fillId="5" borderId="5" xfId="0" applyFont="1" applyFill="1" applyBorder="1" applyAlignment="1">
      <alignment horizontal="center" vertical="center"/>
    </xf>
    <xf numFmtId="0" fontId="27" fillId="5" borderId="6" xfId="0" applyFont="1" applyFill="1" applyBorder="1" applyAlignment="1">
      <alignment horizontal="center" vertical="center"/>
    </xf>
    <xf numFmtId="0" fontId="27" fillId="5" borderId="31" xfId="0" applyFont="1" applyFill="1" applyBorder="1" applyAlignment="1">
      <alignment horizontal="center" vertical="center"/>
    </xf>
    <xf numFmtId="0" fontId="27" fillId="5" borderId="20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4" xfId="8" applyFont="1" applyBorder="1" applyAlignment="1">
      <alignment horizontal="center" vertical="center"/>
    </xf>
    <xf numFmtId="0" fontId="2" fillId="0" borderId="5" xfId="8" applyFont="1" applyBorder="1" applyAlignment="1">
      <alignment horizontal="center" vertical="center"/>
    </xf>
    <xf numFmtId="0" fontId="2" fillId="0" borderId="6" xfId="8" applyFont="1" applyBorder="1" applyAlignment="1">
      <alignment horizontal="center" vertical="center"/>
    </xf>
    <xf numFmtId="0" fontId="2" fillId="0" borderId="9" xfId="8" applyFont="1" applyBorder="1" applyAlignment="1">
      <alignment horizontal="center" vertical="center"/>
    </xf>
    <xf numFmtId="0" fontId="2" fillId="0" borderId="10" xfId="8" applyFont="1" applyBorder="1" applyAlignment="1">
      <alignment horizontal="center" vertical="center"/>
    </xf>
    <xf numFmtId="0" fontId="2" fillId="0" borderId="11" xfId="8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4" fillId="24" borderId="24" xfId="0" applyFont="1" applyFill="1" applyBorder="1" applyAlignment="1">
      <alignment vertical="center"/>
    </xf>
    <xf numFmtId="0" fontId="4" fillId="24" borderId="0" xfId="0" applyFont="1" applyFill="1" applyAlignment="1">
      <alignment vertical="center"/>
    </xf>
    <xf numFmtId="0" fontId="4" fillId="24" borderId="25" xfId="0" applyFont="1" applyFill="1" applyBorder="1" applyAlignment="1">
      <alignment vertical="center"/>
    </xf>
    <xf numFmtId="0" fontId="13" fillId="0" borderId="43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3" xfId="0" applyFont="1" applyBorder="1" applyAlignment="1">
      <alignment horizontal="left" vertical="center"/>
    </xf>
    <xf numFmtId="0" fontId="13" fillId="0" borderId="45" xfId="0" applyFont="1" applyBorder="1" applyAlignment="1">
      <alignment horizontal="left" vertical="center"/>
    </xf>
    <xf numFmtId="0" fontId="4" fillId="3" borderId="29" xfId="0" applyFont="1" applyFill="1" applyBorder="1" applyAlignment="1">
      <alignment vertical="center"/>
    </xf>
    <xf numFmtId="0" fontId="4" fillId="3" borderId="30" xfId="0" applyFont="1" applyFill="1" applyBorder="1" applyAlignment="1">
      <alignment vertical="center"/>
    </xf>
    <xf numFmtId="0" fontId="4" fillId="3" borderId="31" xfId="0" applyFont="1" applyFill="1" applyBorder="1" applyAlignment="1">
      <alignment vertical="center"/>
    </xf>
    <xf numFmtId="0" fontId="12" fillId="0" borderId="21" xfId="8" applyFont="1" applyBorder="1" applyAlignment="1">
      <alignment horizontal="center" vertical="center"/>
    </xf>
    <xf numFmtId="0" fontId="12" fillId="0" borderId="23" xfId="8" applyFont="1" applyBorder="1" applyAlignment="1">
      <alignment horizontal="center" vertical="center"/>
    </xf>
    <xf numFmtId="0" fontId="12" fillId="0" borderId="22" xfId="8" applyFont="1" applyBorder="1" applyAlignment="1">
      <alignment horizontal="center" vertical="center"/>
    </xf>
    <xf numFmtId="0" fontId="2" fillId="24" borderId="23" xfId="0" applyFont="1" applyFill="1" applyBorder="1" applyAlignment="1">
      <alignment vertical="center" textRotation="255" shrinkToFit="1"/>
    </xf>
    <xf numFmtId="0" fontId="0" fillId="0" borderId="28" xfId="0" applyBorder="1"/>
    <xf numFmtId="0" fontId="24" fillId="24" borderId="0" xfId="0" applyFont="1" applyFill="1" applyAlignment="1">
      <alignment vertical="center"/>
    </xf>
    <xf numFmtId="0" fontId="49" fillId="0" borderId="34" xfId="0" applyFont="1" applyBorder="1" applyAlignment="1">
      <alignment horizontal="center" vertical="center"/>
    </xf>
    <xf numFmtId="0" fontId="49" fillId="0" borderId="35" xfId="0" applyFont="1" applyBorder="1" applyAlignment="1">
      <alignment horizontal="center" vertical="center"/>
    </xf>
    <xf numFmtId="0" fontId="49" fillId="0" borderId="36" xfId="0" applyFont="1" applyBorder="1" applyAlignment="1">
      <alignment horizontal="center" vertical="center"/>
    </xf>
    <xf numFmtId="0" fontId="49" fillId="0" borderId="6" xfId="0" applyFont="1" applyBorder="1" applyAlignment="1">
      <alignment horizontal="center" vertical="center"/>
    </xf>
    <xf numFmtId="0" fontId="24" fillId="24" borderId="24" xfId="0" applyFont="1" applyFill="1" applyBorder="1" applyAlignment="1">
      <alignment vertical="center"/>
    </xf>
    <xf numFmtId="0" fontId="11" fillId="0" borderId="4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1" fillId="0" borderId="6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0" fontId="11" fillId="0" borderId="9" xfId="0" applyFont="1" applyBorder="1" applyAlignment="1" applyProtection="1">
      <alignment horizontal="center" vertical="center"/>
      <protection locked="0"/>
    </xf>
    <xf numFmtId="0" fontId="11" fillId="0" borderId="10" xfId="0" applyFont="1" applyBorder="1" applyAlignment="1" applyProtection="1">
      <alignment horizontal="center" vertical="center"/>
      <protection locked="0"/>
    </xf>
    <xf numFmtId="0" fontId="11" fillId="0" borderId="11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7" fillId="5" borderId="16" xfId="0" applyFont="1" applyFill="1" applyBorder="1" applyAlignment="1">
      <alignment horizontal="center" vertical="center"/>
    </xf>
    <xf numFmtId="0" fontId="27" fillId="5" borderId="57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/>
    </xf>
    <xf numFmtId="168" fontId="0" fillId="0" borderId="27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4" fontId="0" fillId="0" borderId="2" xfId="0" applyNumberFormat="1" applyBorder="1" applyAlignment="1">
      <alignment horizontal="center" vertical="center"/>
    </xf>
    <xf numFmtId="169" fontId="0" fillId="0" borderId="27" xfId="0" applyNumberFormat="1" applyBorder="1" applyAlignment="1">
      <alignment horizontal="center" vertical="center"/>
    </xf>
    <xf numFmtId="168" fontId="0" fillId="0" borderId="75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69" fontId="0" fillId="0" borderId="58" xfId="0" applyNumberFormat="1" applyBorder="1" applyAlignment="1">
      <alignment horizontal="left" vertical="center" indent="6"/>
    </xf>
    <xf numFmtId="0" fontId="0" fillId="0" borderId="27" xfId="0" applyBorder="1" applyAlignment="1">
      <alignment horizontal="left" vertical="center" indent="1"/>
    </xf>
    <xf numFmtId="0" fontId="0" fillId="0" borderId="28" xfId="0" applyBorder="1" applyAlignment="1">
      <alignment horizontal="left" vertical="center" indent="1"/>
    </xf>
    <xf numFmtId="0" fontId="0" fillId="0" borderId="54" xfId="0" applyBorder="1" applyAlignment="1">
      <alignment horizontal="center" vertical="center"/>
    </xf>
    <xf numFmtId="1" fontId="0" fillId="0" borderId="27" xfId="0" applyNumberFormat="1" applyBorder="1" applyAlignment="1">
      <alignment horizontal="left" vertical="center" indent="5"/>
    </xf>
    <xf numFmtId="0" fontId="0" fillId="0" borderId="2" xfId="0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0" borderId="106" xfId="0" applyBorder="1" applyAlignment="1">
      <alignment horizontal="center" vertical="center"/>
    </xf>
    <xf numFmtId="1" fontId="0" fillId="0" borderId="2" xfId="0" applyNumberFormat="1" applyBorder="1" applyAlignment="1">
      <alignment horizontal="left" vertical="center" indent="5"/>
    </xf>
    <xf numFmtId="0" fontId="0" fillId="36" borderId="24" xfId="0" applyFill="1" applyBorder="1" applyAlignment="1">
      <alignment horizontal="center"/>
    </xf>
    <xf numFmtId="0" fontId="0" fillId="37" borderId="24" xfId="0" applyFill="1" applyBorder="1"/>
    <xf numFmtId="0" fontId="0" fillId="37" borderId="64" xfId="0" applyFill="1" applyBorder="1"/>
    <xf numFmtId="0" fontId="0" fillId="37" borderId="65" xfId="0" applyFill="1" applyBorder="1"/>
    <xf numFmtId="0" fontId="0" fillId="0" borderId="42" xfId="0" applyBorder="1" applyAlignment="1">
      <alignment horizontal="left" vertical="center" indent="6"/>
    </xf>
    <xf numFmtId="0" fontId="0" fillId="23" borderId="61" xfId="0" applyFill="1" applyBorder="1"/>
    <xf numFmtId="0" fontId="0" fillId="23" borderId="64" xfId="0" applyFill="1" applyBorder="1"/>
    <xf numFmtId="0" fontId="0" fillId="23" borderId="65" xfId="0" applyFill="1" applyBorder="1"/>
    <xf numFmtId="169" fontId="0" fillId="0" borderId="21" xfId="0" applyNumberFormat="1" applyBorder="1" applyAlignment="1">
      <alignment horizontal="left" vertical="center" indent="6"/>
    </xf>
    <xf numFmtId="0" fontId="0" fillId="0" borderId="10" xfId="0" applyBorder="1" applyAlignment="1">
      <alignment horizontal="left" vertical="center" indent="1"/>
    </xf>
    <xf numFmtId="0" fontId="0" fillId="0" borderId="11" xfId="0" applyBorder="1" applyAlignment="1">
      <alignment horizontal="left" vertical="center" indent="1"/>
    </xf>
    <xf numFmtId="0" fontId="0" fillId="0" borderId="107" xfId="0" applyBorder="1" applyAlignment="1">
      <alignment horizontal="center" vertical="center"/>
    </xf>
    <xf numFmtId="1" fontId="0" fillId="0" borderId="10" xfId="0" applyNumberFormat="1" applyBorder="1" applyAlignment="1">
      <alignment horizontal="left" vertical="center" indent="5"/>
    </xf>
    <xf numFmtId="0" fontId="0" fillId="0" borderId="23" xfId="0" applyBorder="1" applyAlignment="1" applyProtection="1">
      <alignment horizontal="center" vertical="center" wrapText="1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60" xfId="0" applyBorder="1" applyProtection="1">
      <protection locked="0"/>
    </xf>
    <xf numFmtId="0" fontId="0" fillId="0" borderId="60" xfId="0" applyBorder="1" applyAlignment="1" applyProtection="1">
      <alignment horizontal="center" vertical="center"/>
      <protection locked="0"/>
    </xf>
    <xf numFmtId="0" fontId="20" fillId="0" borderId="60" xfId="0" applyFont="1" applyBorder="1" applyProtection="1">
      <protection locked="0"/>
    </xf>
    <xf numFmtId="0" fontId="0" fillId="35" borderId="61" xfId="0" applyFill="1" applyBorder="1" applyAlignment="1">
      <alignment horizontal="center"/>
    </xf>
    <xf numFmtId="0" fontId="0" fillId="35" borderId="64" xfId="0" applyFill="1" applyBorder="1" applyAlignment="1">
      <alignment horizontal="center"/>
    </xf>
    <xf numFmtId="0" fontId="0" fillId="35" borderId="65" xfId="0" applyFill="1" applyBorder="1" applyAlignment="1">
      <alignment horizontal="center"/>
    </xf>
    <xf numFmtId="0" fontId="0" fillId="2" borderId="61" xfId="0" applyFill="1" applyBorder="1" applyAlignment="1">
      <alignment horizontal="center"/>
    </xf>
    <xf numFmtId="0" fontId="8" fillId="2" borderId="31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0" xfId="0" applyFill="1" applyBorder="1"/>
    <xf numFmtId="0" fontId="26" fillId="14" borderId="27" xfId="0" applyFont="1" applyFill="1" applyBorder="1" applyAlignment="1">
      <alignment horizontal="center" vertical="center"/>
    </xf>
    <xf numFmtId="0" fontId="2" fillId="0" borderId="60" xfId="0" applyFont="1" applyBorder="1" applyAlignment="1" applyProtection="1">
      <alignment horizontal="center" vertical="center"/>
      <protection locked="0"/>
    </xf>
    <xf numFmtId="0" fontId="2" fillId="0" borderId="60" xfId="0" applyFont="1" applyBorder="1" applyAlignment="1">
      <alignment horizontal="center" vertical="center"/>
    </xf>
    <xf numFmtId="0" fontId="4" fillId="0" borderId="23" xfId="8" applyFont="1" applyBorder="1" applyAlignment="1">
      <alignment horizontal="center" vertical="center"/>
    </xf>
    <xf numFmtId="0" fontId="2" fillId="0" borderId="7" xfId="8" applyFont="1" applyBorder="1" applyAlignment="1">
      <alignment horizontal="center" vertical="center"/>
    </xf>
    <xf numFmtId="0" fontId="2" fillId="0" borderId="2" xfId="8" applyFont="1" applyBorder="1" applyAlignment="1">
      <alignment horizontal="center" vertical="center"/>
    </xf>
    <xf numFmtId="0" fontId="2" fillId="0" borderId="8" xfId="8" applyFont="1" applyBorder="1" applyAlignment="1">
      <alignment horizontal="center" vertical="center"/>
    </xf>
    <xf numFmtId="0" fontId="4" fillId="0" borderId="20" xfId="8" applyFont="1" applyBorder="1" applyAlignment="1">
      <alignment horizontal="center" vertical="center"/>
    </xf>
    <xf numFmtId="0" fontId="2" fillId="0" borderId="30" xfId="8" applyFont="1" applyBorder="1" applyAlignment="1">
      <alignment vertical="center"/>
    </xf>
    <xf numFmtId="0" fontId="2" fillId="0" borderId="31" xfId="8" applyFont="1" applyBorder="1" applyAlignment="1">
      <alignment vertical="center"/>
    </xf>
    <xf numFmtId="0" fontId="4" fillId="0" borderId="0" xfId="8" applyFont="1" applyAlignment="1">
      <alignment vertical="center" wrapText="1"/>
    </xf>
    <xf numFmtId="0" fontId="91" fillId="0" borderId="0" xfId="0" applyFont="1"/>
    <xf numFmtId="0" fontId="92" fillId="0" borderId="0" xfId="0" applyFont="1" applyAlignment="1">
      <alignment horizontal="center"/>
    </xf>
    <xf numFmtId="0" fontId="93" fillId="0" borderId="37" xfId="0" applyFont="1" applyBorder="1" applyAlignment="1">
      <alignment horizontal="left" vertical="center" readingOrder="1"/>
    </xf>
    <xf numFmtId="0" fontId="93" fillId="0" borderId="0" xfId="0" applyFont="1" applyAlignment="1">
      <alignment horizontal="left" vertical="center" readingOrder="1"/>
    </xf>
    <xf numFmtId="0" fontId="91" fillId="0" borderId="37" xfId="0" applyFont="1" applyBorder="1" applyAlignment="1">
      <alignment horizontal="left" vertical="center" wrapText="1" readingOrder="1"/>
    </xf>
    <xf numFmtId="0" fontId="91" fillId="0" borderId="0" xfId="0" applyFont="1" applyAlignment="1">
      <alignment horizontal="left" vertical="center" wrapText="1" readingOrder="1"/>
    </xf>
    <xf numFmtId="0" fontId="91" fillId="0" borderId="38" xfId="0" applyFont="1" applyBorder="1" applyAlignment="1">
      <alignment horizontal="left" vertical="center" wrapText="1" readingOrder="1"/>
    </xf>
    <xf numFmtId="0" fontId="91" fillId="0" borderId="39" xfId="0" applyFont="1" applyBorder="1" applyAlignment="1">
      <alignment horizontal="left" vertical="center" readingOrder="1"/>
    </xf>
    <xf numFmtId="0" fontId="0" fillId="0" borderId="54" xfId="0" applyBorder="1"/>
    <xf numFmtId="0" fontId="0" fillId="0" borderId="23" xfId="0" applyBorder="1" applyAlignment="1">
      <alignment horizontal="center"/>
    </xf>
    <xf numFmtId="0" fontId="60" fillId="0" borderId="0" xfId="4" applyFont="1"/>
    <xf numFmtId="0" fontId="14" fillId="0" borderId="0" xfId="4" applyFont="1"/>
    <xf numFmtId="0" fontId="62" fillId="0" borderId="0" xfId="4" applyFont="1"/>
    <xf numFmtId="0" fontId="63" fillId="0" borderId="0" xfId="4" applyFont="1"/>
    <xf numFmtId="0" fontId="4" fillId="26" borderId="0" xfId="4" applyFont="1" applyFill="1"/>
    <xf numFmtId="0" fontId="4" fillId="0" borderId="62" xfId="4" applyFont="1" applyBorder="1"/>
    <xf numFmtId="0" fontId="24" fillId="24" borderId="25" xfId="0" applyFont="1" applyFill="1" applyBorder="1" applyAlignment="1">
      <alignment vertical="center"/>
    </xf>
    <xf numFmtId="0" fontId="94" fillId="0" borderId="0" xfId="8" applyFont="1"/>
    <xf numFmtId="0" fontId="74" fillId="6" borderId="0" xfId="0" applyFont="1" applyFill="1" applyAlignment="1">
      <alignment horizontal="center" vertical="center"/>
    </xf>
    <xf numFmtId="13" fontId="7" fillId="0" borderId="3" xfId="0" applyNumberFormat="1" applyFont="1" applyBorder="1" applyAlignment="1" applyProtection="1">
      <alignment horizontal="left" vertical="center"/>
      <protection locked="0"/>
    </xf>
    <xf numFmtId="0" fontId="95" fillId="0" borderId="60" xfId="0" applyFont="1" applyBorder="1"/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84" fillId="0" borderId="9" xfId="8" applyBorder="1" applyAlignment="1">
      <alignment horizontal="center" vertical="center"/>
    </xf>
    <xf numFmtId="0" fontId="84" fillId="0" borderId="10" xfId="8" applyBorder="1" applyAlignment="1">
      <alignment horizontal="center" vertical="center"/>
    </xf>
    <xf numFmtId="0" fontId="84" fillId="0" borderId="11" xfId="8" applyBorder="1" applyAlignment="1">
      <alignment horizontal="center" vertical="center"/>
    </xf>
    <xf numFmtId="12" fontId="0" fillId="0" borderId="0" xfId="0" applyNumberFormat="1" applyAlignment="1">
      <alignment horizontal="left"/>
    </xf>
    <xf numFmtId="0" fontId="1" fillId="0" borderId="18" xfId="0" applyFont="1" applyBorder="1"/>
    <xf numFmtId="0" fontId="1" fillId="0" borderId="19" xfId="0" applyFont="1" applyBorder="1" applyAlignment="1">
      <alignment horizontal="left"/>
    </xf>
    <xf numFmtId="0" fontId="1" fillId="0" borderId="24" xfId="0" applyFont="1" applyBorder="1"/>
    <xf numFmtId="0" fontId="1" fillId="0" borderId="25" xfId="0" applyFont="1" applyBorder="1" applyAlignment="1">
      <alignment horizontal="left"/>
    </xf>
    <xf numFmtId="12" fontId="1" fillId="0" borderId="25" xfId="0" applyNumberFormat="1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0" borderId="21" xfId="0" applyFont="1" applyBorder="1"/>
    <xf numFmtId="0" fontId="1" fillId="0" borderId="22" xfId="0" applyFont="1" applyBorder="1" applyAlignment="1">
      <alignment horizontal="left" vertical="top"/>
    </xf>
    <xf numFmtId="0" fontId="0" fillId="0" borderId="13" xfId="0" applyBorder="1"/>
    <xf numFmtId="0" fontId="0" fillId="0" borderId="48" xfId="0" applyBorder="1"/>
    <xf numFmtId="0" fontId="0" fillId="0" borderId="56" xfId="0" applyBorder="1"/>
    <xf numFmtId="0" fontId="22" fillId="5" borderId="13" xfId="0" applyFont="1" applyFill="1" applyBorder="1" applyAlignment="1">
      <alignment horizontal="center" vertical="center"/>
    </xf>
    <xf numFmtId="0" fontId="22" fillId="5" borderId="48" xfId="0" applyFont="1" applyFill="1" applyBorder="1" applyAlignment="1">
      <alignment horizontal="center" vertical="center"/>
    </xf>
    <xf numFmtId="0" fontId="22" fillId="5" borderId="56" xfId="0" applyFont="1" applyFill="1" applyBorder="1" applyAlignment="1">
      <alignment horizontal="center" vertical="center"/>
    </xf>
    <xf numFmtId="0" fontId="2" fillId="0" borderId="77" xfId="0" applyFont="1" applyBorder="1" applyAlignment="1" applyProtection="1">
      <alignment horizontal="left" vertical="center"/>
      <protection locked="0"/>
    </xf>
    <xf numFmtId="0" fontId="0" fillId="0" borderId="68" xfId="0" applyBorder="1"/>
    <xf numFmtId="0" fontId="0" fillId="0" borderId="42" xfId="0" applyBorder="1" applyAlignment="1">
      <alignment vertical="center"/>
    </xf>
    <xf numFmtId="0" fontId="0" fillId="0" borderId="49" xfId="0" applyBorder="1"/>
    <xf numFmtId="0" fontId="0" fillId="0" borderId="33" xfId="0" applyBorder="1"/>
    <xf numFmtId="12" fontId="0" fillId="0" borderId="60" xfId="0" applyNumberFormat="1" applyBorder="1"/>
    <xf numFmtId="12" fontId="0" fillId="0" borderId="61" xfId="0" applyNumberFormat="1" applyBorder="1"/>
    <xf numFmtId="0" fontId="0" fillId="0" borderId="73" xfId="0" applyBorder="1"/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12" fontId="0" fillId="0" borderId="5" xfId="0" applyNumberFormat="1" applyBorder="1" applyAlignment="1">
      <alignment horizontal="right" vertical="center"/>
    </xf>
    <xf numFmtId="12" fontId="0" fillId="0" borderId="2" xfId="0" applyNumberFormat="1" applyBorder="1" applyAlignment="1">
      <alignment horizontal="right" vertical="center"/>
    </xf>
    <xf numFmtId="12" fontId="0" fillId="0" borderId="1" xfId="0" applyNumberForma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70" xfId="0" applyBorder="1"/>
    <xf numFmtId="12" fontId="0" fillId="0" borderId="10" xfId="0" applyNumberFormat="1" applyBorder="1" applyAlignment="1">
      <alignment horizontal="right" vertical="center"/>
    </xf>
    <xf numFmtId="12" fontId="0" fillId="0" borderId="1" xfId="0" applyNumberFormat="1" applyBorder="1"/>
    <xf numFmtId="0" fontId="0" fillId="0" borderId="60" xfId="0" applyBorder="1" applyAlignment="1">
      <alignment horizontal="center" vertical="center"/>
    </xf>
    <xf numFmtId="0" fontId="96" fillId="0" borderId="2" xfId="0" applyFont="1" applyBorder="1"/>
    <xf numFmtId="0" fontId="5" fillId="2" borderId="2" xfId="0" applyFont="1" applyFill="1" applyBorder="1" applyAlignment="1">
      <alignment vertical="center"/>
    </xf>
    <xf numFmtId="0" fontId="88" fillId="0" borderId="0" xfId="0" applyFont="1"/>
    <xf numFmtId="0" fontId="6" fillId="2" borderId="29" xfId="0" applyFont="1" applyFill="1" applyBorder="1" applyAlignment="1">
      <alignment horizontal="center" vertical="center"/>
    </xf>
    <xf numFmtId="0" fontId="0" fillId="2" borderId="18" xfId="0" applyFill="1" applyBorder="1"/>
    <xf numFmtId="0" fontId="0" fillId="2" borderId="19" xfId="0" applyFill="1" applyBorder="1" applyAlignment="1">
      <alignment horizontal="left"/>
    </xf>
    <xf numFmtId="0" fontId="0" fillId="2" borderId="24" xfId="0" applyFill="1" applyBorder="1"/>
    <xf numFmtId="0" fontId="0" fillId="2" borderId="25" xfId="0" applyFill="1" applyBorder="1" applyAlignment="1">
      <alignment horizontal="left"/>
    </xf>
    <xf numFmtId="0" fontId="19" fillId="2" borderId="25" xfId="0" applyFont="1" applyFill="1" applyBorder="1"/>
    <xf numFmtId="0" fontId="0" fillId="2" borderId="21" xfId="0" applyFill="1" applyBorder="1"/>
    <xf numFmtId="165" fontId="0" fillId="2" borderId="22" xfId="0" applyNumberFormat="1" applyFill="1" applyBorder="1" applyAlignment="1">
      <alignment horizontal="left"/>
    </xf>
    <xf numFmtId="0" fontId="22" fillId="5" borderId="70" xfId="0" applyFont="1" applyFill="1" applyBorder="1" applyAlignment="1">
      <alignment horizontal="center" vertical="center"/>
    </xf>
    <xf numFmtId="0" fontId="22" fillId="5" borderId="49" xfId="0" applyFont="1" applyFill="1" applyBorder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12" fontId="27" fillId="5" borderId="0" xfId="0" applyNumberFormat="1" applyFont="1" applyFill="1" applyAlignment="1">
      <alignment horizontal="center" vertical="center"/>
    </xf>
    <xf numFmtId="0" fontId="98" fillId="5" borderId="114" xfId="0" applyFont="1" applyFill="1" applyBorder="1" applyAlignment="1">
      <alignment horizontal="center" vertical="center"/>
    </xf>
    <xf numFmtId="0" fontId="98" fillId="5" borderId="115" xfId="0" applyFont="1" applyFill="1" applyBorder="1" applyAlignment="1">
      <alignment horizontal="center" vertical="center"/>
    </xf>
    <xf numFmtId="12" fontId="98" fillId="5" borderId="115" xfId="0" applyNumberFormat="1" applyFont="1" applyFill="1" applyBorder="1" applyAlignment="1">
      <alignment horizontal="center" vertical="center"/>
    </xf>
    <xf numFmtId="0" fontId="88" fillId="28" borderId="0" xfId="0" applyFont="1" applyFill="1" applyAlignment="1">
      <alignment wrapText="1"/>
    </xf>
    <xf numFmtId="0" fontId="97" fillId="5" borderId="115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0" fillId="0" borderId="19" xfId="0" applyFont="1" applyBorder="1"/>
    <xf numFmtId="0" fontId="27" fillId="0" borderId="0" xfId="0" applyFont="1" applyAlignment="1">
      <alignment horizontal="center" vertical="center"/>
    </xf>
    <xf numFmtId="0" fontId="102" fillId="0" borderId="0" xfId="0" applyFont="1"/>
    <xf numFmtId="0" fontId="27" fillId="32" borderId="0" xfId="0" applyFont="1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1" fillId="2" borderId="60" xfId="0" applyFont="1" applyFill="1" applyBorder="1" applyAlignment="1">
      <alignment horizontal="center" vertical="center"/>
    </xf>
    <xf numFmtId="0" fontId="7" fillId="0" borderId="48" xfId="0" applyFont="1" applyBorder="1" applyAlignment="1" applyProtection="1">
      <alignment horizontal="left" vertical="center"/>
      <protection locked="0"/>
    </xf>
    <xf numFmtId="0" fontId="101" fillId="2" borderId="60" xfId="0" applyFont="1" applyFill="1" applyBorder="1"/>
    <xf numFmtId="0" fontId="100" fillId="2" borderId="6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62" fillId="2" borderId="7" xfId="0" applyFont="1" applyFill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102" fillId="0" borderId="5" xfId="0" applyFont="1" applyBorder="1"/>
    <xf numFmtId="0" fontId="0" fillId="0" borderId="26" xfId="0" applyBorder="1" applyAlignment="1">
      <alignment vertical="center"/>
    </xf>
    <xf numFmtId="0" fontId="102" fillId="0" borderId="10" xfId="0" applyFont="1" applyBorder="1"/>
    <xf numFmtId="0" fontId="0" fillId="0" borderId="27" xfId="0" applyBorder="1" applyAlignment="1">
      <alignment horizontal="right" vertical="center"/>
    </xf>
    <xf numFmtId="0" fontId="0" fillId="2" borderId="31" xfId="0" applyFill="1" applyBorder="1"/>
    <xf numFmtId="0" fontId="0" fillId="6" borderId="61" xfId="0" applyFill="1" applyBorder="1"/>
    <xf numFmtId="0" fontId="0" fillId="6" borderId="65" xfId="0" applyFill="1" applyBorder="1"/>
    <xf numFmtId="0" fontId="3" fillId="2" borderId="12" xfId="0" applyFont="1" applyFill="1" applyBorder="1" applyAlignment="1">
      <alignment horizontal="left" vertical="center"/>
    </xf>
    <xf numFmtId="0" fontId="103" fillId="0" borderId="2" xfId="0" applyFont="1" applyBorder="1" applyAlignment="1">
      <alignment horizontal="center" vertical="center"/>
    </xf>
    <xf numFmtId="0" fontId="0" fillId="0" borderId="38" xfId="0" applyBorder="1" applyAlignment="1">
      <alignment horizontal="left" vertical="center"/>
    </xf>
    <xf numFmtId="0" fontId="0" fillId="5" borderId="2" xfId="0" applyFill="1" applyBorder="1"/>
    <xf numFmtId="0" fontId="0" fillId="5" borderId="5" xfId="0" applyFill="1" applyBorder="1"/>
    <xf numFmtId="0" fontId="91" fillId="38" borderId="116" xfId="0" applyFont="1" applyFill="1" applyBorder="1" applyAlignment="1">
      <alignment horizontal="center" vertical="center"/>
    </xf>
    <xf numFmtId="0" fontId="91" fillId="0" borderId="117" xfId="0" applyFont="1" applyBorder="1" applyAlignment="1">
      <alignment horizontal="center" vertical="center"/>
    </xf>
    <xf numFmtId="0" fontId="108" fillId="0" borderId="0" xfId="9" applyAlignment="1">
      <alignment horizontal="left" vertical="top"/>
    </xf>
    <xf numFmtId="0" fontId="4" fillId="0" borderId="125" xfId="9" applyFont="1" applyBorder="1" applyAlignment="1">
      <alignment horizontal="left" vertical="center" wrapText="1"/>
    </xf>
    <xf numFmtId="0" fontId="108" fillId="0" borderId="120" xfId="9" applyBorder="1" applyAlignment="1">
      <alignment horizontal="left" vertical="center" wrapText="1"/>
    </xf>
    <xf numFmtId="0" fontId="108" fillId="0" borderId="125" xfId="9" applyBorder="1" applyAlignment="1">
      <alignment horizontal="left" vertical="center" wrapText="1"/>
    </xf>
    <xf numFmtId="1" fontId="104" fillId="0" borderId="129" xfId="9" applyNumberFormat="1" applyFont="1" applyBorder="1" applyAlignment="1">
      <alignment horizontal="center" vertical="center" shrinkToFit="1"/>
    </xf>
    <xf numFmtId="0" fontId="4" fillId="0" borderId="129" xfId="9" applyFont="1" applyBorder="1" applyAlignment="1">
      <alignment horizontal="left" vertical="center" wrapText="1"/>
    </xf>
    <xf numFmtId="0" fontId="108" fillId="0" borderId="136" xfId="9" applyBorder="1" applyAlignment="1">
      <alignment horizontal="left" vertical="center" wrapText="1"/>
    </xf>
    <xf numFmtId="0" fontId="4" fillId="0" borderId="134" xfId="9" applyFont="1" applyBorder="1" applyAlignment="1">
      <alignment horizontal="center" vertical="center" wrapText="1"/>
    </xf>
    <xf numFmtId="0" fontId="15" fillId="0" borderId="29" xfId="9" applyFont="1" applyBorder="1" applyAlignment="1">
      <alignment vertical="center" wrapText="1"/>
    </xf>
    <xf numFmtId="0" fontId="4" fillId="0" borderId="136" xfId="9" applyFont="1" applyBorder="1" applyAlignment="1">
      <alignment horizontal="left" vertical="center" wrapText="1"/>
    </xf>
    <xf numFmtId="1" fontId="104" fillId="0" borderId="130" xfId="9" applyNumberFormat="1" applyFont="1" applyBorder="1" applyAlignment="1">
      <alignment horizontal="center" vertical="center" shrinkToFit="1"/>
    </xf>
    <xf numFmtId="0" fontId="4" fillId="0" borderId="130" xfId="9" applyFont="1" applyBorder="1" applyAlignment="1">
      <alignment horizontal="left" vertical="center" wrapText="1"/>
    </xf>
    <xf numFmtId="0" fontId="108" fillId="0" borderId="137" xfId="9" applyBorder="1" applyAlignment="1">
      <alignment horizontal="left" vertical="center" wrapText="1"/>
    </xf>
    <xf numFmtId="0" fontId="108" fillId="0" borderId="138" xfId="9" applyBorder="1" applyAlignment="1">
      <alignment horizontal="left" vertical="center" wrapText="1"/>
    </xf>
    <xf numFmtId="0" fontId="108" fillId="0" borderId="139" xfId="9" applyBorder="1" applyAlignment="1">
      <alignment horizontal="left" vertical="center" wrapText="1"/>
    </xf>
    <xf numFmtId="0" fontId="110" fillId="0" borderId="31" xfId="9" applyFont="1" applyBorder="1" applyAlignment="1">
      <alignment vertical="center" wrapText="1"/>
    </xf>
    <xf numFmtId="0" fontId="4" fillId="0" borderId="147" xfId="9" applyFont="1" applyBorder="1" applyAlignment="1">
      <alignment horizontal="left" vertical="top" wrapText="1"/>
    </xf>
    <xf numFmtId="0" fontId="4" fillId="0" borderId="152" xfId="9" applyFont="1" applyBorder="1" applyAlignment="1">
      <alignment horizontal="left" vertical="top" wrapText="1"/>
    </xf>
    <xf numFmtId="0" fontId="4" fillId="0" borderId="154" xfId="9" applyFont="1" applyBorder="1" applyAlignment="1">
      <alignment horizontal="left" vertical="top" wrapText="1"/>
    </xf>
    <xf numFmtId="0" fontId="15" fillId="0" borderId="147" xfId="9" applyFont="1" applyBorder="1" applyAlignment="1">
      <alignment horizontal="left" vertical="top" wrapText="1"/>
    </xf>
    <xf numFmtId="0" fontId="26" fillId="0" borderId="2" xfId="0" quotePrefix="1" applyFont="1" applyBorder="1" applyAlignment="1">
      <alignment horizontal="center" vertical="center"/>
    </xf>
    <xf numFmtId="0" fontId="111" fillId="0" borderId="2" xfId="0" applyFont="1" applyBorder="1" applyAlignment="1">
      <alignment horizontal="center" vertical="center"/>
    </xf>
    <xf numFmtId="0" fontId="112" fillId="0" borderId="2" xfId="0" applyFont="1" applyBorder="1" applyAlignment="1">
      <alignment horizontal="center" vertical="center"/>
    </xf>
    <xf numFmtId="0" fontId="27" fillId="0" borderId="2" xfId="0" quotePrefix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0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0" fillId="5" borderId="10" xfId="0" applyFill="1" applyBorder="1"/>
    <xf numFmtId="0" fontId="45" fillId="0" borderId="7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0" fontId="0" fillId="2" borderId="68" xfId="0" applyFill="1" applyBorder="1"/>
    <xf numFmtId="0" fontId="0" fillId="2" borderId="1" xfId="0" applyFill="1" applyBorder="1"/>
    <xf numFmtId="0" fontId="113" fillId="0" borderId="0" xfId="0" applyFont="1" applyAlignment="1">
      <alignment horizontal="center" vertical="center"/>
    </xf>
    <xf numFmtId="0" fontId="47" fillId="0" borderId="4" xfId="0" applyFont="1" applyBorder="1" applyAlignment="1">
      <alignment horizontal="center" vertical="center" textRotation="255" shrinkToFit="1"/>
    </xf>
    <xf numFmtId="0" fontId="45" fillId="0" borderId="9" xfId="0" applyFont="1" applyBorder="1" applyAlignment="1">
      <alignment horizontal="center" vertical="center"/>
    </xf>
    <xf numFmtId="0" fontId="108" fillId="0" borderId="60" xfId="9" applyBorder="1" applyAlignment="1">
      <alignment horizontal="left" vertical="top"/>
    </xf>
    <xf numFmtId="0" fontId="118" fillId="0" borderId="44" xfId="9" applyFont="1" applyBorder="1" applyAlignment="1">
      <alignment horizontal="center" vertical="center" wrapText="1"/>
    </xf>
    <xf numFmtId="0" fontId="118" fillId="0" borderId="45" xfId="9" applyFont="1" applyBorder="1" applyAlignment="1">
      <alignment horizontal="center" vertical="center" wrapText="1"/>
    </xf>
    <xf numFmtId="0" fontId="118" fillId="0" borderId="4" xfId="9" applyFont="1" applyBorder="1" applyAlignment="1">
      <alignment vertical="top" wrapText="1"/>
    </xf>
    <xf numFmtId="0" fontId="118" fillId="0" borderId="5" xfId="9" applyFont="1" applyBorder="1" applyAlignment="1">
      <alignment vertical="top" wrapText="1"/>
    </xf>
    <xf numFmtId="0" fontId="118" fillId="0" borderId="9" xfId="9" applyFont="1" applyBorder="1" applyAlignment="1">
      <alignment vertical="top" wrapText="1"/>
    </xf>
    <xf numFmtId="0" fontId="118" fillId="0" borderId="10" xfId="9" applyFont="1" applyBorder="1" applyAlignment="1">
      <alignment horizontal="left" vertical="top" wrapText="1"/>
    </xf>
    <xf numFmtId="0" fontId="118" fillId="0" borderId="60" xfId="9" applyFont="1" applyBorder="1" applyAlignment="1">
      <alignment vertical="top" wrapText="1"/>
    </xf>
    <xf numFmtId="0" fontId="118" fillId="0" borderId="80" xfId="9" applyFont="1" applyBorder="1" applyAlignment="1">
      <alignment horizontal="left" vertical="top" wrapText="1"/>
    </xf>
    <xf numFmtId="0" fontId="118" fillId="0" borderId="63" xfId="9" applyFont="1" applyBorder="1" applyAlignment="1">
      <alignment horizontal="left" vertical="top" wrapText="1"/>
    </xf>
    <xf numFmtId="0" fontId="118" fillId="0" borderId="29" xfId="9" applyFont="1" applyBorder="1" applyAlignment="1">
      <alignment horizontal="left" vertical="top" wrapText="1"/>
    </xf>
    <xf numFmtId="0" fontId="118" fillId="0" borderId="27" xfId="9" applyFont="1" applyBorder="1" applyAlignment="1">
      <alignment horizontal="left" vertical="top" wrapText="1"/>
    </xf>
    <xf numFmtId="0" fontId="117" fillId="0" borderId="107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7" fillId="0" borderId="45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7" fillId="0" borderId="45" xfId="9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7" fillId="0" borderId="45" xfId="9" applyFont="1" applyBorder="1" applyAlignment="1">
      <alignment vertical="center" wrapText="1"/>
    </xf>
    <xf numFmtId="0" fontId="119" fillId="0" borderId="80" xfId="9" applyFont="1" applyBorder="1" applyAlignment="1">
      <alignment horizontal="left" vertical="top" wrapText="1"/>
    </xf>
    <xf numFmtId="0" fontId="118" fillId="0" borderId="65" xfId="9" applyFont="1" applyBorder="1" applyAlignment="1">
      <alignment horizontal="left" vertical="top" wrapText="1"/>
    </xf>
    <xf numFmtId="0" fontId="118" fillId="0" borderId="60" xfId="9" applyFont="1" applyBorder="1" applyAlignment="1">
      <alignment horizontal="center" vertical="center" wrapText="1"/>
    </xf>
    <xf numFmtId="0" fontId="121" fillId="34" borderId="2" xfId="0" applyFont="1" applyFill="1" applyBorder="1" applyAlignment="1">
      <alignment horizontal="center" vertical="center" wrapText="1"/>
    </xf>
    <xf numFmtId="0" fontId="121" fillId="39" borderId="2" xfId="0" applyFont="1" applyFill="1" applyBorder="1" applyAlignment="1">
      <alignment horizontal="center" vertical="center" wrapText="1"/>
    </xf>
    <xf numFmtId="0" fontId="122" fillId="40" borderId="2" xfId="0" applyFont="1" applyFill="1" applyBorder="1" applyAlignment="1">
      <alignment horizontal="center" vertical="center" wrapText="1"/>
    </xf>
    <xf numFmtId="0" fontId="123" fillId="34" borderId="2" xfId="0" applyFont="1" applyFill="1" applyBorder="1" applyAlignment="1">
      <alignment horizontal="center" vertical="center" wrapText="1"/>
    </xf>
    <xf numFmtId="0" fontId="120" fillId="5" borderId="2" xfId="0" applyFont="1" applyFill="1" applyBorder="1" applyAlignment="1">
      <alignment horizontal="left" vertical="center" wrapText="1" indent="1"/>
    </xf>
    <xf numFmtId="0" fontId="118" fillId="0" borderId="29" xfId="9" applyFont="1" applyBorder="1" applyAlignment="1">
      <alignment vertical="top" wrapText="1"/>
    </xf>
    <xf numFmtId="0" fontId="118" fillId="0" borderId="40" xfId="9" applyFont="1" applyBorder="1" applyAlignment="1">
      <alignment horizontal="left" vertical="top" wrapText="1"/>
    </xf>
    <xf numFmtId="0" fontId="108" fillId="0" borderId="23" xfId="9" applyBorder="1" applyAlignment="1">
      <alignment horizontal="left" vertical="top"/>
    </xf>
    <xf numFmtId="0" fontId="124" fillId="0" borderId="58" xfId="9" applyFont="1" applyBorder="1" applyAlignment="1">
      <alignment horizontal="center" vertical="center" wrapText="1"/>
    </xf>
    <xf numFmtId="0" fontId="118" fillId="0" borderId="41" xfId="9" applyFont="1" applyBorder="1" applyAlignment="1">
      <alignment vertical="top" wrapText="1"/>
    </xf>
    <xf numFmtId="0" fontId="118" fillId="0" borderId="32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8" fillId="0" borderId="62" xfId="9" applyFont="1" applyBorder="1" applyAlignment="1">
      <alignment horizontal="left" vertical="top" wrapText="1"/>
    </xf>
    <xf numFmtId="0" fontId="118" fillId="0" borderId="38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8" fillId="0" borderId="31" xfId="9" applyBorder="1" applyAlignment="1">
      <alignment vertical="center" wrapText="1"/>
    </xf>
    <xf numFmtId="0" fontId="118" fillId="0" borderId="54" xfId="9" applyFont="1" applyBorder="1" applyAlignment="1">
      <alignment horizontal="center" vertical="center" wrapText="1"/>
    </xf>
    <xf numFmtId="0" fontId="118" fillId="0" borderId="106" xfId="9" applyFont="1" applyBorder="1" applyAlignment="1">
      <alignment horizontal="center" vertical="center" wrapText="1"/>
    </xf>
    <xf numFmtId="0" fontId="118" fillId="0" borderId="107" xfId="9" applyFont="1" applyBorder="1" applyAlignment="1">
      <alignment horizontal="center" vertical="center" wrapText="1"/>
    </xf>
    <xf numFmtId="0" fontId="0" fillId="5" borderId="1" xfId="0" applyFill="1" applyBorder="1"/>
    <xf numFmtId="0" fontId="0" fillId="5" borderId="73" xfId="0" applyFill="1" applyBorder="1"/>
    <xf numFmtId="0" fontId="0" fillId="5" borderId="27" xfId="0" applyFill="1" applyBorder="1"/>
    <xf numFmtId="0" fontId="8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 applyProtection="1">
      <alignment horizontal="left" vertical="center"/>
      <protection locked="0"/>
    </xf>
    <xf numFmtId="0" fontId="0" fillId="0" borderId="65" xfId="0" applyBorder="1" applyAlignment="1">
      <alignment horizontal="center"/>
    </xf>
    <xf numFmtId="0" fontId="0" fillId="0" borderId="60" xfId="0" applyBorder="1" applyAlignment="1">
      <alignment horizontal="left"/>
    </xf>
    <xf numFmtId="0" fontId="2" fillId="41" borderId="60" xfId="0" applyFont="1" applyFill="1" applyBorder="1" applyAlignment="1">
      <alignment horizontal="center" vertical="center"/>
    </xf>
    <xf numFmtId="0" fontId="2" fillId="42" borderId="60" xfId="0" applyFont="1" applyFill="1" applyBorder="1" applyAlignment="1">
      <alignment horizontal="center" vertical="center"/>
    </xf>
    <xf numFmtId="0" fontId="2" fillId="43" borderId="60" xfId="0" applyFont="1" applyFill="1" applyBorder="1" applyAlignment="1">
      <alignment horizontal="center" vertical="center"/>
    </xf>
    <xf numFmtId="0" fontId="2" fillId="44" borderId="60" xfId="0" applyFont="1" applyFill="1" applyBorder="1" applyAlignment="1">
      <alignment horizontal="center" vertical="center"/>
    </xf>
    <xf numFmtId="0" fontId="2" fillId="3" borderId="60" xfId="0" applyFont="1" applyFill="1" applyBorder="1" applyAlignment="1">
      <alignment horizontal="center" vertical="center"/>
    </xf>
    <xf numFmtId="0" fontId="2" fillId="24" borderId="60" xfId="0" applyFont="1" applyFill="1" applyBorder="1" applyAlignment="1">
      <alignment horizontal="center" vertical="center"/>
    </xf>
    <xf numFmtId="0" fontId="6" fillId="0" borderId="25" xfId="0" applyFont="1" applyBorder="1"/>
    <xf numFmtId="0" fontId="6" fillId="0" borderId="0" xfId="0" applyFont="1"/>
    <xf numFmtId="0" fontId="8" fillId="0" borderId="0" xfId="0" applyFont="1" applyAlignment="1">
      <alignment vertical="center" wrapText="1"/>
    </xf>
    <xf numFmtId="0" fontId="0" fillId="2" borderId="7" xfId="0" applyFill="1" applyBorder="1"/>
    <xf numFmtId="0" fontId="127" fillId="0" borderId="60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>
      <alignment horizontal="center" vertical="center" wrapText="1"/>
    </xf>
    <xf numFmtId="0" fontId="0" fillId="0" borderId="157" xfId="0" applyBorder="1"/>
    <xf numFmtId="0" fontId="0" fillId="2" borderId="9" xfId="0" applyFill="1" applyBorder="1"/>
    <xf numFmtId="0" fontId="26" fillId="0" borderId="1" xfId="0" quotePrefix="1" applyFont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left" vertical="center"/>
    </xf>
    <xf numFmtId="0" fontId="8" fillId="2" borderId="30" xfId="0" applyFont="1" applyFill="1" applyBorder="1" applyAlignment="1">
      <alignment horizontal="left" vertical="center"/>
    </xf>
    <xf numFmtId="0" fontId="8" fillId="2" borderId="3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2" borderId="61" xfId="0" applyFill="1" applyBorder="1" applyAlignment="1">
      <alignment horizontal="center" vertical="center" wrapText="1"/>
    </xf>
    <xf numFmtId="0" fontId="0" fillId="2" borderId="65" xfId="0" applyFill="1" applyBorder="1" applyAlignment="1">
      <alignment horizontal="center" vertical="center" wrapText="1"/>
    </xf>
    <xf numFmtId="0" fontId="88" fillId="2" borderId="29" xfId="0" applyFont="1" applyFill="1" applyBorder="1" applyAlignment="1">
      <alignment horizontal="center" wrapText="1"/>
    </xf>
    <xf numFmtId="0" fontId="88" fillId="2" borderId="31" xfId="0" applyFont="1" applyFill="1" applyBorder="1" applyAlignment="1">
      <alignment horizontal="center" wrapText="1"/>
    </xf>
    <xf numFmtId="0" fontId="77" fillId="0" borderId="61" xfId="0" applyFont="1" applyBorder="1" applyAlignment="1">
      <alignment vertical="center" wrapText="1"/>
    </xf>
    <xf numFmtId="0" fontId="77" fillId="0" borderId="64" xfId="0" applyFont="1" applyBorder="1" applyAlignment="1">
      <alignment vertical="center" wrapText="1"/>
    </xf>
    <xf numFmtId="0" fontId="77" fillId="0" borderId="25" xfId="0" applyFont="1" applyBorder="1" applyAlignment="1">
      <alignment vertical="center" wrapText="1"/>
    </xf>
    <xf numFmtId="0" fontId="77" fillId="0" borderId="65" xfId="0" applyFont="1" applyBorder="1" applyAlignment="1">
      <alignment vertical="center" wrapText="1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43" fillId="2" borderId="29" xfId="0" applyFont="1" applyFill="1" applyBorder="1" applyAlignment="1">
      <alignment horizontal="center" wrapText="1"/>
    </xf>
    <xf numFmtId="0" fontId="43" fillId="2" borderId="30" xfId="0" applyFont="1" applyFill="1" applyBorder="1" applyAlignment="1">
      <alignment horizont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2" fillId="15" borderId="60" xfId="0" applyFont="1" applyFill="1" applyBorder="1" applyAlignment="1">
      <alignment horizontal="center" vertical="center"/>
    </xf>
    <xf numFmtId="0" fontId="13" fillId="9" borderId="18" xfId="0" applyFont="1" applyFill="1" applyBorder="1" applyAlignment="1">
      <alignment horizontal="center" vertical="center" wrapText="1"/>
    </xf>
    <xf numFmtId="0" fontId="13" fillId="9" borderId="20" xfId="0" applyFont="1" applyFill="1" applyBorder="1" applyAlignment="1">
      <alignment horizontal="center" vertical="center" wrapText="1"/>
    </xf>
    <xf numFmtId="0" fontId="13" fillId="9" borderId="19" xfId="0" applyFont="1" applyFill="1" applyBorder="1" applyAlignment="1">
      <alignment horizontal="center" vertical="center" wrapText="1"/>
    </xf>
    <xf numFmtId="0" fontId="4" fillId="15" borderId="60" xfId="0" applyFont="1" applyFill="1" applyBorder="1" applyAlignment="1">
      <alignment horizontal="center" vertical="center" wrapText="1"/>
    </xf>
    <xf numFmtId="0" fontId="0" fillId="9" borderId="60" xfId="0" applyFill="1" applyBorder="1" applyAlignment="1">
      <alignment horizontal="center"/>
    </xf>
    <xf numFmtId="0" fontId="0" fillId="9" borderId="29" xfId="0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 wrapText="1"/>
    </xf>
    <xf numFmtId="0" fontId="4" fillId="9" borderId="19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9" xfId="0" applyBorder="1" applyAlignment="1" applyProtection="1">
      <alignment horizontal="center" vertical="center"/>
      <protection locked="0"/>
    </xf>
    <xf numFmtId="0" fontId="43" fillId="2" borderId="18" xfId="0" applyFont="1" applyFill="1" applyBorder="1" applyAlignment="1">
      <alignment horizontal="center" wrapText="1"/>
    </xf>
    <xf numFmtId="0" fontId="43" fillId="2" borderId="20" xfId="0" applyFont="1" applyFill="1" applyBorder="1" applyAlignment="1">
      <alignment horizontal="center" wrapText="1"/>
    </xf>
    <xf numFmtId="0" fontId="43" fillId="2" borderId="19" xfId="0" applyFont="1" applyFill="1" applyBorder="1" applyAlignment="1">
      <alignment horizontal="center" wrapText="1"/>
    </xf>
    <xf numFmtId="0" fontId="43" fillId="2" borderId="21" xfId="0" applyFont="1" applyFill="1" applyBorder="1" applyAlignment="1">
      <alignment horizontal="center" wrapText="1"/>
    </xf>
    <xf numFmtId="0" fontId="43" fillId="2" borderId="23" xfId="0" applyFont="1" applyFill="1" applyBorder="1" applyAlignment="1">
      <alignment horizontal="center" wrapText="1"/>
    </xf>
    <xf numFmtId="0" fontId="43" fillId="2" borderId="22" xfId="0" applyFont="1" applyFill="1" applyBorder="1" applyAlignment="1">
      <alignment horizontal="center" wrapText="1"/>
    </xf>
    <xf numFmtId="0" fontId="78" fillId="2" borderId="29" xfId="0" applyFont="1" applyFill="1" applyBorder="1" applyAlignment="1">
      <alignment horizontal="center" vertical="center" wrapText="1"/>
    </xf>
    <xf numFmtId="0" fontId="78" fillId="2" borderId="30" xfId="0" applyFont="1" applyFill="1" applyBorder="1" applyAlignment="1">
      <alignment horizontal="center" vertical="center" wrapText="1"/>
    </xf>
    <xf numFmtId="0" fontId="78" fillId="2" borderId="31" xfId="0" applyFont="1" applyFill="1" applyBorder="1" applyAlignment="1">
      <alignment horizontal="center" vertical="center" wrapText="1"/>
    </xf>
    <xf numFmtId="0" fontId="6" fillId="24" borderId="24" xfId="0" applyFont="1" applyFill="1" applyBorder="1" applyAlignment="1">
      <alignment horizontal="center" vertical="center"/>
    </xf>
    <xf numFmtId="0" fontId="6" fillId="24" borderId="0" xfId="0" applyFont="1" applyFill="1" applyAlignment="1">
      <alignment horizontal="center" vertical="center"/>
    </xf>
    <xf numFmtId="0" fontId="49" fillId="24" borderId="24" xfId="0" applyFont="1" applyFill="1" applyBorder="1" applyAlignment="1">
      <alignment horizontal="center" vertical="center"/>
    </xf>
    <xf numFmtId="0" fontId="49" fillId="24" borderId="0" xfId="0" applyFont="1" applyFill="1" applyAlignment="1">
      <alignment horizontal="center" vertical="center"/>
    </xf>
    <xf numFmtId="0" fontId="4" fillId="24" borderId="29" xfId="0" applyFont="1" applyFill="1" applyBorder="1" applyAlignment="1">
      <alignment horizontal="center" vertical="center"/>
    </xf>
    <xf numFmtId="0" fontId="4" fillId="24" borderId="30" xfId="0" applyFont="1" applyFill="1" applyBorder="1" applyAlignment="1">
      <alignment horizontal="center" vertical="center"/>
    </xf>
    <xf numFmtId="0" fontId="4" fillId="24" borderId="31" xfId="0" applyFont="1" applyFill="1" applyBorder="1" applyAlignment="1">
      <alignment horizontal="center" vertical="center"/>
    </xf>
    <xf numFmtId="0" fontId="24" fillId="24" borderId="23" xfId="0" applyFont="1" applyFill="1" applyBorder="1" applyAlignment="1">
      <alignment horizontal="center" vertical="center"/>
    </xf>
    <xf numFmtId="0" fontId="4" fillId="24" borderId="24" xfId="0" applyFont="1" applyFill="1" applyBorder="1" applyAlignment="1" applyProtection="1">
      <alignment horizontal="center" vertical="center"/>
      <protection locked="0"/>
    </xf>
    <xf numFmtId="0" fontId="4" fillId="24" borderId="0" xfId="0" applyFont="1" applyFill="1" applyAlignment="1" applyProtection="1">
      <alignment horizontal="center" vertical="center"/>
      <protection locked="0"/>
    </xf>
    <xf numFmtId="0" fontId="24" fillId="24" borderId="24" xfId="0" applyFont="1" applyFill="1" applyBorder="1" applyAlignment="1">
      <alignment horizontal="center" vertical="center"/>
    </xf>
    <xf numFmtId="0" fontId="24" fillId="24" borderId="0" xfId="0" applyFont="1" applyFill="1" applyAlignment="1">
      <alignment horizontal="center" vertical="center"/>
    </xf>
    <xf numFmtId="0" fontId="0" fillId="2" borderId="60" xfId="0" applyFill="1" applyBorder="1" applyAlignment="1">
      <alignment horizontal="center"/>
    </xf>
    <xf numFmtId="0" fontId="4" fillId="0" borderId="24" xfId="0" applyFont="1" applyBorder="1" applyAlignment="1">
      <alignment horizontal="center" vertical="center" textRotation="90"/>
    </xf>
    <xf numFmtId="0" fontId="4" fillId="0" borderId="21" xfId="0" applyFont="1" applyBorder="1" applyAlignment="1">
      <alignment horizontal="center" vertical="center" textRotation="90"/>
    </xf>
    <xf numFmtId="0" fontId="10" fillId="0" borderId="0" xfId="0" applyFont="1" applyAlignment="1">
      <alignment horizontal="right" vertical="center"/>
    </xf>
    <xf numFmtId="0" fontId="10" fillId="0" borderId="23" xfId="0" applyFont="1" applyBorder="1" applyAlignment="1" applyProtection="1">
      <alignment horizontal="left" vertical="center"/>
      <protection locked="0"/>
    </xf>
    <xf numFmtId="0" fontId="24" fillId="24" borderId="25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2" fillId="0" borderId="18" xfId="0" applyFont="1" applyBorder="1" applyAlignment="1">
      <alignment horizontal="center" vertical="center" textRotation="255" shrinkToFit="1"/>
    </xf>
    <xf numFmtId="0" fontId="2" fillId="0" borderId="19" xfId="0" applyFont="1" applyBorder="1" applyAlignment="1">
      <alignment horizontal="center" vertical="center" textRotation="255" shrinkToFit="1"/>
    </xf>
    <xf numFmtId="0" fontId="2" fillId="0" borderId="21" xfId="0" applyFont="1" applyBorder="1" applyAlignment="1">
      <alignment horizontal="center" vertical="center" textRotation="255" shrinkToFit="1"/>
    </xf>
    <xf numFmtId="0" fontId="2" fillId="0" borderId="22" xfId="0" applyFont="1" applyBorder="1" applyAlignment="1">
      <alignment horizontal="center" vertical="center" textRotation="255" shrinkToFit="1"/>
    </xf>
    <xf numFmtId="0" fontId="4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24" fillId="2" borderId="29" xfId="0" applyFont="1" applyFill="1" applyBorder="1" applyAlignment="1">
      <alignment horizontal="center" vertical="center"/>
    </xf>
    <xf numFmtId="0" fontId="24" fillId="2" borderId="30" xfId="0" applyFont="1" applyFill="1" applyBorder="1" applyAlignment="1">
      <alignment horizontal="center" vertical="center"/>
    </xf>
    <xf numFmtId="0" fontId="24" fillId="2" borderId="31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2" fillId="24" borderId="18" xfId="0" applyFont="1" applyFill="1" applyBorder="1" applyAlignment="1">
      <alignment horizontal="center" vertical="center" textRotation="255" shrinkToFit="1"/>
    </xf>
    <xf numFmtId="0" fontId="2" fillId="24" borderId="19" xfId="0" applyFont="1" applyFill="1" applyBorder="1" applyAlignment="1">
      <alignment horizontal="center" vertical="center" textRotation="255" shrinkToFit="1"/>
    </xf>
    <xf numFmtId="0" fontId="2" fillId="24" borderId="21" xfId="0" applyFont="1" applyFill="1" applyBorder="1" applyAlignment="1">
      <alignment horizontal="center" vertical="center" textRotation="255" shrinkToFit="1"/>
    </xf>
    <xf numFmtId="0" fontId="2" fillId="24" borderId="22" xfId="0" applyFont="1" applyFill="1" applyBorder="1" applyAlignment="1">
      <alignment horizontal="center" vertical="center" textRotation="255" shrinkToFit="1"/>
    </xf>
    <xf numFmtId="0" fontId="4" fillId="24" borderId="20" xfId="0" applyFont="1" applyFill="1" applyBorder="1" applyAlignment="1">
      <alignment horizontal="center" vertical="center"/>
    </xf>
    <xf numFmtId="0" fontId="4" fillId="24" borderId="19" xfId="0" applyFont="1" applyFill="1" applyBorder="1" applyAlignment="1">
      <alignment horizontal="center" vertical="center"/>
    </xf>
    <xf numFmtId="0" fontId="4" fillId="24" borderId="18" xfId="0" applyFont="1" applyFill="1" applyBorder="1" applyAlignment="1">
      <alignment horizontal="center" vertical="center" textRotation="90"/>
    </xf>
    <xf numFmtId="0" fontId="4" fillId="24" borderId="24" xfId="0" applyFont="1" applyFill="1" applyBorder="1" applyAlignment="1">
      <alignment horizontal="center" vertical="center" textRotation="90"/>
    </xf>
    <xf numFmtId="0" fontId="4" fillId="24" borderId="21" xfId="0" applyFont="1" applyFill="1" applyBorder="1" applyAlignment="1">
      <alignment horizontal="center" vertical="center" textRotation="90"/>
    </xf>
    <xf numFmtId="0" fontId="10" fillId="0" borderId="29" xfId="0" applyFont="1" applyBorder="1" applyAlignment="1" applyProtection="1">
      <alignment horizontal="left" vertical="top" wrapText="1"/>
      <protection locked="0"/>
    </xf>
    <xf numFmtId="0" fontId="10" fillId="0" borderId="30" xfId="0" applyFont="1" applyBorder="1" applyAlignment="1" applyProtection="1">
      <alignment horizontal="left" vertical="top" wrapText="1"/>
      <protection locked="0"/>
    </xf>
    <xf numFmtId="0" fontId="10" fillId="0" borderId="31" xfId="0" applyFont="1" applyBorder="1" applyAlignment="1" applyProtection="1">
      <alignment horizontal="left" vertical="top" wrapText="1"/>
      <protection locked="0"/>
    </xf>
    <xf numFmtId="0" fontId="14" fillId="0" borderId="16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textRotation="90"/>
    </xf>
    <xf numFmtId="0" fontId="9" fillId="0" borderId="29" xfId="0" applyFont="1" applyBorder="1" applyAlignment="1" applyProtection="1">
      <alignment horizontal="center" vertical="center"/>
      <protection locked="0"/>
    </xf>
    <xf numFmtId="0" fontId="9" fillId="0" borderId="30" xfId="0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/>
    </xf>
    <xf numFmtId="0" fontId="4" fillId="0" borderId="60" xfId="0" applyFont="1" applyBorder="1" applyAlignment="1">
      <alignment horizontal="left" vertical="center" wrapText="1"/>
    </xf>
    <xf numFmtId="0" fontId="13" fillId="0" borderId="60" xfId="0" applyFont="1" applyBorder="1" applyAlignment="1">
      <alignment horizontal="left" vertical="center" wrapText="1"/>
    </xf>
    <xf numFmtId="0" fontId="2" fillId="0" borderId="60" xfId="0" applyFont="1" applyBorder="1" applyAlignment="1">
      <alignment horizontal="left" vertical="center"/>
    </xf>
    <xf numFmtId="0" fontId="24" fillId="3" borderId="29" xfId="0" applyFont="1" applyFill="1" applyBorder="1" applyAlignment="1">
      <alignment horizontal="center" vertical="center"/>
    </xf>
    <xf numFmtId="0" fontId="24" fillId="3" borderId="30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0" fillId="0" borderId="29" xfId="0" applyFont="1" applyBorder="1" applyAlignment="1" applyProtection="1">
      <alignment horizontal="left" vertical="top"/>
      <protection locked="0"/>
    </xf>
    <xf numFmtId="0" fontId="10" fillId="0" borderId="30" xfId="0" applyFont="1" applyBorder="1" applyAlignment="1" applyProtection="1">
      <alignment horizontal="left" vertical="top"/>
      <protection locked="0"/>
    </xf>
    <xf numFmtId="0" fontId="10" fillId="0" borderId="31" xfId="0" applyFont="1" applyBorder="1" applyAlignment="1" applyProtection="1">
      <alignment horizontal="left" vertical="top"/>
      <protection locked="0"/>
    </xf>
    <xf numFmtId="0" fontId="2" fillId="3" borderId="24" xfId="0" applyFont="1" applyFill="1" applyBorder="1" applyAlignment="1">
      <alignment horizontal="center" vertical="center" textRotation="255" shrinkToFit="1"/>
    </xf>
    <xf numFmtId="0" fontId="2" fillId="3" borderId="25" xfId="0" applyFont="1" applyFill="1" applyBorder="1" applyAlignment="1">
      <alignment horizontal="center" vertical="center" textRotation="255" shrinkToFit="1"/>
    </xf>
    <xf numFmtId="0" fontId="2" fillId="3" borderId="21" xfId="0" applyFont="1" applyFill="1" applyBorder="1" applyAlignment="1">
      <alignment horizontal="center" vertical="center" textRotation="255" shrinkToFit="1"/>
    </xf>
    <xf numFmtId="0" fontId="2" fillId="3" borderId="22" xfId="0" applyFont="1" applyFill="1" applyBorder="1" applyAlignment="1">
      <alignment horizontal="center" vertical="center" textRotation="255" shrinkToFit="1"/>
    </xf>
    <xf numFmtId="0" fontId="4" fillId="3" borderId="0" xfId="0" applyFont="1" applyFill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 textRotation="90"/>
    </xf>
    <xf numFmtId="0" fontId="4" fillId="3" borderId="24" xfId="0" applyFont="1" applyFill="1" applyBorder="1" applyAlignment="1">
      <alignment horizontal="center" vertical="center" textRotation="90"/>
    </xf>
    <xf numFmtId="0" fontId="4" fillId="3" borderId="21" xfId="0" applyFont="1" applyFill="1" applyBorder="1" applyAlignment="1">
      <alignment horizontal="center" vertical="center" textRotation="90"/>
    </xf>
    <xf numFmtId="0" fontId="68" fillId="0" borderId="29" xfId="8" applyFont="1" applyBorder="1" applyAlignment="1">
      <alignment horizontal="center" vertical="center"/>
    </xf>
    <xf numFmtId="0" fontId="68" fillId="0" borderId="30" xfId="8" applyFont="1" applyBorder="1" applyAlignment="1">
      <alignment horizontal="center" vertical="center"/>
    </xf>
    <xf numFmtId="0" fontId="68" fillId="0" borderId="31" xfId="8" applyFont="1" applyBorder="1" applyAlignment="1">
      <alignment horizontal="center" vertical="center"/>
    </xf>
    <xf numFmtId="0" fontId="0" fillId="35" borderId="39" xfId="8" applyFont="1" applyFill="1" applyBorder="1" applyAlignment="1">
      <alignment horizontal="center"/>
    </xf>
    <xf numFmtId="0" fontId="84" fillId="35" borderId="40" xfId="8" applyFill="1" applyBorder="1" applyAlignment="1">
      <alignment horizontal="center"/>
    </xf>
    <xf numFmtId="0" fontId="84" fillId="35" borderId="32" xfId="8" applyFill="1" applyBorder="1" applyAlignment="1">
      <alignment horizontal="center"/>
    </xf>
    <xf numFmtId="0" fontId="4" fillId="0" borderId="0" xfId="8" applyFont="1" applyAlignment="1">
      <alignment horizontal="center" vertical="center"/>
    </xf>
    <xf numFmtId="0" fontId="4" fillId="0" borderId="25" xfId="8" applyFont="1" applyBorder="1" applyAlignment="1">
      <alignment horizontal="center" vertical="center"/>
    </xf>
    <xf numFmtId="0" fontId="14" fillId="0" borderId="29" xfId="8" applyFont="1" applyBorder="1" applyAlignment="1">
      <alignment horizontal="center" vertical="center"/>
    </xf>
    <xf numFmtId="0" fontId="14" fillId="0" borderId="30" xfId="8" applyFont="1" applyBorder="1" applyAlignment="1">
      <alignment horizontal="center" vertical="center"/>
    </xf>
    <xf numFmtId="0" fontId="14" fillId="0" borderId="31" xfId="8" applyFont="1" applyBorder="1" applyAlignment="1">
      <alignment horizontal="center" vertical="center"/>
    </xf>
    <xf numFmtId="0" fontId="15" fillId="0" borderId="29" xfId="8" applyFont="1" applyBorder="1" applyAlignment="1">
      <alignment horizontal="center" vertical="center"/>
    </xf>
    <xf numFmtId="0" fontId="15" fillId="0" borderId="30" xfId="8" applyFont="1" applyBorder="1" applyAlignment="1">
      <alignment horizontal="center" vertical="center"/>
    </xf>
    <xf numFmtId="0" fontId="15" fillId="0" borderId="31" xfId="8" applyFont="1" applyBorder="1" applyAlignment="1">
      <alignment horizontal="center" vertical="center"/>
    </xf>
    <xf numFmtId="0" fontId="4" fillId="0" borderId="29" xfId="8" applyFont="1" applyBorder="1" applyAlignment="1">
      <alignment horizontal="center" vertical="center"/>
    </xf>
    <xf numFmtId="0" fontId="4" fillId="0" borderId="30" xfId="8" applyFont="1" applyBorder="1" applyAlignment="1">
      <alignment horizontal="center" vertical="center"/>
    </xf>
    <xf numFmtId="0" fontId="4" fillId="0" borderId="31" xfId="8" applyFont="1" applyBorder="1" applyAlignment="1">
      <alignment horizontal="center" vertical="center"/>
    </xf>
    <xf numFmtId="0" fontId="61" fillId="0" borderId="18" xfId="8" applyFont="1" applyBorder="1" applyAlignment="1">
      <alignment horizontal="center" vertical="center"/>
    </xf>
    <xf numFmtId="0" fontId="61" fillId="0" borderId="20" xfId="8" applyFont="1" applyBorder="1" applyAlignment="1">
      <alignment horizontal="center" vertical="center"/>
    </xf>
    <xf numFmtId="0" fontId="61" fillId="0" borderId="19" xfId="8" applyFont="1" applyBorder="1" applyAlignment="1">
      <alignment horizontal="center" vertical="center"/>
    </xf>
    <xf numFmtId="0" fontId="61" fillId="0" borderId="24" xfId="8" applyFont="1" applyBorder="1" applyAlignment="1">
      <alignment horizontal="center" vertical="center"/>
    </xf>
    <xf numFmtId="0" fontId="61" fillId="0" borderId="0" xfId="8" applyFont="1" applyAlignment="1">
      <alignment horizontal="center" vertical="center"/>
    </xf>
    <xf numFmtId="0" fontId="61" fillId="0" borderId="25" xfId="8" applyFont="1" applyBorder="1" applyAlignment="1">
      <alignment horizontal="center" vertical="center"/>
    </xf>
    <xf numFmtId="0" fontId="61" fillId="0" borderId="21" xfId="8" applyFont="1" applyBorder="1" applyAlignment="1">
      <alignment horizontal="center" vertical="center"/>
    </xf>
    <xf numFmtId="0" fontId="61" fillId="0" borderId="23" xfId="8" applyFont="1" applyBorder="1" applyAlignment="1">
      <alignment horizontal="center" vertical="center"/>
    </xf>
    <xf numFmtId="0" fontId="61" fillId="0" borderId="22" xfId="8" applyFont="1" applyBorder="1" applyAlignment="1">
      <alignment horizontal="center" vertical="center"/>
    </xf>
    <xf numFmtId="0" fontId="13" fillId="0" borderId="0" xfId="8" applyFont="1" applyAlignment="1">
      <alignment horizontal="left" vertical="center"/>
    </xf>
    <xf numFmtId="0" fontId="13" fillId="0" borderId="25" xfId="8" applyFont="1" applyBorder="1" applyAlignment="1">
      <alignment horizontal="left" vertical="center"/>
    </xf>
    <xf numFmtId="0" fontId="13" fillId="0" borderId="0" xfId="8" applyFont="1" applyAlignment="1">
      <alignment horizontal="center" vertical="center"/>
    </xf>
    <xf numFmtId="0" fontId="13" fillId="0" borderId="25" xfId="8" applyFont="1" applyBorder="1" applyAlignment="1">
      <alignment horizontal="center" vertical="center"/>
    </xf>
    <xf numFmtId="0" fontId="13" fillId="0" borderId="0" xfId="8" applyFont="1" applyAlignment="1">
      <alignment horizontal="center" vertical="center" wrapText="1"/>
    </xf>
    <xf numFmtId="0" fontId="13" fillId="0" borderId="0" xfId="8" applyFont="1" applyAlignment="1">
      <alignment horizontal="right" vertical="center"/>
    </xf>
    <xf numFmtId="0" fontId="13" fillId="0" borderId="25" xfId="8" applyFont="1" applyBorder="1" applyAlignment="1">
      <alignment horizontal="right" vertical="center"/>
    </xf>
    <xf numFmtId="0" fontId="4" fillId="0" borderId="21" xfId="8" applyFont="1" applyBorder="1" applyAlignment="1">
      <alignment horizontal="center" vertical="center"/>
    </xf>
    <xf numFmtId="0" fontId="4" fillId="0" borderId="23" xfId="8" applyFont="1" applyBorder="1" applyAlignment="1">
      <alignment horizontal="center" vertical="center"/>
    </xf>
    <xf numFmtId="0" fontId="4" fillId="0" borderId="22" xfId="8" applyFont="1" applyBorder="1" applyAlignment="1">
      <alignment horizontal="center" vertical="center"/>
    </xf>
    <xf numFmtId="14" fontId="4" fillId="0" borderId="29" xfId="8" applyNumberFormat="1" applyFont="1" applyBorder="1" applyAlignment="1">
      <alignment horizontal="center" vertical="center"/>
    </xf>
    <xf numFmtId="14" fontId="4" fillId="0" borderId="30" xfId="8" applyNumberFormat="1" applyFont="1" applyBorder="1" applyAlignment="1">
      <alignment horizontal="center" vertical="center"/>
    </xf>
    <xf numFmtId="14" fontId="4" fillId="0" borderId="31" xfId="8" applyNumberFormat="1" applyFont="1" applyBorder="1" applyAlignment="1">
      <alignment horizontal="center" vertical="center"/>
    </xf>
    <xf numFmtId="0" fontId="11" fillId="0" borderId="18" xfId="8" applyFont="1" applyBorder="1" applyAlignment="1">
      <alignment horizontal="center" vertical="center" textRotation="255" shrinkToFit="1"/>
    </xf>
    <xf numFmtId="0" fontId="11" fillId="0" borderId="20" xfId="8" applyFont="1" applyBorder="1" applyAlignment="1">
      <alignment horizontal="center" vertical="center" textRotation="255" shrinkToFit="1"/>
    </xf>
    <xf numFmtId="0" fontId="11" fillId="0" borderId="21" xfId="8" applyFont="1" applyBorder="1" applyAlignment="1">
      <alignment horizontal="center" vertical="center" textRotation="255" shrinkToFit="1"/>
    </xf>
    <xf numFmtId="0" fontId="11" fillId="0" borderId="23" xfId="8" applyFont="1" applyBorder="1" applyAlignment="1">
      <alignment horizontal="center" vertical="center" textRotation="255" shrinkToFit="1"/>
    </xf>
    <xf numFmtId="0" fontId="12" fillId="0" borderId="18" xfId="8" applyFont="1" applyBorder="1" applyAlignment="1">
      <alignment horizontal="center" vertical="center" textRotation="90"/>
    </xf>
    <xf numFmtId="0" fontId="12" fillId="0" borderId="24" xfId="8" applyFont="1" applyBorder="1" applyAlignment="1">
      <alignment horizontal="center" vertical="center" textRotation="90"/>
    </xf>
    <xf numFmtId="0" fontId="12" fillId="0" borderId="21" xfId="8" applyFont="1" applyBorder="1" applyAlignment="1">
      <alignment horizontal="center" vertical="center" textRotation="90"/>
    </xf>
    <xf numFmtId="0" fontId="4" fillId="0" borderId="0" xfId="8" applyFont="1" applyAlignment="1">
      <alignment horizontal="right" vertical="center"/>
    </xf>
    <xf numFmtId="0" fontId="4" fillId="0" borderId="40" xfId="8" applyFont="1" applyBorder="1" applyAlignment="1">
      <alignment horizontal="center" vertical="center"/>
    </xf>
    <xf numFmtId="164" fontId="4" fillId="0" borderId="40" xfId="8" applyNumberFormat="1" applyFont="1" applyBorder="1" applyAlignment="1">
      <alignment horizontal="center" vertical="center"/>
    </xf>
    <xf numFmtId="14" fontId="4" fillId="0" borderId="40" xfId="8" applyNumberFormat="1" applyFont="1" applyBorder="1" applyAlignment="1">
      <alignment horizontal="center" vertical="center"/>
    </xf>
    <xf numFmtId="0" fontId="12" fillId="0" borderId="18" xfId="8" applyFont="1" applyBorder="1" applyAlignment="1">
      <alignment horizontal="center" vertical="center"/>
    </xf>
    <xf numFmtId="0" fontId="12" fillId="0" borderId="20" xfId="8" applyFont="1" applyBorder="1" applyAlignment="1">
      <alignment horizontal="center" vertical="center"/>
    </xf>
    <xf numFmtId="0" fontId="12" fillId="0" borderId="19" xfId="8" applyFont="1" applyBorder="1" applyAlignment="1">
      <alignment horizontal="center" vertical="center"/>
    </xf>
    <xf numFmtId="0" fontId="2" fillId="0" borderId="20" xfId="8" applyFont="1" applyBorder="1" applyAlignment="1">
      <alignment horizontal="center" vertical="center"/>
    </xf>
    <xf numFmtId="0" fontId="2" fillId="0" borderId="19" xfId="8" applyFont="1" applyBorder="1" applyAlignment="1">
      <alignment horizontal="center" vertical="center"/>
    </xf>
    <xf numFmtId="0" fontId="2" fillId="0" borderId="23" xfId="8" applyFont="1" applyBorder="1" applyAlignment="1">
      <alignment horizontal="center" vertical="center"/>
    </xf>
    <xf numFmtId="0" fontId="2" fillId="0" borderId="22" xfId="8" applyFont="1" applyBorder="1" applyAlignment="1">
      <alignment horizontal="center" vertical="center"/>
    </xf>
    <xf numFmtId="0" fontId="4" fillId="0" borderId="2" xfId="8" applyFont="1" applyBorder="1" applyAlignment="1">
      <alignment horizontal="center" vertical="center" wrapText="1"/>
    </xf>
    <xf numFmtId="0" fontId="4" fillId="0" borderId="8" xfId="8" applyFont="1" applyBorder="1" applyAlignment="1">
      <alignment horizontal="center" vertical="center" wrapText="1"/>
    </xf>
    <xf numFmtId="0" fontId="13" fillId="0" borderId="18" xfId="8" applyFont="1" applyBorder="1" applyAlignment="1">
      <alignment horizontal="center" vertical="center" wrapText="1"/>
    </xf>
    <xf numFmtId="0" fontId="13" fillId="0" borderId="20" xfId="8" applyFont="1" applyBorder="1" applyAlignment="1">
      <alignment horizontal="center" vertical="center" wrapText="1"/>
    </xf>
    <xf numFmtId="0" fontId="13" fillId="0" borderId="21" xfId="8" applyFont="1" applyBorder="1" applyAlignment="1">
      <alignment horizontal="center" vertical="center" wrapText="1"/>
    </xf>
    <xf numFmtId="0" fontId="13" fillId="0" borderId="23" xfId="8" applyFont="1" applyBorder="1" applyAlignment="1">
      <alignment horizontal="center" vertical="center" wrapText="1"/>
    </xf>
    <xf numFmtId="0" fontId="4" fillId="0" borderId="2" xfId="8" applyFont="1" applyBorder="1" applyAlignment="1">
      <alignment horizontal="center" vertical="center"/>
    </xf>
    <xf numFmtId="0" fontId="0" fillId="35" borderId="5" xfId="8" applyFont="1" applyFill="1" applyBorder="1" applyAlignment="1">
      <alignment horizontal="center" vertical="center"/>
    </xf>
    <xf numFmtId="0" fontId="0" fillId="35" borderId="6" xfId="8" applyFont="1" applyFill="1" applyBorder="1" applyAlignment="1">
      <alignment horizontal="center" vertical="center"/>
    </xf>
    <xf numFmtId="0" fontId="0" fillId="35" borderId="41" xfId="8" applyFont="1" applyFill="1" applyBorder="1" applyAlignment="1">
      <alignment horizontal="center" vertical="center" wrapText="1"/>
    </xf>
    <xf numFmtId="0" fontId="84" fillId="35" borderId="14" xfId="8" applyFill="1" applyBorder="1" applyAlignment="1">
      <alignment horizontal="center" vertical="center"/>
    </xf>
    <xf numFmtId="0" fontId="84" fillId="35" borderId="70" xfId="8" applyFill="1" applyBorder="1" applyAlignment="1">
      <alignment horizontal="center" vertical="center"/>
    </xf>
    <xf numFmtId="0" fontId="4" fillId="0" borderId="4" xfId="8" applyFont="1" applyBorder="1" applyAlignment="1">
      <alignment horizontal="center" vertical="center"/>
    </xf>
    <xf numFmtId="0" fontId="4" fillId="0" borderId="5" xfId="8" applyFont="1" applyBorder="1" applyAlignment="1">
      <alignment horizontal="center" vertical="center"/>
    </xf>
    <xf numFmtId="0" fontId="4" fillId="0" borderId="6" xfId="8" applyFont="1" applyBorder="1" applyAlignment="1">
      <alignment horizontal="center" vertical="center"/>
    </xf>
    <xf numFmtId="0" fontId="4" fillId="0" borderId="9" xfId="8" applyFont="1" applyBorder="1" applyAlignment="1">
      <alignment horizontal="center" vertical="center"/>
    </xf>
    <xf numFmtId="0" fontId="4" fillId="0" borderId="10" xfId="8" applyFont="1" applyBorder="1" applyAlignment="1">
      <alignment horizontal="center" vertical="center"/>
    </xf>
    <xf numFmtId="0" fontId="4" fillId="0" borderId="11" xfId="8" applyFont="1" applyBorder="1" applyAlignment="1">
      <alignment horizontal="center" vertical="center"/>
    </xf>
    <xf numFmtId="0" fontId="68" fillId="0" borderId="18" xfId="8" applyFont="1" applyBorder="1" applyAlignment="1">
      <alignment horizontal="center" vertical="center"/>
    </xf>
    <xf numFmtId="0" fontId="68" fillId="0" borderId="20" xfId="8" applyFont="1" applyBorder="1" applyAlignment="1">
      <alignment horizontal="center" vertical="center"/>
    </xf>
    <xf numFmtId="0" fontId="68" fillId="0" borderId="19" xfId="8" applyFont="1" applyBorder="1" applyAlignment="1">
      <alignment horizontal="center" vertical="center"/>
    </xf>
    <xf numFmtId="0" fontId="4" fillId="0" borderId="18" xfId="8" applyFont="1" applyBorder="1" applyAlignment="1">
      <alignment horizontal="center" vertical="center"/>
    </xf>
    <xf numFmtId="0" fontId="4" fillId="0" borderId="20" xfId="8" applyFont="1" applyBorder="1" applyAlignment="1">
      <alignment horizontal="center" vertical="center"/>
    </xf>
    <xf numFmtId="0" fontId="4" fillId="0" borderId="19" xfId="8" applyFont="1" applyBorder="1" applyAlignment="1">
      <alignment horizontal="center" vertical="center"/>
    </xf>
    <xf numFmtId="0" fontId="4" fillId="0" borderId="7" xfId="8" applyFont="1" applyBorder="1" applyAlignment="1">
      <alignment horizontal="left" vertical="top"/>
    </xf>
    <xf numFmtId="0" fontId="4" fillId="0" borderId="2" xfId="8" applyFont="1" applyBorder="1" applyAlignment="1">
      <alignment horizontal="left" vertical="top"/>
    </xf>
    <xf numFmtId="0" fontId="86" fillId="27" borderId="30" xfId="8" applyFont="1" applyFill="1" applyBorder="1" applyAlignment="1">
      <alignment horizontal="center" vertical="center"/>
    </xf>
    <xf numFmtId="0" fontId="52" fillId="0" borderId="2" xfId="8" applyFont="1" applyBorder="1" applyAlignment="1">
      <alignment horizontal="center" vertical="center"/>
    </xf>
    <xf numFmtId="0" fontId="52" fillId="0" borderId="8" xfId="8" applyFont="1" applyBorder="1" applyAlignment="1">
      <alignment horizontal="center" vertical="center"/>
    </xf>
    <xf numFmtId="0" fontId="4" fillId="0" borderId="18" xfId="8" applyFont="1" applyBorder="1" applyAlignment="1">
      <alignment horizontal="center" vertical="center" wrapText="1"/>
    </xf>
    <xf numFmtId="0" fontId="4" fillId="0" borderId="20" xfId="8" applyFont="1" applyBorder="1" applyAlignment="1">
      <alignment horizontal="center" vertical="center" wrapText="1"/>
    </xf>
    <xf numFmtId="0" fontId="4" fillId="0" borderId="21" xfId="8" applyFont="1" applyBorder="1" applyAlignment="1">
      <alignment horizontal="center" vertical="center" wrapText="1"/>
    </xf>
    <xf numFmtId="0" fontId="4" fillId="0" borderId="23" xfId="8" applyFont="1" applyBorder="1" applyAlignment="1">
      <alignment horizontal="center" vertical="center" wrapText="1"/>
    </xf>
    <xf numFmtId="0" fontId="2" fillId="0" borderId="7" xfId="8" applyFont="1" applyBorder="1" applyAlignment="1">
      <alignment horizontal="center" vertical="center"/>
    </xf>
    <xf numFmtId="0" fontId="2" fillId="0" borderId="2" xfId="8" applyFont="1" applyBorder="1" applyAlignment="1">
      <alignment horizontal="center" vertical="center"/>
    </xf>
    <xf numFmtId="0" fontId="2" fillId="0" borderId="8" xfId="8" applyFont="1" applyBorder="1" applyAlignment="1">
      <alignment horizontal="center" vertical="center"/>
    </xf>
    <xf numFmtId="0" fontId="84" fillId="0" borderId="41" xfId="8" applyBorder="1" applyAlignment="1">
      <alignment horizontal="center" vertical="center"/>
    </xf>
    <xf numFmtId="0" fontId="84" fillId="0" borderId="14" xfId="8" applyBorder="1" applyAlignment="1">
      <alignment horizontal="center" vertical="center"/>
    </xf>
    <xf numFmtId="0" fontId="87" fillId="0" borderId="7" xfId="8" applyFont="1" applyBorder="1" applyAlignment="1">
      <alignment horizontal="center" vertical="center"/>
    </xf>
    <xf numFmtId="0" fontId="87" fillId="0" borderId="48" xfId="8" applyFont="1" applyBorder="1" applyAlignment="1">
      <alignment horizontal="center" vertical="center"/>
    </xf>
    <xf numFmtId="0" fontId="49" fillId="0" borderId="7" xfId="8" applyFont="1" applyBorder="1" applyAlignment="1">
      <alignment horizontal="center" vertical="center" wrapText="1"/>
    </xf>
    <xf numFmtId="0" fontId="49" fillId="0" borderId="2" xfId="8" applyFont="1" applyBorder="1" applyAlignment="1">
      <alignment horizontal="center" vertical="center" wrapText="1"/>
    </xf>
    <xf numFmtId="0" fontId="49" fillId="0" borderId="8" xfId="8" applyFont="1" applyBorder="1" applyAlignment="1">
      <alignment horizontal="center" vertical="center" wrapText="1"/>
    </xf>
    <xf numFmtId="0" fontId="84" fillId="0" borderId="43" xfId="8" applyBorder="1" applyAlignment="1">
      <alignment horizontal="center" vertical="center"/>
    </xf>
    <xf numFmtId="0" fontId="84" fillId="0" borderId="49" xfId="8" applyBorder="1" applyAlignment="1">
      <alignment horizontal="center" vertical="center"/>
    </xf>
    <xf numFmtId="0" fontId="3" fillId="0" borderId="7" xfId="8" applyFont="1" applyBorder="1" applyAlignment="1">
      <alignment horizontal="center" vertical="center"/>
    </xf>
    <xf numFmtId="0" fontId="3" fillId="0" borderId="8" xfId="8" applyFont="1" applyBorder="1" applyAlignment="1">
      <alignment horizontal="center" vertical="center"/>
    </xf>
    <xf numFmtId="0" fontId="84" fillId="0" borderId="42" xfId="8" applyBorder="1" applyAlignment="1">
      <alignment horizontal="center" vertical="center" shrinkToFit="1"/>
    </xf>
    <xf numFmtId="0" fontId="84" fillId="0" borderId="49" xfId="8" applyBorder="1" applyAlignment="1">
      <alignment horizontal="center" vertical="center" shrinkToFit="1"/>
    </xf>
    <xf numFmtId="0" fontId="84" fillId="0" borderId="42" xfId="8" applyBorder="1" applyAlignment="1">
      <alignment horizontal="center" vertical="center"/>
    </xf>
    <xf numFmtId="0" fontId="87" fillId="0" borderId="4" xfId="8" applyFont="1" applyBorder="1" applyAlignment="1">
      <alignment horizontal="center" vertical="center"/>
    </xf>
    <xf numFmtId="0" fontId="87" fillId="0" borderId="13" xfId="8" applyFont="1" applyBorder="1" applyAlignment="1">
      <alignment horizontal="center" vertical="center"/>
    </xf>
    <xf numFmtId="0" fontId="49" fillId="0" borderId="4" xfId="8" applyFont="1" applyBorder="1" applyAlignment="1">
      <alignment horizontal="center" vertical="center" wrapText="1"/>
    </xf>
    <xf numFmtId="0" fontId="49" fillId="0" borderId="5" xfId="8" applyFont="1" applyBorder="1" applyAlignment="1">
      <alignment horizontal="center" vertical="center" wrapText="1"/>
    </xf>
    <xf numFmtId="0" fontId="49" fillId="0" borderId="6" xfId="8" applyFont="1" applyBorder="1" applyAlignment="1">
      <alignment horizontal="center" vertical="center" wrapText="1"/>
    </xf>
    <xf numFmtId="0" fontId="84" fillId="0" borderId="70" xfId="8" applyBorder="1" applyAlignment="1">
      <alignment horizontal="center" vertical="center"/>
    </xf>
    <xf numFmtId="0" fontId="3" fillId="0" borderId="4" xfId="8" applyFont="1" applyBorder="1" applyAlignment="1">
      <alignment horizontal="center" vertical="center"/>
    </xf>
    <xf numFmtId="0" fontId="3" fillId="0" borderId="6" xfId="8" applyFont="1" applyBorder="1" applyAlignment="1">
      <alignment horizontal="center" vertical="center"/>
    </xf>
    <xf numFmtId="1" fontId="84" fillId="0" borderId="41" xfId="8" applyNumberFormat="1" applyBorder="1" applyAlignment="1">
      <alignment horizontal="center" vertical="center" shrinkToFit="1"/>
    </xf>
    <xf numFmtId="0" fontId="84" fillId="0" borderId="70" xfId="8" applyBorder="1" applyAlignment="1">
      <alignment horizontal="center" vertical="center" shrinkToFit="1"/>
    </xf>
    <xf numFmtId="0" fontId="2" fillId="0" borderId="26" xfId="8" applyFont="1" applyBorder="1" applyAlignment="1">
      <alignment horizontal="center" vertical="center"/>
    </xf>
    <xf numFmtId="0" fontId="2" fillId="0" borderId="27" xfId="8" applyFont="1" applyBorder="1" applyAlignment="1">
      <alignment horizontal="center" vertical="center"/>
    </xf>
    <xf numFmtId="0" fontId="2" fillId="0" borderId="28" xfId="8" applyFont="1" applyBorder="1" applyAlignment="1">
      <alignment horizontal="center" vertical="center"/>
    </xf>
    <xf numFmtId="0" fontId="13" fillId="0" borderId="29" xfId="8" applyFont="1" applyBorder="1" applyAlignment="1">
      <alignment horizontal="center" vertical="center"/>
    </xf>
    <xf numFmtId="0" fontId="13" fillId="0" borderId="30" xfId="8" applyFont="1" applyBorder="1" applyAlignment="1">
      <alignment horizontal="center" vertical="center"/>
    </xf>
    <xf numFmtId="0" fontId="13" fillId="0" borderId="31" xfId="8" applyFont="1" applyBorder="1" applyAlignment="1">
      <alignment horizontal="center" vertical="center"/>
    </xf>
    <xf numFmtId="0" fontId="12" fillId="0" borderId="29" xfId="8" applyFont="1" applyBorder="1" applyAlignment="1">
      <alignment horizontal="center" vertical="center"/>
    </xf>
    <xf numFmtId="0" fontId="12" fillId="0" borderId="30" xfId="8" applyFont="1" applyBorder="1" applyAlignment="1">
      <alignment horizontal="center" vertical="center"/>
    </xf>
    <xf numFmtId="0" fontId="12" fillId="0" borderId="31" xfId="8" applyFont="1" applyBorder="1" applyAlignment="1">
      <alignment horizontal="center" vertical="center"/>
    </xf>
    <xf numFmtId="0" fontId="0" fillId="35" borderId="32" xfId="8" applyFont="1" applyFill="1" applyBorder="1" applyAlignment="1">
      <alignment horizontal="center" vertical="center"/>
    </xf>
    <xf numFmtId="0" fontId="0" fillId="35" borderId="27" xfId="8" applyFont="1" applyFill="1" applyBorder="1" applyAlignment="1">
      <alignment horizontal="center" vertical="center"/>
    </xf>
    <xf numFmtId="0" fontId="0" fillId="35" borderId="28" xfId="8" applyFont="1" applyFill="1" applyBorder="1" applyAlignment="1">
      <alignment horizontal="center" vertical="center"/>
    </xf>
    <xf numFmtId="0" fontId="4" fillId="0" borderId="26" xfId="8" applyFont="1" applyBorder="1" applyAlignment="1">
      <alignment horizontal="left" vertical="top"/>
    </xf>
    <xf numFmtId="0" fontId="4" fillId="0" borderId="27" xfId="8" applyFont="1" applyBorder="1" applyAlignment="1">
      <alignment horizontal="left" vertical="top"/>
    </xf>
    <xf numFmtId="0" fontId="13" fillId="0" borderId="2" xfId="8" applyFont="1" applyBorder="1" applyAlignment="1">
      <alignment horizontal="center" vertical="center"/>
    </xf>
    <xf numFmtId="0" fontId="4" fillId="0" borderId="9" xfId="8" applyFont="1" applyBorder="1" applyAlignment="1">
      <alignment horizontal="left"/>
    </xf>
    <xf numFmtId="0" fontId="4" fillId="0" borderId="10" xfId="8" applyFont="1" applyBorder="1" applyAlignment="1">
      <alignment horizontal="left"/>
    </xf>
    <xf numFmtId="0" fontId="4" fillId="0" borderId="10" xfId="8" applyFont="1" applyBorder="1" applyAlignment="1">
      <alignment horizontal="center" vertical="center" wrapText="1"/>
    </xf>
    <xf numFmtId="0" fontId="4" fillId="0" borderId="11" xfId="8" applyFont="1" applyBorder="1" applyAlignment="1">
      <alignment horizontal="center" vertical="center" wrapText="1"/>
    </xf>
    <xf numFmtId="0" fontId="4" fillId="0" borderId="10" xfId="8" applyFont="1" applyBorder="1" applyAlignment="1">
      <alignment horizontal="left" wrapText="1"/>
    </xf>
    <xf numFmtId="0" fontId="15" fillId="0" borderId="9" xfId="8" applyFont="1" applyBorder="1" applyAlignment="1">
      <alignment horizontal="center" vertical="center"/>
    </xf>
    <xf numFmtId="0" fontId="15" fillId="0" borderId="10" xfId="8" applyFont="1" applyBorder="1" applyAlignment="1">
      <alignment horizontal="center" vertical="center"/>
    </xf>
    <xf numFmtId="0" fontId="15" fillId="0" borderId="11" xfId="8" applyFont="1" applyBorder="1" applyAlignment="1">
      <alignment horizontal="center" vertical="center"/>
    </xf>
    <xf numFmtId="0" fontId="4" fillId="0" borderId="0" xfId="8" applyFont="1" applyAlignment="1">
      <alignment horizontal="right" vertical="center" wrapText="1"/>
    </xf>
    <xf numFmtId="0" fontId="4" fillId="0" borderId="0" xfId="8" applyFont="1" applyAlignment="1">
      <alignment horizontal="center" vertical="center" wrapText="1"/>
    </xf>
    <xf numFmtId="0" fontId="88" fillId="0" borderId="5" xfId="8" applyFont="1" applyBorder="1" applyAlignment="1">
      <alignment horizontal="center" vertical="center" wrapText="1"/>
    </xf>
    <xf numFmtId="0" fontId="88" fillId="0" borderId="2" xfId="8" applyFont="1" applyBorder="1" applyAlignment="1">
      <alignment horizontal="center" vertical="center" wrapText="1"/>
    </xf>
    <xf numFmtId="0" fontId="88" fillId="0" borderId="6" xfId="8" applyFont="1" applyBorder="1" applyAlignment="1">
      <alignment horizontal="center" vertical="center" wrapText="1"/>
    </xf>
    <xf numFmtId="0" fontId="88" fillId="0" borderId="8" xfId="8" applyFont="1" applyBorder="1" applyAlignment="1">
      <alignment horizontal="center" vertical="center" wrapText="1"/>
    </xf>
    <xf numFmtId="0" fontId="88" fillId="0" borderId="4" xfId="8" applyFont="1" applyBorder="1" applyAlignment="1">
      <alignment horizontal="center" vertical="center" wrapText="1"/>
    </xf>
    <xf numFmtId="0" fontId="88" fillId="0" borderId="7" xfId="8" applyFont="1" applyBorder="1" applyAlignment="1">
      <alignment horizontal="center" vertical="center" wrapText="1"/>
    </xf>
    <xf numFmtId="0" fontId="16" fillId="0" borderId="21" xfId="8" applyFont="1" applyBorder="1" applyAlignment="1">
      <alignment horizontal="center" vertical="center"/>
    </xf>
    <xf numFmtId="0" fontId="16" fillId="0" borderId="23" xfId="8" applyFont="1" applyBorder="1" applyAlignment="1">
      <alignment horizontal="center" vertical="center"/>
    </xf>
    <xf numFmtId="0" fontId="16" fillId="0" borderId="22" xfId="8" applyFont="1" applyBorder="1" applyAlignment="1">
      <alignment horizontal="center" vertical="center"/>
    </xf>
    <xf numFmtId="0" fontId="1" fillId="0" borderId="21" xfId="8" applyFont="1" applyBorder="1" applyAlignment="1">
      <alignment horizontal="center"/>
    </xf>
    <xf numFmtId="0" fontId="1" fillId="0" borderId="22" xfId="8" applyFont="1" applyBorder="1" applyAlignment="1">
      <alignment horizontal="center"/>
    </xf>
    <xf numFmtId="0" fontId="84" fillId="0" borderId="21" xfId="8" applyBorder="1" applyAlignment="1">
      <alignment horizontal="center" vertical="center"/>
    </xf>
    <xf numFmtId="0" fontId="84" fillId="0" borderId="23" xfId="8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56" fillId="0" borderId="18" xfId="0" applyFont="1" applyBorder="1" applyAlignment="1">
      <alignment horizontal="center" vertical="center" textRotation="90"/>
    </xf>
    <xf numFmtId="0" fontId="56" fillId="0" borderId="24" xfId="0" applyFont="1" applyBorder="1" applyAlignment="1">
      <alignment horizontal="center" vertical="center" textRotation="90"/>
    </xf>
    <xf numFmtId="0" fontId="56" fillId="0" borderId="21" xfId="0" applyFont="1" applyBorder="1" applyAlignment="1">
      <alignment horizontal="center" vertical="center" textRotation="90"/>
    </xf>
    <xf numFmtId="0" fontId="45" fillId="0" borderId="48" xfId="0" applyFont="1" applyBorder="1" applyAlignment="1">
      <alignment horizontal="center" vertical="center"/>
    </xf>
    <xf numFmtId="0" fontId="45" fillId="0" borderId="43" xfId="0" applyFont="1" applyBorder="1" applyAlignment="1">
      <alignment horizontal="center" vertical="center"/>
    </xf>
    <xf numFmtId="0" fontId="45" fillId="0" borderId="49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20" fillId="0" borderId="24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25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24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20" xfId="0" applyFont="1" applyBorder="1" applyAlignment="1">
      <alignment horizontal="right" vertical="center"/>
    </xf>
    <xf numFmtId="0" fontId="45" fillId="0" borderId="103" xfId="0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164" fontId="8" fillId="0" borderId="99" xfId="0" applyNumberFormat="1" applyFont="1" applyBorder="1" applyAlignment="1">
      <alignment horizontal="center" vertical="center"/>
    </xf>
    <xf numFmtId="0" fontId="8" fillId="0" borderId="99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 wrapText="1"/>
    </xf>
    <xf numFmtId="0" fontId="45" fillId="0" borderId="19" xfId="0" applyFont="1" applyBorder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5" fillId="0" borderId="25" xfId="0" applyFont="1" applyBorder="1" applyAlignment="1">
      <alignment horizontal="center" vertical="center" wrapText="1"/>
    </xf>
    <xf numFmtId="0" fontId="45" fillId="0" borderId="23" xfId="0" applyFont="1" applyBorder="1" applyAlignment="1">
      <alignment horizontal="center" vertical="center" wrapText="1"/>
    </xf>
    <xf numFmtId="0" fontId="45" fillId="0" borderId="22" xfId="0" applyFont="1" applyBorder="1" applyAlignment="1">
      <alignment horizontal="center" vertical="center" wrapText="1"/>
    </xf>
    <xf numFmtId="0" fontId="126" fillId="0" borderId="7" xfId="0" applyFont="1" applyBorder="1" applyAlignment="1">
      <alignment horizontal="center" vertical="center"/>
    </xf>
    <xf numFmtId="0" fontId="126" fillId="0" borderId="2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top"/>
    </xf>
    <xf numFmtId="0" fontId="16" fillId="0" borderId="30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99" fillId="0" borderId="18" xfId="0" applyFont="1" applyBorder="1" applyAlignment="1">
      <alignment horizontal="center" vertical="top" wrapText="1"/>
    </xf>
    <xf numFmtId="0" fontId="99" fillId="0" borderId="20" xfId="0" applyFont="1" applyBorder="1" applyAlignment="1">
      <alignment horizontal="center" vertical="top" wrapText="1"/>
    </xf>
    <xf numFmtId="0" fontId="99" fillId="0" borderId="19" xfId="0" applyFont="1" applyBorder="1" applyAlignment="1">
      <alignment horizontal="center" vertical="top" wrapText="1"/>
    </xf>
    <xf numFmtId="0" fontId="99" fillId="0" borderId="21" xfId="0" applyFont="1" applyBorder="1" applyAlignment="1">
      <alignment horizontal="center" vertical="top" wrapText="1"/>
    </xf>
    <xf numFmtId="0" fontId="99" fillId="0" borderId="23" xfId="0" applyFont="1" applyBorder="1" applyAlignment="1">
      <alignment horizontal="center" vertical="top" wrapText="1"/>
    </xf>
    <xf numFmtId="0" fontId="99" fillId="0" borderId="22" xfId="0" applyFont="1" applyBorder="1" applyAlignment="1">
      <alignment horizontal="center" vertical="top" wrapText="1"/>
    </xf>
    <xf numFmtId="0" fontId="8" fillId="0" borderId="38" xfId="0" applyFont="1" applyBorder="1" applyAlignment="1">
      <alignment horizontal="right" vertical="center"/>
    </xf>
    <xf numFmtId="0" fontId="45" fillId="0" borderId="18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19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6" fillId="0" borderId="6" xfId="0" applyFont="1" applyBorder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0" fontId="56" fillId="0" borderId="8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9" xfId="0" applyFont="1" applyBorder="1" applyAlignment="1">
      <alignment horizontal="center"/>
    </xf>
    <xf numFmtId="0" fontId="8" fillId="0" borderId="0" xfId="0" applyFont="1" applyAlignment="1">
      <alignment horizontal="right" vertical="center" wrapText="1"/>
    </xf>
    <xf numFmtId="0" fontId="8" fillId="0" borderId="99" xfId="0" applyFont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 wrapText="1"/>
    </xf>
    <xf numFmtId="0" fontId="56" fillId="0" borderId="7" xfId="0" applyFont="1" applyBorder="1" applyAlignment="1">
      <alignment horizontal="center" vertical="center" wrapText="1"/>
    </xf>
    <xf numFmtId="0" fontId="50" fillId="0" borderId="5" xfId="0" applyFont="1" applyBorder="1" applyAlignment="1">
      <alignment horizontal="center" vertical="center"/>
    </xf>
    <xf numFmtId="0" fontId="50" fillId="0" borderId="6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45" fillId="0" borderId="24" xfId="0" applyFont="1" applyBorder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45" fillId="0" borderId="59" xfId="0" applyFont="1" applyBorder="1" applyAlignment="1">
      <alignment horizontal="center" vertical="center"/>
    </xf>
    <xf numFmtId="0" fontId="45" fillId="0" borderId="38" xfId="0" applyFont="1" applyBorder="1" applyAlignment="1">
      <alignment horizontal="center" vertical="center"/>
    </xf>
    <xf numFmtId="0" fontId="45" fillId="0" borderId="21" xfId="0" applyFont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0" fontId="45" fillId="0" borderId="55" xfId="0" applyFont="1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87" fillId="0" borderId="18" xfId="0" applyFont="1" applyBorder="1" applyAlignment="1">
      <alignment horizontal="left" vertical="center" wrapText="1"/>
    </xf>
    <xf numFmtId="0" fontId="87" fillId="0" borderId="20" xfId="0" applyFont="1" applyBorder="1" applyAlignment="1">
      <alignment horizontal="left" vertical="center" wrapText="1"/>
    </xf>
    <xf numFmtId="0" fontId="87" fillId="0" borderId="19" xfId="0" applyFont="1" applyBorder="1" applyAlignment="1">
      <alignment horizontal="left" vertical="center" wrapText="1"/>
    </xf>
    <xf numFmtId="0" fontId="87" fillId="0" borderId="24" xfId="0" applyFont="1" applyBorder="1" applyAlignment="1">
      <alignment horizontal="left" vertical="center" wrapText="1"/>
    </xf>
    <xf numFmtId="0" fontId="87" fillId="0" borderId="0" xfId="0" applyFont="1" applyAlignment="1">
      <alignment horizontal="left" vertical="center" wrapText="1"/>
    </xf>
    <xf numFmtId="0" fontId="87" fillId="0" borderId="25" xfId="0" applyFont="1" applyBorder="1" applyAlignment="1">
      <alignment horizontal="left" vertical="center" wrapText="1"/>
    </xf>
    <xf numFmtId="0" fontId="87" fillId="0" borderId="21" xfId="0" applyFont="1" applyBorder="1" applyAlignment="1">
      <alignment horizontal="left" vertical="center" wrapText="1"/>
    </xf>
    <xf numFmtId="0" fontId="87" fillId="0" borderId="23" xfId="0" applyFont="1" applyBorder="1" applyAlignment="1">
      <alignment horizontal="left" vertical="center" wrapText="1"/>
    </xf>
    <xf numFmtId="0" fontId="87" fillId="0" borderId="22" xfId="0" applyFont="1" applyBorder="1" applyAlignment="1">
      <alignment horizontal="left" vertical="center" wrapText="1"/>
    </xf>
    <xf numFmtId="0" fontId="45" fillId="0" borderId="8" xfId="0" applyFont="1" applyBorder="1" applyAlignment="1">
      <alignment horizontal="center" vertical="center"/>
    </xf>
    <xf numFmtId="0" fontId="45" fillId="0" borderId="11" xfId="0" applyFont="1" applyBorder="1" applyAlignment="1">
      <alignment horizontal="center" vertical="center"/>
    </xf>
    <xf numFmtId="14" fontId="45" fillId="0" borderId="48" xfId="0" applyNumberFormat="1" applyFont="1" applyBorder="1" applyAlignment="1">
      <alignment horizontal="center" vertical="center"/>
    </xf>
    <xf numFmtId="14" fontId="45" fillId="0" borderId="43" xfId="0" applyNumberFormat="1" applyFont="1" applyBorder="1" applyAlignment="1">
      <alignment horizontal="center" vertical="center"/>
    </xf>
    <xf numFmtId="14" fontId="45" fillId="0" borderId="49" xfId="0" applyNumberFormat="1" applyFont="1" applyBorder="1" applyAlignment="1">
      <alignment horizontal="center" vertical="center"/>
    </xf>
    <xf numFmtId="164" fontId="45" fillId="0" borderId="103" xfId="0" applyNumberFormat="1" applyFont="1" applyBorder="1" applyAlignment="1">
      <alignment horizontal="center" vertical="center"/>
    </xf>
    <xf numFmtId="164" fontId="45" fillId="0" borderId="104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right"/>
    </xf>
    <xf numFmtId="0" fontId="49" fillId="0" borderId="9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49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29" fillId="0" borderId="57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3" fillId="0" borderId="27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27" fillId="0" borderId="5" xfId="0" applyFont="1" applyBorder="1" applyAlignment="1">
      <alignment horizontal="left" vertical="center"/>
    </xf>
    <xf numFmtId="0" fontId="27" fillId="0" borderId="6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8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6" fillId="0" borderId="11" xfId="0" applyFont="1" applyBorder="1" applyAlignment="1">
      <alignment horizontal="left" vertical="center"/>
    </xf>
    <xf numFmtId="0" fontId="26" fillId="0" borderId="29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51" fillId="0" borderId="20" xfId="0" applyFont="1" applyBorder="1" applyAlignment="1">
      <alignment horizontal="center" vertical="center" wrapText="1"/>
    </xf>
    <xf numFmtId="0" fontId="51" fillId="0" borderId="40" xfId="0" applyFont="1" applyBorder="1" applyAlignment="1">
      <alignment horizontal="center" vertical="center" wrapText="1"/>
    </xf>
    <xf numFmtId="0" fontId="53" fillId="0" borderId="26" xfId="0" applyFont="1" applyBorder="1" applyAlignment="1">
      <alignment horizontal="center" vertical="center"/>
    </xf>
    <xf numFmtId="0" fontId="53" fillId="0" borderId="27" xfId="0" applyFont="1" applyBorder="1" applyAlignment="1">
      <alignment horizontal="center" vertical="center"/>
    </xf>
    <xf numFmtId="0" fontId="53" fillId="0" borderId="39" xfId="0" applyFont="1" applyBorder="1" applyAlignment="1">
      <alignment horizontal="center" vertical="center"/>
    </xf>
    <xf numFmtId="0" fontId="53" fillId="0" borderId="9" xfId="0" applyFont="1" applyBorder="1" applyAlignment="1">
      <alignment horizontal="center" vertical="center"/>
    </xf>
    <xf numFmtId="0" fontId="53" fillId="0" borderId="10" xfId="0" applyFont="1" applyBorder="1" applyAlignment="1">
      <alignment horizontal="center" vertical="center"/>
    </xf>
    <xf numFmtId="0" fontId="53" fillId="0" borderId="56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25" xfId="0" applyFont="1" applyBorder="1" applyAlignment="1">
      <alignment horizontal="right" vertical="center"/>
    </xf>
    <xf numFmtId="0" fontId="3" fillId="0" borderId="24" xfId="0" applyFont="1" applyBorder="1" applyAlignment="1">
      <alignment horizontal="right" vertical="center" wrapText="1"/>
    </xf>
    <xf numFmtId="0" fontId="3" fillId="0" borderId="25" xfId="0" applyFont="1" applyBorder="1" applyAlignment="1">
      <alignment horizontal="right" vertical="center" wrapText="1"/>
    </xf>
    <xf numFmtId="0" fontId="3" fillId="0" borderId="24" xfId="0" applyFont="1" applyBorder="1" applyAlignment="1">
      <alignment horizontal="right" vertical="center"/>
    </xf>
    <xf numFmtId="0" fontId="88" fillId="0" borderId="0" xfId="0" applyFont="1" applyAlignment="1">
      <alignment horizontal="center" vertical="center" wrapText="1"/>
    </xf>
    <xf numFmtId="0" fontId="88" fillId="0" borderId="23" xfId="0" applyFont="1" applyBorder="1" applyAlignment="1">
      <alignment horizontal="center" vertical="center" wrapText="1"/>
    </xf>
    <xf numFmtId="0" fontId="26" fillId="0" borderId="0" xfId="0" applyFont="1" applyAlignment="1">
      <alignment horizontal="righ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6" fillId="0" borderId="5" xfId="0" applyFont="1" applyBorder="1" applyAlignment="1">
      <alignment horizontal="right" vertical="center"/>
    </xf>
    <xf numFmtId="0" fontId="26" fillId="0" borderId="5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2" xfId="0" applyFont="1" applyBorder="1" applyAlignment="1">
      <alignment horizontal="right" vertical="center"/>
    </xf>
    <xf numFmtId="0" fontId="26" fillId="0" borderId="2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0" borderId="10" xfId="0" applyFont="1" applyBorder="1" applyAlignment="1">
      <alignment horizontal="right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7" xfId="0" applyFont="1" applyBorder="1" applyAlignment="1">
      <alignment horizontal="left" vertical="center" indent="1"/>
    </xf>
    <xf numFmtId="0" fontId="26" fillId="0" borderId="2" xfId="0" applyFont="1" applyBorder="1" applyAlignment="1">
      <alignment horizontal="left" vertical="center" indent="1"/>
    </xf>
    <xf numFmtId="0" fontId="26" fillId="0" borderId="8" xfId="0" applyFont="1" applyBorder="1" applyAlignment="1">
      <alignment horizontal="left" vertical="center" indent="1"/>
    </xf>
    <xf numFmtId="0" fontId="26" fillId="0" borderId="9" xfId="0" applyFont="1" applyBorder="1" applyAlignment="1">
      <alignment horizontal="left" vertical="center" indent="1"/>
    </xf>
    <xf numFmtId="0" fontId="26" fillId="0" borderId="10" xfId="0" applyFont="1" applyBorder="1" applyAlignment="1">
      <alignment horizontal="left" vertical="center" indent="1"/>
    </xf>
    <xf numFmtId="0" fontId="26" fillId="0" borderId="11" xfId="0" applyFont="1" applyBorder="1" applyAlignment="1">
      <alignment horizontal="left" vertical="center" indent="1"/>
    </xf>
    <xf numFmtId="0" fontId="29" fillId="0" borderId="16" xfId="0" applyFont="1" applyBorder="1" applyAlignment="1">
      <alignment horizontal="center" vertical="center"/>
    </xf>
    <xf numFmtId="0" fontId="26" fillId="0" borderId="26" xfId="0" applyFont="1" applyBorder="1" applyAlignment="1">
      <alignment horizontal="left" vertical="center" indent="1"/>
    </xf>
    <xf numFmtId="0" fontId="26" fillId="0" borderId="27" xfId="0" applyFont="1" applyBorder="1" applyAlignment="1">
      <alignment horizontal="left" vertical="center" indent="1"/>
    </xf>
    <xf numFmtId="0" fontId="26" fillId="0" borderId="27" xfId="0" applyFont="1" applyBorder="1" applyAlignment="1">
      <alignment horizontal="center" vertical="center"/>
    </xf>
    <xf numFmtId="0" fontId="26" fillId="0" borderId="28" xfId="0" applyFont="1" applyBorder="1" applyAlignment="1">
      <alignment horizontal="left" vertical="center" indent="1"/>
    </xf>
    <xf numFmtId="0" fontId="89" fillId="0" borderId="2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 wrapText="1"/>
    </xf>
    <xf numFmtId="0" fontId="26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27" fillId="0" borderId="5" xfId="0" applyFont="1" applyBorder="1" applyAlignment="1">
      <alignment horizontal="center" vertical="center"/>
    </xf>
    <xf numFmtId="0" fontId="26" fillId="0" borderId="5" xfId="0" applyFont="1" applyBorder="1" applyAlignment="1">
      <alignment horizontal="left" vertical="center"/>
    </xf>
    <xf numFmtId="0" fontId="26" fillId="0" borderId="6" xfId="0" applyFont="1" applyBorder="1" applyAlignment="1">
      <alignment horizontal="left" vertical="center"/>
    </xf>
    <xf numFmtId="0" fontId="89" fillId="0" borderId="2" xfId="0" applyFont="1" applyBorder="1" applyAlignment="1">
      <alignment horizontal="left" vertical="center"/>
    </xf>
    <xf numFmtId="0" fontId="3" fillId="0" borderId="2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2" fillId="0" borderId="35" xfId="0" applyFont="1" applyBorder="1" applyAlignment="1">
      <alignment horizontal="center" vertical="center" wrapText="1"/>
    </xf>
    <xf numFmtId="0" fontId="32" fillId="0" borderId="36" xfId="0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0" fontId="32" fillId="0" borderId="32" xfId="0" applyFont="1" applyBorder="1" applyAlignment="1">
      <alignment horizontal="center" vertical="center" wrapText="1"/>
    </xf>
    <xf numFmtId="0" fontId="26" fillId="0" borderId="70" xfId="0" applyFont="1" applyBorder="1" applyAlignment="1">
      <alignment horizontal="left" vertical="center"/>
    </xf>
    <xf numFmtId="0" fontId="26" fillId="0" borderId="49" xfId="0" applyFont="1" applyBorder="1" applyAlignment="1">
      <alignment horizontal="left" vertical="center"/>
    </xf>
    <xf numFmtId="0" fontId="52" fillId="0" borderId="26" xfId="0" applyFont="1" applyBorder="1" applyAlignment="1">
      <alignment horizontal="center" vertical="center"/>
    </xf>
    <xf numFmtId="0" fontId="52" fillId="0" borderId="27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52" fillId="0" borderId="10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 wrapText="1"/>
    </xf>
    <xf numFmtId="0" fontId="45" fillId="0" borderId="17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34" xfId="0" applyFont="1" applyBorder="1" applyAlignment="1">
      <alignment horizontal="left" vertical="top"/>
    </xf>
    <xf numFmtId="0" fontId="29" fillId="0" borderId="35" xfId="0" applyFont="1" applyBorder="1" applyAlignment="1">
      <alignment horizontal="left" vertical="top"/>
    </xf>
    <xf numFmtId="0" fontId="29" fillId="0" borderId="46" xfId="0" applyFont="1" applyBorder="1" applyAlignment="1">
      <alignment horizontal="left" vertical="top"/>
    </xf>
    <xf numFmtId="0" fontId="29" fillId="0" borderId="39" xfId="0" applyFont="1" applyBorder="1" applyAlignment="1">
      <alignment horizontal="left" vertical="top"/>
    </xf>
    <xf numFmtId="0" fontId="29" fillId="0" borderId="40" xfId="0" applyFont="1" applyBorder="1" applyAlignment="1">
      <alignment horizontal="left" vertical="top"/>
    </xf>
    <xf numFmtId="0" fontId="29" fillId="0" borderId="54" xfId="0" applyFont="1" applyBorder="1" applyAlignment="1">
      <alignment horizontal="left" vertical="top"/>
    </xf>
    <xf numFmtId="0" fontId="29" fillId="0" borderId="10" xfId="0" applyFont="1" applyBorder="1" applyAlignment="1">
      <alignment horizontal="right" vertical="center"/>
    </xf>
    <xf numFmtId="0" fontId="29" fillId="0" borderId="7" xfId="0" applyFont="1" applyBorder="1" applyAlignment="1">
      <alignment horizontal="right" vertical="center"/>
    </xf>
    <xf numFmtId="0" fontId="29" fillId="0" borderId="2" xfId="0" applyFont="1" applyBorder="1" applyAlignment="1">
      <alignment horizontal="right" vertical="center"/>
    </xf>
    <xf numFmtId="0" fontId="26" fillId="0" borderId="2" xfId="0" quotePrefix="1" applyFont="1" applyBorder="1" applyAlignment="1">
      <alignment horizontal="center" vertical="center"/>
    </xf>
    <xf numFmtId="0" fontId="26" fillId="0" borderId="8" xfId="0" quotePrefix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25" borderId="16" xfId="0" applyFont="1" applyFill="1" applyBorder="1" applyAlignment="1">
      <alignment horizontal="center" vertical="center"/>
    </xf>
    <xf numFmtId="0" fontId="29" fillId="25" borderId="57" xfId="0" applyFont="1" applyFill="1" applyBorder="1" applyAlignment="1">
      <alignment horizontal="center" vertical="center"/>
    </xf>
    <xf numFmtId="0" fontId="29" fillId="25" borderId="17" xfId="0" applyFont="1" applyFill="1" applyBorder="1" applyAlignment="1">
      <alignment horizontal="center" vertical="center"/>
    </xf>
    <xf numFmtId="0" fontId="29" fillId="0" borderId="26" xfId="0" applyFont="1" applyBorder="1" applyAlignment="1">
      <alignment horizontal="right" vertical="center"/>
    </xf>
    <xf numFmtId="0" fontId="29" fillId="0" borderId="27" xfId="0" applyFont="1" applyBorder="1" applyAlignment="1">
      <alignment horizontal="right" vertical="center"/>
    </xf>
    <xf numFmtId="0" fontId="29" fillId="0" borderId="27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50" fillId="0" borderId="20" xfId="0" applyFont="1" applyBorder="1" applyAlignment="1">
      <alignment horizontal="center" vertical="center" wrapText="1"/>
    </xf>
    <xf numFmtId="0" fontId="50" fillId="0" borderId="59" xfId="0" applyFont="1" applyBorder="1" applyAlignment="1">
      <alignment horizontal="center" vertical="center" wrapText="1"/>
    </xf>
    <xf numFmtId="0" fontId="50" fillId="0" borderId="40" xfId="0" applyFont="1" applyBorder="1" applyAlignment="1">
      <alignment horizontal="center" vertical="center" wrapText="1"/>
    </xf>
    <xf numFmtId="0" fontId="50" fillId="0" borderId="3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4" fillId="0" borderId="2" xfId="4" applyFont="1" applyBorder="1" applyAlignment="1">
      <alignment horizontal="center"/>
    </xf>
    <xf numFmtId="0" fontId="4" fillId="0" borderId="48" xfId="4" applyFont="1" applyBorder="1" applyAlignment="1">
      <alignment horizontal="center"/>
    </xf>
    <xf numFmtId="0" fontId="4" fillId="0" borderId="49" xfId="4" applyFont="1" applyBorder="1" applyAlignment="1">
      <alignment horizontal="center"/>
    </xf>
    <xf numFmtId="0" fontId="1" fillId="0" borderId="48" xfId="0" applyFont="1" applyBorder="1" applyAlignment="1">
      <alignment horizontal="left"/>
    </xf>
    <xf numFmtId="0" fontId="1" fillId="0" borderId="43" xfId="0" applyFont="1" applyBorder="1" applyAlignment="1">
      <alignment horizontal="left"/>
    </xf>
    <xf numFmtId="0" fontId="1" fillId="0" borderId="49" xfId="0" applyFont="1" applyBorder="1" applyAlignment="1">
      <alignment horizontal="left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43" xfId="0" applyBorder="1" applyAlignment="1">
      <alignment horizontal="center"/>
    </xf>
    <xf numFmtId="0" fontId="92" fillId="0" borderId="0" xfId="0" applyFont="1" applyAlignment="1">
      <alignment horizontal="center" vertical="center"/>
    </xf>
    <xf numFmtId="0" fontId="1" fillId="0" borderId="48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right"/>
    </xf>
    <xf numFmtId="0" fontId="0" fillId="0" borderId="2" xfId="0" applyBorder="1" applyAlignment="1">
      <alignment horizontal="left"/>
    </xf>
    <xf numFmtId="0" fontId="92" fillId="0" borderId="0" xfId="0" applyFont="1" applyAlignment="1">
      <alignment horizontal="left"/>
    </xf>
    <xf numFmtId="0" fontId="91" fillId="0" borderId="40" xfId="0" applyFont="1" applyBorder="1" applyAlignment="1">
      <alignment horizontal="center" vertical="center" readingOrder="1"/>
    </xf>
    <xf numFmtId="0" fontId="91" fillId="0" borderId="37" xfId="0" applyFont="1" applyBorder="1" applyAlignment="1">
      <alignment horizontal="left" vertical="center" readingOrder="1"/>
    </xf>
    <xf numFmtId="0" fontId="91" fillId="0" borderId="0" xfId="0" applyFont="1" applyAlignment="1">
      <alignment horizontal="left" vertical="center" readingOrder="1"/>
    </xf>
    <xf numFmtId="0" fontId="14" fillId="0" borderId="0" xfId="4" applyFont="1" applyAlignment="1">
      <alignment horizontal="center"/>
    </xf>
    <xf numFmtId="0" fontId="62" fillId="0" borderId="0" xfId="4" applyFont="1" applyAlignment="1">
      <alignment horizontal="center"/>
    </xf>
    <xf numFmtId="0" fontId="91" fillId="0" borderId="37" xfId="0" applyFont="1" applyBorder="1" applyAlignment="1">
      <alignment horizontal="left" vertical="center" wrapText="1" readingOrder="1"/>
    </xf>
    <xf numFmtId="0" fontId="91" fillId="0" borderId="0" xfId="0" applyFont="1" applyAlignment="1">
      <alignment horizontal="left" vertical="center" wrapText="1" readingOrder="1"/>
    </xf>
    <xf numFmtId="0" fontId="91" fillId="0" borderId="38" xfId="0" applyFont="1" applyBorder="1" applyAlignment="1">
      <alignment horizontal="left" vertical="center" wrapText="1" readingOrder="1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22" fillId="0" borderId="20" xfId="0" applyFont="1" applyBorder="1" applyAlignment="1">
      <alignment horizontal="center" vertical="top"/>
    </xf>
    <xf numFmtId="0" fontId="122" fillId="0" borderId="19" xfId="0" applyFont="1" applyBorder="1" applyAlignment="1">
      <alignment horizontal="center" vertical="top"/>
    </xf>
    <xf numFmtId="0" fontId="122" fillId="0" borderId="0" xfId="0" applyFont="1" applyAlignment="1">
      <alignment horizontal="center" vertical="top"/>
    </xf>
    <xf numFmtId="0" fontId="122" fillId="0" borderId="25" xfId="0" applyFont="1" applyBorder="1" applyAlignment="1">
      <alignment horizontal="center" vertical="top"/>
    </xf>
    <xf numFmtId="0" fontId="50" fillId="0" borderId="70" xfId="0" applyFont="1" applyBorder="1" applyAlignment="1">
      <alignment horizontal="center" vertical="center"/>
    </xf>
    <xf numFmtId="14" fontId="3" fillId="0" borderId="29" xfId="0" applyNumberFormat="1" applyFont="1" applyBorder="1" applyAlignment="1">
      <alignment horizontal="center" vertical="center"/>
    </xf>
    <xf numFmtId="14" fontId="3" fillId="0" borderId="30" xfId="0" applyNumberFormat="1" applyFont="1" applyBorder="1" applyAlignment="1">
      <alignment horizontal="center" vertical="center"/>
    </xf>
    <xf numFmtId="14" fontId="3" fillId="0" borderId="31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4" fontId="45" fillId="0" borderId="99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45" fillId="0" borderId="34" xfId="0" applyFont="1" applyBorder="1" applyAlignment="1">
      <alignment horizontal="center" vertical="center"/>
    </xf>
    <xf numFmtId="0" fontId="45" fillId="0" borderId="35" xfId="0" applyFont="1" applyBorder="1" applyAlignment="1">
      <alignment horizontal="center" vertical="center"/>
    </xf>
    <xf numFmtId="0" fontId="45" fillId="0" borderId="36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 vertical="center"/>
    </xf>
    <xf numFmtId="0" fontId="45" fillId="0" borderId="39" xfId="0" applyFont="1" applyBorder="1" applyAlignment="1">
      <alignment horizontal="center" vertical="center"/>
    </xf>
    <xf numFmtId="0" fontId="45" fillId="0" borderId="40" xfId="0" applyFont="1" applyBorder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45" fillId="0" borderId="99" xfId="0" applyFont="1" applyBorder="1" applyAlignment="1">
      <alignment horizontal="center" vertical="center"/>
    </xf>
    <xf numFmtId="0" fontId="45" fillId="0" borderId="0" xfId="0" applyFont="1" applyAlignment="1">
      <alignment horizontal="right"/>
    </xf>
    <xf numFmtId="0" fontId="99" fillId="0" borderId="24" xfId="0" applyFont="1" applyBorder="1" applyAlignment="1">
      <alignment horizontal="center" vertical="center" wrapText="1" shrinkToFit="1"/>
    </xf>
    <xf numFmtId="0" fontId="99" fillId="0" borderId="0" xfId="0" applyFont="1" applyAlignment="1">
      <alignment horizontal="center" vertical="center" wrapText="1" shrinkToFit="1"/>
    </xf>
    <xf numFmtId="0" fontId="16" fillId="0" borderId="0" xfId="0" applyFont="1" applyAlignment="1">
      <alignment horizontal="right" vertical="center"/>
    </xf>
    <xf numFmtId="0" fontId="16" fillId="0" borderId="25" xfId="0" applyFont="1" applyBorder="1" applyAlignment="1">
      <alignment horizontal="right" vertical="center"/>
    </xf>
    <xf numFmtId="0" fontId="3" fillId="0" borderId="30" xfId="0" applyFont="1" applyBorder="1" applyAlignment="1">
      <alignment horizontal="center" vertical="center"/>
    </xf>
    <xf numFmtId="0" fontId="16" fillId="0" borderId="24" xfId="0" applyFont="1" applyBorder="1" applyAlignment="1">
      <alignment horizontal="right" vertical="center"/>
    </xf>
    <xf numFmtId="0" fontId="46" fillId="0" borderId="18" xfId="0" applyFont="1" applyBorder="1" applyAlignment="1">
      <alignment horizontal="center"/>
    </xf>
    <xf numFmtId="0" fontId="46" fillId="0" borderId="20" xfId="0" applyFont="1" applyBorder="1" applyAlignment="1">
      <alignment horizontal="center"/>
    </xf>
    <xf numFmtId="0" fontId="46" fillId="0" borderId="19" xfId="0" applyFont="1" applyBorder="1" applyAlignment="1">
      <alignment horizontal="center"/>
    </xf>
    <xf numFmtId="0" fontId="45" fillId="0" borderId="38" xfId="0" applyFont="1" applyBorder="1" applyAlignment="1">
      <alignment horizontal="right" vertical="center"/>
    </xf>
    <xf numFmtId="0" fontId="16" fillId="0" borderId="0" xfId="0" applyFont="1" applyAlignment="1">
      <alignment horizontal="center" vertical="center" wrapText="1"/>
    </xf>
    <xf numFmtId="0" fontId="82" fillId="0" borderId="23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 vertical="center"/>
    </xf>
    <xf numFmtId="0" fontId="52" fillId="0" borderId="34" xfId="0" applyFont="1" applyBorder="1" applyAlignment="1">
      <alignment horizontal="center" vertical="center"/>
    </xf>
    <xf numFmtId="0" fontId="52" fillId="0" borderId="35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64" fontId="8" fillId="0" borderId="25" xfId="0" applyNumberFormat="1" applyFont="1" applyBorder="1" applyAlignment="1">
      <alignment horizontal="center"/>
    </xf>
    <xf numFmtId="0" fontId="45" fillId="0" borderId="18" xfId="0" applyFont="1" applyBorder="1" applyAlignment="1">
      <alignment horizontal="center" vertical="center" textRotation="90"/>
    </xf>
    <xf numFmtId="0" fontId="45" fillId="0" borderId="24" xfId="0" applyFont="1" applyBorder="1" applyAlignment="1">
      <alignment horizontal="center" vertical="center" textRotation="90"/>
    </xf>
    <xf numFmtId="0" fontId="45" fillId="0" borderId="21" xfId="0" applyFont="1" applyBorder="1" applyAlignment="1">
      <alignment horizontal="center" vertical="center" textRotation="90"/>
    </xf>
    <xf numFmtId="0" fontId="45" fillId="0" borderId="24" xfId="0" applyFont="1" applyBorder="1" applyAlignment="1">
      <alignment horizontal="right"/>
    </xf>
    <xf numFmtId="0" fontId="88" fillId="0" borderId="18" xfId="0" applyFont="1" applyBorder="1" applyAlignment="1">
      <alignment horizontal="center" vertical="center" wrapText="1"/>
    </xf>
    <xf numFmtId="0" fontId="88" fillId="0" borderId="20" xfId="0" applyFont="1" applyBorder="1" applyAlignment="1">
      <alignment horizontal="center" vertical="center" wrapText="1"/>
    </xf>
    <xf numFmtId="0" fontId="88" fillId="0" borderId="19" xfId="0" applyFont="1" applyBorder="1" applyAlignment="1">
      <alignment horizontal="center" vertical="center" wrapText="1"/>
    </xf>
    <xf numFmtId="0" fontId="88" fillId="0" borderId="21" xfId="0" applyFont="1" applyBorder="1" applyAlignment="1">
      <alignment horizontal="center" vertical="center" wrapText="1"/>
    </xf>
    <xf numFmtId="0" fontId="88" fillId="0" borderId="22" xfId="0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08" fillId="0" borderId="30" xfId="9" applyBorder="1" applyAlignment="1">
      <alignment vertical="center" wrapText="1"/>
    </xf>
    <xf numFmtId="0" fontId="108" fillId="0" borderId="31" xfId="9" applyBorder="1" applyAlignment="1">
      <alignment vertical="center" wrapText="1"/>
    </xf>
    <xf numFmtId="0" fontId="118" fillId="0" borderId="23" xfId="9" applyFont="1" applyBorder="1" applyAlignment="1">
      <alignment horizontal="center" vertical="top" wrapText="1"/>
    </xf>
    <xf numFmtId="0" fontId="118" fillId="0" borderId="30" xfId="9" applyFont="1" applyBorder="1" applyAlignment="1">
      <alignment horizontal="center" vertical="top" wrapText="1"/>
    </xf>
    <xf numFmtId="0" fontId="118" fillId="0" borderId="31" xfId="9" applyFont="1" applyBorder="1" applyAlignment="1">
      <alignment horizontal="center" vertical="top" wrapText="1"/>
    </xf>
    <xf numFmtId="0" fontId="118" fillId="0" borderId="9" xfId="9" applyFont="1" applyBorder="1" applyAlignment="1">
      <alignment vertical="top" wrapText="1"/>
    </xf>
    <xf numFmtId="0" fontId="118" fillId="0" borderId="10" xfId="9" applyFont="1" applyBorder="1" applyAlignment="1">
      <alignment vertical="top" wrapText="1"/>
    </xf>
    <xf numFmtId="0" fontId="108" fillId="0" borderId="10" xfId="9" applyBorder="1" applyAlignment="1">
      <alignment horizontal="center" vertical="center" wrapText="1"/>
    </xf>
    <xf numFmtId="0" fontId="108" fillId="0" borderId="11" xfId="9" applyBorder="1" applyAlignment="1">
      <alignment horizontal="center" vertical="center" wrapText="1"/>
    </xf>
    <xf numFmtId="0" fontId="108" fillId="0" borderId="0" xfId="9" applyAlignment="1">
      <alignment horizontal="left" wrapText="1"/>
    </xf>
    <xf numFmtId="0" fontId="118" fillId="0" borderId="56" xfId="9" applyFont="1" applyBorder="1" applyAlignment="1">
      <alignment horizontal="center" vertical="top" wrapText="1"/>
    </xf>
    <xf numFmtId="0" fontId="118" fillId="0" borderId="45" xfId="9" applyFont="1" applyBorder="1" applyAlignment="1">
      <alignment horizontal="center" vertical="top" wrapText="1"/>
    </xf>
    <xf numFmtId="0" fontId="118" fillId="0" borderId="33" xfId="9" applyFont="1" applyBorder="1" applyAlignment="1">
      <alignment horizontal="center" vertical="top" wrapText="1"/>
    </xf>
    <xf numFmtId="0" fontId="118" fillId="0" borderId="29" xfId="9" applyFont="1" applyBorder="1" applyAlignment="1">
      <alignment horizontal="left" vertical="top" wrapText="1"/>
    </xf>
    <xf numFmtId="0" fontId="118" fillId="0" borderId="30" xfId="9" applyFont="1" applyBorder="1" applyAlignment="1">
      <alignment horizontal="left" vertical="top" wrapText="1"/>
    </xf>
    <xf numFmtId="0" fontId="118" fillId="0" borderId="7" xfId="9" applyFont="1" applyBorder="1" applyAlignment="1">
      <alignment vertical="top" wrapText="1"/>
    </xf>
    <xf numFmtId="0" fontId="118" fillId="0" borderId="2" xfId="9" applyFont="1" applyBorder="1" applyAlignment="1">
      <alignment vertical="top" wrapText="1"/>
    </xf>
    <xf numFmtId="0" fontId="118" fillId="0" borderId="2" xfId="9" applyFont="1" applyBorder="1" applyAlignment="1">
      <alignment horizontal="center" vertical="top" wrapText="1"/>
    </xf>
    <xf numFmtId="0" fontId="118" fillId="0" borderId="8" xfId="9" applyFont="1" applyBorder="1" applyAlignment="1">
      <alignment horizontal="center" vertical="top" wrapText="1"/>
    </xf>
    <xf numFmtId="0" fontId="118" fillId="0" borderId="47" xfId="9" applyFont="1" applyBorder="1" applyAlignment="1">
      <alignment horizontal="center" vertical="top" wrapText="1"/>
    </xf>
    <xf numFmtId="0" fontId="118" fillId="0" borderId="112" xfId="9" applyFont="1" applyBorder="1" applyAlignment="1">
      <alignment horizontal="center" vertical="top" wrapText="1"/>
    </xf>
    <xf numFmtId="0" fontId="118" fillId="0" borderId="13" xfId="9" applyFont="1" applyBorder="1" applyAlignment="1">
      <alignment horizontal="center" vertical="top" wrapText="1"/>
    </xf>
    <xf numFmtId="0" fontId="118" fillId="0" borderId="14" xfId="9" applyFont="1" applyBorder="1" applyAlignment="1">
      <alignment horizontal="center" vertical="top" wrapText="1"/>
    </xf>
    <xf numFmtId="0" fontId="118" fillId="0" borderId="70" xfId="9" applyFont="1" applyBorder="1" applyAlignment="1">
      <alignment horizontal="center" vertical="top" wrapText="1"/>
    </xf>
    <xf numFmtId="0" fontId="118" fillId="0" borderId="7" xfId="9" applyFont="1" applyBorder="1" applyAlignment="1">
      <alignment horizontal="left" vertical="top" wrapText="1"/>
    </xf>
    <xf numFmtId="0" fontId="118" fillId="0" borderId="8" xfId="9" applyFont="1" applyBorder="1" applyAlignment="1">
      <alignment horizontal="left" vertical="top" wrapText="1"/>
    </xf>
    <xf numFmtId="0" fontId="118" fillId="0" borderId="9" xfId="9" applyFont="1" applyBorder="1" applyAlignment="1">
      <alignment horizontal="left" vertical="top" wrapText="1"/>
    </xf>
    <xf numFmtId="0" fontId="118" fillId="0" borderId="11" xfId="9" applyFont="1" applyBorder="1" applyAlignment="1">
      <alignment horizontal="left" vertical="top" wrapText="1"/>
    </xf>
    <xf numFmtId="0" fontId="118" fillId="0" borderId="42" xfId="9" applyFont="1" applyBorder="1" applyAlignment="1">
      <alignment horizontal="left" vertical="top" wrapText="1"/>
    </xf>
    <xf numFmtId="0" fontId="118" fillId="0" borderId="32" xfId="9" applyFont="1" applyBorder="1" applyAlignment="1">
      <alignment horizontal="center" vertical="top" wrapText="1"/>
    </xf>
    <xf numFmtId="0" fontId="118" fillId="0" borderId="49" xfId="9" applyFont="1" applyBorder="1" applyAlignment="1">
      <alignment horizontal="center" vertical="top" wrapText="1"/>
    </xf>
    <xf numFmtId="0" fontId="118" fillId="0" borderId="27" xfId="9" applyFont="1" applyBorder="1" applyAlignment="1">
      <alignment horizontal="center" vertical="top" wrapText="1"/>
    </xf>
    <xf numFmtId="0" fontId="118" fillId="0" borderId="28" xfId="9" applyFont="1" applyBorder="1" applyAlignment="1">
      <alignment horizontal="center" vertical="top" wrapText="1"/>
    </xf>
    <xf numFmtId="0" fontId="118" fillId="0" borderId="48" xfId="9" applyFont="1" applyBorder="1" applyAlignment="1">
      <alignment horizontal="center" vertical="top" wrapText="1"/>
    </xf>
    <xf numFmtId="0" fontId="118" fillId="0" borderId="43" xfId="9" applyFont="1" applyBorder="1" applyAlignment="1">
      <alignment horizontal="center" vertical="top" wrapText="1"/>
    </xf>
    <xf numFmtId="0" fontId="108" fillId="0" borderId="2" xfId="9" applyBorder="1" applyAlignment="1">
      <alignment horizontal="center" vertical="center" wrapText="1"/>
    </xf>
    <xf numFmtId="0" fontId="108" fillId="0" borderId="8" xfId="9" applyBorder="1" applyAlignment="1">
      <alignment horizontal="center" vertical="center" wrapText="1"/>
    </xf>
    <xf numFmtId="0" fontId="118" fillId="0" borderId="16" xfId="9" applyFont="1" applyBorder="1" applyAlignment="1">
      <alignment horizontal="left" vertical="top" wrapText="1"/>
    </xf>
    <xf numFmtId="0" fontId="118" fillId="0" borderId="57" xfId="9" applyFont="1" applyBorder="1" applyAlignment="1">
      <alignment horizontal="left" vertical="top" wrapText="1"/>
    </xf>
    <xf numFmtId="0" fontId="118" fillId="0" borderId="57" xfId="9" applyFont="1" applyBorder="1" applyAlignment="1">
      <alignment horizontal="center" vertical="top" wrapText="1"/>
    </xf>
    <xf numFmtId="0" fontId="118" fillId="0" borderId="17" xfId="9" applyFont="1" applyBorder="1" applyAlignment="1">
      <alignment horizontal="center" vertical="top" wrapText="1"/>
    </xf>
    <xf numFmtId="0" fontId="118" fillId="0" borderId="4" xfId="9" applyFont="1" applyBorder="1" applyAlignment="1">
      <alignment vertical="top" wrapText="1"/>
    </xf>
    <xf numFmtId="0" fontId="118" fillId="0" borderId="5" xfId="9" applyFont="1" applyBorder="1" applyAlignment="1">
      <alignment vertical="top" wrapText="1"/>
    </xf>
    <xf numFmtId="0" fontId="118" fillId="0" borderId="5" xfId="9" applyFont="1" applyBorder="1" applyAlignment="1">
      <alignment horizontal="center" vertical="top" wrapText="1"/>
    </xf>
    <xf numFmtId="0" fontId="118" fillId="0" borderId="6" xfId="9" applyFont="1" applyBorder="1" applyAlignment="1">
      <alignment horizontal="center" vertical="top" wrapText="1"/>
    </xf>
    <xf numFmtId="0" fontId="118" fillId="0" borderId="42" xfId="9" applyFont="1" applyBorder="1" applyAlignment="1">
      <alignment horizontal="center" vertical="top" wrapText="1"/>
    </xf>
    <xf numFmtId="0" fontId="118" fillId="0" borderId="106" xfId="9" applyFont="1" applyBorder="1" applyAlignment="1">
      <alignment horizontal="center" vertical="top" wrapText="1"/>
    </xf>
    <xf numFmtId="0" fontId="118" fillId="0" borderId="44" xfId="9" applyFont="1" applyBorder="1" applyAlignment="1">
      <alignment horizontal="center" vertical="top" wrapText="1"/>
    </xf>
    <xf numFmtId="0" fontId="118" fillId="0" borderId="107" xfId="9" applyFont="1" applyBorder="1" applyAlignment="1">
      <alignment horizontal="center" vertical="top" wrapText="1"/>
    </xf>
    <xf numFmtId="0" fontId="125" fillId="0" borderId="5" xfId="9" applyFont="1" applyBorder="1" applyAlignment="1">
      <alignment horizontal="center" vertical="center"/>
    </xf>
    <xf numFmtId="0" fontId="125" fillId="0" borderId="6" xfId="9" applyFont="1" applyBorder="1" applyAlignment="1">
      <alignment horizontal="center" vertical="center"/>
    </xf>
    <xf numFmtId="0" fontId="125" fillId="0" borderId="10" xfId="9" applyFont="1" applyBorder="1" applyAlignment="1">
      <alignment horizontal="center" vertical="center"/>
    </xf>
    <xf numFmtId="0" fontId="125" fillId="0" borderId="11" xfId="9" applyFont="1" applyBorder="1" applyAlignment="1">
      <alignment horizontal="center" vertical="center"/>
    </xf>
    <xf numFmtId="0" fontId="8" fillId="0" borderId="29" xfId="9" applyFont="1" applyBorder="1" applyAlignment="1">
      <alignment horizontal="center" vertical="center" wrapText="1"/>
    </xf>
    <xf numFmtId="0" fontId="8" fillId="0" borderId="30" xfId="9" applyFont="1" applyBorder="1" applyAlignment="1">
      <alignment horizontal="center" vertical="center" wrapText="1"/>
    </xf>
    <xf numFmtId="0" fontId="8" fillId="0" borderId="31" xfId="9" applyFont="1" applyBorder="1" applyAlignment="1">
      <alignment horizontal="center" vertical="center" wrapText="1"/>
    </xf>
    <xf numFmtId="0" fontId="118" fillId="0" borderId="16" xfId="9" applyFont="1" applyBorder="1" applyAlignment="1">
      <alignment horizontal="center" vertical="top" wrapText="1"/>
    </xf>
    <xf numFmtId="0" fontId="118" fillId="0" borderId="58" xfId="9" applyFont="1" applyBorder="1" applyAlignment="1">
      <alignment horizontal="center" vertical="top" wrapText="1"/>
    </xf>
    <xf numFmtId="0" fontId="118" fillId="0" borderId="54" xfId="9" applyFont="1" applyBorder="1" applyAlignment="1">
      <alignment horizontal="center" vertical="top" wrapText="1"/>
    </xf>
    <xf numFmtId="0" fontId="118" fillId="0" borderId="18" xfId="9" applyFont="1" applyBorder="1" applyAlignment="1">
      <alignment horizontal="left" vertical="top" wrapText="1"/>
    </xf>
    <xf numFmtId="0" fontId="118" fillId="0" borderId="19" xfId="9" applyFont="1" applyBorder="1" applyAlignment="1">
      <alignment horizontal="left" vertical="top" wrapText="1"/>
    </xf>
    <xf numFmtId="0" fontId="118" fillId="0" borderId="4" xfId="9" applyFont="1" applyBorder="1" applyAlignment="1">
      <alignment horizontal="left" vertical="top" wrapText="1"/>
    </xf>
    <xf numFmtId="0" fontId="118" fillId="0" borderId="6" xfId="9" applyFont="1" applyBorder="1" applyAlignment="1">
      <alignment horizontal="left" vertical="top" wrapText="1"/>
    </xf>
    <xf numFmtId="0" fontId="118" fillId="0" borderId="45" xfId="9" applyFont="1" applyBorder="1" applyAlignment="1">
      <alignment horizontal="center" vertical="center" wrapText="1"/>
    </xf>
    <xf numFmtId="0" fontId="114" fillId="0" borderId="4" xfId="9" applyFont="1" applyBorder="1" applyAlignment="1">
      <alignment horizontal="left" vertical="top" wrapText="1" indent="7"/>
    </xf>
    <xf numFmtId="0" fontId="114" fillId="0" borderId="5" xfId="9" applyFont="1" applyBorder="1" applyAlignment="1">
      <alignment horizontal="left" vertical="top" wrapText="1" indent="7"/>
    </xf>
    <xf numFmtId="0" fontId="114" fillId="0" borderId="7" xfId="9" applyFont="1" applyBorder="1" applyAlignment="1">
      <alignment horizontal="left" vertical="top" wrapText="1" indent="7"/>
    </xf>
    <xf numFmtId="0" fontId="114" fillId="0" borderId="2" xfId="9" applyFont="1" applyBorder="1" applyAlignment="1">
      <alignment horizontal="left" vertical="top" wrapText="1" indent="7"/>
    </xf>
    <xf numFmtId="0" fontId="111" fillId="0" borderId="5" xfId="9" applyFont="1" applyBorder="1" applyAlignment="1">
      <alignment horizontal="left" vertical="top" wrapText="1"/>
    </xf>
    <xf numFmtId="0" fontId="111" fillId="0" borderId="6" xfId="9" applyFont="1" applyBorder="1" applyAlignment="1">
      <alignment horizontal="left" vertical="top" wrapText="1"/>
    </xf>
    <xf numFmtId="0" fontId="115" fillId="0" borderId="2" xfId="9" applyFont="1" applyBorder="1" applyAlignment="1">
      <alignment horizontal="left" vertical="top" wrapText="1"/>
    </xf>
    <xf numFmtId="0" fontId="108" fillId="0" borderId="2" xfId="9" applyBorder="1" applyAlignment="1">
      <alignment horizontal="left" vertical="top" wrapText="1"/>
    </xf>
    <xf numFmtId="0" fontId="108" fillId="0" borderId="8" xfId="9" applyBorder="1" applyAlignment="1">
      <alignment horizontal="left" vertical="top" wrapText="1"/>
    </xf>
    <xf numFmtId="0" fontId="111" fillId="0" borderId="7" xfId="9" applyFont="1" applyBorder="1" applyAlignment="1">
      <alignment horizontal="center" vertical="top" wrapText="1"/>
    </xf>
    <xf numFmtId="0" fontId="111" fillId="0" borderId="2" xfId="9" applyFont="1" applyBorder="1" applyAlignment="1">
      <alignment horizontal="center" vertical="top" wrapText="1"/>
    </xf>
    <xf numFmtId="0" fontId="111" fillId="0" borderId="9" xfId="9" applyFont="1" applyBorder="1" applyAlignment="1">
      <alignment horizontal="center" vertical="top" wrapText="1"/>
    </xf>
    <xf numFmtId="0" fontId="111" fillId="0" borderId="10" xfId="9" applyFont="1" applyBorder="1" applyAlignment="1">
      <alignment horizontal="center" vertical="top" wrapText="1"/>
    </xf>
    <xf numFmtId="0" fontId="111" fillId="0" borderId="2" xfId="9" applyFont="1" applyBorder="1" applyAlignment="1">
      <alignment horizontal="left" vertical="top" wrapText="1"/>
    </xf>
    <xf numFmtId="0" fontId="111" fillId="0" borderId="8" xfId="9" applyFont="1" applyBorder="1" applyAlignment="1">
      <alignment horizontal="left" vertical="top" wrapText="1"/>
    </xf>
    <xf numFmtId="0" fontId="111" fillId="0" borderId="10" xfId="9" applyFont="1" applyBorder="1" applyAlignment="1">
      <alignment horizontal="left" vertical="top" wrapText="1"/>
    </xf>
    <xf numFmtId="0" fontId="111" fillId="0" borderId="11" xfId="9" applyFont="1" applyBorder="1" applyAlignment="1">
      <alignment horizontal="left" vertical="top" wrapText="1"/>
    </xf>
    <xf numFmtId="0" fontId="108" fillId="0" borderId="29" xfId="9" applyBorder="1" applyAlignment="1">
      <alignment horizontal="center" vertical="top"/>
    </xf>
    <xf numFmtId="0" fontId="108" fillId="0" borderId="30" xfId="9" applyBorder="1" applyAlignment="1">
      <alignment horizontal="center" vertical="top"/>
    </xf>
    <xf numFmtId="0" fontId="108" fillId="0" borderId="31" xfId="9" applyBorder="1" applyAlignment="1">
      <alignment horizontal="center" vertical="top"/>
    </xf>
    <xf numFmtId="0" fontId="117" fillId="0" borderId="41" xfId="9" applyFont="1" applyBorder="1" applyAlignment="1">
      <alignment horizontal="left" wrapText="1"/>
    </xf>
    <xf numFmtId="0" fontId="117" fillId="0" borderId="14" xfId="9" applyFont="1" applyBorder="1" applyAlignment="1">
      <alignment horizontal="left" wrapText="1"/>
    </xf>
    <xf numFmtId="0" fontId="117" fillId="0" borderId="15" xfId="9" applyFont="1" applyBorder="1" applyAlignment="1">
      <alignment horizontal="left" wrapText="1"/>
    </xf>
    <xf numFmtId="0" fontId="2" fillId="31" borderId="7" xfId="0" applyFont="1" applyFill="1" applyBorder="1" applyAlignment="1">
      <alignment horizontal="center" vertical="center"/>
    </xf>
    <xf numFmtId="0" fontId="2" fillId="31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99" fillId="0" borderId="0" xfId="0" applyFont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16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6" fillId="0" borderId="84" xfId="0" applyFont="1" applyBorder="1" applyAlignment="1">
      <alignment horizontal="center" vertical="top"/>
    </xf>
    <xf numFmtId="14" fontId="16" fillId="0" borderId="99" xfId="0" applyNumberFormat="1" applyFont="1" applyBorder="1" applyAlignment="1">
      <alignment horizontal="center" vertical="top"/>
    </xf>
    <xf numFmtId="0" fontId="16" fillId="0" borderId="99" xfId="0" applyFont="1" applyBorder="1" applyAlignment="1">
      <alignment horizontal="center" vertical="top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58" fillId="0" borderId="9" xfId="0" applyFont="1" applyBorder="1" applyAlignment="1">
      <alignment horizontal="center" vertical="center"/>
    </xf>
    <xf numFmtId="0" fontId="58" fillId="0" borderId="10" xfId="0" applyFont="1" applyBorder="1" applyAlignment="1">
      <alignment horizontal="center" vertical="center"/>
    </xf>
    <xf numFmtId="0" fontId="16" fillId="0" borderId="84" xfId="0" applyFont="1" applyBorder="1" applyAlignment="1">
      <alignment horizontal="center"/>
    </xf>
    <xf numFmtId="0" fontId="16" fillId="0" borderId="0" xfId="0" applyFont="1" applyAlignment="1">
      <alignment horizontal="right"/>
    </xf>
    <xf numFmtId="0" fontId="3" fillId="0" borderId="4" xfId="0" applyFont="1" applyBorder="1" applyAlignment="1">
      <alignment horizontal="center" vertical="center" textRotation="255" shrinkToFit="1"/>
    </xf>
    <xf numFmtId="0" fontId="3" fillId="0" borderId="6" xfId="0" applyFont="1" applyBorder="1" applyAlignment="1">
      <alignment horizontal="center" vertical="center" textRotation="255" shrinkToFit="1"/>
    </xf>
    <xf numFmtId="0" fontId="3" fillId="0" borderId="9" xfId="0" applyFont="1" applyBorder="1" applyAlignment="1">
      <alignment horizontal="center" vertical="center" textRotation="255" shrinkToFit="1"/>
    </xf>
    <xf numFmtId="0" fontId="3" fillId="0" borderId="11" xfId="0" applyFont="1" applyBorder="1" applyAlignment="1">
      <alignment horizontal="center" vertical="center" textRotation="255" shrinkToFit="1"/>
    </xf>
    <xf numFmtId="0" fontId="16" fillId="0" borderId="26" xfId="0" applyFont="1" applyBorder="1" applyAlignment="1">
      <alignment horizontal="center" vertical="center" textRotation="90"/>
    </xf>
    <xf numFmtId="0" fontId="16" fillId="0" borderId="7" xfId="0" applyFont="1" applyBorder="1" applyAlignment="1">
      <alignment horizontal="center" vertical="center" textRotation="90"/>
    </xf>
    <xf numFmtId="0" fontId="16" fillId="0" borderId="9" xfId="0" applyFont="1" applyBorder="1" applyAlignment="1">
      <alignment horizontal="center" vertical="center" textRotation="90"/>
    </xf>
    <xf numFmtId="0" fontId="16" fillId="0" borderId="0" xfId="0" applyFont="1" applyAlignment="1">
      <alignment horizontal="center"/>
    </xf>
    <xf numFmtId="14" fontId="16" fillId="0" borderId="84" xfId="0" applyNumberFormat="1" applyFont="1" applyBorder="1" applyAlignment="1">
      <alignment horizontal="center"/>
    </xf>
    <xf numFmtId="0" fontId="58" fillId="0" borderId="11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59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3" fillId="0" borderId="7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49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8" fillId="0" borderId="48" xfId="0" applyFont="1" applyBorder="1" applyAlignment="1">
      <alignment horizontal="left" vertical="center" wrapText="1"/>
    </xf>
    <xf numFmtId="0" fontId="8" fillId="0" borderId="43" xfId="0" applyFont="1" applyBorder="1" applyAlignment="1">
      <alignment horizontal="left" vertical="center" wrapText="1"/>
    </xf>
    <xf numFmtId="0" fontId="8" fillId="0" borderId="49" xfId="0" applyFont="1" applyBorder="1" applyAlignment="1">
      <alignment horizontal="left" vertical="center" wrapText="1"/>
    </xf>
    <xf numFmtId="164" fontId="16" fillId="0" borderId="84" xfId="0" applyNumberFormat="1" applyFont="1" applyBorder="1" applyAlignment="1">
      <alignment horizontal="center"/>
    </xf>
    <xf numFmtId="0" fontId="16" fillId="0" borderId="41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2" fillId="29" borderId="7" xfId="0" applyFont="1" applyFill="1" applyBorder="1" applyAlignment="1">
      <alignment horizontal="center" vertical="center"/>
    </xf>
    <xf numFmtId="0" fontId="2" fillId="29" borderId="2" xfId="0" applyFont="1" applyFill="1" applyBorder="1" applyAlignment="1">
      <alignment horizontal="center" vertical="center"/>
    </xf>
    <xf numFmtId="0" fontId="2" fillId="30" borderId="7" xfId="0" applyFont="1" applyFill="1" applyBorder="1" applyAlignment="1">
      <alignment horizontal="center" vertical="center"/>
    </xf>
    <xf numFmtId="0" fontId="2" fillId="30" borderId="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55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3" fillId="0" borderId="107" xfId="0" applyFont="1" applyBorder="1" applyAlignment="1">
      <alignment horizontal="center" vertical="center"/>
    </xf>
    <xf numFmtId="0" fontId="16" fillId="0" borderId="63" xfId="0" applyFont="1" applyBorder="1" applyAlignment="1">
      <alignment horizontal="center" vertical="center" textRotation="90"/>
    </xf>
    <xf numFmtId="0" fontId="16" fillId="0" borderId="66" xfId="0" applyFont="1" applyBorder="1" applyAlignment="1">
      <alignment horizontal="center" vertical="center" textRotation="90"/>
    </xf>
    <xf numFmtId="0" fontId="16" fillId="0" borderId="67" xfId="0" applyFont="1" applyBorder="1" applyAlignment="1">
      <alignment horizontal="center" vertical="center" textRotation="90"/>
    </xf>
    <xf numFmtId="0" fontId="16" fillId="0" borderId="18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16" fillId="0" borderId="18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0" fillId="0" borderId="113" xfId="0" applyBorder="1" applyAlignment="1">
      <alignment horizontal="center"/>
    </xf>
    <xf numFmtId="0" fontId="1" fillId="0" borderId="0" xfId="0" applyFont="1" applyAlignment="1">
      <alignment horizontal="center"/>
    </xf>
    <xf numFmtId="0" fontId="83" fillId="0" borderId="23" xfId="0" applyFont="1" applyBorder="1" applyAlignment="1">
      <alignment horizontal="center" vertical="center" wrapText="1"/>
    </xf>
    <xf numFmtId="167" fontId="16" fillId="0" borderId="2" xfId="0" applyNumberFormat="1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44" fillId="0" borderId="48" xfId="0" applyFont="1" applyBorder="1" applyAlignment="1">
      <alignment horizontal="center" vertical="center"/>
    </xf>
    <xf numFmtId="0" fontId="44" fillId="0" borderId="43" xfId="0" applyFont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8" fillId="0" borderId="49" xfId="0" applyFont="1" applyBorder="1" applyAlignment="1">
      <alignment horizontal="center" vertical="center" wrapText="1"/>
    </xf>
    <xf numFmtId="166" fontId="16" fillId="0" borderId="48" xfId="0" applyNumberFormat="1" applyFont="1" applyBorder="1" applyAlignment="1">
      <alignment horizontal="center" vertical="center"/>
    </xf>
    <xf numFmtId="166" fontId="16" fillId="0" borderId="43" xfId="0" applyNumberFormat="1" applyFont="1" applyBorder="1" applyAlignment="1">
      <alignment horizontal="center" vertical="center"/>
    </xf>
    <xf numFmtId="166" fontId="16" fillId="0" borderId="49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8" xfId="0" applyFont="1" applyBorder="1" applyAlignment="1">
      <alignment horizontal="left" vertical="center"/>
    </xf>
    <xf numFmtId="0" fontId="16" fillId="0" borderId="43" xfId="0" applyFont="1" applyBorder="1" applyAlignment="1">
      <alignment horizontal="left" vertical="center"/>
    </xf>
    <xf numFmtId="0" fontId="16" fillId="0" borderId="49" xfId="0" applyFont="1" applyBorder="1" applyAlignment="1">
      <alignment horizontal="left" vertical="center"/>
    </xf>
    <xf numFmtId="14" fontId="3" fillId="0" borderId="43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16" fillId="0" borderId="84" xfId="0" applyFont="1" applyBorder="1" applyAlignment="1">
      <alignment horizontal="center" wrapText="1"/>
    </xf>
    <xf numFmtId="166" fontId="3" fillId="0" borderId="2" xfId="0" applyNumberFormat="1" applyFont="1" applyBorder="1" applyAlignment="1">
      <alignment horizontal="center" vertical="center"/>
    </xf>
    <xf numFmtId="3" fontId="16" fillId="0" borderId="48" xfId="0" applyNumberFormat="1" applyFont="1" applyBorder="1" applyAlignment="1">
      <alignment horizontal="center" vertical="center"/>
    </xf>
    <xf numFmtId="3" fontId="16" fillId="0" borderId="49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43" xfId="0" applyFont="1" applyBorder="1" applyAlignment="1">
      <alignment horizontal="right" vertical="center"/>
    </xf>
    <xf numFmtId="0" fontId="16" fillId="0" borderId="49" xfId="0" applyFont="1" applyBorder="1" applyAlignment="1">
      <alignment horizontal="right" vertical="center"/>
    </xf>
    <xf numFmtId="0" fontId="3" fillId="0" borderId="43" xfId="0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166" fontId="16" fillId="0" borderId="2" xfId="0" applyNumberFormat="1" applyFont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4" fontId="16" fillId="0" borderId="16" xfId="0" applyNumberFormat="1" applyFont="1" applyBorder="1" applyAlignment="1">
      <alignment horizontal="center" vertical="center"/>
    </xf>
    <xf numFmtId="14" fontId="16" fillId="0" borderId="57" xfId="0" applyNumberFormat="1" applyFont="1" applyBorder="1" applyAlignment="1">
      <alignment horizontal="center" vertical="center"/>
    </xf>
    <xf numFmtId="14" fontId="16" fillId="0" borderId="17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textRotation="255" shrinkToFit="1"/>
    </xf>
    <xf numFmtId="0" fontId="3" fillId="0" borderId="2" xfId="0" applyFont="1" applyBorder="1" applyAlignment="1">
      <alignment horizontal="center" vertical="center" textRotation="255" shrinkToFit="1"/>
    </xf>
    <xf numFmtId="0" fontId="16" fillId="0" borderId="0" xfId="0" applyFont="1" applyAlignment="1">
      <alignment horizontal="right" vertical="center" wrapText="1"/>
    </xf>
    <xf numFmtId="0" fontId="29" fillId="0" borderId="29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16" fillId="0" borderId="2" xfId="0" applyFont="1" applyBorder="1" applyAlignment="1">
      <alignment horizontal="left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/>
    </xf>
    <xf numFmtId="0" fontId="4" fillId="0" borderId="0" xfId="4" applyFont="1" applyAlignment="1">
      <alignment horizontal="left"/>
    </xf>
    <xf numFmtId="0" fontId="4" fillId="0" borderId="25" xfId="4" applyFont="1" applyBorder="1" applyAlignment="1">
      <alignment horizontal="left"/>
    </xf>
    <xf numFmtId="0" fontId="4" fillId="0" borderId="29" xfId="4" applyFont="1" applyBorder="1" applyAlignment="1">
      <alignment horizontal="center" vertical="center"/>
    </xf>
    <xf numFmtId="0" fontId="4" fillId="0" borderId="30" xfId="4" applyFont="1" applyBorder="1" applyAlignment="1">
      <alignment horizontal="center" vertical="center"/>
    </xf>
    <xf numFmtId="0" fontId="4" fillId="0" borderId="31" xfId="4" applyFont="1" applyBorder="1" applyAlignment="1">
      <alignment horizontal="center" vertical="center"/>
    </xf>
    <xf numFmtId="12" fontId="4" fillId="0" borderId="29" xfId="4" applyNumberFormat="1" applyFont="1" applyBorder="1" applyAlignment="1">
      <alignment horizontal="center" vertical="center"/>
    </xf>
    <xf numFmtId="14" fontId="4" fillId="0" borderId="29" xfId="4" applyNumberFormat="1" applyFont="1" applyBorder="1" applyAlignment="1">
      <alignment horizontal="center" vertical="center"/>
    </xf>
    <xf numFmtId="14" fontId="4" fillId="0" borderId="30" xfId="4" applyNumberFormat="1" applyFont="1" applyBorder="1" applyAlignment="1">
      <alignment horizontal="center" vertical="center"/>
    </xf>
    <xf numFmtId="14" fontId="4" fillId="0" borderId="31" xfId="4" applyNumberFormat="1" applyFont="1" applyBorder="1" applyAlignment="1">
      <alignment horizontal="center" vertical="center"/>
    </xf>
    <xf numFmtId="0" fontId="61" fillId="0" borderId="5" xfId="4" applyFont="1" applyBorder="1" applyAlignment="1">
      <alignment horizontal="center"/>
    </xf>
    <xf numFmtId="0" fontId="61" fillId="0" borderId="6" xfId="4" applyFont="1" applyBorder="1" applyAlignment="1">
      <alignment horizontal="center"/>
    </xf>
    <xf numFmtId="0" fontId="62" fillId="0" borderId="7" xfId="4" applyFont="1" applyBorder="1" applyAlignment="1">
      <alignment horizontal="center"/>
    </xf>
    <xf numFmtId="0" fontId="62" fillId="0" borderId="2" xfId="4" applyFont="1" applyBorder="1" applyAlignment="1">
      <alignment horizontal="center"/>
    </xf>
    <xf numFmtId="0" fontId="62" fillId="0" borderId="8" xfId="4" applyFont="1" applyBorder="1" applyAlignment="1">
      <alignment horizontal="center"/>
    </xf>
    <xf numFmtId="0" fontId="4" fillId="26" borderId="10" xfId="4" applyFont="1" applyFill="1" applyBorder="1" applyAlignment="1">
      <alignment horizontal="center"/>
    </xf>
    <xf numFmtId="0" fontId="4" fillId="26" borderId="11" xfId="4" applyFont="1" applyFill="1" applyBorder="1" applyAlignment="1">
      <alignment horizontal="center"/>
    </xf>
    <xf numFmtId="0" fontId="4" fillId="0" borderId="24" xfId="4" applyFont="1" applyBorder="1" applyAlignment="1">
      <alignment horizontal="right"/>
    </xf>
    <xf numFmtId="0" fontId="4" fillId="0" borderId="0" xfId="4" applyFont="1" applyAlignment="1">
      <alignment horizontal="right"/>
    </xf>
    <xf numFmtId="0" fontId="4" fillId="0" borderId="0" xfId="4" applyFont="1" applyAlignment="1">
      <alignment horizontal="center"/>
    </xf>
    <xf numFmtId="0" fontId="11" fillId="0" borderId="0" xfId="4" applyFont="1" applyAlignment="1">
      <alignment horizontal="left"/>
    </xf>
    <xf numFmtId="0" fontId="11" fillId="0" borderId="4" xfId="4" applyFont="1" applyBorder="1" applyAlignment="1">
      <alignment horizontal="center" textRotation="255" shrinkToFit="1" readingOrder="1"/>
    </xf>
    <xf numFmtId="0" fontId="11" fillId="0" borderId="5" xfId="4" applyFont="1" applyBorder="1" applyAlignment="1">
      <alignment horizontal="center" textRotation="255" shrinkToFit="1" readingOrder="1"/>
    </xf>
    <xf numFmtId="0" fontId="11" fillId="0" borderId="7" xfId="4" applyFont="1" applyBorder="1" applyAlignment="1">
      <alignment horizontal="center" textRotation="255" shrinkToFit="1" readingOrder="1"/>
    </xf>
    <xf numFmtId="0" fontId="11" fillId="0" borderId="2" xfId="4" applyFont="1" applyBorder="1" applyAlignment="1">
      <alignment horizontal="center" textRotation="255" shrinkToFit="1" readingOrder="1"/>
    </xf>
    <xf numFmtId="0" fontId="12" fillId="0" borderId="20" xfId="4" applyFont="1" applyBorder="1" applyAlignment="1">
      <alignment horizontal="center"/>
    </xf>
    <xf numFmtId="0" fontId="12" fillId="0" borderId="7" xfId="4" applyFont="1" applyBorder="1" applyAlignment="1">
      <alignment horizontal="center" vertical="center" textRotation="90"/>
    </xf>
    <xf numFmtId="0" fontId="12" fillId="0" borderId="9" xfId="4" applyFont="1" applyBorder="1" applyAlignment="1">
      <alignment horizontal="center" vertical="center" textRotation="90"/>
    </xf>
    <xf numFmtId="0" fontId="65" fillId="0" borderId="29" xfId="4" applyFont="1" applyBorder="1" applyAlignment="1">
      <alignment horizontal="center" vertical="center"/>
    </xf>
    <xf numFmtId="0" fontId="65" fillId="0" borderId="30" xfId="4" applyFont="1" applyBorder="1" applyAlignment="1">
      <alignment horizontal="center" vertical="center"/>
    </xf>
    <xf numFmtId="0" fontId="65" fillId="0" borderId="31" xfId="4" applyFont="1" applyBorder="1" applyAlignment="1">
      <alignment horizontal="center" vertical="center"/>
    </xf>
    <xf numFmtId="0" fontId="12" fillId="0" borderId="0" xfId="4" applyFont="1" applyAlignment="1">
      <alignment horizontal="left"/>
    </xf>
    <xf numFmtId="0" fontId="4" fillId="0" borderId="0" xfId="4" applyFont="1" applyAlignment="1">
      <alignment horizontal="right" vertical="center"/>
    </xf>
    <xf numFmtId="0" fontId="66" fillId="0" borderId="29" xfId="4" applyFont="1" applyBorder="1" applyAlignment="1">
      <alignment horizontal="center" vertical="center"/>
    </xf>
    <xf numFmtId="0" fontId="67" fillId="0" borderId="31" xfId="4" applyFont="1" applyBorder="1" applyAlignment="1">
      <alignment horizontal="center" vertical="center"/>
    </xf>
    <xf numFmtId="0" fontId="4" fillId="0" borderId="24" xfId="4" applyFont="1" applyBorder="1" applyAlignment="1">
      <alignment horizontal="left"/>
    </xf>
    <xf numFmtId="0" fontId="4" fillId="0" borderId="23" xfId="4" applyFont="1" applyBorder="1" applyAlignment="1">
      <alignment horizontal="center"/>
    </xf>
    <xf numFmtId="164" fontId="4" fillId="0" borderId="23" xfId="4" applyNumberFormat="1" applyFont="1" applyBorder="1" applyAlignment="1">
      <alignment horizontal="center"/>
    </xf>
    <xf numFmtId="14" fontId="4" fillId="0" borderId="23" xfId="4" applyNumberFormat="1" applyFont="1" applyBorder="1" applyAlignment="1">
      <alignment horizontal="center" vertical="center"/>
    </xf>
    <xf numFmtId="0" fontId="4" fillId="0" borderId="18" xfId="4" applyFont="1" applyBorder="1" applyAlignment="1">
      <alignment horizontal="left" vertical="top"/>
    </xf>
    <xf numFmtId="0" fontId="4" fillId="0" borderId="20" xfId="4" applyFont="1" applyBorder="1" applyAlignment="1">
      <alignment horizontal="left" vertical="top"/>
    </xf>
    <xf numFmtId="0" fontId="4" fillId="0" borderId="59" xfId="4" applyFont="1" applyBorder="1" applyAlignment="1">
      <alignment horizontal="left" vertical="top"/>
    </xf>
    <xf numFmtId="0" fontId="4" fillId="0" borderId="24" xfId="4" applyFont="1" applyBorder="1" applyAlignment="1">
      <alignment horizontal="left" vertical="top"/>
    </xf>
    <xf numFmtId="0" fontId="4" fillId="0" borderId="0" xfId="4" applyFont="1" applyAlignment="1">
      <alignment horizontal="left" vertical="top"/>
    </xf>
    <xf numFmtId="0" fontId="4" fillId="0" borderId="38" xfId="4" applyFont="1" applyBorder="1" applyAlignment="1">
      <alignment horizontal="left" vertical="top"/>
    </xf>
    <xf numFmtId="0" fontId="4" fillId="0" borderId="58" xfId="4" applyFont="1" applyBorder="1" applyAlignment="1">
      <alignment horizontal="left" vertical="top"/>
    </xf>
    <xf numFmtId="0" fontId="4" fillId="0" borderId="40" xfId="4" applyFont="1" applyBorder="1" applyAlignment="1">
      <alignment horizontal="left" vertical="top"/>
    </xf>
    <xf numFmtId="0" fontId="4" fillId="0" borderId="32" xfId="4" applyFont="1" applyBorder="1" applyAlignment="1">
      <alignment horizontal="left" vertical="top"/>
    </xf>
    <xf numFmtId="0" fontId="4" fillId="0" borderId="105" xfId="4" applyFont="1" applyBorder="1" applyAlignment="1">
      <alignment horizontal="left" vertical="center" wrapText="1"/>
    </xf>
    <xf numFmtId="0" fontId="4" fillId="0" borderId="20" xfId="4" applyFont="1" applyBorder="1" applyAlignment="1">
      <alignment horizontal="left" vertical="center" wrapText="1"/>
    </xf>
    <xf numFmtId="0" fontId="4" fillId="0" borderId="19" xfId="4" applyFont="1" applyBorder="1" applyAlignment="1">
      <alignment horizontal="left" vertical="center" wrapText="1"/>
    </xf>
    <xf numFmtId="0" fontId="4" fillId="0" borderId="37" xfId="4" applyFont="1" applyBorder="1" applyAlignment="1">
      <alignment horizontal="left" vertical="center" wrapText="1"/>
    </xf>
    <xf numFmtId="0" fontId="4" fillId="0" borderId="0" xfId="4" applyFont="1" applyAlignment="1">
      <alignment horizontal="left" vertical="center" wrapText="1"/>
    </xf>
    <xf numFmtId="0" fontId="4" fillId="0" borderId="25" xfId="4" applyFont="1" applyBorder="1" applyAlignment="1">
      <alignment horizontal="left" vertical="center" wrapText="1"/>
    </xf>
    <xf numFmtId="0" fontId="4" fillId="0" borderId="39" xfId="4" applyFont="1" applyBorder="1" applyAlignment="1">
      <alignment horizontal="left" vertical="center" wrapText="1"/>
    </xf>
    <xf numFmtId="0" fontId="4" fillId="0" borderId="40" xfId="4" applyFont="1" applyBorder="1" applyAlignment="1">
      <alignment horizontal="left" vertical="center" wrapText="1"/>
    </xf>
    <xf numFmtId="0" fontId="4" fillId="0" borderId="54" xfId="4" applyFont="1" applyBorder="1" applyAlignment="1">
      <alignment horizontal="left" vertical="center" wrapText="1"/>
    </xf>
    <xf numFmtId="0" fontId="4" fillId="0" borderId="7" xfId="4" applyFont="1" applyBorder="1" applyAlignment="1">
      <alignment horizontal="center" vertical="center"/>
    </xf>
    <xf numFmtId="0" fontId="4" fillId="0" borderId="2" xfId="4" applyFont="1" applyBorder="1" applyAlignment="1">
      <alignment horizontal="center" vertical="center"/>
    </xf>
    <xf numFmtId="0" fontId="4" fillId="27" borderId="2" xfId="4" applyFont="1" applyFill="1" applyBorder="1" applyAlignment="1">
      <alignment horizontal="center" vertical="center"/>
    </xf>
    <xf numFmtId="0" fontId="2" fillId="0" borderId="48" xfId="4" applyFont="1" applyBorder="1" applyAlignment="1">
      <alignment horizontal="center" vertical="center"/>
    </xf>
    <xf numFmtId="0" fontId="2" fillId="0" borderId="43" xfId="4" applyFont="1" applyBorder="1" applyAlignment="1">
      <alignment horizontal="center" vertical="center"/>
    </xf>
    <xf numFmtId="0" fontId="2" fillId="0" borderId="106" xfId="4" applyFont="1" applyBorder="1" applyAlignment="1">
      <alignment horizontal="center" vertical="center"/>
    </xf>
    <xf numFmtId="0" fontId="69" fillId="0" borderId="42" xfId="4" applyFont="1" applyBorder="1" applyAlignment="1">
      <alignment horizontal="center"/>
    </xf>
    <xf numFmtId="0" fontId="69" fillId="0" borderId="43" xfId="4" applyFont="1" applyBorder="1" applyAlignment="1">
      <alignment horizontal="center"/>
    </xf>
    <xf numFmtId="0" fontId="69" fillId="0" borderId="106" xfId="4" applyFont="1" applyBorder="1" applyAlignment="1">
      <alignment horizontal="center"/>
    </xf>
    <xf numFmtId="0" fontId="52" fillId="0" borderId="29" xfId="4" applyFont="1" applyBorder="1" applyAlignment="1">
      <alignment horizontal="center" vertical="center"/>
    </xf>
    <xf numFmtId="0" fontId="52" fillId="0" borderId="31" xfId="4" applyFont="1" applyBorder="1" applyAlignment="1">
      <alignment horizontal="center" vertical="center"/>
    </xf>
    <xf numFmtId="0" fontId="68" fillId="0" borderId="29" xfId="4" applyFont="1" applyBorder="1" applyAlignment="1">
      <alignment horizontal="center" vertical="center"/>
    </xf>
    <xf numFmtId="0" fontId="68" fillId="0" borderId="30" xfId="4" applyFont="1" applyBorder="1" applyAlignment="1">
      <alignment horizontal="center" vertical="center"/>
    </xf>
    <xf numFmtId="0" fontId="68" fillId="0" borderId="31" xfId="4" applyFont="1" applyBorder="1" applyAlignment="1">
      <alignment horizontal="center" vertical="center"/>
    </xf>
    <xf numFmtId="0" fontId="59" fillId="0" borderId="29" xfId="4" applyBorder="1" applyAlignment="1">
      <alignment horizontal="center"/>
    </xf>
    <xf numFmtId="0" fontId="59" fillId="0" borderId="30" xfId="4" applyBorder="1" applyAlignment="1">
      <alignment horizontal="center"/>
    </xf>
    <xf numFmtId="0" fontId="59" fillId="0" borderId="31" xfId="4" applyBorder="1" applyAlignment="1">
      <alignment horizontal="center"/>
    </xf>
    <xf numFmtId="0" fontId="59" fillId="0" borderId="34" xfId="4" applyBorder="1" applyAlignment="1">
      <alignment horizontal="center"/>
    </xf>
    <xf numFmtId="0" fontId="59" fillId="0" borderId="35" xfId="4" applyBorder="1" applyAlignment="1">
      <alignment horizontal="center"/>
    </xf>
    <xf numFmtId="0" fontId="59" fillId="0" borderId="46" xfId="4" applyBorder="1" applyAlignment="1">
      <alignment horizontal="center"/>
    </xf>
    <xf numFmtId="0" fontId="59" fillId="0" borderId="37" xfId="4" applyBorder="1" applyAlignment="1">
      <alignment horizontal="center"/>
    </xf>
    <xf numFmtId="0" fontId="59" fillId="0" borderId="0" xfId="4" applyAlignment="1">
      <alignment horizontal="center"/>
    </xf>
    <xf numFmtId="0" fontId="59" fillId="0" borderId="25" xfId="4" applyBorder="1" applyAlignment="1">
      <alignment horizontal="center"/>
    </xf>
    <xf numFmtId="0" fontId="12" fillId="0" borderId="2" xfId="4" applyFont="1" applyBorder="1" applyAlignment="1">
      <alignment horizontal="center"/>
    </xf>
    <xf numFmtId="0" fontId="59" fillId="0" borderId="2" xfId="4" applyBorder="1"/>
    <xf numFmtId="0" fontId="12" fillId="0" borderId="10" xfId="4" applyFont="1" applyBorder="1" applyAlignment="1">
      <alignment horizontal="center"/>
    </xf>
    <xf numFmtId="0" fontId="12" fillId="0" borderId="7" xfId="4" applyFont="1" applyBorder="1" applyAlignment="1">
      <alignment horizontal="center"/>
    </xf>
    <xf numFmtId="0" fontId="59" fillId="0" borderId="4" xfId="4" applyBorder="1" applyAlignment="1">
      <alignment horizontal="center"/>
    </xf>
    <xf numFmtId="0" fontId="59" fillId="0" borderId="5" xfId="4" applyBorder="1" applyAlignment="1">
      <alignment horizontal="center"/>
    </xf>
    <xf numFmtId="0" fontId="59" fillId="0" borderId="6" xfId="4" applyBorder="1" applyAlignment="1">
      <alignment horizontal="center"/>
    </xf>
    <xf numFmtId="0" fontId="70" fillId="0" borderId="10" xfId="4" applyFont="1" applyBorder="1" applyAlignment="1">
      <alignment horizontal="center"/>
    </xf>
    <xf numFmtId="0" fontId="59" fillId="0" borderId="10" xfId="4" applyBorder="1"/>
    <xf numFmtId="0" fontId="70" fillId="0" borderId="2" xfId="4" applyFont="1" applyBorder="1" applyAlignment="1">
      <alignment horizontal="center"/>
    </xf>
    <xf numFmtId="0" fontId="59" fillId="0" borderId="7" xfId="4" applyBorder="1" applyAlignment="1">
      <alignment horizontal="center"/>
    </xf>
    <xf numFmtId="0" fontId="59" fillId="0" borderId="2" xfId="4" applyBorder="1" applyAlignment="1">
      <alignment horizontal="center"/>
    </xf>
    <xf numFmtId="0" fontId="59" fillId="0" borderId="8" xfId="4" applyBorder="1" applyAlignment="1">
      <alignment horizontal="center"/>
    </xf>
    <xf numFmtId="44" fontId="4" fillId="0" borderId="40" xfId="3" applyFont="1" applyBorder="1" applyAlignment="1">
      <alignment horizontal="left"/>
    </xf>
    <xf numFmtId="44" fontId="0" fillId="0" borderId="40" xfId="3" applyFont="1" applyBorder="1"/>
    <xf numFmtId="44" fontId="0" fillId="0" borderId="54" xfId="3" applyFont="1" applyBorder="1"/>
    <xf numFmtId="44" fontId="4" fillId="0" borderId="7" xfId="3" applyFont="1" applyBorder="1" applyAlignment="1">
      <alignment horizontal="center"/>
    </xf>
    <xf numFmtId="44" fontId="4" fillId="0" borderId="2" xfId="3" applyFont="1" applyBorder="1" applyAlignment="1">
      <alignment horizontal="center"/>
    </xf>
    <xf numFmtId="44" fontId="4" fillId="0" borderId="8" xfId="3" applyFont="1" applyBorder="1" applyAlignment="1">
      <alignment horizontal="center"/>
    </xf>
    <xf numFmtId="44" fontId="4" fillId="0" borderId="14" xfId="3" applyFont="1" applyBorder="1" applyAlignment="1">
      <alignment horizontal="left"/>
    </xf>
    <xf numFmtId="44" fontId="0" fillId="0" borderId="14" xfId="3" applyFont="1" applyBorder="1"/>
    <xf numFmtId="44" fontId="0" fillId="0" borderId="15" xfId="3" applyFont="1" applyBorder="1"/>
    <xf numFmtId="44" fontId="4" fillId="0" borderId="4" xfId="3" applyFont="1" applyBorder="1" applyAlignment="1">
      <alignment horizontal="center"/>
    </xf>
    <xf numFmtId="44" fontId="4" fillId="0" borderId="5" xfId="3" applyFont="1" applyBorder="1" applyAlignment="1">
      <alignment horizontal="center"/>
    </xf>
    <xf numFmtId="44" fontId="4" fillId="0" borderId="6" xfId="3" applyFont="1" applyBorder="1" applyAlignment="1">
      <alignment horizontal="center"/>
    </xf>
    <xf numFmtId="0" fontId="4" fillId="0" borderId="58" xfId="4" applyFont="1" applyBorder="1" applyAlignment="1">
      <alignment horizontal="center"/>
    </xf>
    <xf numFmtId="0" fontId="4" fillId="0" borderId="40" xfId="4" applyFont="1" applyBorder="1" applyAlignment="1">
      <alignment horizontal="center"/>
    </xf>
    <xf numFmtId="0" fontId="4" fillId="0" borderId="54" xfId="4" applyFont="1" applyBorder="1" applyAlignment="1">
      <alignment horizontal="center"/>
    </xf>
    <xf numFmtId="0" fontId="4" fillId="0" borderId="32" xfId="4" applyFont="1" applyBorder="1" applyAlignment="1">
      <alignment horizontal="center"/>
    </xf>
    <xf numFmtId="0" fontId="59" fillId="0" borderId="27" xfId="4" applyBorder="1" applyAlignment="1">
      <alignment horizontal="center"/>
    </xf>
    <xf numFmtId="0" fontId="59" fillId="0" borderId="28" xfId="4" applyBorder="1" applyAlignment="1">
      <alignment horizontal="center"/>
    </xf>
    <xf numFmtId="0" fontId="4" fillId="0" borderId="8" xfId="4" applyFont="1" applyBorder="1" applyAlignment="1">
      <alignment horizontal="center"/>
    </xf>
    <xf numFmtId="0" fontId="4" fillId="0" borderId="5" xfId="4" applyFont="1" applyBorder="1" applyAlignment="1">
      <alignment horizontal="center"/>
    </xf>
    <xf numFmtId="0" fontId="4" fillId="0" borderId="6" xfId="4" applyFont="1" applyBorder="1" applyAlignment="1">
      <alignment horizontal="center"/>
    </xf>
    <xf numFmtId="0" fontId="4" fillId="0" borderId="41" xfId="4" applyFont="1" applyBorder="1" applyAlignment="1">
      <alignment horizontal="center"/>
    </xf>
    <xf numFmtId="0" fontId="4" fillId="0" borderId="14" xfId="4" applyFont="1" applyBorder="1" applyAlignment="1">
      <alignment horizontal="center"/>
    </xf>
    <xf numFmtId="0" fontId="4" fillId="0" borderId="15" xfId="4" applyFont="1" applyBorder="1" applyAlignment="1">
      <alignment horizontal="center"/>
    </xf>
    <xf numFmtId="0" fontId="4" fillId="0" borderId="70" xfId="4" applyFont="1" applyBorder="1" applyAlignment="1">
      <alignment horizontal="center"/>
    </xf>
    <xf numFmtId="0" fontId="79" fillId="0" borderId="58" xfId="4" applyFont="1" applyBorder="1" applyAlignment="1">
      <alignment horizontal="center"/>
    </xf>
    <xf numFmtId="0" fontId="79" fillId="0" borderId="32" xfId="4" applyFont="1" applyBorder="1" applyAlignment="1">
      <alignment horizontal="center"/>
    </xf>
    <xf numFmtId="44" fontId="4" fillId="0" borderId="23" xfId="3" applyFont="1" applyBorder="1" applyAlignment="1">
      <alignment horizontal="left"/>
    </xf>
    <xf numFmtId="44" fontId="0" fillId="0" borderId="23" xfId="3" applyFont="1" applyBorder="1"/>
    <xf numFmtId="44" fontId="0" fillId="0" borderId="22" xfId="3" applyFont="1" applyBorder="1"/>
    <xf numFmtId="44" fontId="4" fillId="0" borderId="43" xfId="3" applyFont="1" applyBorder="1" applyAlignment="1">
      <alignment horizontal="center"/>
    </xf>
    <xf numFmtId="0" fontId="59" fillId="0" borderId="9" xfId="4" applyBorder="1" applyAlignment="1">
      <alignment horizontal="center"/>
    </xf>
    <xf numFmtId="0" fontId="59" fillId="0" borderId="10" xfId="4" applyBorder="1" applyAlignment="1">
      <alignment horizontal="center"/>
    </xf>
    <xf numFmtId="0" fontId="59" fillId="0" borderId="11" xfId="4" applyBorder="1" applyAlignment="1">
      <alignment horizontal="center"/>
    </xf>
    <xf numFmtId="44" fontId="4" fillId="0" borderId="42" xfId="3" applyFont="1" applyBorder="1" applyAlignment="1">
      <alignment horizontal="center"/>
    </xf>
    <xf numFmtId="44" fontId="4" fillId="0" borderId="106" xfId="3" applyFont="1" applyBorder="1" applyAlignment="1">
      <alignment horizontal="center"/>
    </xf>
    <xf numFmtId="0" fontId="4" fillId="0" borderId="29" xfId="4" applyFont="1" applyBorder="1" applyAlignment="1">
      <alignment horizontal="left"/>
    </xf>
    <xf numFmtId="0" fontId="4" fillId="0" borderId="30" xfId="4" applyFont="1" applyBorder="1" applyAlignment="1">
      <alignment horizontal="left"/>
    </xf>
    <xf numFmtId="0" fontId="4" fillId="0" borderId="112" xfId="4" applyFont="1" applyBorder="1" applyAlignment="1">
      <alignment horizontal="left"/>
    </xf>
    <xf numFmtId="44" fontId="79" fillId="0" borderId="47" xfId="3" applyFont="1" applyBorder="1" applyAlignment="1">
      <alignment horizontal="center"/>
    </xf>
    <xf numFmtId="44" fontId="79" fillId="0" borderId="30" xfId="3" applyFont="1" applyBorder="1" applyAlignment="1">
      <alignment horizontal="center"/>
    </xf>
    <xf numFmtId="44" fontId="79" fillId="0" borderId="31" xfId="3" applyFont="1" applyBorder="1" applyAlignment="1">
      <alignment horizontal="center"/>
    </xf>
    <xf numFmtId="44" fontId="4" fillId="0" borderId="44" xfId="3" applyFont="1" applyBorder="1" applyAlignment="1">
      <alignment horizontal="center"/>
    </xf>
    <xf numFmtId="44" fontId="4" fillId="0" borderId="45" xfId="3" applyFont="1" applyBorder="1" applyAlignment="1">
      <alignment horizontal="center"/>
    </xf>
    <xf numFmtId="44" fontId="4" fillId="0" borderId="107" xfId="3" applyFont="1" applyBorder="1" applyAlignment="1">
      <alignment horizontal="center"/>
    </xf>
    <xf numFmtId="0" fontId="4" fillId="0" borderId="20" xfId="4" applyFont="1" applyBorder="1" applyAlignment="1">
      <alignment horizontal="center"/>
    </xf>
    <xf numFmtId="0" fontId="4" fillId="0" borderId="19" xfId="4" applyFont="1" applyBorder="1" applyAlignment="1">
      <alignment horizontal="center"/>
    </xf>
    <xf numFmtId="44" fontId="62" fillId="0" borderId="29" xfId="3" applyFont="1" applyBorder="1" applyAlignment="1">
      <alignment horizontal="center"/>
    </xf>
    <xf numFmtId="44" fontId="62" fillId="0" borderId="30" xfId="3" applyFont="1" applyBorder="1" applyAlignment="1">
      <alignment horizontal="center"/>
    </xf>
    <xf numFmtId="44" fontId="62" fillId="0" borderId="31" xfId="3" applyFont="1" applyBorder="1" applyAlignment="1">
      <alignment horizontal="center"/>
    </xf>
    <xf numFmtId="0" fontId="4" fillId="0" borderId="23" xfId="4" applyFont="1" applyBorder="1" applyAlignment="1">
      <alignment horizontal="left"/>
    </xf>
    <xf numFmtId="14" fontId="4" fillId="0" borderId="23" xfId="4" applyNumberFormat="1" applyFont="1" applyBorder="1" applyAlignment="1">
      <alignment horizontal="center"/>
    </xf>
    <xf numFmtId="0" fontId="4" fillId="0" borderId="4" xfId="4" applyFont="1" applyBorder="1" applyAlignment="1">
      <alignment horizontal="center"/>
    </xf>
    <xf numFmtId="0" fontId="4" fillId="0" borderId="7" xfId="4" applyFont="1" applyBorder="1" applyAlignment="1">
      <alignment horizontal="center"/>
    </xf>
    <xf numFmtId="0" fontId="4" fillId="0" borderId="9" xfId="4" applyFont="1" applyBorder="1" applyAlignment="1">
      <alignment horizontal="center"/>
    </xf>
    <xf numFmtId="0" fontId="4" fillId="0" borderId="10" xfId="4" applyFont="1" applyBorder="1" applyAlignment="1">
      <alignment horizontal="center"/>
    </xf>
    <xf numFmtId="0" fontId="4" fillId="0" borderId="11" xfId="4" applyFont="1" applyBorder="1" applyAlignment="1">
      <alignment horizontal="center"/>
    </xf>
    <xf numFmtId="0" fontId="12" fillId="0" borderId="108" xfId="4" applyFont="1" applyBorder="1" applyAlignment="1">
      <alignment horizontal="center"/>
    </xf>
    <xf numFmtId="0" fontId="12" fillId="0" borderId="35" xfId="4" applyFont="1" applyBorder="1" applyAlignment="1">
      <alignment horizontal="center"/>
    </xf>
    <xf numFmtId="0" fontId="12" fillId="0" borderId="36" xfId="4" applyFont="1" applyBorder="1" applyAlignment="1">
      <alignment horizontal="center"/>
    </xf>
    <xf numFmtId="0" fontId="4" fillId="0" borderId="21" xfId="4" applyFont="1" applyBorder="1" applyAlignment="1">
      <alignment horizontal="center"/>
    </xf>
    <xf numFmtId="0" fontId="4" fillId="0" borderId="22" xfId="4" applyFont="1" applyBorder="1" applyAlignment="1">
      <alignment horizontal="center"/>
    </xf>
    <xf numFmtId="0" fontId="79" fillId="0" borderId="21" xfId="4" applyFont="1" applyBorder="1" applyAlignment="1">
      <alignment horizontal="center"/>
    </xf>
    <xf numFmtId="0" fontId="79" fillId="0" borderId="55" xfId="4" applyFont="1" applyBorder="1" applyAlignment="1">
      <alignment horizontal="center"/>
    </xf>
    <xf numFmtId="0" fontId="59" fillId="0" borderId="75" xfId="4" applyBorder="1" applyAlignment="1">
      <alignment horizontal="center"/>
    </xf>
    <xf numFmtId="0" fontId="59" fillId="0" borderId="111" xfId="4" applyBorder="1" applyAlignment="1">
      <alignment horizontal="center"/>
    </xf>
    <xf numFmtId="0" fontId="108" fillId="0" borderId="120" xfId="9" applyBorder="1" applyAlignment="1">
      <alignment horizontal="left" vertical="center" wrapText="1"/>
    </xf>
    <xf numFmtId="0" fontId="108" fillId="0" borderId="121" xfId="9" applyBorder="1" applyAlignment="1">
      <alignment horizontal="left" vertical="center" wrapText="1"/>
    </xf>
    <xf numFmtId="0" fontId="108" fillId="0" borderId="135" xfId="9" applyBorder="1" applyAlignment="1">
      <alignment horizontal="left" vertical="center" wrapText="1"/>
    </xf>
    <xf numFmtId="0" fontId="108" fillId="0" borderId="120" xfId="9" applyBorder="1" applyAlignment="1">
      <alignment horizontal="center" vertical="center" wrapText="1"/>
    </xf>
    <xf numFmtId="0" fontId="108" fillId="0" borderId="121" xfId="9" applyBorder="1" applyAlignment="1">
      <alignment horizontal="center" vertical="center" wrapText="1"/>
    </xf>
    <xf numFmtId="0" fontId="108" fillId="0" borderId="135" xfId="9" applyBorder="1" applyAlignment="1">
      <alignment horizontal="center" vertical="center" wrapText="1"/>
    </xf>
    <xf numFmtId="0" fontId="108" fillId="0" borderId="142" xfId="9" applyBorder="1" applyAlignment="1">
      <alignment horizontal="center" vertical="center" textRotation="90" wrapText="1"/>
    </xf>
    <xf numFmtId="0" fontId="108" fillId="0" borderId="148" xfId="9" applyBorder="1" applyAlignment="1">
      <alignment horizontal="center" vertical="center" textRotation="90" wrapText="1"/>
    </xf>
    <xf numFmtId="0" fontId="15" fillId="0" borderId="143" xfId="9" applyFont="1" applyBorder="1" applyAlignment="1">
      <alignment horizontal="left" vertical="top" wrapText="1"/>
    </xf>
    <xf numFmtId="0" fontId="15" fillId="0" borderId="20" xfId="9" applyFont="1" applyBorder="1" applyAlignment="1">
      <alignment horizontal="left" vertical="top" wrapText="1"/>
    </xf>
    <xf numFmtId="0" fontId="15" fillId="0" borderId="144" xfId="9" applyFont="1" applyBorder="1" applyAlignment="1">
      <alignment horizontal="left" vertical="top" wrapText="1"/>
    </xf>
    <xf numFmtId="0" fontId="15" fillId="0" borderId="149" xfId="9" applyFont="1" applyBorder="1" applyAlignment="1">
      <alignment horizontal="left" vertical="top" wrapText="1"/>
    </xf>
    <xf numFmtId="0" fontId="15" fillId="0" borderId="23" xfId="9" applyFont="1" applyBorder="1" applyAlignment="1">
      <alignment horizontal="left" vertical="top" wrapText="1"/>
    </xf>
    <xf numFmtId="0" fontId="15" fillId="0" borderId="150" xfId="9" applyFont="1" applyBorder="1" applyAlignment="1">
      <alignment horizontal="left" vertical="top" wrapText="1"/>
    </xf>
    <xf numFmtId="0" fontId="15" fillId="0" borderId="145" xfId="9" applyFont="1" applyBorder="1" applyAlignment="1">
      <alignment horizontal="left" vertical="top" wrapText="1"/>
    </xf>
    <xf numFmtId="0" fontId="15" fillId="0" borderId="132" xfId="9" applyFont="1" applyBorder="1" applyAlignment="1">
      <alignment horizontal="left" vertical="top" wrapText="1"/>
    </xf>
    <xf numFmtId="0" fontId="15" fillId="0" borderId="146" xfId="9" applyFont="1" applyBorder="1" applyAlignment="1">
      <alignment horizontal="left" vertical="top" wrapText="1"/>
    </xf>
    <xf numFmtId="0" fontId="109" fillId="0" borderId="139" xfId="9" applyFont="1" applyBorder="1" applyAlignment="1">
      <alignment horizontal="left" vertical="center" wrapText="1"/>
    </xf>
    <xf numFmtId="0" fontId="108" fillId="0" borderId="140" xfId="9" applyBorder="1" applyAlignment="1">
      <alignment horizontal="left" vertical="center" wrapText="1"/>
    </xf>
    <xf numFmtId="0" fontId="108" fillId="0" borderId="141" xfId="9" applyBorder="1" applyAlignment="1">
      <alignment horizontal="left" vertical="center" wrapText="1"/>
    </xf>
    <xf numFmtId="0" fontId="108" fillId="0" borderId="139" xfId="9" applyBorder="1" applyAlignment="1">
      <alignment horizontal="left" vertical="center" wrapText="1"/>
    </xf>
    <xf numFmtId="0" fontId="15" fillId="0" borderId="142" xfId="9" applyFont="1" applyBorder="1" applyAlignment="1">
      <alignment horizontal="center" vertical="center" textRotation="90" wrapText="1"/>
    </xf>
    <xf numFmtId="0" fontId="15" fillId="0" borderId="148" xfId="9" applyFont="1" applyBorder="1" applyAlignment="1">
      <alignment horizontal="center" vertical="center" textRotation="90" wrapText="1"/>
    </xf>
    <xf numFmtId="0" fontId="108" fillId="0" borderId="143" xfId="9" applyBorder="1" applyAlignment="1">
      <alignment horizontal="left" vertical="top" wrapText="1"/>
    </xf>
    <xf numFmtId="0" fontId="108" fillId="0" borderId="20" xfId="9" applyBorder="1" applyAlignment="1">
      <alignment horizontal="left" vertical="top" wrapText="1"/>
    </xf>
    <xf numFmtId="0" fontId="108" fillId="0" borderId="144" xfId="9" applyBorder="1" applyAlignment="1">
      <alignment horizontal="left" vertical="top" wrapText="1"/>
    </xf>
    <xf numFmtId="0" fontId="108" fillId="0" borderId="149" xfId="9" applyBorder="1" applyAlignment="1">
      <alignment horizontal="left" vertical="top" wrapText="1"/>
    </xf>
    <xf numFmtId="0" fontId="108" fillId="0" borderId="23" xfId="9" applyBorder="1" applyAlignment="1">
      <alignment horizontal="left" vertical="top" wrapText="1"/>
    </xf>
    <xf numFmtId="0" fontId="108" fillId="0" borderId="150" xfId="9" applyBorder="1" applyAlignment="1">
      <alignment horizontal="left" vertical="top" wrapText="1"/>
    </xf>
    <xf numFmtId="0" fontId="4" fillId="0" borderId="145" xfId="9" applyFont="1" applyBorder="1" applyAlignment="1">
      <alignment horizontal="left" vertical="top" wrapText="1"/>
    </xf>
    <xf numFmtId="0" fontId="4" fillId="0" borderId="132" xfId="9" applyFont="1" applyBorder="1" applyAlignment="1">
      <alignment horizontal="left" vertical="top" wrapText="1"/>
    </xf>
    <xf numFmtId="0" fontId="4" fillId="0" borderId="146" xfId="9" applyFont="1" applyBorder="1" applyAlignment="1">
      <alignment horizontal="left" vertical="top" wrapText="1"/>
    </xf>
    <xf numFmtId="0" fontId="4" fillId="0" borderId="139" xfId="9" applyFont="1" applyBorder="1" applyAlignment="1">
      <alignment horizontal="left" vertical="top" wrapText="1"/>
    </xf>
    <xf numFmtId="0" fontId="4" fillId="0" borderId="140" xfId="9" applyFont="1" applyBorder="1" applyAlignment="1">
      <alignment horizontal="left" vertical="top" wrapText="1"/>
    </xf>
    <xf numFmtId="0" fontId="4" fillId="0" borderId="151" xfId="9" applyFont="1" applyBorder="1" applyAlignment="1">
      <alignment horizontal="left" vertical="top" wrapText="1"/>
    </xf>
    <xf numFmtId="0" fontId="4" fillId="0" borderId="142" xfId="9" applyFont="1" applyBorder="1" applyAlignment="1">
      <alignment horizontal="center" vertical="center" textRotation="90" wrapText="1"/>
    </xf>
    <xf numFmtId="0" fontId="4" fillId="0" borderId="153" xfId="9" applyFont="1" applyBorder="1" applyAlignment="1">
      <alignment horizontal="center" vertical="center" textRotation="90" wrapText="1"/>
    </xf>
    <xf numFmtId="0" fontId="4" fillId="0" borderId="148" xfId="9" applyFont="1" applyBorder="1" applyAlignment="1">
      <alignment horizontal="center" vertical="center" textRotation="90" wrapText="1"/>
    </xf>
    <xf numFmtId="0" fontId="108" fillId="0" borderId="126" xfId="9" applyBorder="1" applyAlignment="1">
      <alignment horizontal="left" vertical="top" wrapText="1"/>
    </xf>
    <xf numFmtId="0" fontId="108" fillId="0" borderId="0" xfId="9" applyAlignment="1">
      <alignment horizontal="left" vertical="top" wrapText="1"/>
    </xf>
    <xf numFmtId="0" fontId="108" fillId="0" borderId="127" xfId="9" applyBorder="1" applyAlignment="1">
      <alignment horizontal="left" vertical="top" wrapText="1"/>
    </xf>
    <xf numFmtId="0" fontId="4" fillId="0" borderId="120" xfId="9" applyFont="1" applyBorder="1" applyAlignment="1">
      <alignment horizontal="left" vertical="top" wrapText="1"/>
    </xf>
    <xf numFmtId="0" fontId="4" fillId="0" borderId="121" xfId="9" applyFont="1" applyBorder="1" applyAlignment="1">
      <alignment horizontal="left" vertical="top" wrapText="1"/>
    </xf>
    <xf numFmtId="0" fontId="4" fillId="0" borderId="122" xfId="9" applyFont="1" applyBorder="1" applyAlignment="1">
      <alignment horizontal="left" vertical="top" wrapText="1"/>
    </xf>
    <xf numFmtId="0" fontId="4" fillId="0" borderId="120" xfId="9" applyFont="1" applyBorder="1" applyAlignment="1">
      <alignment horizontal="center" vertical="center" wrapText="1"/>
    </xf>
    <xf numFmtId="0" fontId="4" fillId="0" borderId="121" xfId="9" applyFont="1" applyBorder="1" applyAlignment="1">
      <alignment horizontal="center" vertical="center" wrapText="1"/>
    </xf>
    <xf numFmtId="0" fontId="4" fillId="0" borderId="135" xfId="9" applyFont="1" applyBorder="1" applyAlignment="1">
      <alignment horizontal="center" vertical="center" wrapText="1"/>
    </xf>
    <xf numFmtId="0" fontId="4" fillId="0" borderId="61" xfId="9" applyFont="1" applyBorder="1" applyAlignment="1">
      <alignment horizontal="left" vertical="center" wrapText="1"/>
    </xf>
    <xf numFmtId="0" fontId="4" fillId="0" borderId="128" xfId="9" applyFont="1" applyBorder="1" applyAlignment="1">
      <alignment horizontal="left" vertical="center" wrapText="1"/>
    </xf>
    <xf numFmtId="0" fontId="4" fillId="0" borderId="131" xfId="9" applyFont="1" applyBorder="1" applyAlignment="1">
      <alignment horizontal="center" vertical="center" wrapText="1"/>
    </xf>
    <xf numFmtId="0" fontId="4" fillId="0" borderId="132" xfId="9" applyFont="1" applyBorder="1" applyAlignment="1">
      <alignment horizontal="center" vertical="center" wrapText="1"/>
    </xf>
    <xf numFmtId="0" fontId="4" fillId="0" borderId="133" xfId="9" applyFont="1" applyBorder="1" applyAlignment="1">
      <alignment horizontal="center" vertical="center" wrapText="1"/>
    </xf>
    <xf numFmtId="0" fontId="4" fillId="0" borderId="131" xfId="9" applyFont="1" applyBorder="1" applyAlignment="1">
      <alignment horizontal="left" vertical="center" wrapText="1"/>
    </xf>
    <xf numFmtId="0" fontId="4" fillId="0" borderId="132" xfId="9" applyFont="1" applyBorder="1" applyAlignment="1">
      <alignment horizontal="left" vertical="center" wrapText="1"/>
    </xf>
    <xf numFmtId="0" fontId="4" fillId="0" borderId="133" xfId="9" applyFont="1" applyBorder="1" applyAlignment="1">
      <alignment horizontal="left" vertical="center" wrapText="1"/>
    </xf>
    <xf numFmtId="0" fontId="108" fillId="0" borderId="18" xfId="9" applyBorder="1" applyAlignment="1">
      <alignment horizontal="center" vertical="center" wrapText="1"/>
    </xf>
    <xf numFmtId="0" fontId="108" fillId="0" borderId="20" xfId="9" applyBorder="1" applyAlignment="1">
      <alignment horizontal="center" vertical="center" wrapText="1"/>
    </xf>
    <xf numFmtId="0" fontId="108" fillId="0" borderId="144" xfId="9" applyBorder="1" applyAlignment="1">
      <alignment horizontal="center" vertical="center" wrapText="1"/>
    </xf>
    <xf numFmtId="0" fontId="108" fillId="0" borderId="155" xfId="9" applyBorder="1" applyAlignment="1">
      <alignment horizontal="center" vertical="center" wrapText="1"/>
    </xf>
    <xf numFmtId="0" fontId="108" fillId="0" borderId="123" xfId="9" applyBorder="1" applyAlignment="1">
      <alignment horizontal="center" vertical="center" wrapText="1"/>
    </xf>
    <xf numFmtId="0" fontId="108" fillId="0" borderId="124" xfId="9" applyBorder="1" applyAlignment="1">
      <alignment horizontal="center" vertical="center" wrapText="1"/>
    </xf>
    <xf numFmtId="0" fontId="73" fillId="0" borderId="145" xfId="9" applyFont="1" applyBorder="1" applyAlignment="1">
      <alignment horizontal="left" vertical="center" wrapText="1"/>
    </xf>
    <xf numFmtId="0" fontId="73" fillId="0" borderId="132" xfId="9" applyFont="1" applyBorder="1" applyAlignment="1">
      <alignment horizontal="left" vertical="center" wrapText="1"/>
    </xf>
    <xf numFmtId="0" fontId="73" fillId="0" borderId="133" xfId="9" applyFont="1" applyBorder="1" applyAlignment="1">
      <alignment horizontal="left" vertical="center" wrapText="1"/>
    </xf>
    <xf numFmtId="0" fontId="73" fillId="0" borderId="120" xfId="9" applyFont="1" applyBorder="1" applyAlignment="1">
      <alignment horizontal="left" vertical="center" wrapText="1"/>
    </xf>
    <xf numFmtId="0" fontId="73" fillId="0" borderId="121" xfId="9" applyFont="1" applyBorder="1" applyAlignment="1">
      <alignment horizontal="left" vertical="center" wrapText="1"/>
    </xf>
    <xf numFmtId="0" fontId="73" fillId="0" borderId="135" xfId="9" applyFont="1" applyBorder="1" applyAlignment="1">
      <alignment horizontal="left" vertical="center" wrapText="1"/>
    </xf>
    <xf numFmtId="0" fontId="73" fillId="0" borderId="156" xfId="9" applyFont="1" applyBorder="1" applyAlignment="1">
      <alignment horizontal="center" vertical="center" wrapText="1"/>
    </xf>
    <xf numFmtId="0" fontId="73" fillId="0" borderId="118" xfId="9" applyFont="1" applyBorder="1" applyAlignment="1">
      <alignment horizontal="center" vertical="center" wrapText="1"/>
    </xf>
    <xf numFmtId="0" fontId="73" fillId="0" borderId="119" xfId="9" applyFont="1" applyBorder="1" applyAlignment="1">
      <alignment horizontal="center" vertical="center" wrapText="1"/>
    </xf>
    <xf numFmtId="0" fontId="73" fillId="0" borderId="21" xfId="9" applyFont="1" applyBorder="1" applyAlignment="1">
      <alignment horizontal="center" vertical="center" wrapText="1"/>
    </xf>
    <xf numFmtId="0" fontId="73" fillId="0" borderId="23" xfId="9" applyFont="1" applyBorder="1" applyAlignment="1">
      <alignment horizontal="center" vertical="center" wrapText="1"/>
    </xf>
    <xf numFmtId="0" fontId="73" fillId="0" borderId="150" xfId="9" applyFont="1" applyBorder="1" applyAlignment="1">
      <alignment horizontal="center" vertical="center" wrapText="1"/>
    </xf>
    <xf numFmtId="0" fontId="73" fillId="0" borderId="139" xfId="9" applyFont="1" applyBorder="1" applyAlignment="1">
      <alignment horizontal="left" vertical="center" wrapText="1"/>
    </xf>
    <xf numFmtId="0" fontId="73" fillId="0" borderId="140" xfId="9" applyFont="1" applyBorder="1" applyAlignment="1">
      <alignment horizontal="left" vertical="center" wrapText="1"/>
    </xf>
    <xf numFmtId="0" fontId="73" fillId="0" borderId="141" xfId="9" applyFont="1" applyBorder="1" applyAlignment="1">
      <alignment horizontal="left" vertical="center" wrapText="1"/>
    </xf>
    <xf numFmtId="0" fontId="110" fillId="0" borderId="30" xfId="9" applyFont="1" applyBorder="1" applyAlignment="1">
      <alignment horizontal="center" vertical="center" wrapText="1"/>
    </xf>
    <xf numFmtId="0" fontId="110" fillId="0" borderId="31" xfId="9" applyFont="1" applyBorder="1" applyAlignment="1">
      <alignment horizontal="center" vertical="center" wrapText="1"/>
    </xf>
    <xf numFmtId="0" fontId="15" fillId="0" borderId="29" xfId="9" applyFont="1" applyBorder="1" applyAlignment="1">
      <alignment horizontal="center" vertical="center" wrapText="1"/>
    </xf>
    <xf numFmtId="0" fontId="15" fillId="0" borderId="30" xfId="9" applyFont="1" applyBorder="1" applyAlignment="1">
      <alignment horizontal="center" vertical="center" wrapText="1"/>
    </xf>
    <xf numFmtId="0" fontId="4" fillId="0" borderId="120" xfId="9" applyFont="1" applyBorder="1" applyAlignment="1">
      <alignment horizontal="left" vertical="center" wrapText="1"/>
    </xf>
    <xf numFmtId="0" fontId="4" fillId="0" borderId="121" xfId="9" applyFont="1" applyBorder="1" applyAlignment="1">
      <alignment horizontal="left" vertical="center" wrapText="1"/>
    </xf>
    <xf numFmtId="0" fontId="4" fillId="0" borderId="135" xfId="9" applyFont="1" applyBorder="1" applyAlignment="1">
      <alignment horizontal="left" vertical="center" wrapText="1"/>
    </xf>
    <xf numFmtId="0" fontId="31" fillId="5" borderId="0" xfId="0" applyFont="1" applyFill="1" applyAlignment="1">
      <alignment horizontal="left"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4" fillId="0" borderId="89" xfId="0" applyFont="1" applyBorder="1" applyAlignment="1">
      <alignment horizontal="center" vertical="top"/>
    </xf>
    <xf numFmtId="0" fontId="4" fillId="0" borderId="20" xfId="0" applyFont="1" applyBorder="1" applyAlignment="1">
      <alignment horizontal="center" vertical="top"/>
    </xf>
    <xf numFmtId="0" fontId="4" fillId="0" borderId="19" xfId="0" applyFont="1" applyBorder="1" applyAlignment="1">
      <alignment horizontal="center" vertical="top"/>
    </xf>
    <xf numFmtId="0" fontId="4" fillId="0" borderId="90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0" fontId="4" fillId="0" borderId="91" xfId="0" applyFont="1" applyBorder="1" applyAlignment="1">
      <alignment horizontal="center" vertical="top"/>
    </xf>
    <xf numFmtId="0" fontId="4" fillId="0" borderId="92" xfId="0" applyFont="1" applyBorder="1" applyAlignment="1">
      <alignment horizontal="center" vertical="top"/>
    </xf>
    <xf numFmtId="0" fontId="4" fillId="0" borderId="93" xfId="0" applyFont="1" applyBorder="1" applyAlignment="1">
      <alignment horizontal="center" vertical="top"/>
    </xf>
    <xf numFmtId="0" fontId="4" fillId="0" borderId="18" xfId="0" applyFont="1" applyBorder="1" applyAlignment="1" applyProtection="1">
      <alignment horizontal="center" vertical="center" wrapText="1"/>
      <protection locked="0"/>
    </xf>
    <xf numFmtId="0" fontId="4" fillId="0" borderId="20" xfId="0" applyFont="1" applyBorder="1" applyAlignment="1" applyProtection="1">
      <alignment horizontal="center" vertical="center" wrapText="1"/>
      <protection locked="0"/>
    </xf>
    <xf numFmtId="0" fontId="4" fillId="0" borderId="19" xfId="0" applyFont="1" applyBorder="1" applyAlignment="1" applyProtection="1">
      <alignment horizontal="center" vertical="center" wrapText="1"/>
      <protection locked="0"/>
    </xf>
    <xf numFmtId="0" fontId="4" fillId="0" borderId="24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25" xfId="0" applyFont="1" applyBorder="1" applyAlignment="1" applyProtection="1">
      <alignment horizontal="center" vertical="center" wrapText="1"/>
      <protection locked="0"/>
    </xf>
    <xf numFmtId="0" fontId="4" fillId="0" borderId="94" xfId="0" applyFont="1" applyBorder="1" applyAlignment="1" applyProtection="1">
      <alignment horizontal="center" vertical="center" wrapText="1"/>
      <protection locked="0"/>
    </xf>
    <xf numFmtId="0" fontId="4" fillId="0" borderId="92" xfId="0" applyFont="1" applyBorder="1" applyAlignment="1" applyProtection="1">
      <alignment horizontal="center" vertical="center" wrapText="1"/>
      <protection locked="0"/>
    </xf>
    <xf numFmtId="0" fontId="4" fillId="0" borderId="93" xfId="0" applyFont="1" applyBorder="1" applyAlignment="1" applyProtection="1">
      <alignment horizontal="center" vertical="center" wrapText="1"/>
      <protection locked="0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85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 textRotation="255" shrinkToFit="1"/>
    </xf>
    <xf numFmtId="0" fontId="11" fillId="0" borderId="23" xfId="0" applyFont="1" applyBorder="1" applyAlignment="1">
      <alignment horizontal="center" vertical="center" textRotation="255" shrinkToFit="1"/>
    </xf>
    <xf numFmtId="0" fontId="4" fillId="0" borderId="89" xfId="0" applyFont="1" applyBorder="1" applyAlignment="1">
      <alignment horizontal="left" vertical="top"/>
    </xf>
    <xf numFmtId="0" fontId="4" fillId="0" borderId="20" xfId="0" applyFont="1" applyBorder="1" applyAlignment="1">
      <alignment horizontal="left" vertical="top"/>
    </xf>
    <xf numFmtId="0" fontId="4" fillId="0" borderId="19" xfId="0" applyFont="1" applyBorder="1" applyAlignment="1">
      <alignment horizontal="left" vertical="top"/>
    </xf>
    <xf numFmtId="0" fontId="4" fillId="0" borderId="90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25" xfId="0" applyFont="1" applyBorder="1" applyAlignment="1">
      <alignment horizontal="left" vertical="top"/>
    </xf>
    <xf numFmtId="0" fontId="4" fillId="0" borderId="87" xfId="0" applyFont="1" applyBorder="1" applyAlignment="1">
      <alignment horizontal="left" vertical="top"/>
    </xf>
    <xf numFmtId="0" fontId="4" fillId="0" borderId="23" xfId="0" applyFont="1" applyBorder="1" applyAlignment="1">
      <alignment horizontal="left" vertical="top"/>
    </xf>
    <xf numFmtId="0" fontId="4" fillId="0" borderId="22" xfId="0" applyFont="1" applyBorder="1" applyAlignment="1">
      <alignment horizontal="left" vertical="top"/>
    </xf>
    <xf numFmtId="0" fontId="4" fillId="0" borderId="21" xfId="0" applyFont="1" applyBorder="1" applyAlignment="1" applyProtection="1">
      <alignment horizontal="center" vertical="center" wrapText="1"/>
      <protection locked="0"/>
    </xf>
    <xf numFmtId="0" fontId="4" fillId="0" borderId="23" xfId="0" applyFont="1" applyBorder="1" applyAlignment="1" applyProtection="1">
      <alignment horizontal="center" vertical="center" wrapText="1"/>
      <protection locked="0"/>
    </xf>
    <xf numFmtId="0" fontId="4" fillId="0" borderId="22" xfId="0" applyFont="1" applyBorder="1" applyAlignment="1" applyProtection="1">
      <alignment horizontal="center" vertical="center" wrapText="1"/>
      <protection locked="0"/>
    </xf>
    <xf numFmtId="0" fontId="12" fillId="0" borderId="89" xfId="0" applyFont="1" applyBorder="1" applyAlignment="1">
      <alignment horizontal="center" vertical="center" textRotation="90"/>
    </xf>
    <xf numFmtId="0" fontId="12" fillId="0" borderId="90" xfId="0" applyFont="1" applyBorder="1" applyAlignment="1">
      <alignment horizontal="center" vertical="center" textRotation="90"/>
    </xf>
    <xf numFmtId="0" fontId="12" fillId="0" borderId="87" xfId="0" applyFont="1" applyBorder="1" applyAlignment="1">
      <alignment horizontal="center" vertical="center" textRotation="90"/>
    </xf>
    <xf numFmtId="0" fontId="37" fillId="6" borderId="90" xfId="0" applyFont="1" applyFill="1" applyBorder="1" applyAlignment="1">
      <alignment horizontal="center"/>
    </xf>
    <xf numFmtId="0" fontId="37" fillId="6" borderId="0" xfId="0" applyFont="1" applyFill="1" applyAlignment="1">
      <alignment horizontal="center"/>
    </xf>
    <xf numFmtId="0" fontId="44" fillId="0" borderId="20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11" fillId="0" borderId="90" xfId="0" applyFont="1" applyBorder="1" applyAlignment="1">
      <alignment horizontal="center" vertical="center" textRotation="255" shrinkToFit="1"/>
    </xf>
    <xf numFmtId="0" fontId="11" fillId="0" borderId="0" xfId="0" applyFont="1" applyAlignment="1">
      <alignment horizontal="center" vertical="center" textRotation="255" shrinkToFit="1"/>
    </xf>
    <xf numFmtId="0" fontId="15" fillId="0" borderId="90" xfId="0" applyFont="1" applyBorder="1" applyAlignment="1">
      <alignment horizontal="center" vertical="center" textRotation="90"/>
    </xf>
    <xf numFmtId="0" fontId="15" fillId="0" borderId="89" xfId="0" applyFont="1" applyBorder="1" applyAlignment="1">
      <alignment horizontal="center" vertical="center" textRotation="90"/>
    </xf>
    <xf numFmtId="0" fontId="15" fillId="0" borderId="87" xfId="0" applyFont="1" applyBorder="1" applyAlignment="1">
      <alignment horizontal="center" vertical="center" textRotation="90"/>
    </xf>
    <xf numFmtId="0" fontId="4" fillId="0" borderId="91" xfId="0" applyFont="1" applyBorder="1" applyAlignment="1">
      <alignment horizontal="left" vertical="top"/>
    </xf>
    <xf numFmtId="0" fontId="4" fillId="0" borderId="92" xfId="0" applyFont="1" applyBorder="1" applyAlignment="1">
      <alignment horizontal="left" vertical="top"/>
    </xf>
    <xf numFmtId="0" fontId="4" fillId="0" borderId="93" xfId="0" applyFont="1" applyBorder="1" applyAlignment="1">
      <alignment horizontal="left" vertical="top"/>
    </xf>
    <xf numFmtId="0" fontId="16" fillId="0" borderId="24" xfId="0" applyFont="1" applyBorder="1" applyAlignment="1">
      <alignment horizontal="center" vertical="center" textRotation="90"/>
    </xf>
    <xf numFmtId="0" fontId="16" fillId="0" borderId="108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08" xfId="0" applyFont="1" applyBorder="1" applyAlignment="1">
      <alignment horizontal="left" vertical="top"/>
    </xf>
    <xf numFmtId="0" fontId="16" fillId="0" borderId="35" xfId="0" applyFont="1" applyBorder="1" applyAlignment="1">
      <alignment horizontal="left" vertical="top"/>
    </xf>
    <xf numFmtId="0" fontId="16" fillId="0" borderId="46" xfId="0" applyFont="1" applyBorder="1" applyAlignment="1">
      <alignment horizontal="left" vertical="top"/>
    </xf>
    <xf numFmtId="0" fontId="16" fillId="0" borderId="58" xfId="0" applyFont="1" applyBorder="1" applyAlignment="1">
      <alignment horizontal="left" vertical="top"/>
    </xf>
    <xf numFmtId="0" fontId="16" fillId="0" borderId="40" xfId="0" applyFont="1" applyBorder="1" applyAlignment="1">
      <alignment horizontal="left" vertical="top"/>
    </xf>
    <xf numFmtId="0" fontId="16" fillId="0" borderId="54" xfId="0" applyFont="1" applyBorder="1" applyAlignment="1">
      <alignment horizontal="left" vertical="top"/>
    </xf>
    <xf numFmtId="0" fontId="16" fillId="0" borderId="44" xfId="0" applyFont="1" applyBorder="1" applyAlignment="1">
      <alignment horizontal="right" vertical="center"/>
    </xf>
    <xf numFmtId="0" fontId="16" fillId="0" borderId="45" xfId="0" applyFont="1" applyBorder="1" applyAlignment="1">
      <alignment horizontal="right" vertical="center"/>
    </xf>
    <xf numFmtId="0" fontId="16" fillId="0" borderId="33" xfId="0" applyFont="1" applyBorder="1" applyAlignment="1">
      <alignment horizontal="right" vertical="center"/>
    </xf>
    <xf numFmtId="0" fontId="16" fillId="0" borderId="56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107" xfId="0" applyFont="1" applyBorder="1" applyAlignment="1">
      <alignment horizontal="center" vertical="center"/>
    </xf>
    <xf numFmtId="0" fontId="0" fillId="0" borderId="99" xfId="0" applyBorder="1" applyAlignment="1">
      <alignment horizontal="center"/>
    </xf>
    <xf numFmtId="0" fontId="16" fillId="0" borderId="5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right" vertical="center"/>
    </xf>
    <xf numFmtId="0" fontId="16" fillId="0" borderId="5" xfId="0" applyFont="1" applyBorder="1" applyAlignment="1">
      <alignment horizontal="right" vertical="center"/>
    </xf>
    <xf numFmtId="0" fontId="16" fillId="0" borderId="9" xfId="0" applyFont="1" applyBorder="1" applyAlignment="1">
      <alignment horizontal="right" vertical="center"/>
    </xf>
    <xf numFmtId="0" fontId="16" fillId="0" borderId="10" xfId="0" applyFont="1" applyBorder="1" applyAlignment="1">
      <alignment horizontal="right" vertical="center"/>
    </xf>
    <xf numFmtId="0" fontId="16" fillId="0" borderId="1" xfId="0" applyFont="1" applyBorder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0" fontId="16" fillId="0" borderId="7" xfId="0" applyFont="1" applyBorder="1" applyAlignment="1">
      <alignment horizontal="right" vertical="center"/>
    </xf>
    <xf numFmtId="0" fontId="16" fillId="0" borderId="2" xfId="0" applyFont="1" applyBorder="1" applyAlignment="1">
      <alignment horizontal="right" vertical="center"/>
    </xf>
    <xf numFmtId="0" fontId="16" fillId="0" borderId="68" xfId="0" applyFont="1" applyBorder="1" applyAlignment="1">
      <alignment horizontal="right" vertical="center"/>
    </xf>
    <xf numFmtId="0" fontId="16" fillId="23" borderId="16" xfId="0" applyFont="1" applyFill="1" applyBorder="1" applyAlignment="1">
      <alignment horizontal="center" vertical="center"/>
    </xf>
    <xf numFmtId="0" fontId="16" fillId="23" borderId="57" xfId="0" applyFont="1" applyFill="1" applyBorder="1" applyAlignment="1">
      <alignment horizontal="center" vertical="center"/>
    </xf>
    <xf numFmtId="0" fontId="16" fillId="0" borderId="26" xfId="0" applyFont="1" applyBorder="1" applyAlignment="1">
      <alignment horizontal="right" vertical="center"/>
    </xf>
    <xf numFmtId="0" fontId="16" fillId="0" borderId="27" xfId="0" applyFont="1" applyBorder="1" applyAlignment="1">
      <alignment horizontal="right" vertical="center"/>
    </xf>
    <xf numFmtId="0" fontId="45" fillId="0" borderId="2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45" xfId="0" applyFont="1" applyBorder="1" applyAlignment="1">
      <alignment horizontal="center" vertical="center" wrapText="1"/>
    </xf>
    <xf numFmtId="0" fontId="99" fillId="0" borderId="3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18" xfId="0" applyFont="1" applyBorder="1" applyAlignment="1">
      <alignment horizontal="center" vertical="center" textRotation="90"/>
    </xf>
    <xf numFmtId="0" fontId="16" fillId="0" borderId="21" xfId="0" applyFont="1" applyBorder="1" applyAlignment="1">
      <alignment horizontal="center" vertical="center" textRotation="90"/>
    </xf>
    <xf numFmtId="0" fontId="16" fillId="0" borderId="58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3" fillId="0" borderId="29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16" fillId="0" borderId="6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/>
    </xf>
    <xf numFmtId="0" fontId="0" fillId="0" borderId="110" xfId="0" applyBorder="1" applyAlignment="1">
      <alignment horizontal="center"/>
    </xf>
    <xf numFmtId="0" fontId="16" fillId="0" borderId="24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25" xfId="0" applyFont="1" applyBorder="1" applyAlignment="1">
      <alignment horizontal="left" vertical="top"/>
    </xf>
    <xf numFmtId="0" fontId="16" fillId="0" borderId="58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/>
    </xf>
    <xf numFmtId="0" fontId="16" fillId="28" borderId="21" xfId="0" applyFont="1" applyFill="1" applyBorder="1" applyAlignment="1">
      <alignment horizontal="center" vertical="center"/>
    </xf>
    <xf numFmtId="0" fontId="16" fillId="28" borderId="23" xfId="0" applyFont="1" applyFill="1" applyBorder="1" applyAlignment="1">
      <alignment horizontal="center" vertical="center"/>
    </xf>
    <xf numFmtId="0" fontId="16" fillId="28" borderId="22" xfId="0" applyFont="1" applyFill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0" fontId="16" fillId="0" borderId="101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" fillId="0" borderId="10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3" xfId="0" applyFont="1" applyBorder="1" applyAlignment="1">
      <alignment horizontal="left" vertical="center"/>
    </xf>
    <xf numFmtId="0" fontId="3" fillId="0" borderId="50" xfId="0" applyFont="1" applyBorder="1" applyAlignment="1">
      <alignment horizontal="center" vertical="center"/>
    </xf>
    <xf numFmtId="0" fontId="24" fillId="13" borderId="0" xfId="0" applyFont="1" applyFill="1" applyAlignment="1">
      <alignment horizontal="center" vertical="center"/>
    </xf>
    <xf numFmtId="0" fontId="15" fillId="0" borderId="2" xfId="5" applyFont="1" applyBorder="1" applyAlignment="1">
      <alignment horizontal="right" vertical="center"/>
    </xf>
    <xf numFmtId="0" fontId="15" fillId="0" borderId="48" xfId="5" applyFont="1" applyBorder="1" applyAlignment="1">
      <alignment horizontal="left" vertical="center"/>
    </xf>
    <xf numFmtId="0" fontId="15" fillId="0" borderId="43" xfId="5" applyFont="1" applyBorder="1" applyAlignment="1">
      <alignment horizontal="left" vertical="center"/>
    </xf>
    <xf numFmtId="0" fontId="15" fillId="0" borderId="43" xfId="5" applyFont="1" applyBorder="1" applyAlignment="1">
      <alignment horizontal="right" vertical="center"/>
    </xf>
    <xf numFmtId="0" fontId="15" fillId="0" borderId="49" xfId="5" applyFont="1" applyBorder="1" applyAlignment="1">
      <alignment horizontal="right" vertical="center"/>
    </xf>
    <xf numFmtId="0" fontId="62" fillId="0" borderId="2" xfId="5" applyFont="1" applyBorder="1" applyAlignment="1">
      <alignment horizontal="center" vertical="center"/>
    </xf>
    <xf numFmtId="0" fontId="61" fillId="0" borderId="0" xfId="5" applyFont="1" applyAlignment="1">
      <alignment horizontal="center" vertical="center"/>
    </xf>
    <xf numFmtId="0" fontId="15" fillId="0" borderId="0" xfId="5" applyFont="1" applyAlignment="1">
      <alignment horizontal="left" vertical="center"/>
    </xf>
    <xf numFmtId="0" fontId="15" fillId="0" borderId="0" xfId="5" applyFont="1" applyAlignment="1">
      <alignment horizontal="center" vertical="center"/>
    </xf>
    <xf numFmtId="14" fontId="62" fillId="0" borderId="2" xfId="5" applyNumberFormat="1" applyFont="1" applyBorder="1" applyAlignment="1">
      <alignment horizontal="center" vertical="center"/>
    </xf>
    <xf numFmtId="0" fontId="62" fillId="0" borderId="48" xfId="5" applyFont="1" applyBorder="1" applyAlignment="1">
      <alignment horizontal="center" vertical="center"/>
    </xf>
    <xf numFmtId="0" fontId="62" fillId="0" borderId="49" xfId="5" applyFont="1" applyBorder="1" applyAlignment="1">
      <alignment horizontal="center" vertical="center"/>
    </xf>
    <xf numFmtId="0" fontId="15" fillId="0" borderId="2" xfId="5" applyFont="1" applyBorder="1" applyAlignment="1">
      <alignment horizontal="center" vertical="center"/>
    </xf>
    <xf numFmtId="0" fontId="15" fillId="0" borderId="48" xfId="5" applyFont="1" applyBorder="1" applyAlignment="1">
      <alignment horizontal="center" vertical="center"/>
    </xf>
    <xf numFmtId="0" fontId="15" fillId="0" borderId="49" xfId="5" applyFont="1" applyBorder="1" applyAlignment="1">
      <alignment horizontal="center" vertical="center"/>
    </xf>
    <xf numFmtId="0" fontId="15" fillId="0" borderId="43" xfId="5" applyFont="1" applyBorder="1" applyAlignment="1">
      <alignment horizontal="center" vertical="center"/>
    </xf>
    <xf numFmtId="0" fontId="71" fillId="0" borderId="2" xfId="5" applyBorder="1" applyAlignment="1">
      <alignment horizontal="center" vertical="center"/>
    </xf>
    <xf numFmtId="0" fontId="42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0" fillId="13" borderId="0" xfId="0" applyFill="1" applyAlignment="1">
      <alignment horizontal="center"/>
    </xf>
    <xf numFmtId="0" fontId="35" fillId="0" borderId="0" xfId="0" applyFont="1" applyAlignment="1">
      <alignment vertical="center"/>
    </xf>
    <xf numFmtId="0" fontId="24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9" fillId="0" borderId="9" xfId="0" applyFont="1" applyBorder="1" applyAlignment="1">
      <alignment horizontal="right" vertical="center"/>
    </xf>
    <xf numFmtId="0" fontId="29" fillId="0" borderId="16" xfId="0" applyFont="1" applyBorder="1" applyAlignment="1">
      <alignment horizontal="right" vertical="center"/>
    </xf>
    <xf numFmtId="0" fontId="29" fillId="0" borderId="17" xfId="0" applyFont="1" applyBorder="1" applyAlignment="1">
      <alignment horizontal="right" vertical="center"/>
    </xf>
    <xf numFmtId="0" fontId="26" fillId="0" borderId="32" xfId="0" applyFont="1" applyBorder="1" applyAlignment="1">
      <alignment horizontal="center" vertical="center"/>
    </xf>
    <xf numFmtId="0" fontId="26" fillId="0" borderId="27" xfId="0" quotePrefix="1" applyFont="1" applyBorder="1" applyAlignment="1">
      <alignment horizontal="center" vertical="center"/>
    </xf>
    <xf numFmtId="0" fontId="26" fillId="0" borderId="28" xfId="0" quotePrefix="1" applyFont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top"/>
    </xf>
    <xf numFmtId="0" fontId="29" fillId="0" borderId="8" xfId="0" applyFont="1" applyBorder="1" applyAlignment="1">
      <alignment horizontal="left" vertical="top"/>
    </xf>
    <xf numFmtId="0" fontId="17" fillId="0" borderId="0" xfId="0" applyFont="1" applyAlignment="1">
      <alignment horizontal="left" vertical="center"/>
    </xf>
    <xf numFmtId="0" fontId="17" fillId="0" borderId="21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2" xfId="0" applyFont="1" applyBorder="1" applyAlignment="1">
      <alignment horizontal="left" vertical="center"/>
    </xf>
    <xf numFmtId="0" fontId="29" fillId="0" borderId="4" xfId="0" applyFont="1" applyBorder="1" applyAlignment="1">
      <alignment horizontal="right" vertical="center"/>
    </xf>
    <xf numFmtId="0" fontId="29" fillId="0" borderId="5" xfId="0" applyFont="1" applyBorder="1" applyAlignment="1">
      <alignment horizontal="right" vertical="center"/>
    </xf>
    <xf numFmtId="0" fontId="29" fillId="0" borderId="21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2" fillId="0" borderId="18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top"/>
    </xf>
    <xf numFmtId="0" fontId="62" fillId="0" borderId="21" xfId="0" applyFont="1" applyBorder="1" applyAlignment="1">
      <alignment horizontal="center" vertical="center"/>
    </xf>
    <xf numFmtId="0" fontId="62" fillId="0" borderId="22" xfId="0" applyFont="1" applyBorder="1" applyAlignment="1">
      <alignment horizontal="center" vertical="center"/>
    </xf>
    <xf numFmtId="0" fontId="0" fillId="0" borderId="18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2" fillId="0" borderId="61" xfId="0" applyFont="1" applyBorder="1" applyAlignment="1">
      <alignment horizontal="left" vertical="top"/>
    </xf>
    <xf numFmtId="0" fontId="2" fillId="0" borderId="65" xfId="0" applyFont="1" applyBorder="1" applyAlignment="1">
      <alignment horizontal="left" vertical="top"/>
    </xf>
    <xf numFmtId="0" fontId="78" fillId="0" borderId="58" xfId="0" applyFont="1" applyBorder="1" applyAlignment="1">
      <alignment horizontal="center" vertical="center"/>
    </xf>
    <xf numFmtId="0" fontId="78" fillId="0" borderId="54" xfId="0" applyFont="1" applyBorder="1" applyAlignment="1">
      <alignment horizontal="center" vertical="center"/>
    </xf>
  </cellXfs>
  <cellStyles count="10">
    <cellStyle name="Currency 2" xfId="3" xr:uid="{00000000-0005-0000-0000-000000000000}"/>
    <cellStyle name="Currency 3" xfId="7" xr:uid="{00000000-0005-0000-0000-000001000000}"/>
    <cellStyle name="Normal" xfId="0" builtinId="0"/>
    <cellStyle name="Normal 2" xfId="1" xr:uid="{00000000-0005-0000-0000-000003000000}"/>
    <cellStyle name="Normal 3" xfId="2" xr:uid="{00000000-0005-0000-0000-000004000000}"/>
    <cellStyle name="Normal 4" xfId="4" xr:uid="{00000000-0005-0000-0000-000005000000}"/>
    <cellStyle name="Normal 5" xfId="5" xr:uid="{00000000-0005-0000-0000-000006000000}"/>
    <cellStyle name="Normal 5 2" xfId="8" xr:uid="{00000000-0005-0000-0000-000007000000}"/>
    <cellStyle name="Normal 6" xfId="6" xr:uid="{00000000-0005-0000-0000-000008000000}"/>
    <cellStyle name="Normal 7" xfId="9" xr:uid="{ACB7A07C-5E58-4B3A-9C1E-DE67943A2B28}"/>
  </cellStyles>
  <dxfs count="79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ill>
        <patternFill>
          <bgColor rgb="FFD4ECBA"/>
        </patternFill>
      </fill>
    </dxf>
    <dxf>
      <fill>
        <patternFill>
          <bgColor rgb="FFAE78D6"/>
        </patternFill>
      </fill>
    </dxf>
    <dxf>
      <fill>
        <patternFill>
          <bgColor rgb="FFFFCE33"/>
        </patternFill>
      </fill>
    </dxf>
    <dxf>
      <fill>
        <patternFill>
          <bgColor rgb="FF00B9FA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00B9FA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>
          <bgColor rgb="FFD4ECBA"/>
        </patternFill>
      </fill>
    </dxf>
    <dxf>
      <fill>
        <patternFill>
          <bgColor rgb="FFAE78D6"/>
        </patternFill>
      </fill>
    </dxf>
    <dxf>
      <fill>
        <patternFill>
          <bgColor rgb="FFFFCE33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CE33"/>
        </patternFill>
      </fill>
    </dxf>
    <dxf>
      <fill>
        <patternFill>
          <bgColor rgb="FFAE78D6"/>
        </patternFill>
      </fill>
    </dxf>
    <dxf>
      <fill>
        <patternFill>
          <bgColor rgb="FFD4ECBA"/>
        </patternFill>
      </fill>
    </dxf>
    <dxf>
      <fill>
        <patternFill>
          <bgColor rgb="FF00B9FA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ill>
        <patternFill>
          <bgColor rgb="FF8F45C7"/>
        </patternFill>
      </fill>
    </dxf>
    <dxf>
      <font>
        <color rgb="FFFF0000"/>
      </font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BEFD9B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99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ill>
        <patternFill>
          <bgColor rgb="FFBEFD9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1"/>
      </font>
      <fill>
        <patternFill>
          <bgColor theme="6" tint="0.39994506668294322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BEFD9B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rgb="FFFFFFCC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3999450666829432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ont>
        <color theme="1"/>
      </font>
      <fill>
        <patternFill>
          <bgColor rgb="FFFFFFCC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ill>
        <patternFill>
          <bgColor rgb="FFBEFD9B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967200"/>
        </patternFill>
      </fill>
    </dxf>
    <dxf>
      <fill>
        <patternFill>
          <bgColor rgb="FFBEFD9B"/>
        </patternFill>
      </fill>
    </dxf>
    <dxf>
      <fill>
        <patternFill>
          <bgColor rgb="FFEA0688"/>
        </patternFill>
      </fill>
    </dxf>
    <dxf>
      <fill>
        <patternFill>
          <bgColor rgb="FFEA0688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FF8181"/>
        </patternFill>
      </fill>
    </dxf>
    <dxf>
      <fill>
        <patternFill>
          <bgColor rgb="FFBEFD9B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EA0688"/>
        </patternFill>
      </fill>
    </dxf>
    <dxf>
      <fill>
        <patternFill>
          <bgColor rgb="FF92D050"/>
        </patternFill>
      </fill>
    </dxf>
    <dxf>
      <fill>
        <patternFill>
          <bgColor rgb="FFFF8181"/>
        </patternFill>
      </fill>
    </dxf>
    <dxf>
      <fill>
        <patternFill>
          <bgColor theme="2" tint="-0.499984740745262"/>
        </patternFill>
      </fill>
    </dxf>
    <dxf>
      <fill>
        <patternFill>
          <bgColor rgb="FF8F45C7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92D050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BEFD9B"/>
        </patternFill>
      </fill>
    </dxf>
    <dxf>
      <fill>
        <patternFill>
          <bgColor rgb="FFEA0688"/>
        </patternFill>
      </fill>
    </dxf>
    <dxf>
      <fill>
        <patternFill>
          <bgColor rgb="FFBEFD9B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rgb="FFFF0000"/>
      </font>
    </dxf>
    <dxf>
      <font>
        <color theme="1"/>
      </font>
      <fill>
        <patternFill>
          <bgColor rgb="FFFDE9D9"/>
        </patternFill>
      </fill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0"/>
      </font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rgb="FFC4D79B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967200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C4D79B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92CDDC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DDD9C4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E4DFE6"/>
        </patternFill>
      </fill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2" tint="-9.9948118533890809E-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ont>
        <color theme="2" tint="-9.9948118533890809E-2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2" tint="-9.9948118533890809E-2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protection locked="1" hidden="0"/>
    </dxf>
    <dxf>
      <border outline="0">
        <top style="thin">
          <color indexed="64"/>
        </top>
      </border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alignment horizontal="center" vertical="center" textRotation="0" indent="0" justifyLastLine="0" shrinkToFit="0" readingOrder="0"/>
      <protection locked="1" hidden="0"/>
    </dxf>
    <dxf>
      <border outline="0">
        <top style="thin">
          <color indexed="64"/>
        </top>
      </border>
    </dxf>
    <dxf>
      <alignment horizontal="center" vertical="center" textRotation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0" indent="0" justifyLastLine="0" shrinkToFit="0" readingOrder="0"/>
      <protection locked="1" hidden="0"/>
    </dxf>
  </dxfs>
  <tableStyles count="0" defaultTableStyle="TableStyleMedium2" defaultPivotStyle="PivotStyleMedium9"/>
  <colors>
    <mruColors>
      <color rgb="FFEA0688"/>
      <color rgb="FFBEFD9B"/>
      <color rgb="FF967200"/>
      <color rgb="FFFFFF99"/>
      <color rgb="FFFF4747"/>
      <color rgb="FFFFFFFF"/>
      <color rgb="FF8F45FF"/>
      <color rgb="FF800000"/>
      <color rgb="FFFF8181"/>
      <color rgb="FF8F45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Evaluation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9524</xdr:colOff>
      <xdr:row>0</xdr:row>
      <xdr:rowOff>9525</xdr:rowOff>
    </xdr:from>
    <xdr:to>
      <xdr:col>15</xdr:col>
      <xdr:colOff>723899</xdr:colOff>
      <xdr:row>1</xdr:row>
      <xdr:rowOff>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53874" y="200025"/>
          <a:ext cx="714375" cy="1809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rgbClr val="FF0000"/>
              </a:solidFill>
            </a:rPr>
            <a:t>EVALUATION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9525</xdr:colOff>
      <xdr:row>3</xdr:row>
      <xdr:rowOff>153848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C7BCFD-BEF4-4BE9-A2C7-54E8FE0DF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33425" cy="6777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9524</xdr:colOff>
      <xdr:row>3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00074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59530</xdr:colOff>
      <xdr:row>0</xdr:row>
      <xdr:rowOff>49615</xdr:rowOff>
    </xdr:from>
    <xdr:to>
      <xdr:col>1</xdr:col>
      <xdr:colOff>168672</xdr:colOff>
      <xdr:row>1</xdr:row>
      <xdr:rowOff>236363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0" y="49615"/>
          <a:ext cx="426642" cy="464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123827</xdr:colOff>
      <xdr:row>0</xdr:row>
      <xdr:rowOff>57150</xdr:rowOff>
    </xdr:from>
    <xdr:to>
      <xdr:col>1</xdr:col>
      <xdr:colOff>114300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DAA1C0-FB91-476F-8921-4EB3B7FAB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7" y="57150"/>
          <a:ext cx="295273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650256</xdr:colOff>
      <xdr:row>11</xdr:row>
      <xdr:rowOff>38100</xdr:rowOff>
    </xdr:from>
    <xdr:to>
      <xdr:col>2</xdr:col>
      <xdr:colOff>1254513</xdr:colOff>
      <xdr:row>11</xdr:row>
      <xdr:rowOff>181207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A7E9D1E-16D0-4BBC-B21A-93A08FA03B3B}"/>
            </a:ext>
          </a:extLst>
        </xdr:cNvPr>
        <xdr:cNvGrpSpPr/>
      </xdr:nvGrpSpPr>
      <xdr:grpSpPr>
        <a:xfrm>
          <a:off x="1856756" y="2235200"/>
          <a:ext cx="604257" cy="143107"/>
          <a:chOff x="1799954" y="2214446"/>
          <a:chExt cx="619154" cy="143107"/>
        </a:xfrm>
        <a:noFill/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674851C0-CE52-42E9-B8F3-2C53D43248C5}"/>
              </a:ext>
            </a:extLst>
          </xdr:cNvPr>
          <xdr:cNvSpPr/>
        </xdr:nvSpPr>
        <xdr:spPr>
          <a:xfrm>
            <a:off x="1799954" y="2214678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25C5921A-29B3-46EE-9722-C6F249F66AEA}"/>
              </a:ext>
            </a:extLst>
          </xdr:cNvPr>
          <xdr:cNvSpPr/>
        </xdr:nvSpPr>
        <xdr:spPr>
          <a:xfrm>
            <a:off x="2247658" y="2214446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684866</xdr:colOff>
      <xdr:row>12</xdr:row>
      <xdr:rowOff>47625</xdr:rowOff>
    </xdr:from>
    <xdr:to>
      <xdr:col>2</xdr:col>
      <xdr:colOff>1279830</xdr:colOff>
      <xdr:row>12</xdr:row>
      <xdr:rowOff>190500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26FDE19C-6F96-4D92-B856-05BE0B466CC9}"/>
            </a:ext>
          </a:extLst>
        </xdr:cNvPr>
        <xdr:cNvGrpSpPr/>
      </xdr:nvGrpSpPr>
      <xdr:grpSpPr>
        <a:xfrm>
          <a:off x="1891366" y="2473325"/>
          <a:ext cx="594964" cy="142875"/>
          <a:chOff x="1857351" y="2219325"/>
          <a:chExt cx="609633" cy="142875"/>
        </a:xfrm>
        <a:noFill/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BF44BED4-3FC3-41F4-A469-DC324EAFFF8A}"/>
              </a:ext>
            </a:extLst>
          </xdr:cNvPr>
          <xdr:cNvSpPr/>
        </xdr:nvSpPr>
        <xdr:spPr>
          <a:xfrm>
            <a:off x="1857351" y="2219325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EF57EFF-9741-4013-9FA0-B15281A2F9E3}"/>
              </a:ext>
            </a:extLst>
          </xdr:cNvPr>
          <xdr:cNvSpPr/>
        </xdr:nvSpPr>
        <xdr:spPr>
          <a:xfrm>
            <a:off x="2295534" y="2219325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925555</xdr:colOff>
      <xdr:row>44</xdr:row>
      <xdr:rowOff>49251</xdr:rowOff>
    </xdr:from>
    <xdr:to>
      <xdr:col>2</xdr:col>
      <xdr:colOff>1076561</xdr:colOff>
      <xdr:row>44</xdr:row>
      <xdr:rowOff>182601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586408C-BC67-44AC-B88D-5F9D02346A92}"/>
            </a:ext>
          </a:extLst>
        </xdr:cNvPr>
        <xdr:cNvSpPr/>
      </xdr:nvSpPr>
      <xdr:spPr>
        <a:xfrm>
          <a:off x="2078080" y="10069551"/>
          <a:ext cx="151006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1399940</xdr:colOff>
      <xdr:row>44</xdr:row>
      <xdr:rowOff>58544</xdr:rowOff>
    </xdr:from>
    <xdr:to>
      <xdr:col>2</xdr:col>
      <xdr:colOff>1556522</xdr:colOff>
      <xdr:row>44</xdr:row>
      <xdr:rowOff>191894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69ED493-9BAF-4525-9546-FC2AB9FB8D26}"/>
            </a:ext>
          </a:extLst>
        </xdr:cNvPr>
        <xdr:cNvSpPr/>
      </xdr:nvSpPr>
      <xdr:spPr>
        <a:xfrm>
          <a:off x="2552465" y="10078844"/>
          <a:ext cx="156582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643054</xdr:colOff>
      <xdr:row>43</xdr:row>
      <xdr:rowOff>65746</xdr:rowOff>
    </xdr:from>
    <xdr:to>
      <xdr:col>2</xdr:col>
      <xdr:colOff>799866</xdr:colOff>
      <xdr:row>43</xdr:row>
      <xdr:rowOff>189571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6484E00-8B4A-490A-8771-291EFEE198C3}"/>
            </a:ext>
          </a:extLst>
        </xdr:cNvPr>
        <xdr:cNvSpPr/>
      </xdr:nvSpPr>
      <xdr:spPr>
        <a:xfrm>
          <a:off x="1795579" y="9857446"/>
          <a:ext cx="156812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1062393</xdr:colOff>
      <xdr:row>43</xdr:row>
      <xdr:rowOff>56918</xdr:rowOff>
    </xdr:from>
    <xdr:to>
      <xdr:col>2</xdr:col>
      <xdr:colOff>1205268</xdr:colOff>
      <xdr:row>43</xdr:row>
      <xdr:rowOff>180743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A06398F-E040-4212-A4A3-73F4F95F0982}"/>
            </a:ext>
          </a:extLst>
        </xdr:cNvPr>
        <xdr:cNvSpPr/>
      </xdr:nvSpPr>
      <xdr:spPr>
        <a:xfrm>
          <a:off x="2214918" y="9848618"/>
          <a:ext cx="14287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261937</xdr:colOff>
      <xdr:row>0</xdr:row>
      <xdr:rowOff>35720</xdr:rowOff>
    </xdr:from>
    <xdr:to>
      <xdr:col>0</xdr:col>
      <xdr:colOff>771524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17CB4C-DD4D-4123-90A0-543C325FB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" y="35720"/>
          <a:ext cx="509587" cy="51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22</xdr:row>
      <xdr:rowOff>0</xdr:rowOff>
    </xdr:from>
    <xdr:to>
      <xdr:col>14</xdr:col>
      <xdr:colOff>201491</xdr:colOff>
      <xdr:row>22</xdr:row>
      <xdr:rowOff>3663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93DE3997-DEC3-4416-A943-D79505A1A3F1}"/>
            </a:ext>
          </a:extLst>
        </xdr:cNvPr>
        <xdr:cNvCxnSpPr/>
      </xdr:nvCxnSpPr>
      <xdr:spPr>
        <a:xfrm>
          <a:off x="209550" y="3187212"/>
          <a:ext cx="5281979" cy="3663"/>
        </a:xfrm>
        <a:prstGeom prst="straightConnector1">
          <a:avLst/>
        </a:prstGeom>
        <a:ln w="19050">
          <a:headEnd type="diamond" w="med" len="med"/>
          <a:tailEnd type="diamond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17</xdr:row>
      <xdr:rowOff>76200</xdr:rowOff>
    </xdr:from>
    <xdr:to>
      <xdr:col>8</xdr:col>
      <xdr:colOff>152400</xdr:colOff>
      <xdr:row>17</xdr:row>
      <xdr:rowOff>190500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D8BB0DC-ECDE-48E4-9032-F36D6B63AC42}"/>
            </a:ext>
          </a:extLst>
        </xdr:cNvPr>
        <xdr:cNvSpPr/>
      </xdr:nvSpPr>
      <xdr:spPr>
        <a:xfrm>
          <a:off x="2971800" y="2171700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47625</xdr:colOff>
      <xdr:row>17</xdr:row>
      <xdr:rowOff>66675</xdr:rowOff>
    </xdr:from>
    <xdr:to>
      <xdr:col>12</xdr:col>
      <xdr:colOff>161925</xdr:colOff>
      <xdr:row>17</xdr:row>
      <xdr:rowOff>180975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F4129D66-B1CD-46A6-A720-B2D30DEB3D5D}"/>
            </a:ext>
          </a:extLst>
        </xdr:cNvPr>
        <xdr:cNvSpPr/>
      </xdr:nvSpPr>
      <xdr:spPr>
        <a:xfrm>
          <a:off x="4486275" y="2162175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19</xdr:row>
      <xdr:rowOff>76200</xdr:rowOff>
    </xdr:from>
    <xdr:to>
      <xdr:col>10</xdr:col>
      <xdr:colOff>285750</xdr:colOff>
      <xdr:row>19</xdr:row>
      <xdr:rowOff>190500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DCD6B468-0427-445A-A6E0-8540899C3126}"/>
            </a:ext>
          </a:extLst>
        </xdr:cNvPr>
        <xdr:cNvSpPr/>
      </xdr:nvSpPr>
      <xdr:spPr>
        <a:xfrm>
          <a:off x="3752850" y="2571750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20</xdr:row>
      <xdr:rowOff>66675</xdr:rowOff>
    </xdr:from>
    <xdr:to>
      <xdr:col>10</xdr:col>
      <xdr:colOff>285750</xdr:colOff>
      <xdr:row>20</xdr:row>
      <xdr:rowOff>180975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F0C34A4-D78F-4CF0-9EF5-89539B14A29B}"/>
            </a:ext>
          </a:extLst>
        </xdr:cNvPr>
        <xdr:cNvSpPr/>
      </xdr:nvSpPr>
      <xdr:spPr>
        <a:xfrm>
          <a:off x="3752850" y="2809875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19049</xdr:colOff>
      <xdr:row>0</xdr:row>
      <xdr:rowOff>19050</xdr:rowOff>
    </xdr:from>
    <xdr:to>
      <xdr:col>1</xdr:col>
      <xdr:colOff>447674</xdr:colOff>
      <xdr:row>3</xdr:row>
      <xdr:rowOff>142876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6AD8ED8B-7D19-4F8F-95AB-40BAD9A13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" y="19050"/>
          <a:ext cx="885825" cy="809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19050</xdr:rowOff>
    </xdr:from>
    <xdr:to>
      <xdr:col>3</xdr:col>
      <xdr:colOff>60471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9050"/>
          <a:ext cx="679596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41275</xdr:colOff>
      <xdr:row>0</xdr:row>
      <xdr:rowOff>19050</xdr:rowOff>
    </xdr:from>
    <xdr:ext cx="487298" cy="487298"/>
    <xdr:pic>
      <xdr:nvPicPr>
        <xdr:cNvPr id="2" name="image1.jpeg">
          <a:extLst>
            <a:ext uri="{FF2B5EF4-FFF2-40B4-BE49-F238E27FC236}">
              <a16:creationId xmlns:a16="http://schemas.microsoft.com/office/drawing/2014/main" id="{00F744B5-83C3-4356-BE95-2CEA04F2A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75" y="19050"/>
          <a:ext cx="487298" cy="487298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50495</xdr:colOff>
      <xdr:row>0</xdr:row>
      <xdr:rowOff>40254</xdr:rowOff>
    </xdr:from>
    <xdr:to>
      <xdr:col>1</xdr:col>
      <xdr:colOff>215081</xdr:colOff>
      <xdr:row>1</xdr:row>
      <xdr:rowOff>208774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95" y="40254"/>
          <a:ext cx="430876" cy="414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</xdr:col>
      <xdr:colOff>20484</xdr:colOff>
      <xdr:row>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706" y="1"/>
          <a:ext cx="558778" cy="447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3</xdr:col>
      <xdr:colOff>104775</xdr:colOff>
      <xdr:row>3</xdr:row>
      <xdr:rowOff>72955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752475" cy="711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3</xdr:col>
      <xdr:colOff>47625</xdr:colOff>
      <xdr:row>2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5905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68580</xdr:colOff>
      <xdr:row>0</xdr:row>
      <xdr:rowOff>90297</xdr:rowOff>
    </xdr:from>
    <xdr:ext cx="357505" cy="357504"/>
    <xdr:pic>
      <xdr:nvPicPr>
        <xdr:cNvPr id="2" name="image1.jpeg">
          <a:extLst>
            <a:ext uri="{FF2B5EF4-FFF2-40B4-BE49-F238E27FC236}">
              <a16:creationId xmlns:a16="http://schemas.microsoft.com/office/drawing/2014/main" id="{E4A83490-5276-4C57-9ABE-4515157A6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90297"/>
          <a:ext cx="357505" cy="357504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5217</xdr:rowOff>
    </xdr:from>
    <xdr:to>
      <xdr:col>3</xdr:col>
      <xdr:colOff>171339</xdr:colOff>
      <xdr:row>4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AABEFE-8453-46AE-BB2E-F4BAD72B9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7"/>
          <a:ext cx="790464" cy="96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</xdr:colOff>
      <xdr:row>0</xdr:row>
      <xdr:rowOff>0</xdr:rowOff>
    </xdr:from>
    <xdr:to>
      <xdr:col>3</xdr:col>
      <xdr:colOff>4763</xdr:colOff>
      <xdr:row>4</xdr:row>
      <xdr:rowOff>6396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8A53F4-14D4-455C-BB66-ED3C2EFC8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" y="0"/>
          <a:ext cx="783432" cy="692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19048</xdr:colOff>
      <xdr:row>0</xdr:row>
      <xdr:rowOff>26179</xdr:rowOff>
    </xdr:from>
    <xdr:to>
      <xdr:col>1</xdr:col>
      <xdr:colOff>600074</xdr:colOff>
      <xdr:row>3</xdr:row>
      <xdr:rowOff>219172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8" y="26179"/>
          <a:ext cx="904876" cy="10502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261937</xdr:colOff>
      <xdr:row>0</xdr:row>
      <xdr:rowOff>35720</xdr:rowOff>
    </xdr:from>
    <xdr:to>
      <xdr:col>0</xdr:col>
      <xdr:colOff>771524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39EE1-B934-4331-A15B-7504E4BF8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" y="35720"/>
          <a:ext cx="509587" cy="51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zi/AppData/Local/Microsoft/Windows/INetCache/Content.Outlook/EWOV5NSP/General%20Template%20Dated%2002-16-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19/Templetes%2009-16-2019/New%20folder/Template%2009-16-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ARDT Cutter Entry"/>
      <sheetName val="Eng. Cutter Entry"/>
      <sheetName val="Rework Cutter Entry"/>
      <sheetName val="Evaluation PP"/>
      <sheetName val="E checklist"/>
      <sheetName val="Router Sheet"/>
      <sheetName val="LPT Report"/>
      <sheetName val="CUTTERS LPT Report"/>
      <sheetName val="Evaluation LP"/>
      <sheetName val="Rework (3)"/>
      <sheetName val="Rework (4)"/>
      <sheetName val="Eval-LSTK"/>
      <sheetName val="Quotation"/>
      <sheetName val="Eval-LSTK (2)"/>
      <sheetName val="Qut. HALL."/>
      <sheetName val="Delivery Tkt"/>
      <sheetName val="Brazing"/>
      <sheetName val="Hardfacing &amp; Build up"/>
      <sheetName val="L3 bit material consume"/>
    </sheetNames>
    <sheetDataSet>
      <sheetData sheetId="0">
        <row r="2">
          <cell r="FB2" t="str">
            <v/>
          </cell>
        </row>
      </sheetData>
      <sheetData sheetId="1"/>
      <sheetData sheetId="2"/>
      <sheetData sheetId="3">
        <row r="2">
          <cell r="AA2" t="str">
            <v>Rework #1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760936-9697-48E8-8719-B26E49B26CB0}" name="Table1" displayName="Table1" ref="L45:L625" totalsRowShown="0" headerRowDxfId="798" dataDxfId="796" headerRowBorderDxfId="797" tableBorderDxfId="795">
  <autoFilter ref="L45:L625" xr:uid="{23AC0413-B7AD-4E8F-BB4D-D46B8EA28652}"/>
  <tableColumns count="1">
    <tableColumn id="1" xr3:uid="{B147B07A-F9DC-4126-83AE-ABC0D07A8538}" name="MAT" dataDxfId="79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810739-AE03-4E36-A8D4-FE25F52157D1}" name="Table3" displayName="Table3" ref="DB1:DB296" totalsRowShown="0" headerRowDxfId="793" dataDxfId="791" headerRowBorderDxfId="792" tableBorderDxfId="790">
  <autoFilter ref="DB1:DB296" xr:uid="{2B064710-B26E-44F6-852D-C48CCD4B6B1B}"/>
  <tableColumns count="1">
    <tableColumn id="1" xr3:uid="{54211CB2-1A0B-452A-A7E9-04D2CF5DDE53}" name="FOR THE DROP IN LIST" dataDxfId="78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B9E800-5A65-4158-B834-77DEDB0B5870}" name="Table2" displayName="Table2" ref="A3:J320" totalsRowShown="0" headerRowDxfId="788" dataDxfId="787">
  <autoFilter ref="A3:J320" xr:uid="{8AB9E800-5A65-4158-B834-77DEDB0B5870}"/>
  <tableColumns count="10">
    <tableColumn id="1" xr3:uid="{969D7D33-75AC-4EF3-924A-96FB2E61D786}" name="ORDER NO." dataDxfId="786"/>
    <tableColumn id="2" xr3:uid="{D0257E10-49B8-4743-B10F-139BC7735A30}" name="SEREAL NO." dataDxfId="785"/>
    <tableColumn id="3" xr3:uid="{4C0E646C-C8DD-4A96-A32E-7443B1D91E15}" name="SIZE" dataDxfId="784"/>
    <tableColumn id="4" xr3:uid="{C4B82CB4-CB58-4FDB-A349-9C7E669C2E85}" name="TYPE" dataDxfId="783"/>
    <tableColumn id="5" xr3:uid="{430A761F-9E0F-4AC9-97D3-7F6129FA21AD}" name="LV5 MAT NO." dataDxfId="782"/>
    <tableColumn id="6" xr3:uid="{3A174E65-88CF-473C-BAD9-E6E92360860E}" name="FROM" dataDxfId="781"/>
    <tableColumn id="9" xr3:uid="{1AC0238F-7A27-4B0C-9B36-389385CB6B37}" name="LV3 or LV4 MAT NO." dataDxfId="780"/>
    <tableColumn id="10" xr3:uid="{8966EED8-CE86-4464-AAFF-6391F01376D0}" name="Cutters" dataDxfId="779"/>
    <tableColumn id="7" xr3:uid="{68C86069-9105-445B-80DB-50F71F9AD448}" name="REMARKS" dataDxfId="778"/>
    <tableColumn id="8" xr3:uid="{C489EA98-8281-4117-AE45-DE0A066464B4}" name="Instruction" dataDxfId="77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41166A-365E-47B5-9A65-900CD28012A3}" name="Table4" displayName="Table4" ref="L3:V320" totalsRowShown="0" headerRowDxfId="776" headerRowBorderDxfId="775" tableBorderDxfId="774">
  <autoFilter ref="L3:V320" xr:uid="{DC41166A-365E-47B5-9A65-900CD28012A3}"/>
  <tableColumns count="11">
    <tableColumn id="1" xr3:uid="{B89E1946-81E6-4472-AD93-8401B1C9E4D4}" name="ORDER NO." dataDxfId="773">
      <calculatedColumnFormula>IF(AND(Table2[[#This Row],[ORDER NO.]]&lt;&gt;"", Table2[[#This Row],[ORDER NO.]]=Data!$B$1),1,"")</calculatedColumnFormula>
    </tableColumn>
    <tableColumn id="2" xr3:uid="{F18D55DE-F7C6-4F6A-A817-6B7881959F8C}" name="SEREAL NO." dataDxfId="772">
      <calculatedColumnFormula>IFERROR(IF(AND(Table2[[#This Row],[SEREAL NO.]]&lt;&gt;"", Table2[[#This Row],[SEREAL NO.]]=Data!$A$103),1,""),"")</calculatedColumnFormula>
    </tableColumn>
    <tableColumn id="3" xr3:uid="{CE92E13F-B68D-47E6-B432-B42DA42C6503}" name="SIZE" dataDxfId="771">
      <calculatedColumnFormula>IF(AND(Table2[[#This Row],[SIZE]]&lt;&gt;"", Table2[[#This Row],[SIZE]]=Data!$B$3),1,"")</calculatedColumnFormula>
    </tableColumn>
    <tableColumn id="4" xr3:uid="{8A1C3CA4-5BA3-4C2F-A19A-BBBA50DCE1BC}" name="TYPE" dataDxfId="770">
      <calculatedColumnFormula>IF(AND(Table2[[#This Row],[TYPE]]&lt;&gt;"", Table2[[#This Row],[TYPE]]=Data!$B$4),1,"")</calculatedColumnFormula>
    </tableColumn>
    <tableColumn id="5" xr3:uid="{6F1D0C22-4036-4BB1-BF98-072AF01CF7AC}" name="LV5 MAT NO." dataDxfId="769">
      <calculatedColumnFormula>IF(AND(Table2[[#This Row],[LV5 MAT NO.]]&lt;&gt;"", Table2[[#This Row],[LV5 MAT NO.]]=Data!$B$5),1,"")</calculatedColumnFormula>
    </tableColumn>
    <tableColumn id="6" xr3:uid="{325AA0F7-8BE0-4273-BE7D-FF799A41E938}" name="FROM" dataDxfId="768">
      <calculatedColumnFormula>IF(AND(Table2[[#This Row],[FROM]]&lt;&gt;"", Table2[[#This Row],[FROM]]=Data!$B$7),1,"")</calculatedColumnFormula>
    </tableColumn>
    <tableColumn id="10" xr3:uid="{98B3996B-50BC-499D-95B1-3572BB88B56A}" name="LV3 or LV4 MAT NO." dataDxfId="767">
      <calculatedColumnFormula>IF(AND(Table2[[#This Row],[LV3 or LV4 MAT NO.]]&lt;&gt;"", Table2[[#This Row],[LV3 or LV4 MAT NO.]]=Data!$B$8),1,"")</calculatedColumnFormula>
    </tableColumn>
    <tableColumn id="11" xr3:uid="{556E88A9-0B22-4957-A9C2-52076BCAA514}" name="Cutters" dataDxfId="766"/>
    <tableColumn id="7" xr3:uid="{F563A016-9F71-4B38-AA5B-AAF432728207}" name="REMARKS" dataDxfId="765">
      <calculatedColumnFormula>IF(AND(Table2[[#This Row],[REMARKS]]=Data!$B$7,Data!$B$7&lt;&gt;""),Table2[[#This Row],[Instruction]],"")</calculatedColumnFormula>
    </tableColumn>
    <tableColumn id="8" xr3:uid="{D81DF20F-844A-423D-BCA3-E601986136A8}" name="Join Row" dataDxfId="764">
      <calculatedColumnFormula>IF(Table4[[#This Row],[Write "N" To Remove The Default]]="N","",IF(AND(COUNTA(Table2[[#This Row],[SEREAL NO.]:[REMARKS]])=SUM( L4:T4),SUM( L4:T4)&lt;&gt;0),Table2[[#This Row],[Instruction]],""))</calculatedColumnFormula>
    </tableColumn>
    <tableColumn id="9" xr3:uid="{041E5AD6-0043-4F7A-9337-ADA1A1CCE653}" name="Write &quot;N&quot; To Remove The Default" dataDxfId="76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Y:\2021\Templetes%2001-01-2021\Merge%20templates\2-10-2021.xlsx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39997558519241921"/>
  </sheetPr>
  <dimension ref="A1:HI2328"/>
  <sheetViews>
    <sheetView tabSelected="1" zoomScaleNormal="100" workbookViewId="0">
      <selection activeCell="K16" sqref="K16"/>
    </sheetView>
  </sheetViews>
  <sheetFormatPr defaultColWidth="9.1796875" defaultRowHeight="14.5" x14ac:dyDescent="0.35"/>
  <cols>
    <col min="1" max="1" width="27.81640625" customWidth="1"/>
    <col min="2" max="2" width="22.7265625" style="4" bestFit="1" customWidth="1"/>
    <col min="3" max="3" width="8.26953125" customWidth="1"/>
    <col min="4" max="4" width="7.54296875" customWidth="1"/>
    <col min="5" max="5" width="7.81640625" customWidth="1"/>
    <col min="6" max="6" width="12.1796875" customWidth="1"/>
    <col min="7" max="7" width="19.54296875" customWidth="1"/>
    <col min="8" max="8" width="6.453125" customWidth="1"/>
    <col min="9" max="9" width="21.1796875" customWidth="1"/>
    <col min="10" max="10" width="1" customWidth="1"/>
    <col min="11" max="11" width="8.7265625" customWidth="1"/>
    <col min="12" max="12" width="10.81640625" style="10" bestFit="1" customWidth="1"/>
    <col min="13" max="13" width="13.54296875" customWidth="1"/>
    <col min="14" max="14" width="14.7265625" customWidth="1"/>
    <col min="15" max="15" width="17.81640625" customWidth="1"/>
    <col min="16" max="16" width="11" customWidth="1"/>
    <col min="17" max="17" width="10" customWidth="1"/>
    <col min="18" max="18" width="8.7265625" customWidth="1"/>
    <col min="19" max="19" width="35.7265625" bestFit="1" customWidth="1"/>
    <col min="20" max="20" width="10.7265625" customWidth="1"/>
    <col min="21" max="21" width="12" customWidth="1"/>
    <col min="22" max="22" width="3.1796875" customWidth="1"/>
    <col min="23" max="23" width="12.54296875" customWidth="1"/>
    <col min="24" max="24" width="8.7265625" customWidth="1"/>
    <col min="25" max="25" width="3.1796875" customWidth="1"/>
    <col min="26" max="26" width="7" customWidth="1"/>
    <col min="27" max="31" width="3.1796875" customWidth="1"/>
    <col min="32" max="32" width="3" customWidth="1"/>
    <col min="33" max="36" width="3.1796875" customWidth="1"/>
    <col min="37" max="37" width="16.453125" customWidth="1"/>
    <col min="38" max="39" width="3.1796875" customWidth="1"/>
    <col min="40" max="40" width="6.54296875" customWidth="1"/>
    <col min="41" max="42" width="3.1796875" customWidth="1"/>
    <col min="43" max="53" width="3.81640625" customWidth="1"/>
    <col min="54" max="56" width="4" customWidth="1"/>
    <col min="57" max="57" width="3.81640625" customWidth="1"/>
    <col min="58" max="58" width="5" bestFit="1" customWidth="1"/>
    <col min="59" max="59" width="8.453125" bestFit="1" customWidth="1"/>
    <col min="60" max="60" width="5" bestFit="1" customWidth="1"/>
    <col min="61" max="61" width="4" customWidth="1"/>
    <col min="62" max="62" width="10.1796875" customWidth="1"/>
    <col min="63" max="63" width="9.1796875" customWidth="1"/>
    <col min="64" max="64" width="8.81640625" customWidth="1"/>
    <col min="65" max="65" width="10.81640625" customWidth="1"/>
    <col min="66" max="66" width="10.7265625" customWidth="1"/>
    <col min="67" max="68" width="9.1796875" customWidth="1"/>
    <col min="69" max="75" width="3.1796875" customWidth="1"/>
    <col min="76" max="78" width="3.26953125" customWidth="1"/>
    <col min="79" max="94" width="4.26953125" customWidth="1"/>
    <col min="95" max="95" width="5.54296875" bestFit="1" customWidth="1"/>
    <col min="96" max="96" width="6.81640625" bestFit="1" customWidth="1"/>
    <col min="97" max="97" width="5.453125" bestFit="1" customWidth="1"/>
    <col min="98" max="100" width="4.26953125" customWidth="1"/>
    <col min="101" max="105" width="9.1796875" customWidth="1"/>
    <col min="106" max="106" width="23.54296875" customWidth="1"/>
    <col min="107" max="107" width="10" customWidth="1"/>
    <col min="108" max="108" width="41.7265625" style="10" customWidth="1"/>
    <col min="109" max="109" width="17" style="10" customWidth="1"/>
    <col min="110" max="110" width="35.81640625" style="10" hidden="1" customWidth="1"/>
    <col min="111" max="111" width="38.26953125" style="10" hidden="1" customWidth="1"/>
    <col min="112" max="112" width="24.453125" style="10" hidden="1" customWidth="1"/>
    <col min="113" max="113" width="19.7265625" style="10" customWidth="1"/>
    <col min="114" max="114" width="14" style="10" hidden="1" customWidth="1"/>
    <col min="115" max="115" width="32.26953125" style="10" hidden="1" customWidth="1"/>
    <col min="116" max="116" width="17.7265625" style="10" hidden="1" customWidth="1"/>
    <col min="117" max="118" width="20.81640625" style="10" hidden="1" customWidth="1"/>
    <col min="119" max="119" width="10.7265625" style="10" hidden="1" customWidth="1"/>
    <col min="120" max="120" width="14" style="10" hidden="1" customWidth="1"/>
    <col min="121" max="121" width="17.7265625" style="10" hidden="1" customWidth="1"/>
    <col min="122" max="122" width="37.7265625" style="10" hidden="1" customWidth="1"/>
    <col min="123" max="123" width="22" style="10" hidden="1" customWidth="1"/>
    <col min="124" max="124" width="19" style="10" hidden="1" customWidth="1"/>
    <col min="125" max="126" width="19" style="10" customWidth="1"/>
    <col min="127" max="127" width="15.54296875" style="10" customWidth="1"/>
    <col min="128" max="128" width="22.54296875" style="10" customWidth="1"/>
    <col min="129" max="129" width="41.26953125" style="10" customWidth="1"/>
    <col min="130" max="130" width="8.1796875" style="10" customWidth="1"/>
    <col min="131" max="131" width="8.81640625" style="10" customWidth="1"/>
    <col min="132" max="132" width="4.81640625" style="10" customWidth="1"/>
    <col min="133" max="135" width="18" style="10" customWidth="1"/>
    <col min="136" max="136" width="9.1796875" customWidth="1"/>
    <col min="137" max="137" width="16.81640625" customWidth="1"/>
    <col min="138" max="139" width="14.7265625" customWidth="1"/>
    <col min="140" max="140" width="16.81640625" customWidth="1"/>
    <col min="141" max="142" width="14.7265625" customWidth="1"/>
    <col min="143" max="143" width="16.81640625" customWidth="1"/>
    <col min="144" max="145" width="14.7265625" customWidth="1"/>
    <col min="146" max="146" width="16.81640625" customWidth="1"/>
    <col min="147" max="148" width="14.7265625" customWidth="1"/>
    <col min="149" max="149" width="16.81640625" customWidth="1"/>
    <col min="150" max="150" width="14.7265625" customWidth="1"/>
    <col min="151" max="151" width="9.1796875" customWidth="1"/>
    <col min="152" max="152" width="19.81640625" customWidth="1"/>
    <col min="153" max="153" width="15.453125" customWidth="1"/>
    <col min="154" max="154" width="9.1796875" customWidth="1"/>
    <col min="155" max="155" width="19.81640625" customWidth="1"/>
    <col min="156" max="156" width="15.453125" customWidth="1"/>
    <col min="157" max="157" width="9.1796875" customWidth="1"/>
    <col min="158" max="158" width="19.81640625" customWidth="1"/>
    <col min="159" max="159" width="15.453125" customWidth="1"/>
    <col min="160" max="160" width="9.1796875" customWidth="1"/>
    <col min="161" max="161" width="19.81640625" customWidth="1"/>
    <col min="162" max="162" width="15.453125" customWidth="1"/>
    <col min="163" max="163" width="9.1796875" customWidth="1"/>
    <col min="164" max="164" width="19.81640625" customWidth="1"/>
    <col min="165" max="165" width="15.453125" customWidth="1"/>
    <col min="166" max="166" width="9.1796875" customWidth="1"/>
    <col min="167" max="167" width="17.453125" bestFit="1" customWidth="1"/>
    <col min="168" max="168" width="13.1796875" bestFit="1" customWidth="1"/>
    <col min="169" max="169" width="9.1796875" customWidth="1"/>
    <col min="170" max="170" width="17.453125" bestFit="1" customWidth="1"/>
    <col min="171" max="171" width="13.1796875" bestFit="1" customWidth="1"/>
    <col min="172" max="172" width="9.1796875" customWidth="1"/>
    <col min="173" max="173" width="17.453125" bestFit="1" customWidth="1"/>
    <col min="174" max="174" width="13.1796875" bestFit="1" customWidth="1"/>
    <col min="175" max="175" width="9.1796875" customWidth="1"/>
    <col min="176" max="176" width="17.453125" bestFit="1" customWidth="1"/>
    <col min="177" max="177" width="13.1796875" bestFit="1" customWidth="1"/>
    <col min="178" max="178" width="9.1796875" customWidth="1"/>
    <col min="179" max="179" width="17.453125" bestFit="1" customWidth="1"/>
    <col min="180" max="180" width="13.1796875" bestFit="1" customWidth="1"/>
    <col min="181" max="181" width="9.1796875" customWidth="1"/>
    <col min="182" max="182" width="17.453125" bestFit="1" customWidth="1"/>
    <col min="183" max="183" width="13.1796875" bestFit="1" customWidth="1"/>
    <col min="184" max="184" width="9.1796875" customWidth="1"/>
    <col min="185" max="185" width="17.453125" bestFit="1" customWidth="1"/>
    <col min="186" max="186" width="13.1796875" bestFit="1" customWidth="1"/>
    <col min="187" max="187" width="9.1796875" customWidth="1"/>
    <col min="188" max="188" width="48.26953125" bestFit="1" customWidth="1"/>
    <col min="189" max="189" width="16.453125" customWidth="1"/>
    <col min="190" max="190" width="33.453125" customWidth="1"/>
    <col min="191" max="191" width="29.81640625" customWidth="1"/>
    <col min="192" max="192" width="87.453125" customWidth="1"/>
    <col min="193" max="193" width="12" customWidth="1"/>
    <col min="194" max="194" width="21.54296875" customWidth="1"/>
    <col min="195" max="195" width="26.54296875" customWidth="1"/>
    <col min="196" max="196" width="31.1796875" customWidth="1"/>
    <col min="197" max="198" width="13.26953125" customWidth="1"/>
    <col min="199" max="199" width="5.81640625" customWidth="1"/>
    <col min="200" max="200" width="4.54296875" customWidth="1"/>
    <col min="201" max="201" width="21" customWidth="1"/>
    <col min="202" max="202" width="21.7265625" style="805" customWidth="1"/>
    <col min="203" max="203" width="23.54296875" style="805" customWidth="1"/>
    <col min="204" max="204" width="22.81640625" style="805" customWidth="1"/>
    <col min="205" max="205" width="43" style="805" customWidth="1"/>
    <col min="206" max="206" width="13.453125" style="805" customWidth="1"/>
    <col min="207" max="207" width="23.7265625" style="805" customWidth="1"/>
    <col min="208" max="208" width="13.453125" style="805" customWidth="1"/>
    <col min="209" max="209" width="43" style="805" customWidth="1"/>
    <col min="210" max="210" width="23.453125" style="805" customWidth="1"/>
    <col min="211" max="211" width="7.26953125" customWidth="1"/>
    <col min="212" max="212" width="27.54296875" customWidth="1"/>
    <col min="213" max="213" width="12.1796875" customWidth="1"/>
    <col min="214" max="214" width="34.453125" customWidth="1"/>
    <col min="215" max="303" width="9.1796875" customWidth="1"/>
  </cols>
  <sheetData>
    <row r="1" spans="1:217" ht="15" customHeight="1" thickBot="1" x14ac:dyDescent="0.5">
      <c r="A1" s="125" t="s">
        <v>0</v>
      </c>
      <c r="B1" s="1" t="s">
        <v>2532</v>
      </c>
      <c r="C1" s="67"/>
      <c r="D1" s="126" t="s">
        <v>1110</v>
      </c>
      <c r="E1" s="127"/>
      <c r="F1" s="127"/>
      <c r="G1" s="127"/>
      <c r="H1" s="67"/>
      <c r="I1" s="1165"/>
      <c r="J1" s="1166"/>
      <c r="K1" s="1167"/>
      <c r="L1" s="900" t="s">
        <v>4</v>
      </c>
      <c r="M1" s="67"/>
      <c r="N1" s="1160" t="s">
        <v>792</v>
      </c>
      <c r="O1" s="1160"/>
      <c r="Q1" s="67"/>
      <c r="R1" s="999"/>
      <c r="DB1" s="299" t="s">
        <v>815</v>
      </c>
      <c r="DD1" s="73" t="s">
        <v>148</v>
      </c>
      <c r="DE1" s="74" t="s">
        <v>961</v>
      </c>
      <c r="DF1" s="74" t="s">
        <v>43</v>
      </c>
      <c r="DG1" s="74" t="s">
        <v>273</v>
      </c>
      <c r="DH1" s="74" t="s">
        <v>275</v>
      </c>
      <c r="DI1" s="74" t="s">
        <v>276</v>
      </c>
      <c r="DJ1" s="74" t="s">
        <v>7</v>
      </c>
      <c r="DK1" s="74" t="s">
        <v>277</v>
      </c>
      <c r="DL1" s="74" t="s">
        <v>274</v>
      </c>
      <c r="DM1" s="74" t="s">
        <v>962</v>
      </c>
      <c r="DN1" s="74" t="s">
        <v>149</v>
      </c>
      <c r="DO1" s="74" t="s">
        <v>1415</v>
      </c>
      <c r="DP1" s="74" t="s">
        <v>147</v>
      </c>
      <c r="DQ1" s="74" t="s">
        <v>150</v>
      </c>
      <c r="DR1" s="74"/>
      <c r="DS1" s="74" t="s">
        <v>1387</v>
      </c>
      <c r="DT1" s="604" t="s">
        <v>1386</v>
      </c>
      <c r="DU1" s="604" t="s">
        <v>1395</v>
      </c>
      <c r="DV1" s="604" t="s">
        <v>1537</v>
      </c>
      <c r="DW1" s="807" t="s">
        <v>1584</v>
      </c>
      <c r="DX1" s="808" t="s">
        <v>1687</v>
      </c>
      <c r="DY1" s="809" t="s">
        <v>1688</v>
      </c>
      <c r="DZ1" s="810" t="s">
        <v>6</v>
      </c>
      <c r="EA1" s="811" t="s">
        <v>1582</v>
      </c>
      <c r="EB1" s="803" t="s">
        <v>71</v>
      </c>
      <c r="EC1" s="803" t="s">
        <v>1689</v>
      </c>
      <c r="ED1" s="812"/>
      <c r="EE1" s="812" t="s">
        <v>1735</v>
      </c>
      <c r="EF1" s="46" t="s">
        <v>278</v>
      </c>
      <c r="EG1" s="47" t="s">
        <v>279</v>
      </c>
      <c r="EH1" s="47" t="s">
        <v>280</v>
      </c>
      <c r="EI1" s="47"/>
      <c r="EJ1" s="48" t="s">
        <v>281</v>
      </c>
      <c r="EK1" s="48" t="s">
        <v>282</v>
      </c>
      <c r="EL1" s="48"/>
      <c r="EM1" s="49" t="s">
        <v>283</v>
      </c>
      <c r="EN1" s="49" t="s">
        <v>284</v>
      </c>
      <c r="EO1" s="49"/>
      <c r="EP1" s="50" t="s">
        <v>285</v>
      </c>
      <c r="EQ1" s="50" t="s">
        <v>286</v>
      </c>
      <c r="ER1" s="50"/>
      <c r="ES1" s="51" t="s">
        <v>287</v>
      </c>
      <c r="ET1" s="51" t="s">
        <v>288</v>
      </c>
      <c r="EU1" s="51"/>
      <c r="EV1" s="52" t="s">
        <v>289</v>
      </c>
      <c r="EW1" s="52" t="s">
        <v>290</v>
      </c>
      <c r="EX1" s="52"/>
      <c r="EY1" s="53" t="s">
        <v>291</v>
      </c>
      <c r="EZ1" s="53" t="s">
        <v>292</v>
      </c>
      <c r="FA1" s="53"/>
      <c r="FB1" s="54" t="s">
        <v>293</v>
      </c>
      <c r="FC1" s="54" t="s">
        <v>294</v>
      </c>
      <c r="FD1" s="54"/>
      <c r="FE1" s="55" t="s">
        <v>295</v>
      </c>
      <c r="FF1" s="55" t="s">
        <v>296</v>
      </c>
      <c r="FG1" s="55"/>
      <c r="FH1" s="56" t="s">
        <v>297</v>
      </c>
      <c r="FI1" s="56" t="s">
        <v>298</v>
      </c>
      <c r="FJ1" s="57"/>
      <c r="FK1" s="56" t="s">
        <v>2498</v>
      </c>
      <c r="FL1" s="56" t="s">
        <v>2499</v>
      </c>
      <c r="FM1" s="57"/>
      <c r="FN1" s="56" t="s">
        <v>2500</v>
      </c>
      <c r="FO1" s="56" t="s">
        <v>2501</v>
      </c>
      <c r="FP1" s="57"/>
      <c r="FQ1" s="56" t="s">
        <v>2502</v>
      </c>
      <c r="FR1" s="56" t="s">
        <v>2503</v>
      </c>
      <c r="FS1" s="57"/>
      <c r="FT1" s="56" t="s">
        <v>2504</v>
      </c>
      <c r="FU1" s="56" t="s">
        <v>2505</v>
      </c>
      <c r="FV1" s="57"/>
      <c r="FW1" s="56" t="s">
        <v>2506</v>
      </c>
      <c r="FX1" s="56" t="s">
        <v>2507</v>
      </c>
      <c r="FY1" s="57"/>
      <c r="FZ1" s="56" t="s">
        <v>2508</v>
      </c>
      <c r="GA1" s="56" t="s">
        <v>2509</v>
      </c>
      <c r="GB1" s="57"/>
      <c r="GC1" s="56" t="s">
        <v>2510</v>
      </c>
      <c r="GD1" s="56" t="s">
        <v>2511</v>
      </c>
      <c r="GE1" s="57"/>
      <c r="GF1" s="56"/>
      <c r="GG1" s="613" t="s">
        <v>961</v>
      </c>
      <c r="GH1" s="613" t="s">
        <v>43</v>
      </c>
      <c r="GI1" s="613" t="s">
        <v>273</v>
      </c>
      <c r="GJ1" s="613" t="s">
        <v>275</v>
      </c>
      <c r="GK1" s="613" t="s">
        <v>276</v>
      </c>
      <c r="GL1" s="613" t="s">
        <v>7</v>
      </c>
      <c r="GM1" s="613" t="s">
        <v>277</v>
      </c>
      <c r="GN1" s="613" t="s">
        <v>274</v>
      </c>
      <c r="GO1" s="613" t="s">
        <v>962</v>
      </c>
      <c r="GP1" s="613" t="s">
        <v>149</v>
      </c>
      <c r="GQ1" s="613" t="s">
        <v>16</v>
      </c>
      <c r="GR1" s="613" t="s">
        <v>147</v>
      </c>
      <c r="GS1" s="613" t="s">
        <v>150</v>
      </c>
      <c r="GT1" s="613"/>
      <c r="GU1" s="613" t="s">
        <v>1387</v>
      </c>
      <c r="GV1" s="613" t="s">
        <v>1386</v>
      </c>
      <c r="GW1" s="613" t="s">
        <v>1395</v>
      </c>
      <c r="GX1" s="613" t="s">
        <v>1537</v>
      </c>
      <c r="GY1" s="613" t="s">
        <v>1538</v>
      </c>
      <c r="GZ1" s="613" t="s">
        <v>1539</v>
      </c>
      <c r="HA1" s="613" t="s">
        <v>1540</v>
      </c>
      <c r="HB1" s="613" t="s">
        <v>1541</v>
      </c>
      <c r="HC1" s="613" t="s">
        <v>6</v>
      </c>
      <c r="HD1" s="613" t="s">
        <v>1542</v>
      </c>
      <c r="HE1" s="613"/>
    </row>
    <row r="2" spans="1:217" ht="15" customHeight="1" thickBot="1" x14ac:dyDescent="0.4">
      <c r="A2" s="128" t="s">
        <v>1</v>
      </c>
      <c r="B2" s="1005">
        <v>13753277</v>
      </c>
      <c r="C2" s="1007" t="str">
        <f>IF(COUNTIF(Instructions!$L$1,"*WFD*"),"WFD","")</f>
        <v/>
      </c>
      <c r="D2" s="1126" t="s">
        <v>775</v>
      </c>
      <c r="E2" s="1127"/>
      <c r="F2" s="1127"/>
      <c r="G2" s="1128"/>
      <c r="I2" s="1129" t="s">
        <v>790</v>
      </c>
      <c r="J2" s="1130"/>
      <c r="K2" s="1131"/>
      <c r="L2" s="92"/>
      <c r="N2" s="138" t="s">
        <v>791</v>
      </c>
      <c r="O2" s="138" cm="1">
        <f t="array" ref="O2:Q2">IF(AND('Eng. Cutter Entry'!C4="",COUNTIF(B7,"SAUDI ARAMCO")),'Eval &amp; Quot-AR'!Z56:AB56,IF(OR(Data!B7="ARDTS",Data!B7="Halliburton Reg.",Data!B7="Halliburton"),'Qut. HALL.'!AD54,IF('ARDT Cutter Entry'!AS111&lt;&gt;0,'ARDT Cutter Entry'!AS111," ")))</f>
        <v>15192</v>
      </c>
      <c r="P2">
        <v>0</v>
      </c>
      <c r="Q2">
        <v>0</v>
      </c>
      <c r="R2" s="26"/>
      <c r="DB2" s="37" t="s">
        <v>812</v>
      </c>
      <c r="DD2" s="75">
        <v>0</v>
      </c>
      <c r="DE2" s="37">
        <v>1165785</v>
      </c>
      <c r="DF2" s="37" t="s">
        <v>2145</v>
      </c>
      <c r="DG2" s="37" t="s">
        <v>2145</v>
      </c>
      <c r="DH2" s="37">
        <v>16</v>
      </c>
      <c r="DI2" s="37">
        <v>1608</v>
      </c>
      <c r="DJ2" s="37" t="s">
        <v>2119</v>
      </c>
      <c r="DK2" s="37"/>
      <c r="DL2" s="37" t="s">
        <v>240</v>
      </c>
      <c r="DM2" s="37"/>
      <c r="DN2" s="37"/>
      <c r="DO2" s="37"/>
      <c r="DP2" s="37"/>
      <c r="DQ2" s="37"/>
      <c r="DR2" s="37" t="str">
        <f>DI2 &amp; " " &amp; DJ2 &amp; " " &amp; DK2</f>
        <v xml:space="preserve">1608 PMT </v>
      </c>
      <c r="DS2" s="37"/>
      <c r="DW2" t="s">
        <v>1543</v>
      </c>
      <c r="DX2"/>
      <c r="DY2"/>
      <c r="DZ2"/>
      <c r="EA2"/>
      <c r="EB2"/>
      <c r="EE2" s="806"/>
      <c r="EF2" s="67">
        <f>ROWS($DE$2:DE2)</f>
        <v>1</v>
      </c>
      <c r="EG2" s="67" t="str">
        <f t="shared" ref="EG2:EG11" si="0">IF($CY$60&lt;&gt;0,IF($CY$60=DE2,EF2,""),"")</f>
        <v/>
      </c>
      <c r="EH2" s="67">
        <f>IFERROR(SMALL(EG2:EG500,ROWS($EG$2:EG2)),"")</f>
        <v>9</v>
      </c>
      <c r="EI2" s="67"/>
      <c r="EJ2" s="67" t="str">
        <f t="shared" ref="EJ2:EJ11" si="1">IF($CY$61&lt;&gt;0,IF($CY$61=DE2,EF2,""),"")</f>
        <v/>
      </c>
      <c r="EK2" s="67">
        <f>IFERROR(SMALL(EJ2:EJ500,ROWS($EJ$2:EJ2)),"")</f>
        <v>164</v>
      </c>
      <c r="EL2" s="67"/>
      <c r="EM2" s="67" t="str">
        <f t="shared" ref="EM2:EM11" si="2">IF($CY$62&lt;&gt;0,IF($CY$62=DE2,EF2,""),"")</f>
        <v/>
      </c>
      <c r="EN2" s="67">
        <f>IFERROR(SMALL(EM2:EM500,ROWS($EM$2:EM2)),"")</f>
        <v>15</v>
      </c>
      <c r="EO2" s="67"/>
      <c r="EP2" s="67" t="str">
        <f t="shared" ref="EP2:EP11" si="3">IF($CY$63&lt;&gt;0,IF($CY$63=DE2,EF2,""),"")</f>
        <v/>
      </c>
      <c r="EQ2" s="67">
        <f>IFERROR(SMALL(EP2:EP500,ROWS($EP$2:EP2)),"")</f>
        <v>192</v>
      </c>
      <c r="ER2" s="67"/>
      <c r="ES2" s="67" t="str">
        <f t="shared" ref="ES2:ES11" si="4">IF($CY$64&lt;&gt;0,IF($CY$64=DE2,EF2,""),"")</f>
        <v/>
      </c>
      <c r="ET2" s="67">
        <f>IFERROR(SMALL(ES2:ES500,ROWS($ES$2:ES2)),"")</f>
        <v>261</v>
      </c>
      <c r="EU2" s="67"/>
      <c r="EV2" s="67" t="str">
        <f t="shared" ref="EV2:EV11" si="5">IF($CY$65&lt;&gt;0,IF($CY$65=DE2,EF2,""),"")</f>
        <v/>
      </c>
      <c r="EW2" s="67" t="str">
        <f>IFERROR(SMALL(EV2:EV500,ROWS($EV$2:EV2)),"")</f>
        <v/>
      </c>
      <c r="EX2" s="67"/>
      <c r="EY2" s="67" t="str">
        <f t="shared" ref="EY2:EY11" si="6">IF($CY$66&lt;&gt;0,IF($CY$66=DE2,EF2,""),"")</f>
        <v/>
      </c>
      <c r="EZ2" s="67" t="str">
        <f>IFERROR(SMALL(EY2:EY500,ROWS($EY$2:EY2)),"")</f>
        <v/>
      </c>
      <c r="FA2" s="67"/>
      <c r="FB2" s="67" t="str">
        <f t="shared" ref="FB2:FB11" si="7">IF($CY$67&lt;&gt;0,IF($CY$67=DE2,EF2,""),"")</f>
        <v/>
      </c>
      <c r="FC2" s="67" t="str">
        <f>IFERROR(SMALL(FB2:FB500,ROWS($FB$2:FB2)),"")</f>
        <v/>
      </c>
      <c r="FD2" s="67"/>
      <c r="FE2" s="67" t="str">
        <f t="shared" ref="FE2:FE11" si="8">IF($CY$68&lt;&gt;0,IF($CY$68=DE2,EF2,""),"")</f>
        <v/>
      </c>
      <c r="FF2" s="67" t="str">
        <f>IFERROR(SMALL(FE2:FE500,ROWS($FE$2:FE2)),"")</f>
        <v/>
      </c>
      <c r="FG2" s="67"/>
      <c r="FH2" s="67" t="str">
        <f t="shared" ref="FH2:FH11" si="9">IF($CY$69&lt;&gt;0,IF($CY$69=DE2,EF2,""),"")</f>
        <v/>
      </c>
      <c r="FI2" s="67" t="str">
        <f>IFERROR(SMALL(FH2:FH500,ROWS($FH$2:FH2)),"")</f>
        <v/>
      </c>
      <c r="FK2" t="str">
        <f>IF($CY$70&lt;&gt;0, IF($CY$70=DE2, EF2, ""), "")</f>
        <v/>
      </c>
      <c r="FL2" t="str">
        <f>IFERROR(SMALL(FK2:FK500,ROWS($FK$2:FK2)),"")</f>
        <v/>
      </c>
      <c r="FN2" t="str">
        <f>IF($CY$71&lt;&gt;0, IF($CY$71=DE2, EF2, ""), "")</f>
        <v/>
      </c>
      <c r="FO2" t="str">
        <f>IFERROR(SMALL(FN2:FN500,ROWS($FN$2:FN2)),"")</f>
        <v/>
      </c>
      <c r="FQ2" t="str">
        <f>IF($CY$72&lt;&gt;0, IF($CY$72=DE2, EF2, ""), "")</f>
        <v/>
      </c>
      <c r="FR2" t="str">
        <f>IFERROR(SMALL(FQ2:FQ500,ROWS($FQ$2:FQ2)),"")</f>
        <v/>
      </c>
      <c r="FT2" t="str">
        <f>IF($CY$73&lt;&gt;0, IF($CY$73=DE2, EF2, ""), "")</f>
        <v/>
      </c>
      <c r="FU2" t="str">
        <f>IFERROR(SMALL(FT2:FT500,ROWS($FT$2:FT2)),"")</f>
        <v/>
      </c>
      <c r="FW2" t="str">
        <f>IF($CY$74&lt;&gt;0, IF($CY$74=DE2, EF2, ""), "")</f>
        <v/>
      </c>
      <c r="FX2" t="str">
        <f>IFERROR(SMALL(FW2:FW500,ROWS($FW$2:FW2)),"")</f>
        <v/>
      </c>
      <c r="FZ2" t="str">
        <f>IF($CY$75&lt;&gt;0, IF($CY$75=DE2, EF2, ""), "")</f>
        <v/>
      </c>
      <c r="GA2" t="str">
        <f>IFERROR(SMALL(FZ2:FZ500,ROWS($FZ$2:FZ2)),"")</f>
        <v/>
      </c>
      <c r="GC2" t="str">
        <f>IF($CY$76&lt;&gt;0, IF($CY$76=DE2, EF2, ""), "")</f>
        <v/>
      </c>
      <c r="GD2" t="str">
        <f>IFERROR(SMALL(GC2:GC500,ROWS($GC$2:GC2)),"")</f>
        <v/>
      </c>
      <c r="GE2" s="155"/>
      <c r="GG2" s="1110">
        <f>IFERROR(INDEX($DE$2:$DR$500,$EH2,COLUMNS($GF$2:GF2)),"")</f>
        <v>1039060</v>
      </c>
      <c r="GH2" s="1110" t="str">
        <f>IFERROR(INDEX($DE$2:$DR$500,$EH2,COLUMNS($GF$2:GG2)),"")</f>
        <v>1613 CT138 0.018</v>
      </c>
      <c r="GI2" s="1110" t="str">
        <f>IFERROR(INDEX($DE$2:$DR$500,$EH2,COLUMNS($GF$2:GH2)),"")</f>
        <v>1613 CT138  0.018"</v>
      </c>
      <c r="GJ2" s="1110">
        <f>IFERROR(INDEX($DE$2:$DR$500,$EH2,COLUMNS($GF$2:GI2)),"")</f>
        <v>16</v>
      </c>
      <c r="GK2" s="1110">
        <f>IFERROR(INDEX($DE$2:$DR$500,$EH2,COLUMNS($GF$2:GJ2)),"")</f>
        <v>1613</v>
      </c>
      <c r="GL2" s="1110" t="str">
        <f>IFERROR(INDEX($DE$2:$DR$500,$EH2,COLUMNS($GF$2:GK2)),"")</f>
        <v>CT138</v>
      </c>
      <c r="GM2" s="1110">
        <f>IFERROR(INDEX($DE$2:$DR$500,$EH2,COLUMNS($GF$2:GL2)),"")</f>
        <v>0</v>
      </c>
      <c r="GN2" s="1110" t="str">
        <f>IFERROR(INDEX($DE$2:$DR$500,$EH2,COLUMNS($GF$2:GM2)),"")</f>
        <v>0.018"</v>
      </c>
      <c r="GO2" s="1110">
        <f>IFERROR(INDEX($DE$2:$DR$500,$EH2,COLUMNS($GF$2:GN2)),"")</f>
        <v>33</v>
      </c>
      <c r="GP2" s="1110">
        <f>IFERROR(INDEX($DE$2:$DR$500,$EH2,COLUMNS($GF$2:GO2)),"")</f>
        <v>0</v>
      </c>
      <c r="GQ2" s="1110">
        <f>IF($B$29=1,IFERROR(INDEX($DE$2:$DU$300,$EH2,COLUMNS($GF$2:GT2)),""),IF($B$29=2,IFERROR(INDEX($DE$2:$DU$300,$EH2,COLUMNS($GF$2:GV2)),""),IF($B$29=3,IFERROR(INDEX($DE$2:$DU$300,$EH2,COLUMNS($GF$2:GU2)),""),IF($B$29="",IFERROR(INDEX($DE$2:$DU$300,$EH2,COLUMNS($GF$2:GP2)),""),""))))</f>
        <v>497</v>
      </c>
      <c r="GR2" s="1110">
        <f>IFERROR(INDEX($DE$2:$DR$500,$EH2,COLUMNS($GF$2:GQ2)),"")</f>
        <v>0</v>
      </c>
      <c r="GS2" s="1110">
        <f>IFERROR(INDEX($DE$2:$DR$500,$EH2,COLUMNS($GF$2:GR2)),"")</f>
        <v>0</v>
      </c>
      <c r="GT2" s="1110" t="str">
        <f>IFERROR(INDEX($DE$2:$EC$300,$EH2,COLUMNS($GF$2:GS2)),"")</f>
        <v xml:space="preserve">1613 CT138 </v>
      </c>
      <c r="GU2" s="1110">
        <f>IFERROR(INDEX($DE$2:$EC$300,$EH2,COLUMNS($GF$2:GT2)),"")</f>
        <v>0</v>
      </c>
      <c r="GV2" s="1110">
        <f>IFERROR(INDEX($DE$2:$EC$300,$EH2,COLUMNS($GF$2:GU2)),"")</f>
        <v>0</v>
      </c>
      <c r="GW2" s="1110">
        <f>IFERROR(INDEX($DE$2:$EC$300,$EH2,COLUMNS($GF$2:GV2)),"")</f>
        <v>0</v>
      </c>
      <c r="GX2" s="1110" t="str">
        <f>IFERROR(INDEX($DE$2:$EC$300,$EH2,COLUMNS($GF$2:GW2)),"")</f>
        <v>S</v>
      </c>
      <c r="GY2" s="1110" t="str">
        <f>IFERROR(INDEX($DE$2:$EC$300,$EH2,COLUMNS($GF$2:GX2)),"")</f>
        <v>6.4.1</v>
      </c>
      <c r="GZ2" s="1110">
        <f>IFERROR(INDEX($DE$2:$EC$300,$EH2,COLUMNS($GF$2:GY2)),"")</f>
        <v>30</v>
      </c>
      <c r="HA2" s="1110" t="str">
        <f>IFERROR(INDEX($DE$2:$EC$300,$EH2,COLUMNS($GF$2:GZ2)),"")</f>
        <v>16mm Cutter Replacement Super Premium</v>
      </c>
      <c r="HB2" s="1110" t="str">
        <f>IFERROR(INDEX($DE$2:$EC$300,$EH2,COLUMNS($GF$2:HA2)),"")</f>
        <v>16mm</v>
      </c>
      <c r="HC2" s="1110">
        <f>IFERROR(INDEX($DE$2:$EC$300,$EH2,COLUMNS($GF$2:HB2)),"")</f>
        <v>1</v>
      </c>
      <c r="HD2" s="1110" t="str">
        <f>IFERROR(INDEX($DE$2:$EC$300,$EH2,COLUMNS($GF$2:HC2)),"")</f>
        <v>EA</v>
      </c>
      <c r="HE2" s="1110">
        <f>IFERROR(INDEX($DE$2:$EC$300,$EH2,COLUMNS($GF$2:HD2)),"")</f>
        <v>662</v>
      </c>
      <c r="HI2" t="str">
        <f>IF($CY$60&lt;&gt;0,IF($CY$60=DE2,EF2,""),"")</f>
        <v/>
      </c>
    </row>
    <row r="3" spans="1:217" ht="15" customHeight="1" thickBot="1" x14ac:dyDescent="0.4">
      <c r="A3" s="128" t="s">
        <v>6</v>
      </c>
      <c r="B3" s="933" t="s">
        <v>1198</v>
      </c>
      <c r="D3" s="562" t="s">
        <v>108</v>
      </c>
      <c r="E3" s="563" t="s">
        <v>4</v>
      </c>
      <c r="F3" s="563" t="s">
        <v>5</v>
      </c>
      <c r="G3" s="564" t="s">
        <v>950</v>
      </c>
      <c r="I3" s="1129" t="s">
        <v>1111</v>
      </c>
      <c r="J3" s="1130"/>
      <c r="K3" s="1131"/>
      <c r="L3" s="92"/>
      <c r="N3" s="138" t="s">
        <v>793</v>
      </c>
      <c r="O3" s="138" t="str" cm="1">
        <f t="array" ref="O3">IF(AND('Eng. Cutter Entry'!C4&lt;&gt;"",COUNTIF(B7,"SAUDI ARAMCO")),'Eval &amp; Quot-AR'!Z56:AB56,IF(OR(Data!B7="ARDTS",Data!B7="Halliburton Reg.",Data!B7="Halliburton"),0,IF('ARDT Cutter Entry'!AS112&lt;&gt;0,'ARDT Cutter Entry'!AS112," ")))</f>
        <v xml:space="preserve"> </v>
      </c>
      <c r="R3" s="26"/>
      <c r="DB3" s="37">
        <v>1039058</v>
      </c>
      <c r="DD3" s="75">
        <v>0</v>
      </c>
      <c r="DE3" s="37">
        <v>1163816</v>
      </c>
      <c r="DF3" s="37" t="s">
        <v>2128</v>
      </c>
      <c r="DG3" s="37" t="s">
        <v>2128</v>
      </c>
      <c r="DH3" s="37">
        <v>10</v>
      </c>
      <c r="DI3" s="37">
        <v>1010</v>
      </c>
      <c r="DJ3" s="37" t="s">
        <v>1994</v>
      </c>
      <c r="DK3" s="37"/>
      <c r="DL3" s="37" t="s">
        <v>240</v>
      </c>
      <c r="DM3" s="37"/>
      <c r="DN3" s="37"/>
      <c r="DO3" s="37"/>
      <c r="DP3" s="37"/>
      <c r="DQ3" s="37"/>
      <c r="DR3" s="37"/>
      <c r="DS3" s="37"/>
      <c r="DW3"/>
      <c r="DX3"/>
      <c r="DY3"/>
      <c r="DZ3"/>
      <c r="EA3"/>
      <c r="EB3"/>
      <c r="EE3" s="813"/>
      <c r="EF3">
        <f>ROWS($DE$2:DE3)</f>
        <v>2</v>
      </c>
      <c r="EG3" t="str">
        <f t="shared" si="0"/>
        <v/>
      </c>
      <c r="EJ3" t="str">
        <f t="shared" si="1"/>
        <v/>
      </c>
      <c r="EM3" t="str">
        <f t="shared" si="2"/>
        <v/>
      </c>
      <c r="EP3" t="str">
        <f t="shared" si="3"/>
        <v/>
      </c>
      <c r="ES3" t="str">
        <f t="shared" si="4"/>
        <v/>
      </c>
      <c r="EV3" t="str">
        <f t="shared" si="5"/>
        <v/>
      </c>
      <c r="EY3" t="str">
        <f t="shared" si="6"/>
        <v/>
      </c>
      <c r="FB3" t="str">
        <f t="shared" si="7"/>
        <v/>
      </c>
      <c r="FE3" t="str">
        <f t="shared" si="8"/>
        <v/>
      </c>
      <c r="FH3" t="str">
        <f t="shared" si="9"/>
        <v/>
      </c>
      <c r="FK3" t="str">
        <f t="shared" ref="FK3:FK11" si="10">IF($CY$70&lt;&gt;0, IF($CY$70=DE3, EF3, ""), "")</f>
        <v/>
      </c>
      <c r="FN3" t="str">
        <f t="shared" ref="FN3:FN11" si="11">IF($CY$71&lt;&gt;0, IF($CY$71=DE3, EF3, ""), "")</f>
        <v/>
      </c>
      <c r="FQ3" t="str">
        <f t="shared" ref="FQ3:FQ11" si="12">IF($CY$72&lt;&gt;0, IF($CY$72=DE3, EF3, ""), "")</f>
        <v/>
      </c>
      <c r="FT3" t="str">
        <f t="shared" ref="FT3:FT11" si="13">IF($CY$73&lt;&gt;0, IF($CY$73=DE3, EF3, ""), "")</f>
        <v/>
      </c>
      <c r="FW3" t="str">
        <f t="shared" ref="FW3:FW11" si="14">IF($CY$74&lt;&gt;0, IF($CY$74=DE3, EF3, ""), "")</f>
        <v/>
      </c>
      <c r="FZ3" t="str">
        <f t="shared" ref="FZ3:FZ11" si="15">IF($CY$75&lt;&gt;0, IF($CY$75=DE3, EF3, ""), "")</f>
        <v/>
      </c>
      <c r="GC3" t="str">
        <f t="shared" ref="GC3:GC11" si="16">IF($CY$76&lt;&gt;0, IF($CY$76=DE3, EF3, ""), "")</f>
        <v/>
      </c>
      <c r="GE3" s="155"/>
      <c r="GG3" s="1110">
        <f>IFERROR(INDEX($DE$2:$DR$500,$EK2,COLUMNS($GF$2:GF2)),"")</f>
        <v>1130197</v>
      </c>
      <c r="GH3" s="1110" t="str">
        <f>IFERROR(INDEX($DE$2:$DR$500,$EK2,COLUMNS($GF$2:GG2)),"")</f>
        <v>1608 CT182 0.018"</v>
      </c>
      <c r="GI3" s="1110" t="str">
        <f>IFERROR(INDEX($DE$2:$DR$500,$EK2,COLUMNS($GF$2:GH2)),"")</f>
        <v>1608 CT182 0.018"</v>
      </c>
      <c r="GJ3" s="1110">
        <f>IFERROR(INDEX($DE$2:$DR$500,$EK2,COLUMNS($GF$2:GI2)),"")</f>
        <v>16</v>
      </c>
      <c r="GK3" s="1110">
        <f>IFERROR(INDEX($DE$2:$DR$500,$EK2,COLUMNS($GF$2:GJ2)),"")</f>
        <v>1608</v>
      </c>
      <c r="GL3" s="1110" t="str">
        <f>IFERROR(INDEX($DE$2:$DR$500,$EK2,COLUMNS($GF$2:GK2)),"")</f>
        <v>CT182</v>
      </c>
      <c r="GM3" s="1110">
        <f>IFERROR(INDEX($DE$2:$DR$500,$EK2,COLUMNS($GF$2:GL2)),"")</f>
        <v>0</v>
      </c>
      <c r="GN3" s="1110">
        <f>IFERROR(INDEX($DE$2:$DR$500,$EK2,COLUMNS($GF$2:GM2)),"")</f>
        <v>1.7999999999999999E-2</v>
      </c>
      <c r="GO3" s="1110">
        <f>IFERROR(INDEX($DE$2:$DR$500,$EK2,COLUMNS($GF$2:GN2)),"")</f>
        <v>0</v>
      </c>
      <c r="GP3" s="1110">
        <f>IFERROR(INDEX($DE$2:$DR$500,$EK2,COLUMNS($GF$2:GO2)),"")</f>
        <v>0</v>
      </c>
      <c r="GQ3" s="1110">
        <f>IF($B$29=1,IFERROR(INDEX($DE$2:$DU$300,$EK2,COLUMNS($GF$2:GT2)),""),IF($B$29=2,IFERROR(INDEX($DE$2:$DU$300,$EK2,COLUMNS($GF$2:GV2)),""),IF($B$29=3,IFERROR(INDEX($DE$2:$DU$300,$EK2,COLUMNS($GF$2:GU2)),""),IF($B$29="",IFERROR(INDEX($DE$2:$DU$300,$EK2,COLUMNS($GF$2:GP2)),""),""))))</f>
        <v>497</v>
      </c>
      <c r="GR3" s="1110">
        <f>IFERROR(INDEX($DE$2:$DR$500,$EK2,COLUMNS($GF$2:GQ2)),"")</f>
        <v>0</v>
      </c>
      <c r="GS3" s="1110">
        <f>IFERROR(INDEX($DE$2:$DR$500,$EK2,COLUMNS($GF$2:GR2)),"")</f>
        <v>0</v>
      </c>
      <c r="GT3" s="1110" t="str">
        <f>IFERROR(INDEX($DE$2:$EC$300,$EK2,COLUMNS($GF$2:GS2)),"")</f>
        <v xml:space="preserve">1608 CT182 </v>
      </c>
      <c r="GU3" s="1110">
        <f>IFERROR(INDEX($DE$2:$EC$300,$EK2,COLUMNS($GF$2:GT2)),"")</f>
        <v>0</v>
      </c>
      <c r="GV3" s="1110">
        <f>IFERROR(INDEX($DE$2:$EC$300,$EK2,COLUMNS($GF$2:GU2)),"")</f>
        <v>0</v>
      </c>
      <c r="GW3" s="1110">
        <f>IFERROR(INDEX($DE$2:$EC$300,$EK2,COLUMNS($GF$2:GV2)),"")</f>
        <v>0</v>
      </c>
      <c r="GX3" s="1110" t="str">
        <f>IFERROR(INDEX($DE$2:$EC$300,$EK2,COLUMNS($GF$2:GW2)),"")</f>
        <v>S</v>
      </c>
      <c r="GY3" s="1110" t="str">
        <f>IFERROR(INDEX($DE$2:$EC$300,$EK2,COLUMNS($GF$2:GX2)),"")</f>
        <v>6.4.1</v>
      </c>
      <c r="GZ3" s="1110">
        <f>IFERROR(INDEX($DE$2:$EC$300,$EK2,COLUMNS($GF$2:GY2)),"")</f>
        <v>30</v>
      </c>
      <c r="HA3" s="1110" t="str">
        <f>IFERROR(INDEX($DE$2:$EC$300,$EK2,COLUMNS($GF$2:GZ2)),"")</f>
        <v>16mm Cutter Replacement Super Premium</v>
      </c>
      <c r="HB3" s="1110" t="str">
        <f>IFERROR(INDEX($DE$2:$EC$300,$EK2,COLUMNS($GF$2:HA2)),"")</f>
        <v>16mm</v>
      </c>
      <c r="HC3" s="1110">
        <f>IFERROR(INDEX($DE$2:$EC$300,$EK2,COLUMNS($GF$2:HB2)),"")</f>
        <v>1</v>
      </c>
      <c r="HD3" s="1110" t="str">
        <f>IFERROR(INDEX($DE$2:$EC$300,$EK2,COLUMNS($GF$2:HC2)),"")</f>
        <v>EA</v>
      </c>
      <c r="HE3" s="1110">
        <f>IFERROR(INDEX($DE$2:$EC$300,$EK2,COLUMNS($GF$2:HD2)),"")</f>
        <v>662</v>
      </c>
    </row>
    <row r="4" spans="1:217" ht="15" customHeight="1" thickBot="1" x14ac:dyDescent="0.4">
      <c r="A4" s="128" t="s">
        <v>7</v>
      </c>
      <c r="B4" s="1" t="s">
        <v>1321</v>
      </c>
      <c r="D4" s="559">
        <f>IF(F4="","",IF(MAX(BI46:BI62)&lt;&gt;0,MAX(BI46:BI62)+1,""))</f>
        <v>4</v>
      </c>
      <c r="E4" s="560">
        <v>6</v>
      </c>
      <c r="F4" s="967">
        <v>643738</v>
      </c>
      <c r="G4" s="561">
        <v>2</v>
      </c>
      <c r="I4" s="1129" t="s">
        <v>1189</v>
      </c>
      <c r="J4" s="1130"/>
      <c r="K4" s="1131"/>
      <c r="L4" s="92"/>
      <c r="N4" s="138" t="s">
        <v>794</v>
      </c>
      <c r="O4" s="138" t="str">
        <f>IF(COUNTIF(B7,"SAUDI ARAMCO"),"",IF(OR(Data!B7="ARDTS",Data!B7="Halliburton Reg.",Data!B7="Halliburton"),0,IF('Eng. Cutter Entry'!C4&lt;&gt;"",IF('ARDT Cutter Entry'!AS113&lt;&gt;"",'ARDT Cutter Entry'!AS113,""),IF(Quotation!Y58=O2,"",Quotation!Y58))))</f>
        <v/>
      </c>
      <c r="R4" s="26"/>
      <c r="DB4" s="37">
        <v>1039060</v>
      </c>
      <c r="DD4" s="75">
        <v>0</v>
      </c>
      <c r="DE4" s="37">
        <v>1163818</v>
      </c>
      <c r="DF4" s="37" t="s">
        <v>2129</v>
      </c>
      <c r="DG4" s="37" t="s">
        <v>2129</v>
      </c>
      <c r="DH4" s="37">
        <v>13</v>
      </c>
      <c r="DI4" s="37">
        <v>1313</v>
      </c>
      <c r="DJ4" s="37" t="s">
        <v>1994</v>
      </c>
      <c r="DK4" s="37"/>
      <c r="DL4" s="37" t="s">
        <v>240</v>
      </c>
      <c r="DM4" s="37"/>
      <c r="DN4" s="37"/>
      <c r="DO4" s="37"/>
      <c r="DP4" s="37"/>
      <c r="DQ4" s="37"/>
      <c r="DR4" s="37"/>
      <c r="DS4" s="37"/>
      <c r="DW4"/>
      <c r="DX4"/>
      <c r="DY4"/>
      <c r="DZ4"/>
      <c r="EA4"/>
      <c r="EB4"/>
      <c r="EE4" s="813"/>
      <c r="EF4">
        <f>ROWS($DE$2:DE4)</f>
        <v>3</v>
      </c>
      <c r="EG4" t="str">
        <f t="shared" si="0"/>
        <v/>
      </c>
      <c r="EJ4" t="str">
        <f t="shared" si="1"/>
        <v/>
      </c>
      <c r="EM4" t="str">
        <f t="shared" si="2"/>
        <v/>
      </c>
      <c r="EP4" t="str">
        <f t="shared" si="3"/>
        <v/>
      </c>
      <c r="ES4" t="str">
        <f t="shared" si="4"/>
        <v/>
      </c>
      <c r="EV4" t="str">
        <f t="shared" si="5"/>
        <v/>
      </c>
      <c r="EY4" t="str">
        <f t="shared" si="6"/>
        <v/>
      </c>
      <c r="FB4" t="str">
        <f t="shared" si="7"/>
        <v/>
      </c>
      <c r="FE4" t="str">
        <f t="shared" si="8"/>
        <v/>
      </c>
      <c r="FH4" t="str">
        <f t="shared" si="9"/>
        <v/>
      </c>
      <c r="FK4" t="str">
        <f t="shared" si="10"/>
        <v/>
      </c>
      <c r="FN4" t="str">
        <f t="shared" si="11"/>
        <v/>
      </c>
      <c r="FQ4" t="str">
        <f t="shared" si="12"/>
        <v/>
      </c>
      <c r="FT4" t="str">
        <f t="shared" si="13"/>
        <v/>
      </c>
      <c r="FW4" t="str">
        <f t="shared" si="14"/>
        <v/>
      </c>
      <c r="FZ4" t="str">
        <f t="shared" si="15"/>
        <v/>
      </c>
      <c r="GC4" t="str">
        <f t="shared" si="16"/>
        <v/>
      </c>
      <c r="GE4" s="155"/>
      <c r="GG4" s="1110">
        <f>IFERROR(INDEX($DE$2:$DR$500,$EN2,COLUMNS($GF$2:GF2)),"")</f>
        <v>418525</v>
      </c>
      <c r="GH4" s="1110" t="str">
        <f>IFERROR(INDEX($DE$2:$DR$500,$EN2,COLUMNS($GF$2:GG2)),"")</f>
        <v>1308 CT31 Drop in</v>
      </c>
      <c r="GI4" s="1110" t="str">
        <f>IFERROR(INDEX($DE$2:$DR$500,$EN2,COLUMNS($GF$2:GH2)),"")</f>
        <v xml:space="preserve">1308 CT31 Drop in </v>
      </c>
      <c r="GJ4" s="1110">
        <f>IFERROR(INDEX($DE$2:$DR$500,$EN2,COLUMNS($GF$2:GI2)),"")</f>
        <v>13</v>
      </c>
      <c r="GK4" s="1110">
        <f>IFERROR(INDEX($DE$2:$DR$500,$EN2,COLUMNS($GF$2:GJ2)),"")</f>
        <v>1308</v>
      </c>
      <c r="GL4" s="1110" t="str">
        <f>IFERROR(INDEX($DE$2:$DR$500,$EN2,COLUMNS($GF$2:GK2)),"")</f>
        <v>CT31</v>
      </c>
      <c r="GM4" s="1110" t="str">
        <f>IFERROR(INDEX($DE$2:$DR$500,$EN2,COLUMNS($GF$2:GL2)),"")</f>
        <v>Drop in</v>
      </c>
      <c r="GN4" s="1110">
        <f>IFERROR(INDEX($DE$2:$DR$500,$EN2,COLUMNS($GF$2:GM2)),"")</f>
        <v>0</v>
      </c>
      <c r="GO4" s="1110">
        <f>IFERROR(INDEX($DE$2:$DR$500,$EN2,COLUMNS($GF$2:GN2)),"")</f>
        <v>381</v>
      </c>
      <c r="GP4" s="1110">
        <f>IFERROR(INDEX($DE$2:$DR$500,$EN2,COLUMNS($GF$2:GO2)),"")</f>
        <v>0</v>
      </c>
      <c r="GQ4" s="1110">
        <f>IF($B$29=1,IFERROR(INDEX($DE$2:$DU$300,$EN2,COLUMNS($GF$2:GT2)),""),IF($B$29=2,IFERROR(INDEX($DE$2:$DU$300,$EN2,COLUMNS($GF$2:GV2)),""),IF($B$29=3,IFERROR(INDEX($DE$2:$DU$300,$EN2,COLUMNS($GF$2:GU2)),""),IF($B$29="",IFERROR(INDEX($DE$2:$DU$300,$EN2,COLUMNS($GF$2:GP2)),""),""))))</f>
        <v>100</v>
      </c>
      <c r="GR4" s="1110">
        <f>IFERROR(INDEX($DE$2:$DR$500,$EN2,COLUMNS($GF$2:GQ2)),"")</f>
        <v>0</v>
      </c>
      <c r="GS4" s="1110">
        <f>IFERROR(INDEX($DE$2:$DR$500,$EN2,COLUMNS($GF$2:GR2)),"")</f>
        <v>0</v>
      </c>
      <c r="GT4" s="1110" t="str">
        <f>IFERROR(INDEX($DE$2:$EC$300,$EN2,COLUMNS($GF$2:GS2)),"")</f>
        <v>1308 CT31 Drop in</v>
      </c>
      <c r="GU4" s="1110">
        <f>IFERROR(INDEX($DE$2:$EC$300,$EN2,COLUMNS($GF$2:GT2)),"")</f>
        <v>26.981066666666667</v>
      </c>
      <c r="GV4" s="1110">
        <f>IFERROR(INDEX($DE$2:$EC$300,$EN2,COLUMNS($GF$2:GU2)),"")</f>
        <v>20.754666666666665</v>
      </c>
      <c r="GW4" s="1110">
        <f>IFERROR(INDEX($DE$2:$EC$300,$EN2,COLUMNS($GF$2:GV2)),"")</f>
        <v>100</v>
      </c>
      <c r="GX4" s="1110" t="str">
        <f>IFERROR(INDEX($DE$2:$EC$300,$EN2,COLUMNS($GF$2:GW2)),"")</f>
        <v>B</v>
      </c>
      <c r="GY4" s="1110" t="str">
        <f>IFERROR(INDEX($DE$2:$EC$300,$EN2,COLUMNS($GF$2:GX2)),"")</f>
        <v>6.3.1</v>
      </c>
      <c r="GZ4" s="1110">
        <f>IFERROR(INDEX($DE$2:$EC$300,$EN2,COLUMNS($GF$2:GY2)),"")</f>
        <v>10</v>
      </c>
      <c r="HA4" s="1110" t="str">
        <f>IFERROR(INDEX($DE$2:$EC$300,$EN2,COLUMNS($GF$2:GZ2)),"")</f>
        <v>13mm Cutter Replacement Standard</v>
      </c>
      <c r="HB4" s="1110" t="str">
        <f>IFERROR(INDEX($DE$2:$EC$300,$EN2,COLUMNS($GF$2:HA2)),"")</f>
        <v>13mm</v>
      </c>
      <c r="HC4" s="1110">
        <f>IFERROR(INDEX($DE$2:$EC$300,$EN2,COLUMNS($GF$2:HB2)),"")</f>
        <v>1</v>
      </c>
      <c r="HD4" s="1110" t="str">
        <f>IFERROR(INDEX($DE$2:$EC$300,$EN2,COLUMNS($GF$2:HC2)),"")</f>
        <v>EA</v>
      </c>
      <c r="HE4" s="1110">
        <f>IFERROR(INDEX($DE$2:$EC$300,$EN2,COLUMNS($GF$2:HD2)),"")</f>
        <v>345</v>
      </c>
    </row>
    <row r="5" spans="1:217" ht="15" customHeight="1" thickBot="1" x14ac:dyDescent="0.5">
      <c r="A5" s="128" t="s">
        <v>2226</v>
      </c>
      <c r="B5" s="1005" t="s">
        <v>1197</v>
      </c>
      <c r="C5" s="1006" t="str">
        <f>IF(F4&lt;&gt;"",IF(COUNTIF(B5,"*M*"),"","Add M"),"")</f>
        <v/>
      </c>
      <c r="D5" s="109">
        <f>IF(F5="","",IFERROR(D4+1,""))</f>
        <v>5</v>
      </c>
      <c r="E5" s="341">
        <v>21</v>
      </c>
      <c r="F5" s="966">
        <v>1126402</v>
      </c>
      <c r="G5" s="343">
        <v>1</v>
      </c>
      <c r="I5" s="1129" t="s">
        <v>1203</v>
      </c>
      <c r="J5" s="1130"/>
      <c r="K5" s="1131"/>
      <c r="L5" s="92"/>
      <c r="N5" s="138" t="s">
        <v>843</v>
      </c>
      <c r="O5" s="138" t="str">
        <f>IF(COUNTIF(B7,"SAUDI ARAMCO"),"",IF(OR(Data!B7="ARDTS",Data!B7="Halliburton Reg.",Data!B7="Halliburton"),0,IF(L9&lt;&gt;"",IF('ARDT Cutter Entry'!AS114&lt;&gt;0,'ARDT Cutter Entry'!AS114," "),"")))</f>
        <v/>
      </c>
      <c r="R5" s="26"/>
      <c r="DB5" s="37">
        <v>1039064</v>
      </c>
      <c r="DD5" s="75">
        <v>0</v>
      </c>
      <c r="DE5" s="37">
        <v>1100695</v>
      </c>
      <c r="DF5" s="37" t="s">
        <v>2130</v>
      </c>
      <c r="DG5" s="37" t="s">
        <v>2130</v>
      </c>
      <c r="DH5" s="37">
        <v>13</v>
      </c>
      <c r="DI5" s="37">
        <v>1308</v>
      </c>
      <c r="DJ5" s="37" t="s">
        <v>1231</v>
      </c>
      <c r="DK5" s="37"/>
      <c r="DL5" s="37" t="s">
        <v>240</v>
      </c>
      <c r="DM5" s="37"/>
      <c r="DN5" s="37"/>
      <c r="DO5" s="37"/>
      <c r="DP5" s="37"/>
      <c r="DQ5" s="37"/>
      <c r="DR5" s="37"/>
      <c r="DS5" s="37"/>
      <c r="DW5"/>
      <c r="DX5"/>
      <c r="DY5"/>
      <c r="DZ5"/>
      <c r="EA5"/>
      <c r="EB5"/>
      <c r="EE5" s="813"/>
      <c r="EF5">
        <f>ROWS($DE$2:DE5)</f>
        <v>4</v>
      </c>
      <c r="EG5" t="str">
        <f t="shared" si="0"/>
        <v/>
      </c>
      <c r="EJ5" t="str">
        <f t="shared" si="1"/>
        <v/>
      </c>
      <c r="EM5" t="str">
        <f t="shared" si="2"/>
        <v/>
      </c>
      <c r="EP5" t="str">
        <f t="shared" si="3"/>
        <v/>
      </c>
      <c r="ES5" t="str">
        <f t="shared" si="4"/>
        <v/>
      </c>
      <c r="EV5" t="str">
        <f t="shared" si="5"/>
        <v/>
      </c>
      <c r="EY5" t="str">
        <f t="shared" si="6"/>
        <v/>
      </c>
      <c r="FB5" t="str">
        <f t="shared" si="7"/>
        <v/>
      </c>
      <c r="FE5" t="str">
        <f t="shared" si="8"/>
        <v/>
      </c>
      <c r="FH5" t="str">
        <f t="shared" si="9"/>
        <v/>
      </c>
      <c r="FK5" t="str">
        <f t="shared" si="10"/>
        <v/>
      </c>
      <c r="FN5" t="str">
        <f t="shared" si="11"/>
        <v/>
      </c>
      <c r="FQ5" t="str">
        <f t="shared" si="12"/>
        <v/>
      </c>
      <c r="FT5" t="str">
        <f t="shared" si="13"/>
        <v/>
      </c>
      <c r="FW5" t="str">
        <f t="shared" si="14"/>
        <v/>
      </c>
      <c r="FZ5" t="str">
        <f t="shared" si="15"/>
        <v/>
      </c>
      <c r="GC5" t="str">
        <f t="shared" si="16"/>
        <v/>
      </c>
      <c r="GE5" s="155"/>
      <c r="GG5" s="1110">
        <f>IFERROR(INDEX($DE$2:$DR$500,$EQ2,COLUMNS($GF$2:GF2)),"")</f>
        <v>643738</v>
      </c>
      <c r="GH5" s="1110" t="str">
        <f>IFERROR(INDEX($DE$2:$DR$500,$EQ2,COLUMNS($GF$2:GG2)),"")</f>
        <v>1608 CT70 0.018"</v>
      </c>
      <c r="GI5" s="1110" t="str">
        <f>IFERROR(INDEX($DE$2:$DR$500,$EQ2,COLUMNS($GF$2:GH2)),"")</f>
        <v>1608 CT70 0.018"</v>
      </c>
      <c r="GJ5" s="1110">
        <f>IFERROR(INDEX($DE$2:$DR$500,$EQ2,COLUMNS($GF$2:GI2)),"")</f>
        <v>16</v>
      </c>
      <c r="GK5" s="1110">
        <f>IFERROR(INDEX($DE$2:$DR$500,$EQ2,COLUMNS($GF$2:GJ2)),"")</f>
        <v>1608</v>
      </c>
      <c r="GL5" s="1110" t="str">
        <f>IFERROR(INDEX($DE$2:$DR$500,$EQ2,COLUMNS($GF$2:GK2)),"")</f>
        <v>CT70</v>
      </c>
      <c r="GM5" s="1110">
        <f>IFERROR(INDEX($DE$2:$DR$500,$EQ2,COLUMNS($GF$2:GL2)),"")</f>
        <v>0</v>
      </c>
      <c r="GN5" s="1110" t="str">
        <f>IFERROR(INDEX($DE$2:$DR$500,$EQ2,COLUMNS($GF$2:GM2)),"")</f>
        <v>0.018"</v>
      </c>
      <c r="GO5" s="1110">
        <f>IFERROR(INDEX($DE$2:$DR$500,$EQ2,COLUMNS($GF$2:GN2)),"")</f>
        <v>0</v>
      </c>
      <c r="GP5" s="1110">
        <f>IFERROR(INDEX($DE$2:$DR$500,$EQ2,COLUMNS($GF$2:GO2)),"")</f>
        <v>0</v>
      </c>
      <c r="GQ5" s="1110">
        <f>IF($B$29=1,IFERROR(INDEX($DE$2:$DU$300,$EQ2,COLUMNS($GF$2:GT2)),""),IF($B$29=2,IFERROR(INDEX($DE$2:$DU$300,$EQ2,COLUMNS($GF$2:GV2)),""),IF($B$29=3,IFERROR(INDEX($DE$2:$DU$300,$EQ2,COLUMNS($GF$2:GU2)),""),IF($B$29="",IFERROR(INDEX($DE$2:$DU$300,$EQ2,COLUMNS($GF$2:GP2)),""),""))))</f>
        <v>497</v>
      </c>
      <c r="GR5" s="1110">
        <f>IFERROR(INDEX($DE$2:$DR$500,$EQ2,COLUMNS($GF$2:GQ2)),"")</f>
        <v>0</v>
      </c>
      <c r="GS5" s="1110">
        <f>IFERROR(INDEX($DE$2:$DR$500,$EQ2,COLUMNS($GF$2:GR2)),"")</f>
        <v>0</v>
      </c>
      <c r="GT5" s="1110" t="str">
        <f>IFERROR(INDEX($DE$2:$EC$300,$EQ2,COLUMNS($GF$2:GS2)),"")</f>
        <v xml:space="preserve">1608 CT70 </v>
      </c>
      <c r="GU5" s="1110">
        <f>IFERROR(INDEX($DE$2:$EC$300,$EQ2,COLUMNS($GF$2:GT2)),"")</f>
        <v>0</v>
      </c>
      <c r="GV5" s="1110">
        <f>IFERROR(INDEX($DE$2:$EC$300,$EQ2,COLUMNS($GF$2:GU2)),"")</f>
        <v>0</v>
      </c>
      <c r="GW5" s="1110">
        <f>IFERROR(INDEX($DE$2:$EC$300,$EQ2,COLUMNS($GF$2:GV2)),"")</f>
        <v>0</v>
      </c>
      <c r="GX5" s="1110" t="str">
        <f>IFERROR(INDEX($DE$2:$EC$300,$EQ2,COLUMNS($GF$2:GW2)),"")</f>
        <v>S</v>
      </c>
      <c r="GY5" s="1110" t="str">
        <f>IFERROR(INDEX($DE$2:$EC$300,$EQ2,COLUMNS($GF$2:GX2)),"")</f>
        <v>6.4.1</v>
      </c>
      <c r="GZ5" s="1110">
        <f>IFERROR(INDEX($DE$2:$EC$300,$EQ2,COLUMNS($GF$2:GY2)),"")</f>
        <v>30</v>
      </c>
      <c r="HA5" s="1110" t="str">
        <f>IFERROR(INDEX($DE$2:$EC$300,$EQ2,COLUMNS($GF$2:GZ2)),"")</f>
        <v>16mm Cutter Replacement Super Premium</v>
      </c>
      <c r="HB5" s="1110" t="str">
        <f>IFERROR(INDEX($DE$2:$EC$300,$EQ2,COLUMNS($GF$2:HA2)),"")</f>
        <v>16mm</v>
      </c>
      <c r="HC5" s="1110">
        <f>IFERROR(INDEX($DE$2:$EC$300,$EQ2,COLUMNS($GF$2:HB2)),"")</f>
        <v>1</v>
      </c>
      <c r="HD5" s="1110" t="str">
        <f>IFERROR(INDEX($DE$2:$EC$300,$EQ2,COLUMNS($GF$2:HC2)),"")</f>
        <v>EA</v>
      </c>
      <c r="HE5" s="1110">
        <f>IFERROR(INDEX($DE$2:$EC$300,$EQ2,COLUMNS($GF$2:HD2)),"")</f>
        <v>662</v>
      </c>
    </row>
    <row r="6" spans="1:217" ht="15" customHeight="1" thickBot="1" x14ac:dyDescent="0.4">
      <c r="A6" s="128" t="s">
        <v>940</v>
      </c>
      <c r="B6" s="2">
        <v>46002</v>
      </c>
      <c r="D6" s="109" t="str">
        <f>IF(F6="","",IFERROR(D5+1,""))</f>
        <v/>
      </c>
      <c r="E6" s="341"/>
      <c r="F6" s="342"/>
      <c r="G6" s="343"/>
      <c r="I6" s="1129" t="s">
        <v>1520</v>
      </c>
      <c r="J6" s="1130"/>
      <c r="K6" s="1131"/>
      <c r="L6" s="92"/>
      <c r="R6" s="26"/>
      <c r="DB6" s="37">
        <v>177778</v>
      </c>
      <c r="DD6" s="75">
        <v>0</v>
      </c>
      <c r="DE6" s="37">
        <v>1217967</v>
      </c>
      <c r="DF6" s="37" t="s">
        <v>2131</v>
      </c>
      <c r="DG6" s="37" t="s">
        <v>2131</v>
      </c>
      <c r="DH6" s="37">
        <v>13</v>
      </c>
      <c r="DI6" s="37">
        <v>1308</v>
      </c>
      <c r="DJ6" s="37" t="s">
        <v>2133</v>
      </c>
      <c r="DK6" s="37"/>
      <c r="DL6" s="37" t="s">
        <v>239</v>
      </c>
      <c r="DM6" s="37"/>
      <c r="DN6" s="37"/>
      <c r="DO6" s="37"/>
      <c r="DP6" s="37"/>
      <c r="DQ6" s="37"/>
      <c r="DR6" s="37"/>
      <c r="DS6" s="37"/>
      <c r="DW6"/>
      <c r="DX6"/>
      <c r="DY6"/>
      <c r="DZ6"/>
      <c r="EA6"/>
      <c r="EB6"/>
      <c r="EE6" s="813"/>
      <c r="EF6">
        <f>ROWS($DE$2:DE6)</f>
        <v>5</v>
      </c>
      <c r="EG6" t="str">
        <f t="shared" si="0"/>
        <v/>
      </c>
      <c r="EJ6" t="str">
        <f t="shared" si="1"/>
        <v/>
      </c>
      <c r="EM6" t="str">
        <f t="shared" si="2"/>
        <v/>
      </c>
      <c r="EP6" t="str">
        <f t="shared" si="3"/>
        <v/>
      </c>
      <c r="ES6" t="str">
        <f t="shared" si="4"/>
        <v/>
      </c>
      <c r="EV6" t="str">
        <f t="shared" si="5"/>
        <v/>
      </c>
      <c r="EY6" t="str">
        <f t="shared" si="6"/>
        <v/>
      </c>
      <c r="FB6" t="str">
        <f t="shared" si="7"/>
        <v/>
      </c>
      <c r="FE6" t="str">
        <f t="shared" si="8"/>
        <v/>
      </c>
      <c r="FH6" t="str">
        <f t="shared" si="9"/>
        <v/>
      </c>
      <c r="FK6" t="str">
        <f t="shared" si="10"/>
        <v/>
      </c>
      <c r="FN6" t="str">
        <f t="shared" si="11"/>
        <v/>
      </c>
      <c r="FQ6" t="str">
        <f t="shared" si="12"/>
        <v/>
      </c>
      <c r="FT6" t="str">
        <f t="shared" si="13"/>
        <v/>
      </c>
      <c r="FW6" t="str">
        <f t="shared" si="14"/>
        <v/>
      </c>
      <c r="FZ6" t="str">
        <f t="shared" si="15"/>
        <v/>
      </c>
      <c r="GC6" t="str">
        <f t="shared" si="16"/>
        <v/>
      </c>
      <c r="GE6" s="155"/>
      <c r="GG6" s="1110">
        <f>IFERROR(INDEX($DE$2:$DR$500,$ET2,COLUMNS($GF$2:GF2)),"")</f>
        <v>1126402</v>
      </c>
      <c r="GH6" s="1110" t="str">
        <f>IFERROR(INDEX($DE$2:$DR$500,$ET2,COLUMNS($GF$2:GG2)),"")</f>
        <v>1613 CT421 18-60</v>
      </c>
      <c r="GI6" s="1110" t="str">
        <f>IFERROR(INDEX($DE$2:$DR$500,$ET2,COLUMNS($GF$2:GH2)),"")</f>
        <v>1613 CT421 18-60</v>
      </c>
      <c r="GJ6" s="1110">
        <f>IFERROR(INDEX($DE$2:$DR$500,$ET2,COLUMNS($GF$2:GI2)),"")</f>
        <v>16</v>
      </c>
      <c r="GK6" s="1110">
        <f>IFERROR(INDEX($DE$2:$DR$500,$ET2,COLUMNS($GF$2:GJ2)),"")</f>
        <v>1613</v>
      </c>
      <c r="GL6" s="1110" t="str">
        <f>IFERROR(INDEX($DE$2:$DR$500,$ET2,COLUMNS($GF$2:GK2)),"")</f>
        <v>CT421</v>
      </c>
      <c r="GM6" s="1110">
        <f>IFERROR(INDEX($DE$2:$DR$500,$ET2,COLUMNS($GF$2:GL2)),"")</f>
        <v>0</v>
      </c>
      <c r="GN6" s="1110" t="str">
        <f>IFERROR(INDEX($DE$2:$DR$500,$ET2,COLUMNS($GF$2:GM2)),"")</f>
        <v>18-60</v>
      </c>
      <c r="GO6" s="1110">
        <f>IFERROR(INDEX($DE$2:$DR$500,$ET2,COLUMNS($GF$2:GN2)),"")</f>
        <v>0</v>
      </c>
      <c r="GP6" s="1110">
        <f>IFERROR(INDEX($DE$2:$DR$500,$ET2,COLUMNS($GF$2:GO2)),"")</f>
        <v>0</v>
      </c>
      <c r="GQ6" s="1110">
        <f>IF($B$29=1,IFERROR(INDEX($DE$2:$DU$300,$ET2,COLUMNS($GF$2:GT2)),""),IF($B$29=2,IFERROR(INDEX($DE$2:$DU$300,$ET2,COLUMNS($GF$2:GV2)),""),IF($B$29=3,IFERROR(INDEX($DE$2:$DU$300,$ET2,COLUMNS($GF$2:GU2)),""),IF($B$29="",IFERROR(INDEX($DE$2:$DU$300,$ET2,COLUMNS($GF$2:GP2)),""),""))))</f>
        <v>497</v>
      </c>
      <c r="GR6" s="1110">
        <f>IFERROR(INDEX($DE$2:$DR$500,$ET2,COLUMNS($GF$2:GQ2)),"")</f>
        <v>0</v>
      </c>
      <c r="GS6" s="1110">
        <f>IFERROR(INDEX($DE$2:$DR$500,$ET2,COLUMNS($GF$2:GR2)),"")</f>
        <v>0</v>
      </c>
      <c r="GT6" s="1110" t="str">
        <f>IFERROR(INDEX($DE$2:$EC$300,$ET2,COLUMNS($GF$2:GS2)),"")</f>
        <v xml:space="preserve">1613 CT421 </v>
      </c>
      <c r="GU6" s="1110">
        <f>IFERROR(INDEX($DE$2:$EC$300,$ET2,COLUMNS($GF$2:GT2)),"")</f>
        <v>0</v>
      </c>
      <c r="GV6" s="1110">
        <f>IFERROR(INDEX($DE$2:$EC$300,$ET2,COLUMNS($GF$2:GU2)),"")</f>
        <v>0</v>
      </c>
      <c r="GW6" s="1110">
        <f>IFERROR(INDEX($DE$2:$EC$300,$ET2,COLUMNS($GF$2:GV2)),"")</f>
        <v>0</v>
      </c>
      <c r="GX6" s="1110">
        <f>IFERROR(INDEX($DE$2:$EC$300,$ET2,COLUMNS($GF$2:GW2)),"")</f>
        <v>0</v>
      </c>
      <c r="GY6" s="1110">
        <f>IFERROR(INDEX($DE$2:$EC$300,$ET2,COLUMNS($GF$2:GX2)),"")</f>
        <v>0</v>
      </c>
      <c r="GZ6" s="1110">
        <f>IFERROR(INDEX($DE$2:$EC$300,$ET2,COLUMNS($GF$2:GY2)),"")</f>
        <v>0</v>
      </c>
      <c r="HA6" s="1110">
        <f>IFERROR(INDEX($DE$2:$EC$300,$ET2,COLUMNS($GF$2:GZ2)),"")</f>
        <v>0</v>
      </c>
      <c r="HB6" s="1110">
        <f>IFERROR(INDEX($DE$2:$EC$300,$ET2,COLUMNS($GF$2:HA2)),"")</f>
        <v>0</v>
      </c>
      <c r="HC6" s="1110">
        <f>IFERROR(INDEX($DE$2:$EC$300,$ET2,COLUMNS($GF$2:HB2)),"")</f>
        <v>0</v>
      </c>
      <c r="HD6" s="1110">
        <f>IFERROR(INDEX($DE$2:$EC$300,$ET2,COLUMNS($GF$2:HC2)),"")</f>
        <v>0</v>
      </c>
      <c r="HE6" s="1110">
        <f>IFERROR(INDEX($DE$2:$EC$300,$ET2,COLUMNS($GF$2:HD2)),"")</f>
        <v>0</v>
      </c>
    </row>
    <row r="7" spans="1:217" ht="15" customHeight="1" thickBot="1" x14ac:dyDescent="0.4">
      <c r="A7" s="131" t="s">
        <v>11</v>
      </c>
      <c r="B7" s="104" t="s">
        <v>1516</v>
      </c>
      <c r="D7" s="109" t="str">
        <f>IF(F7="","",IFERROR(D6+1,""))</f>
        <v/>
      </c>
      <c r="E7" s="341"/>
      <c r="F7" s="342"/>
      <c r="G7" s="343"/>
      <c r="I7" s="1129" t="str">
        <f>IF(COUNTIF(Data!B4,"S*"),"ARDT Hardfacing","ARDT Matrix Build up")</f>
        <v>ARDT Matrix Build up</v>
      </c>
      <c r="J7" s="1130"/>
      <c r="K7" s="1131"/>
      <c r="L7" s="92"/>
      <c r="M7" s="1142" t="s">
        <v>1534</v>
      </c>
      <c r="N7" s="1143"/>
      <c r="O7" s="895" t="s">
        <v>1691</v>
      </c>
      <c r="R7" s="26"/>
      <c r="DB7" s="37">
        <v>375538</v>
      </c>
      <c r="DD7" s="75">
        <v>0</v>
      </c>
      <c r="DE7" s="37">
        <v>107348</v>
      </c>
      <c r="DF7" s="37" t="s">
        <v>2132</v>
      </c>
      <c r="DG7" s="37" t="s">
        <v>2132</v>
      </c>
      <c r="DH7" s="37">
        <v>13</v>
      </c>
      <c r="DI7" s="37">
        <v>13</v>
      </c>
      <c r="DJ7" s="37" t="s">
        <v>1310</v>
      </c>
      <c r="DK7" s="37"/>
      <c r="DL7" s="37"/>
      <c r="DM7" s="37"/>
      <c r="DN7" s="37"/>
      <c r="DO7" s="37"/>
      <c r="DP7" s="37"/>
      <c r="DQ7" s="37"/>
      <c r="DR7" s="37"/>
      <c r="DS7" s="37"/>
      <c r="DW7"/>
      <c r="DX7"/>
      <c r="DY7"/>
      <c r="DZ7"/>
      <c r="EA7"/>
      <c r="EB7"/>
      <c r="EE7" s="813"/>
      <c r="EF7">
        <f>ROWS($DE$2:DE7)</f>
        <v>6</v>
      </c>
      <c r="EG7" t="str">
        <f t="shared" si="0"/>
        <v/>
      </c>
      <c r="EJ7" t="str">
        <f t="shared" si="1"/>
        <v/>
      </c>
      <c r="EM7" t="str">
        <f t="shared" si="2"/>
        <v/>
      </c>
      <c r="EP7" t="str">
        <f t="shared" si="3"/>
        <v/>
      </c>
      <c r="ES7" t="str">
        <f t="shared" si="4"/>
        <v/>
      </c>
      <c r="EV7" t="str">
        <f t="shared" si="5"/>
        <v/>
      </c>
      <c r="EY7" t="str">
        <f t="shared" si="6"/>
        <v/>
      </c>
      <c r="FB7" t="str">
        <f t="shared" si="7"/>
        <v/>
      </c>
      <c r="FE7" t="str">
        <f t="shared" si="8"/>
        <v/>
      </c>
      <c r="FH7" t="str">
        <f t="shared" si="9"/>
        <v/>
      </c>
      <c r="FK7" t="str">
        <f t="shared" si="10"/>
        <v/>
      </c>
      <c r="FN7" t="str">
        <f t="shared" si="11"/>
        <v/>
      </c>
      <c r="FQ7" t="str">
        <f t="shared" si="12"/>
        <v/>
      </c>
      <c r="FT7" t="str">
        <f t="shared" si="13"/>
        <v/>
      </c>
      <c r="FW7" t="str">
        <f t="shared" si="14"/>
        <v/>
      </c>
      <c r="FZ7" t="str">
        <f t="shared" si="15"/>
        <v/>
      </c>
      <c r="GC7" t="str">
        <f t="shared" si="16"/>
        <v/>
      </c>
      <c r="GE7" s="155"/>
      <c r="GG7" s="1110" t="str">
        <f>IFERROR(INDEX($DE$2:$DR$500,$EW2,COLUMNS($GF$2:GF2)),"")</f>
        <v/>
      </c>
      <c r="GH7" s="1110" t="str">
        <f>IFERROR(INDEX($DE$2:$DR$500,$EW2,COLUMNS($GF$2:GG2)),"")</f>
        <v/>
      </c>
      <c r="GI7" s="1110" t="str">
        <f>IFERROR(INDEX($DE$2:$DR$500,$EW2,COLUMNS($GF$2:GH2)),"")</f>
        <v/>
      </c>
      <c r="GJ7" s="1110" t="str">
        <f>IFERROR(INDEX($DE$2:$DR$500,$EW2,COLUMNS($GF$2:GI2)),"")</f>
        <v/>
      </c>
      <c r="GK7" s="1110" t="str">
        <f>IFERROR(INDEX($DE$2:$DR$500,$EW2,COLUMNS($GF$2:GJ2)),"")</f>
        <v/>
      </c>
      <c r="GL7" s="1110" t="str">
        <f>IFERROR(INDEX($DE$2:$DR$500,$EW2,COLUMNS($GF$2:GK2)),"")</f>
        <v/>
      </c>
      <c r="GM7" s="1110" t="str">
        <f>IFERROR(INDEX($DE$2:$DR$500,$EW2,COLUMNS($GF$2:GL2)),"")</f>
        <v/>
      </c>
      <c r="GN7" s="1110" t="str">
        <f>IFERROR(INDEX($DE$2:$DR$500,$EW2,COLUMNS($GF$2:GM2)),"")</f>
        <v/>
      </c>
      <c r="GO7" s="1110" t="str">
        <f>IFERROR(INDEX($DE$2:$DR$500,$EW2,COLUMNS($GF$2:GN2)),"")</f>
        <v/>
      </c>
      <c r="GP7" s="1110" t="str">
        <f>IFERROR(INDEX($DE$2:$DR$500,$EW2,COLUMNS($GF$2:GO2)),"")</f>
        <v/>
      </c>
      <c r="GQ7" s="1110" t="str">
        <f>IF($B$29=1,IFERROR(INDEX($DE$2:$DU$300,$EW2,COLUMNS($GF$2:GT2)),""),IF($B$29=2,IFERROR(INDEX($DE$2:$DU$300,$EW2,COLUMNS($GF$2:GV2)),""),IF($B$29=3,IFERROR(INDEX($DE$2:$DU$300,$EW2,COLUMNS($GF$2:GU2)),""),IF($B$29="",IFERROR(INDEX($DE$2:$DU$300,$EW2,COLUMNS($GF$2:GP2)),""),""))))</f>
        <v/>
      </c>
      <c r="GR7" s="1110" t="str">
        <f>IFERROR(INDEX($DE$2:$DR$500,$EW2,COLUMNS($GF$2:GQ2)),"")</f>
        <v/>
      </c>
      <c r="GS7" s="1110" t="str">
        <f>IFERROR(INDEX($DE$2:$DR$500,$EW2,COLUMNS($GF$2:GR2)),"")</f>
        <v/>
      </c>
      <c r="GT7" s="1110" t="str">
        <f>IFERROR(INDEX($DE$2:$EC$300,$EW2,COLUMNS($GF$2:GS2)),"")</f>
        <v/>
      </c>
      <c r="GU7" s="1110" t="str">
        <f>IFERROR(INDEX($DE$2:$EC$300,$EW2,COLUMNS($GF$2:GT2)),"")</f>
        <v/>
      </c>
      <c r="GV7" s="1110" t="str">
        <f>IFERROR(INDEX($DE$2:$EC$300,$EW2,COLUMNS($GF$2:GU2)),"")</f>
        <v/>
      </c>
      <c r="GW7" s="1110" t="str">
        <f>IFERROR(INDEX($DE$2:$EC$300,$EW2,COLUMNS($GF$2:GV2)),"")</f>
        <v/>
      </c>
      <c r="GX7" s="1110" t="str">
        <f>IFERROR(INDEX($DE$2:$EC$300,$EW2,COLUMNS($GF$2:GW2)),"")</f>
        <v/>
      </c>
      <c r="GY7" s="1110" t="str">
        <f>IFERROR(INDEX($DE$2:$EC$300,$EW2,COLUMNS($GF$2:GX2)),"")</f>
        <v/>
      </c>
      <c r="GZ7" s="1110" t="str">
        <f>IFERROR(INDEX($DE$2:$EC$300,$EW2,COLUMNS($GF$2:GY2)),"")</f>
        <v/>
      </c>
      <c r="HA7" s="1110" t="str">
        <f>IFERROR(INDEX($DE$2:$EC$300,$EW2,COLUMNS($GF$2:GZ2)),"")</f>
        <v/>
      </c>
      <c r="HB7" s="1110" t="str">
        <f>IFERROR(INDEX($DE$2:$EC$300,$EW2,COLUMNS($GF$2:HA2)),"")</f>
        <v/>
      </c>
      <c r="HC7" s="1110" t="str">
        <f>IFERROR(INDEX($DE$2:$EC$300,$EW2,COLUMNS($GF$2:HB2)),"")</f>
        <v/>
      </c>
      <c r="HD7" s="1110" t="str">
        <f>IFERROR(INDEX($DE$2:$EC$300,$EW2,COLUMNS($GF$2:HC2)),"")</f>
        <v/>
      </c>
      <c r="HE7" s="1110" t="str">
        <f>IFERROR(INDEX($DE$2:$EC$300,$EW2,COLUMNS($GF$2:HD2)),"")</f>
        <v/>
      </c>
    </row>
    <row r="8" spans="1:217" ht="15" customHeight="1" thickBot="1" x14ac:dyDescent="0.4">
      <c r="A8" s="1009" t="s">
        <v>2227</v>
      </c>
      <c r="B8" s="1"/>
      <c r="D8" s="109" t="str">
        <f>IF(F8="","",IFERROR(D7+1,""))</f>
        <v/>
      </c>
      <c r="E8" s="341"/>
      <c r="F8" s="342"/>
      <c r="G8" s="343"/>
      <c r="I8" s="1129" t="str">
        <f>IF(COUNTIF(Data!B4,"S*"),"Engineer Hardfacing","Engineer Matrix Build up")</f>
        <v>Engineer Matrix Build up</v>
      </c>
      <c r="J8" s="1130"/>
      <c r="K8" s="1131"/>
      <c r="L8" s="92"/>
      <c r="M8" s="1140" t="s">
        <v>1521</v>
      </c>
      <c r="N8" s="1136"/>
      <c r="O8" s="1137"/>
      <c r="R8" s="26"/>
      <c r="DB8" s="37">
        <v>376826</v>
      </c>
      <c r="DD8" s="75">
        <v>0</v>
      </c>
      <c r="DE8" s="37">
        <v>1165788</v>
      </c>
      <c r="DF8" s="37" t="s">
        <v>2126</v>
      </c>
      <c r="DG8" s="37" t="s">
        <v>2126</v>
      </c>
      <c r="DH8" s="37">
        <v>19</v>
      </c>
      <c r="DI8" s="37">
        <v>1913</v>
      </c>
      <c r="DJ8" s="37" t="s">
        <v>2119</v>
      </c>
      <c r="DK8" s="37"/>
      <c r="DL8" s="37" t="s">
        <v>240</v>
      </c>
      <c r="DM8" s="37"/>
      <c r="DN8" s="37"/>
      <c r="DO8" s="37"/>
      <c r="DP8" s="37"/>
      <c r="DQ8" s="37"/>
      <c r="DR8" s="37"/>
      <c r="DS8" s="37"/>
      <c r="DW8"/>
      <c r="DX8"/>
      <c r="DY8"/>
      <c r="DZ8"/>
      <c r="EA8"/>
      <c r="EB8"/>
      <c r="EE8" s="813"/>
      <c r="EF8">
        <f>ROWS($DE$2:DE8)</f>
        <v>7</v>
      </c>
      <c r="EG8" t="str">
        <f t="shared" si="0"/>
        <v/>
      </c>
      <c r="EJ8" t="str">
        <f t="shared" si="1"/>
        <v/>
      </c>
      <c r="EM8" t="str">
        <f t="shared" si="2"/>
        <v/>
      </c>
      <c r="EP8" t="str">
        <f t="shared" si="3"/>
        <v/>
      </c>
      <c r="ES8" t="str">
        <f t="shared" si="4"/>
        <v/>
      </c>
      <c r="EV8" t="str">
        <f t="shared" si="5"/>
        <v/>
      </c>
      <c r="EY8" t="str">
        <f t="shared" si="6"/>
        <v/>
      </c>
      <c r="FB8" t="str">
        <f t="shared" si="7"/>
        <v/>
      </c>
      <c r="FE8" t="str">
        <f t="shared" si="8"/>
        <v/>
      </c>
      <c r="FH8" t="str">
        <f t="shared" si="9"/>
        <v/>
      </c>
      <c r="FK8" t="str">
        <f t="shared" si="10"/>
        <v/>
      </c>
      <c r="FN8" t="str">
        <f t="shared" si="11"/>
        <v/>
      </c>
      <c r="FQ8" t="str">
        <f t="shared" si="12"/>
        <v/>
      </c>
      <c r="FT8" t="str">
        <f t="shared" si="13"/>
        <v/>
      </c>
      <c r="FW8" t="str">
        <f t="shared" si="14"/>
        <v/>
      </c>
      <c r="FZ8" t="str">
        <f t="shared" si="15"/>
        <v/>
      </c>
      <c r="GC8" t="str">
        <f t="shared" si="16"/>
        <v/>
      </c>
      <c r="GE8" s="155"/>
      <c r="GG8" s="1110" t="str">
        <f>IFERROR(INDEX($DE$2:$DR$500,$EZ2,COLUMNS($GF$2:GF2)),"")</f>
        <v/>
      </c>
      <c r="GH8" s="1110" t="str">
        <f>IFERROR(INDEX($DE$2:$DR$500,$EZ2,COLUMNS($GF$2:GG2)),"")</f>
        <v/>
      </c>
      <c r="GI8" s="1110" t="str">
        <f>IFERROR(INDEX($DE$2:$DR$500,$EZ2,COLUMNS($GF$2:GH2)),"")</f>
        <v/>
      </c>
      <c r="GJ8" s="1110" t="str">
        <f>IFERROR(INDEX($DE$2:$DR$500,$EZ2,COLUMNS($GF$2:GI2)),"")</f>
        <v/>
      </c>
      <c r="GK8" s="1110" t="str">
        <f>IFERROR(INDEX($DE$2:$DR$500,$EZ2,COLUMNS($GF$2:GJ2)),"")</f>
        <v/>
      </c>
      <c r="GL8" s="1110" t="str">
        <f>IFERROR(INDEX($DE$2:$DR$500,$EZ2,COLUMNS($GF$2:GK2)),"")</f>
        <v/>
      </c>
      <c r="GM8" s="1110" t="str">
        <f>IFERROR(INDEX($DE$2:$DR$500,$EZ2,COLUMNS($GF$2:GL2)),"")</f>
        <v/>
      </c>
      <c r="GN8" s="1110" t="str">
        <f>IFERROR(INDEX($DE$2:$DR$500,$EZ2,COLUMNS($GF$2:GM2)),"")</f>
        <v/>
      </c>
      <c r="GO8" s="1110" t="str">
        <f>IFERROR(INDEX($DE$2:$DR$500,$EZ2,COLUMNS($GF$2:GN2)),"")</f>
        <v/>
      </c>
      <c r="GP8" s="1110" t="str">
        <f>IFERROR(INDEX($DE$2:$DR$500,$EZ2,COLUMNS($GF$2:GO2)),"")</f>
        <v/>
      </c>
      <c r="GQ8" s="1110" t="str">
        <f>IF($B$29=1,IFERROR(INDEX($DE$2:$DU$300,$EZ2,COLUMNS($GF$2:GT2)),""),IF($B$29=2,IFERROR(INDEX($DE$2:$DU$300,$EZ2,COLUMNS($GF$2:GV2)),""),IF($B$29=3,IFERROR(INDEX($DE$2:$DU$300,$EZ2,COLUMNS($GF$2:GU2)),""),IF($B$29="",IFERROR(INDEX($DE$2:$DU$300,$EZ2,COLUMNS($GF$2:GP2)),""),""))))</f>
        <v/>
      </c>
      <c r="GR8" s="1110" t="str">
        <f>IFERROR(INDEX($DE$2:$DR$500,$EZ2,COLUMNS($GF$2:GQ2)),"")</f>
        <v/>
      </c>
      <c r="GS8" s="1110" t="str">
        <f>IFERROR(INDEX($DE$2:$DR$500,$EZ2,COLUMNS($GF$2:GR2)),"")</f>
        <v/>
      </c>
      <c r="GT8" s="1110" t="str">
        <f>IFERROR(INDEX($DE$2:$EC$300,$EZ2,COLUMNS($GF$2:GS2)),"")</f>
        <v/>
      </c>
      <c r="GU8" s="1110" t="str">
        <f>IFERROR(INDEX($DE$2:$EC$300,$EZ2,COLUMNS($GF$2:GT2)),"")</f>
        <v/>
      </c>
      <c r="GV8" s="1110" t="str">
        <f>IFERROR(INDEX($DE$2:$EC$300,$EZ2,COLUMNS($GF$2:GU2)),"")</f>
        <v/>
      </c>
      <c r="GW8" s="1110" t="str">
        <f>IFERROR(INDEX($DE$2:$EC$300,$EZ2,COLUMNS($GF$2:GV2)),"")</f>
        <v/>
      </c>
      <c r="GX8" s="1110" t="str">
        <f>IFERROR(INDEX($DE$2:$EC$300,$EZ2,COLUMNS($GF$2:GW2)),"")</f>
        <v/>
      </c>
      <c r="GY8" s="1110" t="str">
        <f>IFERROR(INDEX($DE$2:$EC$300,$EZ2,COLUMNS($GF$2:GX2)),"")</f>
        <v/>
      </c>
      <c r="GZ8" s="1110" t="str">
        <f>IFERROR(INDEX($DE$2:$EC$300,$EZ2,COLUMNS($GF$2:GY2)),"")</f>
        <v/>
      </c>
      <c r="HA8" s="1110" t="str">
        <f>IFERROR(INDEX($DE$2:$EC$300,$EZ2,COLUMNS($GF$2:GZ2)),"")</f>
        <v/>
      </c>
      <c r="HB8" s="1110" t="str">
        <f>IFERROR(INDEX($DE$2:$EC$300,$EZ2,COLUMNS($GF$2:HA2)),"")</f>
        <v/>
      </c>
      <c r="HC8" s="1110" t="str">
        <f>IFERROR(INDEX($DE$2:$EC$300,$EZ2,COLUMNS($GF$2:HB2)),"")</f>
        <v/>
      </c>
      <c r="HD8" s="1110" t="str">
        <f>IFERROR(INDEX($DE$2:$EC$300,$EZ2,COLUMNS($GF$2:HC2)),"")</f>
        <v/>
      </c>
      <c r="HE8" s="1110" t="str">
        <f>IFERROR(INDEX($DE$2:$EC$300,$EZ2,COLUMNS($GF$2:HD2)),"")</f>
        <v/>
      </c>
    </row>
    <row r="9" spans="1:217" ht="15.75" customHeight="1" thickBot="1" x14ac:dyDescent="0.4">
      <c r="A9" s="128" t="s">
        <v>2228</v>
      </c>
      <c r="B9" s="1"/>
      <c r="I9" s="1129" t="s">
        <v>842</v>
      </c>
      <c r="J9" s="1130"/>
      <c r="K9" s="1131"/>
      <c r="L9" s="92"/>
      <c r="M9" s="1141"/>
      <c r="N9" s="1138"/>
      <c r="O9" s="1139"/>
      <c r="R9" s="26"/>
      <c r="DB9" s="37">
        <v>399930</v>
      </c>
      <c r="DD9" s="75">
        <v>69</v>
      </c>
      <c r="DE9" s="37">
        <v>1039058</v>
      </c>
      <c r="DF9" t="s">
        <v>158</v>
      </c>
      <c r="DG9" s="37" t="str">
        <f t="shared" ref="DG9:DG40" si="17">DR9 &amp; " " &amp; DL9</f>
        <v>1608 CT138  0.018"</v>
      </c>
      <c r="DH9" s="37">
        <v>16</v>
      </c>
      <c r="DI9" s="37">
        <v>1608</v>
      </c>
      <c r="DJ9" s="37" t="s">
        <v>249</v>
      </c>
      <c r="DK9" s="37"/>
      <c r="DL9" s="37" t="s">
        <v>240</v>
      </c>
      <c r="DM9" s="37">
        <v>11</v>
      </c>
      <c r="DN9" s="37">
        <v>0</v>
      </c>
      <c r="DO9" s="37">
        <v>497</v>
      </c>
      <c r="DP9" s="37"/>
      <c r="DQ9" s="37"/>
      <c r="DR9" s="37" t="str">
        <f t="shared" ref="DR9:DR40" si="18">DI9 &amp; " " &amp; DJ9 &amp; " " &amp; DK9</f>
        <v xml:space="preserve">1608 CT138 </v>
      </c>
      <c r="DS9" s="37"/>
      <c r="DV9" s="10" t="s">
        <v>49</v>
      </c>
      <c r="DW9" t="s">
        <v>1590</v>
      </c>
      <c r="DX9">
        <v>30</v>
      </c>
      <c r="DY9" t="s">
        <v>1673</v>
      </c>
      <c r="DZ9" t="s">
        <v>1668</v>
      </c>
      <c r="EA9">
        <v>1</v>
      </c>
      <c r="EB9" t="s">
        <v>1513</v>
      </c>
      <c r="EC9" s="10">
        <v>662</v>
      </c>
      <c r="ED9" s="10" t="s">
        <v>1736</v>
      </c>
      <c r="EE9" s="813">
        <f>SUMIF($G$12:$G$21,$DE9,$E$12:$E$21)</f>
        <v>0</v>
      </c>
      <c r="EF9">
        <f>ROWS($DE$2:DE9)</f>
        <v>8</v>
      </c>
      <c r="EG9" t="str">
        <f t="shared" si="0"/>
        <v/>
      </c>
      <c r="EJ9" t="str">
        <f t="shared" si="1"/>
        <v/>
      </c>
      <c r="EM9" t="str">
        <f t="shared" si="2"/>
        <v/>
      </c>
      <c r="EP9" t="str">
        <f t="shared" si="3"/>
        <v/>
      </c>
      <c r="ES9" t="str">
        <f t="shared" si="4"/>
        <v/>
      </c>
      <c r="EV9" t="str">
        <f t="shared" si="5"/>
        <v/>
      </c>
      <c r="EY9" t="str">
        <f t="shared" si="6"/>
        <v/>
      </c>
      <c r="FB9" t="str">
        <f t="shared" si="7"/>
        <v/>
      </c>
      <c r="FE9" t="str">
        <f t="shared" si="8"/>
        <v/>
      </c>
      <c r="FH9" t="str">
        <f t="shared" si="9"/>
        <v/>
      </c>
      <c r="FK9" t="str">
        <f t="shared" si="10"/>
        <v/>
      </c>
      <c r="FN9" t="str">
        <f t="shared" si="11"/>
        <v/>
      </c>
      <c r="FQ9" t="str">
        <f t="shared" si="12"/>
        <v/>
      </c>
      <c r="FT9" t="str">
        <f t="shared" si="13"/>
        <v/>
      </c>
      <c r="FW9" t="str">
        <f t="shared" si="14"/>
        <v/>
      </c>
      <c r="FZ9" t="str">
        <f t="shared" si="15"/>
        <v/>
      </c>
      <c r="GC9" t="str">
        <f t="shared" si="16"/>
        <v/>
      </c>
      <c r="GE9" s="155"/>
      <c r="GG9" s="1110" t="str">
        <f>IFERROR(INDEX($DE$2:$DR$500,$FC2,COLUMNS($GF$2:GF2)),"")</f>
        <v/>
      </c>
      <c r="GH9" s="1110" t="str">
        <f>IFERROR(INDEX($DE$2:$DR$500,$FC2,COLUMNS($GF$2:GG2)),"")</f>
        <v/>
      </c>
      <c r="GI9" s="1110" t="str">
        <f>IFERROR(INDEX($DE$2:$DR$500,$FC2,COLUMNS($GF$2:GH2)),"")</f>
        <v/>
      </c>
      <c r="GJ9" s="1110" t="str">
        <f>IFERROR(INDEX($DE$2:$DR$500,$FC2,COLUMNS($GF$2:GI2)),"")</f>
        <v/>
      </c>
      <c r="GK9" s="1110" t="str">
        <f>IFERROR(INDEX($DE$2:$DR$500,$FC2,COLUMNS($GF$2:GJ2)),"")</f>
        <v/>
      </c>
      <c r="GL9" s="1110" t="str">
        <f>IFERROR(INDEX($DE$2:$DR$500,$FC2,COLUMNS($GF$2:GK2)),"")</f>
        <v/>
      </c>
      <c r="GM9" s="1110" t="str">
        <f>IFERROR(INDEX($DE$2:$DR$500,$FC2,COLUMNS($GF$2:GL2)),"")</f>
        <v/>
      </c>
      <c r="GN9" s="1110" t="str">
        <f>IFERROR(INDEX($DE$2:$DR$500,$FC2,COLUMNS($GF$2:GM2)),"")</f>
        <v/>
      </c>
      <c r="GO9" s="1110" t="str">
        <f>IFERROR(INDEX($DE$2:$DR$500,$FC2,COLUMNS($GF$2:GN2)),"")</f>
        <v/>
      </c>
      <c r="GP9" s="1110" t="str">
        <f>IFERROR(INDEX($DE$2:$DR$500,$FC2,COLUMNS($GF$2:GO2)),"")</f>
        <v/>
      </c>
      <c r="GQ9" s="1110" t="str">
        <f>IF($B$29=1,IFERROR(INDEX($DE$2:$DU$300,$FC2,COLUMNS($GF$2:GT2)),""),IF($B$29=2,IFERROR(INDEX($DE$2:$DU$300,$FC2,COLUMNS($GF$2:GV2)),""),IF($B$29=3,IFERROR(INDEX($DE$2:$DU$300,$FC2,COLUMNS($GF$2:GU2)),""),IF($B$29="",IFERROR(INDEX($DE$2:$DU$300,$FC2,COLUMNS($GF$2:GP2)),""),""))))</f>
        <v/>
      </c>
      <c r="GR9" s="1110" t="str">
        <f>IFERROR(INDEX($DE$2:$DR$500,$FC2,COLUMNS($GF$2:GQ2)),"")</f>
        <v/>
      </c>
      <c r="GS9" s="1110" t="str">
        <f>IFERROR(INDEX($DE$2:$DR$500,$FC2,COLUMNS($GF$2:GR2)),"")</f>
        <v/>
      </c>
      <c r="GT9" s="1110" t="str">
        <f>IFERROR(INDEX($DE$2:$EC$300,$FC2,COLUMNS($GF$2:GS2)),"")</f>
        <v/>
      </c>
      <c r="GU9" s="1110" t="str">
        <f>IFERROR(INDEX($DE$2:$EC$300,$FC2,COLUMNS($GF$2:GT2)),"")</f>
        <v/>
      </c>
      <c r="GV9" s="1110" t="str">
        <f>IFERROR(INDEX($DE$2:$EC$300,$FC2,COLUMNS($GF$2:GU2)),"")</f>
        <v/>
      </c>
      <c r="GW9" s="1110" t="str">
        <f>IFERROR(INDEX($DE$2:$EC$300,$FC2,COLUMNS($GF$2:GV2)),"")</f>
        <v/>
      </c>
      <c r="GX9" s="1110" t="str">
        <f>IFERROR(INDEX($DE$2:$EC$300,$FC2,COLUMNS($GF$2:GW2)),"")</f>
        <v/>
      </c>
      <c r="GY9" s="1110" t="str">
        <f>IFERROR(INDEX($DE$2:$EC$300,$FC2,COLUMNS($GF$2:GX2)),"")</f>
        <v/>
      </c>
      <c r="GZ9" s="1110" t="str">
        <f>IFERROR(INDEX($DE$2:$EC$300,$FC2,COLUMNS($GF$2:GY2)),"")</f>
        <v/>
      </c>
      <c r="HA9" s="1110" t="str">
        <f>IFERROR(INDEX($DE$2:$EC$300,$FC2,COLUMNS($GF$2:GZ2)),"")</f>
        <v/>
      </c>
      <c r="HB9" s="1110" t="str">
        <f>IFERROR(INDEX($DE$2:$EC$300,$FC2,COLUMNS($GF$2:HA2)),"")</f>
        <v/>
      </c>
      <c r="HC9" s="1110" t="str">
        <f>IFERROR(INDEX($DE$2:$EC$300,$FC2,COLUMNS($GF$2:HB2)),"")</f>
        <v/>
      </c>
      <c r="HD9" s="1110" t="str">
        <f>IFERROR(INDEX($DE$2:$EC$300,$FC2,COLUMNS($GF$2:HC2)),"")</f>
        <v/>
      </c>
      <c r="HE9" s="1110" t="str">
        <f>IFERROR(INDEX($DE$2:$EC$300,$FC2,COLUMNS($GF$2:HD2)),"")</f>
        <v/>
      </c>
    </row>
    <row r="10" spans="1:217" ht="17.25" customHeight="1" thickBot="1" x14ac:dyDescent="0.4">
      <c r="A10" s="131" t="s">
        <v>1960</v>
      </c>
      <c r="B10" s="104" t="s">
        <v>2535</v>
      </c>
      <c r="D10" s="1156" t="s">
        <v>953</v>
      </c>
      <c r="E10" s="1157"/>
      <c r="F10" s="1157"/>
      <c r="G10" s="1157"/>
      <c r="H10" s="1157"/>
      <c r="I10" s="1157"/>
      <c r="J10" s="1158"/>
      <c r="K10" s="1163" t="s">
        <v>44</v>
      </c>
      <c r="L10" s="1164"/>
      <c r="M10" s="620"/>
      <c r="N10" s="1161" t="s">
        <v>964</v>
      </c>
      <c r="O10" s="1162"/>
      <c r="R10" s="26"/>
      <c r="S10" s="569">
        <v>738227</v>
      </c>
      <c r="DB10" s="37">
        <v>418525</v>
      </c>
      <c r="DD10" s="75">
        <v>68</v>
      </c>
      <c r="DE10" s="37">
        <v>1039060</v>
      </c>
      <c r="DF10" t="s">
        <v>159</v>
      </c>
      <c r="DG10" s="37" t="str">
        <f t="shared" si="17"/>
        <v>1613 CT138  0.018"</v>
      </c>
      <c r="DH10" s="37">
        <v>16</v>
      </c>
      <c r="DI10" s="37">
        <v>1613</v>
      </c>
      <c r="DJ10" s="37" t="s">
        <v>249</v>
      </c>
      <c r="DK10" s="37"/>
      <c r="DL10" s="37" t="s">
        <v>240</v>
      </c>
      <c r="DM10" s="37">
        <v>33</v>
      </c>
      <c r="DN10" s="37">
        <v>0</v>
      </c>
      <c r="DO10" s="37">
        <v>497</v>
      </c>
      <c r="DP10" s="37"/>
      <c r="DQ10" s="37"/>
      <c r="DR10" s="37" t="str">
        <f t="shared" si="18"/>
        <v xml:space="preserve">1613 CT138 </v>
      </c>
      <c r="DS10" s="37"/>
      <c r="DV10" s="10" t="s">
        <v>49</v>
      </c>
      <c r="DW10" t="s">
        <v>1590</v>
      </c>
      <c r="DX10">
        <v>30</v>
      </c>
      <c r="DY10" t="s">
        <v>1673</v>
      </c>
      <c r="DZ10" t="s">
        <v>1668</v>
      </c>
      <c r="EA10">
        <v>1</v>
      </c>
      <c r="EB10" t="s">
        <v>1513</v>
      </c>
      <c r="EC10" s="10">
        <v>662</v>
      </c>
      <c r="ED10" s="10" t="s">
        <v>1736</v>
      </c>
      <c r="EE10" s="813">
        <f t="shared" ref="EE10:EE73" si="19">SUMIF($G$12:$G$21,$DE10,$E$12:$E$21)</f>
        <v>0</v>
      </c>
      <c r="EF10">
        <f>ROWS($DE$2:DE10)</f>
        <v>9</v>
      </c>
      <c r="EG10">
        <f t="shared" si="0"/>
        <v>9</v>
      </c>
      <c r="EJ10" t="str">
        <f t="shared" si="1"/>
        <v/>
      </c>
      <c r="EM10" t="str">
        <f t="shared" si="2"/>
        <v/>
      </c>
      <c r="EP10" t="str">
        <f t="shared" si="3"/>
        <v/>
      </c>
      <c r="ES10" t="str">
        <f t="shared" si="4"/>
        <v/>
      </c>
      <c r="EV10" t="str">
        <f t="shared" si="5"/>
        <v/>
      </c>
      <c r="EY10" t="str">
        <f t="shared" si="6"/>
        <v/>
      </c>
      <c r="FB10" t="str">
        <f t="shared" si="7"/>
        <v/>
      </c>
      <c r="FE10" t="str">
        <f t="shared" si="8"/>
        <v/>
      </c>
      <c r="FH10" t="str">
        <f t="shared" si="9"/>
        <v/>
      </c>
      <c r="FK10" t="str">
        <f t="shared" si="10"/>
        <v/>
      </c>
      <c r="FN10" t="str">
        <f t="shared" si="11"/>
        <v/>
      </c>
      <c r="FQ10" t="str">
        <f t="shared" si="12"/>
        <v/>
      </c>
      <c r="FT10" t="str">
        <f t="shared" si="13"/>
        <v/>
      </c>
      <c r="FW10" t="str">
        <f t="shared" si="14"/>
        <v/>
      </c>
      <c r="FZ10" t="str">
        <f t="shared" si="15"/>
        <v/>
      </c>
      <c r="GC10" t="str">
        <f t="shared" si="16"/>
        <v/>
      </c>
      <c r="GE10" s="155"/>
      <c r="GG10" s="1110" t="str">
        <f>IFERROR(INDEX($DE$2:$DR$500,$FF2,COLUMNS($GF$2:GF2)),"")</f>
        <v/>
      </c>
      <c r="GH10" s="1110" t="str">
        <f>IFERROR(INDEX($DE$2:$DR$500,$FF2,COLUMNS($GF$2:GG2)),"")</f>
        <v/>
      </c>
      <c r="GI10" s="1110" t="str">
        <f>IFERROR(INDEX($DE$2:$DR$500,$FF2,COLUMNS($GF$2:GH2)),"")</f>
        <v/>
      </c>
      <c r="GJ10" s="1110" t="str">
        <f>IFERROR(INDEX($DE$2:$DR$500,$FF2,COLUMNS($GF$2:GI2)),"")</f>
        <v/>
      </c>
      <c r="GK10" s="1110" t="str">
        <f>IFERROR(INDEX($DE$2:$DR$500,$FF2,COLUMNS($GF$2:GJ2)),"")</f>
        <v/>
      </c>
      <c r="GL10" s="1110" t="str">
        <f>IFERROR(INDEX($DE$2:$DR$500,$FF2,COLUMNS($GF$2:GK2)),"")</f>
        <v/>
      </c>
      <c r="GM10" s="1110" t="str">
        <f>IFERROR(INDEX($DE$2:$DR$500,$FF2,COLUMNS($GF$2:GL2)),"")</f>
        <v/>
      </c>
      <c r="GN10" s="1110" t="str">
        <f>IFERROR(INDEX($DE$2:$DR$500,$FF2,COLUMNS($GF$2:GM2)),"")</f>
        <v/>
      </c>
      <c r="GO10" s="1110" t="str">
        <f>IFERROR(INDEX($DE$2:$DR$500,$FF2,COLUMNS($GF$2:GN2)),"")</f>
        <v/>
      </c>
      <c r="GP10" s="1110" t="str">
        <f>IFERROR(INDEX($DE$2:$DR$500,$FF2,COLUMNS($GF$2:GO2)),"")</f>
        <v/>
      </c>
      <c r="GQ10" s="1110" t="str">
        <f>IF($B$29=1,IFERROR(INDEX($DE$2:$DU$300,$FF2,COLUMNS($GF$2:GT2)),""),IF($B$29=2,IFERROR(INDEX($DE$2:$DU$300,$FF2,COLUMNS($GF$2:GV2)),""),IF($B$29=3,IFERROR(INDEX($DE$2:$DU$300,$FF2,COLUMNS($GF$2:GU2)),""),IF($B$29="",IFERROR(INDEX($DE$2:$DU$300,$FF2,COLUMNS($GF$2:GP2)),""),""))))</f>
        <v/>
      </c>
      <c r="GR10" s="1110" t="str">
        <f>IFERROR(INDEX($DE$2:$DR$500,$FF2,COLUMNS($GF$2:GQ2)),"")</f>
        <v/>
      </c>
      <c r="GS10" s="1110" t="str">
        <f>IFERROR(INDEX($DE$2:$DR$500,$FF2,COLUMNS($GF$2:GR2)),"")</f>
        <v/>
      </c>
      <c r="GT10" s="1110" t="str">
        <f>IFERROR(INDEX($DE$2:$EC$300,$FF2,COLUMNS($GF$2:GS2)),"")</f>
        <v/>
      </c>
      <c r="GU10" s="1110" t="str">
        <f>IFERROR(INDEX($DE$2:$EC$300,$FF2,COLUMNS($GF$2:GT2)),"")</f>
        <v/>
      </c>
      <c r="GV10" s="1110" t="str">
        <f>IFERROR(INDEX($DE$2:$EC$300,$FF2,COLUMNS($GF$2:GU2)),"")</f>
        <v/>
      </c>
      <c r="GW10" s="1110" t="str">
        <f>IFERROR(INDEX($DE$2:$EC$300,$FF2,COLUMNS($GF$2:GV2)),"")</f>
        <v/>
      </c>
      <c r="GX10" s="1110" t="str">
        <f>IFERROR(INDEX($DE$2:$EC$300,$FF2,COLUMNS($GF$2:GW2)),"")</f>
        <v/>
      </c>
      <c r="GY10" s="1110" t="str">
        <f>IFERROR(INDEX($DE$2:$EC$300,$FF2,COLUMNS($GF$2:GX2)),"")</f>
        <v/>
      </c>
      <c r="GZ10" s="1110" t="str">
        <f>IFERROR(INDEX($DE$2:$EC$300,$FF2,COLUMNS($GF$2:GY2)),"")</f>
        <v/>
      </c>
      <c r="HA10" s="1110" t="str">
        <f>IFERROR(INDEX($DE$2:$EC$300,$FF2,COLUMNS($GF$2:GZ2)),"")</f>
        <v/>
      </c>
      <c r="HB10" s="1110" t="str">
        <f>IFERROR(INDEX($DE$2:$EC$300,$FF2,COLUMNS($GF$2:HA2)),"")</f>
        <v/>
      </c>
      <c r="HC10" s="1110" t="str">
        <f>IFERROR(INDEX($DE$2:$EC$300,$FF2,COLUMNS($GF$2:HB2)),"")</f>
        <v/>
      </c>
      <c r="HD10" s="1110" t="str">
        <f>IFERROR(INDEX($DE$2:$EC$300,$FF2,COLUMNS($GF$2:HC2)),"")</f>
        <v/>
      </c>
      <c r="HE10" s="1110" t="str">
        <f>IFERROR(INDEX($DE$2:$EC$300,$FF2,COLUMNS($GF$2:HD2)),"")</f>
        <v/>
      </c>
    </row>
    <row r="11" spans="1:217" ht="21" customHeight="1" thickBot="1" x14ac:dyDescent="0.4">
      <c r="A11" s="131" t="s">
        <v>13</v>
      </c>
      <c r="B11" s="104" t="s">
        <v>2315</v>
      </c>
      <c r="D11" s="550" t="s">
        <v>108</v>
      </c>
      <c r="E11" s="550" t="s">
        <v>40</v>
      </c>
      <c r="F11" s="550" t="s">
        <v>778</v>
      </c>
      <c r="G11" s="550" t="s">
        <v>42</v>
      </c>
      <c r="H11" s="1159" t="s">
        <v>43</v>
      </c>
      <c r="I11" s="1159"/>
      <c r="J11" s="1159"/>
      <c r="K11" s="133" t="s">
        <v>728</v>
      </c>
      <c r="L11" s="134" t="s">
        <v>727</v>
      </c>
      <c r="M11" s="621" t="s">
        <v>1433</v>
      </c>
      <c r="N11" s="120" t="s">
        <v>814</v>
      </c>
      <c r="O11" s="121" t="s">
        <v>816</v>
      </c>
      <c r="Q11" t="s">
        <v>2535</v>
      </c>
      <c r="R11" s="26"/>
      <c r="S11">
        <v>638559</v>
      </c>
      <c r="DB11" s="37">
        <v>467367</v>
      </c>
      <c r="DD11" s="75">
        <v>80</v>
      </c>
      <c r="DE11" s="37">
        <v>1039064</v>
      </c>
      <c r="DF11" t="s">
        <v>160</v>
      </c>
      <c r="DG11" s="37" t="str">
        <f t="shared" si="17"/>
        <v>1913 CT138 TSP V 0.018"</v>
      </c>
      <c r="DH11" s="37">
        <v>19</v>
      </c>
      <c r="DI11" s="37">
        <v>1913</v>
      </c>
      <c r="DJ11" s="37" t="s">
        <v>249</v>
      </c>
      <c r="DK11" s="37" t="s">
        <v>244</v>
      </c>
      <c r="DL11" s="37" t="s">
        <v>240</v>
      </c>
      <c r="DM11" s="37">
        <v>27</v>
      </c>
      <c r="DN11" s="37">
        <v>0</v>
      </c>
      <c r="DO11" s="37">
        <v>660</v>
      </c>
      <c r="DP11" s="37"/>
      <c r="DQ11" s="37"/>
      <c r="DR11" s="37" t="str">
        <f t="shared" si="18"/>
        <v>1913 CT138 TSP V</v>
      </c>
      <c r="DS11" s="37"/>
      <c r="DV11" s="10" t="s">
        <v>49</v>
      </c>
      <c r="DW11" t="s">
        <v>1591</v>
      </c>
      <c r="DX11">
        <v>30</v>
      </c>
      <c r="DY11" t="s">
        <v>1674</v>
      </c>
      <c r="DZ11" t="s">
        <v>1669</v>
      </c>
      <c r="EA11">
        <v>1</v>
      </c>
      <c r="EB11" t="s">
        <v>1513</v>
      </c>
      <c r="EC11" s="10">
        <v>836</v>
      </c>
      <c r="ED11" s="10" t="s">
        <v>1737</v>
      </c>
      <c r="EE11" s="813">
        <f t="shared" si="19"/>
        <v>0</v>
      </c>
      <c r="EF11">
        <f>ROWS($DE$2:DE11)</f>
        <v>10</v>
      </c>
      <c r="EG11" t="str">
        <f t="shared" si="0"/>
        <v/>
      </c>
      <c r="EJ11" t="str">
        <f t="shared" si="1"/>
        <v/>
      </c>
      <c r="EM11" t="str">
        <f t="shared" si="2"/>
        <v/>
      </c>
      <c r="EP11" t="str">
        <f t="shared" si="3"/>
        <v/>
      </c>
      <c r="ES11" t="str">
        <f t="shared" si="4"/>
        <v/>
      </c>
      <c r="EV11" t="str">
        <f t="shared" si="5"/>
        <v/>
      </c>
      <c r="EY11" t="str">
        <f t="shared" si="6"/>
        <v/>
      </c>
      <c r="FB11" t="str">
        <f t="shared" si="7"/>
        <v/>
      </c>
      <c r="FE11" t="str">
        <f t="shared" si="8"/>
        <v/>
      </c>
      <c r="FH11" t="str">
        <f t="shared" si="9"/>
        <v/>
      </c>
      <c r="FK11" t="str">
        <f t="shared" si="10"/>
        <v/>
      </c>
      <c r="FN11" t="str">
        <f t="shared" si="11"/>
        <v/>
      </c>
      <c r="FQ11" t="str">
        <f t="shared" si="12"/>
        <v/>
      </c>
      <c r="FT11" t="str">
        <f t="shared" si="13"/>
        <v/>
      </c>
      <c r="FW11" t="str">
        <f t="shared" si="14"/>
        <v/>
      </c>
      <c r="FZ11" t="str">
        <f t="shared" si="15"/>
        <v/>
      </c>
      <c r="GC11" t="str">
        <f t="shared" si="16"/>
        <v/>
      </c>
      <c r="GE11" s="155"/>
      <c r="GG11" s="1110" t="str">
        <f>IFERROR(INDEX($DE$2:$DR$500,$FI2,COLUMNS($GF$2:GF2)),"")</f>
        <v/>
      </c>
      <c r="GH11" s="1110" t="str">
        <f>IFERROR(INDEX($DE$2:$DR$500,$FI2,COLUMNS($GF$2:GG2)),"")</f>
        <v/>
      </c>
      <c r="GI11" s="1110" t="str">
        <f>IFERROR(INDEX($DE$2:$DR$500,$FI2,COLUMNS($GF$2:GH2)),"")</f>
        <v/>
      </c>
      <c r="GJ11" s="1110" t="str">
        <f>IFERROR(INDEX($DE$2:$DR$500,$FI2,COLUMNS($GF$2:GI2)),"")</f>
        <v/>
      </c>
      <c r="GK11" s="1110" t="str">
        <f>IFERROR(INDEX($DE$2:$DR$500,$FI2,COLUMNS($GF$2:GJ2)),"")</f>
        <v/>
      </c>
      <c r="GL11" s="1110" t="str">
        <f>IFERROR(INDEX($DE$2:$DR$500,$FI2,COLUMNS($GF$2:GK2)),"")</f>
        <v/>
      </c>
      <c r="GM11" s="1110" t="str">
        <f>IFERROR(INDEX($DE$2:$DR$500,$FI2,COLUMNS($GF$2:GL2)),"")</f>
        <v/>
      </c>
      <c r="GN11" s="1110" t="str">
        <f>IFERROR(INDEX($DE$2:$DR$500,$FI2,COLUMNS($GF$2:GM2)),"")</f>
        <v/>
      </c>
      <c r="GO11" s="1110" t="str">
        <f>IFERROR(INDEX($DE$2:$DR$500,$FI2,COLUMNS($GF$2:GN2)),"")</f>
        <v/>
      </c>
      <c r="GP11" s="1110" t="str">
        <f>IFERROR(INDEX($DE$2:$DR$500,$FI2,COLUMNS($GF$2:GO2)),"")</f>
        <v/>
      </c>
      <c r="GQ11" s="1110" t="str">
        <f>IFERROR(INDEX($DE$2:$DR$500,$FI2,COLUMNS($GF$2:GP2)),"")</f>
        <v/>
      </c>
      <c r="GR11" s="1110" t="str">
        <f>IFERROR(INDEX($DE$2:$DR$500,$FI2,COLUMNS($GF$2:GQ2)),"")</f>
        <v/>
      </c>
      <c r="GS11" s="1110" t="str">
        <f>IFERROR(INDEX($DE$2:$DR$500,$FI2,COLUMNS($GF$2:GR2)),"")</f>
        <v/>
      </c>
      <c r="GT11" s="1110" t="str">
        <f>IFERROR(INDEX($DE$2:$DR$500,$FI2,COLUMNS($GF$2:GS2)),"")</f>
        <v/>
      </c>
      <c r="GU11" s="1110" t="str">
        <f>IFERROR(INDEX($DE$2:EC$200,$FI2,COLUMNS($GF$2:GT2)),"")</f>
        <v/>
      </c>
      <c r="GV11" s="1110" t="str">
        <f>IFERROR(INDEX($DE$2:EC$200,$FI2,COLUMNS($GF$2:GU2)),"")</f>
        <v/>
      </c>
      <c r="GW11" s="1110" t="str">
        <f>IFERROR(INDEX($DE$2:EC$200,$FI2,COLUMNS($GF$2:GV2)),"")</f>
        <v/>
      </c>
      <c r="GX11" s="1110" t="str">
        <f>IFERROR(INDEX($DE$2:EC$200,$FI2,COLUMNS($GF$2:GW2)),"")</f>
        <v/>
      </c>
      <c r="GY11" s="1110" t="str">
        <f>IFERROR(INDEX($DE$2:EC$200,$FI2,COLUMNS($GF$2:GX2)),"")</f>
        <v/>
      </c>
      <c r="GZ11" s="1110" t="str">
        <f>IFERROR(INDEX($DE$2:EC$200,$FI2,COLUMNS($GF$2:GY2)),"")</f>
        <v/>
      </c>
      <c r="HA11" s="1110" t="str">
        <f>IFERROR(INDEX($DE$2:EC$200,$FI2,COLUMNS($GF$2:GZ2)),"")</f>
        <v/>
      </c>
      <c r="HB11" s="1110" t="str">
        <f>IFERROR(INDEX($DE$2:$EC$300,$FI2,COLUMNS($GF$2:HA2)),"")</f>
        <v/>
      </c>
      <c r="HC11" s="1110" t="str">
        <f>IFERROR(INDEX($DE$2:$EC$300,$FI2,COLUMNS($GF$2:HB2)),"")</f>
        <v/>
      </c>
      <c r="HD11" s="1110" t="str">
        <f>IFERROR(INDEX($DE$2:$EC$300,$FI2,COLUMNS($GF$2:HC2)),"")</f>
        <v/>
      </c>
      <c r="HE11" s="1110" t="str">
        <f>IFERROR(INDEX($DE$2:$EC$300,$FI2,COLUMNS($GF$2:HD2)),"")</f>
        <v/>
      </c>
    </row>
    <row r="12" spans="1:217" ht="15" customHeight="1" thickBot="1" x14ac:dyDescent="0.4">
      <c r="A12" s="128" t="s">
        <v>14</v>
      </c>
      <c r="B12" s="106" t="s">
        <v>2335</v>
      </c>
      <c r="D12" s="142">
        <f>IF(G12="","",IF(CX60&gt;0,IF(CX60&lt;&gt;"", CX60, ""),""))</f>
        <v>1</v>
      </c>
      <c r="E12" s="574">
        <f>IF('Eng. Cutter Entry'!C4&lt;&gt;"",IF($L$9&lt;&gt;1,('ARDT Cutter Entry'!AQ$58+'ARDT Cutter Entry'!AQ$59+'ARDT Cutter Entry'!AQ$60+'ARDT Cutter Entry'!AQ$61),'ARDT Cutter Entry'!AQ$58+'ARDT Cutter Entry'!AQ$59+'ARDT Cutter Entry'!AQ$60+'ARDT Cutter Entry'!AQ$61+Rework!C73),'ARDT Cutter Entry'!AQ2+'ARDT Cutter Entry'!AQ3+'ARDT Cutter Entry'!AQ4+'ARDT Cutter Entry'!AQ5)</f>
        <v>0</v>
      </c>
      <c r="F12" s="574">
        <f t="shared" ref="F12:F24" si="20">IF(GK2&gt;0,IF(GK2&lt;&gt;"",GK2," ")," ")</f>
        <v>1613</v>
      </c>
      <c r="G12" s="574">
        <f>IF(B5&lt;&gt;"",IF(GG2&gt;0,IF(GG2&lt;&gt;"",IF(GG2&lt;&gt;"Add the cutter in list",GG2,"Add the cutter"),""),""),"")</f>
        <v>1039060</v>
      </c>
      <c r="H12" s="1155" t="str">
        <f t="shared" ref="H12:H21" si="21">IF(AND(GM2&lt;&gt;"",GM2&lt;&gt;0),GM2,"")&amp;IF(AND(GL2&lt;&gt;"",GL2&lt;&gt;0)," "&amp;GL2,"")&amp;IF(AND(GN2&lt;&gt;"",GN2&lt;&gt;0)," "&amp;GN2,"")</f>
        <v xml:space="preserve"> CT138 0.018"</v>
      </c>
      <c r="I12" s="1155"/>
      <c r="J12" s="141" t="str">
        <f t="shared" ref="J12:J21" si="22">IF(AND(GR2&lt;&gt;"",GR2&lt;&gt;0),GR2,"")</f>
        <v/>
      </c>
      <c r="K12" s="574" t="str">
        <f t="shared" ref="K12:K21" si="23">IF(IFERROR(E12-L12,E12)=0,"",IFERROR(E12-L12,E12))</f>
        <v/>
      </c>
      <c r="L12" s="1121"/>
      <c r="M12" s="893"/>
      <c r="N12" s="135">
        <f t="shared" ref="N12:N21" si="24">BJ46</f>
        <v>1039060</v>
      </c>
      <c r="O12" s="136">
        <f t="shared" ref="O12:O21" si="25">BO46</f>
        <v>33</v>
      </c>
      <c r="R12" s="26"/>
      <c r="S12">
        <v>1162508</v>
      </c>
      <c r="DB12" s="37">
        <v>471108</v>
      </c>
      <c r="DD12" s="75">
        <v>24</v>
      </c>
      <c r="DE12" s="37">
        <v>177778</v>
      </c>
      <c r="DF12" t="s">
        <v>161</v>
      </c>
      <c r="DG12" s="37" t="str">
        <f t="shared" si="17"/>
        <v xml:space="preserve">1303 CT200 DROPIN </v>
      </c>
      <c r="DH12" s="37">
        <v>13</v>
      </c>
      <c r="DI12" s="37">
        <v>1303</v>
      </c>
      <c r="DJ12" s="37" t="s">
        <v>101</v>
      </c>
      <c r="DK12" s="37" t="s">
        <v>245</v>
      </c>
      <c r="DL12" s="37"/>
      <c r="DM12" s="37">
        <v>15</v>
      </c>
      <c r="DN12" s="37">
        <v>0</v>
      </c>
      <c r="DO12" s="37">
        <v>360</v>
      </c>
      <c r="DP12" s="37"/>
      <c r="DQ12" s="37"/>
      <c r="DR12" s="37" t="str">
        <f t="shared" si="18"/>
        <v>1303 CT200 DROPIN</v>
      </c>
      <c r="DS12" s="37"/>
      <c r="DV12" s="10" t="s">
        <v>146</v>
      </c>
      <c r="DW12" t="s">
        <v>1589</v>
      </c>
      <c r="DX12">
        <v>10</v>
      </c>
      <c r="DY12" t="s">
        <v>1675</v>
      </c>
      <c r="DZ12" t="s">
        <v>1670</v>
      </c>
      <c r="EA12">
        <v>1</v>
      </c>
      <c r="EB12" t="s">
        <v>1513</v>
      </c>
      <c r="EC12" s="10">
        <v>345</v>
      </c>
      <c r="ED12" s="10" t="s">
        <v>1738</v>
      </c>
      <c r="EE12" s="813">
        <f t="shared" si="19"/>
        <v>0</v>
      </c>
      <c r="EF12">
        <f>ROWS($DE$2:DE12)</f>
        <v>11</v>
      </c>
      <c r="EG12" t="str">
        <f t="shared" ref="EG12:EG75" si="26">IF($CY$60&lt;&gt;0,IF($CY$60=DE12,EF12,""),"")</f>
        <v/>
      </c>
      <c r="EJ12" t="str">
        <f t="shared" ref="EJ12:EJ75" si="27">IF($CY$61&lt;&gt;0,IF($CY$61=DE12,EF12,""),"")</f>
        <v/>
      </c>
      <c r="EM12" t="str">
        <f t="shared" ref="EM12:EM75" si="28">IF($CY$62&lt;&gt;0,IF($CY$62=DE12,EF12,""),"")</f>
        <v/>
      </c>
      <c r="EP12" t="str">
        <f t="shared" ref="EP12:EP75" si="29">IF($CY$63&lt;&gt;0,IF($CY$63=DE12,EF12,""),"")</f>
        <v/>
      </c>
      <c r="ES12" t="str">
        <f t="shared" ref="ES12:ES75" si="30">IF($CY$64&lt;&gt;0,IF($CY$64=DE12,EF12,""),"")</f>
        <v/>
      </c>
      <c r="EV12" t="str">
        <f t="shared" ref="EV12:EV75" si="31">IF($CY$65&lt;&gt;0,IF($CY$65=DE12,EF12,""),"")</f>
        <v/>
      </c>
      <c r="EY12" t="str">
        <f t="shared" ref="EY12:EY75" si="32">IF($CY$66&lt;&gt;0,IF($CY$66=DE12,EF12,""),"")</f>
        <v/>
      </c>
      <c r="FB12" t="str">
        <f t="shared" ref="FB12:FB75" si="33">IF($CY$67&lt;&gt;0,IF($CY$67=DE12,EF12,""),"")</f>
        <v/>
      </c>
      <c r="FE12" t="str">
        <f t="shared" ref="FE12:FE75" si="34">IF($CY$68&lt;&gt;0,IF($CY$68=DE12,EF12,""),"")</f>
        <v/>
      </c>
      <c r="FH12" t="str">
        <f t="shared" ref="FH12:FH75" si="35">IF($CY$69&lt;&gt;0,IF($CY$69=DE12,EF12,""),"")</f>
        <v/>
      </c>
      <c r="FK12" t="str">
        <f t="shared" ref="FK12:FK75" si="36">IF($CY$70&lt;&gt;0, IF($CY$70=DE12, EF12, ""), "")</f>
        <v/>
      </c>
      <c r="FN12" t="str">
        <f t="shared" ref="FN12:FN75" si="37">IF($CY$71&lt;&gt;0, IF($CY$71=DE12, EF12, ""), "")</f>
        <v/>
      </c>
      <c r="FQ12" t="str">
        <f t="shared" ref="FQ12:FQ75" si="38">IF($CY$72&lt;&gt;0, IF($CY$72=DE12, EF12, ""), "")</f>
        <v/>
      </c>
      <c r="FT12" t="str">
        <f t="shared" ref="FT12:FT75" si="39">IF($CY$73&lt;&gt;0, IF($CY$73=DE12, EF12, ""), "")</f>
        <v/>
      </c>
      <c r="FW12" t="str">
        <f t="shared" ref="FW12:FW75" si="40">IF($CY$74&lt;&gt;0, IF($CY$74=DE12, EF12, ""), "")</f>
        <v/>
      </c>
      <c r="FZ12" t="str">
        <f t="shared" ref="FZ12:FZ75" si="41">IF($CY$75&lt;&gt;0, IF($CY$75=DE12, EF12, ""), "")</f>
        <v/>
      </c>
      <c r="GC12" t="str">
        <f t="shared" ref="GC12:GC75" si="42">IF($CY$76&lt;&gt;0, IF($CY$76=DE12, EF12, ""), "")</f>
        <v/>
      </c>
      <c r="GE12" s="155"/>
      <c r="GG12" s="1110" t="str">
        <f>IFERROR(INDEX($DE$2:$DR$500,$FL2,COLUMNS($GF$2:GF2)),"")</f>
        <v/>
      </c>
      <c r="GH12" s="1110" t="str">
        <f>IFERROR(INDEX($DE$2:$DR$500,$FL2,COLUMNS($GF$2:GG2)),"")</f>
        <v/>
      </c>
      <c r="GI12" s="1110" t="str">
        <f>IFERROR(INDEX($DE$2:$DR$500,$FL2,COLUMNS($GF$2:GH2)),"")</f>
        <v/>
      </c>
      <c r="GJ12" s="1110" t="str">
        <f>IFERROR(INDEX($DE$2:$DR$500,$FL2,COLUMNS($GF$2:GI2)),"")</f>
        <v/>
      </c>
      <c r="GK12" s="1110" t="str">
        <f>IFERROR(INDEX($DE$2:$DR$500,$FL2,COLUMNS($GF$2:GJ2)),"")</f>
        <v/>
      </c>
      <c r="GL12" s="1110" t="str">
        <f>IFERROR(INDEX($DE$2:$DR$500,$FL2,COLUMNS($GF$2:GK2)),"")</f>
        <v/>
      </c>
      <c r="GM12" s="1110" t="str">
        <f>IFERROR(INDEX($DE$2:$DR$500,$FL2,COLUMNS($GF$2:GL2)),"")</f>
        <v/>
      </c>
      <c r="GN12" s="1110" t="str">
        <f>IFERROR(INDEX($DE$2:$DR$500,$FL2,COLUMNS($GF$2:GM2)),"")</f>
        <v/>
      </c>
      <c r="GO12" s="1110" t="str">
        <f>IFERROR(INDEX($DE$2:$DR$500,$FL2,COLUMNS($GF$2:GN2)),"")</f>
        <v/>
      </c>
      <c r="GP12" s="1110" t="str">
        <f>IFERROR(INDEX($DE$2:$DR$500,$FL2,COLUMNS($GF$2:GO2)),"")</f>
        <v/>
      </c>
      <c r="GQ12" s="1110" t="str">
        <f>IFERROR(INDEX($DE$2:$DR$500,$FL2,COLUMNS($GF$2:GP2)),"")</f>
        <v/>
      </c>
      <c r="GR12" s="1110" t="str">
        <f>IFERROR(INDEX($DE$2:$DR$500,$FL2,COLUMNS($GF$2:GQ2)),"")</f>
        <v/>
      </c>
      <c r="GS12" s="1110" t="str">
        <f>IFERROR(INDEX($DE$2:$DR$500,$FL2,COLUMNS($GF$2:GR2)),"")</f>
        <v/>
      </c>
      <c r="GT12" s="1110" t="str">
        <f>IFERROR(INDEX($DE$2:$DR$500,$FL2,COLUMNS($GF$2:GS2)),"")</f>
        <v/>
      </c>
      <c r="GU12" s="1110" t="str">
        <f>IFERROR(INDEX($DE$2:$DR$500,$FL2,COLUMNS($GF$2:GT2)),"")</f>
        <v/>
      </c>
      <c r="GV12" s="1110" t="str">
        <f>IFERROR(INDEX($DE$2:$DR$500,$FL2,COLUMNS($GF$2:GU2)),"")</f>
        <v/>
      </c>
      <c r="GW12" s="1110" t="str">
        <f>IFERROR(INDEX($DE$2:$DR$500,$FL2,COLUMNS($GF$2:GV2)),"")</f>
        <v/>
      </c>
      <c r="GX12" s="1110" t="str">
        <f>IFERROR(INDEX($DE$2:$DR$500,$FL2,COLUMNS($GF$2:GW2)),"")</f>
        <v/>
      </c>
      <c r="GY12" s="1110" t="str">
        <f>IFERROR(INDEX($DE$2:$DR$500,$FL2,COLUMNS($GF$2:GX2)),"")</f>
        <v/>
      </c>
      <c r="GZ12" s="1110" t="str">
        <f>IFERROR(INDEX($DE$2:$DR$500,$FL2,COLUMNS($GF$2:GY2)),"")</f>
        <v/>
      </c>
      <c r="HA12" s="1110" t="str">
        <f>IFERROR(INDEX($DE$2:$DR$500,$FL2,COLUMNS($GF$2:GZ2)),"")</f>
        <v/>
      </c>
      <c r="HB12" s="1110" t="str">
        <f>IFERROR(INDEX($DE$2:$DR$500,$FL2,COLUMNS($GF$2:HA2)),"")</f>
        <v/>
      </c>
      <c r="HC12" s="1110" t="str">
        <f>IFERROR(INDEX($DE$2:$DR$500,$FL2,COLUMNS($GF$2:HB2)),"")</f>
        <v/>
      </c>
      <c r="HD12" s="1110" t="str">
        <f>IFERROR(INDEX($DE$2:$DR$500,$FL2,COLUMNS($GF$2:HC2)),"")</f>
        <v/>
      </c>
      <c r="HE12" s="1110" t="str">
        <f>IFERROR(INDEX($DE$2:$DR$500,$FL2,COLUMNS($GF$2:HD2)),"")</f>
        <v/>
      </c>
    </row>
    <row r="13" spans="1:217" ht="15" customHeight="1" thickBot="1" x14ac:dyDescent="0.4">
      <c r="A13" s="132" t="s">
        <v>941</v>
      </c>
      <c r="B13" s="105">
        <v>46022</v>
      </c>
      <c r="D13" s="143">
        <f>IF(G13="","",IF(CX61&gt;0,IF(CX61&lt;&gt;"", CX61, ""),""))</f>
        <v>2</v>
      </c>
      <c r="E13" s="574">
        <f>IF('Eng. Cutter Entry'!C4&lt;&gt;"",IF($L$9&lt;&gt;1,('ARDT Cutter Entry'!AR$58+'ARDT Cutter Entry'!AR$59+'ARDT Cutter Entry'!AR$60+'ARDT Cutter Entry'!AR$61),'ARDT Cutter Entry'!AR$58+'ARDT Cutter Entry'!AR$59+'ARDT Cutter Entry'!AR$60+'ARDT Cutter Entry'!AR$61+Rework!D73),'ARDT Cutter Entry'!AR2+'ARDT Cutter Entry'!AR3+'ARDT Cutter Entry'!AR4+'ARDT Cutter Entry'!AR5)</f>
        <v>0</v>
      </c>
      <c r="F13" s="574">
        <f t="shared" si="20"/>
        <v>1608</v>
      </c>
      <c r="G13" s="574">
        <f>IF(B5&lt;&gt;"",IF(GG3&gt;0,IF(GG3&lt;&gt;"",IF(GG3&lt;&gt;"Add the cutter in list",GG3,"Add the cutter"),""),""),"")</f>
        <v>1130197</v>
      </c>
      <c r="H13" s="1155" t="str">
        <f t="shared" si="21"/>
        <v xml:space="preserve"> CT182 0.018</v>
      </c>
      <c r="I13" s="1155"/>
      <c r="J13" s="141" t="str">
        <f t="shared" si="22"/>
        <v/>
      </c>
      <c r="K13" s="574" t="str">
        <f t="shared" si="23"/>
        <v/>
      </c>
      <c r="L13" s="904"/>
      <c r="M13" s="893"/>
      <c r="N13" s="135">
        <f t="shared" si="24"/>
        <v>1130197</v>
      </c>
      <c r="O13" s="136">
        <f t="shared" si="25"/>
        <v>23</v>
      </c>
      <c r="R13" s="26"/>
      <c r="S13">
        <v>729688</v>
      </c>
      <c r="DB13" s="37">
        <v>471109</v>
      </c>
      <c r="DD13" s="75">
        <v>2</v>
      </c>
      <c r="DE13" s="37">
        <v>375538</v>
      </c>
      <c r="DF13" t="s">
        <v>162</v>
      </c>
      <c r="DG13" s="37" t="str">
        <f t="shared" si="17"/>
        <v xml:space="preserve">13  R1 PEP .012R LG BEVEL </v>
      </c>
      <c r="DH13" s="37">
        <v>13</v>
      </c>
      <c r="DI13" s="37">
        <v>13</v>
      </c>
      <c r="DJ13" s="37"/>
      <c r="DK13" s="37" t="s">
        <v>235</v>
      </c>
      <c r="DL13" s="37"/>
      <c r="DM13" s="37">
        <v>24</v>
      </c>
      <c r="DN13" s="37">
        <v>38</v>
      </c>
      <c r="DO13" s="37">
        <v>360</v>
      </c>
      <c r="DP13" s="37"/>
      <c r="DQ13" s="37"/>
      <c r="DR13" s="37" t="str">
        <f t="shared" si="18"/>
        <v>13  R1 PEP .012R LG BEVEL</v>
      </c>
      <c r="DS13" s="37">
        <f>DT13*1.3</f>
        <v>140.76400000000001</v>
      </c>
      <c r="DT13" s="10">
        <v>108.28</v>
      </c>
      <c r="DV13" s="10" t="s">
        <v>1752</v>
      </c>
      <c r="DW13" t="s">
        <v>1589</v>
      </c>
      <c r="DX13">
        <v>10</v>
      </c>
      <c r="DY13" t="s">
        <v>1675</v>
      </c>
      <c r="DZ13" t="s">
        <v>1670</v>
      </c>
      <c r="EA13">
        <v>1</v>
      </c>
      <c r="EB13" t="s">
        <v>1513</v>
      </c>
      <c r="EC13" s="10">
        <v>345</v>
      </c>
      <c r="ED13" s="10" t="s">
        <v>1738</v>
      </c>
      <c r="EE13" s="813">
        <f t="shared" si="19"/>
        <v>0</v>
      </c>
      <c r="EF13">
        <f>ROWS($DE$2:DE13)</f>
        <v>12</v>
      </c>
      <c r="EG13" t="str">
        <f t="shared" si="26"/>
        <v/>
      </c>
      <c r="EJ13" t="str">
        <f t="shared" si="27"/>
        <v/>
      </c>
      <c r="EM13" t="str">
        <f t="shared" si="28"/>
        <v/>
      </c>
      <c r="EP13" t="str">
        <f t="shared" si="29"/>
        <v/>
      </c>
      <c r="ES13" t="str">
        <f t="shared" si="30"/>
        <v/>
      </c>
      <c r="EV13" t="str">
        <f t="shared" si="31"/>
        <v/>
      </c>
      <c r="EY13" t="str">
        <f t="shared" si="32"/>
        <v/>
      </c>
      <c r="FB13" t="str">
        <f t="shared" si="33"/>
        <v/>
      </c>
      <c r="FE13" t="str">
        <f t="shared" si="34"/>
        <v/>
      </c>
      <c r="FH13" t="str">
        <f t="shared" si="35"/>
        <v/>
      </c>
      <c r="FK13" t="str">
        <f t="shared" si="36"/>
        <v/>
      </c>
      <c r="FN13" t="str">
        <f t="shared" si="37"/>
        <v/>
      </c>
      <c r="FQ13" t="str">
        <f t="shared" si="38"/>
        <v/>
      </c>
      <c r="FT13" t="str">
        <f t="shared" si="39"/>
        <v/>
      </c>
      <c r="FW13" t="str">
        <f t="shared" si="40"/>
        <v/>
      </c>
      <c r="FZ13" t="str">
        <f t="shared" si="41"/>
        <v/>
      </c>
      <c r="GC13" t="str">
        <f t="shared" si="42"/>
        <v/>
      </c>
      <c r="GE13" s="155"/>
      <c r="GG13" s="1110" t="str">
        <f>IFERROR(INDEX($DE$2:$DR$500,$FO2,COLUMNS($GF$2:GF2)),"")</f>
        <v/>
      </c>
      <c r="GH13" s="1110" t="str">
        <f>IFERROR(INDEX($DE$2:$DR$500,$FO2,COLUMNS($GF$2:GG2)),"")</f>
        <v/>
      </c>
      <c r="GI13" s="1110" t="str">
        <f>IFERROR(INDEX($DE$2:$DR$500,$FO2,COLUMNS($GF$2:GH2)),"")</f>
        <v/>
      </c>
      <c r="GJ13" s="1110" t="str">
        <f>IFERROR(INDEX($DE$2:$DR$500,$FO2,COLUMNS($GF$2:GI2)),"")</f>
        <v/>
      </c>
      <c r="GK13" s="1110" t="str">
        <f>IFERROR(INDEX($DE$2:$DR$500,$FO2,COLUMNS($GF$2:GJ2)),"")</f>
        <v/>
      </c>
      <c r="GL13" s="1110" t="str">
        <f>IFERROR(INDEX($DE$2:$DR$500,$FO2,COLUMNS($GF$2:GK2)),"")</f>
        <v/>
      </c>
      <c r="GM13" s="1110" t="str">
        <f>IFERROR(INDEX($DE$2:$DR$500,$FO2,COLUMNS($GF$2:GL2)),"")</f>
        <v/>
      </c>
      <c r="GN13" s="1110" t="str">
        <f>IFERROR(INDEX($DE$2:$DR$500,$FO2,COLUMNS($GF$2:GM2)),"")</f>
        <v/>
      </c>
      <c r="GO13" s="1110" t="str">
        <f>IFERROR(INDEX($DE$2:$DR$500,$FO2,COLUMNS($GF$2:GN2)),"")</f>
        <v/>
      </c>
      <c r="GP13" s="1110" t="str">
        <f>IFERROR(INDEX($DE$2:$DR$500,$FO2,COLUMNS($GF$2:GO2)),"")</f>
        <v/>
      </c>
      <c r="GQ13" s="1110" t="str">
        <f>IFERROR(INDEX($DE$2:$DR$500,$FO2,COLUMNS($GF$2:GP2)),"")</f>
        <v/>
      </c>
      <c r="GR13" s="1110" t="str">
        <f>IFERROR(INDEX($DE$2:$DR$500,$FO2,COLUMNS($GF$2:GQ2)),"")</f>
        <v/>
      </c>
      <c r="GS13" s="1110" t="str">
        <f>IFERROR(INDEX($DE$2:$DR$500,$FO2,COLUMNS($GF$2:GR2)),"")</f>
        <v/>
      </c>
      <c r="GT13" s="1110" t="str">
        <f>IFERROR(INDEX($DE$2:$DR$500,$FO2,COLUMNS($GF$2:GS2)),"")</f>
        <v/>
      </c>
      <c r="GU13" s="1110" t="str">
        <f>IFERROR(INDEX($DE$2:$DR$500,$FO2,COLUMNS($GF$2:GT2)),"")</f>
        <v/>
      </c>
      <c r="GV13" s="1110" t="str">
        <f>IFERROR(INDEX($DE$2:$DR$500,$FO2,COLUMNS($GF$2:GU2)),"")</f>
        <v/>
      </c>
      <c r="GW13" s="1110" t="str">
        <f>IFERROR(INDEX($DE$2:$DR$500,$FO2,COLUMNS($GF$2:GV2)),"")</f>
        <v/>
      </c>
      <c r="GX13" s="1110" t="str">
        <f>IFERROR(INDEX($DE$2:$DR$500,$FO2,COLUMNS($GF$2:GW2)),"")</f>
        <v/>
      </c>
      <c r="GY13" s="1110" t="str">
        <f>IFERROR(INDEX($DE$2:$DR$500,$FO2,COLUMNS($GF$2:GX2)),"")</f>
        <v/>
      </c>
      <c r="GZ13" s="1110" t="str">
        <f>IFERROR(INDEX($DE$2:$DR$500,$FO2,COLUMNS($GF$2:GY2)),"")</f>
        <v/>
      </c>
      <c r="HA13" s="1110" t="str">
        <f>IFERROR(INDEX($DE$2:$DR$500,$FO2,COLUMNS($GF$2:GZ2)),"")</f>
        <v/>
      </c>
      <c r="HB13" s="1110" t="str">
        <f>IFERROR(INDEX($DE$2:$DR$500,$FO2,COLUMNS($GF$2:HA2)),"")</f>
        <v/>
      </c>
      <c r="HC13" s="1110" t="str">
        <f>IFERROR(INDEX($DE$2:$DR$500,$FO2,COLUMNS($GF$2:HB2)),"")</f>
        <v/>
      </c>
      <c r="HD13" s="1110" t="str">
        <f>IFERROR(INDEX($DE$2:$DR$500,$FO2,COLUMNS($GF$2:HC2)),"")</f>
        <v/>
      </c>
      <c r="HE13" s="1110" t="str">
        <f>IFERROR(INDEX($DE$2:$DR$500,$FO2,COLUMNS($GF$2:HD2)),"")</f>
        <v/>
      </c>
    </row>
    <row r="14" spans="1:217" ht="15" customHeight="1" thickBot="1" x14ac:dyDescent="0.4">
      <c r="A14" s="131" t="str">
        <f>IF(Data!B7="SAUDI ARAMCO","DTD/TSSD:","Reviewed by Eng.:")</f>
        <v>DTD/TSSD:</v>
      </c>
      <c r="B14" s="532"/>
      <c r="D14" s="144">
        <f>IF(G14="","",IF(CX62&gt;0,IF(CX62&lt;&gt;"", CX62, ""),""))</f>
        <v>3</v>
      </c>
      <c r="E14" s="574">
        <f>IF('Eng. Cutter Entry'!C4&lt;&gt;"",IF($L$9&lt;&gt;1,('ARDT Cutter Entry'!AS$58+'ARDT Cutter Entry'!AS$59+'ARDT Cutter Entry'!AS$60+'ARDT Cutter Entry'!AS$61),'ARDT Cutter Entry'!AS$58+'ARDT Cutter Entry'!AS$59+'ARDT Cutter Entry'!AS$60+'ARDT Cutter Entry'!AS$61+Rework!E73),'ARDT Cutter Entry'!AS2+'ARDT Cutter Entry'!AS3+'ARDT Cutter Entry'!AS4+'ARDT Cutter Entry'!AS5)</f>
        <v>6</v>
      </c>
      <c r="F14" s="574">
        <f t="shared" si="20"/>
        <v>1308</v>
      </c>
      <c r="G14" s="574">
        <f>IF(B5&lt;&gt;"",IF(GG4&gt;0,IF(GG4&lt;&gt;"",IF(GG4&lt;&gt;"Add the cutter in list",GG4,"Add the cutter"),""),""),"")</f>
        <v>418525</v>
      </c>
      <c r="H14" s="1155" t="str">
        <f t="shared" si="21"/>
        <v>Drop in CT31</v>
      </c>
      <c r="I14" s="1155"/>
      <c r="J14" s="141" t="str">
        <f t="shared" si="22"/>
        <v/>
      </c>
      <c r="K14" s="574">
        <f t="shared" si="23"/>
        <v>6</v>
      </c>
      <c r="L14" s="904"/>
      <c r="M14" s="893"/>
      <c r="N14" s="135">
        <f t="shared" si="24"/>
        <v>418525</v>
      </c>
      <c r="O14" s="136">
        <f t="shared" si="25"/>
        <v>6</v>
      </c>
      <c r="R14" s="26"/>
      <c r="DB14" s="37">
        <v>535656</v>
      </c>
      <c r="DD14" s="75">
        <v>15</v>
      </c>
      <c r="DE14" s="37">
        <v>376826</v>
      </c>
      <c r="DF14" t="s">
        <v>163</v>
      </c>
      <c r="DG14" s="37" t="str">
        <f t="shared" si="17"/>
        <v xml:space="preserve">1325  Graphite for Rinho Cutter Plug </v>
      </c>
      <c r="DH14" s="37">
        <v>13</v>
      </c>
      <c r="DI14" s="37">
        <v>1325</v>
      </c>
      <c r="DJ14" s="37"/>
      <c r="DK14" s="37" t="s">
        <v>238</v>
      </c>
      <c r="DL14" s="37"/>
      <c r="DM14" s="37">
        <v>0</v>
      </c>
      <c r="DN14" s="37">
        <v>3</v>
      </c>
      <c r="DO14" s="37">
        <v>360</v>
      </c>
      <c r="DP14" s="37"/>
      <c r="DQ14" s="37"/>
      <c r="DR14" s="37" t="str">
        <f t="shared" si="18"/>
        <v>1325  Graphite for Rinho Cutter Plug</v>
      </c>
      <c r="DS14" s="37">
        <f t="shared" ref="DS14:DS77" si="43">DT14*1.3</f>
        <v>0</v>
      </c>
      <c r="DV14" s="10" t="s">
        <v>1543</v>
      </c>
      <c r="DW14" t="s">
        <v>1543</v>
      </c>
      <c r="DX14" t="s">
        <v>1543</v>
      </c>
      <c r="DY14" t="s">
        <v>1543</v>
      </c>
      <c r="DZ14" t="s">
        <v>1543</v>
      </c>
      <c r="EA14" t="s">
        <v>1543</v>
      </c>
      <c r="EB14" t="s">
        <v>1543</v>
      </c>
      <c r="EC14" s="10" t="s">
        <v>1543</v>
      </c>
      <c r="ED14" s="10" t="s">
        <v>1543</v>
      </c>
      <c r="EE14" s="813">
        <f t="shared" si="19"/>
        <v>0</v>
      </c>
      <c r="EF14">
        <f>ROWS($DE$2:DE14)</f>
        <v>13</v>
      </c>
      <c r="EG14" t="str">
        <f t="shared" si="26"/>
        <v/>
      </c>
      <c r="EJ14" t="str">
        <f t="shared" si="27"/>
        <v/>
      </c>
      <c r="EM14" t="str">
        <f t="shared" si="28"/>
        <v/>
      </c>
      <c r="EP14" t="str">
        <f t="shared" si="29"/>
        <v/>
      </c>
      <c r="ES14" t="str">
        <f t="shared" si="30"/>
        <v/>
      </c>
      <c r="EV14" t="str">
        <f t="shared" si="31"/>
        <v/>
      </c>
      <c r="EY14" t="str">
        <f t="shared" si="32"/>
        <v/>
      </c>
      <c r="FB14" t="str">
        <f t="shared" si="33"/>
        <v/>
      </c>
      <c r="FE14" t="str">
        <f t="shared" si="34"/>
        <v/>
      </c>
      <c r="FH14" t="str">
        <f t="shared" si="35"/>
        <v/>
      </c>
      <c r="FK14" t="str">
        <f t="shared" si="36"/>
        <v/>
      </c>
      <c r="FN14" t="str">
        <f t="shared" si="37"/>
        <v/>
      </c>
      <c r="FQ14" t="str">
        <f t="shared" si="38"/>
        <v/>
      </c>
      <c r="FT14" t="str">
        <f t="shared" si="39"/>
        <v/>
      </c>
      <c r="FW14" t="str">
        <f t="shared" si="40"/>
        <v/>
      </c>
      <c r="FZ14" t="str">
        <f t="shared" si="41"/>
        <v/>
      </c>
      <c r="GC14" t="str">
        <f t="shared" si="42"/>
        <v/>
      </c>
      <c r="GE14" s="155"/>
      <c r="GG14" s="1110" t="str">
        <f>IFERROR(INDEX($DE$2:$DR$500,$FR2,COLUMNS($GF$2:GF2)),"")</f>
        <v/>
      </c>
      <c r="GH14" s="1110" t="str">
        <f>IFERROR(INDEX($DE$2:$DR$500,$FR2,COLUMNS($GF$2:GG2)),"")</f>
        <v/>
      </c>
      <c r="GI14" s="1110" t="str">
        <f>IFERROR(INDEX($DE$2:$DR$500,$FR2,COLUMNS($GF$2:GH2)),"")</f>
        <v/>
      </c>
      <c r="GJ14" s="1110" t="str">
        <f>IFERROR(INDEX($DE$2:$DR$500,$FR2,COLUMNS($GF$2:GI2)),"")</f>
        <v/>
      </c>
      <c r="GK14" s="1110" t="str">
        <f>IFERROR(INDEX($DE$2:$DR$500,$FR2,COLUMNS($GF$2:GJ2)),"")</f>
        <v/>
      </c>
      <c r="GL14" s="1110" t="str">
        <f>IFERROR(INDEX($DE$2:$DR$500,$FR2,COLUMNS($GF$2:GK2)),"")</f>
        <v/>
      </c>
      <c r="GM14" s="1110" t="str">
        <f>IFERROR(INDEX($DE$2:$DR$500,$FR2,COLUMNS($GF$2:GL2)),"")</f>
        <v/>
      </c>
      <c r="GN14" s="1110" t="str">
        <f>IFERROR(INDEX($DE$2:$DR$500,$FR2,COLUMNS($GF$2:GM2)),"")</f>
        <v/>
      </c>
      <c r="GO14" s="1110" t="str">
        <f>IFERROR(INDEX($DE$2:$DR$500,$FR2,COLUMNS($GF$2:GN2)),"")</f>
        <v/>
      </c>
      <c r="GP14" s="1110" t="str">
        <f>IFERROR(INDEX($DE$2:$DR$500,$FR2,COLUMNS($GF$2:GO2)),"")</f>
        <v/>
      </c>
      <c r="GQ14" s="1110" t="str">
        <f>IFERROR(INDEX($DE$2:$DR$500,$FR2,COLUMNS($GF$2:GP2)),"")</f>
        <v/>
      </c>
      <c r="GR14" s="1110" t="str">
        <f>IFERROR(INDEX($DE$2:$DR$500,$FR2,COLUMNS($GF$2:GQ2)),"")</f>
        <v/>
      </c>
      <c r="GS14" s="1110" t="str">
        <f>IFERROR(INDEX($DE$2:$DR$500,$FR2,COLUMNS($GF$2:GR2)),"")</f>
        <v/>
      </c>
      <c r="GT14" s="1110" t="str">
        <f>IFERROR(INDEX($DE$2:$DR$500,$FR2,COLUMNS($GF$2:GS2)),"")</f>
        <v/>
      </c>
      <c r="GU14" s="1110" t="str">
        <f>IFERROR(INDEX($DE$2:$DR$500,$FR2,COLUMNS($GF$2:GT2)),"")</f>
        <v/>
      </c>
      <c r="GV14" s="1110" t="str">
        <f>IFERROR(INDEX($DE$2:$DR$500,$FR2,COLUMNS($GF$2:GU2)),"")</f>
        <v/>
      </c>
      <c r="GW14" s="1110" t="str">
        <f>IFERROR(INDEX($DE$2:$DR$500,$FR2,COLUMNS($GF$2:GV2)),"")</f>
        <v/>
      </c>
      <c r="GX14" s="1110" t="str">
        <f>IFERROR(INDEX($DE$2:$DR$500,$FR2,COLUMNS($GF$2:GW2)),"")</f>
        <v/>
      </c>
      <c r="GY14" s="1110" t="str">
        <f>IFERROR(INDEX($DE$2:$DR$500,$FR2,COLUMNS($GF$2:GX2)),"")</f>
        <v/>
      </c>
      <c r="GZ14" s="1110" t="str">
        <f>IFERROR(INDEX($DE$2:$DR$500,$FR2,COLUMNS($GF$2:GY2)),"")</f>
        <v/>
      </c>
      <c r="HA14" s="1110" t="str">
        <f>IFERROR(INDEX($DE$2:$DR$500,$FR2,COLUMNS($GF$2:GZ2)),"")</f>
        <v/>
      </c>
      <c r="HB14" s="1110" t="str">
        <f>IFERROR(INDEX($DE$2:$DR$500,$FR2,COLUMNS($GF$2:HA2)),"")</f>
        <v/>
      </c>
      <c r="HC14" s="1110" t="str">
        <f>IFERROR(INDEX($DE$2:$DR$500,$FR2,COLUMNS($GF$2:HB2)),"")</f>
        <v/>
      </c>
      <c r="HD14" s="1110" t="str">
        <f>IFERROR(INDEX($DE$2:$DR$500,$FR2,COLUMNS($GF$2:HC2)),"")</f>
        <v/>
      </c>
      <c r="HE14" s="1110" t="str">
        <f>IFERROR(INDEX($DE$2:$DR$500,$FR2,COLUMNS($GF$2:HD2)),"")</f>
        <v/>
      </c>
    </row>
    <row r="15" spans="1:217" ht="15" customHeight="1" thickBot="1" x14ac:dyDescent="0.4">
      <c r="A15" s="132" t="s">
        <v>942</v>
      </c>
      <c r="B15" s="105"/>
      <c r="D15" s="145">
        <f t="shared" ref="D15:D21" si="44">IF(TRIM(G15)="","",IF(CX63&gt;0,IF(CX63&lt;&gt;"", CX63, ""),""))</f>
        <v>4</v>
      </c>
      <c r="E15" s="574">
        <f>IF('Eng. Cutter Entry'!C4&lt;&gt;"",IF($L$9&lt;&gt;1,('ARDT Cutter Entry'!AT$58+'ARDT Cutter Entry'!AT$59+'ARDT Cutter Entry'!AT$60+'ARDT Cutter Entry'!AT$61),'ARDT Cutter Entry'!AT$58+'ARDT Cutter Entry'!AT$59+'ARDT Cutter Entry'!AT$60+'ARDT Cutter Entry'!AT$61+Rework!F73),'ARDT Cutter Entry'!AT2+'ARDT Cutter Entry'!AT3+'ARDT Cutter Entry'!AT4+'ARDT Cutter Entry'!AT5)</f>
        <v>6</v>
      </c>
      <c r="F15" s="574">
        <f t="shared" si="20"/>
        <v>1608</v>
      </c>
      <c r="G15" s="574">
        <f>IF(B5&lt;&gt;"",IF(GG5&gt;0,IF(GG5&lt;&gt;"",IF(GG5&lt;&gt;"Add the cutter in list",GG5,"Add the cutter"),""),""),"")</f>
        <v>643738</v>
      </c>
      <c r="H15" s="1155" t="str">
        <f t="shared" si="21"/>
        <v xml:space="preserve"> CT70 0.018"</v>
      </c>
      <c r="I15" s="1155"/>
      <c r="J15" s="141" t="str">
        <f t="shared" si="22"/>
        <v/>
      </c>
      <c r="K15" s="574">
        <f t="shared" si="23"/>
        <v>6</v>
      </c>
      <c r="L15" s="904"/>
      <c r="M15" s="893" t="s">
        <v>2536</v>
      </c>
      <c r="N15" s="137">
        <f t="shared" si="24"/>
        <v>0</v>
      </c>
      <c r="O15" s="136">
        <f t="shared" si="25"/>
        <v>0</v>
      </c>
      <c r="R15" s="26"/>
      <c r="DB15" s="37">
        <v>565884</v>
      </c>
      <c r="DD15" s="75">
        <v>3</v>
      </c>
      <c r="DE15" s="37">
        <v>399930</v>
      </c>
      <c r="DF15" t="s">
        <v>164</v>
      </c>
      <c r="DG15" s="37" t="str">
        <f t="shared" si="17"/>
        <v>1919 CT27 BL 0.020"</v>
      </c>
      <c r="DH15" s="37">
        <v>19</v>
      </c>
      <c r="DI15" s="37">
        <v>1919</v>
      </c>
      <c r="DJ15" s="37" t="s">
        <v>250</v>
      </c>
      <c r="DK15" s="37" t="s">
        <v>246</v>
      </c>
      <c r="DL15" s="37" t="s">
        <v>241</v>
      </c>
      <c r="DM15" s="37">
        <v>1</v>
      </c>
      <c r="DN15" s="37">
        <v>24</v>
      </c>
      <c r="DO15" s="37">
        <v>660</v>
      </c>
      <c r="DP15" s="37"/>
      <c r="DQ15" s="37"/>
      <c r="DR15" s="37" t="str">
        <f t="shared" si="18"/>
        <v>1919 CT27 BL</v>
      </c>
      <c r="DS15" s="37">
        <f t="shared" si="43"/>
        <v>0</v>
      </c>
      <c r="DV15" s="10" t="s">
        <v>732</v>
      </c>
      <c r="DW15" t="s">
        <v>1591</v>
      </c>
      <c r="DX15">
        <v>20</v>
      </c>
      <c r="DY15" t="s">
        <v>1676</v>
      </c>
      <c r="DZ15" t="s">
        <v>1669</v>
      </c>
      <c r="EA15">
        <v>1</v>
      </c>
      <c r="EB15" t="s">
        <v>1513</v>
      </c>
      <c r="EC15" s="10">
        <v>712</v>
      </c>
      <c r="ED15" s="10" t="s">
        <v>1739</v>
      </c>
      <c r="EE15" s="813">
        <f t="shared" si="19"/>
        <v>0</v>
      </c>
      <c r="EF15">
        <f>ROWS($DE$2:DE15)</f>
        <v>14</v>
      </c>
      <c r="EG15" t="str">
        <f t="shared" si="26"/>
        <v/>
      </c>
      <c r="EJ15" t="str">
        <f t="shared" si="27"/>
        <v/>
      </c>
      <c r="EM15" t="str">
        <f t="shared" si="28"/>
        <v/>
      </c>
      <c r="EP15" t="str">
        <f t="shared" si="29"/>
        <v/>
      </c>
      <c r="ES15" t="str">
        <f t="shared" si="30"/>
        <v/>
      </c>
      <c r="EV15" t="str">
        <f t="shared" si="31"/>
        <v/>
      </c>
      <c r="EY15" t="str">
        <f t="shared" si="32"/>
        <v/>
      </c>
      <c r="FB15" t="str">
        <f t="shared" si="33"/>
        <v/>
      </c>
      <c r="FE15" t="str">
        <f t="shared" si="34"/>
        <v/>
      </c>
      <c r="FH15" t="str">
        <f t="shared" si="35"/>
        <v/>
      </c>
      <c r="FK15" t="str">
        <f t="shared" si="36"/>
        <v/>
      </c>
      <c r="FN15" t="str">
        <f t="shared" si="37"/>
        <v/>
      </c>
      <c r="FQ15" t="str">
        <f t="shared" si="38"/>
        <v/>
      </c>
      <c r="FT15" t="str">
        <f t="shared" si="39"/>
        <v/>
      </c>
      <c r="FW15" t="str">
        <f t="shared" si="40"/>
        <v/>
      </c>
      <c r="FZ15" t="str">
        <f t="shared" si="41"/>
        <v/>
      </c>
      <c r="GC15" t="str">
        <f t="shared" si="42"/>
        <v/>
      </c>
      <c r="GE15" s="155"/>
      <c r="GG15" s="1110" t="str">
        <f>IFERROR(INDEX($DE$2:$DR$500,$FU2,COLUMNS($GF$2:GF2)),"")</f>
        <v/>
      </c>
      <c r="GH15" s="1110" t="str">
        <f>IFERROR(INDEX($DE$2:$DR$500,$FU2,COLUMNS($GF$2:GG2)),"")</f>
        <v/>
      </c>
      <c r="GI15" s="1110" t="str">
        <f>IFERROR(INDEX($DE$2:$DR$500,$FU2,COLUMNS($GF$2:GH2)),"")</f>
        <v/>
      </c>
      <c r="GJ15" s="1110" t="str">
        <f>IFERROR(INDEX($DE$2:$DR$500,$FU2,COLUMNS($GF$2:GI2)),"")</f>
        <v/>
      </c>
      <c r="GK15" s="1110" t="str">
        <f>IFERROR(INDEX($DE$2:$DR$500,$FU2,COLUMNS($GF$2:GJ2)),"")</f>
        <v/>
      </c>
      <c r="GL15" s="1110" t="str">
        <f>IFERROR(INDEX($DE$2:$DR$500,$FU2,COLUMNS($GF$2:GK2)),"")</f>
        <v/>
      </c>
      <c r="GM15" s="1110" t="str">
        <f>IFERROR(INDEX($DE$2:$DR$500,$FU2,COLUMNS($GF$2:GL2)),"")</f>
        <v/>
      </c>
      <c r="GN15" s="1110" t="str">
        <f>IFERROR(INDEX($DE$2:$DR$500,$FU2,COLUMNS($GF$2:GM2)),"")</f>
        <v/>
      </c>
      <c r="GO15" s="1110" t="str">
        <f>IFERROR(INDEX($DE$2:$DR$500,$FU2,COLUMNS($GF$2:GN2)),"")</f>
        <v/>
      </c>
      <c r="GP15" s="1110" t="str">
        <f>IFERROR(INDEX($DE$2:$DR$500,$FU2,COLUMNS($GF$2:GO2)),"")</f>
        <v/>
      </c>
      <c r="GQ15" s="1110" t="str">
        <f>IFERROR(INDEX($DE$2:$DR$500,$FU2,COLUMNS($GF$2:GP2)),"")</f>
        <v/>
      </c>
      <c r="GR15" s="1110" t="str">
        <f>IFERROR(INDEX($DE$2:$DR$500,$FU2,COLUMNS($GF$2:GQ2)),"")</f>
        <v/>
      </c>
      <c r="GS15" s="1110" t="str">
        <f>IFERROR(INDEX($DE$2:$DR$500,$FU2,COLUMNS($GF$2:GR2)),"")</f>
        <v/>
      </c>
      <c r="GT15" s="1110" t="str">
        <f>IFERROR(INDEX($DE$2:$DR$500,$FU2,COLUMNS($GF$2:GS2)),"")</f>
        <v/>
      </c>
      <c r="GU15" s="1110" t="str">
        <f>IFERROR(INDEX($DE$2:$DR$500,$FU2,COLUMNS($GF$2:GT2)),"")</f>
        <v/>
      </c>
      <c r="GV15" s="1110" t="str">
        <f>IFERROR(INDEX($DE$2:$DR$500,$FU2,COLUMNS($GF$2:GU2)),"")</f>
        <v/>
      </c>
      <c r="GW15" s="1110" t="str">
        <f>IFERROR(INDEX($DE$2:$DR$500,$FU2,COLUMNS($GF$2:GV2)),"")</f>
        <v/>
      </c>
      <c r="GX15" s="1110" t="str">
        <f>IFERROR(INDEX($DE$2:$DR$500,$FU2,COLUMNS($GF$2:GW2)),"")</f>
        <v/>
      </c>
      <c r="GY15" s="1110" t="str">
        <f>IFERROR(INDEX($DE$2:$DR$500,$FU2,COLUMNS($GF$2:GX2)),"")</f>
        <v/>
      </c>
      <c r="GZ15" s="1110" t="str">
        <f>IFERROR(INDEX($DE$2:$DR$500,$FU2,COLUMNS($GF$2:GY2)),"")</f>
        <v/>
      </c>
      <c r="HA15" s="1110" t="str">
        <f>IFERROR(INDEX($DE$2:$DR$500,$FU2,COLUMNS($GF$2:GZ2)),"")</f>
        <v/>
      </c>
      <c r="HB15" s="1110" t="str">
        <f>IFERROR(INDEX($DE$2:$DR$500,$FU2,COLUMNS($GF$2:HA2)),"")</f>
        <v/>
      </c>
      <c r="HC15" s="1110" t="str">
        <f>IFERROR(INDEX($DE$2:$DR$500,$FU2,COLUMNS($GF$2:HB2)),"")</f>
        <v/>
      </c>
      <c r="HD15" s="1110" t="str">
        <f>IFERROR(INDEX($DE$2:$DR$500,$FU2,COLUMNS($GF$2:HC2)),"")</f>
        <v/>
      </c>
      <c r="HE15" s="1110" t="str">
        <f>IFERROR(INDEX($DE$2:$DR$500,$FU2,COLUMNS($GF$2:HD2)),"")</f>
        <v/>
      </c>
    </row>
    <row r="16" spans="1:217" ht="15" customHeight="1" thickBot="1" x14ac:dyDescent="0.4">
      <c r="A16" s="130" t="s">
        <v>12</v>
      </c>
      <c r="B16" s="1021" t="str">
        <f>IF(Data!B7&lt;&gt;"", Data!B7, " ")</f>
        <v>SAUDI ARAMCO</v>
      </c>
      <c r="D16" s="146">
        <f t="shared" si="44"/>
        <v>5</v>
      </c>
      <c r="E16" s="574">
        <f>IF('Eng. Cutter Entry'!C4&lt;&gt;"",IF($L$9&lt;&gt;1,('ARDT Cutter Entry'!AU$58+'ARDT Cutter Entry'!AU$59+'ARDT Cutter Entry'!AU$60+'ARDT Cutter Entry'!AU$61),'ARDT Cutter Entry'!AU$58+'ARDT Cutter Entry'!AU$59+'ARDT Cutter Entry'!AU$60+'ARDT Cutter Entry'!AU$61+Rework!G73),'ARDT Cutter Entry'!AU2+'ARDT Cutter Entry'!AU3+'ARDT Cutter Entry'!AU4+'ARDT Cutter Entry'!AU5)</f>
        <v>21</v>
      </c>
      <c r="F16" s="574">
        <f t="shared" si="20"/>
        <v>1613</v>
      </c>
      <c r="G16" s="574">
        <f>IF(B5&lt;&gt;"",IF(GG6&gt;0,IF(GG6&lt;&gt;"",IF(GG6&lt;&gt;"Add the cutter in list",GG6,"Add the cutter"),""),""),"")</f>
        <v>1126402</v>
      </c>
      <c r="H16" s="1155" t="str">
        <f t="shared" si="21"/>
        <v xml:space="preserve"> CT421 18-60</v>
      </c>
      <c r="I16" s="1155"/>
      <c r="J16" s="141" t="str">
        <f t="shared" si="22"/>
        <v/>
      </c>
      <c r="K16" s="574">
        <f t="shared" si="23"/>
        <v>21</v>
      </c>
      <c r="L16" s="904"/>
      <c r="M16" s="893"/>
      <c r="N16" s="137">
        <f t="shared" si="24"/>
        <v>0</v>
      </c>
      <c r="O16" s="136">
        <f t="shared" si="25"/>
        <v>0</v>
      </c>
      <c r="R16" s="26"/>
      <c r="DB16" s="37">
        <v>578502</v>
      </c>
      <c r="DD16" s="75">
        <v>38</v>
      </c>
      <c r="DE16" s="37">
        <v>418525</v>
      </c>
      <c r="DF16" t="s">
        <v>165</v>
      </c>
      <c r="DG16" s="37" t="str">
        <f t="shared" si="17"/>
        <v xml:space="preserve">1308 CT31 Drop in </v>
      </c>
      <c r="DH16" s="37">
        <v>13</v>
      </c>
      <c r="DI16" s="37">
        <v>1308</v>
      </c>
      <c r="DJ16" s="37" t="s">
        <v>86</v>
      </c>
      <c r="DK16" s="37" t="s">
        <v>268</v>
      </c>
      <c r="DL16" s="37"/>
      <c r="DM16" s="37">
        <v>381</v>
      </c>
      <c r="DN16" s="37">
        <v>0</v>
      </c>
      <c r="DO16" s="37">
        <v>100</v>
      </c>
      <c r="DP16" s="37"/>
      <c r="DQ16" s="37"/>
      <c r="DR16" s="37" t="str">
        <f t="shared" si="18"/>
        <v>1308 CT31 Drop in</v>
      </c>
      <c r="DS16" s="37">
        <f t="shared" si="43"/>
        <v>26.981066666666667</v>
      </c>
      <c r="DT16" s="10">
        <v>20.754666666666665</v>
      </c>
      <c r="DU16" s="10">
        <v>100</v>
      </c>
      <c r="DV16" s="10" t="s">
        <v>146</v>
      </c>
      <c r="DW16" t="s">
        <v>1589</v>
      </c>
      <c r="DX16">
        <v>10</v>
      </c>
      <c r="DY16" t="s">
        <v>1675</v>
      </c>
      <c r="DZ16" t="s">
        <v>1670</v>
      </c>
      <c r="EA16">
        <v>1</v>
      </c>
      <c r="EB16" t="s">
        <v>1513</v>
      </c>
      <c r="EC16" s="10">
        <v>345</v>
      </c>
      <c r="ED16" s="10" t="s">
        <v>1738</v>
      </c>
      <c r="EE16" s="813">
        <f t="shared" si="19"/>
        <v>6</v>
      </c>
      <c r="EF16">
        <f>ROWS($DE$2:DE16)</f>
        <v>15</v>
      </c>
      <c r="EG16" t="str">
        <f t="shared" si="26"/>
        <v/>
      </c>
      <c r="EJ16" t="str">
        <f t="shared" si="27"/>
        <v/>
      </c>
      <c r="EM16">
        <f t="shared" si="28"/>
        <v>15</v>
      </c>
      <c r="EP16" t="str">
        <f t="shared" si="29"/>
        <v/>
      </c>
      <c r="ES16" t="str">
        <f t="shared" si="30"/>
        <v/>
      </c>
      <c r="EV16" t="str">
        <f t="shared" si="31"/>
        <v/>
      </c>
      <c r="EY16" t="str">
        <f t="shared" si="32"/>
        <v/>
      </c>
      <c r="FB16" t="str">
        <f t="shared" si="33"/>
        <v/>
      </c>
      <c r="FE16" t="str">
        <f t="shared" si="34"/>
        <v/>
      </c>
      <c r="FH16" t="str">
        <f t="shared" si="35"/>
        <v/>
      </c>
      <c r="FK16" t="str">
        <f t="shared" si="36"/>
        <v/>
      </c>
      <c r="FN16" t="str">
        <f t="shared" si="37"/>
        <v/>
      </c>
      <c r="FQ16" t="str">
        <f t="shared" si="38"/>
        <v/>
      </c>
      <c r="FT16" t="str">
        <f t="shared" si="39"/>
        <v/>
      </c>
      <c r="FW16" t="str">
        <f t="shared" si="40"/>
        <v/>
      </c>
      <c r="FZ16" t="str">
        <f t="shared" si="41"/>
        <v/>
      </c>
      <c r="GC16" t="str">
        <f t="shared" si="42"/>
        <v/>
      </c>
      <c r="GE16" s="155"/>
      <c r="GG16" s="1110" t="str">
        <f>IFERROR(INDEX($DE$2:$DR$500,$FX2,COLUMNS($GF$2:GF2)),"")</f>
        <v/>
      </c>
      <c r="GH16" s="1110" t="str">
        <f>IFERROR(INDEX($DE$2:$DR$500,$FX2,COLUMNS($GF$2:GG2)),"")</f>
        <v/>
      </c>
      <c r="GI16" s="1110" t="str">
        <f>IFERROR(INDEX($DE$2:$DR$500,$FX2,COLUMNS($GF$2:GH2)),"")</f>
        <v/>
      </c>
      <c r="GJ16" s="1110" t="str">
        <f>IFERROR(INDEX($DE$2:$DR$500,$FX2,COLUMNS($GF$2:GI2)),"")</f>
        <v/>
      </c>
      <c r="GK16" s="1110" t="str">
        <f>IFERROR(INDEX($DE$2:$DR$500,$FX2,COLUMNS($GF$2:GJ2)),"")</f>
        <v/>
      </c>
      <c r="GL16" s="1110" t="str">
        <f>IFERROR(INDEX($DE$2:$DR$500,$FX2,COLUMNS($GF$2:GK2)),"")</f>
        <v/>
      </c>
      <c r="GM16" s="1110" t="str">
        <f>IFERROR(INDEX($DE$2:$DR$500,$FX2,COLUMNS($GF$2:GL2)),"")</f>
        <v/>
      </c>
      <c r="GN16" s="1110" t="str">
        <f>IFERROR(INDEX($DE$2:$DR$500,$FX2,COLUMNS($GF$2:GM2)),"")</f>
        <v/>
      </c>
      <c r="GO16" s="1110" t="str">
        <f>IFERROR(INDEX($DE$2:$DR$500,$FX2,COLUMNS($GF$2:GN2)),"")</f>
        <v/>
      </c>
      <c r="GP16" s="1110" t="str">
        <f>IFERROR(INDEX($DE$2:$DR$500,$FX2,COLUMNS($GF$2:GO2)),"")</f>
        <v/>
      </c>
      <c r="GQ16" s="1110" t="str">
        <f>IFERROR(INDEX($DE$2:$DR$500,$FX2,COLUMNS($GF$2:GP2)),"")</f>
        <v/>
      </c>
      <c r="GR16" s="1110" t="str">
        <f>IFERROR(INDEX($DE$2:$DR$500,$FX2,COLUMNS($GF$2:GQ2)),"")</f>
        <v/>
      </c>
      <c r="GS16" s="1110" t="str">
        <f>IFERROR(INDEX($DE$2:$DR$500,$FX2,COLUMNS($GF$2:GR2)),"")</f>
        <v/>
      </c>
      <c r="GT16" s="1110" t="str">
        <f>IFERROR(INDEX($DE$2:$DR$500,$FX2,COLUMNS($GF$2:GS2)),"")</f>
        <v/>
      </c>
      <c r="GU16" s="1110" t="str">
        <f>IFERROR(INDEX($DE$2:$DR$500,$FX2,COLUMNS($GF$2:GT2)),"")</f>
        <v/>
      </c>
      <c r="GV16" s="1110" t="str">
        <f>IFERROR(INDEX($DE$2:$DR$500,$FX2,COLUMNS($GF$2:GU2)),"")</f>
        <v/>
      </c>
      <c r="GW16" s="1110" t="str">
        <f>IFERROR(INDEX($DE$2:$DR$500,$FX2,COLUMNS($GF$2:GV2)),"")</f>
        <v/>
      </c>
      <c r="GX16" s="1110" t="str">
        <f>IFERROR(INDEX($DE$2:$DR$500,$FX2,COLUMNS($GF$2:GW2)),"")</f>
        <v/>
      </c>
      <c r="GY16" s="1110" t="str">
        <f>IFERROR(INDEX($DE$2:$DR$500,$FX2,COLUMNS($GF$2:GX2)),"")</f>
        <v/>
      </c>
      <c r="GZ16" s="1110" t="str">
        <f>IFERROR(INDEX($DE$2:$DR$500,$FX2,COLUMNS($GF$2:GY2)),"")</f>
        <v/>
      </c>
      <c r="HA16" s="1110" t="str">
        <f>IFERROR(INDEX($DE$2:$DR$500,$FX2,COLUMNS($GF$2:GZ2)),"")</f>
        <v/>
      </c>
      <c r="HB16" s="1110" t="str">
        <f>IFERROR(INDEX($DE$2:$DR$500,$FX2,COLUMNS($GF$2:HA2)),"")</f>
        <v/>
      </c>
      <c r="HC16" s="1110" t="str">
        <f>IFERROR(INDEX($DE$2:$DR$500,$FX2,COLUMNS($GF$2:HB2)),"")</f>
        <v/>
      </c>
      <c r="HD16" s="1110" t="str">
        <f>IFERROR(INDEX($DE$2:$DR$500,$FX2,COLUMNS($GF$2:HC2)),"")</f>
        <v/>
      </c>
      <c r="HE16" s="1110" t="str">
        <f>IFERROR(INDEX($DE$2:$DR$500,$FX2,COLUMNS($GF$2:HD2)),"")</f>
        <v/>
      </c>
    </row>
    <row r="17" spans="1:215" ht="15" customHeight="1" thickBot="1" x14ac:dyDescent="0.4">
      <c r="A17" s="131" t="s">
        <v>838</v>
      </c>
      <c r="B17" s="104" t="s">
        <v>2237</v>
      </c>
      <c r="D17" s="147" t="str">
        <f t="shared" si="44"/>
        <v/>
      </c>
      <c r="E17" s="574">
        <f>IF('Eng. Cutter Entry'!C4&lt;&gt;"",IF($L$9&lt;&gt;1,('ARDT Cutter Entry'!AV$58+'ARDT Cutter Entry'!AV$59+'ARDT Cutter Entry'!AV$60+'ARDT Cutter Entry'!AV$61),'ARDT Cutter Entry'!AV$58+'ARDT Cutter Entry'!AV$59+'ARDT Cutter Entry'!AV$60+'ARDT Cutter Entry'!AV$61+Rework!H73),'ARDT Cutter Entry'!AV2+'ARDT Cutter Entry'!AV3+'ARDT Cutter Entry'!AV4+'ARDT Cutter Entry'!AV5)</f>
        <v>0</v>
      </c>
      <c r="F17" s="574" t="str">
        <f t="shared" si="20"/>
        <v xml:space="preserve"> </v>
      </c>
      <c r="G17" s="574" t="str">
        <f>IF(B5&lt;&gt;"",IF(GG7&gt;0,IF(GG7&lt;&gt;"",IF(GG7&lt;&gt;"Add the cutter in list",GG7,"Add the cutter"),""),""),"")</f>
        <v/>
      </c>
      <c r="H17" s="1155" t="str">
        <f t="shared" si="21"/>
        <v/>
      </c>
      <c r="I17" s="1155"/>
      <c r="J17" s="574" t="str">
        <f t="shared" si="22"/>
        <v/>
      </c>
      <c r="K17" s="574" t="str">
        <f t="shared" si="23"/>
        <v/>
      </c>
      <c r="L17" s="904"/>
      <c r="M17" s="893"/>
      <c r="N17" s="137">
        <f t="shared" si="24"/>
        <v>0</v>
      </c>
      <c r="O17" s="136">
        <f t="shared" si="25"/>
        <v>0</v>
      </c>
      <c r="R17" s="26"/>
      <c r="S17">
        <v>2002299</v>
      </c>
      <c r="DB17" s="37">
        <v>584832</v>
      </c>
      <c r="DD17" s="75">
        <v>5</v>
      </c>
      <c r="DE17" s="37">
        <v>467367</v>
      </c>
      <c r="DF17" t="s">
        <v>166</v>
      </c>
      <c r="DG17" s="37" t="str">
        <f t="shared" si="17"/>
        <v>1613 CT36 Round Cutter 0.020"</v>
      </c>
      <c r="DH17" s="37">
        <v>16</v>
      </c>
      <c r="DI17" s="37">
        <v>1613</v>
      </c>
      <c r="DJ17" s="37" t="s">
        <v>251</v>
      </c>
      <c r="DK17" s="37" t="s">
        <v>269</v>
      </c>
      <c r="DL17" s="37" t="s">
        <v>241</v>
      </c>
      <c r="DM17" s="37">
        <v>0</v>
      </c>
      <c r="DN17" s="37">
        <v>12</v>
      </c>
      <c r="DO17" s="37">
        <v>497</v>
      </c>
      <c r="DP17" s="37"/>
      <c r="DQ17" s="37"/>
      <c r="DR17" s="37" t="str">
        <f t="shared" si="18"/>
        <v>1613 CT36 Round Cutter</v>
      </c>
      <c r="DS17" s="37">
        <f t="shared" si="43"/>
        <v>0</v>
      </c>
      <c r="DV17" s="10" t="s">
        <v>49</v>
      </c>
      <c r="DW17" t="s">
        <v>1590</v>
      </c>
      <c r="DX17">
        <v>30</v>
      </c>
      <c r="DY17" t="s">
        <v>1673</v>
      </c>
      <c r="DZ17" t="s">
        <v>1668</v>
      </c>
      <c r="EA17">
        <v>1</v>
      </c>
      <c r="EB17" t="s">
        <v>1513</v>
      </c>
      <c r="EC17" s="10">
        <v>662</v>
      </c>
      <c r="ED17" s="10" t="s">
        <v>1736</v>
      </c>
      <c r="EE17" s="813">
        <f t="shared" si="19"/>
        <v>0</v>
      </c>
      <c r="EF17">
        <f>ROWS($DE$2:DE17)</f>
        <v>16</v>
      </c>
      <c r="EG17" t="str">
        <f t="shared" si="26"/>
        <v/>
      </c>
      <c r="EJ17" t="str">
        <f t="shared" si="27"/>
        <v/>
      </c>
      <c r="EM17" t="str">
        <f t="shared" si="28"/>
        <v/>
      </c>
      <c r="EP17" t="str">
        <f t="shared" si="29"/>
        <v/>
      </c>
      <c r="ES17" t="str">
        <f t="shared" si="30"/>
        <v/>
      </c>
      <c r="EV17" t="str">
        <f t="shared" si="31"/>
        <v/>
      </c>
      <c r="EY17" t="str">
        <f t="shared" si="32"/>
        <v/>
      </c>
      <c r="FB17" t="str">
        <f t="shared" si="33"/>
        <v/>
      </c>
      <c r="FE17" t="str">
        <f t="shared" si="34"/>
        <v/>
      </c>
      <c r="FH17" t="str">
        <f t="shared" si="35"/>
        <v/>
      </c>
      <c r="FK17" t="str">
        <f t="shared" si="36"/>
        <v/>
      </c>
      <c r="FN17" t="str">
        <f t="shared" si="37"/>
        <v/>
      </c>
      <c r="FQ17" t="str">
        <f t="shared" si="38"/>
        <v/>
      </c>
      <c r="FT17" t="str">
        <f t="shared" si="39"/>
        <v/>
      </c>
      <c r="FW17" t="str">
        <f t="shared" si="40"/>
        <v/>
      </c>
      <c r="FZ17" t="str">
        <f t="shared" si="41"/>
        <v/>
      </c>
      <c r="GC17" t="str">
        <f t="shared" si="42"/>
        <v/>
      </c>
      <c r="GE17" s="155"/>
      <c r="GG17" s="1110" t="str">
        <f>IFERROR(INDEX($DE$2:$DR$500,$GA2,COLUMNS($GF$2:GF2)),"")</f>
        <v/>
      </c>
      <c r="GH17" s="1110" t="str">
        <f>IFERROR(INDEX($DE$2:$DR$500,$GA2,COLUMNS($GF$2:GG2)),"")</f>
        <v/>
      </c>
      <c r="GI17" s="1110" t="str">
        <f>IFERROR(INDEX($DE$2:$DR$500,$GA2,COLUMNS($GF$2:GH2)),"")</f>
        <v/>
      </c>
      <c r="GJ17" s="1110" t="str">
        <f>IFERROR(INDEX($DE$2:$DR$500,$GA2,COLUMNS($GF$2:GI2)),"")</f>
        <v/>
      </c>
      <c r="GK17" s="1110" t="str">
        <f>IFERROR(INDEX($DE$2:$DR$500,$GA2,COLUMNS($GF$2:GJ2)),"")</f>
        <v/>
      </c>
      <c r="GL17" s="1110" t="str">
        <f>IFERROR(INDEX($DE$2:$DR$500,$GA2,COLUMNS($GF$2:GK2)),"")</f>
        <v/>
      </c>
      <c r="GM17" s="1110" t="str">
        <f>IFERROR(INDEX($DE$2:$DR$500,$GA2,COLUMNS($GF$2:GL2)),"")</f>
        <v/>
      </c>
      <c r="GN17" s="1110" t="str">
        <f>IFERROR(INDEX($DE$2:$DR$500,$GA2,COLUMNS($GF$2:GM2)),"")</f>
        <v/>
      </c>
      <c r="GO17" s="1110" t="str">
        <f>IFERROR(INDEX($DE$2:$DR$500,$GA2,COLUMNS($GF$2:GN2)),"")</f>
        <v/>
      </c>
      <c r="GP17" s="1110" t="str">
        <f>IFERROR(INDEX($DE$2:$DR$500,$GA2,COLUMNS($GF$2:GO2)),"")</f>
        <v/>
      </c>
      <c r="GQ17" s="1110" t="str">
        <f>IFERROR(INDEX($DE$2:$DR$500,$GA2,COLUMNS($GF$2:GP2)),"")</f>
        <v/>
      </c>
      <c r="GR17" s="1110" t="str">
        <f>IFERROR(INDEX($DE$2:$DR$500,$GA2,COLUMNS($GF$2:GQ2)),"")</f>
        <v/>
      </c>
      <c r="GS17" s="1110" t="str">
        <f>IFERROR(INDEX($DE$2:$DR$500,$GA2,COLUMNS($GF$2:GR2)),"")</f>
        <v/>
      </c>
      <c r="GT17" s="1110" t="str">
        <f>IFERROR(INDEX($DE$2:$DR$500,$GA2,COLUMNS($GF$2:GS2)),"")</f>
        <v/>
      </c>
      <c r="GU17" s="1110" t="str">
        <f>IFERROR(INDEX($DE$2:$DR$500,$GA2,COLUMNS($GF$2:GT2)),"")</f>
        <v/>
      </c>
      <c r="GV17" s="1110" t="str">
        <f>IFERROR(INDEX($DE$2:$DR$500,$GA2,COLUMNS($GF$2:GU2)),"")</f>
        <v/>
      </c>
      <c r="GW17" s="1110" t="str">
        <f>IFERROR(INDEX($DE$2:$DR$500,$GA2,COLUMNS($GF$2:GV2)),"")</f>
        <v/>
      </c>
      <c r="GX17" s="1110" t="str">
        <f>IFERROR(INDEX($DE$2:$DR$500,$GA2,COLUMNS($GF$2:GW2)),"")</f>
        <v/>
      </c>
      <c r="GY17" s="1110" t="str">
        <f>IFERROR(INDEX($DE$2:$DR$500,$GA2,COLUMNS($GF$2:GX2)),"")</f>
        <v/>
      </c>
      <c r="GZ17" s="1110" t="str">
        <f>IFERROR(INDEX($DE$2:$DR$500,$GA2,COLUMNS($GF$2:GY2)),"")</f>
        <v/>
      </c>
      <c r="HA17" s="1110" t="str">
        <f>IFERROR(INDEX($DE$2:$DR$500,$GA2,COLUMNS($GF$2:GZ2)),"")</f>
        <v/>
      </c>
      <c r="HB17" s="1110" t="str">
        <f>IFERROR(INDEX($DE$2:$DR$500,$GA2,COLUMNS($GF$2:HA2)),"")</f>
        <v/>
      </c>
      <c r="HC17" s="1110" t="str">
        <f>IFERROR(INDEX($DE$2:$DR$500,$GA2,COLUMNS($GF$2:HB2)),"")</f>
        <v/>
      </c>
      <c r="HD17" s="1110" t="str">
        <f>IFERROR(INDEX($DE$2:$DR$500,$GA2,COLUMNS($GF$2:HC2)),"")</f>
        <v/>
      </c>
      <c r="HE17" s="1110" t="str">
        <f>IFERROR(INDEX($DE$2:$DR$500,$GA2,COLUMNS($GF$2:HD2)),"")</f>
        <v/>
      </c>
    </row>
    <row r="18" spans="1:215" ht="15" customHeight="1" thickBot="1" x14ac:dyDescent="0.4">
      <c r="A18" s="132" t="str">
        <f>IF('Eval-LSTK'!D64&lt;&gt;"","Repair Date",IF('Eval-LSTK'!D66&lt;&gt;"","Scrap Date","Rerun Date"))</f>
        <v>Repair Date</v>
      </c>
      <c r="B18" s="105"/>
      <c r="D18" s="148" t="str">
        <f t="shared" si="44"/>
        <v/>
      </c>
      <c r="E18" s="574">
        <f>IF('Eng. Cutter Entry'!$C$4&lt;&gt;"",IF($L$9&lt;&gt;1,('ARDT Cutter Entry'!AW$58+'ARDT Cutter Entry'!AW$59+'ARDT Cutter Entry'!AW$60+'ARDT Cutter Entry'!AW$61),'ARDT Cutter Entry'!AW$58+'ARDT Cutter Entry'!AW$59+'ARDT Cutter Entry'!AW$60+'ARDT Cutter Entry'!AW$61+Rework!I73),'ARDT Cutter Entry'!AW$2+'ARDT Cutter Entry'!AW$3+'ARDT Cutter Entry'!AW$4+'ARDT Cutter Entry'!AW$5)</f>
        <v>0</v>
      </c>
      <c r="F18" s="574" t="str">
        <f t="shared" si="20"/>
        <v xml:space="preserve"> </v>
      </c>
      <c r="G18" s="574" t="str">
        <f>IF($B$5&lt;&gt;"",IF(GG8&gt;0,IF(GG8&lt;&gt;"",IF(GG8&lt;&gt;"Add the cutter in list",GG8,"Add the cutter"),""),""),"")</f>
        <v/>
      </c>
      <c r="H18" s="1155" t="str">
        <f t="shared" si="21"/>
        <v/>
      </c>
      <c r="I18" s="1155"/>
      <c r="J18" s="574" t="str">
        <f t="shared" si="22"/>
        <v/>
      </c>
      <c r="K18" s="574" t="str">
        <f t="shared" si="23"/>
        <v/>
      </c>
      <c r="L18" s="904"/>
      <c r="M18" s="893"/>
      <c r="N18" s="137">
        <f t="shared" si="24"/>
        <v>0</v>
      </c>
      <c r="O18" s="136">
        <f t="shared" si="25"/>
        <v>0</v>
      </c>
      <c r="R18" s="26"/>
      <c r="S18">
        <v>1255773</v>
      </c>
      <c r="DB18" s="37">
        <v>587493</v>
      </c>
      <c r="DD18" s="75">
        <v>7</v>
      </c>
      <c r="DE18" s="37">
        <v>471108</v>
      </c>
      <c r="DF18" t="s">
        <v>167</v>
      </c>
      <c r="DG18" s="37" t="str">
        <f t="shared" si="17"/>
        <v>1313 CT36 PDC ROUND 0.010"</v>
      </c>
      <c r="DH18" s="37">
        <v>13</v>
      </c>
      <c r="DI18" s="37">
        <v>1313</v>
      </c>
      <c r="DJ18" s="37" t="s">
        <v>251</v>
      </c>
      <c r="DK18" s="37" t="s">
        <v>270</v>
      </c>
      <c r="DL18" s="37" t="s">
        <v>239</v>
      </c>
      <c r="DM18" s="37">
        <v>0</v>
      </c>
      <c r="DN18" s="37">
        <v>4</v>
      </c>
      <c r="DO18" s="37">
        <v>360</v>
      </c>
      <c r="DP18" s="37"/>
      <c r="DQ18" s="37"/>
      <c r="DR18" s="37" t="str">
        <f t="shared" si="18"/>
        <v>1313 CT36 PDC ROUND</v>
      </c>
      <c r="DS18" s="37">
        <f t="shared" si="43"/>
        <v>0</v>
      </c>
      <c r="DV18" s="10" t="s">
        <v>49</v>
      </c>
      <c r="DW18" t="s">
        <v>1589</v>
      </c>
      <c r="DX18">
        <v>30</v>
      </c>
      <c r="DY18" t="s">
        <v>1677</v>
      </c>
      <c r="DZ18" t="s">
        <v>1670</v>
      </c>
      <c r="EA18">
        <v>1</v>
      </c>
      <c r="EB18" t="s">
        <v>1513</v>
      </c>
      <c r="EC18" s="10">
        <v>480</v>
      </c>
      <c r="ED18" s="10" t="s">
        <v>1740</v>
      </c>
      <c r="EE18" s="813">
        <f t="shared" si="19"/>
        <v>0</v>
      </c>
      <c r="EF18">
        <f>ROWS($DE$2:DE18)</f>
        <v>17</v>
      </c>
      <c r="EG18" t="str">
        <f t="shared" si="26"/>
        <v/>
      </c>
      <c r="EJ18" t="str">
        <f t="shared" si="27"/>
        <v/>
      </c>
      <c r="EM18" t="str">
        <f t="shared" si="28"/>
        <v/>
      </c>
      <c r="EP18" t="str">
        <f t="shared" si="29"/>
        <v/>
      </c>
      <c r="ES18" t="str">
        <f t="shared" si="30"/>
        <v/>
      </c>
      <c r="EV18" t="str">
        <f t="shared" si="31"/>
        <v/>
      </c>
      <c r="EY18" t="str">
        <f t="shared" si="32"/>
        <v/>
      </c>
      <c r="FB18" t="str">
        <f t="shared" si="33"/>
        <v/>
      </c>
      <c r="FE18" t="str">
        <f t="shared" si="34"/>
        <v/>
      </c>
      <c r="FH18" t="str">
        <f t="shared" si="35"/>
        <v/>
      </c>
      <c r="FK18" t="str">
        <f t="shared" si="36"/>
        <v/>
      </c>
      <c r="FN18" t="str">
        <f t="shared" si="37"/>
        <v/>
      </c>
      <c r="FQ18" t="str">
        <f t="shared" si="38"/>
        <v/>
      </c>
      <c r="FT18" t="str">
        <f t="shared" si="39"/>
        <v/>
      </c>
      <c r="FW18" t="str">
        <f t="shared" si="40"/>
        <v/>
      </c>
      <c r="FZ18" t="str">
        <f t="shared" si="41"/>
        <v/>
      </c>
      <c r="GC18" t="str">
        <f t="shared" si="42"/>
        <v/>
      </c>
      <c r="GE18" s="155"/>
      <c r="GG18" s="1110" t="str">
        <f>IFERROR(INDEX($DE$2:$DR$500,$GD2,COLUMNS($GF$2:GF2)),"")</f>
        <v/>
      </c>
      <c r="GH18" s="1110" t="str">
        <f>IFERROR(INDEX($DE$2:$DR$500,$GD2,COLUMNS($GF$2:GG2)),"")</f>
        <v/>
      </c>
      <c r="GI18" s="1110" t="str">
        <f>IFERROR(INDEX($DE$2:$DR$500,$GD2,COLUMNS($GF$2:GH2)),"")</f>
        <v/>
      </c>
      <c r="GJ18" s="1110" t="str">
        <f>IFERROR(INDEX($DE$2:$DR$500,$GD2,COLUMNS($GF$2:GI2)),"")</f>
        <v/>
      </c>
      <c r="GK18" s="1110" t="str">
        <f>IFERROR(INDEX($DE$2:$DR$500,$GD2,COLUMNS($GF$2:GJ2)),"")</f>
        <v/>
      </c>
      <c r="GL18" s="1110" t="str">
        <f>IFERROR(INDEX($DE$2:$DR$500,$GD2,COLUMNS($GF$2:GK2)),"")</f>
        <v/>
      </c>
      <c r="GM18" s="1110" t="str">
        <f>IFERROR(INDEX($DE$2:$DR$500,$GD2,COLUMNS($GF$2:GL2)),"")</f>
        <v/>
      </c>
      <c r="GN18" s="1110" t="str">
        <f>IFERROR(INDEX($DE$2:$DR$500,$GD2,COLUMNS($GF$2:GM2)),"")</f>
        <v/>
      </c>
      <c r="GO18" s="1110" t="str">
        <f>IFERROR(INDEX($DE$2:$DR$500,$GD2,COLUMNS($GF$2:GN2)),"")</f>
        <v/>
      </c>
      <c r="GP18" s="1110" t="str">
        <f>IFERROR(INDEX($DE$2:$DR$500,$GD2,COLUMNS($GF$2:GO2)),"")</f>
        <v/>
      </c>
      <c r="GQ18" s="1110" t="str">
        <f>IFERROR(INDEX($DE$2:$DR$500,$GD2,COLUMNS($GF$2:GP2)),"")</f>
        <v/>
      </c>
      <c r="GR18" s="1110" t="str">
        <f>IFERROR(INDEX($DE$2:$DR$500,$GD2,COLUMNS($GF$2:GQ2)),"")</f>
        <v/>
      </c>
      <c r="GS18" s="1110" t="str">
        <f>IFERROR(INDEX($DE$2:$DR$500,$GD2,COLUMNS($GF$2:GR2)),"")</f>
        <v/>
      </c>
      <c r="GT18" s="1110" t="str">
        <f>IFERROR(INDEX($DE$2:$DR$500,$GD2,COLUMNS($GF$2:GS2)),"")</f>
        <v/>
      </c>
      <c r="GU18" s="1110" t="str">
        <f>IFERROR(INDEX($DE$2:$DR$500,$GD2,COLUMNS($GF$2:GT2)),"")</f>
        <v/>
      </c>
      <c r="GV18" s="1110" t="str">
        <f>IFERROR(INDEX($DE$2:$DR$500,$GD2,COLUMNS($GF$2:GU2)),"")</f>
        <v/>
      </c>
      <c r="GW18" s="1110" t="str">
        <f>IFERROR(INDEX($DE$2:$DR$500,$GD2,COLUMNS($GF$2:GV2)),"")</f>
        <v/>
      </c>
      <c r="GX18" s="1110" t="str">
        <f>IFERROR(INDEX($DE$2:$DR$500,$GD2,COLUMNS($GF$2:GW2)),"")</f>
        <v/>
      </c>
      <c r="GY18" s="1110" t="str">
        <f>IFERROR(INDEX($DE$2:$DR$500,$GD2,COLUMNS($GF$2:GX2)),"")</f>
        <v/>
      </c>
      <c r="GZ18" s="1110" t="str">
        <f>IFERROR(INDEX($DE$2:$DR$500,$GD2,COLUMNS($GF$2:GY2)),"")</f>
        <v/>
      </c>
      <c r="HA18" s="1110" t="str">
        <f>IFERROR(INDEX($DE$2:$DR$500,$GD2,COLUMNS($GF$2:GZ2)),"")</f>
        <v/>
      </c>
      <c r="HB18" s="1110" t="str">
        <f>IFERROR(INDEX($DE$2:$DR$500,$GD2,COLUMNS($GF$2:HA2)),"")</f>
        <v/>
      </c>
      <c r="HC18" s="1110" t="str">
        <f>IFERROR(INDEX($DE$2:$DR$500,$GD2,COLUMNS($GF$2:HB2)),"")</f>
        <v/>
      </c>
      <c r="HD18" s="1110" t="str">
        <f>IFERROR(INDEX($DE$2:$DR$500,$GD2,COLUMNS($GF$2:HC2)),"")</f>
        <v/>
      </c>
      <c r="HE18" s="1110" t="str">
        <f>IFERROR(INDEX($DE$2:$DR$500,$GD2,COLUMNS($GF$2:HD2)),"")</f>
        <v/>
      </c>
    </row>
    <row r="19" spans="1:215" ht="15" customHeight="1" thickBot="1" x14ac:dyDescent="0.4">
      <c r="A19" s="131" t="s">
        <v>839</v>
      </c>
      <c r="B19" s="104"/>
      <c r="D19" s="565" t="str">
        <f t="shared" si="44"/>
        <v/>
      </c>
      <c r="E19" s="574">
        <f>IF('Eng. Cutter Entry'!$C$4&lt;&gt;"",IF($L$9&lt;&gt;1,('ARDT Cutter Entry'!AX$58+'ARDT Cutter Entry'!AX$59+'ARDT Cutter Entry'!AX$60+'ARDT Cutter Entry'!AX$61),'ARDT Cutter Entry'!AX$58+'ARDT Cutter Entry'!AX$59+'ARDT Cutter Entry'!AX$60+'ARDT Cutter Entry'!AX$61+Rework!J73),'ARDT Cutter Entry'!AX$2+'ARDT Cutter Entry'!AX$3+'ARDT Cutter Entry'!AX$4+'ARDT Cutter Entry'!AX$5)</f>
        <v>0</v>
      </c>
      <c r="F19" s="574" t="str">
        <f t="shared" si="20"/>
        <v xml:space="preserve"> </v>
      </c>
      <c r="G19" s="574" t="str">
        <f>IF($B$5&lt;&gt;"",IF(GG9&gt;0,IF(GG9&lt;&gt;"",IF(GG9&lt;&gt;"Add the cutter in list",GG9,"Add the cutter"),""),""),"")</f>
        <v/>
      </c>
      <c r="H19" s="1155" t="str">
        <f t="shared" si="21"/>
        <v/>
      </c>
      <c r="I19" s="1155"/>
      <c r="J19" s="574" t="str">
        <f t="shared" si="22"/>
        <v/>
      </c>
      <c r="K19" s="574" t="str">
        <f t="shared" si="23"/>
        <v/>
      </c>
      <c r="L19" s="904"/>
      <c r="M19" s="893"/>
      <c r="N19" s="137">
        <f t="shared" si="24"/>
        <v>0</v>
      </c>
      <c r="O19" s="136">
        <f t="shared" si="25"/>
        <v>0</v>
      </c>
      <c r="R19" s="26"/>
      <c r="S19">
        <v>1130198</v>
      </c>
      <c r="DB19" s="37">
        <v>621152</v>
      </c>
      <c r="DD19" s="75">
        <v>8</v>
      </c>
      <c r="DE19" s="37">
        <v>471109</v>
      </c>
      <c r="DF19" t="s">
        <v>168</v>
      </c>
      <c r="DG19" s="37" t="str">
        <f t="shared" si="17"/>
        <v>1613 CT36  0.010"</v>
      </c>
      <c r="DH19" s="37">
        <v>16</v>
      </c>
      <c r="DI19" s="37">
        <v>1613</v>
      </c>
      <c r="DJ19" s="37" t="s">
        <v>251</v>
      </c>
      <c r="DK19" s="37"/>
      <c r="DL19" s="37" t="s">
        <v>239</v>
      </c>
      <c r="DM19" s="37">
        <v>1</v>
      </c>
      <c r="DN19" s="37">
        <v>54</v>
      </c>
      <c r="DO19" s="37">
        <v>497</v>
      </c>
      <c r="DP19" s="37"/>
      <c r="DQ19" s="37"/>
      <c r="DR19" s="37" t="str">
        <f t="shared" si="18"/>
        <v xml:space="preserve">1613 CT36 </v>
      </c>
      <c r="DS19" s="37">
        <f t="shared" si="43"/>
        <v>0</v>
      </c>
      <c r="DV19" s="10" t="s">
        <v>49</v>
      </c>
      <c r="DW19" t="s">
        <v>1590</v>
      </c>
      <c r="DX19">
        <v>30</v>
      </c>
      <c r="DY19" t="s">
        <v>1673</v>
      </c>
      <c r="DZ19" t="s">
        <v>1668</v>
      </c>
      <c r="EA19">
        <v>1</v>
      </c>
      <c r="EB19" t="s">
        <v>1513</v>
      </c>
      <c r="EC19" s="10">
        <v>662</v>
      </c>
      <c r="ED19" s="10" t="s">
        <v>1736</v>
      </c>
      <c r="EE19" s="813">
        <f t="shared" si="19"/>
        <v>0</v>
      </c>
      <c r="EF19">
        <f>ROWS($DE$2:DE19)</f>
        <v>18</v>
      </c>
      <c r="EG19" t="str">
        <f t="shared" si="26"/>
        <v/>
      </c>
      <c r="EJ19" t="str">
        <f t="shared" si="27"/>
        <v/>
      </c>
      <c r="EM19" t="str">
        <f t="shared" si="28"/>
        <v/>
      </c>
      <c r="EP19" t="str">
        <f t="shared" si="29"/>
        <v/>
      </c>
      <c r="ES19" t="str">
        <f t="shared" si="30"/>
        <v/>
      </c>
      <c r="EV19" t="str">
        <f t="shared" si="31"/>
        <v/>
      </c>
      <c r="EY19" t="str">
        <f t="shared" si="32"/>
        <v/>
      </c>
      <c r="FB19" t="str">
        <f t="shared" si="33"/>
        <v/>
      </c>
      <c r="FE19" t="str">
        <f t="shared" si="34"/>
        <v/>
      </c>
      <c r="FH19" t="str">
        <f t="shared" si="35"/>
        <v/>
      </c>
      <c r="FK19" t="str">
        <f t="shared" si="36"/>
        <v/>
      </c>
      <c r="FN19" t="str">
        <f t="shared" si="37"/>
        <v/>
      </c>
      <c r="FQ19" t="str">
        <f t="shared" si="38"/>
        <v/>
      </c>
      <c r="FT19" t="str">
        <f t="shared" si="39"/>
        <v/>
      </c>
      <c r="FW19" t="str">
        <f t="shared" si="40"/>
        <v/>
      </c>
      <c r="FZ19" t="str">
        <f t="shared" si="41"/>
        <v/>
      </c>
      <c r="GC19" t="str">
        <f t="shared" si="42"/>
        <v/>
      </c>
      <c r="GE19" s="155"/>
      <c r="GF19" s="68" t="s">
        <v>1773</v>
      </c>
      <c r="GG19" s="28" t="s">
        <v>1750</v>
      </c>
      <c r="GH19" s="674" t="s">
        <v>1584</v>
      </c>
      <c r="GI19" s="58" t="s">
        <v>1687</v>
      </c>
      <c r="GJ19" s="58" t="s">
        <v>1688</v>
      </c>
      <c r="GK19" s="58" t="s">
        <v>1755</v>
      </c>
      <c r="GL19" s="58" t="s">
        <v>1582</v>
      </c>
      <c r="GM19" s="58" t="s">
        <v>71</v>
      </c>
      <c r="GN19" s="58" t="s">
        <v>1689</v>
      </c>
      <c r="GO19" s="669" t="s">
        <v>40</v>
      </c>
      <c r="GP19" t="s">
        <v>1756</v>
      </c>
      <c r="GQ19" s="26" t="s">
        <v>1765</v>
      </c>
      <c r="GS19" s="674"/>
      <c r="GT19" s="58"/>
      <c r="GU19" s="674"/>
      <c r="GV19" s="1109" t="s">
        <v>1776</v>
      </c>
      <c r="GW19" s="1109" t="s">
        <v>1750</v>
      </c>
      <c r="GX19" s="1109" t="s">
        <v>1584</v>
      </c>
      <c r="GY19" s="1109" t="s">
        <v>1687</v>
      </c>
      <c r="GZ19" s="1109" t="s">
        <v>1688</v>
      </c>
      <c r="HA19" s="1109" t="s">
        <v>6</v>
      </c>
      <c r="HB19" s="1109" t="s">
        <v>1582</v>
      </c>
      <c r="HC19" s="1109" t="s">
        <v>71</v>
      </c>
      <c r="HD19" s="1109" t="s">
        <v>1689</v>
      </c>
      <c r="HE19" s="1109" t="s">
        <v>40</v>
      </c>
      <c r="HF19" s="33" t="s">
        <v>1774</v>
      </c>
      <c r="HG19" s="33" t="s">
        <v>1775</v>
      </c>
    </row>
    <row r="20" spans="1:215" ht="15" customHeight="1" thickBot="1" x14ac:dyDescent="0.4">
      <c r="A20" s="132" t="s">
        <v>840</v>
      </c>
      <c r="B20" s="105"/>
      <c r="D20" s="566" t="str">
        <f t="shared" si="44"/>
        <v/>
      </c>
      <c r="E20" s="574">
        <f>IF('Eng. Cutter Entry'!$C$4&lt;&gt;"",IF($L$9&lt;&gt;1,('ARDT Cutter Entry'!AY$58+'ARDT Cutter Entry'!AY$59+'ARDT Cutter Entry'!AY$60+'ARDT Cutter Entry'!AY$61),'ARDT Cutter Entry'!AY$58+'ARDT Cutter Entry'!AY$59+'ARDT Cutter Entry'!AY$60+'ARDT Cutter Entry'!AY$61+Rework!K73),'ARDT Cutter Entry'!AY$2+'ARDT Cutter Entry'!AY$3+'ARDT Cutter Entry'!AY$4+'ARDT Cutter Entry'!AY$5)</f>
        <v>0</v>
      </c>
      <c r="F20" s="574" t="str">
        <f t="shared" si="20"/>
        <v xml:space="preserve"> </v>
      </c>
      <c r="G20" s="574" t="str">
        <f>IF($B$5&lt;&gt;"",IF(GG10&gt;0,IF(GG10&lt;&gt;"",IF(GG10&lt;&gt;"Add the cutter in list",GG10,"Add the cutter"),""),""),"")</f>
        <v/>
      </c>
      <c r="H20" s="1155" t="str">
        <f t="shared" si="21"/>
        <v/>
      </c>
      <c r="I20" s="1155"/>
      <c r="J20" s="574" t="str">
        <f t="shared" si="22"/>
        <v/>
      </c>
      <c r="K20" s="574" t="str">
        <f t="shared" si="23"/>
        <v/>
      </c>
      <c r="L20" s="904"/>
      <c r="M20" s="893"/>
      <c r="N20" s="137">
        <f t="shared" si="24"/>
        <v>0</v>
      </c>
      <c r="O20" s="136">
        <f t="shared" si="25"/>
        <v>0</v>
      </c>
      <c r="R20" s="26"/>
      <c r="DB20" s="37">
        <v>625854</v>
      </c>
      <c r="DD20" s="75">
        <v>6</v>
      </c>
      <c r="DE20" s="37">
        <v>535656</v>
      </c>
      <c r="DF20" t="s">
        <v>169</v>
      </c>
      <c r="DG20" s="37" t="str">
        <f t="shared" si="17"/>
        <v>1608 CT36 V 0.010"</v>
      </c>
      <c r="DH20" s="37">
        <v>16</v>
      </c>
      <c r="DI20" s="37">
        <v>1608</v>
      </c>
      <c r="DJ20" s="37" t="s">
        <v>251</v>
      </c>
      <c r="DK20" s="37" t="s">
        <v>271</v>
      </c>
      <c r="DL20" s="37" t="s">
        <v>239</v>
      </c>
      <c r="DM20" s="37">
        <v>37</v>
      </c>
      <c r="DN20" s="37">
        <v>0</v>
      </c>
      <c r="DO20" s="37">
        <v>497</v>
      </c>
      <c r="DP20" s="37"/>
      <c r="DQ20" s="37"/>
      <c r="DR20" s="37" t="str">
        <f t="shared" si="18"/>
        <v>1608 CT36 V</v>
      </c>
      <c r="DS20" s="37">
        <f t="shared" si="43"/>
        <v>0</v>
      </c>
      <c r="DV20" s="10" t="s">
        <v>146</v>
      </c>
      <c r="DW20" t="s">
        <v>1590</v>
      </c>
      <c r="DX20">
        <v>30</v>
      </c>
      <c r="DY20" t="s">
        <v>1673</v>
      </c>
      <c r="DZ20" t="s">
        <v>1668</v>
      </c>
      <c r="EA20">
        <v>1</v>
      </c>
      <c r="EB20" t="s">
        <v>1513</v>
      </c>
      <c r="EC20" s="10">
        <v>662</v>
      </c>
      <c r="ED20" s="10" t="s">
        <v>1736</v>
      </c>
      <c r="EE20" s="813">
        <f t="shared" si="19"/>
        <v>0</v>
      </c>
      <c r="EF20">
        <f>ROWS($DE$2:DE20)</f>
        <v>19</v>
      </c>
      <c r="EG20" t="str">
        <f t="shared" si="26"/>
        <v/>
      </c>
      <c r="EJ20" t="str">
        <f t="shared" si="27"/>
        <v/>
      </c>
      <c r="EM20" t="str">
        <f t="shared" si="28"/>
        <v/>
      </c>
      <c r="EP20" t="str">
        <f t="shared" si="29"/>
        <v/>
      </c>
      <c r="ES20" t="str">
        <f t="shared" si="30"/>
        <v/>
      </c>
      <c r="EV20" t="str">
        <f t="shared" si="31"/>
        <v/>
      </c>
      <c r="EY20" t="str">
        <f t="shared" si="32"/>
        <v/>
      </c>
      <c r="FB20" t="str">
        <f t="shared" si="33"/>
        <v/>
      </c>
      <c r="FE20" t="str">
        <f t="shared" si="34"/>
        <v/>
      </c>
      <c r="FH20" t="str">
        <f t="shared" si="35"/>
        <v/>
      </c>
      <c r="FK20" t="str">
        <f t="shared" si="36"/>
        <v/>
      </c>
      <c r="FN20" t="str">
        <f t="shared" si="37"/>
        <v/>
      </c>
      <c r="FQ20" t="str">
        <f t="shared" si="38"/>
        <v/>
      </c>
      <c r="FT20" t="str">
        <f t="shared" si="39"/>
        <v/>
      </c>
      <c r="FW20" t="str">
        <f t="shared" si="40"/>
        <v/>
      </c>
      <c r="FZ20" t="str">
        <f t="shared" si="41"/>
        <v/>
      </c>
      <c r="GC20" t="str">
        <f t="shared" si="42"/>
        <v/>
      </c>
      <c r="GE20" s="155"/>
      <c r="GF20" s="26" t="str">
        <f>CONCATENATE("0",GH20," - ",GI20)</f>
        <v>01 - 10</v>
      </c>
      <c r="GG20" s="28" t="str">
        <f>CONCATENATE(GH20," ",GI20)</f>
        <v>1 10</v>
      </c>
      <c r="GH20" s="869">
        <v>1</v>
      </c>
      <c r="GI20" s="298">
        <v>10</v>
      </c>
      <c r="GJ20" s="870" t="s">
        <v>1585</v>
      </c>
      <c r="GK20" s="871"/>
      <c r="GL20" s="872">
        <v>1</v>
      </c>
      <c r="GM20" s="299" t="s">
        <v>1513</v>
      </c>
      <c r="GN20" s="873">
        <v>800</v>
      </c>
      <c r="GO20" s="26">
        <v>1</v>
      </c>
      <c r="GQ20" s="26"/>
      <c r="GS20" s="814">
        <f>ROWS($GJ20:GJ$20)</f>
        <v>1</v>
      </c>
      <c r="GT20" s="899">
        <f>IF(COUNTIF(B7,"SAUDI ARAMCO"),$GS$20,"")</f>
        <v>1</v>
      </c>
      <c r="GU20" s="814">
        <f>IFERROR(SMALL($GT$20:$GT$83,ROWS($GT20:GT$20)),"")</f>
        <v>1</v>
      </c>
      <c r="GV20" s="814" t="str">
        <f>IFERROR(INDEX($GF$20:$GR$83,$GU20,COLUMNS(GO20)),"")</f>
        <v>01 - 10</v>
      </c>
      <c r="GW20" s="814" t="str">
        <f>IFERROR(INDEX($GF$20:$GR$83,$GU20,COLUMNS(GP20:GQ20)),"")</f>
        <v>1 10</v>
      </c>
      <c r="GX20" s="805">
        <f>IFERROR(INDEX($GF$20:$GR$83,$GU20,COLUMNS($GP20:GR20)),"")</f>
        <v>1</v>
      </c>
      <c r="GY20" s="805">
        <f>IFERROR(INDEX($GF$20:$GR$83,$GU20,COLUMNS($GP20:GS20)),"")</f>
        <v>10</v>
      </c>
      <c r="GZ20" s="805" t="str">
        <f>IFERROR(INDEX($GF$20:$GR$83,$GU20,COLUMNS($GP20:GT20)),"")</f>
        <v>Drill bits Services-Initial Inspection</v>
      </c>
      <c r="HA20" s="805">
        <f>IFERROR(INDEX($GF$20:$GR$83,$GU20,COLUMNS($GP20:GU20)),"")</f>
        <v>0</v>
      </c>
      <c r="HB20" s="805">
        <f>IFERROR(INDEX($GF$20:$GR$83,$GU20,COLUMNS($GP20:GV20)),"")</f>
        <v>1</v>
      </c>
      <c r="HC20" s="805" t="str">
        <f>IFERROR(INDEX($GF$20:$GR$83,$GU20,COLUMNS($GP20:GW20)),"")</f>
        <v>EA</v>
      </c>
      <c r="HD20" s="805">
        <f>IFERROR(INDEX($GF$20:$GR$83,$GU20,COLUMNS($GP20:GX20)),"")</f>
        <v>800</v>
      </c>
      <c r="HE20" s="805">
        <f>IFERROR(INDEX($GF$20:$GR$83,$GU20,COLUMNS($GP20:GY20)),"")</f>
        <v>1</v>
      </c>
      <c r="HF20" s="805">
        <f>IFERROR(INDEX($GF$20:$GR$83,$GU20,COLUMNS($GP20:GZ20)),"")</f>
        <v>0</v>
      </c>
      <c r="HG20" s="805">
        <f>IFERROR(INDEX($GF$20:$GR$83,$GU20,COLUMNS($GP20:HA20)),"")</f>
        <v>0</v>
      </c>
    </row>
    <row r="21" spans="1:215" ht="15.75" customHeight="1" thickBot="1" x14ac:dyDescent="0.4">
      <c r="A21" s="131" t="s">
        <v>841</v>
      </c>
      <c r="B21" s="104"/>
      <c r="D21" s="567" t="str">
        <f t="shared" si="44"/>
        <v/>
      </c>
      <c r="E21" s="574">
        <f>IF('Eng. Cutter Entry'!$C$4&lt;&gt;"",IF($L$9&lt;&gt;1,('ARDT Cutter Entry'!AZ$58+'ARDT Cutter Entry'!AZ$59+'ARDT Cutter Entry'!AZ$60+'ARDT Cutter Entry'!AZ$61),'ARDT Cutter Entry'!AZ$58+'ARDT Cutter Entry'!AZ$59+'ARDT Cutter Entry'!AZ$60+'ARDT Cutter Entry'!AZ$61+Rework!L73),'ARDT Cutter Entry'!AZ$2+'ARDT Cutter Entry'!AZ$3+'ARDT Cutter Entry'!AZ$4+'ARDT Cutter Entry'!AZ$5)</f>
        <v>0</v>
      </c>
      <c r="F21" s="574" t="str">
        <f t="shared" si="20"/>
        <v xml:space="preserve"> </v>
      </c>
      <c r="G21" s="574" t="str">
        <f>IF($B$5&lt;&gt;"",IF(GG11&gt;0,IF(GG11&lt;&gt;"",IF(GG11&lt;&gt;"Add the cutter in list",GG11,"Add the cutter"),""),""),"")</f>
        <v/>
      </c>
      <c r="H21" s="1155" t="str">
        <f t="shared" si="21"/>
        <v/>
      </c>
      <c r="I21" s="1155"/>
      <c r="J21" s="574" t="str">
        <f t="shared" si="22"/>
        <v/>
      </c>
      <c r="K21" s="574" t="str">
        <f t="shared" si="23"/>
        <v/>
      </c>
      <c r="L21" s="904"/>
      <c r="M21" s="893"/>
      <c r="N21" s="571">
        <f t="shared" si="24"/>
        <v>0</v>
      </c>
      <c r="O21" s="136">
        <f t="shared" si="25"/>
        <v>0</v>
      </c>
      <c r="R21" s="26"/>
      <c r="DB21" s="37">
        <v>638559</v>
      </c>
      <c r="DD21" s="75">
        <v>10</v>
      </c>
      <c r="DE21" s="37">
        <v>565884</v>
      </c>
      <c r="DF21" t="s">
        <v>170</v>
      </c>
      <c r="DG21" s="37" t="str">
        <f t="shared" si="17"/>
        <v>1313 CT61  0.020"</v>
      </c>
      <c r="DH21" s="37">
        <v>13</v>
      </c>
      <c r="DI21" s="37">
        <v>1313</v>
      </c>
      <c r="DJ21" s="37" t="s">
        <v>252</v>
      </c>
      <c r="DK21" s="37"/>
      <c r="DL21" s="37" t="s">
        <v>241</v>
      </c>
      <c r="DM21" s="37">
        <v>5</v>
      </c>
      <c r="DN21" s="37">
        <v>0</v>
      </c>
      <c r="DO21" s="37">
        <v>360</v>
      </c>
      <c r="DP21" s="37"/>
      <c r="DQ21" s="37"/>
      <c r="DR21" s="37" t="str">
        <f t="shared" si="18"/>
        <v xml:space="preserve">1313 CT61 </v>
      </c>
      <c r="DS21" s="37">
        <f t="shared" si="43"/>
        <v>0</v>
      </c>
      <c r="DV21" s="10" t="s">
        <v>146</v>
      </c>
      <c r="DW21" t="s">
        <v>1589</v>
      </c>
      <c r="DX21">
        <v>10</v>
      </c>
      <c r="DY21" t="s">
        <v>1675</v>
      </c>
      <c r="DZ21" t="s">
        <v>1670</v>
      </c>
      <c r="EA21">
        <v>1</v>
      </c>
      <c r="EB21" t="s">
        <v>1513</v>
      </c>
      <c r="EC21" s="10">
        <v>345</v>
      </c>
      <c r="ED21" s="10" t="s">
        <v>1738</v>
      </c>
      <c r="EE21" s="813">
        <f t="shared" si="19"/>
        <v>0</v>
      </c>
      <c r="EF21">
        <f>ROWS($DE$2:DE21)</f>
        <v>20</v>
      </c>
      <c r="EG21" t="str">
        <f t="shared" si="26"/>
        <v/>
      </c>
      <c r="EJ21" t="str">
        <f t="shared" si="27"/>
        <v/>
      </c>
      <c r="EM21" t="str">
        <f t="shared" si="28"/>
        <v/>
      </c>
      <c r="EP21" t="str">
        <f t="shared" si="29"/>
        <v/>
      </c>
      <c r="ES21" t="str">
        <f t="shared" si="30"/>
        <v/>
      </c>
      <c r="EV21" t="str">
        <f t="shared" si="31"/>
        <v/>
      </c>
      <c r="EY21" t="str">
        <f t="shared" si="32"/>
        <v/>
      </c>
      <c r="FB21" t="str">
        <f t="shared" si="33"/>
        <v/>
      </c>
      <c r="FE21" t="str">
        <f t="shared" si="34"/>
        <v/>
      </c>
      <c r="FH21" t="str">
        <f t="shared" si="35"/>
        <v/>
      </c>
      <c r="FK21" t="str">
        <f t="shared" si="36"/>
        <v/>
      </c>
      <c r="FN21" t="str">
        <f t="shared" si="37"/>
        <v/>
      </c>
      <c r="FQ21" t="str">
        <f t="shared" si="38"/>
        <v/>
      </c>
      <c r="FT21" t="str">
        <f t="shared" si="39"/>
        <v/>
      </c>
      <c r="FW21" t="str">
        <f t="shared" si="40"/>
        <v/>
      </c>
      <c r="FZ21" t="str">
        <f t="shared" si="41"/>
        <v/>
      </c>
      <c r="GC21" t="str">
        <f t="shared" si="42"/>
        <v/>
      </c>
      <c r="GE21" s="155"/>
      <c r="GF21" s="26" t="str">
        <f t="shared" ref="GF21:GF83" si="45">CONCATENATE("0",GH21," - ",GI21)</f>
        <v>02 - 10</v>
      </c>
      <c r="GG21" s="28" t="str">
        <f t="shared" ref="GG21:GG83" si="46">CONCATENATE(GH21," ",GI21)</f>
        <v>2 10</v>
      </c>
      <c r="GH21" s="869">
        <v>2</v>
      </c>
      <c r="GI21" s="75">
        <v>10</v>
      </c>
      <c r="GJ21" s="874" t="s">
        <v>1690</v>
      </c>
      <c r="GK21" s="875">
        <v>1</v>
      </c>
      <c r="GL21" s="876">
        <v>1</v>
      </c>
      <c r="GM21" s="37" t="s">
        <v>1513</v>
      </c>
      <c r="GN21" s="877">
        <v>6075</v>
      </c>
      <c r="GO21" s="26">
        <v>1</v>
      </c>
      <c r="GP21" t="s">
        <v>1757</v>
      </c>
      <c r="GQ21" s="26" t="s">
        <v>1758</v>
      </c>
      <c r="GS21" s="814">
        <f>ROWS($GJ$20:GJ21)</f>
        <v>2</v>
      </c>
      <c r="GT21" s="896" t="str">
        <f>IF($O$7&lt;&gt;"",           IF($O$7=$GJ21,$GS21,""),IF(AND($D$53=$GK21,NOT(COUNTIF($B$4,"S*"))),$GS21,""))</f>
        <v/>
      </c>
      <c r="GU21" s="805">
        <f>IFERROR(SMALL($GT$20:$GT$83,ROWS($GT$20:GT21)),"")</f>
        <v>3</v>
      </c>
      <c r="GV21" s="814" t="str">
        <f t="shared" ref="GV21:GV28" si="47">IFERROR(INDEX($GF$20:$GR$83,$GU21,COLUMNS(GO21)),"")</f>
        <v>02 - 20</v>
      </c>
      <c r="GW21" s="814" t="str">
        <f t="shared" ref="GW21:GW28" si="48">IFERROR(INDEX($GF$20:$GR$83,$GU21,COLUMNS(GP21:GQ21)),"")</f>
        <v>2 20</v>
      </c>
      <c r="GX21" s="805">
        <f>IFERROR(INDEX($GF$20:$GR$83,$GU21,COLUMNS($GP21:GR21)),"")</f>
        <v>2</v>
      </c>
      <c r="GY21" s="805">
        <f>IFERROR(INDEX($GF$20:$GR$83,$GU21,COLUMNS($GP21:GS21)),"")</f>
        <v>20</v>
      </c>
      <c r="GZ21" s="805" t="str">
        <f>IFERROR(INDEX($GF$20:$GR$83,$GU21,COLUMNS($GP21:GT21)),"")</f>
        <v>7"-8 7/8" Matrix Body PDC Bit Set-up Charge</v>
      </c>
      <c r="HA21" s="805">
        <f>IFERROR(INDEX($GF$20:$GR$83,$GU21,COLUMNS($GP21:GU21)),"")</f>
        <v>2</v>
      </c>
      <c r="HB21" s="805">
        <f>IFERROR(INDEX($GF$20:$GR$83,$GU21,COLUMNS($GP21:GV21)),"")</f>
        <v>1</v>
      </c>
      <c r="HC21" s="805" t="str">
        <f>IFERROR(INDEX($GF$20:$GR$83,$GU21,COLUMNS($GP21:GW21)),"")</f>
        <v>EA</v>
      </c>
      <c r="HD21" s="805">
        <f>IFERROR(INDEX($GF$20:$GR$83,$GU21,COLUMNS($GP21:GX21)),"")</f>
        <v>8350</v>
      </c>
      <c r="HE21" s="805">
        <f>IFERROR(INDEX($GF$20:$GR$83,$GU21,COLUMNS($GP21:GY21)),"")</f>
        <v>1</v>
      </c>
      <c r="HF21" s="805" t="str">
        <f>IFERROR(INDEX($GF$20:$GR$83,$GU21,COLUMNS($GP21:GZ21)),"")</f>
        <v>7"-8 7/8"</v>
      </c>
      <c r="HG21" s="805" t="str">
        <f>IFERROR(INDEX($GF$20:$GR$83,$GU21,COLUMNS($GP21:HA21)),"")</f>
        <v>Matrix Body PDC Bit Set-up Charge</v>
      </c>
    </row>
    <row r="22" spans="1:215" ht="13.5" customHeight="1" thickBot="1" x14ac:dyDescent="0.4">
      <c r="A22" s="129" t="s">
        <v>1515</v>
      </c>
      <c r="B22" s="958"/>
      <c r="D22" s="1111" t="str">
        <f t="shared" ref="D22:D28" si="49">IF(TRIM(G22)="","",IF(CX70&gt;0,IF(CX70&lt;&gt;"", CX70, ""),""))</f>
        <v/>
      </c>
      <c r="E22" s="574">
        <f>IF('Eng. Cutter Entry'!$C$4&lt;&gt;"",IF($L$9&lt;&gt;1,('ARDT Cutter Entry'!BA$58+'ARDT Cutter Entry'!BA$59+'ARDT Cutter Entry'!BA$60+'ARDT Cutter Entry'!BA$61),'ARDT Cutter Entry'!BA$58+'ARDT Cutter Entry'!BA$59+'ARDT Cutter Entry'!BA$60+'ARDT Cutter Entry'!BA$61+Rework!M73),'ARDT Cutter Entry'!BA$2+'ARDT Cutter Entry'!BA$3+'ARDT Cutter Entry'!BA$4+'ARDT Cutter Entry'!BA$5)</f>
        <v>0</v>
      </c>
      <c r="F22" s="574" t="str">
        <f t="shared" si="20"/>
        <v xml:space="preserve"> </v>
      </c>
      <c r="G22" s="574" t="str">
        <f t="shared" ref="G22:G28" si="50">IF($B$5&lt;&gt;"",IF(GG12&gt;0,IF(GG12&lt;&gt;"",IF(GG12&lt;&gt;"Add the cutter in list",GG12,"Add the cutter"),""),""),"")</f>
        <v/>
      </c>
      <c r="H22" s="1155" t="str">
        <f t="shared" ref="H22:H28" si="51">IF(AND(GM12&lt;&gt;"",GM12&lt;&gt;0),GM12,"")&amp;IF(AND(GL12&lt;&gt;"",GL12&lt;&gt;0)," "&amp;GL12,"")&amp;IF(AND(GN12&lt;&gt;"",GN12&lt;&gt;0)," "&amp;GN12,"")</f>
        <v/>
      </c>
      <c r="I22" s="1155"/>
      <c r="J22" s="574" t="str">
        <f t="shared" ref="J22:J28" si="52">IF(AND(GR12&lt;&gt;"",GR12&lt;&gt;0),GR12,"")</f>
        <v/>
      </c>
      <c r="K22" s="574" t="str">
        <f t="shared" ref="K22:K28" si="53">IF(IFERROR(E22-L22,E22)=0,"",IFERROR(E22-L22,E22))</f>
        <v/>
      </c>
      <c r="L22" s="904"/>
      <c r="M22" s="893"/>
      <c r="N22" s="571">
        <f t="shared" ref="N22:N28" si="54">BJ56</f>
        <v>0</v>
      </c>
      <c r="O22" s="136">
        <f t="shared" ref="O22:O28" si="55">BO56</f>
        <v>0</v>
      </c>
      <c r="R22" s="26"/>
      <c r="DB22" s="37">
        <v>638560</v>
      </c>
      <c r="DD22" s="75">
        <v>26</v>
      </c>
      <c r="DE22" s="37">
        <v>578502</v>
      </c>
      <c r="DF22" t="s">
        <v>171</v>
      </c>
      <c r="DG22" s="37" t="str">
        <f t="shared" si="17"/>
        <v>1010 CT61  0.018"</v>
      </c>
      <c r="DH22" s="37">
        <v>10</v>
      </c>
      <c r="DI22" s="37">
        <v>1010</v>
      </c>
      <c r="DJ22" s="37" t="s">
        <v>252</v>
      </c>
      <c r="DK22" s="37"/>
      <c r="DL22" s="37" t="s">
        <v>240</v>
      </c>
      <c r="DM22" s="37">
        <v>0</v>
      </c>
      <c r="DN22" s="37">
        <v>18</v>
      </c>
      <c r="DO22" s="37">
        <v>272</v>
      </c>
      <c r="DP22" s="37"/>
      <c r="DQ22" s="37">
        <v>50</v>
      </c>
      <c r="DR22" s="37" t="str">
        <f t="shared" si="18"/>
        <v xml:space="preserve">1010 CT61 </v>
      </c>
      <c r="DS22" s="37">
        <f t="shared" si="43"/>
        <v>0</v>
      </c>
      <c r="DV22" s="10" t="s">
        <v>146</v>
      </c>
      <c r="DW22" t="s">
        <v>1588</v>
      </c>
      <c r="DX22">
        <v>10</v>
      </c>
      <c r="DY22" t="s">
        <v>1678</v>
      </c>
      <c r="DZ22" t="s">
        <v>1671</v>
      </c>
      <c r="EA22">
        <v>1</v>
      </c>
      <c r="EB22" t="s">
        <v>1513</v>
      </c>
      <c r="EC22" s="10">
        <v>215</v>
      </c>
      <c r="ED22" s="10" t="s">
        <v>1741</v>
      </c>
      <c r="EE22" s="813">
        <f t="shared" si="19"/>
        <v>0</v>
      </c>
      <c r="EF22">
        <f>ROWS($DE$2:DE22)</f>
        <v>21</v>
      </c>
      <c r="EG22" t="str">
        <f t="shared" si="26"/>
        <v/>
      </c>
      <c r="EJ22" t="str">
        <f t="shared" si="27"/>
        <v/>
      </c>
      <c r="EM22" t="str">
        <f t="shared" si="28"/>
        <v/>
      </c>
      <c r="EP22" t="str">
        <f t="shared" si="29"/>
        <v/>
      </c>
      <c r="ES22" t="str">
        <f t="shared" si="30"/>
        <v/>
      </c>
      <c r="EV22" t="str">
        <f t="shared" si="31"/>
        <v/>
      </c>
      <c r="EY22" t="str">
        <f t="shared" si="32"/>
        <v/>
      </c>
      <c r="FB22" t="str">
        <f t="shared" si="33"/>
        <v/>
      </c>
      <c r="FE22" t="str">
        <f t="shared" si="34"/>
        <v/>
      </c>
      <c r="FH22" t="str">
        <f t="shared" si="35"/>
        <v/>
      </c>
      <c r="FK22" t="str">
        <f t="shared" si="36"/>
        <v/>
      </c>
      <c r="FN22" t="str">
        <f t="shared" si="37"/>
        <v/>
      </c>
      <c r="FQ22" t="str">
        <f t="shared" si="38"/>
        <v/>
      </c>
      <c r="FT22" t="str">
        <f t="shared" si="39"/>
        <v/>
      </c>
      <c r="FW22" t="str">
        <f t="shared" si="40"/>
        <v/>
      </c>
      <c r="FZ22" t="str">
        <f t="shared" si="41"/>
        <v/>
      </c>
      <c r="GC22" t="str">
        <f t="shared" si="42"/>
        <v/>
      </c>
      <c r="GE22" s="155"/>
      <c r="GF22" s="26" t="str">
        <f t="shared" si="45"/>
        <v>02 - 20</v>
      </c>
      <c r="GG22" s="28" t="str">
        <f t="shared" si="46"/>
        <v>2 20</v>
      </c>
      <c r="GH22" s="869">
        <v>2</v>
      </c>
      <c r="GI22" s="75">
        <v>20</v>
      </c>
      <c r="GJ22" s="874" t="s">
        <v>1691</v>
      </c>
      <c r="GK22" s="875">
        <v>2</v>
      </c>
      <c r="GL22" s="876">
        <v>1</v>
      </c>
      <c r="GM22" s="37" t="s">
        <v>1513</v>
      </c>
      <c r="GN22" s="877">
        <v>8350</v>
      </c>
      <c r="GO22" s="26">
        <v>1</v>
      </c>
      <c r="GP22" t="s">
        <v>1759</v>
      </c>
      <c r="GQ22" s="26" t="s">
        <v>1758</v>
      </c>
      <c r="GS22" s="814">
        <f>ROWS($GJ$20:GJ22)</f>
        <v>3</v>
      </c>
      <c r="GT22" s="897">
        <f>IF($O$7&lt;&gt;"",           IF($O$7=$GJ22,$GS22,""),IF(AND($D$53=$GK22,NOT(COUNTIF($B$4,"S*"))),$GS22,""))</f>
        <v>3</v>
      </c>
      <c r="GU22" s="805">
        <f>IFERROR(SMALL($GT$20:$GT$83,ROWS($GT$20:GT22)),"")</f>
        <v>26</v>
      </c>
      <c r="GV22" s="814" t="str">
        <f t="shared" si="47"/>
        <v>06.3.1 - 10</v>
      </c>
      <c r="GW22" s="814" t="str">
        <f t="shared" si="48"/>
        <v>6.3.1 10</v>
      </c>
      <c r="GX22" s="805" t="str">
        <f>IFERROR(INDEX($GF$20:$GR$83,$GU22,COLUMNS($GP22:GR22)),"")</f>
        <v>6.3.1</v>
      </c>
      <c r="GY22" s="805">
        <f>IFERROR(INDEX($GF$20:$GR$83,$GU22,COLUMNS($GP22:GS22)),"")</f>
        <v>10</v>
      </c>
      <c r="GZ22" s="805" t="str">
        <f>IFERROR(INDEX($GF$20:$GR$83,$GU22,COLUMNS($GP22:GT22)),"")</f>
        <v>13mm Cutter Replacement Standard</v>
      </c>
      <c r="HA22" s="805" t="str">
        <f>IFERROR(INDEX($GF$20:$GR$83,$GU22,COLUMNS($GP22:GU22)),"")</f>
        <v>13mm</v>
      </c>
      <c r="HB22" s="805">
        <f>IFERROR(INDEX($GF$20:$GR$83,$GU22,COLUMNS($GP22:GV22)),"")</f>
        <v>1</v>
      </c>
      <c r="HC22" s="805" t="str">
        <f>IFERROR(INDEX($GF$20:$GR$83,$GU22,COLUMNS($GP22:GW22)),"")</f>
        <v>EA</v>
      </c>
      <c r="HD22" s="805">
        <f>IFERROR(INDEX($GF$20:$GR$83,$GU22,COLUMNS($GP22:GX22)),"")</f>
        <v>345</v>
      </c>
      <c r="HE22" s="805">
        <f>IFERROR(INDEX($GF$20:$GR$83,$GU22,COLUMNS($GP22:GY22)),"")</f>
        <v>6</v>
      </c>
      <c r="HF22" s="805" t="str">
        <f>IFERROR(INDEX($GF$20:$GR$83,$GU22,COLUMNS($GP22:GZ22)),"")</f>
        <v>13mm</v>
      </c>
      <c r="HG22" s="805" t="str">
        <f>IFERROR(INDEX($GF$20:$GR$83,$GU22,COLUMNS($GP22:HA22)),"")</f>
        <v>Cutter Replacement Standard</v>
      </c>
    </row>
    <row r="23" spans="1:215" ht="17.25" customHeight="1" thickBot="1" x14ac:dyDescent="0.4">
      <c r="A23" s="129" t="s">
        <v>1517</v>
      </c>
      <c r="B23" s="105"/>
      <c r="D23" s="1112" t="str">
        <f t="shared" si="49"/>
        <v/>
      </c>
      <c r="E23" s="574">
        <f>IF('Eng. Cutter Entry'!$C$4&lt;&gt;"",IF($L$9&lt;&gt;1,('ARDT Cutter Entry'!BB$58+'ARDT Cutter Entry'!BB$59+'ARDT Cutter Entry'!BB$60+'ARDT Cutter Entry'!BB$61),'ARDT Cutter Entry'!BB$58+'ARDT Cutter Entry'!BB$59+'ARDT Cutter Entry'!BB$60+'ARDT Cutter Entry'!BB$61+Rework!N73),'ARDT Cutter Entry'!BB$2+'ARDT Cutter Entry'!BB$3+'ARDT Cutter Entry'!BB$4+'ARDT Cutter Entry'!BB$5)</f>
        <v>0</v>
      </c>
      <c r="F23" s="574" t="str">
        <f t="shared" si="20"/>
        <v xml:space="preserve"> </v>
      </c>
      <c r="G23" s="574" t="str">
        <f t="shared" si="50"/>
        <v/>
      </c>
      <c r="H23" s="1155" t="str">
        <f t="shared" si="51"/>
        <v/>
      </c>
      <c r="I23" s="1155"/>
      <c r="J23" s="574" t="str">
        <f t="shared" si="52"/>
        <v/>
      </c>
      <c r="K23" s="574" t="str">
        <f t="shared" si="53"/>
        <v/>
      </c>
      <c r="L23" s="904"/>
      <c r="M23" s="893"/>
      <c r="N23" s="571">
        <f t="shared" si="54"/>
        <v>0</v>
      </c>
      <c r="O23" s="136">
        <f t="shared" si="55"/>
        <v>0</v>
      </c>
      <c r="R23" s="26"/>
      <c r="DB23" s="37">
        <v>638561</v>
      </c>
      <c r="DD23" s="75">
        <v>4</v>
      </c>
      <c r="DE23" s="37">
        <v>584832</v>
      </c>
      <c r="DF23" t="s">
        <v>172</v>
      </c>
      <c r="DG23" s="37" t="str">
        <f t="shared" si="17"/>
        <v>1913 CT62 V 0.010"</v>
      </c>
      <c r="DH23" s="37">
        <v>19</v>
      </c>
      <c r="DI23" s="37">
        <v>1913</v>
      </c>
      <c r="DJ23" s="37" t="s">
        <v>253</v>
      </c>
      <c r="DK23" s="37" t="s">
        <v>271</v>
      </c>
      <c r="DL23" s="37" t="s">
        <v>239</v>
      </c>
      <c r="DM23" s="37">
        <v>19</v>
      </c>
      <c r="DN23" s="37">
        <v>0</v>
      </c>
      <c r="DO23" s="37">
        <v>660</v>
      </c>
      <c r="DP23" s="37"/>
      <c r="DQ23" s="37"/>
      <c r="DR23" s="37" t="str">
        <f t="shared" si="18"/>
        <v>1913 CT62 V</v>
      </c>
      <c r="DS23" s="37">
        <f t="shared" si="43"/>
        <v>0</v>
      </c>
      <c r="DV23" s="10" t="s">
        <v>146</v>
      </c>
      <c r="DW23" t="s">
        <v>1591</v>
      </c>
      <c r="DX23">
        <v>30</v>
      </c>
      <c r="DY23" t="s">
        <v>1674</v>
      </c>
      <c r="DZ23" t="s">
        <v>1669</v>
      </c>
      <c r="EA23">
        <v>1</v>
      </c>
      <c r="EB23" t="s">
        <v>1513</v>
      </c>
      <c r="EC23" s="10">
        <v>836</v>
      </c>
      <c r="ED23" s="10" t="s">
        <v>1737</v>
      </c>
      <c r="EE23" s="813">
        <f t="shared" si="19"/>
        <v>0</v>
      </c>
      <c r="EF23">
        <f>ROWS($DE$2:DE23)</f>
        <v>22</v>
      </c>
      <c r="EG23" t="str">
        <f t="shared" si="26"/>
        <v/>
      </c>
      <c r="EJ23" t="str">
        <f t="shared" si="27"/>
        <v/>
      </c>
      <c r="EM23" t="str">
        <f t="shared" si="28"/>
        <v/>
      </c>
      <c r="EP23" t="str">
        <f t="shared" si="29"/>
        <v/>
      </c>
      <c r="ES23" t="str">
        <f t="shared" si="30"/>
        <v/>
      </c>
      <c r="EV23" t="str">
        <f t="shared" si="31"/>
        <v/>
      </c>
      <c r="EY23" t="str">
        <f t="shared" si="32"/>
        <v/>
      </c>
      <c r="FB23" t="str">
        <f t="shared" si="33"/>
        <v/>
      </c>
      <c r="FE23" t="str">
        <f t="shared" si="34"/>
        <v/>
      </c>
      <c r="FH23" t="str">
        <f t="shared" si="35"/>
        <v/>
      </c>
      <c r="FK23" t="str">
        <f t="shared" si="36"/>
        <v/>
      </c>
      <c r="FN23" t="str">
        <f t="shared" si="37"/>
        <v/>
      </c>
      <c r="FQ23" t="str">
        <f t="shared" si="38"/>
        <v/>
      </c>
      <c r="FT23" t="str">
        <f t="shared" si="39"/>
        <v/>
      </c>
      <c r="FW23" t="str">
        <f t="shared" si="40"/>
        <v/>
      </c>
      <c r="FZ23" t="str">
        <f t="shared" si="41"/>
        <v/>
      </c>
      <c r="GC23" t="str">
        <f t="shared" si="42"/>
        <v/>
      </c>
      <c r="GE23" s="155"/>
      <c r="GF23" s="26" t="str">
        <f t="shared" si="45"/>
        <v>02 - 30</v>
      </c>
      <c r="GG23" s="28" t="str">
        <f t="shared" si="46"/>
        <v>2 30</v>
      </c>
      <c r="GH23" s="869">
        <v>2</v>
      </c>
      <c r="GI23" s="75">
        <v>30</v>
      </c>
      <c r="GJ23" s="874" t="s">
        <v>1692</v>
      </c>
      <c r="GK23" s="875">
        <v>3</v>
      </c>
      <c r="GL23" s="876">
        <v>1</v>
      </c>
      <c r="GM23" s="37" t="s">
        <v>1513</v>
      </c>
      <c r="GN23" s="877">
        <v>9900</v>
      </c>
      <c r="GO23" s="26">
        <v>1</v>
      </c>
      <c r="GP23" t="s">
        <v>1760</v>
      </c>
      <c r="GQ23" s="26" t="s">
        <v>1758</v>
      </c>
      <c r="GS23" s="814">
        <f>ROWS($GJ$20:GJ23)</f>
        <v>4</v>
      </c>
      <c r="GT23" s="897" t="str">
        <f>IF($O$7&lt;&gt;"",           IF($O$7=$GJ23,$GS23,""),IF(AND($D$53=$GK23,NOT(COUNTIF($B$4,"S*"))),$GS23,""))</f>
        <v/>
      </c>
      <c r="GU23" s="805">
        <f>IFERROR(SMALL($GT$20:$GT$83,ROWS($GT$20:GT23)),"")</f>
        <v>34</v>
      </c>
      <c r="GV23" s="814" t="str">
        <f t="shared" si="47"/>
        <v>06.4.1 - 30</v>
      </c>
      <c r="GW23" s="814" t="str">
        <f t="shared" si="48"/>
        <v>6.4.1 30</v>
      </c>
      <c r="GX23" s="805" t="str">
        <f>IFERROR(INDEX($GF$20:$GR$83,$GU23,COLUMNS($GP23:GR23)),"")</f>
        <v>6.4.1</v>
      </c>
      <c r="GY23" s="805">
        <f>IFERROR(INDEX($GF$20:$GR$83,$GU23,COLUMNS($GP23:GS23)),"")</f>
        <v>30</v>
      </c>
      <c r="GZ23" s="805" t="str">
        <f>IFERROR(INDEX($GF$20:$GR$83,$GU23,COLUMNS($GP23:GT23)),"")</f>
        <v>16mm Cutter Replacement Super Premium</v>
      </c>
      <c r="HA23" s="805" t="str">
        <f>IFERROR(INDEX($GF$20:$GR$83,$GU23,COLUMNS($GP23:GU23)),"")</f>
        <v>16mm</v>
      </c>
      <c r="HB23" s="805">
        <f>IFERROR(INDEX($GF$20:$GR$83,$GU23,COLUMNS($GP23:GV23)),"")</f>
        <v>1</v>
      </c>
      <c r="HC23" s="805" t="str">
        <f>IFERROR(INDEX($GF$20:$GR$83,$GU23,COLUMNS($GP23:GW23)),"")</f>
        <v>EA</v>
      </c>
      <c r="HD23" s="805">
        <f>IFERROR(INDEX($GF$20:$GR$83,$GU23,COLUMNS($GP23:GX23)),"")</f>
        <v>662</v>
      </c>
      <c r="HE23" s="805">
        <f>IFERROR(INDEX($GF$20:$GR$83,$GU23,COLUMNS($GP23:GY23)),"")</f>
        <v>6</v>
      </c>
      <c r="HF23" s="805" t="str">
        <f>IFERROR(INDEX($GF$20:$GR$83,$GU23,COLUMNS($GP23:GZ23)),"")</f>
        <v>16mm</v>
      </c>
      <c r="HG23" s="805" t="str">
        <f>IFERROR(INDEX($GF$20:$GR$83,$GU23,COLUMNS($GP23:HA23)),"")</f>
        <v>Cutter Replacement Super Premium</v>
      </c>
    </row>
    <row r="24" spans="1:215" ht="20.25" customHeight="1" thickBot="1" x14ac:dyDescent="0.4">
      <c r="A24" s="129" t="s">
        <v>1518</v>
      </c>
      <c r="B24" s="91">
        <f>IF($B$7="LSTK",960031408,IF($B$7="SAUDI ARAMCO",6600048646,""))</f>
        <v>6600048646</v>
      </c>
      <c r="C24" s="58"/>
      <c r="D24" s="1113" t="str">
        <f t="shared" si="49"/>
        <v/>
      </c>
      <c r="E24" s="574">
        <f>IF('Eng. Cutter Entry'!$C$4&lt;&gt;"",IF($L$9&lt;&gt;1,('ARDT Cutter Entry'!BC$58+'ARDT Cutter Entry'!BC$59+'ARDT Cutter Entry'!BC$60+'ARDT Cutter Entry'!BC$61),'ARDT Cutter Entry'!BC$58+'ARDT Cutter Entry'!BC$59+'ARDT Cutter Entry'!BC$60+'ARDT Cutter Entry'!BC$61+Rework!O73),'ARDT Cutter Entry'!BC$2+'ARDT Cutter Entry'!BC$3+'ARDT Cutter Entry'!BC$4+'ARDT Cutter Entry'!BC$5)</f>
        <v>0</v>
      </c>
      <c r="F24" s="574" t="str">
        <f t="shared" si="20"/>
        <v xml:space="preserve"> </v>
      </c>
      <c r="G24" s="574" t="str">
        <f t="shared" si="50"/>
        <v/>
      </c>
      <c r="H24" s="1155" t="str">
        <f t="shared" si="51"/>
        <v/>
      </c>
      <c r="I24" s="1155"/>
      <c r="J24" s="574" t="str">
        <f t="shared" si="52"/>
        <v/>
      </c>
      <c r="K24" s="574" t="str">
        <f t="shared" si="53"/>
        <v/>
      </c>
      <c r="L24" s="904"/>
      <c r="M24" s="893"/>
      <c r="N24" s="571">
        <f t="shared" si="54"/>
        <v>0</v>
      </c>
      <c r="O24" s="136">
        <f t="shared" si="55"/>
        <v>0</v>
      </c>
      <c r="R24" s="26"/>
      <c r="DB24" s="37">
        <v>642299</v>
      </c>
      <c r="DD24" s="75">
        <v>9</v>
      </c>
      <c r="DE24" s="37">
        <v>587493</v>
      </c>
      <c r="DF24" t="s">
        <v>173</v>
      </c>
      <c r="DG24" s="37" t="str">
        <f t="shared" si="17"/>
        <v>1908 CT62 V 0.020"</v>
      </c>
      <c r="DH24" s="37">
        <v>19</v>
      </c>
      <c r="DI24" s="37">
        <v>1908</v>
      </c>
      <c r="DJ24" s="37" t="s">
        <v>253</v>
      </c>
      <c r="DK24" s="37" t="s">
        <v>271</v>
      </c>
      <c r="DL24" s="37" t="s">
        <v>241</v>
      </c>
      <c r="DM24" s="37">
        <v>20</v>
      </c>
      <c r="DN24" s="37">
        <v>0</v>
      </c>
      <c r="DO24" s="37">
        <v>660</v>
      </c>
      <c r="DP24" s="37"/>
      <c r="DQ24" s="37"/>
      <c r="DR24" s="37" t="str">
        <f t="shared" si="18"/>
        <v>1908 CT62 V</v>
      </c>
      <c r="DS24" s="37">
        <f t="shared" si="43"/>
        <v>0</v>
      </c>
      <c r="DV24" s="10" t="s">
        <v>146</v>
      </c>
      <c r="DW24" t="s">
        <v>1591</v>
      </c>
      <c r="DX24">
        <v>30</v>
      </c>
      <c r="DY24" t="s">
        <v>1674</v>
      </c>
      <c r="DZ24" t="s">
        <v>1669</v>
      </c>
      <c r="EA24">
        <v>1</v>
      </c>
      <c r="EB24" t="s">
        <v>1513</v>
      </c>
      <c r="EC24" s="10">
        <v>836</v>
      </c>
      <c r="ED24" s="10" t="s">
        <v>1737</v>
      </c>
      <c r="EE24" s="813">
        <f t="shared" si="19"/>
        <v>0</v>
      </c>
      <c r="EF24">
        <f>ROWS($DE$2:DE24)</f>
        <v>23</v>
      </c>
      <c r="EG24" t="str">
        <f t="shared" si="26"/>
        <v/>
      </c>
      <c r="EJ24" t="str">
        <f t="shared" si="27"/>
        <v/>
      </c>
      <c r="EM24" t="str">
        <f t="shared" si="28"/>
        <v/>
      </c>
      <c r="EP24" t="str">
        <f t="shared" si="29"/>
        <v/>
      </c>
      <c r="ES24" t="str">
        <f t="shared" si="30"/>
        <v/>
      </c>
      <c r="EV24" t="str">
        <f t="shared" si="31"/>
        <v/>
      </c>
      <c r="EY24" t="str">
        <f t="shared" si="32"/>
        <v/>
      </c>
      <c r="FB24" t="str">
        <f t="shared" si="33"/>
        <v/>
      </c>
      <c r="FE24" t="str">
        <f t="shared" si="34"/>
        <v/>
      </c>
      <c r="FH24" t="str">
        <f t="shared" si="35"/>
        <v/>
      </c>
      <c r="FK24" t="str">
        <f t="shared" si="36"/>
        <v/>
      </c>
      <c r="FN24" t="str">
        <f t="shared" si="37"/>
        <v/>
      </c>
      <c r="FQ24" t="str">
        <f t="shared" si="38"/>
        <v/>
      </c>
      <c r="FT24" t="str">
        <f t="shared" si="39"/>
        <v/>
      </c>
      <c r="FW24" t="str">
        <f t="shared" si="40"/>
        <v/>
      </c>
      <c r="FZ24" t="str">
        <f t="shared" si="41"/>
        <v/>
      </c>
      <c r="GC24" t="str">
        <f t="shared" si="42"/>
        <v/>
      </c>
      <c r="GE24" s="155"/>
      <c r="GF24" s="26" t="str">
        <f t="shared" si="45"/>
        <v>02 - 40</v>
      </c>
      <c r="GG24" s="28" t="str">
        <f t="shared" si="46"/>
        <v>2 40</v>
      </c>
      <c r="GH24" s="869">
        <v>2</v>
      </c>
      <c r="GI24" s="75">
        <v>40</v>
      </c>
      <c r="GJ24" s="874" t="s">
        <v>1693</v>
      </c>
      <c r="GK24" s="875">
        <v>4</v>
      </c>
      <c r="GL24" s="876">
        <v>1</v>
      </c>
      <c r="GM24" s="37" t="s">
        <v>1513</v>
      </c>
      <c r="GN24" s="877">
        <v>12950</v>
      </c>
      <c r="GO24" s="26">
        <v>1</v>
      </c>
      <c r="GP24" t="s">
        <v>1761</v>
      </c>
      <c r="GQ24" s="26" t="s">
        <v>1758</v>
      </c>
      <c r="GS24" s="814">
        <f>ROWS($GJ$20:GJ24)</f>
        <v>5</v>
      </c>
      <c r="GT24" s="898" t="str">
        <f>IF($O$7&lt;&gt;"",           IF($O$7=$GJ24,$GS24,""),IF(AND($D$53=$GK24,NOT(COUNTIF($B$4,"S*"))),$GS24,""))</f>
        <v/>
      </c>
      <c r="GU24" s="805" t="str">
        <f>IFERROR(SMALL($GT$20:$GT$83,ROWS($GT$20:GT24)),"")</f>
        <v/>
      </c>
      <c r="GV24" s="814" t="str">
        <f t="shared" si="47"/>
        <v/>
      </c>
      <c r="GW24" s="814" t="str">
        <f t="shared" si="48"/>
        <v/>
      </c>
      <c r="GX24" s="805" t="str">
        <f>IFERROR(INDEX($GF$20:$GR$83,$GU24,COLUMNS($GP24:GR24)),"")</f>
        <v/>
      </c>
      <c r="GY24" s="805" t="str">
        <f>IFERROR(INDEX($GF$20:$GR$83,$GU24,COLUMNS($GP24:GS24)),"")</f>
        <v/>
      </c>
      <c r="GZ24" s="805" t="str">
        <f>IFERROR(INDEX($GF$20:$GR$83,$GU24,COLUMNS($GP24:GT24)),"")</f>
        <v/>
      </c>
      <c r="HA24" s="805" t="str">
        <f>IFERROR(INDEX($GF$20:$GR$83,$GU24,COLUMNS($GP24:GU24)),"")</f>
        <v/>
      </c>
      <c r="HB24" s="805" t="str">
        <f>IFERROR(INDEX($GF$20:$GR$83,$GU24,COLUMNS($GP24:GV24)),"")</f>
        <v/>
      </c>
      <c r="HC24" s="805" t="str">
        <f>IFERROR(INDEX($GF$20:$GR$83,$GU24,COLUMNS($GP24:GW24)),"")</f>
        <v/>
      </c>
      <c r="HD24" s="805" t="str">
        <f>IFERROR(INDEX($GF$20:$GR$83,$GU24,COLUMNS($GP24:GX24)),"")</f>
        <v/>
      </c>
      <c r="HE24" s="805" t="str">
        <f>IFERROR(INDEX($GF$20:$GR$83,$GU24,COLUMNS($GP24:GY24)),"")</f>
        <v/>
      </c>
      <c r="HF24" s="805" t="str">
        <f>IFERROR(INDEX($GF$20:$GR$83,$GU24,COLUMNS($GP24:GZ24)),"")</f>
        <v/>
      </c>
      <c r="HG24" s="805" t="str">
        <f>IFERROR(INDEX($GF$20:$GR$83,$GU24,COLUMNS($GP24:HA24)),"")</f>
        <v/>
      </c>
    </row>
    <row r="25" spans="1:215" ht="15" customHeight="1" thickBot="1" x14ac:dyDescent="0.4">
      <c r="A25" s="129" t="s">
        <v>1519</v>
      </c>
      <c r="B25" s="90">
        <v>10012130</v>
      </c>
      <c r="D25" s="1114" t="str">
        <f t="shared" si="49"/>
        <v/>
      </c>
      <c r="E25" s="574">
        <f>IF('Eng. Cutter Entry'!$C$4&lt;&gt;"",IF($L$9&lt;&gt;1,('ARDT Cutter Entry'!BD$58+'ARDT Cutter Entry'!BD$59+'ARDT Cutter Entry'!BD$60+'ARDT Cutter Entry'!BD$61),'ARDT Cutter Entry'!BD$58+'ARDT Cutter Entry'!BD$59+'ARDT Cutter Entry'!BD$60+'ARDT Cutter Entry'!BD$61+Rework!P73),'ARDT Cutter Entry'!BD$2+'ARDT Cutter Entry'!BD$3+'ARDT Cutter Entry'!BD$4+'ARDT Cutter Entry'!BD$5)</f>
        <v>0</v>
      </c>
      <c r="F25" s="574" t="str">
        <f t="shared" ref="F25:F28" si="56">IF(GK15&gt;0,IF(GK15&lt;&gt;"",GK15," ")," ")</f>
        <v xml:space="preserve"> </v>
      </c>
      <c r="G25" s="574" t="str">
        <f t="shared" si="50"/>
        <v/>
      </c>
      <c r="H25" s="1155" t="str">
        <f t="shared" si="51"/>
        <v/>
      </c>
      <c r="I25" s="1155"/>
      <c r="J25" s="574" t="str">
        <f t="shared" si="52"/>
        <v/>
      </c>
      <c r="K25" s="574" t="str">
        <f t="shared" si="53"/>
        <v/>
      </c>
      <c r="L25" s="904"/>
      <c r="M25" s="893"/>
      <c r="N25" s="571">
        <f t="shared" si="54"/>
        <v>0</v>
      </c>
      <c r="O25" s="136">
        <f t="shared" si="55"/>
        <v>0</v>
      </c>
      <c r="R25" s="26"/>
      <c r="DB25" s="37">
        <v>643433</v>
      </c>
      <c r="DD25" s="75">
        <v>16</v>
      </c>
      <c r="DE25" s="37">
        <v>621152</v>
      </c>
      <c r="DF25" t="s">
        <v>174</v>
      </c>
      <c r="DG25" s="37" t="str">
        <f t="shared" si="17"/>
        <v xml:space="preserve">1318  MDR </v>
      </c>
      <c r="DH25" s="37">
        <v>13</v>
      </c>
      <c r="DI25" s="37">
        <v>1318</v>
      </c>
      <c r="DJ25" s="37"/>
      <c r="DK25" s="37" t="s">
        <v>237</v>
      </c>
      <c r="DL25" s="37"/>
      <c r="DM25" s="37">
        <v>49</v>
      </c>
      <c r="DN25" s="37">
        <v>0</v>
      </c>
      <c r="DO25" s="37">
        <v>360</v>
      </c>
      <c r="DP25" s="37"/>
      <c r="DQ25" s="37"/>
      <c r="DR25" s="37" t="str">
        <f t="shared" si="18"/>
        <v>1318  MDR</v>
      </c>
      <c r="DS25" s="37">
        <f t="shared" si="43"/>
        <v>0</v>
      </c>
      <c r="DV25" s="10" t="s">
        <v>1752</v>
      </c>
      <c r="DW25" t="s">
        <v>1589</v>
      </c>
      <c r="DX25">
        <v>10</v>
      </c>
      <c r="DY25" t="s">
        <v>1675</v>
      </c>
      <c r="DZ25" t="s">
        <v>1670</v>
      </c>
      <c r="EA25">
        <v>1</v>
      </c>
      <c r="EB25" t="s">
        <v>1513</v>
      </c>
      <c r="EC25" s="10">
        <v>345</v>
      </c>
      <c r="ED25" s="10" t="s">
        <v>1738</v>
      </c>
      <c r="EE25" s="813">
        <f t="shared" si="19"/>
        <v>0</v>
      </c>
      <c r="EF25">
        <f>ROWS($DE$2:DE25)</f>
        <v>24</v>
      </c>
      <c r="EG25" t="str">
        <f t="shared" si="26"/>
        <v/>
      </c>
      <c r="EJ25" t="str">
        <f t="shared" si="27"/>
        <v/>
      </c>
      <c r="EM25" t="str">
        <f t="shared" si="28"/>
        <v/>
      </c>
      <c r="EP25" t="str">
        <f t="shared" si="29"/>
        <v/>
      </c>
      <c r="ES25" t="str">
        <f t="shared" si="30"/>
        <v/>
      </c>
      <c r="EV25" t="str">
        <f t="shared" si="31"/>
        <v/>
      </c>
      <c r="EY25" t="str">
        <f t="shared" si="32"/>
        <v/>
      </c>
      <c r="FB25" t="str">
        <f t="shared" si="33"/>
        <v/>
      </c>
      <c r="FE25" t="str">
        <f t="shared" si="34"/>
        <v/>
      </c>
      <c r="FH25" t="str">
        <f t="shared" si="35"/>
        <v/>
      </c>
      <c r="FK25" t="str">
        <f t="shared" si="36"/>
        <v/>
      </c>
      <c r="FN25" t="str">
        <f t="shared" si="37"/>
        <v/>
      </c>
      <c r="FQ25" t="str">
        <f t="shared" si="38"/>
        <v/>
      </c>
      <c r="FT25" t="str">
        <f t="shared" si="39"/>
        <v/>
      </c>
      <c r="FW25" t="str">
        <f t="shared" si="40"/>
        <v/>
      </c>
      <c r="FZ25" t="str">
        <f t="shared" si="41"/>
        <v/>
      </c>
      <c r="GC25" t="str">
        <f t="shared" si="42"/>
        <v/>
      </c>
      <c r="GE25" s="155"/>
      <c r="GF25" s="26" t="str">
        <f t="shared" si="45"/>
        <v>03 - 10</v>
      </c>
      <c r="GG25" s="28" t="str">
        <f t="shared" si="46"/>
        <v>3 10</v>
      </c>
      <c r="GH25" s="869">
        <v>3</v>
      </c>
      <c r="GI25" s="75">
        <v>10</v>
      </c>
      <c r="GJ25" s="874" t="s">
        <v>1694</v>
      </c>
      <c r="GK25" s="875">
        <v>1</v>
      </c>
      <c r="GL25" s="876">
        <v>1</v>
      </c>
      <c r="GM25" s="37" t="s">
        <v>1513</v>
      </c>
      <c r="GN25" s="877">
        <v>5875</v>
      </c>
      <c r="GO25" s="26">
        <v>1</v>
      </c>
      <c r="GP25" t="s">
        <v>1757</v>
      </c>
      <c r="GQ25" s="26" t="s">
        <v>1762</v>
      </c>
      <c r="GS25" s="814">
        <f>ROWS($GJ$20:GJ25)</f>
        <v>6</v>
      </c>
      <c r="GT25" s="878" t="str">
        <f>IF($O$7&lt;&gt;"",           IF($O$7=$GJ25,$GS25,""),IF(AND($D$53=$GK25,COUNTIF($B$4,"S*")),$GS25,""))</f>
        <v/>
      </c>
      <c r="GU25" s="814" t="str">
        <f>IFERROR(SMALL($GT$20:$GT$83,ROWS($GT$20:GT25)),"")</f>
        <v/>
      </c>
      <c r="GV25" s="814" t="str">
        <f t="shared" si="47"/>
        <v/>
      </c>
      <c r="GW25" s="814" t="str">
        <f t="shared" si="48"/>
        <v/>
      </c>
      <c r="GX25" s="805" t="str">
        <f>IFERROR(INDEX($GF$20:$GR$83,$GU25,COLUMNS($GP25:GR25)),"")</f>
        <v/>
      </c>
      <c r="GY25" s="805" t="str">
        <f>IFERROR(INDEX($GF$20:$GR$83,$GU25,COLUMNS($GP25:GS25)),"")</f>
        <v/>
      </c>
      <c r="GZ25" s="805" t="str">
        <f>IFERROR(INDEX($GF$20:$GR$83,$GU25,COLUMNS($GP25:GT25)),"")</f>
        <v/>
      </c>
      <c r="HA25" s="805" t="str">
        <f>IFERROR(INDEX($GF$20:$GR$83,$GU25,COLUMNS($GP25:GU25)),"")</f>
        <v/>
      </c>
      <c r="HB25" s="805" t="str">
        <f>IFERROR(INDEX($GF$20:$GR$83,$GU25,COLUMNS($GP25:GV25)),"")</f>
        <v/>
      </c>
      <c r="HC25" s="805" t="str">
        <f>IFERROR(INDEX($GF$20:$GR$83,$GU25,COLUMNS($GP25:GW25)),"")</f>
        <v/>
      </c>
      <c r="HD25" s="805" t="str">
        <f>IFERROR(INDEX($GF$20:$GR$83,$GU25,COLUMNS($GP25:GX25)),"")</f>
        <v/>
      </c>
      <c r="HE25" s="805" t="str">
        <f>IFERROR(INDEX($GF$20:$GR$83,$GU25,COLUMNS($GP25:GY25)),"")</f>
        <v/>
      </c>
      <c r="HF25" s="805" t="str">
        <f>IFERROR(INDEX($GF$20:$GR$83,$GU25,COLUMNS($GP25:GZ25)),"")</f>
        <v/>
      </c>
      <c r="HG25" s="805" t="str">
        <f>IFERROR(INDEX($GF$20:$GR$83,$GU25,COLUMNS($GP25:HA25)),"")</f>
        <v/>
      </c>
    </row>
    <row r="26" spans="1:215" ht="15" thickBot="1" x14ac:dyDescent="0.4">
      <c r="A26" s="131" t="s">
        <v>1099</v>
      </c>
      <c r="B26" s="104"/>
      <c r="D26" s="1115" t="str">
        <f t="shared" si="49"/>
        <v/>
      </c>
      <c r="E26" s="574">
        <f>IF('Eng. Cutter Entry'!$C$4&lt;&gt;"",IF($L$9&lt;&gt;1,('ARDT Cutter Entry'!BE$58+'ARDT Cutter Entry'!BE$59+'ARDT Cutter Entry'!BE$60+'ARDT Cutter Entry'!BE$61),'ARDT Cutter Entry'!BE$58+'ARDT Cutter Entry'!BE$59+'ARDT Cutter Entry'!BE$60+'ARDT Cutter Entry'!BE$61+Rework!Q73),'ARDT Cutter Entry'!BE$2+'ARDT Cutter Entry'!BE$3+'ARDT Cutter Entry'!BE$4+'ARDT Cutter Entry'!BE$5)</f>
        <v>0</v>
      </c>
      <c r="F26" s="574" t="str">
        <f t="shared" si="56"/>
        <v xml:space="preserve"> </v>
      </c>
      <c r="G26" s="574" t="str">
        <f t="shared" si="50"/>
        <v/>
      </c>
      <c r="H26" s="1155" t="str">
        <f t="shared" si="51"/>
        <v/>
      </c>
      <c r="I26" s="1155"/>
      <c r="J26" s="574" t="str">
        <f t="shared" si="52"/>
        <v/>
      </c>
      <c r="K26" s="574" t="str">
        <f t="shared" si="53"/>
        <v/>
      </c>
      <c r="L26" s="904"/>
      <c r="M26" s="893"/>
      <c r="N26" s="571">
        <f t="shared" si="54"/>
        <v>0</v>
      </c>
      <c r="O26" s="136">
        <f t="shared" si="55"/>
        <v>0</v>
      </c>
      <c r="R26" s="26"/>
      <c r="DB26" s="37">
        <v>643435</v>
      </c>
      <c r="DD26" s="75">
        <v>56</v>
      </c>
      <c r="DE26" s="37">
        <v>625854</v>
      </c>
      <c r="DF26" t="s">
        <v>175</v>
      </c>
      <c r="DG26" s="37" t="str">
        <f t="shared" si="17"/>
        <v xml:space="preserve">1318  Carbide Impact Arrestor </v>
      </c>
      <c r="DH26" s="37">
        <v>13</v>
      </c>
      <c r="DI26" s="37">
        <v>1318</v>
      </c>
      <c r="DJ26" s="37"/>
      <c r="DK26" s="37" t="s">
        <v>236</v>
      </c>
      <c r="DL26" s="37"/>
      <c r="DM26" s="37">
        <v>20</v>
      </c>
      <c r="DN26" s="37">
        <v>8</v>
      </c>
      <c r="DO26" s="37">
        <v>360</v>
      </c>
      <c r="DP26" s="37"/>
      <c r="DQ26" s="37"/>
      <c r="DR26" s="37" t="str">
        <f t="shared" si="18"/>
        <v>1318  Carbide Impact Arrestor</v>
      </c>
      <c r="DS26" s="37">
        <f t="shared" si="43"/>
        <v>0</v>
      </c>
      <c r="DV26" s="10" t="s">
        <v>1753</v>
      </c>
      <c r="DW26" t="s">
        <v>1589</v>
      </c>
      <c r="DX26">
        <v>10</v>
      </c>
      <c r="DY26" t="s">
        <v>1675</v>
      </c>
      <c r="DZ26" t="s">
        <v>1670</v>
      </c>
      <c r="EA26">
        <v>1</v>
      </c>
      <c r="EB26" t="s">
        <v>1513</v>
      </c>
      <c r="EC26" s="10">
        <v>345</v>
      </c>
      <c r="ED26" s="10" t="s">
        <v>1738</v>
      </c>
      <c r="EE26" s="813">
        <f t="shared" si="19"/>
        <v>0</v>
      </c>
      <c r="EF26">
        <f>ROWS($DE$2:DE26)</f>
        <v>25</v>
      </c>
      <c r="EG26" t="str">
        <f t="shared" si="26"/>
        <v/>
      </c>
      <c r="EJ26" t="str">
        <f t="shared" si="27"/>
        <v/>
      </c>
      <c r="EM26" t="str">
        <f t="shared" si="28"/>
        <v/>
      </c>
      <c r="EP26" t="str">
        <f t="shared" si="29"/>
        <v/>
      </c>
      <c r="ES26" t="str">
        <f t="shared" si="30"/>
        <v/>
      </c>
      <c r="EV26" t="str">
        <f t="shared" si="31"/>
        <v/>
      </c>
      <c r="EY26" t="str">
        <f t="shared" si="32"/>
        <v/>
      </c>
      <c r="FB26" t="str">
        <f t="shared" si="33"/>
        <v/>
      </c>
      <c r="FE26" t="str">
        <f t="shared" si="34"/>
        <v/>
      </c>
      <c r="FH26" t="str">
        <f t="shared" si="35"/>
        <v/>
      </c>
      <c r="FK26" t="str">
        <f t="shared" si="36"/>
        <v/>
      </c>
      <c r="FN26" t="str">
        <f t="shared" si="37"/>
        <v/>
      </c>
      <c r="FQ26" t="str">
        <f t="shared" si="38"/>
        <v/>
      </c>
      <c r="FT26" t="str">
        <f t="shared" si="39"/>
        <v/>
      </c>
      <c r="FW26" t="str">
        <f t="shared" si="40"/>
        <v/>
      </c>
      <c r="FZ26" t="str">
        <f t="shared" si="41"/>
        <v/>
      </c>
      <c r="GC26" t="str">
        <f t="shared" si="42"/>
        <v/>
      </c>
      <c r="GE26" s="155"/>
      <c r="GF26" s="26" t="str">
        <f t="shared" si="45"/>
        <v>03 - 20</v>
      </c>
      <c r="GG26" s="28" t="str">
        <f t="shared" si="46"/>
        <v>3 20</v>
      </c>
      <c r="GH26" s="869">
        <v>3</v>
      </c>
      <c r="GI26" s="75">
        <v>20</v>
      </c>
      <c r="GJ26" s="874" t="s">
        <v>1695</v>
      </c>
      <c r="GK26" s="875">
        <v>2</v>
      </c>
      <c r="GL26" s="876">
        <v>1</v>
      </c>
      <c r="GM26" s="37" t="s">
        <v>1513</v>
      </c>
      <c r="GN26" s="877">
        <v>8150</v>
      </c>
      <c r="GO26" s="26">
        <v>1</v>
      </c>
      <c r="GP26" t="s">
        <v>1759</v>
      </c>
      <c r="GQ26" s="26" t="s">
        <v>1762</v>
      </c>
      <c r="GS26" s="815">
        <f>ROWS($GJ$20:GJ26)</f>
        <v>7</v>
      </c>
      <c r="GT26" s="878" t="str">
        <f>IF($O$7&lt;&gt;"",           IF($O$7=$GJ26,$GS26,""),IF(AND($D$53=$GK26,COUNTIF($B$4,"S*")),$GS26,""))</f>
        <v/>
      </c>
      <c r="GU26" s="814" t="str">
        <f>IFERROR(SMALL($GT$20:$GT$83,ROWS($GT$20:GT26)),"")</f>
        <v/>
      </c>
      <c r="GV26" s="814" t="str">
        <f t="shared" si="47"/>
        <v/>
      </c>
      <c r="GW26" s="814" t="str">
        <f t="shared" si="48"/>
        <v/>
      </c>
      <c r="GX26" s="805" t="str">
        <f>IFERROR(INDEX($GF$20:$GR$83,$GU26,COLUMNS($GP26:GR26)),"")</f>
        <v/>
      </c>
      <c r="GY26" s="805" t="str">
        <f>IFERROR(INDEX($GF$20:$GR$83,$GU26,COLUMNS($GP26:GS26)),"")</f>
        <v/>
      </c>
      <c r="GZ26" s="805" t="str">
        <f>IFERROR(INDEX($GF$20:$GR$83,$GU26,COLUMNS($GP26:GT26)),"")</f>
        <v/>
      </c>
      <c r="HA26" s="805" t="str">
        <f>IFERROR(INDEX($GF$20:$GR$83,$GU26,COLUMNS($GP26:GU26)),"")</f>
        <v/>
      </c>
      <c r="HB26" s="805" t="str">
        <f>IFERROR(INDEX($GF$20:$GR$83,$GU26,COLUMNS($GP26:GV26)),"")</f>
        <v/>
      </c>
      <c r="HC26" s="805" t="str">
        <f>IFERROR(INDEX($GF$20:$GR$83,$GU26,COLUMNS($GP26:GW26)),"")</f>
        <v/>
      </c>
      <c r="HD26" s="805" t="str">
        <f>IFERROR(INDEX($GF$20:$GR$83,$GU26,COLUMNS($GP26:GX26)),"")</f>
        <v/>
      </c>
      <c r="HE26" s="805" t="str">
        <f>IFERROR(INDEX($GF$20:$GR$83,$GU26,COLUMNS($GP26:GY26)),"")</f>
        <v/>
      </c>
      <c r="HF26" s="805" t="str">
        <f>IFERROR(INDEX($GF$20:$GR$83,$GU26,COLUMNS($GP26:GZ26)),"")</f>
        <v/>
      </c>
      <c r="HG26" s="805" t="str">
        <f>IFERROR(INDEX($GF$20:$GR$83,$GU26,COLUMNS($GP26:HA26)),"")</f>
        <v/>
      </c>
    </row>
    <row r="27" spans="1:215" ht="15" thickBot="1" x14ac:dyDescent="0.4">
      <c r="A27" s="131" t="s">
        <v>1102</v>
      </c>
      <c r="B27" s="104"/>
      <c r="D27" s="1116" t="str">
        <f t="shared" si="49"/>
        <v/>
      </c>
      <c r="E27" s="574">
        <f>IF('Eng. Cutter Entry'!$C$4&lt;&gt;"",IF($L$9&lt;&gt;1,('ARDT Cutter Entry'!BF$58+'ARDT Cutter Entry'!BF$59+'ARDT Cutter Entry'!BF$60+'ARDT Cutter Entry'!BF$61),'ARDT Cutter Entry'!BF$58+'ARDT Cutter Entry'!BF$59+'ARDT Cutter Entry'!BF$60+'ARDT Cutter Entry'!BF$61+Rework!R73),'ARDT Cutter Entry'!BF$2+'ARDT Cutter Entry'!BF$3+'ARDT Cutter Entry'!BF$4+'ARDT Cutter Entry'!BF$5)</f>
        <v>0</v>
      </c>
      <c r="F27" s="574" t="str">
        <f t="shared" si="56"/>
        <v xml:space="preserve"> </v>
      </c>
      <c r="G27" s="574" t="str">
        <f t="shared" si="50"/>
        <v/>
      </c>
      <c r="H27" s="1155" t="str">
        <f t="shared" si="51"/>
        <v/>
      </c>
      <c r="I27" s="1155"/>
      <c r="J27" s="574" t="str">
        <f t="shared" si="52"/>
        <v/>
      </c>
      <c r="K27" s="574" t="str">
        <f t="shared" si="53"/>
        <v/>
      </c>
      <c r="L27" s="904"/>
      <c r="M27" s="893"/>
      <c r="N27" s="571">
        <f t="shared" si="54"/>
        <v>0</v>
      </c>
      <c r="O27" s="136">
        <f t="shared" si="55"/>
        <v>0</v>
      </c>
      <c r="R27" s="26"/>
      <c r="DB27" s="37">
        <v>646938</v>
      </c>
      <c r="DD27" s="75">
        <v>76</v>
      </c>
      <c r="DE27" s="37">
        <v>638559</v>
      </c>
      <c r="DF27" t="s">
        <v>176</v>
      </c>
      <c r="DG27" s="37" t="str">
        <f t="shared" si="17"/>
        <v>1308 CT70  0.018"</v>
      </c>
      <c r="DH27" s="37">
        <v>13</v>
      </c>
      <c r="DI27" s="37">
        <v>1308</v>
      </c>
      <c r="DJ27" s="37" t="s">
        <v>254</v>
      </c>
      <c r="DK27" s="37"/>
      <c r="DL27" s="37" t="s">
        <v>240</v>
      </c>
      <c r="DM27" s="37">
        <v>0</v>
      </c>
      <c r="DN27" s="37">
        <v>2</v>
      </c>
      <c r="DO27" s="37">
        <v>360</v>
      </c>
      <c r="DP27" s="37"/>
      <c r="DQ27" s="37"/>
      <c r="DR27" s="37" t="str">
        <f t="shared" si="18"/>
        <v xml:space="preserve">1308 CT70 </v>
      </c>
      <c r="DS27" s="37">
        <f t="shared" si="43"/>
        <v>165.77600000000001</v>
      </c>
      <c r="DT27" s="10">
        <v>127.52</v>
      </c>
      <c r="DV27" s="10" t="s">
        <v>49</v>
      </c>
      <c r="DW27" t="s">
        <v>1589</v>
      </c>
      <c r="DX27">
        <v>30</v>
      </c>
      <c r="DY27" t="s">
        <v>1677</v>
      </c>
      <c r="DZ27" t="s">
        <v>1670</v>
      </c>
      <c r="EA27">
        <v>1</v>
      </c>
      <c r="EB27" t="s">
        <v>1513</v>
      </c>
      <c r="EC27" s="10">
        <v>480</v>
      </c>
      <c r="ED27" s="10" t="s">
        <v>1740</v>
      </c>
      <c r="EE27" s="813">
        <f t="shared" si="19"/>
        <v>0</v>
      </c>
      <c r="EF27">
        <f>ROWS($DE$2:DE27)</f>
        <v>26</v>
      </c>
      <c r="EG27" t="str">
        <f t="shared" si="26"/>
        <v/>
      </c>
      <c r="EJ27" t="str">
        <f t="shared" si="27"/>
        <v/>
      </c>
      <c r="EM27" t="str">
        <f t="shared" si="28"/>
        <v/>
      </c>
      <c r="EP27" t="str">
        <f t="shared" si="29"/>
        <v/>
      </c>
      <c r="ES27" t="str">
        <f t="shared" si="30"/>
        <v/>
      </c>
      <c r="EV27" t="str">
        <f t="shared" si="31"/>
        <v/>
      </c>
      <c r="EY27" t="str">
        <f t="shared" si="32"/>
        <v/>
      </c>
      <c r="FB27" t="str">
        <f t="shared" si="33"/>
        <v/>
      </c>
      <c r="FE27" t="str">
        <f t="shared" si="34"/>
        <v/>
      </c>
      <c r="FH27" t="str">
        <f t="shared" si="35"/>
        <v/>
      </c>
      <c r="FK27" t="str">
        <f t="shared" si="36"/>
        <v/>
      </c>
      <c r="FN27" t="str">
        <f t="shared" si="37"/>
        <v/>
      </c>
      <c r="FQ27" t="str">
        <f t="shared" si="38"/>
        <v/>
      </c>
      <c r="FT27" t="str">
        <f t="shared" si="39"/>
        <v/>
      </c>
      <c r="FW27" t="str">
        <f t="shared" si="40"/>
        <v/>
      </c>
      <c r="FZ27" t="str">
        <f t="shared" si="41"/>
        <v/>
      </c>
      <c r="GC27" t="str">
        <f t="shared" si="42"/>
        <v/>
      </c>
      <c r="GE27" s="155"/>
      <c r="GF27" s="26" t="str">
        <f t="shared" si="45"/>
        <v>03 - 30</v>
      </c>
      <c r="GG27" s="28" t="str">
        <f t="shared" si="46"/>
        <v>3 30</v>
      </c>
      <c r="GH27" s="869">
        <v>3</v>
      </c>
      <c r="GI27" s="75">
        <v>30</v>
      </c>
      <c r="GJ27" s="874" t="s">
        <v>1696</v>
      </c>
      <c r="GK27" s="875">
        <v>3</v>
      </c>
      <c r="GL27" s="876">
        <v>1</v>
      </c>
      <c r="GM27" s="37" t="s">
        <v>1513</v>
      </c>
      <c r="GN27" s="877">
        <v>9450</v>
      </c>
      <c r="GO27" s="26">
        <v>1</v>
      </c>
      <c r="GP27" t="s">
        <v>1760</v>
      </c>
      <c r="GQ27" s="26" t="s">
        <v>1762</v>
      </c>
      <c r="GS27">
        <f>ROWS($GJ$20:GJ27)</f>
        <v>8</v>
      </c>
      <c r="GT27" s="878" t="str">
        <f>IF($O$7&lt;&gt;"",           IF($O$7=$GJ27,$GS27,""),IF(AND($D$53=$GK27,COUNTIF($B$4,"S*")),$GS27,""))</f>
        <v/>
      </c>
      <c r="GU27" s="814" t="str">
        <f>IFERROR(SMALL($GT$20:$GT$83,ROWS($GT$20:GT27)),"")</f>
        <v/>
      </c>
      <c r="GV27" s="814" t="str">
        <f t="shared" si="47"/>
        <v/>
      </c>
      <c r="GW27" s="814" t="str">
        <f t="shared" si="48"/>
        <v/>
      </c>
      <c r="GX27" s="805" t="str">
        <f>IFERROR(INDEX($GF$20:$GR$83,$GU27,COLUMNS($GP27:GR27)),"")</f>
        <v/>
      </c>
      <c r="GY27" s="805" t="str">
        <f>IFERROR(INDEX($GF$20:$GR$83,$GU27,COLUMNS($GP27:GS27)),"")</f>
        <v/>
      </c>
      <c r="GZ27" s="805" t="str">
        <f>IFERROR(INDEX($GF$20:$GR$83,$GU27,COLUMNS($GP27:GT27)),"")</f>
        <v/>
      </c>
      <c r="HA27" s="805" t="str">
        <f>IFERROR(INDEX($GF$20:$GR$83,$GU27,COLUMNS($GP27:GU27)),"")</f>
        <v/>
      </c>
      <c r="HB27" s="805" t="str">
        <f>IFERROR(INDEX($GF$20:$GR$83,$GU27,COLUMNS($GP27:GV27)),"")</f>
        <v/>
      </c>
      <c r="HC27" s="805" t="str">
        <f>IFERROR(INDEX($GF$20:$GR$83,$GU27,COLUMNS($GP27:GW27)),"")</f>
        <v/>
      </c>
      <c r="HD27" s="805" t="str">
        <f>IFERROR(INDEX($GF$20:$GR$83,$GU27,COLUMNS($GP27:GX27)),"")</f>
        <v/>
      </c>
      <c r="HE27" s="805" t="str">
        <f>IFERROR(INDEX($GF$20:$GR$83,$GU27,COLUMNS($GP27:GY27)),"")</f>
        <v/>
      </c>
      <c r="HF27" s="805" t="str">
        <f>IFERROR(INDEX($GF$20:$GR$83,$GU27,COLUMNS($GP27:GZ27)),"")</f>
        <v/>
      </c>
      <c r="HG27" s="805" t="str">
        <f>IFERROR(INDEX($GF$20:$GR$83,$GU27,COLUMNS($GP27:HA27)),"")</f>
        <v/>
      </c>
    </row>
    <row r="28" spans="1:215" ht="15.75" customHeight="1" thickBot="1" x14ac:dyDescent="0.4">
      <c r="A28" s="131" t="s">
        <v>1098</v>
      </c>
      <c r="B28" s="104"/>
      <c r="D28" s="567" t="str">
        <f t="shared" si="49"/>
        <v/>
      </c>
      <c r="E28" s="574">
        <f>IF('Eng. Cutter Entry'!$C$4&lt;&gt;"",IF($L$9&lt;&gt;1,('ARDT Cutter Entry'!BG$58+'ARDT Cutter Entry'!BG$59+'ARDT Cutter Entry'!BG$60+'ARDT Cutter Entry'!BG$61),'ARDT Cutter Entry'!BG$58+'ARDT Cutter Entry'!BG$59+'ARDT Cutter Entry'!BG$60+'ARDT Cutter Entry'!BG$61+Rework!S73),'ARDT Cutter Entry'!BG$2+'ARDT Cutter Entry'!BG$3+'ARDT Cutter Entry'!BG$4+'ARDT Cutter Entry'!BG$5)</f>
        <v>0</v>
      </c>
      <c r="F28" s="574" t="str">
        <f t="shared" si="56"/>
        <v xml:space="preserve"> </v>
      </c>
      <c r="G28" s="574" t="str">
        <f t="shared" si="50"/>
        <v/>
      </c>
      <c r="H28" s="1155" t="str">
        <f t="shared" si="51"/>
        <v/>
      </c>
      <c r="I28" s="1155"/>
      <c r="J28" s="574" t="str">
        <f t="shared" si="52"/>
        <v/>
      </c>
      <c r="K28" s="574" t="str">
        <f t="shared" si="53"/>
        <v/>
      </c>
      <c r="L28" s="904"/>
      <c r="M28" s="893"/>
      <c r="N28" s="571">
        <f t="shared" si="54"/>
        <v>0</v>
      </c>
      <c r="O28" s="136">
        <f t="shared" si="55"/>
        <v>0</v>
      </c>
      <c r="R28" s="26"/>
      <c r="DB28" s="37">
        <v>646941</v>
      </c>
      <c r="DD28" s="75">
        <v>25</v>
      </c>
      <c r="DE28" s="37">
        <v>638560</v>
      </c>
      <c r="DF28" t="s">
        <v>177</v>
      </c>
      <c r="DG28" s="37" t="str">
        <f t="shared" si="17"/>
        <v>1313 CT70  0.018"</v>
      </c>
      <c r="DH28" s="37">
        <v>13</v>
      </c>
      <c r="DI28" s="37">
        <v>1313</v>
      </c>
      <c r="DJ28" s="37" t="s">
        <v>254</v>
      </c>
      <c r="DK28" s="37"/>
      <c r="DL28" s="37" t="s">
        <v>240</v>
      </c>
      <c r="DM28" s="37">
        <v>0</v>
      </c>
      <c r="DN28" s="37">
        <v>17</v>
      </c>
      <c r="DO28" s="37">
        <v>360</v>
      </c>
      <c r="DP28" s="37"/>
      <c r="DQ28" s="37"/>
      <c r="DR28" s="37" t="str">
        <f t="shared" si="18"/>
        <v xml:space="preserve">1313 CT70 </v>
      </c>
      <c r="DS28" s="37">
        <f t="shared" si="43"/>
        <v>192.28300000000002</v>
      </c>
      <c r="DT28" s="10">
        <v>147.91</v>
      </c>
      <c r="DV28" s="10" t="s">
        <v>49</v>
      </c>
      <c r="DW28" t="s">
        <v>1589</v>
      </c>
      <c r="DX28">
        <v>30</v>
      </c>
      <c r="DY28" t="s">
        <v>1677</v>
      </c>
      <c r="DZ28" t="s">
        <v>1670</v>
      </c>
      <c r="EA28">
        <v>1</v>
      </c>
      <c r="EB28" t="s">
        <v>1513</v>
      </c>
      <c r="EC28" s="10">
        <v>480</v>
      </c>
      <c r="ED28" s="10" t="s">
        <v>1740</v>
      </c>
      <c r="EE28" s="813">
        <f t="shared" si="19"/>
        <v>0</v>
      </c>
      <c r="EF28">
        <f>ROWS($DE$2:DE28)</f>
        <v>27</v>
      </c>
      <c r="EG28" t="str">
        <f t="shared" si="26"/>
        <v/>
      </c>
      <c r="EJ28" t="str">
        <f t="shared" si="27"/>
        <v/>
      </c>
      <c r="EM28" t="str">
        <f t="shared" si="28"/>
        <v/>
      </c>
      <c r="EP28" t="str">
        <f t="shared" si="29"/>
        <v/>
      </c>
      <c r="ES28" t="str">
        <f t="shared" si="30"/>
        <v/>
      </c>
      <c r="EV28" t="str">
        <f t="shared" si="31"/>
        <v/>
      </c>
      <c r="EY28" t="str">
        <f t="shared" si="32"/>
        <v/>
      </c>
      <c r="FB28" t="str">
        <f t="shared" si="33"/>
        <v/>
      </c>
      <c r="FE28" t="str">
        <f t="shared" si="34"/>
        <v/>
      </c>
      <c r="FH28" t="str">
        <f t="shared" si="35"/>
        <v/>
      </c>
      <c r="FK28" t="str">
        <f t="shared" si="36"/>
        <v/>
      </c>
      <c r="FN28" t="str">
        <f t="shared" si="37"/>
        <v/>
      </c>
      <c r="FQ28" t="str">
        <f t="shared" si="38"/>
        <v/>
      </c>
      <c r="FT28" t="str">
        <f t="shared" si="39"/>
        <v/>
      </c>
      <c r="FW28" t="str">
        <f t="shared" si="40"/>
        <v/>
      </c>
      <c r="FZ28" t="str">
        <f t="shared" si="41"/>
        <v/>
      </c>
      <c r="GC28" t="str">
        <f t="shared" si="42"/>
        <v/>
      </c>
      <c r="GE28" s="155"/>
      <c r="GF28" s="26" t="str">
        <f t="shared" si="45"/>
        <v>03 - 40</v>
      </c>
      <c r="GG28" s="28" t="str">
        <f t="shared" si="46"/>
        <v>3 40</v>
      </c>
      <c r="GH28" s="869">
        <v>3</v>
      </c>
      <c r="GI28" s="75">
        <v>40</v>
      </c>
      <c r="GJ28" s="874" t="s">
        <v>1697</v>
      </c>
      <c r="GK28" s="875">
        <v>4</v>
      </c>
      <c r="GL28" s="876">
        <v>1</v>
      </c>
      <c r="GM28" s="37" t="s">
        <v>1513</v>
      </c>
      <c r="GN28" s="877">
        <v>12500</v>
      </c>
      <c r="GO28" s="26">
        <v>1</v>
      </c>
      <c r="GP28" t="s">
        <v>1761</v>
      </c>
      <c r="GQ28" s="26" t="s">
        <v>1762</v>
      </c>
      <c r="GS28">
        <f>ROWS($GJ$20:GJ28)</f>
        <v>9</v>
      </c>
      <c r="GT28" s="878" t="str">
        <f>IF($O$7&lt;&gt;"",           IF($O$7=$GJ28,$GS28,""),IF(AND($D$53=$GK28,COUNTIF($B$4,"S*")),$GS28,""))</f>
        <v/>
      </c>
      <c r="GU28" s="814" t="str">
        <f>IFERROR(SMALL($GT$20:$GT$83,ROWS($GT$20:GT28)),"")</f>
        <v/>
      </c>
      <c r="GV28" s="814" t="str">
        <f t="shared" si="47"/>
        <v/>
      </c>
      <c r="GW28" s="814" t="str">
        <f t="shared" si="48"/>
        <v/>
      </c>
      <c r="GX28" s="805" t="str">
        <f>IFERROR(INDEX($GF$20:$GR$83,$GU28,COLUMNS($GP28:GR28)),"")</f>
        <v/>
      </c>
      <c r="GY28" s="805" t="str">
        <f>IFERROR(INDEX($GF$20:$GR$83,$GU28,COLUMNS($GP28:GS28)),"")</f>
        <v/>
      </c>
      <c r="GZ28" s="805" t="str">
        <f>IFERROR(INDEX($GF$20:$GR$83,$GU28,COLUMNS($GP28:GT28)),"")</f>
        <v/>
      </c>
      <c r="HA28" s="805" t="str">
        <f>IFERROR(INDEX($GF$20:$GR$83,$GU28,COLUMNS($GP28:GU28)),"")</f>
        <v/>
      </c>
      <c r="HB28" s="805" t="str">
        <f>IFERROR(INDEX($GF$20:$GR$83,$GU28,COLUMNS($GP28:GV28)),"")</f>
        <v/>
      </c>
      <c r="HC28" s="805" t="str">
        <f>IFERROR(INDEX($GF$20:$GR$83,$GU28,COLUMNS($GP28:GW28)),"")</f>
        <v/>
      </c>
      <c r="HD28" s="805" t="str">
        <f>IFERROR(INDEX($GF$20:$GR$83,$GU28,COLUMNS($GP28:GX28)),"")</f>
        <v/>
      </c>
      <c r="HE28" s="805" t="str">
        <f>IFERROR(INDEX($GF$20:$GR$83,$GU28,COLUMNS($GP28:GY28)),"")</f>
        <v/>
      </c>
      <c r="HF28" s="805" t="str">
        <f>IFERROR(INDEX($GF$20:$GR$83,$GU28,COLUMNS($GP28:GZ28)),"")</f>
        <v/>
      </c>
      <c r="HG28" s="805" t="str">
        <f>IFERROR(INDEX($GF$20:$GR$83,$GU28,COLUMNS($GP28:HA28)),"")</f>
        <v/>
      </c>
    </row>
    <row r="29" spans="1:215" ht="38" thickBot="1" x14ac:dyDescent="0.4">
      <c r="A29" s="619" t="s">
        <v>2114</v>
      </c>
      <c r="B29" s="104"/>
      <c r="D29" s="574" t="s">
        <v>21</v>
      </c>
      <c r="E29" s="574">
        <f>SUM(E12:E28)</f>
        <v>33</v>
      </c>
      <c r="F29" s="1155"/>
      <c r="G29" s="1155"/>
      <c r="H29" s="1155"/>
      <c r="I29" s="1155"/>
      <c r="J29" s="574"/>
      <c r="K29" s="574">
        <f>SUM(K12:K28)</f>
        <v>33</v>
      </c>
      <c r="L29" s="905">
        <f>SUM(L12:L21)</f>
        <v>0</v>
      </c>
      <c r="M29" s="716"/>
      <c r="N29" s="572" t="s">
        <v>21</v>
      </c>
      <c r="O29" s="573">
        <f>SUMIF(N12:N28, "&lt;&gt;1228501", O12:O28)</f>
        <v>62</v>
      </c>
      <c r="R29" s="26"/>
      <c r="DB29" s="37">
        <v>647436</v>
      </c>
      <c r="DD29" s="75">
        <v>18</v>
      </c>
      <c r="DE29" s="37">
        <v>638561</v>
      </c>
      <c r="DF29" t="s">
        <v>178</v>
      </c>
      <c r="DG29" s="37" t="str">
        <f t="shared" si="17"/>
        <v>1613 CT70  0.018"</v>
      </c>
      <c r="DH29" s="37">
        <v>16</v>
      </c>
      <c r="DI29" s="37">
        <v>1613</v>
      </c>
      <c r="DJ29" s="37" t="s">
        <v>254</v>
      </c>
      <c r="DK29" s="37"/>
      <c r="DL29" s="37" t="s">
        <v>240</v>
      </c>
      <c r="DM29" s="37">
        <v>0</v>
      </c>
      <c r="DN29" s="37">
        <v>33</v>
      </c>
      <c r="DO29" s="37">
        <v>497</v>
      </c>
      <c r="DP29" s="37"/>
      <c r="DQ29" s="37"/>
      <c r="DR29" s="37" t="str">
        <f t="shared" si="18"/>
        <v xml:space="preserve">1613 CT70 </v>
      </c>
      <c r="DS29" s="37">
        <f t="shared" si="43"/>
        <v>251.61500000000004</v>
      </c>
      <c r="DT29" s="10">
        <v>193.55</v>
      </c>
      <c r="DV29" s="10" t="s">
        <v>49</v>
      </c>
      <c r="DW29" t="s">
        <v>1590</v>
      </c>
      <c r="DX29">
        <v>30</v>
      </c>
      <c r="DY29" t="s">
        <v>1673</v>
      </c>
      <c r="DZ29" t="s">
        <v>1668</v>
      </c>
      <c r="EA29">
        <v>1</v>
      </c>
      <c r="EB29" t="s">
        <v>1513</v>
      </c>
      <c r="EC29" s="10">
        <v>662</v>
      </c>
      <c r="ED29" s="10" t="s">
        <v>1736</v>
      </c>
      <c r="EE29" s="813">
        <f t="shared" si="19"/>
        <v>0</v>
      </c>
      <c r="EF29">
        <f>ROWS($DE$2:DE29)</f>
        <v>28</v>
      </c>
      <c r="EG29" t="str">
        <f t="shared" si="26"/>
        <v/>
      </c>
      <c r="EJ29" t="str">
        <f t="shared" si="27"/>
        <v/>
      </c>
      <c r="EM29" t="str">
        <f t="shared" si="28"/>
        <v/>
      </c>
      <c r="EP29" t="str">
        <f t="shared" si="29"/>
        <v/>
      </c>
      <c r="ES29" t="str">
        <f t="shared" si="30"/>
        <v/>
      </c>
      <c r="EV29" t="str">
        <f t="shared" si="31"/>
        <v/>
      </c>
      <c r="EY29" t="str">
        <f t="shared" si="32"/>
        <v/>
      </c>
      <c r="FB29" t="str">
        <f t="shared" si="33"/>
        <v/>
      </c>
      <c r="FE29" t="str">
        <f t="shared" si="34"/>
        <v/>
      </c>
      <c r="FH29" t="str">
        <f t="shared" si="35"/>
        <v/>
      </c>
      <c r="FK29" t="str">
        <f t="shared" si="36"/>
        <v/>
      </c>
      <c r="FN29" t="str">
        <f t="shared" si="37"/>
        <v/>
      </c>
      <c r="FQ29" t="str">
        <f t="shared" si="38"/>
        <v/>
      </c>
      <c r="FT29" t="str">
        <f t="shared" si="39"/>
        <v/>
      </c>
      <c r="FW29" t="str">
        <f t="shared" si="40"/>
        <v/>
      </c>
      <c r="FZ29" t="str">
        <f t="shared" si="41"/>
        <v/>
      </c>
      <c r="GC29" t="str">
        <f t="shared" si="42"/>
        <v/>
      </c>
      <c r="GE29" s="155"/>
      <c r="GF29" s="26" t="str">
        <f t="shared" si="45"/>
        <v>04.1 - 10</v>
      </c>
      <c r="GG29" s="28" t="str">
        <f t="shared" si="46"/>
        <v>4.1 10</v>
      </c>
      <c r="GH29" s="869">
        <v>4.0999999999999996</v>
      </c>
      <c r="GI29" s="75">
        <v>10</v>
      </c>
      <c r="GJ29" s="874" t="s">
        <v>1698</v>
      </c>
      <c r="GK29" s="875">
        <v>1</v>
      </c>
      <c r="GL29" s="876">
        <v>1</v>
      </c>
      <c r="GM29" s="37" t="s">
        <v>1513</v>
      </c>
      <c r="GN29" s="877">
        <v>6650</v>
      </c>
      <c r="GO29" s="26">
        <v>1</v>
      </c>
      <c r="GP29" t="s">
        <v>1757</v>
      </c>
      <c r="GQ29" s="26" t="s">
        <v>1763</v>
      </c>
      <c r="GS29">
        <f>ROWS($GJ$20:GJ29)</f>
        <v>10</v>
      </c>
      <c r="GT29" s="879" t="str">
        <f>IF($O$7&lt;&gt;"",           IF($O$7=$GJ29,$GS29,""),"")</f>
        <v/>
      </c>
      <c r="GU29" s="815" t="str">
        <f>IFERROR(SMALL($GT$20:$GT$83,ROWS($GT$20:GT29)),"")</f>
        <v/>
      </c>
      <c r="GV29" s="814" t="str">
        <f>IFERROR(INDEX($GF$20:$GR$83,$GU29,COLUMNS(GP29:GQ29)),"")</f>
        <v/>
      </c>
      <c r="GW29" s="805" t="str">
        <f>IFERROR(INDEX($GF$20:$GR$83,$GU29,COLUMNS($GP29:GR29)),"")</f>
        <v/>
      </c>
      <c r="GX29" s="805" t="str">
        <f>IFERROR(INDEX($GF$20:$GR$83,$GU29,COLUMNS($GP29:GS29)),"")</f>
        <v/>
      </c>
      <c r="GY29" s="805" t="str">
        <f>IFERROR(INDEX($GF$20:$GR$83,$GU29,COLUMNS($GP29:GT29)),"")</f>
        <v/>
      </c>
      <c r="GZ29" s="805" t="str">
        <f>IFERROR(INDEX($GF$20:$GR$83,$GU29,COLUMNS($GP29:GU29)),"")</f>
        <v/>
      </c>
      <c r="HA29" s="805" t="str">
        <f>IFERROR(INDEX($GF$20:$GR$83,$GU29,COLUMNS($GP29:GV29)),"")</f>
        <v/>
      </c>
      <c r="HB29" s="805" t="str">
        <f>IFERROR(INDEX($GF$20:$GR$83,$GU29,COLUMNS($GP29:GW29)),"")</f>
        <v/>
      </c>
      <c r="HC29" s="805" t="str">
        <f>IFERROR(INDEX($GF$20:$GR$83,$GU29,COLUMNS($GP29:GX29)),"")</f>
        <v/>
      </c>
      <c r="HD29" s="805" t="str">
        <f>IFERROR(INDEX($GF$20:$GR$83,$GU29,COLUMNS($GP29:GY29)),"")</f>
        <v/>
      </c>
      <c r="HE29" s="805" t="str">
        <f>IFERROR(INDEX($GF$20:$GR$83,$GU29,COLUMNS($GP29:GZ29)),"")</f>
        <v/>
      </c>
      <c r="HF29" s="805" t="str">
        <f>IFERROR(INDEX($GF$20:$GR$83,$GU29,COLUMNS($GP29:HA29)),"")</f>
        <v/>
      </c>
      <c r="HG29" s="805" t="str">
        <f>IFERROR(INDEX($GF$20:$GR$83,$GU29,COLUMNS($GP29:HB29)),"")</f>
        <v/>
      </c>
    </row>
    <row r="30" spans="1:215" ht="15.75" customHeight="1" thickBot="1" x14ac:dyDescent="0.4">
      <c r="A30" s="1107"/>
      <c r="B30" s="1108"/>
      <c r="D30" s="1153" t="s">
        <v>954</v>
      </c>
      <c r="E30" s="626" t="s">
        <v>15</v>
      </c>
      <c r="F30" s="625" t="s">
        <v>1452</v>
      </c>
      <c r="G30" s="625" t="s">
        <v>16</v>
      </c>
      <c r="H30" s="1174" t="s">
        <v>965</v>
      </c>
      <c r="I30" s="1175"/>
      <c r="J30" s="1175"/>
      <c r="K30" s="1176"/>
      <c r="L30" s="1173"/>
      <c r="M30" s="1160" t="s">
        <v>1269</v>
      </c>
      <c r="N30" s="1160"/>
      <c r="O30" s="1160"/>
      <c r="P30" s="1160"/>
      <c r="Q30" s="1160"/>
      <c r="R30" s="1160"/>
      <c r="DB30" s="37">
        <v>647464</v>
      </c>
      <c r="DD30" s="75">
        <v>60</v>
      </c>
      <c r="DE30" s="37">
        <v>642299</v>
      </c>
      <c r="DF30" t="s">
        <v>179</v>
      </c>
      <c r="DG30" s="37" t="str">
        <f t="shared" si="17"/>
        <v>1308 CT66  0.018"</v>
      </c>
      <c r="DH30" s="37">
        <v>13</v>
      </c>
      <c r="DI30" s="37">
        <v>1308</v>
      </c>
      <c r="DJ30" s="37" t="s">
        <v>255</v>
      </c>
      <c r="DK30" s="37"/>
      <c r="DL30" s="37" t="s">
        <v>240</v>
      </c>
      <c r="DM30" s="37">
        <v>0</v>
      </c>
      <c r="DN30" s="37">
        <v>17</v>
      </c>
      <c r="DO30" s="37">
        <v>360</v>
      </c>
      <c r="DP30" s="37"/>
      <c r="DQ30" s="37"/>
      <c r="DR30" s="37" t="str">
        <f t="shared" si="18"/>
        <v xml:space="preserve">1308 CT66 </v>
      </c>
      <c r="DS30" s="37">
        <f t="shared" si="43"/>
        <v>0</v>
      </c>
      <c r="DV30" s="10" t="s">
        <v>732</v>
      </c>
      <c r="DW30" t="s">
        <v>1589</v>
      </c>
      <c r="DX30">
        <v>20</v>
      </c>
      <c r="DY30" t="s">
        <v>1679</v>
      </c>
      <c r="DZ30" t="s">
        <v>1670</v>
      </c>
      <c r="EA30">
        <v>1</v>
      </c>
      <c r="EB30" t="s">
        <v>1513</v>
      </c>
      <c r="EC30" s="10">
        <v>413</v>
      </c>
      <c r="ED30" s="10" t="s">
        <v>1742</v>
      </c>
      <c r="EE30" s="813">
        <f t="shared" si="19"/>
        <v>0</v>
      </c>
      <c r="EF30">
        <f>ROWS($DE$2:DE30)</f>
        <v>29</v>
      </c>
      <c r="EG30" t="str">
        <f t="shared" si="26"/>
        <v/>
      </c>
      <c r="EJ30" t="str">
        <f t="shared" si="27"/>
        <v/>
      </c>
      <c r="EM30" t="str">
        <f t="shared" si="28"/>
        <v/>
      </c>
      <c r="EP30" t="str">
        <f t="shared" si="29"/>
        <v/>
      </c>
      <c r="ES30" t="str">
        <f t="shared" si="30"/>
        <v/>
      </c>
      <c r="EV30" t="str">
        <f t="shared" si="31"/>
        <v/>
      </c>
      <c r="EY30" t="str">
        <f t="shared" si="32"/>
        <v/>
      </c>
      <c r="FB30" t="str">
        <f t="shared" si="33"/>
        <v/>
      </c>
      <c r="FE30" t="str">
        <f t="shared" si="34"/>
        <v/>
      </c>
      <c r="FH30" t="str">
        <f t="shared" si="35"/>
        <v/>
      </c>
      <c r="FK30" t="str">
        <f t="shared" si="36"/>
        <v/>
      </c>
      <c r="FN30" t="str">
        <f t="shared" si="37"/>
        <v/>
      </c>
      <c r="FQ30" t="str">
        <f t="shared" si="38"/>
        <v/>
      </c>
      <c r="FT30" t="str">
        <f t="shared" si="39"/>
        <v/>
      </c>
      <c r="FW30" t="str">
        <f t="shared" si="40"/>
        <v/>
      </c>
      <c r="FZ30" t="str">
        <f t="shared" si="41"/>
        <v/>
      </c>
      <c r="GC30" t="str">
        <f t="shared" si="42"/>
        <v/>
      </c>
      <c r="GE30" s="155"/>
      <c r="GF30" s="26" t="str">
        <f t="shared" si="45"/>
        <v>04.1 - 20</v>
      </c>
      <c r="GG30" s="28" t="str">
        <f t="shared" si="46"/>
        <v>4.1 20</v>
      </c>
      <c r="GH30" s="869">
        <v>4.0999999999999996</v>
      </c>
      <c r="GI30" s="75">
        <v>20</v>
      </c>
      <c r="GJ30" s="874" t="s">
        <v>1699</v>
      </c>
      <c r="GK30" s="875">
        <v>1</v>
      </c>
      <c r="GL30" s="876">
        <v>1</v>
      </c>
      <c r="GM30" s="37" t="s">
        <v>1513</v>
      </c>
      <c r="GN30" s="877">
        <v>8100</v>
      </c>
      <c r="GO30" s="26">
        <v>1</v>
      </c>
      <c r="GP30" t="s">
        <v>1757</v>
      </c>
      <c r="GQ30" s="26" t="s">
        <v>1764</v>
      </c>
      <c r="GS30">
        <f>ROWS($GJ$20:GJ30)</f>
        <v>11</v>
      </c>
      <c r="GT30" s="880" t="str">
        <f>IF($O$7&lt;&gt;"",           IF($O$7=$GJ30,$GS30,""),"")</f>
        <v/>
      </c>
      <c r="GU30" t="str">
        <f>IFERROR(SMALL($GT$20:$GT$56,ROWS($GT$20:GT30)),"")</f>
        <v/>
      </c>
      <c r="GW30" s="805" t="str">
        <f>IFERROR(INDEX($GF$20:$GR$83,$GU30,COLUMNS($GP30:GR30)),"")</f>
        <v/>
      </c>
      <c r="GX30" s="805" t="str">
        <f>IFERROR(INDEX($GF$20:$GR$83,$GU30,COLUMNS($GP30:GS30)),"")</f>
        <v/>
      </c>
      <c r="GY30" s="805" t="str">
        <f>IFERROR(INDEX($GF$20:$GR$83,$GU30,COLUMNS($GP30:GT30)),"")</f>
        <v/>
      </c>
      <c r="GZ30" s="805" t="str">
        <f>IFERROR(INDEX($GF$20:$GR$83,$GU30,COLUMNS($GP30:GU30)),"")</f>
        <v/>
      </c>
      <c r="HA30" s="805" t="str">
        <f>IFERROR(INDEX($GF$20:$GR$83,$GU30,COLUMNS($GP30:GV30)),"")</f>
        <v/>
      </c>
      <c r="HB30" s="805" t="str">
        <f>IFERROR(INDEX($GF$20:$GR$83,$GU30,COLUMNS($GP30:GW30)),"")</f>
        <v/>
      </c>
      <c r="HC30" s="805" t="str">
        <f>IFERROR(INDEX($GF$20:$GR$83,$GU30,COLUMNS($GP30:GX30)),"")</f>
        <v/>
      </c>
      <c r="HD30" s="805" t="str">
        <f>IFERROR(INDEX($GF$20:$GR$83,$GU30,COLUMNS($GP30:GY30)),"")</f>
        <v/>
      </c>
      <c r="HE30" s="805" t="str">
        <f>IFERROR(INDEX($GF$20:$GR$83,$GU30,COLUMNS($GP30:GZ30)),"")</f>
        <v/>
      </c>
      <c r="HF30" s="805" t="str">
        <f>IFERROR(INDEX($GF$20:$GR$83,$GU30,COLUMNS($GP30:HA30)),"")</f>
        <v/>
      </c>
      <c r="HG30" s="805" t="str">
        <f>IFERROR(INDEX($GF$20:$GR$83,$GU30,COLUMNS($GP30:HB30)),"")</f>
        <v/>
      </c>
    </row>
    <row r="31" spans="1:215" ht="15.75" customHeight="1" thickBot="1" x14ac:dyDescent="0.4">
      <c r="A31" s="1107"/>
      <c r="B31" s="1108"/>
      <c r="D31" s="1154"/>
      <c r="E31" s="551"/>
      <c r="F31" s="551"/>
      <c r="G31" s="981">
        <f>IF(F31&lt;&gt;"",IF($B$7="SAUDI ARAMCO",$F$52,IFERROR(INDEX($A$207:$B$228, MATCH($F$31, A207:A228, 0),2),0)),0)</f>
        <v>0</v>
      </c>
      <c r="H31" s="1177"/>
      <c r="I31" s="1178"/>
      <c r="J31" s="1178"/>
      <c r="K31" s="1179"/>
      <c r="L31" s="1173"/>
      <c r="M31" s="667" t="s">
        <v>1263</v>
      </c>
      <c r="N31" s="667" t="s">
        <v>1264</v>
      </c>
      <c r="O31" s="667" t="s">
        <v>1265</v>
      </c>
      <c r="P31" s="667" t="s">
        <v>1266</v>
      </c>
      <c r="Q31" s="668" t="s">
        <v>1267</v>
      </c>
      <c r="R31" s="575" t="s">
        <v>1271</v>
      </c>
      <c r="DB31" s="37">
        <v>647467</v>
      </c>
      <c r="DD31" s="75">
        <v>22</v>
      </c>
      <c r="DE31" s="37">
        <v>643433</v>
      </c>
      <c r="DF31" t="s">
        <v>180</v>
      </c>
      <c r="DG31" s="37" t="str">
        <f t="shared" si="17"/>
        <v>1913 CT70  0.010"</v>
      </c>
      <c r="DH31" s="37">
        <v>19</v>
      </c>
      <c r="DI31" s="37">
        <v>1913</v>
      </c>
      <c r="DJ31" s="37" t="s">
        <v>254</v>
      </c>
      <c r="DK31" s="37"/>
      <c r="DL31" s="37" t="s">
        <v>239</v>
      </c>
      <c r="DM31" s="37">
        <v>0</v>
      </c>
      <c r="DN31" s="37">
        <v>51</v>
      </c>
      <c r="DO31" s="37">
        <v>660</v>
      </c>
      <c r="DP31" s="37"/>
      <c r="DQ31" s="37"/>
      <c r="DR31" s="37" t="str">
        <f t="shared" si="18"/>
        <v xml:space="preserve">1913 CT70 </v>
      </c>
      <c r="DS31" s="37">
        <f t="shared" si="43"/>
        <v>0</v>
      </c>
      <c r="DV31" s="10" t="s">
        <v>49</v>
      </c>
      <c r="DW31" t="s">
        <v>1591</v>
      </c>
      <c r="DX31">
        <v>30</v>
      </c>
      <c r="DY31" t="s">
        <v>1674</v>
      </c>
      <c r="DZ31" t="s">
        <v>1669</v>
      </c>
      <c r="EA31">
        <v>1</v>
      </c>
      <c r="EB31" t="s">
        <v>1513</v>
      </c>
      <c r="EC31" s="10">
        <v>836</v>
      </c>
      <c r="ED31" s="10" t="s">
        <v>1737</v>
      </c>
      <c r="EE31" s="813">
        <f t="shared" si="19"/>
        <v>0</v>
      </c>
      <c r="EF31">
        <f>ROWS($DE$2:DE31)</f>
        <v>30</v>
      </c>
      <c r="EG31" t="str">
        <f t="shared" si="26"/>
        <v/>
      </c>
      <c r="EJ31" t="str">
        <f t="shared" si="27"/>
        <v/>
      </c>
      <c r="EM31" t="str">
        <f t="shared" si="28"/>
        <v/>
      </c>
      <c r="EP31" t="str">
        <f t="shared" si="29"/>
        <v/>
      </c>
      <c r="ES31" t="str">
        <f t="shared" si="30"/>
        <v/>
      </c>
      <c r="EV31" t="str">
        <f t="shared" si="31"/>
        <v/>
      </c>
      <c r="EY31" t="str">
        <f t="shared" si="32"/>
        <v/>
      </c>
      <c r="FB31" t="str">
        <f t="shared" si="33"/>
        <v/>
      </c>
      <c r="FE31" t="str">
        <f t="shared" si="34"/>
        <v/>
      </c>
      <c r="FH31" t="str">
        <f t="shared" si="35"/>
        <v/>
      </c>
      <c r="FK31" t="str">
        <f t="shared" si="36"/>
        <v/>
      </c>
      <c r="FN31" t="str">
        <f t="shared" si="37"/>
        <v/>
      </c>
      <c r="FQ31" t="str">
        <f t="shared" si="38"/>
        <v/>
      </c>
      <c r="FT31" t="str">
        <f t="shared" si="39"/>
        <v/>
      </c>
      <c r="FW31" t="str">
        <f t="shared" si="40"/>
        <v/>
      </c>
      <c r="FZ31" t="str">
        <f t="shared" si="41"/>
        <v/>
      </c>
      <c r="GC31" t="str">
        <f t="shared" si="42"/>
        <v/>
      </c>
      <c r="GE31" s="155"/>
      <c r="GF31" s="26" t="str">
        <f t="shared" si="45"/>
        <v>04.2 - 10</v>
      </c>
      <c r="GG31" s="28" t="str">
        <f t="shared" si="46"/>
        <v>4.2 10</v>
      </c>
      <c r="GH31" s="869">
        <v>4.2</v>
      </c>
      <c r="GI31" s="75">
        <v>10</v>
      </c>
      <c r="GJ31" s="874" t="s">
        <v>1700</v>
      </c>
      <c r="GK31" s="875">
        <v>2</v>
      </c>
      <c r="GL31" s="876">
        <v>1</v>
      </c>
      <c r="GM31" s="37" t="s">
        <v>1513</v>
      </c>
      <c r="GN31" s="877">
        <v>8250</v>
      </c>
      <c r="GO31" s="26">
        <v>1</v>
      </c>
      <c r="GP31" t="s">
        <v>1759</v>
      </c>
      <c r="GQ31" s="26" t="s">
        <v>1763</v>
      </c>
      <c r="GS31">
        <f>ROWS($GJ$20:GJ31)</f>
        <v>12</v>
      </c>
      <c r="GT31" s="880" t="str">
        <f>IF($O$7&lt;&gt;"",           IF($O$7=$GJ31,$GS31,""),"")</f>
        <v/>
      </c>
      <c r="GU31"/>
      <c r="HC31" s="805"/>
      <c r="HD31" s="805"/>
    </row>
    <row r="32" spans="1:215" ht="15.75" customHeight="1" thickBot="1" x14ac:dyDescent="0.4">
      <c r="A32" s="1107"/>
      <c r="B32" s="1108"/>
      <c r="D32" s="1148" t="s">
        <v>1434</v>
      </c>
      <c r="E32" s="1149"/>
      <c r="F32" s="1150"/>
      <c r="G32" s="891"/>
      <c r="H32" s="1151" t="s">
        <v>1202</v>
      </c>
      <c r="I32" s="1152"/>
      <c r="J32" s="1152"/>
      <c r="K32" s="1152"/>
      <c r="L32" s="892">
        <v>1</v>
      </c>
      <c r="M32" s="138">
        <f>L29</f>
        <v>0</v>
      </c>
      <c r="N32" s="138">
        <f>E29</f>
        <v>33</v>
      </c>
      <c r="O32" s="138">
        <f>Quotation!AN58</f>
        <v>0</v>
      </c>
      <c r="P32" s="138">
        <f>IF(OR(L4=1,L5=1),1,0)</f>
        <v>0</v>
      </c>
      <c r="Q32" s="894"/>
      <c r="R32" s="138">
        <f>IF('Eval-LSTK'!D64&lt;&gt;"",IF(OR(Quotation!Y33&lt;&gt;0,Quotation!Y37&lt;&gt;0,Quotation!Y41&lt;&gt;0),1,0),0)</f>
        <v>0</v>
      </c>
      <c r="DB32" s="37">
        <v>703670</v>
      </c>
      <c r="DD32" s="75">
        <v>17</v>
      </c>
      <c r="DE32" s="37">
        <v>643435</v>
      </c>
      <c r="DF32" t="s">
        <v>181</v>
      </c>
      <c r="DG32" s="37" t="str">
        <f t="shared" si="17"/>
        <v>1913 CT 70 L 0.018"</v>
      </c>
      <c r="DH32" s="37">
        <v>19</v>
      </c>
      <c r="DI32" s="37">
        <v>1913</v>
      </c>
      <c r="DJ32" s="37" t="s">
        <v>256</v>
      </c>
      <c r="DK32" s="37" t="s">
        <v>142</v>
      </c>
      <c r="DL32" s="37" t="s">
        <v>240</v>
      </c>
      <c r="DM32" s="37">
        <v>0</v>
      </c>
      <c r="DN32" s="37">
        <v>57</v>
      </c>
      <c r="DO32" s="37">
        <v>660</v>
      </c>
      <c r="DP32" s="37"/>
      <c r="DQ32" s="37"/>
      <c r="DR32" s="37" t="str">
        <f t="shared" si="18"/>
        <v>1913 CT 70 L</v>
      </c>
      <c r="DS32" s="37">
        <f t="shared" si="43"/>
        <v>0</v>
      </c>
      <c r="DV32" s="10" t="s">
        <v>49</v>
      </c>
      <c r="DW32" t="s">
        <v>1591</v>
      </c>
      <c r="DX32">
        <v>30</v>
      </c>
      <c r="DY32" t="s">
        <v>1674</v>
      </c>
      <c r="DZ32" t="s">
        <v>1669</v>
      </c>
      <c r="EA32">
        <v>1</v>
      </c>
      <c r="EB32" t="s">
        <v>1513</v>
      </c>
      <c r="EC32" s="10">
        <v>836</v>
      </c>
      <c r="ED32" s="10" t="s">
        <v>1737</v>
      </c>
      <c r="EE32" s="813">
        <f t="shared" si="19"/>
        <v>0</v>
      </c>
      <c r="EF32">
        <f>ROWS($DE$2:DE32)</f>
        <v>31</v>
      </c>
      <c r="EG32" t="str">
        <f t="shared" si="26"/>
        <v/>
      </c>
      <c r="EJ32" t="str">
        <f t="shared" si="27"/>
        <v/>
      </c>
      <c r="EM32" t="str">
        <f t="shared" si="28"/>
        <v/>
      </c>
      <c r="EP32" t="str">
        <f t="shared" si="29"/>
        <v/>
      </c>
      <c r="ES32" t="str">
        <f t="shared" si="30"/>
        <v/>
      </c>
      <c r="EV32" t="str">
        <f t="shared" si="31"/>
        <v/>
      </c>
      <c r="EY32" t="str">
        <f t="shared" si="32"/>
        <v/>
      </c>
      <c r="FB32" t="str">
        <f t="shared" si="33"/>
        <v/>
      </c>
      <c r="FE32" t="str">
        <f t="shared" si="34"/>
        <v/>
      </c>
      <c r="FH32" t="str">
        <f t="shared" si="35"/>
        <v/>
      </c>
      <c r="FK32" t="str">
        <f t="shared" si="36"/>
        <v/>
      </c>
      <c r="FN32" t="str">
        <f t="shared" si="37"/>
        <v/>
      </c>
      <c r="FQ32" t="str">
        <f t="shared" si="38"/>
        <v/>
      </c>
      <c r="FT32" t="str">
        <f t="shared" si="39"/>
        <v/>
      </c>
      <c r="FW32" t="str">
        <f t="shared" si="40"/>
        <v/>
      </c>
      <c r="FZ32" t="str">
        <f t="shared" si="41"/>
        <v/>
      </c>
      <c r="GC32" t="str">
        <f t="shared" si="42"/>
        <v/>
      </c>
      <c r="GE32" s="155"/>
      <c r="GF32" s="26" t="str">
        <f t="shared" si="45"/>
        <v>04.2 - 20</v>
      </c>
      <c r="GG32" s="28" t="str">
        <f t="shared" si="46"/>
        <v>4.2 20</v>
      </c>
      <c r="GH32" s="869">
        <v>4.2</v>
      </c>
      <c r="GI32" s="75">
        <v>20</v>
      </c>
      <c r="GJ32" s="874" t="s">
        <v>1701</v>
      </c>
      <c r="GK32" s="875">
        <v>2</v>
      </c>
      <c r="GL32" s="876">
        <v>1</v>
      </c>
      <c r="GM32" s="37" t="s">
        <v>1513</v>
      </c>
      <c r="GN32" s="877">
        <v>11050</v>
      </c>
      <c r="GO32" s="26">
        <v>1</v>
      </c>
      <c r="GP32" t="s">
        <v>1759</v>
      </c>
      <c r="GQ32" s="26" t="s">
        <v>1764</v>
      </c>
      <c r="GS32">
        <f>ROWS($GJ$20:GJ32)</f>
        <v>13</v>
      </c>
      <c r="GT32" s="881" t="str">
        <f>IF($O$7&lt;&gt;"",           IF($O$7=$GJ32,$GS32,""),"")</f>
        <v/>
      </c>
      <c r="GU32"/>
      <c r="HC32" s="805"/>
      <c r="HD32" s="805"/>
    </row>
    <row r="33" spans="1:212" ht="15.75" customHeight="1" thickBot="1" x14ac:dyDescent="0.4">
      <c r="A33" s="1107"/>
      <c r="B33" s="1108"/>
      <c r="D33" s="1180" t="s">
        <v>2146</v>
      </c>
      <c r="E33" s="1181"/>
      <c r="F33" s="1182"/>
      <c r="G33" s="977"/>
      <c r="DB33" s="37">
        <v>708305</v>
      </c>
      <c r="DD33" s="75">
        <v>28</v>
      </c>
      <c r="DE33" s="37">
        <v>646938</v>
      </c>
      <c r="DF33" t="s">
        <v>182</v>
      </c>
      <c r="DG33" s="37" t="str">
        <f t="shared" si="17"/>
        <v>1308 CT66  0.010"</v>
      </c>
      <c r="DH33" s="37">
        <v>13</v>
      </c>
      <c r="DI33" s="37">
        <v>1308</v>
      </c>
      <c r="DJ33" s="37" t="s">
        <v>255</v>
      </c>
      <c r="DK33" s="37"/>
      <c r="DL33" s="37" t="s">
        <v>239</v>
      </c>
      <c r="DM33" s="37">
        <v>0</v>
      </c>
      <c r="DN33" s="37">
        <v>17</v>
      </c>
      <c r="DO33" s="37">
        <v>360</v>
      </c>
      <c r="DP33" s="37"/>
      <c r="DQ33" s="37"/>
      <c r="DR33" s="37" t="str">
        <f t="shared" si="18"/>
        <v xml:space="preserve">1308 CT66 </v>
      </c>
      <c r="DS33" s="37">
        <f t="shared" si="43"/>
        <v>0</v>
      </c>
      <c r="DV33" s="10" t="s">
        <v>732</v>
      </c>
      <c r="DW33" t="s">
        <v>1589</v>
      </c>
      <c r="DX33">
        <v>20</v>
      </c>
      <c r="DY33" t="s">
        <v>1679</v>
      </c>
      <c r="DZ33" t="s">
        <v>1670</v>
      </c>
      <c r="EA33">
        <v>1</v>
      </c>
      <c r="EB33" t="s">
        <v>1513</v>
      </c>
      <c r="EC33" s="10">
        <v>413</v>
      </c>
      <c r="ED33" s="10" t="s">
        <v>1742</v>
      </c>
      <c r="EE33" s="813">
        <f t="shared" si="19"/>
        <v>0</v>
      </c>
      <c r="EF33">
        <f>ROWS($DE$2:DE33)</f>
        <v>32</v>
      </c>
      <c r="EG33" t="str">
        <f t="shared" si="26"/>
        <v/>
      </c>
      <c r="EJ33" t="str">
        <f t="shared" si="27"/>
        <v/>
      </c>
      <c r="EM33" t="str">
        <f t="shared" si="28"/>
        <v/>
      </c>
      <c r="EP33" t="str">
        <f t="shared" si="29"/>
        <v/>
      </c>
      <c r="ES33" t="str">
        <f t="shared" si="30"/>
        <v/>
      </c>
      <c r="EV33" t="str">
        <f t="shared" si="31"/>
        <v/>
      </c>
      <c r="EY33" t="str">
        <f t="shared" si="32"/>
        <v/>
      </c>
      <c r="FB33" t="str">
        <f t="shared" si="33"/>
        <v/>
      </c>
      <c r="FE33" t="str">
        <f t="shared" si="34"/>
        <v/>
      </c>
      <c r="FH33" t="str">
        <f t="shared" si="35"/>
        <v/>
      </c>
      <c r="FK33" t="str">
        <f t="shared" si="36"/>
        <v/>
      </c>
      <c r="FN33" t="str">
        <f t="shared" si="37"/>
        <v/>
      </c>
      <c r="FQ33" t="str">
        <f t="shared" si="38"/>
        <v/>
      </c>
      <c r="FT33" t="str">
        <f t="shared" si="39"/>
        <v/>
      </c>
      <c r="FW33" t="str">
        <f t="shared" si="40"/>
        <v/>
      </c>
      <c r="FZ33" t="str">
        <f t="shared" si="41"/>
        <v/>
      </c>
      <c r="GC33" t="str">
        <f t="shared" si="42"/>
        <v/>
      </c>
      <c r="GE33" s="155"/>
      <c r="GF33" s="26" t="str">
        <f t="shared" si="45"/>
        <v>06.1.1 - 10</v>
      </c>
      <c r="GG33" s="28" t="str">
        <f t="shared" si="46"/>
        <v>6.1.1 10</v>
      </c>
      <c r="GH33" s="869" t="s">
        <v>1587</v>
      </c>
      <c r="GI33" s="75">
        <v>10</v>
      </c>
      <c r="GJ33" s="874" t="s">
        <v>1685</v>
      </c>
      <c r="GK33" s="875" t="s">
        <v>1672</v>
      </c>
      <c r="GL33" s="876">
        <v>1</v>
      </c>
      <c r="GM33" s="37" t="s">
        <v>1513</v>
      </c>
      <c r="GN33" s="877">
        <v>196</v>
      </c>
      <c r="GO33" s="26">
        <f>SUMIF($ED$2:$ED$276,$GG33,$EE$2:$EE$276)</f>
        <v>0</v>
      </c>
      <c r="GP33" t="s">
        <v>1672</v>
      </c>
      <c r="GQ33" s="26" t="s">
        <v>1766</v>
      </c>
      <c r="GS33">
        <f>ROWS($GJ$20:GJ33)</f>
        <v>14</v>
      </c>
      <c r="GT33" s="62" t="str">
        <f t="shared" ref="GT33:GT62" si="57">IF($GO33&lt;&gt;0,$GS33,"")</f>
        <v/>
      </c>
      <c r="GU33"/>
      <c r="HC33" s="805"/>
      <c r="HD33" s="805"/>
    </row>
    <row r="34" spans="1:212" ht="15.75" customHeight="1" x14ac:dyDescent="0.35">
      <c r="A34" s="1107"/>
      <c r="B34" s="1108"/>
      <c r="DB34" s="37">
        <v>708306</v>
      </c>
      <c r="DD34" s="75">
        <v>72</v>
      </c>
      <c r="DE34" s="37">
        <v>646941</v>
      </c>
      <c r="DF34" t="s">
        <v>183</v>
      </c>
      <c r="DG34" s="37" t="str">
        <f t="shared" si="17"/>
        <v>1613 CT66  0.010"</v>
      </c>
      <c r="DH34" s="37">
        <v>16</v>
      </c>
      <c r="DI34" s="37">
        <v>1613</v>
      </c>
      <c r="DJ34" s="37" t="s">
        <v>255</v>
      </c>
      <c r="DK34" s="37"/>
      <c r="DL34" s="37" t="s">
        <v>239</v>
      </c>
      <c r="DM34" s="37">
        <v>0</v>
      </c>
      <c r="DN34" s="37">
        <v>4</v>
      </c>
      <c r="DO34" s="37">
        <v>497</v>
      </c>
      <c r="DP34" s="37"/>
      <c r="DQ34" s="37"/>
      <c r="DR34" s="37" t="str">
        <f t="shared" si="18"/>
        <v xml:space="preserve">1613 CT66 </v>
      </c>
      <c r="DS34" s="37">
        <f t="shared" si="43"/>
        <v>0</v>
      </c>
      <c r="DV34" s="10" t="s">
        <v>732</v>
      </c>
      <c r="DW34" t="s">
        <v>1590</v>
      </c>
      <c r="DX34">
        <v>20</v>
      </c>
      <c r="DY34" t="s">
        <v>1680</v>
      </c>
      <c r="DZ34" t="s">
        <v>1668</v>
      </c>
      <c r="EA34">
        <v>1</v>
      </c>
      <c r="EB34" t="s">
        <v>1513</v>
      </c>
      <c r="EC34" s="10">
        <v>545</v>
      </c>
      <c r="ED34" s="10" t="s">
        <v>1743</v>
      </c>
      <c r="EE34" s="813">
        <f t="shared" si="19"/>
        <v>0</v>
      </c>
      <c r="EF34">
        <f>ROWS($DE$2:DE34)</f>
        <v>33</v>
      </c>
      <c r="EG34" t="str">
        <f t="shared" si="26"/>
        <v/>
      </c>
      <c r="EJ34" t="str">
        <f t="shared" si="27"/>
        <v/>
      </c>
      <c r="EM34" t="str">
        <f t="shared" si="28"/>
        <v/>
      </c>
      <c r="EP34" t="str">
        <f t="shared" si="29"/>
        <v/>
      </c>
      <c r="ES34" t="str">
        <f t="shared" si="30"/>
        <v/>
      </c>
      <c r="EV34" t="str">
        <f t="shared" si="31"/>
        <v/>
      </c>
      <c r="EY34" t="str">
        <f t="shared" si="32"/>
        <v/>
      </c>
      <c r="FB34" t="str">
        <f t="shared" si="33"/>
        <v/>
      </c>
      <c r="FE34" t="str">
        <f t="shared" si="34"/>
        <v/>
      </c>
      <c r="FH34" t="str">
        <f t="shared" si="35"/>
        <v/>
      </c>
      <c r="FK34" t="str">
        <f t="shared" si="36"/>
        <v/>
      </c>
      <c r="FN34" t="str">
        <f t="shared" si="37"/>
        <v/>
      </c>
      <c r="FQ34" t="str">
        <f t="shared" si="38"/>
        <v/>
      </c>
      <c r="FT34" t="str">
        <f t="shared" si="39"/>
        <v/>
      </c>
      <c r="FW34" t="str">
        <f t="shared" si="40"/>
        <v/>
      </c>
      <c r="FZ34" t="str">
        <f t="shared" si="41"/>
        <v/>
      </c>
      <c r="GC34" t="str">
        <f t="shared" si="42"/>
        <v/>
      </c>
      <c r="GE34" s="155"/>
      <c r="GF34" s="26" t="str">
        <f t="shared" si="45"/>
        <v>06.1.1 - 20</v>
      </c>
      <c r="GG34" s="28" t="str">
        <f t="shared" si="46"/>
        <v>6.1.1 20</v>
      </c>
      <c r="GH34" s="869" t="s">
        <v>1587</v>
      </c>
      <c r="GI34" s="75">
        <v>20</v>
      </c>
      <c r="GJ34" s="874" t="s">
        <v>1702</v>
      </c>
      <c r="GK34" s="875" t="s">
        <v>1672</v>
      </c>
      <c r="GL34" s="876">
        <v>1</v>
      </c>
      <c r="GM34" s="37" t="s">
        <v>1513</v>
      </c>
      <c r="GN34" s="877">
        <v>302</v>
      </c>
      <c r="GO34" s="26">
        <f t="shared" ref="GO34:GO83" si="58">SUMIF($ED$2:$ED$276,$GG34,$EE$2:$EE$276)</f>
        <v>0</v>
      </c>
      <c r="GP34" t="s">
        <v>1672</v>
      </c>
      <c r="GQ34" s="26" t="s">
        <v>1767</v>
      </c>
      <c r="GS34">
        <f>ROWS($GJ$20:GJ34)</f>
        <v>15</v>
      </c>
      <c r="GT34" s="63" t="str">
        <f t="shared" si="57"/>
        <v/>
      </c>
      <c r="GU34"/>
      <c r="HC34" s="805"/>
      <c r="HD34" s="805"/>
    </row>
    <row r="35" spans="1:212" ht="15.75" customHeight="1" x14ac:dyDescent="0.35">
      <c r="A35" s="1107"/>
      <c r="B35" s="1108"/>
      <c r="DB35" s="37">
        <v>717748</v>
      </c>
      <c r="DD35" s="75">
        <v>54</v>
      </c>
      <c r="DE35" s="37">
        <v>647436</v>
      </c>
      <c r="DF35" t="s">
        <v>184</v>
      </c>
      <c r="DG35" s="37" t="str">
        <f t="shared" si="17"/>
        <v>1613 CT200  0.018"</v>
      </c>
      <c r="DH35" s="37">
        <v>16</v>
      </c>
      <c r="DI35" s="37">
        <v>1613</v>
      </c>
      <c r="DJ35" s="37" t="s">
        <v>101</v>
      </c>
      <c r="DK35" s="37"/>
      <c r="DL35" s="37" t="s">
        <v>240</v>
      </c>
      <c r="DM35" s="37">
        <v>19</v>
      </c>
      <c r="DN35" s="37">
        <v>0</v>
      </c>
      <c r="DO35" s="37">
        <v>497</v>
      </c>
      <c r="DP35" s="37"/>
      <c r="DQ35" s="37"/>
      <c r="DR35" s="37" t="str">
        <f t="shared" si="18"/>
        <v xml:space="preserve">1613 CT200 </v>
      </c>
      <c r="DS35" s="37">
        <f t="shared" si="43"/>
        <v>64.428000000000011</v>
      </c>
      <c r="DT35" s="10">
        <v>49.56</v>
      </c>
      <c r="DU35" s="10">
        <v>100</v>
      </c>
      <c r="DV35" s="10" t="s">
        <v>146</v>
      </c>
      <c r="DW35" t="s">
        <v>1590</v>
      </c>
      <c r="DX35">
        <v>10</v>
      </c>
      <c r="DY35" t="s">
        <v>1681</v>
      </c>
      <c r="DZ35" t="s">
        <v>1668</v>
      </c>
      <c r="EA35">
        <v>1</v>
      </c>
      <c r="EB35" t="s">
        <v>1513</v>
      </c>
      <c r="EC35" s="10">
        <v>490</v>
      </c>
      <c r="ED35" s="10" t="s">
        <v>1744</v>
      </c>
      <c r="EE35" s="813">
        <f t="shared" si="19"/>
        <v>0</v>
      </c>
      <c r="EF35">
        <f>ROWS($DE$2:DE35)</f>
        <v>34</v>
      </c>
      <c r="EG35" t="str">
        <f t="shared" si="26"/>
        <v/>
      </c>
      <c r="EJ35" t="str">
        <f t="shared" si="27"/>
        <v/>
      </c>
      <c r="EM35" t="str">
        <f t="shared" si="28"/>
        <v/>
      </c>
      <c r="EP35" t="str">
        <f t="shared" si="29"/>
        <v/>
      </c>
      <c r="ES35" t="str">
        <f t="shared" si="30"/>
        <v/>
      </c>
      <c r="EV35" t="str">
        <f t="shared" si="31"/>
        <v/>
      </c>
      <c r="EY35" t="str">
        <f t="shared" si="32"/>
        <v/>
      </c>
      <c r="FB35" t="str">
        <f t="shared" si="33"/>
        <v/>
      </c>
      <c r="FE35" t="str">
        <f t="shared" si="34"/>
        <v/>
      </c>
      <c r="FH35" t="str">
        <f t="shared" si="35"/>
        <v/>
      </c>
      <c r="FK35" t="str">
        <f t="shared" si="36"/>
        <v/>
      </c>
      <c r="FN35" t="str">
        <f t="shared" si="37"/>
        <v/>
      </c>
      <c r="FQ35" t="str">
        <f t="shared" si="38"/>
        <v/>
      </c>
      <c r="FT35" t="str">
        <f t="shared" si="39"/>
        <v/>
      </c>
      <c r="FW35" t="str">
        <f t="shared" si="40"/>
        <v/>
      </c>
      <c r="FZ35" t="str">
        <f t="shared" si="41"/>
        <v/>
      </c>
      <c r="GC35" t="str">
        <f t="shared" si="42"/>
        <v/>
      </c>
      <c r="GE35" s="155"/>
      <c r="GF35" s="26" t="str">
        <f t="shared" si="45"/>
        <v>06.1.1 - 30</v>
      </c>
      <c r="GG35" s="28" t="str">
        <f t="shared" si="46"/>
        <v>6.1.1 30</v>
      </c>
      <c r="GH35" s="869" t="s">
        <v>1587</v>
      </c>
      <c r="GI35" s="75">
        <v>30</v>
      </c>
      <c r="GJ35" s="874" t="s">
        <v>1686</v>
      </c>
      <c r="GK35" s="875" t="s">
        <v>1672</v>
      </c>
      <c r="GL35" s="876">
        <v>1</v>
      </c>
      <c r="GM35" s="37" t="s">
        <v>1513</v>
      </c>
      <c r="GN35" s="877">
        <v>376</v>
      </c>
      <c r="GO35" s="26">
        <f t="shared" si="58"/>
        <v>0</v>
      </c>
      <c r="GP35" t="s">
        <v>1672</v>
      </c>
      <c r="GQ35" s="26" t="s">
        <v>1768</v>
      </c>
      <c r="GS35">
        <f>ROWS($GJ$20:GJ35)</f>
        <v>16</v>
      </c>
      <c r="GT35" s="63" t="str">
        <f t="shared" si="57"/>
        <v/>
      </c>
      <c r="GU35"/>
      <c r="HC35" s="805"/>
      <c r="HD35" s="805"/>
    </row>
    <row r="36" spans="1:212" ht="15.75" customHeight="1" x14ac:dyDescent="0.35">
      <c r="A36" s="1107"/>
      <c r="B36" s="1108"/>
      <c r="DB36" s="37">
        <v>717749</v>
      </c>
      <c r="DD36" s="75">
        <v>73</v>
      </c>
      <c r="DE36" s="37">
        <v>647464</v>
      </c>
      <c r="DF36" t="s">
        <v>185</v>
      </c>
      <c r="DG36" s="37" t="str">
        <f t="shared" si="17"/>
        <v>16 CT66 Short Bullet 0.018"</v>
      </c>
      <c r="DH36" s="37">
        <v>16</v>
      </c>
      <c r="DI36" s="37">
        <v>16</v>
      </c>
      <c r="DJ36" s="37" t="s">
        <v>255</v>
      </c>
      <c r="DK36" s="37" t="s">
        <v>257</v>
      </c>
      <c r="DL36" s="37" t="s">
        <v>240</v>
      </c>
      <c r="DM36" s="37">
        <v>0</v>
      </c>
      <c r="DN36" s="37">
        <v>8</v>
      </c>
      <c r="DO36" s="37">
        <v>497</v>
      </c>
      <c r="DP36" s="37"/>
      <c r="DQ36" s="37"/>
      <c r="DR36" s="37" t="str">
        <f t="shared" si="18"/>
        <v>16 CT66 Short Bullet</v>
      </c>
      <c r="DS36" s="37">
        <f t="shared" si="43"/>
        <v>0</v>
      </c>
      <c r="DV36" s="10" t="s">
        <v>732</v>
      </c>
      <c r="DW36" t="s">
        <v>1590</v>
      </c>
      <c r="DX36">
        <v>20</v>
      </c>
      <c r="DY36" t="s">
        <v>1680</v>
      </c>
      <c r="DZ36" t="s">
        <v>1668</v>
      </c>
      <c r="EA36">
        <v>1</v>
      </c>
      <c r="EB36" t="s">
        <v>1513</v>
      </c>
      <c r="EC36" s="10">
        <v>545</v>
      </c>
      <c r="ED36" s="10" t="s">
        <v>1743</v>
      </c>
      <c r="EE36" s="813">
        <f t="shared" si="19"/>
        <v>0</v>
      </c>
      <c r="EF36">
        <f>ROWS($DE$2:DE36)</f>
        <v>35</v>
      </c>
      <c r="EG36" t="str">
        <f t="shared" si="26"/>
        <v/>
      </c>
      <c r="EJ36" t="str">
        <f t="shared" si="27"/>
        <v/>
      </c>
      <c r="EM36" t="str">
        <f t="shared" si="28"/>
        <v/>
      </c>
      <c r="EP36" t="str">
        <f t="shared" si="29"/>
        <v/>
      </c>
      <c r="ES36" t="str">
        <f t="shared" si="30"/>
        <v/>
      </c>
      <c r="EV36" t="str">
        <f t="shared" si="31"/>
        <v/>
      </c>
      <c r="EY36" t="str">
        <f t="shared" si="32"/>
        <v/>
      </c>
      <c r="FB36" t="str">
        <f t="shared" si="33"/>
        <v/>
      </c>
      <c r="FE36" t="str">
        <f t="shared" si="34"/>
        <v/>
      </c>
      <c r="FH36" t="str">
        <f t="shared" si="35"/>
        <v/>
      </c>
      <c r="FK36" t="str">
        <f t="shared" si="36"/>
        <v/>
      </c>
      <c r="FN36" t="str">
        <f t="shared" si="37"/>
        <v/>
      </c>
      <c r="FQ36" t="str">
        <f t="shared" si="38"/>
        <v/>
      </c>
      <c r="FT36" t="str">
        <f t="shared" si="39"/>
        <v/>
      </c>
      <c r="FW36" t="str">
        <f t="shared" si="40"/>
        <v/>
      </c>
      <c r="FZ36" t="str">
        <f t="shared" si="41"/>
        <v/>
      </c>
      <c r="GC36" t="str">
        <f t="shared" si="42"/>
        <v/>
      </c>
      <c r="GE36" s="155"/>
      <c r="GF36" s="26" t="str">
        <f t="shared" si="45"/>
        <v>06.1.1 - 40</v>
      </c>
      <c r="GG36" s="28" t="str">
        <f t="shared" si="46"/>
        <v>6.1.1 40</v>
      </c>
      <c r="GH36" s="869" t="s">
        <v>1587</v>
      </c>
      <c r="GI36" s="75">
        <v>40</v>
      </c>
      <c r="GJ36" s="874" t="s">
        <v>1703</v>
      </c>
      <c r="GK36" s="875" t="s">
        <v>1672</v>
      </c>
      <c r="GL36" s="876">
        <v>1</v>
      </c>
      <c r="GM36" s="37" t="s">
        <v>1513</v>
      </c>
      <c r="GN36" s="877">
        <v>290</v>
      </c>
      <c r="GO36" s="26">
        <f t="shared" si="58"/>
        <v>0</v>
      </c>
      <c r="GP36" t="s">
        <v>1672</v>
      </c>
      <c r="GQ36" s="26" t="s">
        <v>1769</v>
      </c>
      <c r="GS36">
        <f>ROWS($GJ$20:GJ36)</f>
        <v>17</v>
      </c>
      <c r="GT36" s="63" t="str">
        <f t="shared" si="57"/>
        <v/>
      </c>
      <c r="GU36"/>
      <c r="HC36" s="805"/>
      <c r="HD36" s="805"/>
    </row>
    <row r="37" spans="1:212" ht="15.75" customHeight="1" x14ac:dyDescent="0.35">
      <c r="A37" s="1107"/>
      <c r="B37" s="1108"/>
      <c r="DB37" s="37">
        <v>717751</v>
      </c>
      <c r="DD37" s="75">
        <v>74</v>
      </c>
      <c r="DE37" s="37">
        <v>647467</v>
      </c>
      <c r="DF37" t="s">
        <v>186</v>
      </c>
      <c r="DG37" s="37" t="str">
        <f t="shared" si="17"/>
        <v>16 CT66 Long Bullet 0.018"</v>
      </c>
      <c r="DH37" s="37">
        <v>16</v>
      </c>
      <c r="DI37" s="37">
        <v>16</v>
      </c>
      <c r="DJ37" s="37" t="s">
        <v>255</v>
      </c>
      <c r="DK37" s="37" t="s">
        <v>258</v>
      </c>
      <c r="DL37" s="37" t="s">
        <v>240</v>
      </c>
      <c r="DM37" s="37">
        <v>0</v>
      </c>
      <c r="DN37" s="37">
        <v>4</v>
      </c>
      <c r="DO37" s="37">
        <v>497</v>
      </c>
      <c r="DP37" s="37"/>
      <c r="DQ37" s="37"/>
      <c r="DR37" s="37" t="str">
        <f t="shared" si="18"/>
        <v>16 CT66 Long Bullet</v>
      </c>
      <c r="DS37" s="37">
        <f t="shared" si="43"/>
        <v>0</v>
      </c>
      <c r="DV37" s="10" t="s">
        <v>732</v>
      </c>
      <c r="DW37" t="s">
        <v>1590</v>
      </c>
      <c r="DX37">
        <v>20</v>
      </c>
      <c r="DY37" t="s">
        <v>1680</v>
      </c>
      <c r="DZ37" t="s">
        <v>1668</v>
      </c>
      <c r="EA37">
        <v>1</v>
      </c>
      <c r="EB37" t="s">
        <v>1513</v>
      </c>
      <c r="EC37" s="10">
        <v>545</v>
      </c>
      <c r="ED37" s="10" t="s">
        <v>1743</v>
      </c>
      <c r="EE37" s="813">
        <f t="shared" si="19"/>
        <v>0</v>
      </c>
      <c r="EF37">
        <f>ROWS($DE$2:DE37)</f>
        <v>36</v>
      </c>
      <c r="EG37" t="str">
        <f t="shared" si="26"/>
        <v/>
      </c>
      <c r="EJ37" t="str">
        <f t="shared" si="27"/>
        <v/>
      </c>
      <c r="EM37" t="str">
        <f t="shared" si="28"/>
        <v/>
      </c>
      <c r="EP37" t="str">
        <f t="shared" si="29"/>
        <v/>
      </c>
      <c r="ES37" t="str">
        <f t="shared" si="30"/>
        <v/>
      </c>
      <c r="EV37" t="str">
        <f t="shared" si="31"/>
        <v/>
      </c>
      <c r="EY37" t="str">
        <f t="shared" si="32"/>
        <v/>
      </c>
      <c r="FB37" t="str">
        <f t="shared" si="33"/>
        <v/>
      </c>
      <c r="FE37" t="str">
        <f t="shared" si="34"/>
        <v/>
      </c>
      <c r="FH37" t="str">
        <f t="shared" si="35"/>
        <v/>
      </c>
      <c r="FK37" t="str">
        <f t="shared" si="36"/>
        <v/>
      </c>
      <c r="FN37" t="str">
        <f t="shared" si="37"/>
        <v/>
      </c>
      <c r="FQ37" t="str">
        <f t="shared" si="38"/>
        <v/>
      </c>
      <c r="FT37" t="str">
        <f t="shared" si="39"/>
        <v/>
      </c>
      <c r="FW37" t="str">
        <f t="shared" si="40"/>
        <v/>
      </c>
      <c r="FZ37" t="str">
        <f t="shared" si="41"/>
        <v/>
      </c>
      <c r="GC37" t="str">
        <f t="shared" si="42"/>
        <v/>
      </c>
      <c r="GE37" s="155"/>
      <c r="GF37" s="26" t="str">
        <f t="shared" si="45"/>
        <v>06.1.1 - 50</v>
      </c>
      <c r="GG37" s="28" t="str">
        <f t="shared" si="46"/>
        <v>6.1.1 50</v>
      </c>
      <c r="GH37" s="869" t="s">
        <v>1587</v>
      </c>
      <c r="GI37" s="75">
        <v>50</v>
      </c>
      <c r="GJ37" s="874" t="s">
        <v>1704</v>
      </c>
      <c r="GK37" s="875" t="s">
        <v>1672</v>
      </c>
      <c r="GL37" s="876">
        <v>1</v>
      </c>
      <c r="GM37" s="37" t="s">
        <v>1513</v>
      </c>
      <c r="GN37" s="877">
        <v>202</v>
      </c>
      <c r="GO37" s="26">
        <f t="shared" si="58"/>
        <v>0</v>
      </c>
      <c r="GP37" t="s">
        <v>1672</v>
      </c>
      <c r="GQ37" s="26" t="s">
        <v>1770</v>
      </c>
      <c r="GS37">
        <f>ROWS($GJ$20:GJ37)</f>
        <v>18</v>
      </c>
      <c r="GT37" s="63" t="str">
        <f t="shared" si="57"/>
        <v/>
      </c>
      <c r="GU37"/>
      <c r="HC37" s="805"/>
      <c r="HD37" s="805"/>
    </row>
    <row r="38" spans="1:212" ht="15.75" customHeight="1" x14ac:dyDescent="0.35">
      <c r="A38" s="1107"/>
      <c r="B38" s="1108"/>
      <c r="DB38" s="37">
        <v>729434</v>
      </c>
      <c r="DD38" s="75">
        <v>11</v>
      </c>
      <c r="DE38" s="37">
        <v>703670</v>
      </c>
      <c r="DF38" t="s">
        <v>187</v>
      </c>
      <c r="DG38" s="37" t="str">
        <f t="shared" si="17"/>
        <v>1313 CT200  0.010"</v>
      </c>
      <c r="DH38" s="37">
        <v>13</v>
      </c>
      <c r="DI38" s="37">
        <v>1313</v>
      </c>
      <c r="DJ38" s="37" t="s">
        <v>101</v>
      </c>
      <c r="DK38" s="37"/>
      <c r="DL38" s="37" t="s">
        <v>239</v>
      </c>
      <c r="DM38" s="37">
        <v>54</v>
      </c>
      <c r="DN38" s="37">
        <v>0</v>
      </c>
      <c r="DO38" s="37">
        <v>360</v>
      </c>
      <c r="DP38" s="37"/>
      <c r="DQ38" s="37"/>
      <c r="DR38" s="37" t="str">
        <f t="shared" si="18"/>
        <v xml:space="preserve">1313 CT200 </v>
      </c>
      <c r="DS38" s="37">
        <f t="shared" si="43"/>
        <v>38.088266666666669</v>
      </c>
      <c r="DT38" s="10">
        <v>29.298666666666669</v>
      </c>
      <c r="DU38" s="10">
        <v>100</v>
      </c>
      <c r="DV38" s="10" t="s">
        <v>146</v>
      </c>
      <c r="DW38" t="s">
        <v>1589</v>
      </c>
      <c r="DX38">
        <v>10</v>
      </c>
      <c r="DY38" t="s">
        <v>1675</v>
      </c>
      <c r="DZ38" t="s">
        <v>1670</v>
      </c>
      <c r="EA38">
        <v>1</v>
      </c>
      <c r="EB38" t="s">
        <v>1513</v>
      </c>
      <c r="EC38" s="10">
        <v>345</v>
      </c>
      <c r="ED38" s="10" t="s">
        <v>1738</v>
      </c>
      <c r="EE38" s="813">
        <f t="shared" si="19"/>
        <v>0</v>
      </c>
      <c r="EF38">
        <f>ROWS($DE$2:DE38)</f>
        <v>37</v>
      </c>
      <c r="EG38" t="str">
        <f t="shared" si="26"/>
        <v/>
      </c>
      <c r="EJ38" t="str">
        <f t="shared" si="27"/>
        <v/>
      </c>
      <c r="EM38" t="str">
        <f t="shared" si="28"/>
        <v/>
      </c>
      <c r="EP38" t="str">
        <f t="shared" si="29"/>
        <v/>
      </c>
      <c r="ES38" t="str">
        <f t="shared" si="30"/>
        <v/>
      </c>
      <c r="EV38" t="str">
        <f t="shared" si="31"/>
        <v/>
      </c>
      <c r="EY38" t="str">
        <f t="shared" si="32"/>
        <v/>
      </c>
      <c r="FB38" t="str">
        <f t="shared" si="33"/>
        <v/>
      </c>
      <c r="FE38" t="str">
        <f t="shared" si="34"/>
        <v/>
      </c>
      <c r="FH38" t="str">
        <f t="shared" si="35"/>
        <v/>
      </c>
      <c r="FK38" t="str">
        <f t="shared" si="36"/>
        <v/>
      </c>
      <c r="FN38" t="str">
        <f t="shared" si="37"/>
        <v/>
      </c>
      <c r="FQ38" t="str">
        <f t="shared" si="38"/>
        <v/>
      </c>
      <c r="FT38" t="str">
        <f t="shared" si="39"/>
        <v/>
      </c>
      <c r="FW38" t="str">
        <f t="shared" si="40"/>
        <v/>
      </c>
      <c r="FZ38" t="str">
        <f t="shared" si="41"/>
        <v/>
      </c>
      <c r="GC38" t="str">
        <f t="shared" si="42"/>
        <v/>
      </c>
      <c r="GE38" s="155"/>
      <c r="GF38" s="26" t="str">
        <f t="shared" si="45"/>
        <v>06.1.1 - 60</v>
      </c>
      <c r="GG38" s="28" t="str">
        <f t="shared" si="46"/>
        <v>6.1.1 60</v>
      </c>
      <c r="GH38" s="869" t="s">
        <v>1587</v>
      </c>
      <c r="GI38" s="75">
        <v>60</v>
      </c>
      <c r="GJ38" s="874" t="s">
        <v>1705</v>
      </c>
      <c r="GK38" s="875" t="s">
        <v>1672</v>
      </c>
      <c r="GL38" s="876">
        <v>1</v>
      </c>
      <c r="GM38" s="37" t="s">
        <v>1513</v>
      </c>
      <c r="GN38" s="877">
        <v>135</v>
      </c>
      <c r="GO38" s="26">
        <f t="shared" si="58"/>
        <v>0</v>
      </c>
      <c r="GP38" t="s">
        <v>1672</v>
      </c>
      <c r="GQ38" s="26" t="s">
        <v>1771</v>
      </c>
      <c r="GS38">
        <f>ROWS($GJ$20:GJ38)</f>
        <v>19</v>
      </c>
      <c r="GT38" s="63" t="str">
        <f t="shared" si="57"/>
        <v/>
      </c>
      <c r="GU38"/>
      <c r="HC38" s="805"/>
      <c r="HD38" s="805"/>
    </row>
    <row r="39" spans="1:212" ht="16.5" customHeight="1" x14ac:dyDescent="0.35">
      <c r="A39" s="1107"/>
      <c r="B39" s="1108"/>
      <c r="DB39" s="37">
        <v>729435</v>
      </c>
      <c r="DD39" s="75">
        <v>12</v>
      </c>
      <c r="DE39" s="37">
        <v>708305</v>
      </c>
      <c r="DF39" t="s">
        <v>188</v>
      </c>
      <c r="DG39" s="37" t="str">
        <f t="shared" si="17"/>
        <v>1913 CT200  0.010"</v>
      </c>
      <c r="DH39" s="37">
        <v>19</v>
      </c>
      <c r="DI39" s="37">
        <v>1913</v>
      </c>
      <c r="DJ39" s="37" t="s">
        <v>101</v>
      </c>
      <c r="DK39" s="37"/>
      <c r="DL39" s="37" t="s">
        <v>239</v>
      </c>
      <c r="DM39" s="37">
        <v>17</v>
      </c>
      <c r="DN39" s="37">
        <v>0</v>
      </c>
      <c r="DO39" s="37">
        <v>660</v>
      </c>
      <c r="DP39" s="37"/>
      <c r="DQ39" s="37"/>
      <c r="DR39" s="37" t="str">
        <f t="shared" si="18"/>
        <v xml:space="preserve">1913 CT200 </v>
      </c>
      <c r="DS39" s="37">
        <f t="shared" si="43"/>
        <v>0</v>
      </c>
      <c r="DV39" s="10" t="s">
        <v>146</v>
      </c>
      <c r="DW39" t="s">
        <v>1591</v>
      </c>
      <c r="DX39">
        <v>10</v>
      </c>
      <c r="DY39" t="s">
        <v>1682</v>
      </c>
      <c r="DZ39" t="s">
        <v>1669</v>
      </c>
      <c r="EA39">
        <v>1</v>
      </c>
      <c r="EB39" t="s">
        <v>1513</v>
      </c>
      <c r="EC39" s="10">
        <v>615</v>
      </c>
      <c r="ED39" s="10" t="s">
        <v>1745</v>
      </c>
      <c r="EE39" s="813">
        <f t="shared" si="19"/>
        <v>0</v>
      </c>
      <c r="EF39">
        <f>ROWS($DE$2:DE39)</f>
        <v>38</v>
      </c>
      <c r="EG39" t="str">
        <f t="shared" si="26"/>
        <v/>
      </c>
      <c r="EJ39" t="str">
        <f t="shared" si="27"/>
        <v/>
      </c>
      <c r="EM39" t="str">
        <f t="shared" si="28"/>
        <v/>
      </c>
      <c r="EP39" t="str">
        <f t="shared" si="29"/>
        <v/>
      </c>
      <c r="ES39" t="str">
        <f t="shared" si="30"/>
        <v/>
      </c>
      <c r="EV39" t="str">
        <f t="shared" si="31"/>
        <v/>
      </c>
      <c r="EY39" t="str">
        <f t="shared" si="32"/>
        <v/>
      </c>
      <c r="FB39" t="str">
        <f t="shared" si="33"/>
        <v/>
      </c>
      <c r="FE39" t="str">
        <f t="shared" si="34"/>
        <v/>
      </c>
      <c r="FH39" t="str">
        <f t="shared" si="35"/>
        <v/>
      </c>
      <c r="FK39" t="str">
        <f t="shared" si="36"/>
        <v/>
      </c>
      <c r="FN39" t="str">
        <f t="shared" si="37"/>
        <v/>
      </c>
      <c r="FQ39" t="str">
        <f t="shared" si="38"/>
        <v/>
      </c>
      <c r="FT39" t="str">
        <f t="shared" si="39"/>
        <v/>
      </c>
      <c r="FW39" t="str">
        <f t="shared" si="40"/>
        <v/>
      </c>
      <c r="FZ39" t="str">
        <f t="shared" si="41"/>
        <v/>
      </c>
      <c r="GC39" t="str">
        <f t="shared" si="42"/>
        <v/>
      </c>
      <c r="GE39" s="155"/>
      <c r="GF39" s="26" t="str">
        <f t="shared" si="45"/>
        <v>06.2.1 - 10</v>
      </c>
      <c r="GG39" s="28" t="str">
        <f t="shared" si="46"/>
        <v>6.2.1 10</v>
      </c>
      <c r="GH39" s="869" t="s">
        <v>1588</v>
      </c>
      <c r="GI39" s="75">
        <v>10</v>
      </c>
      <c r="GJ39" s="874" t="s">
        <v>1678</v>
      </c>
      <c r="GK39" s="875" t="s">
        <v>1671</v>
      </c>
      <c r="GL39" s="876">
        <v>1</v>
      </c>
      <c r="GM39" s="37" t="s">
        <v>1513</v>
      </c>
      <c r="GN39" s="877">
        <v>215</v>
      </c>
      <c r="GO39" s="26">
        <f t="shared" si="58"/>
        <v>0</v>
      </c>
      <c r="GP39" t="s">
        <v>1671</v>
      </c>
      <c r="GQ39" s="26" t="s">
        <v>1766</v>
      </c>
      <c r="GS39">
        <f>ROWS($GJ$20:GJ39)</f>
        <v>20</v>
      </c>
      <c r="GT39" s="63" t="str">
        <f t="shared" si="57"/>
        <v/>
      </c>
      <c r="GU39"/>
      <c r="HC39" s="805"/>
      <c r="HD39" s="805"/>
    </row>
    <row r="40" spans="1:212" ht="16.5" customHeight="1" thickBot="1" x14ac:dyDescent="0.4">
      <c r="B40"/>
      <c r="DB40" s="37">
        <v>729687</v>
      </c>
      <c r="DD40" s="75">
        <v>49</v>
      </c>
      <c r="DE40" s="37">
        <v>708306</v>
      </c>
      <c r="DF40" t="s">
        <v>189</v>
      </c>
      <c r="DG40" s="37" t="str">
        <f t="shared" si="17"/>
        <v>1913 CT200  0.018"</v>
      </c>
      <c r="DH40" s="37">
        <v>19</v>
      </c>
      <c r="DI40" s="37">
        <v>1913</v>
      </c>
      <c r="DJ40" s="37" t="s">
        <v>101</v>
      </c>
      <c r="DK40" s="37"/>
      <c r="DL40" s="37" t="s">
        <v>240</v>
      </c>
      <c r="DM40" s="37">
        <v>19</v>
      </c>
      <c r="DN40" s="37">
        <v>0</v>
      </c>
      <c r="DO40" s="37">
        <v>660</v>
      </c>
      <c r="DP40" s="37"/>
      <c r="DQ40" s="37"/>
      <c r="DR40" s="37" t="str">
        <f t="shared" si="18"/>
        <v xml:space="preserve">1913 CT200 </v>
      </c>
      <c r="DS40" s="37">
        <f t="shared" si="43"/>
        <v>83.902000000000015</v>
      </c>
      <c r="DT40" s="10">
        <v>64.540000000000006</v>
      </c>
      <c r="DV40" s="10" t="s">
        <v>146</v>
      </c>
      <c r="DW40" t="s">
        <v>1591</v>
      </c>
      <c r="DX40">
        <v>10</v>
      </c>
      <c r="DY40" t="s">
        <v>1682</v>
      </c>
      <c r="DZ40" t="s">
        <v>1669</v>
      </c>
      <c r="EA40">
        <v>1</v>
      </c>
      <c r="EB40" t="s">
        <v>1513</v>
      </c>
      <c r="EC40" s="10">
        <v>615</v>
      </c>
      <c r="ED40" s="10" t="s">
        <v>1745</v>
      </c>
      <c r="EE40" s="813">
        <f t="shared" si="19"/>
        <v>0</v>
      </c>
      <c r="EF40">
        <f>ROWS($DE$2:DE40)</f>
        <v>39</v>
      </c>
      <c r="EG40" t="str">
        <f t="shared" si="26"/>
        <v/>
      </c>
      <c r="EJ40" t="str">
        <f t="shared" si="27"/>
        <v/>
      </c>
      <c r="EM40" t="str">
        <f t="shared" si="28"/>
        <v/>
      </c>
      <c r="EP40" t="str">
        <f t="shared" si="29"/>
        <v/>
      </c>
      <c r="ES40" t="str">
        <f t="shared" si="30"/>
        <v/>
      </c>
      <c r="EV40" t="str">
        <f t="shared" si="31"/>
        <v/>
      </c>
      <c r="EY40" t="str">
        <f t="shared" si="32"/>
        <v/>
      </c>
      <c r="FB40" t="str">
        <f t="shared" si="33"/>
        <v/>
      </c>
      <c r="FE40" t="str">
        <f t="shared" si="34"/>
        <v/>
      </c>
      <c r="FH40" t="str">
        <f t="shared" si="35"/>
        <v/>
      </c>
      <c r="FK40" t="str">
        <f t="shared" si="36"/>
        <v/>
      </c>
      <c r="FN40" t="str">
        <f t="shared" si="37"/>
        <v/>
      </c>
      <c r="FQ40" t="str">
        <f t="shared" si="38"/>
        <v/>
      </c>
      <c r="FT40" t="str">
        <f t="shared" si="39"/>
        <v/>
      </c>
      <c r="FW40" t="str">
        <f t="shared" si="40"/>
        <v/>
      </c>
      <c r="FZ40" t="str">
        <f t="shared" si="41"/>
        <v/>
      </c>
      <c r="GC40" t="str">
        <f t="shared" si="42"/>
        <v/>
      </c>
      <c r="GE40" s="155"/>
      <c r="GF40" s="26" t="str">
        <f t="shared" si="45"/>
        <v>06.2.1 - 20</v>
      </c>
      <c r="GG40" s="28" t="str">
        <f t="shared" si="46"/>
        <v>6.2.1 20</v>
      </c>
      <c r="GH40" s="869" t="s">
        <v>1588</v>
      </c>
      <c r="GI40" s="75">
        <v>20</v>
      </c>
      <c r="GJ40" s="874" t="s">
        <v>1684</v>
      </c>
      <c r="GK40" s="875" t="s">
        <v>1671</v>
      </c>
      <c r="GL40" s="876">
        <v>1</v>
      </c>
      <c r="GM40" s="37" t="s">
        <v>1513</v>
      </c>
      <c r="GN40" s="877">
        <v>328</v>
      </c>
      <c r="GO40" s="26">
        <f t="shared" si="58"/>
        <v>0</v>
      </c>
      <c r="GP40" t="s">
        <v>1671</v>
      </c>
      <c r="GQ40" s="26" t="s">
        <v>1767</v>
      </c>
      <c r="GS40">
        <f>ROWS($GJ$20:GJ40)</f>
        <v>21</v>
      </c>
      <c r="GT40" s="63" t="str">
        <f t="shared" si="57"/>
        <v/>
      </c>
      <c r="GU40"/>
      <c r="HC40" s="805"/>
      <c r="HD40" s="805"/>
    </row>
    <row r="41" spans="1:212" ht="16.5" customHeight="1" x14ac:dyDescent="0.35">
      <c r="A41" s="982"/>
      <c r="B41" s="983" t="str">
        <f>IF(NOT(COUNTIF(B3,"*x*")),IF(B3&lt;&gt;"",TEXT(SUBSTITUTE(SUBSTITUTE(SUBSTITUTE(B3,"-"," "),"""",""),"''",""),"0 0/00")&amp;"""",""),B3)</f>
        <v>8 3/08"</v>
      </c>
      <c r="BR41" t="str">
        <f>IF(BR44=BR43,BR43&amp;"a",BR43&amp;"b")</f>
        <v>1a</v>
      </c>
      <c r="BS41" t="str">
        <f t="shared" ref="BS41:CZ41" si="59">IF(BS44=BS43,BS43&amp;"a",BS44&amp;"b")</f>
        <v>2a</v>
      </c>
      <c r="BT41" t="str">
        <f t="shared" si="59"/>
        <v>3a</v>
      </c>
      <c r="BU41" t="str">
        <f t="shared" si="59"/>
        <v>4a</v>
      </c>
      <c r="BV41" t="str">
        <f t="shared" si="59"/>
        <v>5a</v>
      </c>
      <c r="BW41" t="str">
        <f t="shared" si="59"/>
        <v>6a</v>
      </c>
      <c r="BX41" t="str">
        <f t="shared" si="59"/>
        <v>7a</v>
      </c>
      <c r="BY41" t="str">
        <f t="shared" si="59"/>
        <v>8a</v>
      </c>
      <c r="BZ41" t="str">
        <f t="shared" si="59"/>
        <v>0a</v>
      </c>
      <c r="CA41" t="str">
        <f t="shared" si="59"/>
        <v>9b</v>
      </c>
      <c r="CB41" t="str">
        <f t="shared" si="59"/>
        <v>10b</v>
      </c>
      <c r="CC41" t="str">
        <f t="shared" si="59"/>
        <v>11b</v>
      </c>
      <c r="CD41" t="str">
        <f t="shared" si="59"/>
        <v>12b</v>
      </c>
      <c r="CE41" t="str">
        <f t="shared" si="59"/>
        <v>0a</v>
      </c>
      <c r="CF41" t="str">
        <f t="shared" si="59"/>
        <v>0a</v>
      </c>
      <c r="CG41" t="str">
        <f t="shared" si="59"/>
        <v>0a</v>
      </c>
      <c r="CH41" t="str">
        <f t="shared" si="59"/>
        <v>0a</v>
      </c>
      <c r="CI41" t="str">
        <f t="shared" si="59"/>
        <v>0a</v>
      </c>
      <c r="CJ41" t="str">
        <f t="shared" si="59"/>
        <v>0a</v>
      </c>
      <c r="CK41" t="str">
        <f t="shared" si="59"/>
        <v>0a</v>
      </c>
      <c r="CL41" t="str">
        <f t="shared" si="59"/>
        <v>0a</v>
      </c>
      <c r="CM41" t="str">
        <f t="shared" si="59"/>
        <v>0a</v>
      </c>
      <c r="CN41" t="str">
        <f t="shared" si="59"/>
        <v>0a</v>
      </c>
      <c r="CO41" t="str">
        <f t="shared" si="59"/>
        <v>0a</v>
      </c>
      <c r="CP41" t="str">
        <f t="shared" si="59"/>
        <v>0a</v>
      </c>
      <c r="CQ41" t="str">
        <f t="shared" si="59"/>
        <v>0a</v>
      </c>
      <c r="CR41" t="str">
        <f t="shared" si="59"/>
        <v>0a</v>
      </c>
      <c r="CS41" t="str">
        <f t="shared" si="59"/>
        <v>0a</v>
      </c>
      <c r="CT41" t="str">
        <f t="shared" si="59"/>
        <v>0a</v>
      </c>
      <c r="CU41" t="str">
        <f t="shared" si="59"/>
        <v>0a</v>
      </c>
      <c r="CV41" t="str">
        <f t="shared" si="59"/>
        <v>0a</v>
      </c>
      <c r="CW41" t="str">
        <f t="shared" si="59"/>
        <v>0a</v>
      </c>
      <c r="CX41" t="str">
        <f t="shared" si="59"/>
        <v>0a</v>
      </c>
      <c r="CY41" t="str">
        <f t="shared" si="59"/>
        <v>0a</v>
      </c>
      <c r="CZ41" t="str">
        <f t="shared" si="59"/>
        <v>0a</v>
      </c>
      <c r="DB41" s="37">
        <v>729688</v>
      </c>
      <c r="DD41" s="75">
        <v>32</v>
      </c>
      <c r="DE41" s="37">
        <v>717748</v>
      </c>
      <c r="DF41" t="s">
        <v>190</v>
      </c>
      <c r="DG41" s="37" t="str">
        <f t="shared" ref="DG41:DG72" si="60">DR41 &amp; " " &amp; DL41</f>
        <v>1010 CT200  0.018"</v>
      </c>
      <c r="DH41" s="37">
        <v>10</v>
      </c>
      <c r="DI41" s="37">
        <v>1010</v>
      </c>
      <c r="DJ41" s="37" t="s">
        <v>101</v>
      </c>
      <c r="DK41" s="37"/>
      <c r="DL41" s="37" t="s">
        <v>240</v>
      </c>
      <c r="DM41" s="37">
        <v>26</v>
      </c>
      <c r="DN41" s="37">
        <v>176</v>
      </c>
      <c r="DO41" s="37">
        <v>272</v>
      </c>
      <c r="DP41" s="37"/>
      <c r="DQ41" s="37">
        <v>50</v>
      </c>
      <c r="DR41" s="37" t="str">
        <f t="shared" ref="DR41:DR72" si="61">DI41 &amp; " " &amp; DJ41 &amp; " " &amp; DK41</f>
        <v xml:space="preserve">1010 CT200 </v>
      </c>
      <c r="DS41" s="37">
        <f t="shared" si="43"/>
        <v>0</v>
      </c>
      <c r="DV41" s="10" t="s">
        <v>146</v>
      </c>
      <c r="DW41" t="s">
        <v>1588</v>
      </c>
      <c r="DX41">
        <v>10</v>
      </c>
      <c r="DY41" t="s">
        <v>1678</v>
      </c>
      <c r="DZ41" t="s">
        <v>1671</v>
      </c>
      <c r="EA41">
        <v>1</v>
      </c>
      <c r="EB41" t="s">
        <v>1513</v>
      </c>
      <c r="EC41" s="10">
        <v>215</v>
      </c>
      <c r="ED41" s="10" t="s">
        <v>1741</v>
      </c>
      <c r="EE41" s="813">
        <f t="shared" si="19"/>
        <v>0</v>
      </c>
      <c r="EF41">
        <f>ROWS($DE$2:DE41)</f>
        <v>40</v>
      </c>
      <c r="EG41" t="str">
        <f t="shared" si="26"/>
        <v/>
      </c>
      <c r="EJ41" t="str">
        <f t="shared" si="27"/>
        <v/>
      </c>
      <c r="EM41" t="str">
        <f t="shared" si="28"/>
        <v/>
      </c>
      <c r="EP41" t="str">
        <f t="shared" si="29"/>
        <v/>
      </c>
      <c r="ES41" t="str">
        <f t="shared" si="30"/>
        <v/>
      </c>
      <c r="EV41" t="str">
        <f t="shared" si="31"/>
        <v/>
      </c>
      <c r="EY41" t="str">
        <f t="shared" si="32"/>
        <v/>
      </c>
      <c r="FB41" t="str">
        <f t="shared" si="33"/>
        <v/>
      </c>
      <c r="FE41" t="str">
        <f t="shared" si="34"/>
        <v/>
      </c>
      <c r="FH41" t="str">
        <f t="shared" si="35"/>
        <v/>
      </c>
      <c r="FK41" t="str">
        <f t="shared" si="36"/>
        <v/>
      </c>
      <c r="FN41" t="str">
        <f t="shared" si="37"/>
        <v/>
      </c>
      <c r="FQ41" t="str">
        <f t="shared" si="38"/>
        <v/>
      </c>
      <c r="FT41" t="str">
        <f t="shared" si="39"/>
        <v/>
      </c>
      <c r="FW41" t="str">
        <f t="shared" si="40"/>
        <v/>
      </c>
      <c r="FZ41" t="str">
        <f t="shared" si="41"/>
        <v/>
      </c>
      <c r="GC41" t="str">
        <f t="shared" si="42"/>
        <v/>
      </c>
      <c r="GE41" s="155"/>
      <c r="GF41" s="26" t="str">
        <f t="shared" si="45"/>
        <v>06.2.1 - 30</v>
      </c>
      <c r="GG41" s="28" t="str">
        <f t="shared" si="46"/>
        <v>6.2.1 30</v>
      </c>
      <c r="GH41" s="869" t="s">
        <v>1588</v>
      </c>
      <c r="GI41" s="75">
        <v>30</v>
      </c>
      <c r="GJ41" s="874" t="s">
        <v>1683</v>
      </c>
      <c r="GK41" s="875" t="s">
        <v>1671</v>
      </c>
      <c r="GL41" s="876">
        <v>1</v>
      </c>
      <c r="GM41" s="37" t="s">
        <v>1513</v>
      </c>
      <c r="GN41" s="877">
        <v>419</v>
      </c>
      <c r="GO41" s="26">
        <f t="shared" si="58"/>
        <v>0</v>
      </c>
      <c r="GP41" t="s">
        <v>1671</v>
      </c>
      <c r="GQ41" s="26" t="s">
        <v>1768</v>
      </c>
      <c r="GS41">
        <f>ROWS($GJ$20:GJ41)</f>
        <v>22</v>
      </c>
      <c r="GT41" s="63" t="str">
        <f t="shared" si="57"/>
        <v/>
      </c>
      <c r="GU41"/>
      <c r="HC41" s="805"/>
      <c r="HD41" s="805"/>
    </row>
    <row r="42" spans="1:212" ht="16.5" customHeight="1" thickBot="1" x14ac:dyDescent="0.4">
      <c r="A42" s="984"/>
      <c r="B42" s="985" t="str">
        <f>IF(NOT(COUNTIF(B3,"*x*")),IF(B3&lt;&gt;"",TEXT(SUBSTITUTE(SUBSTITUTE(SUBSTITUTE(B3,"-"," "),"""",""),"''",""),"0 0/0")&amp;"""",""),B3)</f>
        <v>8 3/8"</v>
      </c>
      <c r="BR42" t="str">
        <f t="shared" ref="BR42:CZ42" si="62">IF(BR44=BR43,BR43&amp;"a",BR43&amp;"b")</f>
        <v>1a</v>
      </c>
      <c r="BS42" t="str">
        <f t="shared" si="62"/>
        <v>2a</v>
      </c>
      <c r="BT42" t="str">
        <f t="shared" si="62"/>
        <v>3a</v>
      </c>
      <c r="BU42" t="str">
        <f t="shared" si="62"/>
        <v>4a</v>
      </c>
      <c r="BV42" t="str">
        <f t="shared" si="62"/>
        <v>5a</v>
      </c>
      <c r="BW42" t="str">
        <f t="shared" si="62"/>
        <v>6a</v>
      </c>
      <c r="BX42" t="str">
        <f t="shared" si="62"/>
        <v>7a</v>
      </c>
      <c r="BY42" t="str">
        <f t="shared" si="62"/>
        <v>8a</v>
      </c>
      <c r="BZ42" t="str">
        <f t="shared" si="62"/>
        <v>0a</v>
      </c>
      <c r="CA42" t="str">
        <f t="shared" si="62"/>
        <v>1b</v>
      </c>
      <c r="CB42" t="str">
        <f t="shared" si="62"/>
        <v>2b</v>
      </c>
      <c r="CC42" t="str">
        <f t="shared" si="62"/>
        <v>3b</v>
      </c>
      <c r="CD42" t="str">
        <f t="shared" si="62"/>
        <v>4b</v>
      </c>
      <c r="CE42" t="str">
        <f t="shared" si="62"/>
        <v>0a</v>
      </c>
      <c r="CF42" t="str">
        <f t="shared" si="62"/>
        <v>0a</v>
      </c>
      <c r="CG42" t="str">
        <f t="shared" si="62"/>
        <v>0a</v>
      </c>
      <c r="CH42" t="str">
        <f t="shared" si="62"/>
        <v>0a</v>
      </c>
      <c r="CI42" t="str">
        <f t="shared" si="62"/>
        <v>0a</v>
      </c>
      <c r="CJ42" t="str">
        <f t="shared" si="62"/>
        <v>0a</v>
      </c>
      <c r="CK42" t="str">
        <f t="shared" si="62"/>
        <v>0a</v>
      </c>
      <c r="CL42" t="str">
        <f t="shared" si="62"/>
        <v>0a</v>
      </c>
      <c r="CM42" t="str">
        <f t="shared" si="62"/>
        <v>0a</v>
      </c>
      <c r="CN42" t="str">
        <f t="shared" si="62"/>
        <v>0a</v>
      </c>
      <c r="CO42" t="str">
        <f t="shared" si="62"/>
        <v>0a</v>
      </c>
      <c r="CP42" t="str">
        <f t="shared" si="62"/>
        <v>0a</v>
      </c>
      <c r="CQ42" t="str">
        <f t="shared" si="62"/>
        <v>0a</v>
      </c>
      <c r="CR42" t="str">
        <f t="shared" si="62"/>
        <v>0a</v>
      </c>
      <c r="CS42" t="str">
        <f t="shared" si="62"/>
        <v>0a</v>
      </c>
      <c r="CT42" t="str">
        <f t="shared" si="62"/>
        <v>0a</v>
      </c>
      <c r="CU42" t="str">
        <f t="shared" si="62"/>
        <v>0a</v>
      </c>
      <c r="CV42" t="str">
        <f t="shared" si="62"/>
        <v>0a</v>
      </c>
      <c r="CW42" t="str">
        <f t="shared" si="62"/>
        <v>0a</v>
      </c>
      <c r="CX42" t="str">
        <f t="shared" si="62"/>
        <v>0a</v>
      </c>
      <c r="CY42" t="str">
        <f t="shared" si="62"/>
        <v>0a</v>
      </c>
      <c r="CZ42" t="str">
        <f t="shared" si="62"/>
        <v>0a</v>
      </c>
      <c r="DB42" s="37">
        <v>729689</v>
      </c>
      <c r="DD42" s="75">
        <v>13</v>
      </c>
      <c r="DE42" s="37">
        <v>717749</v>
      </c>
      <c r="DF42" t="s">
        <v>191</v>
      </c>
      <c r="DG42" s="37" t="str">
        <f t="shared" si="60"/>
        <v>1308 CT200  0.010"</v>
      </c>
      <c r="DH42" s="37">
        <v>13</v>
      </c>
      <c r="DI42" s="37">
        <v>1308</v>
      </c>
      <c r="DJ42" s="37" t="s">
        <v>101</v>
      </c>
      <c r="DK42" s="37"/>
      <c r="DL42" s="37" t="s">
        <v>239</v>
      </c>
      <c r="DM42" s="37">
        <v>84</v>
      </c>
      <c r="DN42" s="37">
        <v>0</v>
      </c>
      <c r="DO42" s="37">
        <v>360</v>
      </c>
      <c r="DP42" s="37"/>
      <c r="DQ42" s="37"/>
      <c r="DR42" s="37" t="str">
        <f t="shared" si="61"/>
        <v xml:space="preserve">1308 CT200 </v>
      </c>
      <c r="DS42" s="37">
        <f t="shared" si="43"/>
        <v>39.468000000000004</v>
      </c>
      <c r="DT42" s="10">
        <v>30.36</v>
      </c>
      <c r="DU42" s="10">
        <v>100</v>
      </c>
      <c r="DV42" s="10" t="s">
        <v>146</v>
      </c>
      <c r="DW42" t="s">
        <v>1589</v>
      </c>
      <c r="DX42">
        <v>10</v>
      </c>
      <c r="DY42" t="s">
        <v>1675</v>
      </c>
      <c r="DZ42" t="s">
        <v>1670</v>
      </c>
      <c r="EA42">
        <v>1</v>
      </c>
      <c r="EB42" t="s">
        <v>1513</v>
      </c>
      <c r="EC42" s="10">
        <v>345</v>
      </c>
      <c r="ED42" s="10" t="s">
        <v>1738</v>
      </c>
      <c r="EE42" s="813">
        <f t="shared" si="19"/>
        <v>0</v>
      </c>
      <c r="EF42">
        <f>ROWS($DE$2:DE42)</f>
        <v>41</v>
      </c>
      <c r="EG42" t="str">
        <f t="shared" si="26"/>
        <v/>
      </c>
      <c r="EJ42" t="str">
        <f t="shared" si="27"/>
        <v/>
      </c>
      <c r="EM42" t="str">
        <f t="shared" si="28"/>
        <v/>
      </c>
      <c r="EP42" t="str">
        <f t="shared" si="29"/>
        <v/>
      </c>
      <c r="ES42" t="str">
        <f t="shared" si="30"/>
        <v/>
      </c>
      <c r="EV42" t="str">
        <f t="shared" si="31"/>
        <v/>
      </c>
      <c r="EY42" t="str">
        <f t="shared" si="32"/>
        <v/>
      </c>
      <c r="FB42" t="str">
        <f t="shared" si="33"/>
        <v/>
      </c>
      <c r="FE42" t="str">
        <f t="shared" si="34"/>
        <v/>
      </c>
      <c r="FH42" t="str">
        <f t="shared" si="35"/>
        <v/>
      </c>
      <c r="FK42" t="str">
        <f t="shared" si="36"/>
        <v/>
      </c>
      <c r="FN42" t="str">
        <f t="shared" si="37"/>
        <v/>
      </c>
      <c r="FQ42" t="str">
        <f t="shared" si="38"/>
        <v/>
      </c>
      <c r="FT42" t="str">
        <f t="shared" si="39"/>
        <v/>
      </c>
      <c r="FW42" t="str">
        <f t="shared" si="40"/>
        <v/>
      </c>
      <c r="FZ42" t="str">
        <f t="shared" si="41"/>
        <v/>
      </c>
      <c r="GC42" t="str">
        <f t="shared" si="42"/>
        <v/>
      </c>
      <c r="GE42" s="155"/>
      <c r="GF42" s="26" t="str">
        <f t="shared" si="45"/>
        <v>06.2.1 - 40</v>
      </c>
      <c r="GG42" s="28" t="str">
        <f t="shared" si="46"/>
        <v>6.2.1 40</v>
      </c>
      <c r="GH42" s="882" t="s">
        <v>1588</v>
      </c>
      <c r="GI42" s="75">
        <v>40</v>
      </c>
      <c r="GJ42" s="874" t="s">
        <v>1706</v>
      </c>
      <c r="GK42" s="875" t="s">
        <v>1671</v>
      </c>
      <c r="GL42" s="876">
        <v>1</v>
      </c>
      <c r="GM42" s="37" t="s">
        <v>1513</v>
      </c>
      <c r="GN42" s="877">
        <v>333</v>
      </c>
      <c r="GO42" s="26">
        <f t="shared" si="58"/>
        <v>0</v>
      </c>
      <c r="GP42" t="s">
        <v>1671</v>
      </c>
      <c r="GQ42" s="26" t="s">
        <v>1769</v>
      </c>
      <c r="GS42">
        <f>ROWS($GJ$20:GJ42)</f>
        <v>23</v>
      </c>
      <c r="GT42" s="63" t="str">
        <f t="shared" si="57"/>
        <v/>
      </c>
      <c r="GU42"/>
      <c r="HC42" s="805"/>
      <c r="HD42" s="805"/>
    </row>
    <row r="43" spans="1:212" ht="15.75" customHeight="1" thickBot="1" x14ac:dyDescent="0.4">
      <c r="A43" s="984">
        <f>COUNTIF(B42,"*0/*")</f>
        <v>0</v>
      </c>
      <c r="B43" s="986" t="str">
        <f>IF(COUNTIF(B42,"*0/*"),B41,B42)</f>
        <v>8 3/8"</v>
      </c>
      <c r="C43" s="107">
        <f>IFERROR(VALUE(IF(OR(COUNTIF(B43,"*X*"),COUNTIF(B43,"*x*")),LEFT(B43,1),SUBSTITUTE(B43,"""",""))),"")</f>
        <v>8.375</v>
      </c>
      <c r="E43" s="320" t="s">
        <v>766</v>
      </c>
      <c r="F43" s="1171" t="s">
        <v>780</v>
      </c>
      <c r="G43" s="1172"/>
      <c r="BR43">
        <f>IF(SUM(BR46:BR57)=0,0,1)</f>
        <v>1</v>
      </c>
      <c r="BS43">
        <f t="shared" ref="BS43:CZ43" si="63">IF(SUM(BS46:BS57)=0,0,BR43+1)</f>
        <v>2</v>
      </c>
      <c r="BT43">
        <f t="shared" si="63"/>
        <v>3</v>
      </c>
      <c r="BU43">
        <f t="shared" si="63"/>
        <v>4</v>
      </c>
      <c r="BV43">
        <f t="shared" si="63"/>
        <v>5</v>
      </c>
      <c r="BW43">
        <f t="shared" si="63"/>
        <v>6</v>
      </c>
      <c r="BX43">
        <f t="shared" si="63"/>
        <v>7</v>
      </c>
      <c r="BY43">
        <f t="shared" si="63"/>
        <v>8</v>
      </c>
      <c r="BZ43">
        <f t="shared" si="63"/>
        <v>0</v>
      </c>
      <c r="CA43">
        <f t="shared" si="63"/>
        <v>1</v>
      </c>
      <c r="CB43">
        <f t="shared" si="63"/>
        <v>2</v>
      </c>
      <c r="CC43">
        <f t="shared" si="63"/>
        <v>3</v>
      </c>
      <c r="CD43">
        <f t="shared" si="63"/>
        <v>4</v>
      </c>
      <c r="CE43">
        <f t="shared" si="63"/>
        <v>0</v>
      </c>
      <c r="CF43">
        <f t="shared" si="63"/>
        <v>0</v>
      </c>
      <c r="CG43">
        <f t="shared" si="63"/>
        <v>0</v>
      </c>
      <c r="CH43">
        <f t="shared" si="63"/>
        <v>0</v>
      </c>
      <c r="CI43">
        <f t="shared" si="63"/>
        <v>0</v>
      </c>
      <c r="CJ43">
        <f t="shared" si="63"/>
        <v>0</v>
      </c>
      <c r="CK43">
        <f t="shared" si="63"/>
        <v>0</v>
      </c>
      <c r="CL43">
        <f t="shared" si="63"/>
        <v>0</v>
      </c>
      <c r="CM43">
        <f t="shared" si="63"/>
        <v>0</v>
      </c>
      <c r="CN43">
        <f t="shared" si="63"/>
        <v>0</v>
      </c>
      <c r="CO43">
        <f t="shared" si="63"/>
        <v>0</v>
      </c>
      <c r="CP43">
        <f t="shared" si="63"/>
        <v>0</v>
      </c>
      <c r="CQ43">
        <f t="shared" si="63"/>
        <v>0</v>
      </c>
      <c r="CR43">
        <f t="shared" si="63"/>
        <v>0</v>
      </c>
      <c r="CS43">
        <f t="shared" si="63"/>
        <v>0</v>
      </c>
      <c r="CT43">
        <f t="shared" si="63"/>
        <v>0</v>
      </c>
      <c r="CU43">
        <f t="shared" si="63"/>
        <v>0</v>
      </c>
      <c r="CV43">
        <f t="shared" si="63"/>
        <v>0</v>
      </c>
      <c r="CW43">
        <f t="shared" si="63"/>
        <v>0</v>
      </c>
      <c r="CX43">
        <f t="shared" si="63"/>
        <v>0</v>
      </c>
      <c r="CY43">
        <f t="shared" si="63"/>
        <v>0</v>
      </c>
      <c r="CZ43">
        <f t="shared" si="63"/>
        <v>0</v>
      </c>
      <c r="DB43" s="37">
        <v>729690</v>
      </c>
      <c r="DD43" s="75">
        <v>39</v>
      </c>
      <c r="DE43" s="37">
        <v>717751</v>
      </c>
      <c r="DF43" t="s">
        <v>192</v>
      </c>
      <c r="DG43" s="37" t="str">
        <f t="shared" si="60"/>
        <v>1308 CT200  0.018"</v>
      </c>
      <c r="DH43" s="37">
        <v>13</v>
      </c>
      <c r="DI43" s="37">
        <v>1308</v>
      </c>
      <c r="DJ43" s="37" t="s">
        <v>101</v>
      </c>
      <c r="DK43" s="37"/>
      <c r="DL43" s="37" t="s">
        <v>240</v>
      </c>
      <c r="DM43" s="37">
        <v>28</v>
      </c>
      <c r="DN43" s="37">
        <v>0</v>
      </c>
      <c r="DO43" s="37">
        <v>360</v>
      </c>
      <c r="DP43" s="37"/>
      <c r="DQ43" s="37"/>
      <c r="DR43" s="37" t="str">
        <f t="shared" si="61"/>
        <v xml:space="preserve">1308 CT200 </v>
      </c>
      <c r="DS43" s="37">
        <f t="shared" si="43"/>
        <v>38.667200000000008</v>
      </c>
      <c r="DT43" s="10">
        <v>29.744000000000003</v>
      </c>
      <c r="DV43" s="10" t="s">
        <v>146</v>
      </c>
      <c r="DW43" t="s">
        <v>1589</v>
      </c>
      <c r="DX43">
        <v>10</v>
      </c>
      <c r="DY43" t="s">
        <v>1675</v>
      </c>
      <c r="DZ43" t="s">
        <v>1670</v>
      </c>
      <c r="EA43">
        <v>1</v>
      </c>
      <c r="EB43" t="s">
        <v>1513</v>
      </c>
      <c r="EC43" s="10">
        <v>345</v>
      </c>
      <c r="ED43" s="10" t="s">
        <v>1738</v>
      </c>
      <c r="EE43" s="813">
        <f t="shared" si="19"/>
        <v>0</v>
      </c>
      <c r="EF43">
        <f>ROWS($DE$2:DE43)</f>
        <v>42</v>
      </c>
      <c r="EG43" t="str">
        <f t="shared" si="26"/>
        <v/>
      </c>
      <c r="EJ43" t="str">
        <f t="shared" si="27"/>
        <v/>
      </c>
      <c r="EM43" t="str">
        <f t="shared" si="28"/>
        <v/>
      </c>
      <c r="EP43" t="str">
        <f t="shared" si="29"/>
        <v/>
      </c>
      <c r="ES43" t="str">
        <f t="shared" si="30"/>
        <v/>
      </c>
      <c r="EV43" t="str">
        <f t="shared" si="31"/>
        <v/>
      </c>
      <c r="EY43" t="str">
        <f t="shared" si="32"/>
        <v/>
      </c>
      <c r="FB43" t="str">
        <f t="shared" si="33"/>
        <v/>
      </c>
      <c r="FE43" t="str">
        <f t="shared" si="34"/>
        <v/>
      </c>
      <c r="FH43" t="str">
        <f t="shared" si="35"/>
        <v/>
      </c>
      <c r="FK43" t="str">
        <f t="shared" si="36"/>
        <v/>
      </c>
      <c r="FN43" t="str">
        <f t="shared" si="37"/>
        <v/>
      </c>
      <c r="FQ43" t="str">
        <f t="shared" si="38"/>
        <v/>
      </c>
      <c r="FT43" t="str">
        <f t="shared" si="39"/>
        <v/>
      </c>
      <c r="FW43" t="str">
        <f t="shared" si="40"/>
        <v/>
      </c>
      <c r="FZ43" t="str">
        <f t="shared" si="41"/>
        <v/>
      </c>
      <c r="GC43" t="str">
        <f t="shared" si="42"/>
        <v/>
      </c>
      <c r="GE43" s="155"/>
      <c r="GF43" s="26" t="str">
        <f t="shared" si="45"/>
        <v>06.2.1 - 50</v>
      </c>
      <c r="GG43" s="28" t="str">
        <f t="shared" si="46"/>
        <v>6.2.1 50</v>
      </c>
      <c r="GH43" s="869" t="s">
        <v>1588</v>
      </c>
      <c r="GI43" s="75">
        <v>50</v>
      </c>
      <c r="GJ43" s="874" t="s">
        <v>1707</v>
      </c>
      <c r="GK43" s="875" t="s">
        <v>1671</v>
      </c>
      <c r="GL43" s="876">
        <v>1</v>
      </c>
      <c r="GM43" s="37" t="s">
        <v>1513</v>
      </c>
      <c r="GN43" s="877">
        <v>202</v>
      </c>
      <c r="GO43" s="26">
        <f t="shared" si="58"/>
        <v>0</v>
      </c>
      <c r="GP43" t="s">
        <v>1671</v>
      </c>
      <c r="GQ43" s="26" t="s">
        <v>1770</v>
      </c>
      <c r="GS43">
        <f>ROWS($GJ$20:GJ43)</f>
        <v>24</v>
      </c>
      <c r="GT43" s="63" t="str">
        <f t="shared" si="57"/>
        <v/>
      </c>
      <c r="GU43"/>
      <c r="HC43" s="805"/>
      <c r="HD43" s="805"/>
    </row>
    <row r="44" spans="1:212" ht="16.5" customHeight="1" thickBot="1" x14ac:dyDescent="0.4">
      <c r="A44" s="987"/>
      <c r="B44" s="988">
        <f>B6</f>
        <v>46002</v>
      </c>
      <c r="G44" t="s">
        <v>1526</v>
      </c>
      <c r="BF44" s="1168" t="s">
        <v>109</v>
      </c>
      <c r="BG44" s="1169"/>
      <c r="BH44" s="1169"/>
      <c r="BI44" s="1169"/>
      <c r="BJ44" s="1169"/>
      <c r="BK44" s="1169"/>
      <c r="BL44" s="1169"/>
      <c r="BM44" s="1170"/>
      <c r="BQ44">
        <f>MAX(BR44:DA44)</f>
        <v>12</v>
      </c>
      <c r="BR44">
        <f>IF(SUM(BR46:BR57)=0,0,1)</f>
        <v>1</v>
      </c>
      <c r="BS44">
        <f t="shared" ref="BS44:CZ44" si="64">IF(SUM(BS46:BS57)=0,0,IF(BR44=0,BQ44+1,BR44+1))</f>
        <v>2</v>
      </c>
      <c r="BT44">
        <f t="shared" si="64"/>
        <v>3</v>
      </c>
      <c r="BU44">
        <f t="shared" si="64"/>
        <v>4</v>
      </c>
      <c r="BV44">
        <f t="shared" si="64"/>
        <v>5</v>
      </c>
      <c r="BW44">
        <f t="shared" si="64"/>
        <v>6</v>
      </c>
      <c r="BX44">
        <f t="shared" si="64"/>
        <v>7</v>
      </c>
      <c r="BY44">
        <f t="shared" si="64"/>
        <v>8</v>
      </c>
      <c r="BZ44">
        <f t="shared" si="64"/>
        <v>0</v>
      </c>
      <c r="CA44">
        <f t="shared" si="64"/>
        <v>9</v>
      </c>
      <c r="CB44">
        <f t="shared" si="64"/>
        <v>10</v>
      </c>
      <c r="CC44">
        <f t="shared" si="64"/>
        <v>11</v>
      </c>
      <c r="CD44">
        <f t="shared" si="64"/>
        <v>12</v>
      </c>
      <c r="CE44">
        <f t="shared" si="64"/>
        <v>0</v>
      </c>
      <c r="CF44">
        <f t="shared" si="64"/>
        <v>0</v>
      </c>
      <c r="CG44">
        <f t="shared" si="64"/>
        <v>0</v>
      </c>
      <c r="CH44">
        <f t="shared" si="64"/>
        <v>0</v>
      </c>
      <c r="CI44">
        <f t="shared" si="64"/>
        <v>0</v>
      </c>
      <c r="CJ44">
        <f t="shared" si="64"/>
        <v>0</v>
      </c>
      <c r="CK44">
        <f t="shared" si="64"/>
        <v>0</v>
      </c>
      <c r="CL44">
        <f t="shared" si="64"/>
        <v>0</v>
      </c>
      <c r="CM44">
        <f t="shared" si="64"/>
        <v>0</v>
      </c>
      <c r="CN44">
        <f t="shared" si="64"/>
        <v>0</v>
      </c>
      <c r="CO44">
        <f t="shared" si="64"/>
        <v>0</v>
      </c>
      <c r="CP44">
        <f t="shared" si="64"/>
        <v>0</v>
      </c>
      <c r="CQ44">
        <f t="shared" si="64"/>
        <v>0</v>
      </c>
      <c r="CR44">
        <f t="shared" si="64"/>
        <v>0</v>
      </c>
      <c r="CS44">
        <f t="shared" si="64"/>
        <v>0</v>
      </c>
      <c r="CT44">
        <f t="shared" si="64"/>
        <v>0</v>
      </c>
      <c r="CU44">
        <f t="shared" si="64"/>
        <v>0</v>
      </c>
      <c r="CV44">
        <f t="shared" si="64"/>
        <v>0</v>
      </c>
      <c r="CW44">
        <f t="shared" si="64"/>
        <v>0</v>
      </c>
      <c r="CX44">
        <f t="shared" si="64"/>
        <v>0</v>
      </c>
      <c r="CY44">
        <f t="shared" si="64"/>
        <v>0</v>
      </c>
      <c r="CZ44">
        <f t="shared" si="64"/>
        <v>0</v>
      </c>
      <c r="DB44" s="37">
        <v>729691</v>
      </c>
      <c r="DD44" s="75">
        <v>30</v>
      </c>
      <c r="DE44" s="37">
        <v>729434</v>
      </c>
      <c r="DF44" t="s">
        <v>193</v>
      </c>
      <c r="DG44" s="37" t="str">
        <f t="shared" si="60"/>
        <v>1308 CT82  0.010"</v>
      </c>
      <c r="DH44" s="37">
        <v>13</v>
      </c>
      <c r="DI44" s="37">
        <v>1308</v>
      </c>
      <c r="DJ44" s="37" t="s">
        <v>104</v>
      </c>
      <c r="DK44" s="37"/>
      <c r="DL44" s="37" t="s">
        <v>239</v>
      </c>
      <c r="DM44" s="37">
        <v>52</v>
      </c>
      <c r="DN44" s="37">
        <v>0</v>
      </c>
      <c r="DO44" s="37">
        <v>360</v>
      </c>
      <c r="DP44" s="37"/>
      <c r="DQ44" s="37"/>
      <c r="DR44" s="37" t="str">
        <f t="shared" si="61"/>
        <v xml:space="preserve">1308 CT82 </v>
      </c>
      <c r="DS44" s="37">
        <f t="shared" si="43"/>
        <v>0</v>
      </c>
      <c r="DU44" s="10">
        <v>210</v>
      </c>
      <c r="DV44" s="10" t="s">
        <v>49</v>
      </c>
      <c r="DW44" t="s">
        <v>1589</v>
      </c>
      <c r="DX44">
        <v>30</v>
      </c>
      <c r="DY44" t="s">
        <v>1677</v>
      </c>
      <c r="DZ44" t="s">
        <v>1670</v>
      </c>
      <c r="EA44">
        <v>1</v>
      </c>
      <c r="EB44" t="s">
        <v>1513</v>
      </c>
      <c r="EC44" s="10">
        <v>480</v>
      </c>
      <c r="ED44" s="10" t="s">
        <v>1740</v>
      </c>
      <c r="EE44" s="813">
        <f t="shared" si="19"/>
        <v>0</v>
      </c>
      <c r="EF44">
        <f>ROWS($DE$2:DE44)</f>
        <v>43</v>
      </c>
      <c r="EG44" t="str">
        <f t="shared" si="26"/>
        <v/>
      </c>
      <c r="EJ44" t="str">
        <f t="shared" si="27"/>
        <v/>
      </c>
      <c r="EM44" t="str">
        <f t="shared" si="28"/>
        <v/>
      </c>
      <c r="EP44" t="str">
        <f t="shared" si="29"/>
        <v/>
      </c>
      <c r="ES44" t="str">
        <f t="shared" si="30"/>
        <v/>
      </c>
      <c r="EV44" t="str">
        <f t="shared" si="31"/>
        <v/>
      </c>
      <c r="EY44" t="str">
        <f t="shared" si="32"/>
        <v/>
      </c>
      <c r="FB44" t="str">
        <f t="shared" si="33"/>
        <v/>
      </c>
      <c r="FE44" t="str">
        <f t="shared" si="34"/>
        <v/>
      </c>
      <c r="FH44" t="str">
        <f t="shared" si="35"/>
        <v/>
      </c>
      <c r="FK44" t="str">
        <f t="shared" si="36"/>
        <v/>
      </c>
      <c r="FN44" t="str">
        <f t="shared" si="37"/>
        <v/>
      </c>
      <c r="FQ44" t="str">
        <f t="shared" si="38"/>
        <v/>
      </c>
      <c r="FT44" t="str">
        <f t="shared" si="39"/>
        <v/>
      </c>
      <c r="FW44" t="str">
        <f t="shared" si="40"/>
        <v/>
      </c>
      <c r="FZ44" t="str">
        <f t="shared" si="41"/>
        <v/>
      </c>
      <c r="GC44" t="str">
        <f t="shared" si="42"/>
        <v/>
      </c>
      <c r="GE44" s="155"/>
      <c r="GF44" s="26" t="str">
        <f t="shared" si="45"/>
        <v>06.2.1 - 60</v>
      </c>
      <c r="GG44" s="28" t="str">
        <f t="shared" si="46"/>
        <v>6.2.1 60</v>
      </c>
      <c r="GH44" s="882" t="s">
        <v>1588</v>
      </c>
      <c r="GI44" s="75">
        <v>60</v>
      </c>
      <c r="GJ44" s="874" t="s">
        <v>1708</v>
      </c>
      <c r="GK44" s="875" t="s">
        <v>1671</v>
      </c>
      <c r="GL44" s="876">
        <v>1</v>
      </c>
      <c r="GM44" s="37" t="s">
        <v>1513</v>
      </c>
      <c r="GN44" s="877">
        <v>135</v>
      </c>
      <c r="GO44" s="26">
        <f t="shared" si="58"/>
        <v>0</v>
      </c>
      <c r="GP44" t="s">
        <v>1671</v>
      </c>
      <c r="GQ44" s="26" t="s">
        <v>1771</v>
      </c>
      <c r="GS44">
        <f>ROWS($GJ$20:GJ44)</f>
        <v>25</v>
      </c>
      <c r="GT44" s="63" t="str">
        <f t="shared" si="57"/>
        <v/>
      </c>
      <c r="GU44"/>
      <c r="HC44" s="805"/>
      <c r="HD44" s="805"/>
    </row>
    <row r="45" spans="1:212" ht="16.5" customHeight="1" thickBot="1" x14ac:dyDescent="0.6">
      <c r="C45" s="161"/>
      <c r="F45" s="25"/>
      <c r="G45" t="s">
        <v>1527</v>
      </c>
      <c r="L45" s="903" t="s">
        <v>84</v>
      </c>
      <c r="O45" s="162" t="s">
        <v>103</v>
      </c>
      <c r="P45" s="163" t="s">
        <v>85</v>
      </c>
      <c r="Q45" s="163" t="s">
        <v>40</v>
      </c>
      <c r="R45" s="163" t="s">
        <v>765</v>
      </c>
      <c r="S45" s="163" t="s">
        <v>6</v>
      </c>
      <c r="T45" s="164" t="s">
        <v>7</v>
      </c>
      <c r="U45" s="163" t="s">
        <v>84</v>
      </c>
      <c r="V45" s="36"/>
      <c r="W45" s="165" t="s">
        <v>93</v>
      </c>
      <c r="X45" s="165" t="s">
        <v>94</v>
      </c>
      <c r="Y45" s="165" t="s">
        <v>95</v>
      </c>
      <c r="Z45" s="165" t="s">
        <v>96</v>
      </c>
      <c r="AA45" s="165" t="s">
        <v>97</v>
      </c>
      <c r="AB45" s="165" t="s">
        <v>98</v>
      </c>
      <c r="AC45" s="165" t="s">
        <v>99</v>
      </c>
      <c r="AD45" s="165" t="s">
        <v>100</v>
      </c>
      <c r="AE45" s="165" t="s">
        <v>116</v>
      </c>
      <c r="AF45" s="165" t="s">
        <v>117</v>
      </c>
      <c r="AG45" s="165" t="s">
        <v>118</v>
      </c>
      <c r="AH45" s="165" t="s">
        <v>119</v>
      </c>
      <c r="AI45" s="165" t="s">
        <v>120</v>
      </c>
      <c r="AJ45" s="165" t="s">
        <v>121</v>
      </c>
      <c r="AK45" s="165" t="s">
        <v>122</v>
      </c>
      <c r="AL45" s="165" t="s">
        <v>123</v>
      </c>
      <c r="AM45" s="165" t="s">
        <v>124</v>
      </c>
      <c r="AN45" s="165" t="s">
        <v>125</v>
      </c>
      <c r="AO45" s="165" t="s">
        <v>126</v>
      </c>
      <c r="AP45" s="165" t="s">
        <v>127</v>
      </c>
      <c r="AQ45" s="165" t="s">
        <v>128</v>
      </c>
      <c r="AR45" s="165" t="s">
        <v>129</v>
      </c>
      <c r="AS45" s="165" t="s">
        <v>130</v>
      </c>
      <c r="AT45" s="165" t="s">
        <v>131</v>
      </c>
      <c r="AU45" s="165" t="s">
        <v>132</v>
      </c>
      <c r="AV45" s="165" t="s">
        <v>768</v>
      </c>
      <c r="AW45" s="165" t="s">
        <v>769</v>
      </c>
      <c r="AX45" s="165" t="s">
        <v>770</v>
      </c>
      <c r="AY45" s="165" t="s">
        <v>771</v>
      </c>
      <c r="AZ45" s="165" t="s">
        <v>772</v>
      </c>
      <c r="BA45" s="165" t="s">
        <v>773</v>
      </c>
      <c r="BB45" s="165" t="s">
        <v>1790</v>
      </c>
      <c r="BC45" s="165" t="s">
        <v>1791</v>
      </c>
      <c r="BD45" s="165" t="s">
        <v>1792</v>
      </c>
      <c r="BE45" s="36"/>
      <c r="BF45" s="38" t="s">
        <v>105</v>
      </c>
      <c r="BG45" s="38" t="s">
        <v>106</v>
      </c>
      <c r="BH45" s="38" t="s">
        <v>107</v>
      </c>
      <c r="BI45" s="84" t="s">
        <v>103</v>
      </c>
      <c r="BJ45" s="84" t="s">
        <v>85</v>
      </c>
      <c r="BK45" s="84" t="s">
        <v>40</v>
      </c>
      <c r="BL45" s="84" t="s">
        <v>765</v>
      </c>
      <c r="BM45" s="84" t="s">
        <v>6</v>
      </c>
      <c r="BN45" s="85" t="s">
        <v>7</v>
      </c>
      <c r="BO45" s="85" t="s">
        <v>40</v>
      </c>
      <c r="BQ45" s="36"/>
      <c r="BR45" s="140" t="str">
        <f t="shared" ref="BR45:DA45" si="65">IF(BR44=0,"","C"&amp;BR44)</f>
        <v>C1</v>
      </c>
      <c r="BS45" s="140" t="str">
        <f t="shared" si="65"/>
        <v>C2</v>
      </c>
      <c r="BT45" s="140" t="str">
        <f t="shared" si="65"/>
        <v>C3</v>
      </c>
      <c r="BU45" s="140" t="str">
        <f t="shared" si="65"/>
        <v>C4</v>
      </c>
      <c r="BV45" s="140" t="str">
        <f t="shared" si="65"/>
        <v>C5</v>
      </c>
      <c r="BW45" s="140" t="str">
        <f t="shared" si="65"/>
        <v>C6</v>
      </c>
      <c r="BX45" s="140" t="str">
        <f t="shared" si="65"/>
        <v>C7</v>
      </c>
      <c r="BY45" s="140" t="str">
        <f t="shared" si="65"/>
        <v>C8</v>
      </c>
      <c r="BZ45" s="140" t="str">
        <f t="shared" si="65"/>
        <v/>
      </c>
      <c r="CA45" s="140" t="str">
        <f t="shared" si="65"/>
        <v>C9</v>
      </c>
      <c r="CB45" s="140" t="str">
        <f t="shared" si="65"/>
        <v>C10</v>
      </c>
      <c r="CC45" s="140" t="str">
        <f t="shared" si="65"/>
        <v>C11</v>
      </c>
      <c r="CD45" s="140" t="str">
        <f t="shared" si="65"/>
        <v>C12</v>
      </c>
      <c r="CE45" s="140" t="str">
        <f t="shared" si="65"/>
        <v/>
      </c>
      <c r="CF45" s="140" t="str">
        <f t="shared" si="65"/>
        <v/>
      </c>
      <c r="CG45" s="140" t="str">
        <f t="shared" si="65"/>
        <v/>
      </c>
      <c r="CH45" s="140" t="str">
        <f t="shared" si="65"/>
        <v/>
      </c>
      <c r="CI45" s="140" t="str">
        <f t="shared" si="65"/>
        <v/>
      </c>
      <c r="CJ45" s="140" t="str">
        <f t="shared" si="65"/>
        <v/>
      </c>
      <c r="CK45" s="140" t="str">
        <f t="shared" si="65"/>
        <v/>
      </c>
      <c r="CL45" s="140" t="str">
        <f t="shared" si="65"/>
        <v/>
      </c>
      <c r="CM45" s="140" t="str">
        <f t="shared" si="65"/>
        <v/>
      </c>
      <c r="CN45" s="140" t="str">
        <f t="shared" si="65"/>
        <v/>
      </c>
      <c r="CO45" s="140" t="str">
        <f t="shared" si="65"/>
        <v/>
      </c>
      <c r="CP45" s="140" t="str">
        <f t="shared" si="65"/>
        <v/>
      </c>
      <c r="CQ45" s="140" t="str">
        <f t="shared" si="65"/>
        <v/>
      </c>
      <c r="CR45" s="140" t="str">
        <f t="shared" si="65"/>
        <v/>
      </c>
      <c r="CS45" s="140" t="str">
        <f t="shared" si="65"/>
        <v/>
      </c>
      <c r="CT45" s="140" t="str">
        <f t="shared" si="65"/>
        <v/>
      </c>
      <c r="CU45" s="140" t="str">
        <f t="shared" si="65"/>
        <v/>
      </c>
      <c r="CV45" s="140" t="str">
        <f t="shared" si="65"/>
        <v/>
      </c>
      <c r="CW45" s="140" t="str">
        <f t="shared" si="65"/>
        <v/>
      </c>
      <c r="CX45" s="140" t="str">
        <f t="shared" si="65"/>
        <v/>
      </c>
      <c r="CY45" s="140" t="str">
        <f t="shared" si="65"/>
        <v/>
      </c>
      <c r="CZ45" s="140" t="str">
        <f t="shared" si="65"/>
        <v/>
      </c>
      <c r="DA45" s="140" t="str">
        <f t="shared" si="65"/>
        <v/>
      </c>
      <c r="DB45" s="37">
        <v>742473</v>
      </c>
      <c r="DD45" s="75">
        <v>40</v>
      </c>
      <c r="DE45" s="37">
        <v>729435</v>
      </c>
      <c r="DF45" t="s">
        <v>194</v>
      </c>
      <c r="DG45" s="37" t="str">
        <f t="shared" si="60"/>
        <v>1313 CT82  0.010"</v>
      </c>
      <c r="DH45" s="37">
        <v>13</v>
      </c>
      <c r="DI45" s="37">
        <v>1313</v>
      </c>
      <c r="DJ45" s="37" t="s">
        <v>104</v>
      </c>
      <c r="DK45" s="37"/>
      <c r="DL45" s="37" t="s">
        <v>239</v>
      </c>
      <c r="DM45" s="37">
        <v>40</v>
      </c>
      <c r="DN45" s="37">
        <v>2</v>
      </c>
      <c r="DO45" s="37">
        <v>360</v>
      </c>
      <c r="DP45" s="37"/>
      <c r="DQ45" s="37"/>
      <c r="DR45" s="37" t="str">
        <f t="shared" si="61"/>
        <v xml:space="preserve">1313 CT82 </v>
      </c>
      <c r="DS45" s="37">
        <f t="shared" si="43"/>
        <v>159.80900000000003</v>
      </c>
      <c r="DT45" s="10">
        <v>122.93</v>
      </c>
      <c r="DU45" s="10">
        <v>220</v>
      </c>
      <c r="DV45" s="10" t="s">
        <v>49</v>
      </c>
      <c r="DW45" t="s">
        <v>1589</v>
      </c>
      <c r="DX45">
        <v>30</v>
      </c>
      <c r="DY45" t="s">
        <v>1677</v>
      </c>
      <c r="DZ45" t="s">
        <v>1670</v>
      </c>
      <c r="EA45">
        <v>1</v>
      </c>
      <c r="EB45" t="s">
        <v>1513</v>
      </c>
      <c r="EC45" s="10">
        <v>480</v>
      </c>
      <c r="ED45" s="10" t="s">
        <v>1740</v>
      </c>
      <c r="EE45" s="813">
        <f t="shared" si="19"/>
        <v>0</v>
      </c>
      <c r="EF45">
        <f>ROWS($DE$2:DE45)</f>
        <v>44</v>
      </c>
      <c r="EG45" t="str">
        <f t="shared" si="26"/>
        <v/>
      </c>
      <c r="EJ45" t="str">
        <f t="shared" si="27"/>
        <v/>
      </c>
      <c r="EM45" t="str">
        <f t="shared" si="28"/>
        <v/>
      </c>
      <c r="EP45" t="str">
        <f t="shared" si="29"/>
        <v/>
      </c>
      <c r="ES45" t="str">
        <f t="shared" si="30"/>
        <v/>
      </c>
      <c r="EV45" t="str">
        <f t="shared" si="31"/>
        <v/>
      </c>
      <c r="EY45" t="str">
        <f t="shared" si="32"/>
        <v/>
      </c>
      <c r="FB45" t="str">
        <f t="shared" si="33"/>
        <v/>
      </c>
      <c r="FE45" t="str">
        <f t="shared" si="34"/>
        <v/>
      </c>
      <c r="FH45" t="str">
        <f t="shared" si="35"/>
        <v/>
      </c>
      <c r="FK45" t="str">
        <f t="shared" si="36"/>
        <v/>
      </c>
      <c r="FN45" t="str">
        <f t="shared" si="37"/>
        <v/>
      </c>
      <c r="FQ45" t="str">
        <f t="shared" si="38"/>
        <v/>
      </c>
      <c r="FT45" t="str">
        <f t="shared" si="39"/>
        <v/>
      </c>
      <c r="FW45" t="str">
        <f t="shared" si="40"/>
        <v/>
      </c>
      <c r="FZ45" t="str">
        <f t="shared" si="41"/>
        <v/>
      </c>
      <c r="GC45" t="str">
        <f t="shared" si="42"/>
        <v/>
      </c>
      <c r="GE45" s="155"/>
      <c r="GF45" s="26" t="str">
        <f t="shared" si="45"/>
        <v>06.3.1 - 10</v>
      </c>
      <c r="GG45" s="28" t="str">
        <f t="shared" si="46"/>
        <v>6.3.1 10</v>
      </c>
      <c r="GH45" s="882" t="s">
        <v>1589</v>
      </c>
      <c r="GI45" s="75">
        <v>10</v>
      </c>
      <c r="GJ45" s="874" t="s">
        <v>1675</v>
      </c>
      <c r="GK45" s="875" t="s">
        <v>1670</v>
      </c>
      <c r="GL45" s="876">
        <v>1</v>
      </c>
      <c r="GM45" s="37" t="s">
        <v>1513</v>
      </c>
      <c r="GN45" s="877">
        <v>345</v>
      </c>
      <c r="GO45" s="26">
        <f t="shared" si="58"/>
        <v>6</v>
      </c>
      <c r="GP45" t="s">
        <v>1670</v>
      </c>
      <c r="GQ45" s="26" t="s">
        <v>1766</v>
      </c>
      <c r="GS45">
        <f>ROWS($GJ$20:GJ45)</f>
        <v>26</v>
      </c>
      <c r="GT45" s="63">
        <f t="shared" si="57"/>
        <v>26</v>
      </c>
      <c r="GU45"/>
      <c r="HC45" s="805"/>
      <c r="HD45" s="805"/>
    </row>
    <row r="46" spans="1:212" ht="15.75" customHeight="1" x14ac:dyDescent="0.35">
      <c r="B46" s="24" t="s">
        <v>781</v>
      </c>
      <c r="C46" s="32"/>
      <c r="F46" s="25"/>
      <c r="G46" t="s">
        <v>1528</v>
      </c>
      <c r="L46" s="166">
        <v>509477</v>
      </c>
      <c r="O46" s="167">
        <v>1</v>
      </c>
      <c r="P46" s="167">
        <v>418525</v>
      </c>
      <c r="Q46" s="167">
        <v>6</v>
      </c>
      <c r="R46" s="168"/>
      <c r="S46" s="168">
        <v>8.5</v>
      </c>
      <c r="T46" s="168" t="s">
        <v>744</v>
      </c>
      <c r="U46" s="168">
        <v>1079481</v>
      </c>
      <c r="V46" s="40" t="s">
        <v>87</v>
      </c>
      <c r="W46" s="40">
        <v>2</v>
      </c>
      <c r="X46" s="40">
        <v>3</v>
      </c>
      <c r="Y46" s="40">
        <v>4</v>
      </c>
      <c r="Z46" s="40">
        <v>4</v>
      </c>
      <c r="AA46" s="40">
        <v>4</v>
      </c>
      <c r="AB46" s="169">
        <v>4</v>
      </c>
      <c r="AC46" s="169">
        <v>4</v>
      </c>
      <c r="AD46" s="169">
        <v>1</v>
      </c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F46">
        <f>ROWS($U$46:U46)</f>
        <v>1</v>
      </c>
      <c r="BG46" t="str">
        <f>IF(VALUE(SUBSTITUTE($B$5,"M",""))=U46,BF46,"")</f>
        <v/>
      </c>
      <c r="BH46">
        <f>IFERROR(SMALL($BG$46:$BG$3014,ROWS($BG$46:BG46)),"")</f>
        <v>441</v>
      </c>
      <c r="BI46" s="170">
        <f>IFERROR(INDEX($O$46:$T$3015,$BH46:$BH57,COLUMNS($BE$46:BE46)),0)</f>
        <v>1</v>
      </c>
      <c r="BJ46" s="170">
        <f>IFERROR(INDEX($O$46:$T$3015,$BH46:$BH57,COLUMNS($BE$46:BF46)),0)</f>
        <v>1039060</v>
      </c>
      <c r="BK46" s="170">
        <f>IFERROR(INDEX($O$46:$T$3015,$BH46:$BH57,COLUMNS($BE$46:BG46)),0)</f>
        <v>33</v>
      </c>
      <c r="BL46" s="170">
        <f>IFERROR(INDEX($O$46:$T$3015,$BH46:$BH57,COLUMNS($BE$46:BH46)),0)</f>
        <v>0</v>
      </c>
      <c r="BM46" s="170" t="str">
        <f>IFERROR(INDEX($O$46:$T$3015,$BH46:$BH57,COLUMNS($BE$46:BI46)),0)</f>
        <v>8 3/8"</v>
      </c>
      <c r="BN46" s="170" t="str">
        <f>IFERROR(INDEX($O$46:$T$3015,$BH46:$BH57,COLUMNS($BE$46:BJ46)),0)</f>
        <v>GT65DH</v>
      </c>
      <c r="BO46" s="170">
        <f>IFERROR(INDEX($O$46:$T$3015,$BH46:$BH57,COLUMNS($BE$46:BG46)),0)</f>
        <v>33</v>
      </c>
      <c r="BP46" s="44"/>
      <c r="BQ46" s="140" t="s">
        <v>87</v>
      </c>
      <c r="BR46" s="40">
        <f>IFERROR(INDEX($W$46:$BE$3014,$BH46:$BH56,COLUMNS($BE$46:BE46)),"")</f>
        <v>1</v>
      </c>
      <c r="BS46" s="40">
        <f>IFERROR(INDEX($W$46:$BE$3014,$BH46:$BH56,COLUMNS($BE$46:BF46)),"")</f>
        <v>1</v>
      </c>
      <c r="BT46" s="40">
        <f>IFERROR(INDEX($W$46:$BE$3014,$BH46:$BH56,COLUMNS($BE$46:BG46)),"")</f>
        <v>1</v>
      </c>
      <c r="BU46" s="40">
        <f>IFERROR(INDEX($W$46:$BE$3014,$BH46:$BH56,COLUMNS($BE$46:BH46)),"")</f>
        <v>1</v>
      </c>
      <c r="BV46" s="40">
        <f>IFERROR(INDEX($W$46:$BE$3014,$BH46:$BH56,COLUMNS($BE$46:BI46)),"")</f>
        <v>1</v>
      </c>
      <c r="BW46" s="40">
        <f>IFERROR(INDEX($W$46:$BE$3014,$BH46:$BH56,COLUMNS($BE$46:BJ46)),"")</f>
        <v>1</v>
      </c>
      <c r="BX46" s="40">
        <f>IFERROR(INDEX($W$46:$BE$3014,$BH46:$BH56,COLUMNS($BE$46:BK46)),"")</f>
        <v>1</v>
      </c>
      <c r="BY46" s="40">
        <f>IFERROR(INDEX($W$46:$BE$3014,$BH46:$BH56,COLUMNS($BE$46:BL46)),"")</f>
        <v>3</v>
      </c>
      <c r="BZ46" s="40">
        <f>IFERROR(INDEX($W$46:$BE$3014,$BH46:$BH56,COLUMNS($BE$46:BM46)),"")</f>
        <v>0</v>
      </c>
      <c r="CA46" s="40">
        <f>IFERROR(INDEX($W$46:$BE$3014,$BH46:$BH56,COLUMNS($BE$46:BN46)),"")</f>
        <v>2</v>
      </c>
      <c r="CB46" s="40">
        <f>IFERROR(INDEX($W$46:$BE$3014,$BH46:$BH56,COLUMNS($BE$46:BO46)),"")</f>
        <v>2</v>
      </c>
      <c r="CC46" s="40">
        <f>IFERROR(INDEX($W$46:$BE$3014,$BH46:$BH56,COLUMNS($BE$46:BP46)),"")</f>
        <v>2</v>
      </c>
      <c r="CD46" s="40">
        <f>IFERROR(INDEX($W$46:$BE$3014,$BH46:$BH56,COLUMNS($BE$46:BQ46)),"")</f>
        <v>2</v>
      </c>
      <c r="CE46" s="40">
        <f>IFERROR(INDEX($W$46:$BE$3014,$BH46:$BH56,COLUMNS($BE$46:BR46)),"")</f>
        <v>0</v>
      </c>
      <c r="CF46" s="40">
        <f>IFERROR(INDEX($W$46:$BE$3014,$BH46:$BH56,COLUMNS($BE$46:BS46)),"")</f>
        <v>0</v>
      </c>
      <c r="CG46" s="40">
        <f>IFERROR(INDEX($W$46:$BE$3014,$BH46:$BH56,COLUMNS($BE$46:BT46)),"")</f>
        <v>0</v>
      </c>
      <c r="CH46" s="40">
        <f>IFERROR(INDEX($W$46:$BE$3014,$BH46:$BH56,COLUMNS($BE$46:BU46)),"")</f>
        <v>0</v>
      </c>
      <c r="CI46" s="40">
        <f>IFERROR(INDEX($W$46:$BE$3014,$BH46:$BH56,COLUMNS($BE$46:BV46)),"")</f>
        <v>0</v>
      </c>
      <c r="CJ46" s="40">
        <f>IFERROR(INDEX($W$46:$BE$3014,$BH46:$BH56,COLUMNS($BE$46:BW46)),"")</f>
        <v>0</v>
      </c>
      <c r="CK46" s="40">
        <f>IFERROR(INDEX($W$46:$BE$3014,$BH46:$BH56,COLUMNS($BE$46:BX46)),"")</f>
        <v>0</v>
      </c>
      <c r="CL46" s="40">
        <f>IFERROR(INDEX($W$46:$BE$3014,$BH46:$BH56,COLUMNS($BE$46:BY46)),"")</f>
        <v>0</v>
      </c>
      <c r="CM46" s="40">
        <f>IFERROR(INDEX($W$46:$BE$3014,$BH46:$BH56,COLUMNS($BE$46:BZ46)),"")</f>
        <v>0</v>
      </c>
      <c r="CN46" s="40">
        <f>IFERROR(INDEX($W$46:$BE$3014,$BH46:$BH56,COLUMNS($BE$46:CA46)),"")</f>
        <v>0</v>
      </c>
      <c r="CO46" s="40">
        <f>IFERROR(INDEX($W$46:$BE$3014,$BH46:$BH56,COLUMNS($BE$46:CB46)),"")</f>
        <v>0</v>
      </c>
      <c r="CP46" s="40">
        <f>IFERROR(INDEX($W$46:$BE$3014,$BH46:$BH56,COLUMNS($BE$46:CC46)),"")</f>
        <v>0</v>
      </c>
      <c r="CQ46" s="40">
        <f>IFERROR(INDEX($W$46:$BE$3014,$BH46:$BH56,COLUMNS($BE$46:CD46)),"")</f>
        <v>0</v>
      </c>
      <c r="CR46" s="40">
        <f>IFERROR(INDEX($W$46:$BE$3014,$BH46:$BH56,COLUMNS($BE$46:CE46)),"")</f>
        <v>0</v>
      </c>
      <c r="CS46" s="40">
        <f>IFERROR(INDEX($W$46:$BE$3014,$BH46:$BH56,COLUMNS($BE$46:CF46)),"")</f>
        <v>0</v>
      </c>
      <c r="CT46" s="40">
        <f>IFERROR(INDEX($W$46:$BE$3014,$BH46:$BH56,COLUMNS($BE$46:CG46)),"")</f>
        <v>0</v>
      </c>
      <c r="CU46" s="40">
        <f>IFERROR(INDEX($W$46:$BE$3014,$BH46:$BH56,COLUMNS($BE$46:CH46)),"")</f>
        <v>0</v>
      </c>
      <c r="CV46" s="40">
        <f>IFERROR(INDEX($W$46:$BE$3014,$BH46:$BH56,COLUMNS($BE$46:CI46)),"")</f>
        <v>0</v>
      </c>
      <c r="CW46" s="40">
        <f>IFERROR(INDEX($W$46:$BE$3014,$BH46:$BH56,COLUMNS($BE$46:CJ46)),"")</f>
        <v>0</v>
      </c>
      <c r="CX46" s="40">
        <f>IFERROR(INDEX($W$46:$BE$3014,$BH46:$BH56,COLUMNS($BE$46:CK46)),"")</f>
        <v>0</v>
      </c>
      <c r="CY46" s="40">
        <f>IFERROR(INDEX($W$46:$BE$3014,$BH46:$BH56,COLUMNS($BE$46:CL46)),"")</f>
        <v>0</v>
      </c>
      <c r="CZ46" s="40">
        <f>IFERROR(INDEX($W$46:$BE$3014,$BH46:$BH56,COLUMNS($BE$46:CM46)),"")</f>
        <v>0</v>
      </c>
      <c r="DA46" s="40" t="str">
        <f>IFERROR(INDEX($W$46:$BE$3014,$BH46:$BH56,COLUMNS($BE$46:CN46)),"")</f>
        <v/>
      </c>
      <c r="DB46" s="37">
        <v>742617</v>
      </c>
      <c r="DD46" s="75">
        <v>23</v>
      </c>
      <c r="DE46" s="37">
        <v>729687</v>
      </c>
      <c r="DF46" t="s">
        <v>195</v>
      </c>
      <c r="DG46" s="37" t="str">
        <f t="shared" si="60"/>
        <v>1613 CT82  0.010"</v>
      </c>
      <c r="DH46" s="37">
        <v>16</v>
      </c>
      <c r="DI46" s="37">
        <v>1613</v>
      </c>
      <c r="DJ46" s="37" t="s">
        <v>104</v>
      </c>
      <c r="DK46" s="37"/>
      <c r="DL46" s="37" t="s">
        <v>239</v>
      </c>
      <c r="DM46" s="37">
        <v>58</v>
      </c>
      <c r="DN46" s="37">
        <v>22</v>
      </c>
      <c r="DO46" s="37">
        <v>497</v>
      </c>
      <c r="DP46" s="37"/>
      <c r="DQ46" s="37"/>
      <c r="DR46" s="37" t="str">
        <f t="shared" si="61"/>
        <v xml:space="preserve">1613 CT82 </v>
      </c>
      <c r="DS46" s="37">
        <f t="shared" si="43"/>
        <v>202.11100000000002</v>
      </c>
      <c r="DT46" s="10">
        <v>155.47</v>
      </c>
      <c r="DU46" s="10">
        <v>250</v>
      </c>
      <c r="DV46" s="10" t="s">
        <v>49</v>
      </c>
      <c r="DW46" t="s">
        <v>1590</v>
      </c>
      <c r="DX46">
        <v>30</v>
      </c>
      <c r="DY46" t="s">
        <v>1673</v>
      </c>
      <c r="DZ46" t="s">
        <v>1668</v>
      </c>
      <c r="EA46">
        <v>1</v>
      </c>
      <c r="EB46" t="s">
        <v>1513</v>
      </c>
      <c r="EC46" s="10">
        <v>662</v>
      </c>
      <c r="ED46" s="10" t="s">
        <v>1736</v>
      </c>
      <c r="EE46" s="813">
        <f t="shared" si="19"/>
        <v>0</v>
      </c>
      <c r="EF46">
        <f>ROWS($DE$2:DE46)</f>
        <v>45</v>
      </c>
      <c r="EG46" t="str">
        <f t="shared" si="26"/>
        <v/>
      </c>
      <c r="EJ46" t="str">
        <f t="shared" si="27"/>
        <v/>
      </c>
      <c r="EM46" t="str">
        <f t="shared" si="28"/>
        <v/>
      </c>
      <c r="EP46" t="str">
        <f t="shared" si="29"/>
        <v/>
      </c>
      <c r="ES46" t="str">
        <f t="shared" si="30"/>
        <v/>
      </c>
      <c r="EV46" t="str">
        <f t="shared" si="31"/>
        <v/>
      </c>
      <c r="EY46" t="str">
        <f t="shared" si="32"/>
        <v/>
      </c>
      <c r="FB46" t="str">
        <f t="shared" si="33"/>
        <v/>
      </c>
      <c r="FE46" t="str">
        <f t="shared" si="34"/>
        <v/>
      </c>
      <c r="FH46" t="str">
        <f t="shared" si="35"/>
        <v/>
      </c>
      <c r="FK46" t="str">
        <f t="shared" si="36"/>
        <v/>
      </c>
      <c r="FN46" t="str">
        <f t="shared" si="37"/>
        <v/>
      </c>
      <c r="FQ46" t="str">
        <f t="shared" si="38"/>
        <v/>
      </c>
      <c r="FT46" t="str">
        <f t="shared" si="39"/>
        <v/>
      </c>
      <c r="FW46" t="str">
        <f t="shared" si="40"/>
        <v/>
      </c>
      <c r="FZ46" t="str">
        <f t="shared" si="41"/>
        <v/>
      </c>
      <c r="GC46" t="str">
        <f t="shared" si="42"/>
        <v/>
      </c>
      <c r="GE46" s="155"/>
      <c r="GF46" s="26" t="str">
        <f t="shared" si="45"/>
        <v>06.3.1 - 20</v>
      </c>
      <c r="GG46" s="28" t="str">
        <f t="shared" si="46"/>
        <v>6.3.1 20</v>
      </c>
      <c r="GH46" s="882" t="s">
        <v>1589</v>
      </c>
      <c r="GI46" s="75">
        <v>20</v>
      </c>
      <c r="GJ46" s="874" t="s">
        <v>1679</v>
      </c>
      <c r="GK46" s="875" t="s">
        <v>1670</v>
      </c>
      <c r="GL46" s="876">
        <v>1</v>
      </c>
      <c r="GM46" s="37" t="s">
        <v>1513</v>
      </c>
      <c r="GN46" s="877">
        <v>413</v>
      </c>
      <c r="GO46" s="26">
        <f t="shared" si="58"/>
        <v>0</v>
      </c>
      <c r="GP46" t="s">
        <v>1670</v>
      </c>
      <c r="GQ46" s="26" t="s">
        <v>1767</v>
      </c>
      <c r="GS46">
        <f>ROWS($GJ$20:GJ46)</f>
        <v>27</v>
      </c>
      <c r="GT46" s="63" t="str">
        <f t="shared" si="57"/>
        <v/>
      </c>
      <c r="GU46"/>
      <c r="HC46" s="805"/>
      <c r="HD46" s="805"/>
    </row>
    <row r="47" spans="1:212" ht="15.75" customHeight="1" x14ac:dyDescent="0.35">
      <c r="B47" s="25"/>
      <c r="C47" s="26"/>
      <c r="F47" s="25"/>
      <c r="G47" t="s">
        <v>1529</v>
      </c>
      <c r="L47" s="166">
        <v>376796</v>
      </c>
      <c r="O47" s="167">
        <v>2</v>
      </c>
      <c r="P47" s="167">
        <v>871781</v>
      </c>
      <c r="Q47" s="167">
        <v>3</v>
      </c>
      <c r="R47" s="167" t="s">
        <v>746</v>
      </c>
      <c r="S47" s="168">
        <v>8.5</v>
      </c>
      <c r="T47" s="168" t="s">
        <v>744</v>
      </c>
      <c r="U47" s="168">
        <v>1079481</v>
      </c>
      <c r="V47" s="40" t="s">
        <v>88</v>
      </c>
      <c r="W47" s="40">
        <v>4</v>
      </c>
      <c r="X47" s="40">
        <v>4</v>
      </c>
      <c r="Y47" s="40">
        <v>4</v>
      </c>
      <c r="Z47" s="40">
        <v>4</v>
      </c>
      <c r="AA47" s="171">
        <v>1</v>
      </c>
      <c r="AB47" s="171"/>
      <c r="AC47" s="172"/>
      <c r="AD47" s="172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F47">
        <f>ROWS($U$46:U47)</f>
        <v>2</v>
      </c>
      <c r="BG47" t="str">
        <f t="shared" ref="BG47:BG110" si="66">IF(VALUE(SUBSTITUTE($B$5,"M",""))=U47,BF47,"")</f>
        <v/>
      </c>
      <c r="BH47">
        <f>IFERROR(SMALL($BG$46:$BG$3014,ROWS($BG$46:BG47)),"")</f>
        <v>442</v>
      </c>
      <c r="BI47" s="170">
        <f>IFERROR(INDEX($O$46:$T$3015,$BH47:$BH58,COLUMNS($BE$46:BE47)),0)</f>
        <v>2</v>
      </c>
      <c r="BJ47" s="170">
        <f>IFERROR(INDEX($O$46:$T$3015,$BH47:$BH58,COLUMNS($BE$46:BF47)),0)</f>
        <v>1130197</v>
      </c>
      <c r="BK47" s="170">
        <f>IFERROR(INDEX($O$46:$T$3015,$BH47:$BH58,COLUMNS($BE$46:BG47)),0)</f>
        <v>23</v>
      </c>
      <c r="BL47" s="170">
        <f>IFERROR(INDEX($O$46:$T$3015,$BH47:$BH58,COLUMNS($BE$46:BH47)),0)</f>
        <v>0</v>
      </c>
      <c r="BM47" s="170" t="str">
        <f>IFERROR(INDEX($O$46:$T$3015,$BH47:$BH58,COLUMNS($BE$46:BI47)),0)</f>
        <v>8 3/8"</v>
      </c>
      <c r="BN47" s="170" t="str">
        <f>IFERROR(INDEX($O$46:$T$3015,$BH47:$BH58,COLUMNS($BE$46:BJ47)),0)</f>
        <v>GT65DH</v>
      </c>
      <c r="BO47" s="170">
        <f>IFERROR(INDEX($O$46:$T$3015,$BH47:$BH58,COLUMNS($BE$46:BG47)),0)</f>
        <v>23</v>
      </c>
      <c r="BP47" s="44"/>
      <c r="BQ47" s="140" t="s">
        <v>88</v>
      </c>
      <c r="BR47" s="40">
        <f>IFERROR(INDEX($W$46:$BE$3014,$BH47:$BH57,COLUMNS($BE$46:BE47)),"")</f>
        <v>1</v>
      </c>
      <c r="BS47" s="40">
        <f>IFERROR(INDEX($W$46:$BE$3014,$BH47:$BH57,COLUMNS($BE$46:BF47)),"")</f>
        <v>1</v>
      </c>
      <c r="BT47" s="40">
        <f>IFERROR(INDEX($W$46:$BE$3014,$BH47:$BH57,COLUMNS($BE$46:BG47)),"")</f>
        <v>1</v>
      </c>
      <c r="BU47" s="40">
        <f>IFERROR(INDEX($W$46:$BE$3014,$BH47:$BH57,COLUMNS($BE$46:BH47)),"")</f>
        <v>1</v>
      </c>
      <c r="BV47" s="40">
        <f>IFERROR(INDEX($W$46:$BE$3014,$BH47:$BH57,COLUMNS($BE$46:BI47)),"")</f>
        <v>3</v>
      </c>
      <c r="BW47" s="40">
        <f>IFERROR(INDEX($W$46:$BE$3014,$BH47:$BH57,COLUMNS($BE$46:BJ47)),"")</f>
        <v>0</v>
      </c>
      <c r="BX47" s="40">
        <f>IFERROR(INDEX($W$46:$BE$3014,$BH47:$BH57,COLUMNS($BE$46:BK47)),"")</f>
        <v>0</v>
      </c>
      <c r="BY47" s="40">
        <f>IFERROR(INDEX($W$46:$BE$3014,$BH47:$BH57,COLUMNS($BE$46:BL47)),"")</f>
        <v>0</v>
      </c>
      <c r="BZ47" s="40">
        <f>IFERROR(INDEX($W$46:$BE$3014,$BH47:$BH57,COLUMNS($BE$46:BM47)),"")</f>
        <v>0</v>
      </c>
      <c r="CA47" s="40">
        <f>IFERROR(INDEX($W$46:$BE$3014,$BH47:$BH57,COLUMNS($BE$46:BN47)),"")</f>
        <v>2</v>
      </c>
      <c r="CB47" s="40">
        <f>IFERROR(INDEX($W$46:$BE$3014,$BH47:$BH57,COLUMNS($BE$46:BO47)),"")</f>
        <v>2</v>
      </c>
      <c r="CC47" s="40">
        <f>IFERROR(INDEX($W$46:$BE$3014,$BH47:$BH57,COLUMNS($BE$46:BP47)),"")</f>
        <v>2</v>
      </c>
      <c r="CD47" s="40">
        <f>IFERROR(INDEX($W$46:$BE$3014,$BH47:$BH57,COLUMNS($BE$46:BQ47)),"")</f>
        <v>2</v>
      </c>
      <c r="CE47" s="40">
        <f>IFERROR(INDEX($W$46:$BE$3014,$BH47:$BH57,COLUMNS($BE$46:BR47)),"")</f>
        <v>0</v>
      </c>
      <c r="CF47" s="40">
        <f>IFERROR(INDEX($W$46:$BE$3014,$BH47:$BH57,COLUMNS($BE$46:BS47)),"")</f>
        <v>0</v>
      </c>
      <c r="CG47" s="40">
        <f>IFERROR(INDEX($W$46:$BE$3014,$BH47:$BH57,COLUMNS($BE$46:BT47)),"")</f>
        <v>0</v>
      </c>
      <c r="CH47" s="40">
        <f>IFERROR(INDEX($W$46:$BE$3014,$BH47:$BH57,COLUMNS($BE$46:BU47)),"")</f>
        <v>0</v>
      </c>
      <c r="CI47" s="40">
        <f>IFERROR(INDEX($W$46:$BE$3014,$BH47:$BH57,COLUMNS($BE$46:BV47)),"")</f>
        <v>0</v>
      </c>
      <c r="CJ47" s="40">
        <f>IFERROR(INDEX($W$46:$BE$3014,$BH47:$BH57,COLUMNS($BE$46:BW47)),"")</f>
        <v>0</v>
      </c>
      <c r="CK47" s="40">
        <f>IFERROR(INDEX($W$46:$BE$3014,$BH47:$BH57,COLUMNS($BE$46:BX47)),"")</f>
        <v>0</v>
      </c>
      <c r="CL47" s="40">
        <f>IFERROR(INDEX($W$46:$BE$3014,$BH47:$BH57,COLUMNS($BE$46:BY47)),"")</f>
        <v>0</v>
      </c>
      <c r="CM47" s="40">
        <f>IFERROR(INDEX($W$46:$BE$3014,$BH47:$BH57,COLUMNS($BE$46:BZ47)),"")</f>
        <v>0</v>
      </c>
      <c r="CN47" s="40">
        <f>IFERROR(INDEX($W$46:$BE$3014,$BH47:$BH57,COLUMNS($BE$46:CA47)),"")</f>
        <v>0</v>
      </c>
      <c r="CO47" s="40">
        <f>IFERROR(INDEX($W$46:$BE$3014,$BH47:$BH57,COLUMNS($BE$46:CB47)),"")</f>
        <v>0</v>
      </c>
      <c r="CP47" s="40">
        <f>IFERROR(INDEX($W$46:$BE$3014,$BH47:$BH57,COLUMNS($BE$46:CC47)),"")</f>
        <v>0</v>
      </c>
      <c r="CQ47" s="40">
        <f>IFERROR(INDEX($W$46:$BE$3014,$BH47:$BH57,COLUMNS($BE$46:CD47)),"")</f>
        <v>0</v>
      </c>
      <c r="CR47" s="40">
        <f>IFERROR(INDEX($W$46:$BE$3014,$BH47:$BH57,COLUMNS($BE$46:CE47)),"")</f>
        <v>0</v>
      </c>
      <c r="CS47" s="40">
        <f>IFERROR(INDEX($W$46:$BE$3014,$BH47:$BH57,COLUMNS($BE$46:CF47)),"")</f>
        <v>0</v>
      </c>
      <c r="CT47" s="40">
        <f>IFERROR(INDEX($W$46:$BE$3014,$BH47:$BH57,COLUMNS($BE$46:CG47)),"")</f>
        <v>0</v>
      </c>
      <c r="CU47" s="40">
        <f>IFERROR(INDEX($W$46:$BE$3014,$BH47:$BH57,COLUMNS($BE$46:CH47)),"")</f>
        <v>0</v>
      </c>
      <c r="CV47" s="40">
        <f>IFERROR(INDEX($W$46:$BE$3014,$BH47:$BH57,COLUMNS($BE$46:CI47)),"")</f>
        <v>0</v>
      </c>
      <c r="CW47" s="40">
        <f>IFERROR(INDEX($W$46:$BE$3014,$BH47:$BH57,COLUMNS($BE$46:CJ47)),"")</f>
        <v>0</v>
      </c>
      <c r="CX47" s="40">
        <f>IFERROR(INDEX($W$46:$BE$3014,$BH47:$BH57,COLUMNS($BE$46:CK47)),"")</f>
        <v>0</v>
      </c>
      <c r="CY47" s="40">
        <f>IFERROR(INDEX($W$46:$BE$3014,$BH47:$BH57,COLUMNS($BE$46:CL47)),"")</f>
        <v>0</v>
      </c>
      <c r="CZ47" s="40">
        <f>IFERROR(INDEX($W$46:$BE$3014,$BH47:$BH57,COLUMNS($BE$46:CM47)),"")</f>
        <v>0</v>
      </c>
      <c r="DA47" s="40" t="str">
        <f>IFERROR(INDEX($W$46:$BE$3014,$BH47:$BH57,COLUMNS($BE$46:CN47)),"")</f>
        <v/>
      </c>
      <c r="DB47" s="37">
        <v>744015</v>
      </c>
      <c r="DD47" s="75">
        <v>20</v>
      </c>
      <c r="DE47" s="37">
        <v>729688</v>
      </c>
      <c r="DF47" t="s">
        <v>196</v>
      </c>
      <c r="DG47" s="37" t="str">
        <f t="shared" si="60"/>
        <v>1308 CT82 K 0.018"</v>
      </c>
      <c r="DH47" s="37">
        <v>13</v>
      </c>
      <c r="DI47" s="37">
        <v>1308</v>
      </c>
      <c r="DJ47" s="37" t="s">
        <v>104</v>
      </c>
      <c r="DK47" s="37" t="s">
        <v>259</v>
      </c>
      <c r="DL47" s="37" t="s">
        <v>240</v>
      </c>
      <c r="DM47" s="37">
        <v>72</v>
      </c>
      <c r="DN47" s="37">
        <v>0</v>
      </c>
      <c r="DO47" s="37">
        <v>360</v>
      </c>
      <c r="DP47" s="37"/>
      <c r="DQ47" s="37"/>
      <c r="DR47" s="37" t="str">
        <f t="shared" si="61"/>
        <v>1308 CT82 K</v>
      </c>
      <c r="DS47" s="37">
        <f t="shared" si="43"/>
        <v>0</v>
      </c>
      <c r="DV47" s="10" t="s">
        <v>49</v>
      </c>
      <c r="DW47" t="s">
        <v>1589</v>
      </c>
      <c r="DX47">
        <v>30</v>
      </c>
      <c r="DY47" t="s">
        <v>1677</v>
      </c>
      <c r="DZ47" t="s">
        <v>1670</v>
      </c>
      <c r="EA47">
        <v>1</v>
      </c>
      <c r="EB47" t="s">
        <v>1513</v>
      </c>
      <c r="EC47" s="10">
        <v>480</v>
      </c>
      <c r="ED47" s="10" t="s">
        <v>1740</v>
      </c>
      <c r="EE47" s="813">
        <f t="shared" si="19"/>
        <v>0</v>
      </c>
      <c r="EF47">
        <f>ROWS($DE$2:DE47)</f>
        <v>46</v>
      </c>
      <c r="EG47" t="str">
        <f t="shared" si="26"/>
        <v/>
      </c>
      <c r="EJ47" t="str">
        <f t="shared" si="27"/>
        <v/>
      </c>
      <c r="EM47" t="str">
        <f t="shared" si="28"/>
        <v/>
      </c>
      <c r="EP47" t="str">
        <f t="shared" si="29"/>
        <v/>
      </c>
      <c r="ES47" t="str">
        <f t="shared" si="30"/>
        <v/>
      </c>
      <c r="EV47" t="str">
        <f t="shared" si="31"/>
        <v/>
      </c>
      <c r="EY47" t="str">
        <f t="shared" si="32"/>
        <v/>
      </c>
      <c r="FB47" t="str">
        <f t="shared" si="33"/>
        <v/>
      </c>
      <c r="FE47" t="str">
        <f t="shared" si="34"/>
        <v/>
      </c>
      <c r="FH47" t="str">
        <f t="shared" si="35"/>
        <v/>
      </c>
      <c r="FK47" t="str">
        <f t="shared" si="36"/>
        <v/>
      </c>
      <c r="FN47" t="str">
        <f t="shared" si="37"/>
        <v/>
      </c>
      <c r="FQ47" t="str">
        <f t="shared" si="38"/>
        <v/>
      </c>
      <c r="FT47" t="str">
        <f t="shared" si="39"/>
        <v/>
      </c>
      <c r="FW47" t="str">
        <f t="shared" si="40"/>
        <v/>
      </c>
      <c r="FZ47" t="str">
        <f t="shared" si="41"/>
        <v/>
      </c>
      <c r="GC47" t="str">
        <f t="shared" si="42"/>
        <v/>
      </c>
      <c r="GE47" s="155"/>
      <c r="GF47" s="26" t="str">
        <f t="shared" si="45"/>
        <v>06.3.1 - 30</v>
      </c>
      <c r="GG47" s="28" t="str">
        <f t="shared" si="46"/>
        <v>6.3.1 30</v>
      </c>
      <c r="GH47" s="882" t="s">
        <v>1589</v>
      </c>
      <c r="GI47" s="75">
        <v>30</v>
      </c>
      <c r="GJ47" s="874" t="s">
        <v>1677</v>
      </c>
      <c r="GK47" s="875" t="s">
        <v>1670</v>
      </c>
      <c r="GL47" s="876">
        <v>1</v>
      </c>
      <c r="GM47" s="37" t="s">
        <v>1513</v>
      </c>
      <c r="GN47" s="877">
        <v>480</v>
      </c>
      <c r="GO47" s="26">
        <f t="shared" si="58"/>
        <v>0</v>
      </c>
      <c r="GP47" t="s">
        <v>1670</v>
      </c>
      <c r="GQ47" s="26" t="s">
        <v>1768</v>
      </c>
      <c r="GS47">
        <f>ROWS($GJ$20:GJ47)</f>
        <v>28</v>
      </c>
      <c r="GT47" s="63" t="str">
        <f t="shared" si="57"/>
        <v/>
      </c>
      <c r="GU47"/>
      <c r="HC47" s="805"/>
      <c r="HD47" s="805"/>
    </row>
    <row r="48" spans="1:212" ht="15.75" customHeight="1" x14ac:dyDescent="0.35">
      <c r="B48" s="25"/>
      <c r="C48" s="27">
        <v>0</v>
      </c>
      <c r="F48" s="25"/>
      <c r="G48" t="s">
        <v>1530</v>
      </c>
      <c r="L48" s="166">
        <v>412958</v>
      </c>
      <c r="O48" s="167">
        <v>3</v>
      </c>
      <c r="P48" s="167">
        <v>853550</v>
      </c>
      <c r="Q48" s="167">
        <v>3</v>
      </c>
      <c r="R48" s="167" t="s">
        <v>749</v>
      </c>
      <c r="S48" s="168">
        <v>8.5</v>
      </c>
      <c r="T48" s="168" t="s">
        <v>744</v>
      </c>
      <c r="U48" s="168">
        <v>1079481</v>
      </c>
      <c r="V48" s="40" t="s">
        <v>89</v>
      </c>
      <c r="W48" s="40">
        <v>2</v>
      </c>
      <c r="X48" s="40">
        <v>3</v>
      </c>
      <c r="Y48" s="40">
        <v>4</v>
      </c>
      <c r="Z48" s="40">
        <v>4</v>
      </c>
      <c r="AA48" s="40">
        <v>4</v>
      </c>
      <c r="AB48" s="173">
        <v>4</v>
      </c>
      <c r="AC48" s="174">
        <v>4</v>
      </c>
      <c r="AD48" s="174">
        <v>1</v>
      </c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F48">
        <f>ROWS($U$46:U48)</f>
        <v>3</v>
      </c>
      <c r="BG48" t="str">
        <f t="shared" si="66"/>
        <v/>
      </c>
      <c r="BH48">
        <f>IFERROR(SMALL($BG$46:$BG$3014,ROWS($BG$46:BG48)),"")</f>
        <v>443</v>
      </c>
      <c r="BI48" s="170">
        <f>IFERROR(INDEX($O$46:$T$3015,$BH48:$BH59,COLUMNS($BE$46:BE48)),0)</f>
        <v>3</v>
      </c>
      <c r="BJ48" s="170">
        <f>IFERROR(INDEX($O$46:$T$3015,$BH48:$BH59,COLUMNS($BE$46:BF48)),0)</f>
        <v>418525</v>
      </c>
      <c r="BK48" s="170">
        <f>IFERROR(INDEX($O$46:$T$3015,$BH48:$BH59,COLUMNS($BE$46:BG48)),0)</f>
        <v>6</v>
      </c>
      <c r="BL48" s="170">
        <f>IFERROR(INDEX($O$46:$T$3015,$BH48:$BH59,COLUMNS($BE$46:BH48)),0)</f>
        <v>0</v>
      </c>
      <c r="BM48" s="170" t="str">
        <f>IFERROR(INDEX($O$46:$T$3015,$BH48:$BH59,COLUMNS($BE$46:BI48)),0)</f>
        <v>8 3/8"</v>
      </c>
      <c r="BN48" s="170" t="str">
        <f>IFERROR(INDEX($O$46:$T$3015,$BH48:$BH59,COLUMNS($BE$46:BJ48)),0)</f>
        <v>GT65DH</v>
      </c>
      <c r="BO48" s="170">
        <f>IFERROR(INDEX($O$46:$T$3015,$BH48:$BH59,COLUMNS($BE$46:BG48)),0)</f>
        <v>6</v>
      </c>
      <c r="BP48" s="44"/>
      <c r="BQ48" s="140" t="s">
        <v>89</v>
      </c>
      <c r="BR48" s="40">
        <f>IFERROR(INDEX($W$46:$BE$3014,$BH48:$BH58,COLUMNS($BE$46:BE48)),"")</f>
        <v>1</v>
      </c>
      <c r="BS48" s="40">
        <f>IFERROR(INDEX($W$46:$BE$3014,$BH48:$BH58,COLUMNS($BE$46:BF48)),"")</f>
        <v>1</v>
      </c>
      <c r="BT48" s="40">
        <f>IFERROR(INDEX($W$46:$BE$3014,$BH48:$BH58,COLUMNS($BE$46:BG48)),"")</f>
        <v>1</v>
      </c>
      <c r="BU48" s="40">
        <f>IFERROR(INDEX($W$46:$BE$3014,$BH48:$BH58,COLUMNS($BE$46:BH48)),"")</f>
        <v>1</v>
      </c>
      <c r="BV48" s="40">
        <f>IFERROR(INDEX($W$46:$BE$3014,$BH48:$BH58,COLUMNS($BE$46:BI48)),"")</f>
        <v>1</v>
      </c>
      <c r="BW48" s="40">
        <f>IFERROR(INDEX($W$46:$BE$3014,$BH48:$BH58,COLUMNS($BE$46:BJ48)),"")</f>
        <v>1</v>
      </c>
      <c r="BX48" s="40">
        <f>IFERROR(INDEX($W$46:$BE$3014,$BH48:$BH58,COLUMNS($BE$46:BK48)),"")</f>
        <v>3</v>
      </c>
      <c r="BY48" s="40">
        <f>IFERROR(INDEX($W$46:$BE$3014,$BH48:$BH58,COLUMNS($BE$46:BL48)),"")</f>
        <v>0</v>
      </c>
      <c r="BZ48" s="40">
        <f>IFERROR(INDEX($W$46:$BE$3014,$BH48:$BH58,COLUMNS($BE$46:BM48)),"")</f>
        <v>0</v>
      </c>
      <c r="CA48" s="40">
        <f>IFERROR(INDEX($W$46:$BE$3014,$BH48:$BH58,COLUMNS($BE$46:BN48)),"")</f>
        <v>2</v>
      </c>
      <c r="CB48" s="40">
        <f>IFERROR(INDEX($W$46:$BE$3014,$BH48:$BH58,COLUMNS($BE$46:BO48)),"")</f>
        <v>2</v>
      </c>
      <c r="CC48" s="40">
        <f>IFERROR(INDEX($W$46:$BE$3014,$BH48:$BH58,COLUMNS($BE$46:BP48)),"")</f>
        <v>2</v>
      </c>
      <c r="CD48" s="40">
        <f>IFERROR(INDEX($W$46:$BE$3014,$BH48:$BH58,COLUMNS($BE$46:BQ48)),"")</f>
        <v>0</v>
      </c>
      <c r="CE48" s="40">
        <f>IFERROR(INDEX($W$46:$BE$3014,$BH48:$BH58,COLUMNS($BE$46:BR48)),"")</f>
        <v>0</v>
      </c>
      <c r="CF48" s="40">
        <f>IFERROR(INDEX($W$46:$BE$3014,$BH48:$BH58,COLUMNS($BE$46:BS48)),"")</f>
        <v>0</v>
      </c>
      <c r="CG48" s="40">
        <f>IFERROR(INDEX($W$46:$BE$3014,$BH48:$BH58,COLUMNS($BE$46:BT48)),"")</f>
        <v>0</v>
      </c>
      <c r="CH48" s="40">
        <f>IFERROR(INDEX($W$46:$BE$3014,$BH48:$BH58,COLUMNS($BE$46:BU48)),"")</f>
        <v>0</v>
      </c>
      <c r="CI48" s="40">
        <f>IFERROR(INDEX($W$46:$BE$3014,$BH48:$BH58,COLUMNS($BE$46:BV48)),"")</f>
        <v>0</v>
      </c>
      <c r="CJ48" s="40">
        <f>IFERROR(INDEX($W$46:$BE$3014,$BH48:$BH58,COLUMNS($BE$46:BW48)),"")</f>
        <v>0</v>
      </c>
      <c r="CK48" s="40">
        <f>IFERROR(INDEX($W$46:$BE$3014,$BH48:$BH58,COLUMNS($BE$46:BX48)),"")</f>
        <v>0</v>
      </c>
      <c r="CL48" s="40">
        <f>IFERROR(INDEX($W$46:$BE$3014,$BH48:$BH58,COLUMNS($BE$46:BY48)),"")</f>
        <v>0</v>
      </c>
      <c r="CM48" s="40">
        <f>IFERROR(INDEX($W$46:$BE$3014,$BH48:$BH58,COLUMNS($BE$46:BZ48)),"")</f>
        <v>0</v>
      </c>
      <c r="CN48" s="40">
        <f>IFERROR(INDEX($W$46:$BE$3014,$BH48:$BH58,COLUMNS($BE$46:CA48)),"")</f>
        <v>0</v>
      </c>
      <c r="CO48" s="40">
        <f>IFERROR(INDEX($W$46:$BE$3014,$BH48:$BH58,COLUMNS($BE$46:CB48)),"")</f>
        <v>0</v>
      </c>
      <c r="CP48" s="40">
        <f>IFERROR(INDEX($W$46:$BE$3014,$BH48:$BH58,COLUMNS($BE$46:CC48)),"")</f>
        <v>0</v>
      </c>
      <c r="CQ48" s="40">
        <f>IFERROR(INDEX($W$46:$BE$3014,$BH48:$BH58,COLUMNS($BE$46:CD48)),"")</f>
        <v>0</v>
      </c>
      <c r="CR48" s="40">
        <f>IFERROR(INDEX($W$46:$BE$3014,$BH48:$BH58,COLUMNS($BE$46:CE48)),"")</f>
        <v>0</v>
      </c>
      <c r="CS48" s="40">
        <f>IFERROR(INDEX($W$46:$BE$3014,$BH48:$BH58,COLUMNS($BE$46:CF48)),"")</f>
        <v>0</v>
      </c>
      <c r="CT48" s="40">
        <f>IFERROR(INDEX($W$46:$BE$3014,$BH48:$BH58,COLUMNS($BE$46:CG48)),"")</f>
        <v>0</v>
      </c>
      <c r="CU48" s="40">
        <f>IFERROR(INDEX($W$46:$BE$3014,$BH48:$BH58,COLUMNS($BE$46:CH48)),"")</f>
        <v>0</v>
      </c>
      <c r="CV48" s="40">
        <f>IFERROR(INDEX($W$46:$BE$3014,$BH48:$BH58,COLUMNS($BE$46:CI48)),"")</f>
        <v>0</v>
      </c>
      <c r="CW48" s="40">
        <f>IFERROR(INDEX($W$46:$BE$3014,$BH48:$BH58,COLUMNS($BE$46:CJ48)),"")</f>
        <v>0</v>
      </c>
      <c r="CX48" s="40">
        <f>IFERROR(INDEX($W$46:$BE$3014,$BH48:$BH58,COLUMNS($BE$46:CK48)),"")</f>
        <v>0</v>
      </c>
      <c r="CY48" s="40">
        <f>IFERROR(INDEX($W$46:$BE$3014,$BH48:$BH58,COLUMNS($BE$46:CL48)),"")</f>
        <v>0</v>
      </c>
      <c r="CZ48" s="40">
        <f>IFERROR(INDEX($W$46:$BE$3014,$BH48:$BH58,COLUMNS($BE$46:CM48)),"")</f>
        <v>0</v>
      </c>
      <c r="DA48" s="40" t="str">
        <f>IFERROR(INDEX($W$46:$BE$3014,$BH48:$BH58,COLUMNS($BE$46:CN48)),"")</f>
        <v/>
      </c>
      <c r="DB48" s="37">
        <v>745171</v>
      </c>
      <c r="DD48" s="75">
        <v>41</v>
      </c>
      <c r="DE48" s="37">
        <v>729689</v>
      </c>
      <c r="DF48" t="s">
        <v>197</v>
      </c>
      <c r="DG48" s="37" t="str">
        <f t="shared" si="60"/>
        <v>1313 CT82  0.018"</v>
      </c>
      <c r="DH48" s="37">
        <v>13</v>
      </c>
      <c r="DI48" s="37">
        <v>1313</v>
      </c>
      <c r="DJ48" s="37" t="s">
        <v>104</v>
      </c>
      <c r="DK48" s="37"/>
      <c r="DL48" s="37" t="s">
        <v>240</v>
      </c>
      <c r="DM48" s="37">
        <v>64</v>
      </c>
      <c r="DN48" s="37">
        <v>0</v>
      </c>
      <c r="DO48" s="37">
        <v>360</v>
      </c>
      <c r="DP48" s="37"/>
      <c r="DQ48" s="37"/>
      <c r="DR48" s="37" t="str">
        <f t="shared" si="61"/>
        <v xml:space="preserve">1313 CT82 </v>
      </c>
      <c r="DS48" s="37">
        <f t="shared" si="43"/>
        <v>0</v>
      </c>
      <c r="DU48" s="10">
        <v>250</v>
      </c>
      <c r="DV48" s="10" t="s">
        <v>49</v>
      </c>
      <c r="DW48" t="s">
        <v>1589</v>
      </c>
      <c r="DX48">
        <v>30</v>
      </c>
      <c r="DY48" t="s">
        <v>1677</v>
      </c>
      <c r="DZ48" t="s">
        <v>1670</v>
      </c>
      <c r="EA48">
        <v>1</v>
      </c>
      <c r="EB48" t="s">
        <v>1513</v>
      </c>
      <c r="EC48" s="10">
        <v>480</v>
      </c>
      <c r="ED48" s="10" t="s">
        <v>1740</v>
      </c>
      <c r="EE48" s="813">
        <f t="shared" si="19"/>
        <v>0</v>
      </c>
      <c r="EF48">
        <f>ROWS($DE$2:DE48)</f>
        <v>47</v>
      </c>
      <c r="EG48" t="str">
        <f t="shared" si="26"/>
        <v/>
      </c>
      <c r="EJ48" t="str">
        <f t="shared" si="27"/>
        <v/>
      </c>
      <c r="EM48" t="str">
        <f t="shared" si="28"/>
        <v/>
      </c>
      <c r="EP48" t="str">
        <f t="shared" si="29"/>
        <v/>
      </c>
      <c r="ES48" t="str">
        <f t="shared" si="30"/>
        <v/>
      </c>
      <c r="EV48" t="str">
        <f t="shared" si="31"/>
        <v/>
      </c>
      <c r="EY48" t="str">
        <f t="shared" si="32"/>
        <v/>
      </c>
      <c r="FB48" t="str">
        <f t="shared" si="33"/>
        <v/>
      </c>
      <c r="FE48" t="str">
        <f t="shared" si="34"/>
        <v/>
      </c>
      <c r="FH48" t="str">
        <f t="shared" si="35"/>
        <v/>
      </c>
      <c r="FK48" t="str">
        <f t="shared" si="36"/>
        <v/>
      </c>
      <c r="FN48" t="str">
        <f t="shared" si="37"/>
        <v/>
      </c>
      <c r="FQ48" t="str">
        <f t="shared" si="38"/>
        <v/>
      </c>
      <c r="FT48" t="str">
        <f t="shared" si="39"/>
        <v/>
      </c>
      <c r="FW48" t="str">
        <f t="shared" si="40"/>
        <v/>
      </c>
      <c r="FZ48" t="str">
        <f t="shared" si="41"/>
        <v/>
      </c>
      <c r="GC48" t="str">
        <f t="shared" si="42"/>
        <v/>
      </c>
      <c r="GE48" s="155"/>
      <c r="GF48" s="26" t="str">
        <f t="shared" si="45"/>
        <v>06.3.1 - 40</v>
      </c>
      <c r="GG48" s="28" t="str">
        <f t="shared" si="46"/>
        <v>6.3.1 40</v>
      </c>
      <c r="GH48" s="882" t="s">
        <v>1589</v>
      </c>
      <c r="GI48" s="75">
        <v>40</v>
      </c>
      <c r="GJ48" s="874" t="s">
        <v>1709</v>
      </c>
      <c r="GK48" s="875" t="s">
        <v>1670</v>
      </c>
      <c r="GL48" s="876">
        <v>1</v>
      </c>
      <c r="GM48" s="37" t="s">
        <v>1513</v>
      </c>
      <c r="GN48" s="877">
        <v>333</v>
      </c>
      <c r="GO48" s="26">
        <f t="shared" si="58"/>
        <v>0</v>
      </c>
      <c r="GP48" t="s">
        <v>1670</v>
      </c>
      <c r="GQ48" s="26" t="s">
        <v>1769</v>
      </c>
      <c r="GS48">
        <f>ROWS($GJ$20:GJ48)</f>
        <v>29</v>
      </c>
      <c r="GT48" s="63" t="str">
        <f t="shared" si="57"/>
        <v/>
      </c>
      <c r="GU48"/>
      <c r="HC48" s="805"/>
      <c r="HD48" s="805"/>
    </row>
    <row r="49" spans="1:212" ht="15.75" customHeight="1" x14ac:dyDescent="0.35">
      <c r="B49" s="25"/>
      <c r="C49" s="27">
        <v>7</v>
      </c>
      <c r="F49" s="25"/>
      <c r="G49" t="s">
        <v>1531</v>
      </c>
      <c r="L49" s="166">
        <v>508149</v>
      </c>
      <c r="O49" s="167">
        <v>4</v>
      </c>
      <c r="P49" s="167">
        <v>853551</v>
      </c>
      <c r="Q49" s="167">
        <v>28</v>
      </c>
      <c r="R49" s="168"/>
      <c r="S49" s="168">
        <v>8.5</v>
      </c>
      <c r="T49" s="168" t="s">
        <v>744</v>
      </c>
      <c r="U49" s="168">
        <v>1079481</v>
      </c>
      <c r="V49" s="40" t="s">
        <v>90</v>
      </c>
      <c r="W49" s="40">
        <v>4</v>
      </c>
      <c r="X49" s="40">
        <v>4</v>
      </c>
      <c r="Y49" s="40">
        <v>4</v>
      </c>
      <c r="Z49" s="40">
        <v>4</v>
      </c>
      <c r="AA49" s="40">
        <v>4</v>
      </c>
      <c r="AB49" s="171">
        <v>1</v>
      </c>
      <c r="AC49" s="171"/>
      <c r="AD49" s="172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F49">
        <f>ROWS($U$46:U49)</f>
        <v>4</v>
      </c>
      <c r="BG49" t="str">
        <f t="shared" si="66"/>
        <v/>
      </c>
      <c r="BH49">
        <f>IFERROR(SMALL($BG$46:$BG$3014,ROWS($BG$46:BG49)),"")</f>
        <v>444</v>
      </c>
      <c r="BI49" s="170">
        <f>IFERROR(INDEX($O$46:$T$3015,$BH49:$BH60,COLUMNS($BE$46:BE49)),0)</f>
        <v>0</v>
      </c>
      <c r="BJ49" s="170">
        <f>IFERROR(INDEX($O$46:$T$3015,$BH49:$BH60,COLUMNS($BE$46:BF49)),0)</f>
        <v>0</v>
      </c>
      <c r="BK49" s="170">
        <f>IFERROR(INDEX($O$46:$T$3015,$BH49:$BH60,COLUMNS($BE$46:BG49)),0)</f>
        <v>0</v>
      </c>
      <c r="BL49" s="170">
        <f>IFERROR(INDEX($O$46:$T$3015,$BH49:$BH60,COLUMNS($BE$46:BH49)),0)</f>
        <v>0</v>
      </c>
      <c r="BM49" s="170" t="str">
        <f>IFERROR(INDEX($O$46:$T$3015,$BH49:$BH60,COLUMNS($BE$46:BI49)),0)</f>
        <v>8 3/8"</v>
      </c>
      <c r="BN49" s="170" t="str">
        <f>IFERROR(INDEX($O$46:$T$3015,$BH49:$BH60,COLUMNS($BE$46:BJ49)),0)</f>
        <v>GT65DH</v>
      </c>
      <c r="BO49" s="170">
        <f>IFERROR(INDEX($O$46:$T$3015,$BH49:$BH60,COLUMNS($BE$46:BG49)),0)</f>
        <v>0</v>
      </c>
      <c r="BP49" s="44"/>
      <c r="BQ49" s="140" t="s">
        <v>90</v>
      </c>
      <c r="BR49" s="40">
        <f>IFERROR(INDEX($W$46:$BE$3014,$BH49:$BH59,COLUMNS($BE$46:BE49)),"")</f>
        <v>1</v>
      </c>
      <c r="BS49" s="40">
        <f>IFERROR(INDEX($W$46:$BE$3014,$BH49:$BH59,COLUMNS($BE$46:BF49)),"")</f>
        <v>1</v>
      </c>
      <c r="BT49" s="40">
        <f>IFERROR(INDEX($W$46:$BE$3014,$BH49:$BH59,COLUMNS($BE$46:BG49)),"")</f>
        <v>1</v>
      </c>
      <c r="BU49" s="40">
        <f>IFERROR(INDEX($W$46:$BE$3014,$BH49:$BH59,COLUMNS($BE$46:BH49)),"")</f>
        <v>1</v>
      </c>
      <c r="BV49" s="40">
        <f>IFERROR(INDEX($W$46:$BE$3014,$BH49:$BH59,COLUMNS($BE$46:BI49)),"")</f>
        <v>1</v>
      </c>
      <c r="BW49" s="40">
        <f>IFERROR(INDEX($W$46:$BE$3014,$BH49:$BH59,COLUMNS($BE$46:BJ49)),"")</f>
        <v>3</v>
      </c>
      <c r="BX49" s="40">
        <f>IFERROR(INDEX($W$46:$BE$3014,$BH49:$BH59,COLUMNS($BE$46:BK49)),"")</f>
        <v>0</v>
      </c>
      <c r="BY49" s="40">
        <f>IFERROR(INDEX($W$46:$BE$3014,$BH49:$BH59,COLUMNS($BE$46:BL49)),"")</f>
        <v>0</v>
      </c>
      <c r="BZ49" s="40">
        <f>IFERROR(INDEX($W$46:$BE$3014,$BH49:$BH59,COLUMNS($BE$46:BM49)),"")</f>
        <v>0</v>
      </c>
      <c r="CA49" s="40">
        <f>IFERROR(INDEX($W$46:$BE$3014,$BH49:$BH59,COLUMNS($BE$46:BN49)),"")</f>
        <v>2</v>
      </c>
      <c r="CB49" s="40">
        <f>IFERROR(INDEX($W$46:$BE$3014,$BH49:$BH59,COLUMNS($BE$46:BO49)),"")</f>
        <v>2</v>
      </c>
      <c r="CC49" s="40">
        <f>IFERROR(INDEX($W$46:$BE$3014,$BH49:$BH59,COLUMNS($BE$46:BP49)),"")</f>
        <v>2</v>
      </c>
      <c r="CD49" s="40">
        <f>IFERROR(INDEX($W$46:$BE$3014,$BH49:$BH59,COLUMNS($BE$46:BQ49)),"")</f>
        <v>2</v>
      </c>
      <c r="CE49" s="40">
        <f>IFERROR(INDEX($W$46:$BE$3014,$BH49:$BH59,COLUMNS($BE$46:BR49)),"")</f>
        <v>0</v>
      </c>
      <c r="CF49" s="40">
        <f>IFERROR(INDEX($W$46:$BE$3014,$BH49:$BH59,COLUMNS($BE$46:BS49)),"")</f>
        <v>0</v>
      </c>
      <c r="CG49" s="40">
        <f>IFERROR(INDEX($W$46:$BE$3014,$BH49:$BH59,COLUMNS($BE$46:BT49)),"")</f>
        <v>0</v>
      </c>
      <c r="CH49" s="40">
        <f>IFERROR(INDEX($W$46:$BE$3014,$BH49:$BH59,COLUMNS($BE$46:BU49)),"")</f>
        <v>0</v>
      </c>
      <c r="CI49" s="40">
        <f>IFERROR(INDEX($W$46:$BE$3014,$BH49:$BH59,COLUMNS($BE$46:BV49)),"")</f>
        <v>0</v>
      </c>
      <c r="CJ49" s="40">
        <f>IFERROR(INDEX($W$46:$BE$3014,$BH49:$BH59,COLUMNS($BE$46:BW49)),"")</f>
        <v>0</v>
      </c>
      <c r="CK49" s="40">
        <f>IFERROR(INDEX($W$46:$BE$3014,$BH49:$BH59,COLUMNS($BE$46:BX49)),"")</f>
        <v>0</v>
      </c>
      <c r="CL49" s="40">
        <f>IFERROR(INDEX($W$46:$BE$3014,$BH49:$BH59,COLUMNS($BE$46:BY49)),"")</f>
        <v>0</v>
      </c>
      <c r="CM49" s="40">
        <f>IFERROR(INDEX($W$46:$BE$3014,$BH49:$BH59,COLUMNS($BE$46:BZ49)),"")</f>
        <v>0</v>
      </c>
      <c r="CN49" s="40">
        <f>IFERROR(INDEX($W$46:$BE$3014,$BH49:$BH59,COLUMNS($BE$46:CA49)),"")</f>
        <v>0</v>
      </c>
      <c r="CO49" s="40">
        <f>IFERROR(INDEX($W$46:$BE$3014,$BH49:$BH59,COLUMNS($BE$46:CB49)),"")</f>
        <v>0</v>
      </c>
      <c r="CP49" s="40">
        <f>IFERROR(INDEX($W$46:$BE$3014,$BH49:$BH59,COLUMNS($BE$46:CC49)),"")</f>
        <v>0</v>
      </c>
      <c r="CQ49" s="40">
        <f>IFERROR(INDEX($W$46:$BE$3014,$BH49:$BH59,COLUMNS($BE$46:CD49)),"")</f>
        <v>0</v>
      </c>
      <c r="CR49" s="40">
        <f>IFERROR(INDEX($W$46:$BE$3014,$BH49:$BH59,COLUMNS($BE$46:CE49)),"")</f>
        <v>0</v>
      </c>
      <c r="CS49" s="40">
        <f>IFERROR(INDEX($W$46:$BE$3014,$BH49:$BH59,COLUMNS($BE$46:CF49)),"")</f>
        <v>0</v>
      </c>
      <c r="CT49" s="40">
        <f>IFERROR(INDEX($W$46:$BE$3014,$BH49:$BH59,COLUMNS($BE$46:CG49)),"")</f>
        <v>0</v>
      </c>
      <c r="CU49" s="40">
        <f>IFERROR(INDEX($W$46:$BE$3014,$BH49:$BH59,COLUMNS($BE$46:CH49)),"")</f>
        <v>0</v>
      </c>
      <c r="CV49" s="40">
        <f>IFERROR(INDEX($W$46:$BE$3014,$BH49:$BH59,COLUMNS($BE$46:CI49)),"")</f>
        <v>0</v>
      </c>
      <c r="CW49" s="40">
        <f>IFERROR(INDEX($W$46:$BE$3014,$BH49:$BH59,COLUMNS($BE$46:CJ49)),"")</f>
        <v>0</v>
      </c>
      <c r="CX49" s="40">
        <f>IFERROR(INDEX($W$46:$BE$3014,$BH49:$BH59,COLUMNS($BE$46:CK49)),"")</f>
        <v>0</v>
      </c>
      <c r="CY49" s="40">
        <f>IFERROR(INDEX($W$46:$BE$3014,$BH49:$BH59,COLUMNS($BE$46:CL49)),"")</f>
        <v>0</v>
      </c>
      <c r="CZ49" s="40">
        <f>IFERROR(INDEX($W$46:$BE$3014,$BH49:$BH59,COLUMNS($BE$46:CM49)),"")</f>
        <v>0</v>
      </c>
      <c r="DA49" s="40" t="str">
        <f>IFERROR(INDEX($W$46:$BE$3014,$BH49:$BH59,COLUMNS($BE$46:CN49)),"")</f>
        <v/>
      </c>
      <c r="DB49" s="37">
        <v>745338</v>
      </c>
      <c r="DD49" s="75">
        <v>45</v>
      </c>
      <c r="DE49" s="37">
        <v>729690</v>
      </c>
      <c r="DF49" t="s">
        <v>198</v>
      </c>
      <c r="DG49" s="37" t="str">
        <f t="shared" si="60"/>
        <v>1608 CT82  0.018"</v>
      </c>
      <c r="DH49" s="37">
        <v>16</v>
      </c>
      <c r="DI49" s="37">
        <v>1608</v>
      </c>
      <c r="DJ49" s="37" t="s">
        <v>104</v>
      </c>
      <c r="DK49" s="37"/>
      <c r="DL49" s="37" t="s">
        <v>240</v>
      </c>
      <c r="DM49" s="37">
        <v>46</v>
      </c>
      <c r="DN49" s="37">
        <v>0</v>
      </c>
      <c r="DO49" s="37">
        <v>497</v>
      </c>
      <c r="DP49" s="37"/>
      <c r="DQ49" s="37"/>
      <c r="DR49" s="37" t="str">
        <f t="shared" si="61"/>
        <v xml:space="preserve">1608 CT82 </v>
      </c>
      <c r="DS49" s="37">
        <f t="shared" si="43"/>
        <v>0</v>
      </c>
      <c r="DV49" s="10" t="s">
        <v>49</v>
      </c>
      <c r="DW49" t="s">
        <v>1590</v>
      </c>
      <c r="DX49">
        <v>30</v>
      </c>
      <c r="DY49" t="s">
        <v>1673</v>
      </c>
      <c r="DZ49" t="s">
        <v>1668</v>
      </c>
      <c r="EA49">
        <v>1</v>
      </c>
      <c r="EB49" t="s">
        <v>1513</v>
      </c>
      <c r="EC49" s="10">
        <v>662</v>
      </c>
      <c r="ED49" s="10" t="s">
        <v>1736</v>
      </c>
      <c r="EE49" s="813">
        <f t="shared" si="19"/>
        <v>0</v>
      </c>
      <c r="EF49">
        <f>ROWS($DE$2:DE49)</f>
        <v>48</v>
      </c>
      <c r="EG49" t="str">
        <f t="shared" si="26"/>
        <v/>
      </c>
      <c r="EJ49" t="str">
        <f t="shared" si="27"/>
        <v/>
      </c>
      <c r="EM49" t="str">
        <f t="shared" si="28"/>
        <v/>
      </c>
      <c r="EP49" t="str">
        <f t="shared" si="29"/>
        <v/>
      </c>
      <c r="ES49" t="str">
        <f t="shared" si="30"/>
        <v/>
      </c>
      <c r="EV49" t="str">
        <f t="shared" si="31"/>
        <v/>
      </c>
      <c r="EY49" t="str">
        <f t="shared" si="32"/>
        <v/>
      </c>
      <c r="FB49" t="str">
        <f t="shared" si="33"/>
        <v/>
      </c>
      <c r="FE49" t="str">
        <f t="shared" si="34"/>
        <v/>
      </c>
      <c r="FH49" t="str">
        <f t="shared" si="35"/>
        <v/>
      </c>
      <c r="FK49" t="str">
        <f t="shared" si="36"/>
        <v/>
      </c>
      <c r="FN49" t="str">
        <f t="shared" si="37"/>
        <v/>
      </c>
      <c r="FQ49" t="str">
        <f t="shared" si="38"/>
        <v/>
      </c>
      <c r="FT49" t="str">
        <f t="shared" si="39"/>
        <v/>
      </c>
      <c r="FW49" t="str">
        <f t="shared" si="40"/>
        <v/>
      </c>
      <c r="FZ49" t="str">
        <f t="shared" si="41"/>
        <v/>
      </c>
      <c r="GC49" t="str">
        <f t="shared" si="42"/>
        <v/>
      </c>
      <c r="GE49" s="155"/>
      <c r="GF49" s="26" t="str">
        <f t="shared" si="45"/>
        <v>06.3.1 - 50</v>
      </c>
      <c r="GG49" s="28" t="str">
        <f t="shared" si="46"/>
        <v>6.3.1 50</v>
      </c>
      <c r="GH49" s="882" t="s">
        <v>1589</v>
      </c>
      <c r="GI49" s="75">
        <v>50</v>
      </c>
      <c r="GJ49" s="874" t="s">
        <v>1710</v>
      </c>
      <c r="GK49" s="875" t="s">
        <v>1670</v>
      </c>
      <c r="GL49" s="876">
        <v>1</v>
      </c>
      <c r="GM49" s="37" t="s">
        <v>1513</v>
      </c>
      <c r="GN49" s="877">
        <v>202</v>
      </c>
      <c r="GO49" s="26">
        <f t="shared" si="58"/>
        <v>0</v>
      </c>
      <c r="GP49" t="s">
        <v>1670</v>
      </c>
      <c r="GQ49" s="26" t="s">
        <v>1770</v>
      </c>
      <c r="GS49">
        <f>ROWS($GJ$20:GJ49)</f>
        <v>30</v>
      </c>
      <c r="GT49" s="63" t="str">
        <f t="shared" si="57"/>
        <v/>
      </c>
      <c r="GU49"/>
      <c r="HC49" s="805"/>
      <c r="HD49" s="805"/>
    </row>
    <row r="50" spans="1:212" ht="15.75" customHeight="1" thickBot="1" x14ac:dyDescent="0.4">
      <c r="B50" s="25"/>
      <c r="C50" s="27">
        <v>9</v>
      </c>
      <c r="F50" s="28"/>
      <c r="G50" t="s">
        <v>1532</v>
      </c>
      <c r="L50" s="166">
        <v>549372</v>
      </c>
      <c r="O50" s="10"/>
      <c r="P50" s="10"/>
      <c r="Q50" s="10"/>
      <c r="R50" s="10"/>
      <c r="S50" s="10">
        <v>8.5</v>
      </c>
      <c r="T50" s="10" t="s">
        <v>744</v>
      </c>
      <c r="U50" s="167">
        <v>1079481</v>
      </c>
      <c r="V50" s="40" t="s">
        <v>91</v>
      </c>
      <c r="W50" s="40">
        <v>2</v>
      </c>
      <c r="X50" s="40">
        <v>3</v>
      </c>
      <c r="Y50" s="40">
        <v>4</v>
      </c>
      <c r="Z50" s="40">
        <v>4</v>
      </c>
      <c r="AA50" s="40">
        <v>4</v>
      </c>
      <c r="AB50" s="169">
        <v>4</v>
      </c>
      <c r="AC50" s="174">
        <v>4</v>
      </c>
      <c r="AD50" s="174">
        <v>1</v>
      </c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F50">
        <f>ROWS($U$46:U50)</f>
        <v>5</v>
      </c>
      <c r="BG50" t="str">
        <f t="shared" si="66"/>
        <v/>
      </c>
      <c r="BH50">
        <f>IFERROR(SMALL($BG$46:$BG$3014,ROWS($BG$46:BG50)),"")</f>
        <v>445</v>
      </c>
      <c r="BI50" s="170">
        <f>IFERROR(INDEX($O$46:$T$3015,$BH50:$BH61,COLUMNS($BE$46:BE50)),0)</f>
        <v>0</v>
      </c>
      <c r="BJ50" s="170">
        <f>IFERROR(INDEX($O$46:$T$3015,$BH50:$BH61,COLUMNS($BE$46:BF50)),0)</f>
        <v>0</v>
      </c>
      <c r="BK50" s="170">
        <f>IFERROR(INDEX($O$46:$T$3015,$BH50:$BH61,COLUMNS($BE$46:BG50)),0)</f>
        <v>0</v>
      </c>
      <c r="BL50" s="170">
        <f>IFERROR(INDEX($O$46:$T$3015,$BH50:$BH61,COLUMNS($BE$46:BH50)),0)</f>
        <v>0</v>
      </c>
      <c r="BM50" s="170" t="str">
        <f>IFERROR(INDEX($O$46:$T$3015,$BH50:$BH61,COLUMNS($BE$46:BI50)),0)</f>
        <v>8 3/8"</v>
      </c>
      <c r="BN50" s="170" t="str">
        <f>IFERROR(INDEX($O$46:$T$3015,$BH50:$BH61,COLUMNS($BE$46:BJ50)),0)</f>
        <v>GT65DH</v>
      </c>
      <c r="BO50" s="170">
        <f>IFERROR(INDEX($O$46:$T$3015,$BH50:$BH61,COLUMNS($BE$46:BG50)),0)</f>
        <v>0</v>
      </c>
      <c r="BP50" s="44"/>
      <c r="BQ50" s="140" t="s">
        <v>91</v>
      </c>
      <c r="BR50" s="40">
        <f>IFERROR(INDEX($W$46:$BE$3014,$BH50:$BH60,COLUMNS($BE$46:BE50)),"")</f>
        <v>1</v>
      </c>
      <c r="BS50" s="40">
        <f>IFERROR(INDEX($W$46:$BE$3014,$BH50:$BH60,COLUMNS($BE$46:BF50)),"")</f>
        <v>1</v>
      </c>
      <c r="BT50" s="40">
        <f>IFERROR(INDEX($W$46:$BE$3014,$BH50:$BH60,COLUMNS($BE$46:BG50)),"")</f>
        <v>1</v>
      </c>
      <c r="BU50" s="40">
        <f>IFERROR(INDEX($W$46:$BE$3014,$BH50:$BH60,COLUMNS($BE$46:BH50)),"")</f>
        <v>1</v>
      </c>
      <c r="BV50" s="40">
        <f>IFERROR(INDEX($W$46:$BE$3014,$BH50:$BH60,COLUMNS($BE$46:BI50)),"")</f>
        <v>1</v>
      </c>
      <c r="BW50" s="40">
        <f>IFERROR(INDEX($W$46:$BE$3014,$BH50:$BH60,COLUMNS($BE$46:BJ50)),"")</f>
        <v>1</v>
      </c>
      <c r="BX50" s="40">
        <f>IFERROR(INDEX($W$46:$BE$3014,$BH50:$BH60,COLUMNS($BE$46:BK50)),"")</f>
        <v>1</v>
      </c>
      <c r="BY50" s="40">
        <f>IFERROR(INDEX($W$46:$BE$3014,$BH50:$BH60,COLUMNS($BE$46:BL50)),"")</f>
        <v>3</v>
      </c>
      <c r="BZ50" s="40">
        <f>IFERROR(INDEX($W$46:$BE$3014,$BH50:$BH60,COLUMNS($BE$46:BM50)),"")</f>
        <v>0</v>
      </c>
      <c r="CA50" s="40">
        <f>IFERROR(INDEX($W$46:$BE$3014,$BH50:$BH60,COLUMNS($BE$46:BN50)),"")</f>
        <v>2</v>
      </c>
      <c r="CB50" s="40">
        <f>IFERROR(INDEX($W$46:$BE$3014,$BH50:$BH60,COLUMNS($BE$46:BO50)),"")</f>
        <v>2</v>
      </c>
      <c r="CC50" s="40">
        <f>IFERROR(INDEX($W$46:$BE$3014,$BH50:$BH60,COLUMNS($BE$46:BP50)),"")</f>
        <v>2</v>
      </c>
      <c r="CD50" s="40">
        <f>IFERROR(INDEX($W$46:$BE$3014,$BH50:$BH60,COLUMNS($BE$46:BQ50)),"")</f>
        <v>2</v>
      </c>
      <c r="CE50" s="40">
        <f>IFERROR(INDEX($W$46:$BE$3014,$BH50:$BH60,COLUMNS($BE$46:BR50)),"")</f>
        <v>0</v>
      </c>
      <c r="CF50" s="40">
        <f>IFERROR(INDEX($W$46:$BE$3014,$BH50:$BH60,COLUMNS($BE$46:BS50)),"")</f>
        <v>0</v>
      </c>
      <c r="CG50" s="40">
        <f>IFERROR(INDEX($W$46:$BE$3014,$BH50:$BH60,COLUMNS($BE$46:BT50)),"")</f>
        <v>0</v>
      </c>
      <c r="CH50" s="40">
        <f>IFERROR(INDEX($W$46:$BE$3014,$BH50:$BH60,COLUMNS($BE$46:BU50)),"")</f>
        <v>0</v>
      </c>
      <c r="CI50" s="40">
        <f>IFERROR(INDEX($W$46:$BE$3014,$BH50:$BH60,COLUMNS($BE$46:BV50)),"")</f>
        <v>0</v>
      </c>
      <c r="CJ50" s="40">
        <f>IFERROR(INDEX($W$46:$BE$3014,$BH50:$BH60,COLUMNS($BE$46:BW50)),"")</f>
        <v>0</v>
      </c>
      <c r="CK50" s="40">
        <f>IFERROR(INDEX($W$46:$BE$3014,$BH50:$BH60,COLUMNS($BE$46:BX50)),"")</f>
        <v>0</v>
      </c>
      <c r="CL50" s="40">
        <f>IFERROR(INDEX($W$46:$BE$3014,$BH50:$BH60,COLUMNS($BE$46:BY50)),"")</f>
        <v>0</v>
      </c>
      <c r="CM50" s="40">
        <f>IFERROR(INDEX($W$46:$BE$3014,$BH50:$BH60,COLUMNS($BE$46:BZ50)),"")</f>
        <v>0</v>
      </c>
      <c r="CN50" s="40">
        <f>IFERROR(INDEX($W$46:$BE$3014,$BH50:$BH60,COLUMNS($BE$46:CA50)),"")</f>
        <v>0</v>
      </c>
      <c r="CO50" s="40">
        <f>IFERROR(INDEX($W$46:$BE$3014,$BH50:$BH60,COLUMNS($BE$46:CB50)),"")</f>
        <v>0</v>
      </c>
      <c r="CP50" s="40">
        <f>IFERROR(INDEX($W$46:$BE$3014,$BH50:$BH60,COLUMNS($BE$46:CC50)),"")</f>
        <v>0</v>
      </c>
      <c r="CQ50" s="40">
        <f>IFERROR(INDEX($W$46:$BE$3014,$BH50:$BH60,COLUMNS($BE$46:CD50)),"")</f>
        <v>0</v>
      </c>
      <c r="CR50" s="40">
        <f>IFERROR(INDEX($W$46:$BE$3014,$BH50:$BH60,COLUMNS($BE$46:CE50)),"")</f>
        <v>0</v>
      </c>
      <c r="CS50" s="40">
        <f>IFERROR(INDEX($W$46:$BE$3014,$BH50:$BH60,COLUMNS($BE$46:CF50)),"")</f>
        <v>0</v>
      </c>
      <c r="CT50" s="40">
        <f>IFERROR(INDEX($W$46:$BE$3014,$BH50:$BH60,COLUMNS($BE$46:CG50)),"")</f>
        <v>0</v>
      </c>
      <c r="CU50" s="40">
        <f>IFERROR(INDEX($W$46:$BE$3014,$BH50:$BH60,COLUMNS($BE$46:CH50)),"")</f>
        <v>0</v>
      </c>
      <c r="CV50" s="40">
        <f>IFERROR(INDEX($W$46:$BE$3014,$BH50:$BH60,COLUMNS($BE$46:CI50)),"")</f>
        <v>0</v>
      </c>
      <c r="CW50" s="40">
        <f>IFERROR(INDEX($W$46:$BE$3014,$BH50:$BH60,COLUMNS($BE$46:CJ50)),"")</f>
        <v>0</v>
      </c>
      <c r="CX50" s="40">
        <f>IFERROR(INDEX($W$46:$BE$3014,$BH50:$BH60,COLUMNS($BE$46:CK50)),"")</f>
        <v>0</v>
      </c>
      <c r="CY50" s="40">
        <f>IFERROR(INDEX($W$46:$BE$3014,$BH50:$BH60,COLUMNS($BE$46:CL50)),"")</f>
        <v>0</v>
      </c>
      <c r="CZ50" s="40">
        <f>IFERROR(INDEX($W$46:$BE$3014,$BH50:$BH60,COLUMNS($BE$46:CM50)),"")</f>
        <v>0</v>
      </c>
      <c r="DA50" s="40" t="str">
        <f>IFERROR(INDEX($W$46:$BE$3014,$BH50:$BH60,COLUMNS($BE$46:CN50)),"")</f>
        <v/>
      </c>
      <c r="DB50" s="37">
        <v>745573</v>
      </c>
      <c r="DD50" s="75">
        <v>21</v>
      </c>
      <c r="DE50" s="37">
        <v>729691</v>
      </c>
      <c r="DF50" t="s">
        <v>199</v>
      </c>
      <c r="DG50" s="37" t="str">
        <f t="shared" si="60"/>
        <v>1613 CT82  0.018"</v>
      </c>
      <c r="DH50" s="37">
        <v>16</v>
      </c>
      <c r="DI50" s="37">
        <v>1613</v>
      </c>
      <c r="DJ50" s="37" t="s">
        <v>104</v>
      </c>
      <c r="DK50" s="37"/>
      <c r="DL50" s="37" t="s">
        <v>240</v>
      </c>
      <c r="DM50" s="37">
        <v>88</v>
      </c>
      <c r="DN50" s="37">
        <v>158</v>
      </c>
      <c r="DO50" s="37">
        <v>497</v>
      </c>
      <c r="DP50" s="37"/>
      <c r="DQ50" s="37"/>
      <c r="DR50" s="37" t="str">
        <f t="shared" si="61"/>
        <v xml:space="preserve">1613 CT82 </v>
      </c>
      <c r="DS50" s="37">
        <f t="shared" si="43"/>
        <v>261.3</v>
      </c>
      <c r="DT50" s="10">
        <v>201</v>
      </c>
      <c r="DU50" s="10">
        <v>300</v>
      </c>
      <c r="DV50" s="10" t="s">
        <v>49</v>
      </c>
      <c r="DW50" t="s">
        <v>1590</v>
      </c>
      <c r="DX50">
        <v>30</v>
      </c>
      <c r="DY50" t="s">
        <v>1673</v>
      </c>
      <c r="DZ50" t="s">
        <v>1668</v>
      </c>
      <c r="EA50">
        <v>1</v>
      </c>
      <c r="EB50" t="s">
        <v>1513</v>
      </c>
      <c r="EC50" s="10">
        <v>662</v>
      </c>
      <c r="ED50" s="10" t="s">
        <v>1736</v>
      </c>
      <c r="EE50" s="813">
        <f t="shared" si="19"/>
        <v>0</v>
      </c>
      <c r="EF50">
        <f>ROWS($DE$2:DE50)</f>
        <v>49</v>
      </c>
      <c r="EG50" t="str">
        <f t="shared" si="26"/>
        <v/>
      </c>
      <c r="EJ50" t="str">
        <f t="shared" si="27"/>
        <v/>
      </c>
      <c r="EM50" t="str">
        <f t="shared" si="28"/>
        <v/>
      </c>
      <c r="EP50" t="str">
        <f t="shared" si="29"/>
        <v/>
      </c>
      <c r="ES50" t="str">
        <f t="shared" si="30"/>
        <v/>
      </c>
      <c r="EV50" t="str">
        <f t="shared" si="31"/>
        <v/>
      </c>
      <c r="EY50" t="str">
        <f t="shared" si="32"/>
        <v/>
      </c>
      <c r="FB50" t="str">
        <f t="shared" si="33"/>
        <v/>
      </c>
      <c r="FE50" t="str">
        <f t="shared" si="34"/>
        <v/>
      </c>
      <c r="FH50" t="str">
        <f t="shared" si="35"/>
        <v/>
      </c>
      <c r="FK50" t="str">
        <f t="shared" si="36"/>
        <v/>
      </c>
      <c r="FN50" t="str">
        <f t="shared" si="37"/>
        <v/>
      </c>
      <c r="FQ50" t="str">
        <f t="shared" si="38"/>
        <v/>
      </c>
      <c r="FT50" t="str">
        <f t="shared" si="39"/>
        <v/>
      </c>
      <c r="FW50" t="str">
        <f t="shared" si="40"/>
        <v/>
      </c>
      <c r="FZ50" t="str">
        <f t="shared" si="41"/>
        <v/>
      </c>
      <c r="GC50" t="str">
        <f t="shared" si="42"/>
        <v/>
      </c>
      <c r="GE50" s="155"/>
      <c r="GF50" s="26" t="str">
        <f t="shared" si="45"/>
        <v>06.3.1 - 60</v>
      </c>
      <c r="GG50" s="28" t="str">
        <f t="shared" si="46"/>
        <v>6.3.1 60</v>
      </c>
      <c r="GH50" s="882" t="s">
        <v>1589</v>
      </c>
      <c r="GI50" s="75">
        <v>60</v>
      </c>
      <c r="GJ50" s="874" t="s">
        <v>1711</v>
      </c>
      <c r="GK50" s="875" t="s">
        <v>1670</v>
      </c>
      <c r="GL50" s="876">
        <v>1</v>
      </c>
      <c r="GM50" s="37" t="s">
        <v>1513</v>
      </c>
      <c r="GN50" s="877">
        <v>135</v>
      </c>
      <c r="GO50" s="26">
        <f t="shared" si="58"/>
        <v>0</v>
      </c>
      <c r="GP50" t="s">
        <v>1670</v>
      </c>
      <c r="GQ50" s="26" t="s">
        <v>1771</v>
      </c>
      <c r="GS50">
        <f>ROWS($GJ$20:GJ50)</f>
        <v>31</v>
      </c>
      <c r="GT50" s="63" t="str">
        <f t="shared" si="57"/>
        <v/>
      </c>
      <c r="GU50"/>
      <c r="HC50" s="805"/>
      <c r="HD50" s="805"/>
    </row>
    <row r="51" spans="1:212" ht="16.5" customHeight="1" thickBot="1" x14ac:dyDescent="0.4">
      <c r="B51" s="25"/>
      <c r="C51" s="27">
        <v>15</v>
      </c>
      <c r="F51" s="24" t="s">
        <v>1536</v>
      </c>
      <c r="G51" s="67"/>
      <c r="H51" s="68" t="s">
        <v>1535</v>
      </c>
      <c r="L51" s="166">
        <v>616958</v>
      </c>
      <c r="O51" s="10"/>
      <c r="P51" s="10"/>
      <c r="Q51" s="10"/>
      <c r="R51" s="10"/>
      <c r="S51" s="10">
        <v>8.5</v>
      </c>
      <c r="T51" s="10" t="s">
        <v>744</v>
      </c>
      <c r="U51" s="167">
        <v>1079481</v>
      </c>
      <c r="V51" s="40" t="s">
        <v>92</v>
      </c>
      <c r="W51" s="40">
        <v>4</v>
      </c>
      <c r="X51" s="40">
        <v>4</v>
      </c>
      <c r="Y51" s="40">
        <v>4</v>
      </c>
      <c r="Z51" s="40">
        <v>4</v>
      </c>
      <c r="AA51" s="171">
        <v>1</v>
      </c>
      <c r="AB51" s="171"/>
      <c r="AC51" s="172"/>
      <c r="AD51" s="175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F51">
        <f>ROWS($U$46:U51)</f>
        <v>6</v>
      </c>
      <c r="BG51" t="str">
        <f t="shared" si="66"/>
        <v/>
      </c>
      <c r="BH51">
        <f>IFERROR(SMALL($BG$46:$BG$3014,ROWS($BG$46:BG51)),"")</f>
        <v>446</v>
      </c>
      <c r="BI51" s="170">
        <f>IFERROR(INDEX($O$46:$T$3015,$BH51:$BH62,COLUMNS($BE$46:BE51)),0)</f>
        <v>0</v>
      </c>
      <c r="BJ51" s="170">
        <f>IFERROR(INDEX($O$46:$T$3015,$BH51:$BH62,COLUMNS($BE$46:BF51)),0)</f>
        <v>0</v>
      </c>
      <c r="BK51" s="170">
        <f>IFERROR(INDEX($O$46:$T$3015,$BH51:$BH62,COLUMNS($BE$46:BG51)),0)</f>
        <v>0</v>
      </c>
      <c r="BL51" s="170">
        <f>IFERROR(INDEX($O$46:$T$3015,$BH51:$BH62,COLUMNS($BE$46:BH51)),0)</f>
        <v>0</v>
      </c>
      <c r="BM51" s="170" t="str">
        <f>IFERROR(INDEX($O$46:$T$3015,$BH51:$BH62,COLUMNS($BE$46:BI51)),0)</f>
        <v>8 3/8"</v>
      </c>
      <c r="BN51" s="170" t="str">
        <f>IFERROR(INDEX($O$46:$T$3015,$BH51:$BH62,COLUMNS($BE$46:BJ51)),0)</f>
        <v>GT65DH</v>
      </c>
      <c r="BO51" s="170">
        <f>IFERROR(INDEX($O$46:$T$3015,$BH51:$BH62,COLUMNS($BE$46:BG51)),0)</f>
        <v>0</v>
      </c>
      <c r="BP51" s="44"/>
      <c r="BQ51" s="140" t="s">
        <v>92</v>
      </c>
      <c r="BR51" s="40">
        <f>IFERROR(INDEX($W$46:$BE$3014,$BH51:$BH61,COLUMNS($BE$46:BE51)),"")</f>
        <v>1</v>
      </c>
      <c r="BS51" s="40">
        <f>IFERROR(INDEX($W$46:$BE$3014,$BH51:$BH61,COLUMNS($BE$46:BF51)),"")</f>
        <v>1</v>
      </c>
      <c r="BT51" s="40">
        <f>IFERROR(INDEX($W$46:$BE$3014,$BH51:$BH61,COLUMNS($BE$46:BG51)),"")</f>
        <v>1</v>
      </c>
      <c r="BU51" s="40">
        <f>IFERROR(INDEX($W$46:$BE$3014,$BH51:$BH61,COLUMNS($BE$46:BH51)),"")</f>
        <v>1</v>
      </c>
      <c r="BV51" s="40">
        <f>IFERROR(INDEX($W$46:$BE$3014,$BH51:$BH61,COLUMNS($BE$46:BI51)),"")</f>
        <v>3</v>
      </c>
      <c r="BW51" s="40">
        <f>IFERROR(INDEX($W$46:$BE$3014,$BH51:$BH61,COLUMNS($BE$46:BJ51)),"")</f>
        <v>0</v>
      </c>
      <c r="BX51" s="40">
        <f>IFERROR(INDEX($W$46:$BE$3014,$BH51:$BH61,COLUMNS($BE$46:BK51)),"")</f>
        <v>0</v>
      </c>
      <c r="BY51" s="40">
        <f>IFERROR(INDEX($W$46:$BE$3014,$BH51:$BH61,COLUMNS($BE$46:BL51)),"")</f>
        <v>0</v>
      </c>
      <c r="BZ51" s="40">
        <f>IFERROR(INDEX($W$46:$BE$3014,$BH51:$BH61,COLUMNS($BE$46:BM51)),"")</f>
        <v>0</v>
      </c>
      <c r="CA51" s="40">
        <f>IFERROR(INDEX($W$46:$BE$3014,$BH51:$BH61,COLUMNS($BE$46:BN51)),"")</f>
        <v>2</v>
      </c>
      <c r="CB51" s="40">
        <f>IFERROR(INDEX($W$46:$BE$3014,$BH51:$BH61,COLUMNS($BE$46:BO51)),"")</f>
        <v>2</v>
      </c>
      <c r="CC51" s="40">
        <f>IFERROR(INDEX($W$46:$BE$3014,$BH51:$BH61,COLUMNS($BE$46:BP51)),"")</f>
        <v>2</v>
      </c>
      <c r="CD51" s="40">
        <f>IFERROR(INDEX($W$46:$BE$3014,$BH51:$BH61,COLUMNS($BE$46:BQ51)),"")</f>
        <v>2</v>
      </c>
      <c r="CE51" s="40">
        <f>IFERROR(INDEX($W$46:$BE$3014,$BH51:$BH61,COLUMNS($BE$46:BR51)),"")</f>
        <v>0</v>
      </c>
      <c r="CF51" s="40">
        <f>IFERROR(INDEX($W$46:$BE$3014,$BH51:$BH61,COLUMNS($BE$46:BS51)),"")</f>
        <v>0</v>
      </c>
      <c r="CG51" s="40">
        <f>IFERROR(INDEX($W$46:$BE$3014,$BH51:$BH61,COLUMNS($BE$46:BT51)),"")</f>
        <v>0</v>
      </c>
      <c r="CH51" s="40">
        <f>IFERROR(INDEX($W$46:$BE$3014,$BH51:$BH61,COLUMNS($BE$46:BU51)),"")</f>
        <v>0</v>
      </c>
      <c r="CI51" s="40">
        <f>IFERROR(INDEX($W$46:$BE$3014,$BH51:$BH61,COLUMNS($BE$46:BV51)),"")</f>
        <v>0</v>
      </c>
      <c r="CJ51" s="40">
        <f>IFERROR(INDEX($W$46:$BE$3014,$BH51:$BH61,COLUMNS($BE$46:BW51)),"")</f>
        <v>0</v>
      </c>
      <c r="CK51" s="40">
        <f>IFERROR(INDEX($W$46:$BE$3014,$BH51:$BH61,COLUMNS($BE$46:BX51)),"")</f>
        <v>0</v>
      </c>
      <c r="CL51" s="40">
        <f>IFERROR(INDEX($W$46:$BE$3014,$BH51:$BH61,COLUMNS($BE$46:BY51)),"")</f>
        <v>0</v>
      </c>
      <c r="CM51" s="40">
        <f>IFERROR(INDEX($W$46:$BE$3014,$BH51:$BH61,COLUMNS($BE$46:BZ51)),"")</f>
        <v>0</v>
      </c>
      <c r="CN51" s="40">
        <f>IFERROR(INDEX($W$46:$BE$3014,$BH51:$BH61,COLUMNS($BE$46:CA51)),"")</f>
        <v>0</v>
      </c>
      <c r="CO51" s="40">
        <f>IFERROR(INDEX($W$46:$BE$3014,$BH51:$BH61,COLUMNS($BE$46:CB51)),"")</f>
        <v>0</v>
      </c>
      <c r="CP51" s="40">
        <f>IFERROR(INDEX($W$46:$BE$3014,$BH51:$BH61,COLUMNS($BE$46:CC51)),"")</f>
        <v>0</v>
      </c>
      <c r="CQ51" s="40">
        <f>IFERROR(INDEX($W$46:$BE$3014,$BH51:$BH61,COLUMNS($BE$46:CD51)),"")</f>
        <v>0</v>
      </c>
      <c r="CR51" s="40">
        <f>IFERROR(INDEX($W$46:$BE$3014,$BH51:$BH61,COLUMNS($BE$46:CE51)),"")</f>
        <v>0</v>
      </c>
      <c r="CS51" s="40">
        <f>IFERROR(INDEX($W$46:$BE$3014,$BH51:$BH61,COLUMNS($BE$46:CF51)),"")</f>
        <v>0</v>
      </c>
      <c r="CT51" s="40">
        <f>IFERROR(INDEX($W$46:$BE$3014,$BH51:$BH61,COLUMNS($BE$46:CG51)),"")</f>
        <v>0</v>
      </c>
      <c r="CU51" s="40">
        <f>IFERROR(INDEX($W$46:$BE$3014,$BH51:$BH61,COLUMNS($BE$46:CH51)),"")</f>
        <v>0</v>
      </c>
      <c r="CV51" s="40">
        <f>IFERROR(INDEX($W$46:$BE$3014,$BH51:$BH61,COLUMNS($BE$46:CI51)),"")</f>
        <v>0</v>
      </c>
      <c r="CW51" s="40">
        <f>IFERROR(INDEX($W$46:$BE$3014,$BH51:$BH61,COLUMNS($BE$46:CJ51)),"")</f>
        <v>0</v>
      </c>
      <c r="CX51" s="40">
        <f>IFERROR(INDEX($W$46:$BE$3014,$BH51:$BH61,COLUMNS($BE$46:CK51)),"")</f>
        <v>0</v>
      </c>
      <c r="CY51" s="40">
        <f>IFERROR(INDEX($W$46:$BE$3014,$BH51:$BH61,COLUMNS($BE$46:CL51)),"")</f>
        <v>0</v>
      </c>
      <c r="CZ51" s="40">
        <f>IFERROR(INDEX($W$46:$BE$3014,$BH51:$BH61,COLUMNS($BE$46:CM51)),"")</f>
        <v>0</v>
      </c>
      <c r="DA51" s="40" t="str">
        <f>IFERROR(INDEX($W$46:$BE$3014,$BH51:$BH61,COLUMNS($BE$46:CN51)),"")</f>
        <v/>
      </c>
      <c r="DB51" s="37">
        <v>745576</v>
      </c>
      <c r="DD51" s="75">
        <v>42</v>
      </c>
      <c r="DE51" s="37">
        <v>742473</v>
      </c>
      <c r="DF51" t="s">
        <v>200</v>
      </c>
      <c r="DG51" s="37" t="str">
        <f t="shared" si="60"/>
        <v>1308 CT91  0.010"</v>
      </c>
      <c r="DH51" s="37">
        <v>13</v>
      </c>
      <c r="DI51" s="37">
        <v>1308</v>
      </c>
      <c r="DJ51" s="37" t="s">
        <v>260</v>
      </c>
      <c r="DK51" s="37"/>
      <c r="DL51" s="37" t="s">
        <v>239</v>
      </c>
      <c r="DM51" s="37">
        <v>71</v>
      </c>
      <c r="DN51" s="37">
        <v>0</v>
      </c>
      <c r="DO51" s="37">
        <v>360</v>
      </c>
      <c r="DP51" s="37"/>
      <c r="DQ51" s="37"/>
      <c r="DR51" s="37" t="str">
        <f t="shared" si="61"/>
        <v xml:space="preserve">1308 CT91 </v>
      </c>
      <c r="DS51" s="37">
        <f t="shared" si="43"/>
        <v>0</v>
      </c>
      <c r="DV51" s="10" t="s">
        <v>146</v>
      </c>
      <c r="DW51" t="s">
        <v>1589</v>
      </c>
      <c r="DX51">
        <v>10</v>
      </c>
      <c r="DY51" t="s">
        <v>1675</v>
      </c>
      <c r="DZ51" t="s">
        <v>1670</v>
      </c>
      <c r="EA51">
        <v>1</v>
      </c>
      <c r="EB51" t="s">
        <v>1513</v>
      </c>
      <c r="EC51" s="10">
        <v>345</v>
      </c>
      <c r="ED51" s="10" t="s">
        <v>1738</v>
      </c>
      <c r="EE51" s="813">
        <f t="shared" si="19"/>
        <v>0</v>
      </c>
      <c r="EF51">
        <f>ROWS($DE$2:DE51)</f>
        <v>50</v>
      </c>
      <c r="EG51" t="str">
        <f t="shared" si="26"/>
        <v/>
      </c>
      <c r="EJ51" t="str">
        <f t="shared" si="27"/>
        <v/>
      </c>
      <c r="EM51" t="str">
        <f t="shared" si="28"/>
        <v/>
      </c>
      <c r="EP51" t="str">
        <f t="shared" si="29"/>
        <v/>
      </c>
      <c r="ES51" t="str">
        <f t="shared" si="30"/>
        <v/>
      </c>
      <c r="EV51" t="str">
        <f t="shared" si="31"/>
        <v/>
      </c>
      <c r="EY51" t="str">
        <f t="shared" si="32"/>
        <v/>
      </c>
      <c r="FB51" t="str">
        <f t="shared" si="33"/>
        <v/>
      </c>
      <c r="FE51" t="str">
        <f t="shared" si="34"/>
        <v/>
      </c>
      <c r="FH51" t="str">
        <f t="shared" si="35"/>
        <v/>
      </c>
      <c r="FK51" t="str">
        <f t="shared" si="36"/>
        <v/>
      </c>
      <c r="FN51" t="str">
        <f t="shared" si="37"/>
        <v/>
      </c>
      <c r="FQ51" t="str">
        <f t="shared" si="38"/>
        <v/>
      </c>
      <c r="FT51" t="str">
        <f t="shared" si="39"/>
        <v/>
      </c>
      <c r="FW51" t="str">
        <f t="shared" si="40"/>
        <v/>
      </c>
      <c r="FZ51" t="str">
        <f t="shared" si="41"/>
        <v/>
      </c>
      <c r="GC51" t="str">
        <f t="shared" si="42"/>
        <v/>
      </c>
      <c r="GE51" s="155"/>
      <c r="GF51" s="26" t="str">
        <f t="shared" si="45"/>
        <v>06.4.1 - 10</v>
      </c>
      <c r="GG51" s="28" t="str">
        <f t="shared" si="46"/>
        <v>6.4.1 10</v>
      </c>
      <c r="GH51" s="882" t="s">
        <v>1590</v>
      </c>
      <c r="GI51" s="75">
        <v>10</v>
      </c>
      <c r="GJ51" s="874" t="s">
        <v>1681</v>
      </c>
      <c r="GK51" s="875" t="s">
        <v>1668</v>
      </c>
      <c r="GL51" s="876">
        <v>1</v>
      </c>
      <c r="GM51" s="37" t="s">
        <v>1513</v>
      </c>
      <c r="GN51" s="877">
        <v>490</v>
      </c>
      <c r="GO51" s="26">
        <f>SUMIF($ED$2:$ED$276,$GG51,$EE$2:$EE$276)</f>
        <v>0</v>
      </c>
      <c r="GP51" t="s">
        <v>1668</v>
      </c>
      <c r="GQ51" s="26" t="s">
        <v>1766</v>
      </c>
      <c r="GS51">
        <f>ROWS($GJ$20:GJ51)</f>
        <v>32</v>
      </c>
      <c r="GT51" s="63" t="str">
        <f t="shared" si="57"/>
        <v/>
      </c>
      <c r="GU51"/>
      <c r="HC51" s="805"/>
      <c r="HD51" s="805"/>
    </row>
    <row r="52" spans="1:212" ht="15.75" customHeight="1" thickBot="1" x14ac:dyDescent="0.4">
      <c r="B52" s="28"/>
      <c r="C52" s="26"/>
      <c r="F52" s="33">
        <f>IFERROR(INDEX($GN$63:$GN$69,MATCH(E31,$GK$63:$GK$69,0),1),0)</f>
        <v>0</v>
      </c>
      <c r="H52" s="33">
        <f>IFERROR(INDEX(H54:H60,MATCH(E31,F54:F60,0),1),0)</f>
        <v>0</v>
      </c>
      <c r="L52" s="166">
        <v>639070</v>
      </c>
      <c r="O52" s="167">
        <v>1</v>
      </c>
      <c r="P52" s="167">
        <v>871781</v>
      </c>
      <c r="Q52" s="167">
        <v>6</v>
      </c>
      <c r="R52" s="167"/>
      <c r="S52" s="167">
        <v>6.125</v>
      </c>
      <c r="T52" s="167" t="s">
        <v>813</v>
      </c>
      <c r="U52" s="167">
        <v>874733</v>
      </c>
      <c r="V52" s="40" t="s">
        <v>87</v>
      </c>
      <c r="W52" s="40">
        <v>3</v>
      </c>
      <c r="X52" s="40">
        <v>2</v>
      </c>
      <c r="Y52" s="40">
        <v>2</v>
      </c>
      <c r="Z52" s="40">
        <v>2</v>
      </c>
      <c r="AA52" s="169">
        <v>2</v>
      </c>
      <c r="AB52" s="174">
        <v>2</v>
      </c>
      <c r="AC52" s="174">
        <v>1</v>
      </c>
      <c r="AD52" s="10"/>
      <c r="AE52" s="79">
        <v>4</v>
      </c>
      <c r="AF52" s="80">
        <v>4</v>
      </c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F52">
        <f>ROWS($U$46:U52)</f>
        <v>7</v>
      </c>
      <c r="BG52" t="str">
        <f t="shared" si="66"/>
        <v/>
      </c>
      <c r="BH52" t="str">
        <f>IFERROR(SMALL($BG$46:$BG$3014,ROWS($BG$46:BG52)),"")</f>
        <v/>
      </c>
      <c r="BI52" s="170">
        <f>IFERROR(INDEX($O$46:$T$3015,$BH52:$BH63,COLUMNS($BE$46:BE52)),0)</f>
        <v>0</v>
      </c>
      <c r="BJ52" s="170">
        <f>IFERROR(INDEX($O$46:$T$3015,$BH52:$BH63,COLUMNS($BE$46:BF52)),0)</f>
        <v>0</v>
      </c>
      <c r="BK52" s="170">
        <f>IFERROR(INDEX($O$46:$T$3015,$BH52:$BH63,COLUMNS($BE$46:BG52)),0)</f>
        <v>0</v>
      </c>
      <c r="BL52" s="170">
        <f>IFERROR(INDEX($O$46:$T$3015,$BH52:$BH63,COLUMNS($BE$46:BH52)),0)</f>
        <v>0</v>
      </c>
      <c r="BM52" s="170">
        <f>IFERROR(INDEX($O$46:$T$3015,$BH52:$BH63,COLUMNS($BE$46:BI52)),0)</f>
        <v>0</v>
      </c>
      <c r="BN52" s="170">
        <f>IFERROR(INDEX($O$46:$T$3015,$BH52:$BH63,COLUMNS($BE$46:BJ52)),0)</f>
        <v>0</v>
      </c>
      <c r="BO52" s="170">
        <f>IFERROR(INDEX($O$46:$T$3015,$BH52:$BH63,COLUMNS($BE$46:BG52)),0)</f>
        <v>0</v>
      </c>
      <c r="BP52" s="44"/>
      <c r="BQ52" s="140" t="s">
        <v>111</v>
      </c>
      <c r="BR52" s="40" t="str">
        <f>IFERROR(INDEX($W$46:$BE$3014,$BH52:$BH62,COLUMNS($BE$46:BE52)),"")</f>
        <v/>
      </c>
      <c r="BS52" s="40" t="str">
        <f>IFERROR(INDEX($W$46:$BE$3014,$BH52:$BH62,COLUMNS($BE$46:BF52)),"")</f>
        <v/>
      </c>
      <c r="BT52" s="40" t="str">
        <f>IFERROR(INDEX($W$46:$BE$3014,$BH52:$BH62,COLUMNS($BE$46:BG52)),"")</f>
        <v/>
      </c>
      <c r="BU52" s="40" t="str">
        <f>IFERROR(INDEX($W$46:$BE$3014,$BH52:$BH62,COLUMNS($BE$46:BH52)),"")</f>
        <v/>
      </c>
      <c r="BV52" s="40" t="str">
        <f>IFERROR(INDEX($W$46:$BE$3014,$BH52:$BH62,COLUMNS($BE$46:BI52)),"")</f>
        <v/>
      </c>
      <c r="BW52" s="40" t="str">
        <f>IFERROR(INDEX($W$46:$BE$3014,$BH52:$BH62,COLUMNS($BE$46:BJ52)),"")</f>
        <v/>
      </c>
      <c r="BX52" s="40" t="str">
        <f>IFERROR(INDEX($W$46:$BE$3014,$BH52:$BH62,COLUMNS($BE$46:BK52)),"")</f>
        <v/>
      </c>
      <c r="BY52" s="40" t="str">
        <f>IFERROR(INDEX($W$46:$BE$3014,$BH52:$BH62,COLUMNS($BE$46:BL52)),"")</f>
        <v/>
      </c>
      <c r="BZ52" s="40" t="str">
        <f>IFERROR(INDEX($W$46:$BE$3014,$BH52:$BH62,COLUMNS($BE$46:BM52)),"")</f>
        <v/>
      </c>
      <c r="CA52" s="40" t="str">
        <f>IFERROR(INDEX($W$46:$BE$3014,$BH52:$BH62,COLUMNS($BE$46:BN52)),"")</f>
        <v/>
      </c>
      <c r="CB52" s="40" t="str">
        <f>IFERROR(INDEX($W$46:$BE$3014,$BH52:$BH62,COLUMNS($BE$46:BO52)),"")</f>
        <v/>
      </c>
      <c r="CC52" s="40" t="str">
        <f>IFERROR(INDEX($W$46:$BE$3014,$BH52:$BH62,COLUMNS($BE$46:BP52)),"")</f>
        <v/>
      </c>
      <c r="CD52" s="40" t="str">
        <f>IFERROR(INDEX($W$46:$BE$3014,$BH52:$BH62,COLUMNS($BE$46:BQ52)),"")</f>
        <v/>
      </c>
      <c r="CE52" s="40" t="str">
        <f>IFERROR(INDEX($W$46:$BE$3014,$BH52:$BH62,COLUMNS($BE$46:BR52)),"")</f>
        <v/>
      </c>
      <c r="CF52" s="40" t="str">
        <f>IFERROR(INDEX($W$46:$BE$3014,$BH52:$BH62,COLUMNS($BE$46:BS52)),"")</f>
        <v/>
      </c>
      <c r="CG52" s="40" t="str">
        <f>IFERROR(INDEX($W$46:$BE$3014,$BH52:$BH62,COLUMNS($BE$46:BT52)),"")</f>
        <v/>
      </c>
      <c r="CH52" s="40" t="str">
        <f>IFERROR(INDEX($W$46:$BE$3014,$BH52:$BH62,COLUMNS($BE$46:BU52)),"")</f>
        <v/>
      </c>
      <c r="CI52" s="40" t="str">
        <f>IFERROR(INDEX($W$46:$BE$3014,$BH52:$BH62,COLUMNS($BE$46:BV52)),"")</f>
        <v/>
      </c>
      <c r="CJ52" s="40" t="str">
        <f>IFERROR(INDEX($W$46:$BE$3014,$BH52:$BH62,COLUMNS($BE$46:BW52)),"")</f>
        <v/>
      </c>
      <c r="CK52" s="40" t="str">
        <f>IFERROR(INDEX($W$46:$BE$3014,$BH52:$BH62,COLUMNS($BE$46:BX52)),"")</f>
        <v/>
      </c>
      <c r="CL52" s="40" t="str">
        <f>IFERROR(INDEX($W$46:$BE$3014,$BH52:$BH62,COLUMNS($BE$46:BY52)),"")</f>
        <v/>
      </c>
      <c r="CM52" s="40" t="str">
        <f>IFERROR(INDEX($W$46:$BE$3014,$BH52:$BH62,COLUMNS($BE$46:BZ52)),"")</f>
        <v/>
      </c>
      <c r="CN52" s="40" t="str">
        <f>IFERROR(INDEX($W$46:$BE$3014,$BH52:$BH62,COLUMNS($BE$46:CA52)),"")</f>
        <v/>
      </c>
      <c r="CO52" s="40" t="str">
        <f>IFERROR(INDEX($W$46:$BE$3014,$BH52:$BH62,COLUMNS($BE$46:CB52)),"")</f>
        <v/>
      </c>
      <c r="CP52" s="40" t="str">
        <f>IFERROR(INDEX($W$46:$BE$3014,$BH52:$BH62,COLUMNS($BE$46:CC52)),"")</f>
        <v/>
      </c>
      <c r="CQ52" s="40" t="str">
        <f>IFERROR(INDEX($W$46:$BE$3014,$BH52:$BH62,COLUMNS($BE$46:CD52)),"")</f>
        <v/>
      </c>
      <c r="CR52" s="40" t="str">
        <f>IFERROR(INDEX($W$46:$BE$3014,$BH52:$BH62,COLUMNS($BE$46:CE52)),"")</f>
        <v/>
      </c>
      <c r="CS52" s="40" t="str">
        <f>IFERROR(INDEX($W$46:$BE$3014,$BH52:$BH62,COLUMNS($BE$46:CF52)),"")</f>
        <v/>
      </c>
      <c r="CT52" s="40" t="str">
        <f>IFERROR(INDEX($W$46:$BE$3014,$BH52:$BH62,COLUMNS($BE$46:CG52)),"")</f>
        <v/>
      </c>
      <c r="CU52" s="40" t="str">
        <f>IFERROR(INDEX($W$46:$BE$3014,$BH52:$BH62,COLUMNS($BE$46:CH52)),"")</f>
        <v/>
      </c>
      <c r="CV52" s="40" t="str">
        <f>IFERROR(INDEX($W$46:$BE$3014,$BH52:$BH62,COLUMNS($BE$46:CI52)),"")</f>
        <v/>
      </c>
      <c r="CW52" s="40" t="str">
        <f>IFERROR(INDEX($W$46:$BE$3014,$BH52:$BH62,COLUMNS($BE$46:CJ52)),"")</f>
        <v/>
      </c>
      <c r="CX52" s="40" t="str">
        <f>IFERROR(INDEX($W$46:$BE$3014,$BH52:$BH62,COLUMNS($BE$46:CK52)),"")</f>
        <v/>
      </c>
      <c r="CY52" s="40" t="str">
        <f>IFERROR(INDEX($W$46:$BE$3014,$BH52:$BH62,COLUMNS($BE$46:CL52)),"")</f>
        <v/>
      </c>
      <c r="CZ52" s="40" t="str">
        <f>IFERROR(INDEX($W$46:$BE$3014,$BH52:$BH62,COLUMNS($BE$46:CM52)),"")</f>
        <v/>
      </c>
      <c r="DA52" s="40" t="str">
        <f>IFERROR(INDEX($W$46:$BE$3014,$BH52:$BH62,COLUMNS($BE$46:CN52)),"")</f>
        <v/>
      </c>
      <c r="DB52" s="37">
        <v>752294</v>
      </c>
      <c r="DD52" s="75">
        <v>43</v>
      </c>
      <c r="DE52" s="37">
        <v>742617</v>
      </c>
      <c r="DF52" t="s">
        <v>201</v>
      </c>
      <c r="DG52" s="37" t="str">
        <f t="shared" si="60"/>
        <v>1308 CT91  0.018"</v>
      </c>
      <c r="DH52" s="37">
        <v>13</v>
      </c>
      <c r="DI52" s="37">
        <v>1308</v>
      </c>
      <c r="DJ52" s="37" t="s">
        <v>260</v>
      </c>
      <c r="DK52" s="37"/>
      <c r="DL52" s="37" t="s">
        <v>240</v>
      </c>
      <c r="DM52" s="37">
        <v>46</v>
      </c>
      <c r="DN52" s="37">
        <v>0</v>
      </c>
      <c r="DO52" s="37">
        <v>360</v>
      </c>
      <c r="DP52" s="37"/>
      <c r="DQ52" s="37"/>
      <c r="DR52" s="37" t="str">
        <f t="shared" si="61"/>
        <v xml:space="preserve">1308 CT91 </v>
      </c>
      <c r="DS52" s="37">
        <f t="shared" si="43"/>
        <v>164.84</v>
      </c>
      <c r="DT52" s="10">
        <v>126.8</v>
      </c>
      <c r="DV52" s="10" t="s">
        <v>146</v>
      </c>
      <c r="DW52" t="s">
        <v>1589</v>
      </c>
      <c r="DX52">
        <v>10</v>
      </c>
      <c r="DY52" t="s">
        <v>1675</v>
      </c>
      <c r="DZ52" t="s">
        <v>1670</v>
      </c>
      <c r="EA52">
        <v>1</v>
      </c>
      <c r="EB52" t="s">
        <v>1513</v>
      </c>
      <c r="EC52" s="10">
        <v>345</v>
      </c>
      <c r="ED52" s="10" t="s">
        <v>1738</v>
      </c>
      <c r="EE52" s="813">
        <f t="shared" si="19"/>
        <v>0</v>
      </c>
      <c r="EF52">
        <f>ROWS($DE$2:DE52)</f>
        <v>51</v>
      </c>
      <c r="EG52" t="str">
        <f t="shared" si="26"/>
        <v/>
      </c>
      <c r="EJ52" t="str">
        <f t="shared" si="27"/>
        <v/>
      </c>
      <c r="EM52" t="str">
        <f t="shared" si="28"/>
        <v/>
      </c>
      <c r="EP52" t="str">
        <f t="shared" si="29"/>
        <v/>
      </c>
      <c r="ES52" t="str">
        <f t="shared" si="30"/>
        <v/>
      </c>
      <c r="EV52" t="str">
        <f t="shared" si="31"/>
        <v/>
      </c>
      <c r="EY52" t="str">
        <f t="shared" si="32"/>
        <v/>
      </c>
      <c r="FB52" t="str">
        <f t="shared" si="33"/>
        <v/>
      </c>
      <c r="FE52" t="str">
        <f t="shared" si="34"/>
        <v/>
      </c>
      <c r="FH52" t="str">
        <f t="shared" si="35"/>
        <v/>
      </c>
      <c r="FK52" t="str">
        <f t="shared" si="36"/>
        <v/>
      </c>
      <c r="FN52" t="str">
        <f t="shared" si="37"/>
        <v/>
      </c>
      <c r="FQ52" t="str">
        <f t="shared" si="38"/>
        <v/>
      </c>
      <c r="FT52" t="str">
        <f t="shared" si="39"/>
        <v/>
      </c>
      <c r="FW52" t="str">
        <f t="shared" si="40"/>
        <v/>
      </c>
      <c r="FZ52" t="str">
        <f t="shared" si="41"/>
        <v/>
      </c>
      <c r="GC52" t="str">
        <f t="shared" si="42"/>
        <v/>
      </c>
      <c r="GE52" s="155"/>
      <c r="GF52" s="26" t="str">
        <f t="shared" si="45"/>
        <v>06.4.1 - 20</v>
      </c>
      <c r="GG52" s="28" t="str">
        <f t="shared" si="46"/>
        <v>6.4.1 20</v>
      </c>
      <c r="GH52" s="882" t="s">
        <v>1590</v>
      </c>
      <c r="GI52" s="75">
        <v>20</v>
      </c>
      <c r="GJ52" s="874" t="s">
        <v>1680</v>
      </c>
      <c r="GK52" s="875" t="s">
        <v>1668</v>
      </c>
      <c r="GL52" s="876">
        <v>1</v>
      </c>
      <c r="GM52" s="37" t="s">
        <v>1513</v>
      </c>
      <c r="GN52" s="877">
        <v>545</v>
      </c>
      <c r="GO52" s="26">
        <f t="shared" si="58"/>
        <v>0</v>
      </c>
      <c r="GP52" t="s">
        <v>1668</v>
      </c>
      <c r="GQ52" s="26" t="s">
        <v>1767</v>
      </c>
      <c r="GS52">
        <f>ROWS($GJ$20:GJ52)</f>
        <v>33</v>
      </c>
      <c r="GT52" s="63" t="str">
        <f t="shared" si="57"/>
        <v/>
      </c>
      <c r="GU52"/>
      <c r="HC52" s="805"/>
      <c r="HD52" s="805"/>
    </row>
    <row r="53" spans="1:212" ht="12.75" customHeight="1" thickBot="1" x14ac:dyDescent="0.4">
      <c r="B53" s="25" t="s">
        <v>72</v>
      </c>
      <c r="C53" s="33">
        <f>IFERROR(IF(VALUE(SUBSTITUTE(B43,"""",""))&lt;2,0,IF(VALUE(SUBSTITUTE(B43,"""",""))="",0,IF(AND(VALUE(SUBSTITUTE(B43,"""",""))&gt;=C48,VALUE(SUBSTITUTE(B43,"""",""))&lt;C49),C56,(IF(AND(VALUE(SUBSTITUTE(B43,"""",""))&gt;=C49,VALUE(SUBSTITUTE(B43,"""",""))&lt;C50),C57,(IF(AND(VALUE(SUBSTITUTE(B43,"""",""))&gt;=C50,VALUE(SUBSTITUTE(B43,"""",""))&lt;C51),C58,C59))))))),0)</f>
        <v>5495</v>
      </c>
      <c r="D53" s="33">
        <f>IFERROR(IF(VALUE(SUBSTITUTE(B43,"""",""))&lt;2,0,IF(VALUE(SUBSTITUTE(B43,"""",""))="",0,IF(AND(VALUE(SUBSTITUTE(B43,"""",""))&gt;=C48,VALUE(SUBSTITUTE(B43,"""",""))&lt;C49),D56,(IF(AND(VALUE(SUBSTITUTE(B43,"""",""))&gt;=C49,VALUE(SUBSTITUTE(B43,"""",""))&lt;C50),D57,(IF(AND(VALUE(SUBSTITUTE(B43,"""",""))&gt;=C50,VALUE(SUBSTITUTE(B43,"""",""))&lt;C51),D58,D59))))))),0)</f>
        <v>2</v>
      </c>
      <c r="F53" s="25"/>
      <c r="G53" s="26"/>
      <c r="H53" s="26"/>
      <c r="L53" s="166">
        <v>648918</v>
      </c>
      <c r="O53" s="167">
        <v>2</v>
      </c>
      <c r="P53" s="167">
        <v>729689</v>
      </c>
      <c r="Q53" s="167">
        <v>23</v>
      </c>
      <c r="R53" s="167"/>
      <c r="S53" s="167">
        <v>6.125</v>
      </c>
      <c r="T53" s="167" t="s">
        <v>813</v>
      </c>
      <c r="U53" s="167">
        <v>874733</v>
      </c>
      <c r="V53" s="40" t="s">
        <v>88</v>
      </c>
      <c r="W53" s="40">
        <v>2</v>
      </c>
      <c r="X53" s="40">
        <v>2</v>
      </c>
      <c r="Y53" s="40">
        <v>2</v>
      </c>
      <c r="Z53" s="171">
        <v>1</v>
      </c>
      <c r="AA53" s="171"/>
      <c r="AB53" s="172"/>
      <c r="AC53" s="175"/>
      <c r="AD53" s="10"/>
      <c r="AE53" s="79">
        <v>4</v>
      </c>
      <c r="AF53" s="80">
        <v>4</v>
      </c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F53">
        <f>ROWS($U$46:U53)</f>
        <v>8</v>
      </c>
      <c r="BG53" t="str">
        <f t="shared" si="66"/>
        <v/>
      </c>
      <c r="BH53" t="str">
        <f>IFERROR(SMALL($BG$46:$BG$3014,ROWS($BG$46:BG53)),"")</f>
        <v/>
      </c>
      <c r="BI53" s="170">
        <f>IFERROR(INDEX($O$46:$T$3015,$BH53:$BH64,COLUMNS($BE$46:BE53)),0)</f>
        <v>0</v>
      </c>
      <c r="BJ53" s="170">
        <f>IFERROR(INDEX($O$46:$T$3015,$BH53:$BH64,COLUMNS($BE$46:BF53)),0)</f>
        <v>0</v>
      </c>
      <c r="BK53" s="170">
        <f>IFERROR(INDEX($O$46:$T$3015,$BH53:$BH64,COLUMNS($BE$46:BG53)),0)</f>
        <v>0</v>
      </c>
      <c r="BL53" s="170">
        <f>IFERROR(INDEX($O$46:$T$3015,$BH53:$BH64,COLUMNS($BE$46:BH53)),0)</f>
        <v>0</v>
      </c>
      <c r="BM53" s="170">
        <f>IFERROR(INDEX($O$46:$T$3015,$BH53:$BH64,COLUMNS($BE$46:BI53)),0)</f>
        <v>0</v>
      </c>
      <c r="BN53" s="170">
        <f>IFERROR(INDEX($O$46:$T$3015,$BH53:$BH64,COLUMNS($BE$46:BJ53)),0)</f>
        <v>0</v>
      </c>
      <c r="BO53" s="170">
        <f>IFERROR(INDEX($O$46:$T$3015,$BH53:$BH64,COLUMNS($BE$46:BG53)),0)</f>
        <v>0</v>
      </c>
      <c r="BP53" s="44"/>
      <c r="BQ53" s="140" t="s">
        <v>112</v>
      </c>
      <c r="BR53" s="40" t="str">
        <f>IFERROR(INDEX($W$46:$BE$3014,$BH53:$BH63,COLUMNS($BE$46:BE53)),"")</f>
        <v/>
      </c>
      <c r="BS53" s="40" t="str">
        <f>IFERROR(INDEX($W$46:$BE$3014,$BH53:$BH63,COLUMNS($BE$46:BF53)),"")</f>
        <v/>
      </c>
      <c r="BT53" s="40" t="str">
        <f>IFERROR(INDEX($W$46:$BE$3014,$BH53:$BH63,COLUMNS($BE$46:BG53)),"")</f>
        <v/>
      </c>
      <c r="BU53" s="40" t="str">
        <f>IFERROR(INDEX($W$46:$BE$3014,$BH53:$BH63,COLUMNS($BE$46:BH53)),"")</f>
        <v/>
      </c>
      <c r="BV53" s="40" t="str">
        <f>IFERROR(INDEX($W$46:$BE$3014,$BH53:$BH63,COLUMNS($BE$46:BI53)),"")</f>
        <v/>
      </c>
      <c r="BW53" s="40" t="str">
        <f>IFERROR(INDEX($W$46:$BE$3014,$BH53:$BH63,COLUMNS($BE$46:BJ53)),"")</f>
        <v/>
      </c>
      <c r="BX53" s="40" t="str">
        <f>IFERROR(INDEX($W$46:$BE$3014,$BH53:$BH63,COLUMNS($BE$46:BK53)),"")</f>
        <v/>
      </c>
      <c r="BY53" s="40" t="str">
        <f>IFERROR(INDEX($W$46:$BE$3014,$BH53:$BH63,COLUMNS($BE$46:BL53)),"")</f>
        <v/>
      </c>
      <c r="BZ53" s="40" t="str">
        <f>IFERROR(INDEX($W$46:$BE$3014,$BH53:$BH63,COLUMNS($BE$46:BM53)),"")</f>
        <v/>
      </c>
      <c r="CA53" s="40" t="str">
        <f>IFERROR(INDEX($W$46:$BE$3014,$BH53:$BH63,COLUMNS($BE$46:BN53)),"")</f>
        <v/>
      </c>
      <c r="CB53" s="40" t="str">
        <f>IFERROR(INDEX($W$46:$BE$3014,$BH53:$BH63,COLUMNS($BE$46:BO53)),"")</f>
        <v/>
      </c>
      <c r="CC53" s="40" t="str">
        <f>IFERROR(INDEX($W$46:$BE$3014,$BH53:$BH63,COLUMNS($BE$46:BP53)),"")</f>
        <v/>
      </c>
      <c r="CD53" s="40" t="str">
        <f>IFERROR(INDEX($W$46:$BE$3014,$BH53:$BH63,COLUMNS($BE$46:BQ53)),"")</f>
        <v/>
      </c>
      <c r="CE53" s="40" t="str">
        <f>IFERROR(INDEX($W$46:$BE$3014,$BH53:$BH63,COLUMNS($BE$46:BR53)),"")</f>
        <v/>
      </c>
      <c r="CF53" s="40" t="str">
        <f>IFERROR(INDEX($W$46:$BE$3014,$BH53:$BH63,COLUMNS($BE$46:BS53)),"")</f>
        <v/>
      </c>
      <c r="CG53" s="40" t="str">
        <f>IFERROR(INDEX($W$46:$BE$3014,$BH53:$BH63,COLUMNS($BE$46:BT53)),"")</f>
        <v/>
      </c>
      <c r="CH53" s="40" t="str">
        <f>IFERROR(INDEX($W$46:$BE$3014,$BH53:$BH63,COLUMNS($BE$46:BU53)),"")</f>
        <v/>
      </c>
      <c r="CI53" s="40" t="str">
        <f>IFERROR(INDEX($W$46:$BE$3014,$BH53:$BH63,COLUMNS($BE$46:BV53)),"")</f>
        <v/>
      </c>
      <c r="CJ53" s="40" t="str">
        <f>IFERROR(INDEX($W$46:$BE$3014,$BH53:$BH63,COLUMNS($BE$46:BW53)),"")</f>
        <v/>
      </c>
      <c r="CK53" s="40" t="str">
        <f>IFERROR(INDEX($W$46:$BE$3014,$BH53:$BH63,COLUMNS($BE$46:BX53)),"")</f>
        <v/>
      </c>
      <c r="CL53" s="40" t="str">
        <f>IFERROR(INDEX($W$46:$BE$3014,$BH53:$BH63,COLUMNS($BE$46:BY53)),"")</f>
        <v/>
      </c>
      <c r="CM53" s="40" t="str">
        <f>IFERROR(INDEX($W$46:$BE$3014,$BH53:$BH63,COLUMNS($BE$46:BZ53)),"")</f>
        <v/>
      </c>
      <c r="CN53" s="40" t="str">
        <f>IFERROR(INDEX($W$46:$BE$3014,$BH53:$BH63,COLUMNS($BE$46:CA53)),"")</f>
        <v/>
      </c>
      <c r="CO53" s="40" t="str">
        <f>IFERROR(INDEX($W$46:$BE$3014,$BH53:$BH63,COLUMNS($BE$46:CB53)),"")</f>
        <v/>
      </c>
      <c r="CP53" s="40" t="str">
        <f>IFERROR(INDEX($W$46:$BE$3014,$BH53:$BH63,COLUMNS($BE$46:CC53)),"")</f>
        <v/>
      </c>
      <c r="CQ53" s="40" t="str">
        <f>IFERROR(INDEX($W$46:$BE$3014,$BH53:$BH63,COLUMNS($BE$46:CD53)),"")</f>
        <v/>
      </c>
      <c r="CR53" s="40" t="str">
        <f>IFERROR(INDEX($W$46:$BE$3014,$BH53:$BH63,COLUMNS($BE$46:CE53)),"")</f>
        <v/>
      </c>
      <c r="CS53" s="40" t="str">
        <f>IFERROR(INDEX($W$46:$BE$3014,$BH53:$BH63,COLUMNS($BE$46:CF53)),"")</f>
        <v/>
      </c>
      <c r="CT53" s="40" t="str">
        <f>IFERROR(INDEX($W$46:$BE$3014,$BH53:$BH63,COLUMNS($BE$46:CG53)),"")</f>
        <v/>
      </c>
      <c r="CU53" s="40" t="str">
        <f>IFERROR(INDEX($W$46:$BE$3014,$BH53:$BH63,COLUMNS($BE$46:CH53)),"")</f>
        <v/>
      </c>
      <c r="CV53" s="40" t="str">
        <f>IFERROR(INDEX($W$46:$BE$3014,$BH53:$BH63,COLUMNS($BE$46:CI53)),"")</f>
        <v/>
      </c>
      <c r="CW53" s="40" t="str">
        <f>IFERROR(INDEX($W$46:$BE$3014,$BH53:$BH63,COLUMNS($BE$46:CJ53)),"")</f>
        <v/>
      </c>
      <c r="CX53" s="40" t="str">
        <f>IFERROR(INDEX($W$46:$BE$3014,$BH53:$BH63,COLUMNS($BE$46:CK53)),"")</f>
        <v/>
      </c>
      <c r="CY53" s="40" t="str">
        <f>IFERROR(INDEX($W$46:$BE$3014,$BH53:$BH63,COLUMNS($BE$46:CL53)),"")</f>
        <v/>
      </c>
      <c r="CZ53" s="40" t="str">
        <f>IFERROR(INDEX($W$46:$BE$3014,$BH53:$BH63,COLUMNS($BE$46:CM53)),"")</f>
        <v/>
      </c>
      <c r="DA53" s="40" t="str">
        <f>IFERROR(INDEX($W$46:$BE$3014,$BH53:$BH63,COLUMNS($BE$46:CN53)),"")</f>
        <v/>
      </c>
      <c r="DB53" s="37">
        <v>752555</v>
      </c>
      <c r="DD53" s="75">
        <v>50</v>
      </c>
      <c r="DE53" s="37">
        <v>744015</v>
      </c>
      <c r="DF53" t="s">
        <v>202</v>
      </c>
      <c r="DG53" s="37" t="str">
        <f t="shared" si="60"/>
        <v>1613 CT81  0.018"</v>
      </c>
      <c r="DH53" s="37">
        <v>16</v>
      </c>
      <c r="DI53" s="37">
        <v>1613</v>
      </c>
      <c r="DJ53" s="37" t="s">
        <v>261</v>
      </c>
      <c r="DK53" s="37"/>
      <c r="DL53" s="37" t="s">
        <v>240</v>
      </c>
      <c r="DM53" s="37">
        <v>155</v>
      </c>
      <c r="DN53" s="37">
        <v>5</v>
      </c>
      <c r="DO53" s="37">
        <v>497</v>
      </c>
      <c r="DP53" s="37"/>
      <c r="DQ53" s="37"/>
      <c r="DR53" s="37" t="str">
        <f t="shared" si="61"/>
        <v xml:space="preserve">1613 CT81 </v>
      </c>
      <c r="DS53" s="37">
        <f t="shared" si="43"/>
        <v>213.77199999999999</v>
      </c>
      <c r="DT53" s="10">
        <v>164.44</v>
      </c>
      <c r="DV53" s="10" t="s">
        <v>732</v>
      </c>
      <c r="DW53" t="s">
        <v>1590</v>
      </c>
      <c r="DX53">
        <v>20</v>
      </c>
      <c r="DY53" t="s">
        <v>1680</v>
      </c>
      <c r="DZ53" t="s">
        <v>1668</v>
      </c>
      <c r="EA53">
        <v>1</v>
      </c>
      <c r="EB53" t="s">
        <v>1513</v>
      </c>
      <c r="EC53" s="10">
        <v>545</v>
      </c>
      <c r="ED53" s="10" t="s">
        <v>1743</v>
      </c>
      <c r="EE53" s="813">
        <f t="shared" si="19"/>
        <v>0</v>
      </c>
      <c r="EF53">
        <f>ROWS($DE$2:DE53)</f>
        <v>52</v>
      </c>
      <c r="EG53" t="str">
        <f t="shared" si="26"/>
        <v/>
      </c>
      <c r="EJ53" t="str">
        <f t="shared" si="27"/>
        <v/>
      </c>
      <c r="EM53" t="str">
        <f t="shared" si="28"/>
        <v/>
      </c>
      <c r="EP53" t="str">
        <f t="shared" si="29"/>
        <v/>
      </c>
      <c r="ES53" t="str">
        <f t="shared" si="30"/>
        <v/>
      </c>
      <c r="EV53" t="str">
        <f t="shared" si="31"/>
        <v/>
      </c>
      <c r="EY53" t="str">
        <f t="shared" si="32"/>
        <v/>
      </c>
      <c r="FB53" t="str">
        <f t="shared" si="33"/>
        <v/>
      </c>
      <c r="FE53" t="str">
        <f t="shared" si="34"/>
        <v/>
      </c>
      <c r="FH53" t="str">
        <f t="shared" si="35"/>
        <v/>
      </c>
      <c r="FK53" t="str">
        <f t="shared" si="36"/>
        <v/>
      </c>
      <c r="FN53" t="str">
        <f t="shared" si="37"/>
        <v/>
      </c>
      <c r="FQ53" t="str">
        <f t="shared" si="38"/>
        <v/>
      </c>
      <c r="FT53" t="str">
        <f t="shared" si="39"/>
        <v/>
      </c>
      <c r="FW53" t="str">
        <f t="shared" si="40"/>
        <v/>
      </c>
      <c r="FZ53" t="str">
        <f t="shared" si="41"/>
        <v/>
      </c>
      <c r="GC53" t="str">
        <f t="shared" si="42"/>
        <v/>
      </c>
      <c r="GE53" s="155"/>
      <c r="GF53" s="26" t="str">
        <f t="shared" si="45"/>
        <v>06.4.1 - 30</v>
      </c>
      <c r="GG53" s="28" t="str">
        <f t="shared" si="46"/>
        <v>6.4.1 30</v>
      </c>
      <c r="GH53" s="882" t="s">
        <v>1590</v>
      </c>
      <c r="GI53" s="75">
        <v>30</v>
      </c>
      <c r="GJ53" s="874" t="s">
        <v>1673</v>
      </c>
      <c r="GK53" s="875" t="s">
        <v>1668</v>
      </c>
      <c r="GL53" s="876">
        <v>1</v>
      </c>
      <c r="GM53" s="37" t="s">
        <v>1513</v>
      </c>
      <c r="GN53" s="877">
        <v>662</v>
      </c>
      <c r="GO53" s="26">
        <f t="shared" si="58"/>
        <v>6</v>
      </c>
      <c r="GP53" t="s">
        <v>1668</v>
      </c>
      <c r="GQ53" s="26" t="s">
        <v>1768</v>
      </c>
      <c r="GS53">
        <f>ROWS($GJ$20:GJ53)</f>
        <v>34</v>
      </c>
      <c r="GT53" s="63">
        <f t="shared" si="57"/>
        <v>34</v>
      </c>
      <c r="GU53"/>
      <c r="HC53" s="805"/>
      <c r="HD53" s="805"/>
    </row>
    <row r="54" spans="1:212" ht="12.75" customHeight="1" x14ac:dyDescent="0.35">
      <c r="B54" s="25"/>
      <c r="C54" s="26"/>
      <c r="F54" s="672" t="s">
        <v>1526</v>
      </c>
      <c r="G54">
        <v>1</v>
      </c>
      <c r="H54" s="673">
        <v>0</v>
      </c>
      <c r="L54" s="176">
        <v>649706</v>
      </c>
      <c r="O54" s="167">
        <v>3</v>
      </c>
      <c r="P54" s="167">
        <v>729688</v>
      </c>
      <c r="Q54" s="167">
        <v>3</v>
      </c>
      <c r="R54" s="167"/>
      <c r="S54" s="167">
        <v>6.125</v>
      </c>
      <c r="T54" s="167" t="s">
        <v>813</v>
      </c>
      <c r="U54" s="167">
        <v>874733</v>
      </c>
      <c r="V54" s="40" t="s">
        <v>89</v>
      </c>
      <c r="W54" s="40">
        <v>3</v>
      </c>
      <c r="X54" s="40">
        <v>2</v>
      </c>
      <c r="Y54" s="40">
        <v>2</v>
      </c>
      <c r="Z54" s="40">
        <v>2</v>
      </c>
      <c r="AA54" s="174">
        <v>2</v>
      </c>
      <c r="AB54" s="174">
        <v>1</v>
      </c>
      <c r="AC54" s="177"/>
      <c r="AD54" s="10"/>
      <c r="AE54" s="79">
        <v>4</v>
      </c>
      <c r="AF54" s="80">
        <v>4</v>
      </c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F54">
        <f>ROWS($U$46:U54)</f>
        <v>9</v>
      </c>
      <c r="BG54" t="str">
        <f t="shared" si="66"/>
        <v/>
      </c>
      <c r="BH54" t="str">
        <f>IFERROR(SMALL($BG$46:$BG$3014,ROWS($BG$46:BG54)),"")</f>
        <v/>
      </c>
      <c r="BI54" s="170">
        <f>IFERROR(INDEX($O$46:$T$3015,$BH54:$BH65,COLUMNS($BE$46:BE54)),0)</f>
        <v>0</v>
      </c>
      <c r="BJ54" s="170">
        <f>IFERROR(INDEX($O$46:$T$3015,$BH54:$BH65,COLUMNS($BE$46:BF54)),0)</f>
        <v>0</v>
      </c>
      <c r="BK54" s="170">
        <f>IFERROR(INDEX($O$46:$T$3015,$BH54:$BH65,COLUMNS($BE$46:BG54)),0)</f>
        <v>0</v>
      </c>
      <c r="BL54" s="170">
        <f>IFERROR(INDEX($O$46:$T$3015,$BH54:$BH65,COLUMNS($BE$46:BH54)),0)</f>
        <v>0</v>
      </c>
      <c r="BM54" s="170">
        <f>IFERROR(INDEX($O$46:$T$3015,$BH54:$BH65,COLUMNS($BE$46:BI54)),0)</f>
        <v>0</v>
      </c>
      <c r="BN54" s="170">
        <f>IFERROR(INDEX($O$46:$T$3015,$BH54:$BH65,COLUMNS($BE$46:BJ54)),0)</f>
        <v>0</v>
      </c>
      <c r="BO54" s="170">
        <f>IFERROR(INDEX($O$46:$T$3015,$BH54:$BH65,COLUMNS($BE$46:BG54)),0)</f>
        <v>0</v>
      </c>
      <c r="BP54" s="44"/>
      <c r="BQ54" s="140" t="s">
        <v>113</v>
      </c>
      <c r="BR54" s="40" t="str">
        <f>IFERROR(INDEX($W$46:$BE$3014,$BH54:$BH64,COLUMNS($BE$46:BE54)),"")</f>
        <v/>
      </c>
      <c r="BS54" s="40" t="str">
        <f>IFERROR(INDEX($W$46:$BE$3014,$BH54:$BH64,COLUMNS($BE$46:BF54)),"")</f>
        <v/>
      </c>
      <c r="BT54" s="40" t="str">
        <f>IFERROR(INDEX($W$46:$BE$3014,$BH54:$BH64,COLUMNS($BE$46:BG54)),"")</f>
        <v/>
      </c>
      <c r="BU54" s="40" t="str">
        <f>IFERROR(INDEX($W$46:$BE$3014,$BH54:$BH64,COLUMNS($BE$46:BH54)),"")</f>
        <v/>
      </c>
      <c r="BV54" s="40" t="str">
        <f>IFERROR(INDEX($W$46:$BE$3014,$BH54:$BH64,COLUMNS($BE$46:BI54)),"")</f>
        <v/>
      </c>
      <c r="BW54" s="40" t="str">
        <f>IFERROR(INDEX($W$46:$BE$3014,$BH54:$BH64,COLUMNS($BE$46:BJ54)),"")</f>
        <v/>
      </c>
      <c r="BX54" s="40" t="str">
        <f>IFERROR(INDEX($W$46:$BE$3014,$BH54:$BH64,COLUMNS($BE$46:BK54)),"")</f>
        <v/>
      </c>
      <c r="BY54" s="40" t="str">
        <f>IFERROR(INDEX($W$46:$BE$3014,$BH54:$BH64,COLUMNS($BE$46:BL54)),"")</f>
        <v/>
      </c>
      <c r="BZ54" s="40" t="str">
        <f>IFERROR(INDEX($W$46:$BE$3014,$BH54:$BH64,COLUMNS($BE$46:BM54)),"")</f>
        <v/>
      </c>
      <c r="CA54" s="40" t="str">
        <f>IFERROR(INDEX($W$46:$BE$3014,$BH54:$BH64,COLUMNS($BE$46:BN54)),"")</f>
        <v/>
      </c>
      <c r="CB54" s="40" t="str">
        <f>IFERROR(INDEX($W$46:$BE$3014,$BH54:$BH64,COLUMNS($BE$46:BO54)),"")</f>
        <v/>
      </c>
      <c r="CC54" s="40" t="str">
        <f>IFERROR(INDEX($W$46:$BE$3014,$BH54:$BH64,COLUMNS($BE$46:BP54)),"")</f>
        <v/>
      </c>
      <c r="CD54" s="40" t="str">
        <f>IFERROR(INDEX($W$46:$BE$3014,$BH54:$BH64,COLUMNS($BE$46:BQ54)),"")</f>
        <v/>
      </c>
      <c r="CE54" s="40" t="str">
        <f>IFERROR(INDEX($W$46:$BE$3014,$BH54:$BH64,COLUMNS($BE$46:BR54)),"")</f>
        <v/>
      </c>
      <c r="CF54" s="40" t="str">
        <f>IFERROR(INDEX($W$46:$BE$3014,$BH54:$BH64,COLUMNS($BE$46:BS54)),"")</f>
        <v/>
      </c>
      <c r="CG54" s="40" t="str">
        <f>IFERROR(INDEX($W$46:$BE$3014,$BH54:$BH64,COLUMNS($BE$46:BT54)),"")</f>
        <v/>
      </c>
      <c r="CH54" s="40" t="str">
        <f>IFERROR(INDEX($W$46:$BE$3014,$BH54:$BH64,COLUMNS($BE$46:BU54)),"")</f>
        <v/>
      </c>
      <c r="CI54" s="40" t="str">
        <f>IFERROR(INDEX($W$46:$BE$3014,$BH54:$BH64,COLUMNS($BE$46:BV54)),"")</f>
        <v/>
      </c>
      <c r="CJ54" s="40" t="str">
        <f>IFERROR(INDEX($W$46:$BE$3014,$BH54:$BH64,COLUMNS($BE$46:BW54)),"")</f>
        <v/>
      </c>
      <c r="CK54" s="40" t="str">
        <f>IFERROR(INDEX($W$46:$BE$3014,$BH54:$BH64,COLUMNS($BE$46:BX54)),"")</f>
        <v/>
      </c>
      <c r="CL54" s="40" t="str">
        <f>IFERROR(INDEX($W$46:$BE$3014,$BH54:$BH64,COLUMNS($BE$46:BY54)),"")</f>
        <v/>
      </c>
      <c r="CM54" s="40" t="str">
        <f>IFERROR(INDEX($W$46:$BE$3014,$BH54:$BH64,COLUMNS($BE$46:BZ54)),"")</f>
        <v/>
      </c>
      <c r="CN54" s="40" t="str">
        <f>IFERROR(INDEX($W$46:$BE$3014,$BH54:$BH64,COLUMNS($BE$46:CA54)),"")</f>
        <v/>
      </c>
      <c r="CO54" s="40" t="str">
        <f>IFERROR(INDEX($W$46:$BE$3014,$BH54:$BH64,COLUMNS($BE$46:CB54)),"")</f>
        <v/>
      </c>
      <c r="CP54" s="40" t="str">
        <f>IFERROR(INDEX($W$46:$BE$3014,$BH54:$BH64,COLUMNS($BE$46:CC54)),"")</f>
        <v/>
      </c>
      <c r="CQ54" s="40" t="str">
        <f>IFERROR(INDEX($W$46:$BE$3014,$BH54:$BH64,COLUMNS($BE$46:CD54)),"")</f>
        <v/>
      </c>
      <c r="CR54" s="40" t="str">
        <f>IFERROR(INDEX($W$46:$BE$3014,$BH54:$BH64,COLUMNS($BE$46:CE54)),"")</f>
        <v/>
      </c>
      <c r="CS54" s="40" t="str">
        <f>IFERROR(INDEX($W$46:$BE$3014,$BH54:$BH64,COLUMNS($BE$46:CF54)),"")</f>
        <v/>
      </c>
      <c r="CT54" s="40" t="str">
        <f>IFERROR(INDEX($W$46:$BE$3014,$BH54:$BH64,COLUMNS($BE$46:CG54)),"")</f>
        <v/>
      </c>
      <c r="CU54" s="40" t="str">
        <f>IFERROR(INDEX($W$46:$BE$3014,$BH54:$BH64,COLUMNS($BE$46:CH54)),"")</f>
        <v/>
      </c>
      <c r="CV54" s="40" t="str">
        <f>IFERROR(INDEX($W$46:$BE$3014,$BH54:$BH64,COLUMNS($BE$46:CI54)),"")</f>
        <v/>
      </c>
      <c r="CW54" s="40" t="str">
        <f>IFERROR(INDEX($W$46:$BE$3014,$BH54:$BH64,COLUMNS($BE$46:CJ54)),"")</f>
        <v/>
      </c>
      <c r="CX54" s="40" t="str">
        <f>IFERROR(INDEX($W$46:$BE$3014,$BH54:$BH64,COLUMNS($BE$46:CK54)),"")</f>
        <v/>
      </c>
      <c r="CY54" s="40" t="str">
        <f>IFERROR(INDEX($W$46:$BE$3014,$BH54:$BH64,COLUMNS($BE$46:CL54)),"")</f>
        <v/>
      </c>
      <c r="CZ54" s="40" t="str">
        <f>IFERROR(INDEX($W$46:$BE$3014,$BH54:$BH64,COLUMNS($BE$46:CM54)),"")</f>
        <v/>
      </c>
      <c r="DA54" s="40" t="str">
        <f>IFERROR(INDEX($W$46:$BE$3014,$BH54:$BH64,COLUMNS($BE$46:CN54)),"")</f>
        <v/>
      </c>
      <c r="DB54" s="37">
        <v>752563</v>
      </c>
      <c r="DD54" s="75">
        <v>14</v>
      </c>
      <c r="DE54" s="37">
        <v>745171</v>
      </c>
      <c r="DF54" t="s">
        <v>203</v>
      </c>
      <c r="DG54" s="37" t="str">
        <f t="shared" si="60"/>
        <v>1308 CT80  0.010"</v>
      </c>
      <c r="DH54" s="37">
        <v>13</v>
      </c>
      <c r="DI54" s="37">
        <v>1308</v>
      </c>
      <c r="DJ54" s="37" t="s">
        <v>262</v>
      </c>
      <c r="DK54" s="37"/>
      <c r="DL54" s="37" t="s">
        <v>239</v>
      </c>
      <c r="DM54" s="37">
        <v>43</v>
      </c>
      <c r="DN54" s="37">
        <v>0</v>
      </c>
      <c r="DO54" s="37">
        <v>360</v>
      </c>
      <c r="DP54" s="37"/>
      <c r="DQ54" s="37"/>
      <c r="DR54" s="37" t="str">
        <f t="shared" si="61"/>
        <v xml:space="preserve">1308 CT80 </v>
      </c>
      <c r="DS54" s="37">
        <f t="shared" si="43"/>
        <v>0</v>
      </c>
      <c r="DU54" s="10">
        <v>100</v>
      </c>
      <c r="DV54" s="10" t="s">
        <v>146</v>
      </c>
      <c r="DW54" t="s">
        <v>1589</v>
      </c>
      <c r="DX54">
        <v>10</v>
      </c>
      <c r="DY54" t="s">
        <v>1675</v>
      </c>
      <c r="DZ54" t="s">
        <v>1670</v>
      </c>
      <c r="EA54">
        <v>1</v>
      </c>
      <c r="EB54" t="s">
        <v>1513</v>
      </c>
      <c r="EC54" s="10">
        <v>345</v>
      </c>
      <c r="ED54" s="10" t="s">
        <v>1738</v>
      </c>
      <c r="EE54" s="813">
        <f t="shared" si="19"/>
        <v>0</v>
      </c>
      <c r="EF54">
        <f>ROWS($DE$2:DE54)</f>
        <v>53</v>
      </c>
      <c r="EG54" t="str">
        <f t="shared" si="26"/>
        <v/>
      </c>
      <c r="EJ54" t="str">
        <f t="shared" si="27"/>
        <v/>
      </c>
      <c r="EM54" t="str">
        <f t="shared" si="28"/>
        <v/>
      </c>
      <c r="EP54" t="str">
        <f t="shared" si="29"/>
        <v/>
      </c>
      <c r="ES54" t="str">
        <f t="shared" si="30"/>
        <v/>
      </c>
      <c r="EV54" t="str">
        <f t="shared" si="31"/>
        <v/>
      </c>
      <c r="EY54" t="str">
        <f t="shared" si="32"/>
        <v/>
      </c>
      <c r="FB54" t="str">
        <f t="shared" si="33"/>
        <v/>
      </c>
      <c r="FE54" t="str">
        <f t="shared" si="34"/>
        <v/>
      </c>
      <c r="FH54" t="str">
        <f t="shared" si="35"/>
        <v/>
      </c>
      <c r="FK54" t="str">
        <f t="shared" si="36"/>
        <v/>
      </c>
      <c r="FN54" t="str">
        <f t="shared" si="37"/>
        <v/>
      </c>
      <c r="FQ54" t="str">
        <f t="shared" si="38"/>
        <v/>
      </c>
      <c r="FT54" t="str">
        <f t="shared" si="39"/>
        <v/>
      </c>
      <c r="FW54" t="str">
        <f t="shared" si="40"/>
        <v/>
      </c>
      <c r="FZ54" t="str">
        <f t="shared" si="41"/>
        <v/>
      </c>
      <c r="GC54" t="str">
        <f t="shared" si="42"/>
        <v/>
      </c>
      <c r="GE54" s="155"/>
      <c r="GF54" s="26" t="str">
        <f t="shared" si="45"/>
        <v>06.4.1 - 40</v>
      </c>
      <c r="GG54" s="28" t="str">
        <f t="shared" si="46"/>
        <v>6.4.1 40</v>
      </c>
      <c r="GH54" s="882" t="s">
        <v>1590</v>
      </c>
      <c r="GI54" s="75">
        <v>40</v>
      </c>
      <c r="GJ54" s="874" t="s">
        <v>1712</v>
      </c>
      <c r="GK54" s="875" t="s">
        <v>1668</v>
      </c>
      <c r="GL54" s="876">
        <v>1</v>
      </c>
      <c r="GM54" s="37" t="s">
        <v>1513</v>
      </c>
      <c r="GN54" s="877">
        <v>333</v>
      </c>
      <c r="GO54" s="26">
        <f t="shared" si="58"/>
        <v>0</v>
      </c>
      <c r="GP54" t="s">
        <v>1668</v>
      </c>
      <c r="GQ54" s="26" t="s">
        <v>1769</v>
      </c>
      <c r="GS54">
        <f>ROWS($GJ$20:GJ54)</f>
        <v>35</v>
      </c>
      <c r="GT54" s="63" t="str">
        <f t="shared" si="57"/>
        <v/>
      </c>
      <c r="GU54"/>
      <c r="HC54" s="805"/>
      <c r="HD54" s="805"/>
    </row>
    <row r="55" spans="1:212" ht="12.75" customHeight="1" x14ac:dyDescent="0.35">
      <c r="B55" s="25"/>
      <c r="C55" s="26"/>
      <c r="F55" s="29" t="s">
        <v>1527</v>
      </c>
      <c r="G55">
        <v>2</v>
      </c>
      <c r="H55" s="576">
        <v>0</v>
      </c>
      <c r="L55" s="166">
        <v>657759</v>
      </c>
      <c r="O55" s="167">
        <v>4</v>
      </c>
      <c r="P55" s="167">
        <v>375538</v>
      </c>
      <c r="Q55" s="167">
        <v>12</v>
      </c>
      <c r="R55" s="167"/>
      <c r="S55" s="167">
        <v>6.125</v>
      </c>
      <c r="T55" s="167" t="s">
        <v>813</v>
      </c>
      <c r="U55" s="167">
        <v>874733</v>
      </c>
      <c r="V55" s="40" t="s">
        <v>90</v>
      </c>
      <c r="W55" s="40">
        <v>2</v>
      </c>
      <c r="X55" s="40">
        <v>2</v>
      </c>
      <c r="Y55" s="40">
        <v>2</v>
      </c>
      <c r="Z55" s="171">
        <v>1</v>
      </c>
      <c r="AA55" s="171"/>
      <c r="AB55" s="172"/>
      <c r="AC55" s="178"/>
      <c r="AD55" s="10"/>
      <c r="AE55" s="79">
        <v>4</v>
      </c>
      <c r="AF55" s="80">
        <v>4</v>
      </c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F55">
        <f>ROWS($U$46:U55)</f>
        <v>10</v>
      </c>
      <c r="BG55" t="str">
        <f t="shared" si="66"/>
        <v/>
      </c>
      <c r="BH55" t="str">
        <f>IFERROR(SMALL($BG$46:$BG$3014,ROWS($BG$46:BG55)),"")</f>
        <v/>
      </c>
      <c r="BI55" s="170">
        <f>IFERROR(INDEX($O$46:$T$3015,$BH55:$BH66,COLUMNS($BE$46:BE55)),0)</f>
        <v>0</v>
      </c>
      <c r="BJ55" s="170">
        <f>IFERROR(INDEX($O$46:$T$3015,$BH55:$BH66,COLUMNS($BE$46:BF55)),0)</f>
        <v>0</v>
      </c>
      <c r="BK55" s="170">
        <f>IFERROR(INDEX($O$46:$T$3015,$BH55:$BH66,COLUMNS($BE$46:BG55)),0)</f>
        <v>0</v>
      </c>
      <c r="BL55" s="170">
        <f>IFERROR(INDEX($O$46:$T$3015,$BH55:$BH66,COLUMNS($BE$46:BH55)),0)</f>
        <v>0</v>
      </c>
      <c r="BM55" s="170">
        <f>IFERROR(INDEX($O$46:$T$3015,$BH55:$BH66,COLUMNS($BE$46:BI55)),0)</f>
        <v>0</v>
      </c>
      <c r="BN55" s="170">
        <f>IFERROR(INDEX($O$46:$T$3015,$BH55:$BH66,COLUMNS($BE$46:BJ55)),0)</f>
        <v>0</v>
      </c>
      <c r="BO55" s="170">
        <f>IFERROR(INDEX($O$46:$T$3015,$BH55:$BH66,COLUMNS($BE$46:BG55)),0)</f>
        <v>0</v>
      </c>
      <c r="BP55" s="44"/>
      <c r="BQ55" s="140" t="s">
        <v>114</v>
      </c>
      <c r="BR55" s="40" t="str">
        <f>IFERROR(INDEX($W$46:$BE$3014,$BH55:$BH65,COLUMNS($BE$46:BE55)),"")</f>
        <v/>
      </c>
      <c r="BS55" s="40" t="str">
        <f>IFERROR(INDEX($W$46:$BE$3014,$BH55:$BH65,COLUMNS($BE$46:BF55)),"")</f>
        <v/>
      </c>
      <c r="BT55" s="40" t="str">
        <f>IFERROR(INDEX($W$46:$BE$3014,$BH55:$BH65,COLUMNS($BE$46:BG55)),"")</f>
        <v/>
      </c>
      <c r="BU55" s="40" t="str">
        <f>IFERROR(INDEX($W$46:$BE$3014,$BH55:$BH65,COLUMNS($BE$46:BH55)),"")</f>
        <v/>
      </c>
      <c r="BV55" s="40" t="str">
        <f>IFERROR(INDEX($W$46:$BE$3014,$BH55:$BH65,COLUMNS($BE$46:BI55)),"")</f>
        <v/>
      </c>
      <c r="BW55" s="40" t="str">
        <f>IFERROR(INDEX($W$46:$BE$3014,$BH55:$BH65,COLUMNS($BE$46:BJ55)),"")</f>
        <v/>
      </c>
      <c r="BX55" s="40" t="str">
        <f>IFERROR(INDEX($W$46:$BE$3014,$BH55:$BH65,COLUMNS($BE$46:BK55)),"")</f>
        <v/>
      </c>
      <c r="BY55" s="40" t="str">
        <f>IFERROR(INDEX($W$46:$BE$3014,$BH55:$BH65,COLUMNS($BE$46:BL55)),"")</f>
        <v/>
      </c>
      <c r="BZ55" s="40" t="str">
        <f>IFERROR(INDEX($W$46:$BE$3014,$BH55:$BH65,COLUMNS($BE$46:BM55)),"")</f>
        <v/>
      </c>
      <c r="CA55" s="40" t="str">
        <f>IFERROR(INDEX($W$46:$BE$3014,$BH55:$BH65,COLUMNS($BE$46:BN55)),"")</f>
        <v/>
      </c>
      <c r="CB55" s="40" t="str">
        <f>IFERROR(INDEX($W$46:$BE$3014,$BH55:$BH65,COLUMNS($BE$46:BO55)),"")</f>
        <v/>
      </c>
      <c r="CC55" s="40" t="str">
        <f>IFERROR(INDEX($W$46:$BE$3014,$BH55:$BH65,COLUMNS($BE$46:BP55)),"")</f>
        <v/>
      </c>
      <c r="CD55" s="40" t="str">
        <f>IFERROR(INDEX($W$46:$BE$3014,$BH55:$BH65,COLUMNS($BE$46:BQ55)),"")</f>
        <v/>
      </c>
      <c r="CE55" s="40" t="str">
        <f>IFERROR(INDEX($W$46:$BE$3014,$BH55:$BH65,COLUMNS($BE$46:BR55)),"")</f>
        <v/>
      </c>
      <c r="CF55" s="40" t="str">
        <f>IFERROR(INDEX($W$46:$BE$3014,$BH55:$BH65,COLUMNS($BE$46:BS55)),"")</f>
        <v/>
      </c>
      <c r="CG55" s="40" t="str">
        <f>IFERROR(INDEX($W$46:$BE$3014,$BH55:$BH65,COLUMNS($BE$46:BT55)),"")</f>
        <v/>
      </c>
      <c r="CH55" s="40" t="str">
        <f>IFERROR(INDEX($W$46:$BE$3014,$BH55:$BH65,COLUMNS($BE$46:BU55)),"")</f>
        <v/>
      </c>
      <c r="CI55" s="40" t="str">
        <f>IFERROR(INDEX($W$46:$BE$3014,$BH55:$BH65,COLUMNS($BE$46:BV55)),"")</f>
        <v/>
      </c>
      <c r="CJ55" s="40" t="str">
        <f>IFERROR(INDEX($W$46:$BE$3014,$BH55:$BH65,COLUMNS($BE$46:BW55)),"")</f>
        <v/>
      </c>
      <c r="CK55" s="40" t="str">
        <f>IFERROR(INDEX($W$46:$BE$3014,$BH55:$BH65,COLUMNS($BE$46:BX55)),"")</f>
        <v/>
      </c>
      <c r="CL55" s="40" t="str">
        <f>IFERROR(INDEX($W$46:$BE$3014,$BH55:$BH65,COLUMNS($BE$46:BY55)),"")</f>
        <v/>
      </c>
      <c r="CM55" s="40" t="str">
        <f>IFERROR(INDEX($W$46:$BE$3014,$BH55:$BH65,COLUMNS($BE$46:BZ55)),"")</f>
        <v/>
      </c>
      <c r="CN55" s="40" t="str">
        <f>IFERROR(INDEX($W$46:$BE$3014,$BH55:$BH65,COLUMNS($BE$46:CA55)),"")</f>
        <v/>
      </c>
      <c r="CO55" s="40" t="str">
        <f>IFERROR(INDEX($W$46:$BE$3014,$BH55:$BH65,COLUMNS($BE$46:CB55)),"")</f>
        <v/>
      </c>
      <c r="CP55" s="40" t="str">
        <f>IFERROR(INDEX($W$46:$BE$3014,$BH55:$BH65,COLUMNS($BE$46:CC55)),"")</f>
        <v/>
      </c>
      <c r="CQ55" s="40" t="str">
        <f>IFERROR(INDEX($W$46:$BE$3014,$BH55:$BH65,COLUMNS($BE$46:CD55)),"")</f>
        <v/>
      </c>
      <c r="CR55" s="40" t="str">
        <f>IFERROR(INDEX($W$46:$BE$3014,$BH55:$BH65,COLUMNS($BE$46:CE55)),"")</f>
        <v/>
      </c>
      <c r="CS55" s="40" t="str">
        <f>IFERROR(INDEX($W$46:$BE$3014,$BH55:$BH65,COLUMNS($BE$46:CF55)),"")</f>
        <v/>
      </c>
      <c r="CT55" s="40" t="str">
        <f>IFERROR(INDEX($W$46:$BE$3014,$BH55:$BH65,COLUMNS($BE$46:CG55)),"")</f>
        <v/>
      </c>
      <c r="CU55" s="40" t="str">
        <f>IFERROR(INDEX($W$46:$BE$3014,$BH55:$BH65,COLUMNS($BE$46:CH55)),"")</f>
        <v/>
      </c>
      <c r="CV55" s="40" t="str">
        <f>IFERROR(INDEX($W$46:$BE$3014,$BH55:$BH65,COLUMNS($BE$46:CI55)),"")</f>
        <v/>
      </c>
      <c r="CW55" s="40" t="str">
        <f>IFERROR(INDEX($W$46:$BE$3014,$BH55:$BH65,COLUMNS($BE$46:CJ55)),"")</f>
        <v/>
      </c>
      <c r="CX55" s="40" t="str">
        <f>IFERROR(INDEX($W$46:$BE$3014,$BH55:$BH65,COLUMNS($BE$46:CK55)),"")</f>
        <v/>
      </c>
      <c r="CY55" s="40" t="str">
        <f>IFERROR(INDEX($W$46:$BE$3014,$BH55:$BH65,COLUMNS($BE$46:CL55)),"")</f>
        <v/>
      </c>
      <c r="CZ55" s="40" t="str">
        <f>IFERROR(INDEX($W$46:$BE$3014,$BH55:$BH65,COLUMNS($BE$46:CM55)),"")</f>
        <v/>
      </c>
      <c r="DA55" s="40" t="str">
        <f>IFERROR(INDEX($W$46:$BE$3014,$BH55:$BH65,COLUMNS($BE$46:CN55)),"")</f>
        <v/>
      </c>
      <c r="DB55" s="37">
        <v>755975</v>
      </c>
      <c r="DD55" s="75">
        <v>59</v>
      </c>
      <c r="DE55" s="37">
        <v>745338</v>
      </c>
      <c r="DF55" t="s">
        <v>204</v>
      </c>
      <c r="DG55" s="37" t="str">
        <f t="shared" si="60"/>
        <v>1613 CT80  0.018"</v>
      </c>
      <c r="DH55" s="37">
        <v>16</v>
      </c>
      <c r="DI55" s="37">
        <v>1613</v>
      </c>
      <c r="DJ55" s="37" t="s">
        <v>262</v>
      </c>
      <c r="DK55" s="37"/>
      <c r="DL55" s="37" t="s">
        <v>240</v>
      </c>
      <c r="DM55" s="37">
        <v>0</v>
      </c>
      <c r="DN55" s="37">
        <v>16</v>
      </c>
      <c r="DO55" s="37">
        <v>497</v>
      </c>
      <c r="DP55" s="37"/>
      <c r="DQ55" s="37"/>
      <c r="DR55" s="37" t="str">
        <f t="shared" si="61"/>
        <v xml:space="preserve">1613 CT80 </v>
      </c>
      <c r="DS55" s="37">
        <f t="shared" si="43"/>
        <v>0</v>
      </c>
      <c r="DV55" s="10" t="s">
        <v>146</v>
      </c>
      <c r="DW55" t="s">
        <v>1590</v>
      </c>
      <c r="DX55">
        <v>10</v>
      </c>
      <c r="DY55" t="s">
        <v>1681</v>
      </c>
      <c r="DZ55" t="s">
        <v>1668</v>
      </c>
      <c r="EA55">
        <v>1</v>
      </c>
      <c r="EB55" t="s">
        <v>1513</v>
      </c>
      <c r="EC55" s="10">
        <v>490</v>
      </c>
      <c r="ED55" s="10" t="s">
        <v>1744</v>
      </c>
      <c r="EE55" s="813">
        <f t="shared" si="19"/>
        <v>0</v>
      </c>
      <c r="EF55">
        <f>ROWS($DE$2:DE55)</f>
        <v>54</v>
      </c>
      <c r="EG55" t="str">
        <f t="shared" si="26"/>
        <v/>
      </c>
      <c r="EJ55" t="str">
        <f t="shared" si="27"/>
        <v/>
      </c>
      <c r="EM55" t="str">
        <f t="shared" si="28"/>
        <v/>
      </c>
      <c r="EP55" t="str">
        <f t="shared" si="29"/>
        <v/>
      </c>
      <c r="ES55" t="str">
        <f t="shared" si="30"/>
        <v/>
      </c>
      <c r="EV55" t="str">
        <f t="shared" si="31"/>
        <v/>
      </c>
      <c r="EY55" t="str">
        <f t="shared" si="32"/>
        <v/>
      </c>
      <c r="FB55" t="str">
        <f t="shared" si="33"/>
        <v/>
      </c>
      <c r="FE55" t="str">
        <f t="shared" si="34"/>
        <v/>
      </c>
      <c r="FH55" t="str">
        <f t="shared" si="35"/>
        <v/>
      </c>
      <c r="FK55" t="str">
        <f t="shared" si="36"/>
        <v/>
      </c>
      <c r="FN55" t="str">
        <f t="shared" si="37"/>
        <v/>
      </c>
      <c r="FQ55" t="str">
        <f t="shared" si="38"/>
        <v/>
      </c>
      <c r="FT55" t="str">
        <f t="shared" si="39"/>
        <v/>
      </c>
      <c r="FW55" t="str">
        <f t="shared" si="40"/>
        <v/>
      </c>
      <c r="FZ55" t="str">
        <f t="shared" si="41"/>
        <v/>
      </c>
      <c r="GC55" t="str">
        <f t="shared" si="42"/>
        <v/>
      </c>
      <c r="GE55" s="155"/>
      <c r="GF55" s="26" t="str">
        <f t="shared" si="45"/>
        <v>06.4.1 - 50</v>
      </c>
      <c r="GG55" s="28" t="str">
        <f t="shared" si="46"/>
        <v>6.4.1 50</v>
      </c>
      <c r="GH55" s="882" t="s">
        <v>1590</v>
      </c>
      <c r="GI55" s="75">
        <v>50</v>
      </c>
      <c r="GJ55" s="874" t="s">
        <v>1713</v>
      </c>
      <c r="GK55" s="875" t="s">
        <v>1668</v>
      </c>
      <c r="GL55" s="876">
        <v>1</v>
      </c>
      <c r="GM55" s="37" t="s">
        <v>1513</v>
      </c>
      <c r="GN55" s="877">
        <v>202</v>
      </c>
      <c r="GO55" s="26">
        <f t="shared" si="58"/>
        <v>0</v>
      </c>
      <c r="GP55" t="s">
        <v>1668</v>
      </c>
      <c r="GQ55" s="26" t="s">
        <v>1770</v>
      </c>
      <c r="GS55">
        <f>ROWS($GJ$20:GJ55)</f>
        <v>36</v>
      </c>
      <c r="GT55" s="63" t="str">
        <f t="shared" si="57"/>
        <v/>
      </c>
      <c r="GU55"/>
      <c r="HC55" s="805"/>
      <c r="HD55" s="805"/>
    </row>
    <row r="56" spans="1:212" ht="15.75" customHeight="1" x14ac:dyDescent="0.35">
      <c r="A56" t="s">
        <v>1522</v>
      </c>
      <c r="B56" s="29" t="s">
        <v>955</v>
      </c>
      <c r="C56" s="27">
        <v>4121</v>
      </c>
      <c r="D56">
        <v>1</v>
      </c>
      <c r="F56" s="29" t="s">
        <v>1528</v>
      </c>
      <c r="G56">
        <v>3</v>
      </c>
      <c r="H56" s="576">
        <v>0</v>
      </c>
      <c r="L56" s="176">
        <v>662603</v>
      </c>
      <c r="O56" s="10"/>
      <c r="P56" s="10"/>
      <c r="Q56" s="10"/>
      <c r="R56" s="10"/>
      <c r="S56" s="10">
        <v>6.125</v>
      </c>
      <c r="T56" s="10" t="s">
        <v>813</v>
      </c>
      <c r="U56" s="167">
        <v>874733</v>
      </c>
      <c r="V56" s="40" t="s">
        <v>91</v>
      </c>
      <c r="W56" s="40">
        <v>3</v>
      </c>
      <c r="X56" s="40">
        <v>2</v>
      </c>
      <c r="Y56" s="40">
        <v>2</v>
      </c>
      <c r="Z56" s="40">
        <v>2</v>
      </c>
      <c r="AA56" s="174">
        <v>2</v>
      </c>
      <c r="AB56" s="174">
        <v>2</v>
      </c>
      <c r="AC56" s="174">
        <v>1</v>
      </c>
      <c r="AD56" s="10"/>
      <c r="AE56" s="79">
        <v>4</v>
      </c>
      <c r="AF56" s="80">
        <v>4</v>
      </c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F56">
        <f>ROWS($U$46:U56)</f>
        <v>11</v>
      </c>
      <c r="BG56" t="str">
        <f t="shared" si="66"/>
        <v/>
      </c>
      <c r="BH56" t="str">
        <f>IFERROR(SMALL($BG$46:$BG$3014,ROWS($BG$46:BG56)),"")</f>
        <v/>
      </c>
      <c r="BI56" s="170">
        <f>IFERROR(INDEX($O$46:$T$3015,$BH56:$BH67,COLUMNS($BE$46:BE56)),0)</f>
        <v>0</v>
      </c>
      <c r="BJ56" s="170">
        <f>IFERROR(INDEX($O$46:$T$3015,$BH56:$BH67,COLUMNS($BE$46:BF56)),0)</f>
        <v>0</v>
      </c>
      <c r="BK56" s="170">
        <f>IFERROR(INDEX($O$46:$T$3015,$BH56:$BH67,COLUMNS($BE$46:BG56)),0)</f>
        <v>0</v>
      </c>
      <c r="BL56" s="170">
        <f>IFERROR(INDEX($O$46:$T$3015,$BH56:$BH67,COLUMNS($BE$46:BH56)),0)</f>
        <v>0</v>
      </c>
      <c r="BM56" s="170">
        <f>IFERROR(INDEX($O$46:$T$3015,$BH56:$BH67,COLUMNS($BE$46:BI56)),0)</f>
        <v>0</v>
      </c>
      <c r="BN56" s="170">
        <f>IFERROR(INDEX($O$46:$T$3015,$BH56:$BH67,COLUMNS($BE$46:BJ56)),0)</f>
        <v>0</v>
      </c>
      <c r="BO56" s="170">
        <f>IFERROR(INDEX($O$46:$T$3015,$BH56:$BH67,COLUMNS($BE$46:BG56)),0)</f>
        <v>0</v>
      </c>
      <c r="BP56" s="44"/>
      <c r="BQ56" s="140" t="s">
        <v>115</v>
      </c>
      <c r="BR56" s="40" t="str">
        <f>IFERROR(INDEX($W$46:$BE$3014,$BH56:$BH66,COLUMNS($BE$46:BE56)),"")</f>
        <v/>
      </c>
      <c r="BS56" s="40" t="str">
        <f>IFERROR(INDEX($W$46:$BE$3014,$BH56:$BH66,COLUMNS($BE$46:BF56)),"")</f>
        <v/>
      </c>
      <c r="BT56" s="40" t="str">
        <f>IFERROR(INDEX($W$46:$BE$3014,$BH56:$BH66,COLUMNS($BE$46:BG56)),"")</f>
        <v/>
      </c>
      <c r="BU56" s="40" t="str">
        <f>IFERROR(INDEX($W$46:$BE$3014,$BH56:$BH66,COLUMNS($BE$46:BH56)),"")</f>
        <v/>
      </c>
      <c r="BV56" s="40" t="str">
        <f>IFERROR(INDEX($W$46:$BE$3014,$BH56:$BH66,COLUMNS($BE$46:BI56)),"")</f>
        <v/>
      </c>
      <c r="BW56" s="40" t="str">
        <f>IFERROR(INDEX($W$46:$BE$3014,$BH56:$BH66,COLUMNS($BE$46:BJ56)),"")</f>
        <v/>
      </c>
      <c r="BX56" s="40" t="str">
        <f>IFERROR(INDEX($W$46:$BE$3014,$BH56:$BH66,COLUMNS($BE$46:BK56)),"")</f>
        <v/>
      </c>
      <c r="BY56" s="40" t="str">
        <f>IFERROR(INDEX($W$46:$BE$3014,$BH56:$BH66,COLUMNS($BE$46:BL56)),"")</f>
        <v/>
      </c>
      <c r="BZ56" s="40" t="str">
        <f>IFERROR(INDEX($W$46:$BE$3014,$BH56:$BH66,COLUMNS($BE$46:BM56)),"")</f>
        <v/>
      </c>
      <c r="CA56" s="40" t="str">
        <f>IFERROR(INDEX($W$46:$BE$3014,$BH56:$BH66,COLUMNS($BE$46:BN56)),"")</f>
        <v/>
      </c>
      <c r="CB56" s="40" t="str">
        <f>IFERROR(INDEX($W$46:$BE$3014,$BH56:$BH66,COLUMNS($BE$46:BO56)),"")</f>
        <v/>
      </c>
      <c r="CC56" s="40" t="str">
        <f>IFERROR(INDEX($W$46:$BE$3014,$BH56:$BH66,COLUMNS($BE$46:BP56)),"")</f>
        <v/>
      </c>
      <c r="CD56" s="40" t="str">
        <f>IFERROR(INDEX($W$46:$BE$3014,$BH56:$BH66,COLUMNS($BE$46:BQ56)),"")</f>
        <v/>
      </c>
      <c r="CE56" s="40" t="str">
        <f>IFERROR(INDEX($W$46:$BE$3014,$BH56:$BH66,COLUMNS($BE$46:BR56)),"")</f>
        <v/>
      </c>
      <c r="CF56" s="40" t="str">
        <f>IFERROR(INDEX($W$46:$BE$3014,$BH56:$BH66,COLUMNS($BE$46:BS56)),"")</f>
        <v/>
      </c>
      <c r="CG56" s="40" t="str">
        <f>IFERROR(INDEX($W$46:$BE$3014,$BH56:$BH66,COLUMNS($BE$46:BT56)),"")</f>
        <v/>
      </c>
      <c r="CH56" s="40" t="str">
        <f>IFERROR(INDEX($W$46:$BE$3014,$BH56:$BH66,COLUMNS($BE$46:BU56)),"")</f>
        <v/>
      </c>
      <c r="CI56" s="40" t="str">
        <f>IFERROR(INDEX($W$46:$BE$3014,$BH56:$BH66,COLUMNS($BE$46:BV56)),"")</f>
        <v/>
      </c>
      <c r="CJ56" s="40" t="str">
        <f>IFERROR(INDEX($W$46:$BE$3014,$BH56:$BH66,COLUMNS($BE$46:BW56)),"")</f>
        <v/>
      </c>
      <c r="CK56" s="40" t="str">
        <f>IFERROR(INDEX($W$46:$BE$3014,$BH56:$BH66,COLUMNS($BE$46:BX56)),"")</f>
        <v/>
      </c>
      <c r="CL56" s="40" t="str">
        <f>IFERROR(INDEX($W$46:$BE$3014,$BH56:$BH66,COLUMNS($BE$46:BY56)),"")</f>
        <v/>
      </c>
      <c r="CM56" s="40" t="str">
        <f>IFERROR(INDEX($W$46:$BE$3014,$BH56:$BH66,COLUMNS($BE$46:BZ56)),"")</f>
        <v/>
      </c>
      <c r="CN56" s="40" t="str">
        <f>IFERROR(INDEX($W$46:$BE$3014,$BH56:$BH66,COLUMNS($BE$46:CA56)),"")</f>
        <v/>
      </c>
      <c r="CO56" s="40" t="str">
        <f>IFERROR(INDEX($W$46:$BE$3014,$BH56:$BH66,COLUMNS($BE$46:CB56)),"")</f>
        <v/>
      </c>
      <c r="CP56" s="40" t="str">
        <f>IFERROR(INDEX($W$46:$BE$3014,$BH56:$BH66,COLUMNS($BE$46:CC56)),"")</f>
        <v/>
      </c>
      <c r="CQ56" s="40" t="str">
        <f>IFERROR(INDEX($W$46:$BE$3014,$BH56:$BH66,COLUMNS($BE$46:CD56)),"")</f>
        <v/>
      </c>
      <c r="CR56" s="40" t="str">
        <f>IFERROR(INDEX($W$46:$BE$3014,$BH56:$BH66,COLUMNS($BE$46:CE56)),"")</f>
        <v/>
      </c>
      <c r="CS56" s="40" t="str">
        <f>IFERROR(INDEX($W$46:$BE$3014,$BH56:$BH66,COLUMNS($BE$46:CF56)),"")</f>
        <v/>
      </c>
      <c r="CT56" s="40" t="str">
        <f>IFERROR(INDEX($W$46:$BE$3014,$BH56:$BH66,COLUMNS($BE$46:CG56)),"")</f>
        <v/>
      </c>
      <c r="CU56" s="40" t="str">
        <f>IFERROR(INDEX($W$46:$BE$3014,$BH56:$BH66,COLUMNS($BE$46:CH56)),"")</f>
        <v/>
      </c>
      <c r="CV56" s="40" t="str">
        <f>IFERROR(INDEX($W$46:$BE$3014,$BH56:$BH66,COLUMNS($BE$46:CI56)),"")</f>
        <v/>
      </c>
      <c r="CW56" s="40" t="str">
        <f>IFERROR(INDEX($W$46:$BE$3014,$BH56:$BH66,COLUMNS($BE$46:CJ56)),"")</f>
        <v/>
      </c>
      <c r="CX56" s="40" t="str">
        <f>IFERROR(INDEX($W$46:$BE$3014,$BH56:$BH66,COLUMNS($BE$46:CK56)),"")</f>
        <v/>
      </c>
      <c r="CY56" s="40" t="str">
        <f>IFERROR(INDEX($W$46:$BE$3014,$BH56:$BH66,COLUMNS($BE$46:CL56)),"")</f>
        <v/>
      </c>
      <c r="CZ56" s="40" t="str">
        <f>IFERROR(INDEX($W$46:$BE$3014,$BH56:$BH66,COLUMNS($BE$46:CM56)),"")</f>
        <v/>
      </c>
      <c r="DA56" s="40" t="str">
        <f>IFERROR(INDEX($W$46:$BE$3014,$BH56:$BH66,COLUMNS($BE$46:CN56)),"")</f>
        <v/>
      </c>
      <c r="DB56" s="37">
        <v>761246</v>
      </c>
      <c r="DD56" s="75">
        <v>37</v>
      </c>
      <c r="DE56" s="37">
        <v>745573</v>
      </c>
      <c r="DF56" t="s">
        <v>205</v>
      </c>
      <c r="DG56" s="37" t="str">
        <f t="shared" si="60"/>
        <v>1913 CT82  0.010"</v>
      </c>
      <c r="DH56" s="37">
        <v>19</v>
      </c>
      <c r="DI56" s="37">
        <v>1913</v>
      </c>
      <c r="DJ56" s="37" t="s">
        <v>104</v>
      </c>
      <c r="DK56" s="37"/>
      <c r="DL56" s="37" t="s">
        <v>239</v>
      </c>
      <c r="DM56" s="37">
        <v>62</v>
      </c>
      <c r="DN56" s="37">
        <v>0</v>
      </c>
      <c r="DO56" s="37">
        <v>660</v>
      </c>
      <c r="DP56" s="37"/>
      <c r="DQ56" s="37"/>
      <c r="DR56" s="37" t="str">
        <f t="shared" si="61"/>
        <v xml:space="preserve">1913 CT82 </v>
      </c>
      <c r="DS56" s="37">
        <f t="shared" si="43"/>
        <v>0</v>
      </c>
      <c r="DV56" s="10" t="s">
        <v>49</v>
      </c>
      <c r="DW56" t="s">
        <v>1591</v>
      </c>
      <c r="DX56">
        <v>30</v>
      </c>
      <c r="DY56" t="s">
        <v>1674</v>
      </c>
      <c r="DZ56" t="s">
        <v>1669</v>
      </c>
      <c r="EA56">
        <v>1</v>
      </c>
      <c r="EB56" t="s">
        <v>1513</v>
      </c>
      <c r="EC56" s="10">
        <v>836</v>
      </c>
      <c r="ED56" s="10" t="s">
        <v>1737</v>
      </c>
      <c r="EE56" s="813">
        <f t="shared" si="19"/>
        <v>0</v>
      </c>
      <c r="EF56">
        <f>ROWS($DE$2:DE56)</f>
        <v>55</v>
      </c>
      <c r="EG56" t="str">
        <f t="shared" si="26"/>
        <v/>
      </c>
      <c r="EJ56" t="str">
        <f t="shared" si="27"/>
        <v/>
      </c>
      <c r="EM56" t="str">
        <f t="shared" si="28"/>
        <v/>
      </c>
      <c r="EP56" t="str">
        <f t="shared" si="29"/>
        <v/>
      </c>
      <c r="ES56" t="str">
        <f t="shared" si="30"/>
        <v/>
      </c>
      <c r="EV56" t="str">
        <f t="shared" si="31"/>
        <v/>
      </c>
      <c r="EY56" t="str">
        <f t="shared" si="32"/>
        <v/>
      </c>
      <c r="FB56" t="str">
        <f t="shared" si="33"/>
        <v/>
      </c>
      <c r="FE56" t="str">
        <f t="shared" si="34"/>
        <v/>
      </c>
      <c r="FH56" t="str">
        <f t="shared" si="35"/>
        <v/>
      </c>
      <c r="FK56" t="str">
        <f t="shared" si="36"/>
        <v/>
      </c>
      <c r="FN56" t="str">
        <f t="shared" si="37"/>
        <v/>
      </c>
      <c r="FQ56" t="str">
        <f t="shared" si="38"/>
        <v/>
      </c>
      <c r="FT56" t="str">
        <f t="shared" si="39"/>
        <v/>
      </c>
      <c r="FW56" t="str">
        <f t="shared" si="40"/>
        <v/>
      </c>
      <c r="FZ56" t="str">
        <f t="shared" si="41"/>
        <v/>
      </c>
      <c r="GC56" t="str">
        <f t="shared" si="42"/>
        <v/>
      </c>
      <c r="GE56" s="155"/>
      <c r="GF56" s="26" t="str">
        <f t="shared" si="45"/>
        <v>06.4.1 - 60</v>
      </c>
      <c r="GG56" s="28" t="str">
        <f t="shared" si="46"/>
        <v>6.4.1 60</v>
      </c>
      <c r="GH56" s="882" t="s">
        <v>1590</v>
      </c>
      <c r="GI56" s="75">
        <v>60</v>
      </c>
      <c r="GJ56" s="874" t="s">
        <v>1714</v>
      </c>
      <c r="GK56" s="875" t="s">
        <v>1668</v>
      </c>
      <c r="GL56" s="876">
        <v>1</v>
      </c>
      <c r="GM56" s="37" t="s">
        <v>1513</v>
      </c>
      <c r="GN56" s="877">
        <v>135</v>
      </c>
      <c r="GO56" s="26">
        <f t="shared" si="58"/>
        <v>0</v>
      </c>
      <c r="GP56" t="s">
        <v>1668</v>
      </c>
      <c r="GQ56" s="26" t="s">
        <v>1771</v>
      </c>
      <c r="GS56">
        <f>ROWS($GJ$20:GJ56)</f>
        <v>37</v>
      </c>
      <c r="GT56" s="63" t="str">
        <f t="shared" si="57"/>
        <v/>
      </c>
      <c r="GU56"/>
      <c r="HC56" s="805"/>
      <c r="HD56" s="805"/>
    </row>
    <row r="57" spans="1:212" ht="16.5" customHeight="1" thickBot="1" x14ac:dyDescent="0.4">
      <c r="A57" t="s">
        <v>1523</v>
      </c>
      <c r="B57" s="29" t="s">
        <v>9</v>
      </c>
      <c r="C57" s="27">
        <v>5495</v>
      </c>
      <c r="D57">
        <v>2</v>
      </c>
      <c r="F57" s="29" t="s">
        <v>1529</v>
      </c>
      <c r="G57">
        <v>4</v>
      </c>
      <c r="H57" s="576">
        <v>0</v>
      </c>
      <c r="L57" s="166">
        <v>671133</v>
      </c>
      <c r="O57" s="10"/>
      <c r="P57" s="10"/>
      <c r="Q57" s="10"/>
      <c r="R57" s="10"/>
      <c r="S57" s="10">
        <v>6.125</v>
      </c>
      <c r="T57" s="10" t="s">
        <v>813</v>
      </c>
      <c r="U57" s="179">
        <v>874733</v>
      </c>
      <c r="V57" s="169" t="s">
        <v>92</v>
      </c>
      <c r="W57" s="169">
        <v>2</v>
      </c>
      <c r="X57" s="169">
        <v>2</v>
      </c>
      <c r="Y57" s="169">
        <v>2</v>
      </c>
      <c r="Z57" s="180">
        <v>1</v>
      </c>
      <c r="AA57" s="171"/>
      <c r="AB57" s="175"/>
      <c r="AC57" s="175"/>
      <c r="AD57" s="10"/>
      <c r="AE57" s="81">
        <v>4</v>
      </c>
      <c r="AF57" s="82">
        <v>4</v>
      </c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F57">
        <f>ROWS($U$46:U57)</f>
        <v>12</v>
      </c>
      <c r="BG57" t="str">
        <f t="shared" si="66"/>
        <v/>
      </c>
      <c r="BH57" t="str">
        <f>IFERROR(SMALL($BG$46:$BG$3014,ROWS($BG$46:BG57)),"")</f>
        <v/>
      </c>
      <c r="BI57" s="170">
        <f>IFERROR(INDEX($O$46:$T$3015,$BH57:$BH68,COLUMNS($BE$46:BE57)),0)</f>
        <v>0</v>
      </c>
      <c r="BJ57" s="170">
        <f>IFERROR(INDEX($O$46:$T$3015,$BH57:$BH68,COLUMNS($BE$46:BF57)),0)</f>
        <v>0</v>
      </c>
      <c r="BK57" s="170">
        <f>IFERROR(INDEX($O$46:$T$3015,$BH57:$BH68,COLUMNS($BE$46:BG57)),0)</f>
        <v>0</v>
      </c>
      <c r="BL57" s="170">
        <f>IFERROR(INDEX($O$46:$T$3015,$BH57:$BH68,COLUMNS($BE$46:BH57)),0)</f>
        <v>0</v>
      </c>
      <c r="BM57" s="170">
        <f>IFERROR(INDEX($O$46:$T$3015,$BH57:$BH68,COLUMNS($BE$46:BI57)),0)</f>
        <v>0</v>
      </c>
      <c r="BN57" s="170">
        <f>IFERROR(INDEX($O$46:$T$3015,$BH57:$BH68,COLUMNS($BE$46:BJ57)),0)</f>
        <v>0</v>
      </c>
      <c r="BO57" s="170">
        <f>IFERROR(INDEX($O$46:$T$3015,$BH57:$BH68,COLUMNS($BE$46:BG57)),0)</f>
        <v>0</v>
      </c>
      <c r="BP57" s="44"/>
      <c r="BQ57" s="140" t="s">
        <v>736</v>
      </c>
      <c r="BR57" s="40" t="str">
        <f>IFERROR(INDEX($W$46:$BE$3014,$BH57:$BH67,COLUMNS($BE$46:BE57)),"")</f>
        <v/>
      </c>
      <c r="BS57" s="40" t="str">
        <f>IFERROR(INDEX($W$46:$BE$3014,$BH57:$BH67,COLUMNS($BE$46:BF57)),"")</f>
        <v/>
      </c>
      <c r="BT57" s="40" t="str">
        <f>IFERROR(INDEX($W$46:$BE$3014,$BH57:$BH67,COLUMNS($BE$46:BG57)),"")</f>
        <v/>
      </c>
      <c r="BU57" s="40" t="str">
        <f>IFERROR(INDEX($W$46:$BE$3014,$BH57:$BH67,COLUMNS($BE$46:BH57)),"")</f>
        <v/>
      </c>
      <c r="BV57" s="40" t="str">
        <f>IFERROR(INDEX($W$46:$BE$3014,$BH57:$BH67,COLUMNS($BE$46:BI57)),"")</f>
        <v/>
      </c>
      <c r="BW57" s="40" t="str">
        <f>IFERROR(INDEX($W$46:$BE$3014,$BH57:$BH67,COLUMNS($BE$46:BJ57)),"")</f>
        <v/>
      </c>
      <c r="BX57" s="40" t="str">
        <f>IFERROR(INDEX($W$46:$BE$3014,$BH57:$BH67,COLUMNS($BE$46:BK57)),"")</f>
        <v/>
      </c>
      <c r="BY57" s="40" t="str">
        <f>IFERROR(INDEX($W$46:$BE$3014,$BH57:$BH67,COLUMNS($BE$46:BL57)),"")</f>
        <v/>
      </c>
      <c r="BZ57" s="40" t="str">
        <f>IFERROR(INDEX($W$46:$BE$3014,$BH57:$BH67,COLUMNS($BE$46:BM57)),"")</f>
        <v/>
      </c>
      <c r="CA57" s="40" t="str">
        <f>IFERROR(INDEX($W$46:$BE$3014,$BH57:$BH67,COLUMNS($BE$46:BN57)),"")</f>
        <v/>
      </c>
      <c r="CB57" s="40" t="str">
        <f>IFERROR(INDEX($W$46:$BE$3014,$BH57:$BH67,COLUMNS($BE$46:BO57)),"")</f>
        <v/>
      </c>
      <c r="CC57" s="40" t="str">
        <f>IFERROR(INDEX($W$46:$BE$3014,$BH57:$BH67,COLUMNS($BE$46:BP57)),"")</f>
        <v/>
      </c>
      <c r="CD57" s="40" t="str">
        <f>IFERROR(INDEX($W$46:$BE$3014,$BH57:$BH67,COLUMNS($BE$46:BQ57)),"")</f>
        <v/>
      </c>
      <c r="CE57" s="40" t="str">
        <f>IFERROR(INDEX($W$46:$BE$3014,$BH57:$BH67,COLUMNS($BE$46:BR57)),"")</f>
        <v/>
      </c>
      <c r="CF57" s="40" t="str">
        <f>IFERROR(INDEX($W$46:$BE$3014,$BH57:$BH67,COLUMNS($BE$46:BS57)),"")</f>
        <v/>
      </c>
      <c r="CG57" s="40" t="str">
        <f>IFERROR(INDEX($W$46:$BE$3014,$BH57:$BH67,COLUMNS($BE$46:BT57)),"")</f>
        <v/>
      </c>
      <c r="CH57" s="40" t="str">
        <f>IFERROR(INDEX($W$46:$BE$3014,$BH57:$BH67,COLUMNS($BE$46:BU57)),"")</f>
        <v/>
      </c>
      <c r="CI57" s="40" t="str">
        <f>IFERROR(INDEX($W$46:$BE$3014,$BH57:$BH67,COLUMNS($BE$46:BV57)),"")</f>
        <v/>
      </c>
      <c r="CJ57" s="40" t="str">
        <f>IFERROR(INDEX($W$46:$BE$3014,$BH57:$BH67,COLUMNS($BE$46:BW57)),"")</f>
        <v/>
      </c>
      <c r="CK57" s="40" t="str">
        <f>IFERROR(INDEX($W$46:$BE$3014,$BH57:$BH67,COLUMNS($BE$46:BX57)),"")</f>
        <v/>
      </c>
      <c r="CL57" s="40" t="str">
        <f>IFERROR(INDEX($W$46:$BE$3014,$BH57:$BH67,COLUMNS($BE$46:BY57)),"")</f>
        <v/>
      </c>
      <c r="CM57" s="40" t="str">
        <f>IFERROR(INDEX($W$46:$BE$3014,$BH57:$BH67,COLUMNS($BE$46:BZ57)),"")</f>
        <v/>
      </c>
      <c r="CN57" s="40" t="str">
        <f>IFERROR(INDEX($W$46:$BE$3014,$BH57:$BH67,COLUMNS($BE$46:CA57)),"")</f>
        <v/>
      </c>
      <c r="CO57" s="40" t="str">
        <f>IFERROR(INDEX($W$46:$BE$3014,$BH57:$BH67,COLUMNS($BE$46:CB57)),"")</f>
        <v/>
      </c>
      <c r="CP57" s="40" t="str">
        <f>IFERROR(INDEX($W$46:$BE$3014,$BH57:$BH67,COLUMNS($BE$46:CC57)),"")</f>
        <v/>
      </c>
      <c r="CQ57" s="40" t="str">
        <f>IFERROR(INDEX($W$46:$BE$3014,$BH57:$BH67,COLUMNS($BE$46:CD57)),"")</f>
        <v/>
      </c>
      <c r="CR57" s="40" t="str">
        <f>IFERROR(INDEX($W$46:$BE$3014,$BH57:$BH67,COLUMNS($BE$46:CE57)),"")</f>
        <v/>
      </c>
      <c r="CS57" s="40" t="str">
        <f>IFERROR(INDEX($W$46:$BE$3014,$BH57:$BH67,COLUMNS($BE$46:CF57)),"")</f>
        <v/>
      </c>
      <c r="CT57" s="40" t="str">
        <f>IFERROR(INDEX($W$46:$BE$3014,$BH57:$BH67,COLUMNS($BE$46:CG57)),"")</f>
        <v/>
      </c>
      <c r="CU57" s="40" t="str">
        <f>IFERROR(INDEX($W$46:$BE$3014,$BH57:$BH67,COLUMNS($BE$46:CH57)),"")</f>
        <v/>
      </c>
      <c r="CV57" s="40" t="str">
        <f>IFERROR(INDEX($W$46:$BE$3014,$BH57:$BH67,COLUMNS($BE$46:CI57)),"")</f>
        <v/>
      </c>
      <c r="CW57" s="40" t="str">
        <f>IFERROR(INDEX($W$46:$BE$3014,$BH57:$BH67,COLUMNS($BE$46:CJ57)),"")</f>
        <v/>
      </c>
      <c r="CX57" s="40" t="str">
        <f>IFERROR(INDEX($W$46:$BE$3014,$BH57:$BH67,COLUMNS($BE$46:CK57)),"")</f>
        <v/>
      </c>
      <c r="CY57" s="40" t="str">
        <f>IFERROR(INDEX($W$46:$BE$3014,$BH57:$BH67,COLUMNS($BE$46:CL57)),"")</f>
        <v/>
      </c>
      <c r="CZ57" s="40" t="str">
        <f>IFERROR(INDEX($W$46:$BE$3014,$BH57:$BH67,COLUMNS($BE$46:CM57)),"")</f>
        <v/>
      </c>
      <c r="DA57" s="40" t="str">
        <f>IFERROR(INDEX($W$46:$BE$3014,$BH57:$BH67,COLUMNS($BE$46:CN57)),"")</f>
        <v/>
      </c>
      <c r="DB57" s="37">
        <v>761304</v>
      </c>
      <c r="DD57" s="75">
        <v>19</v>
      </c>
      <c r="DE57" s="37">
        <v>745576</v>
      </c>
      <c r="DF57" t="s">
        <v>206</v>
      </c>
      <c r="DG57" s="37" t="str">
        <f t="shared" si="60"/>
        <v>1913 CT82 L 0.018"</v>
      </c>
      <c r="DH57" s="37">
        <v>19</v>
      </c>
      <c r="DI57" s="37">
        <v>1913</v>
      </c>
      <c r="DJ57" s="37" t="s">
        <v>104</v>
      </c>
      <c r="DK57" s="37" t="s">
        <v>142</v>
      </c>
      <c r="DL57" s="37" t="s">
        <v>240</v>
      </c>
      <c r="DM57" s="37">
        <v>80</v>
      </c>
      <c r="DN57" s="37">
        <v>0</v>
      </c>
      <c r="DO57" s="37">
        <v>660</v>
      </c>
      <c r="DP57" s="37"/>
      <c r="DQ57" s="37"/>
      <c r="DR57" s="37" t="str">
        <f t="shared" si="61"/>
        <v>1913 CT82 L</v>
      </c>
      <c r="DS57" s="37">
        <f t="shared" si="43"/>
        <v>344.52600000000001</v>
      </c>
      <c r="DT57" s="10">
        <v>265.02</v>
      </c>
      <c r="DV57" s="10" t="s">
        <v>49</v>
      </c>
      <c r="DW57" t="s">
        <v>1591</v>
      </c>
      <c r="DX57">
        <v>30</v>
      </c>
      <c r="DY57" t="s">
        <v>1674</v>
      </c>
      <c r="DZ57" t="s">
        <v>1669</v>
      </c>
      <c r="EA57">
        <v>1</v>
      </c>
      <c r="EB57" t="s">
        <v>1513</v>
      </c>
      <c r="EC57" s="10">
        <v>836</v>
      </c>
      <c r="ED57" s="10" t="s">
        <v>1737</v>
      </c>
      <c r="EE57" s="813">
        <f t="shared" si="19"/>
        <v>0</v>
      </c>
      <c r="EF57">
        <f>ROWS($DE$2:DE57)</f>
        <v>56</v>
      </c>
      <c r="EG57" t="str">
        <f t="shared" si="26"/>
        <v/>
      </c>
      <c r="EJ57" t="str">
        <f t="shared" si="27"/>
        <v/>
      </c>
      <c r="EM57" t="str">
        <f t="shared" si="28"/>
        <v/>
      </c>
      <c r="EP57" t="str">
        <f t="shared" si="29"/>
        <v/>
      </c>
      <c r="ES57" t="str">
        <f t="shared" si="30"/>
        <v/>
      </c>
      <c r="EV57" t="str">
        <f t="shared" si="31"/>
        <v/>
      </c>
      <c r="EY57" t="str">
        <f t="shared" si="32"/>
        <v/>
      </c>
      <c r="FB57" t="str">
        <f t="shared" si="33"/>
        <v/>
      </c>
      <c r="FE57" t="str">
        <f t="shared" si="34"/>
        <v/>
      </c>
      <c r="FH57" t="str">
        <f t="shared" si="35"/>
        <v/>
      </c>
      <c r="FK57" t="str">
        <f t="shared" si="36"/>
        <v/>
      </c>
      <c r="FN57" t="str">
        <f t="shared" si="37"/>
        <v/>
      </c>
      <c r="FQ57" t="str">
        <f t="shared" si="38"/>
        <v/>
      </c>
      <c r="FT57" t="str">
        <f t="shared" si="39"/>
        <v/>
      </c>
      <c r="FW57" t="str">
        <f t="shared" si="40"/>
        <v/>
      </c>
      <c r="FZ57" t="str">
        <f t="shared" si="41"/>
        <v/>
      </c>
      <c r="GC57" t="str">
        <f t="shared" si="42"/>
        <v/>
      </c>
      <c r="GE57" s="155"/>
      <c r="GF57" s="26" t="str">
        <f t="shared" si="45"/>
        <v>06.5.1 - 10</v>
      </c>
      <c r="GG57" s="28" t="str">
        <f t="shared" si="46"/>
        <v>6.5.1 10</v>
      </c>
      <c r="GH57" s="882" t="s">
        <v>1591</v>
      </c>
      <c r="GI57" s="75">
        <v>10</v>
      </c>
      <c r="GJ57" s="874" t="s">
        <v>1682</v>
      </c>
      <c r="GK57" s="875" t="s">
        <v>1669</v>
      </c>
      <c r="GL57" s="876">
        <v>1</v>
      </c>
      <c r="GM57" s="37" t="s">
        <v>1513</v>
      </c>
      <c r="GN57" s="877">
        <v>615</v>
      </c>
      <c r="GO57" s="26">
        <f t="shared" si="58"/>
        <v>0</v>
      </c>
      <c r="GP57" t="s">
        <v>1669</v>
      </c>
      <c r="GQ57" s="26" t="s">
        <v>1766</v>
      </c>
      <c r="GS57">
        <f>ROWS($GJ$20:GJ57)</f>
        <v>38</v>
      </c>
      <c r="GT57" s="63" t="str">
        <f t="shared" si="57"/>
        <v/>
      </c>
      <c r="GU57"/>
      <c r="HC57" s="805"/>
      <c r="HD57" s="805"/>
    </row>
    <row r="58" spans="1:212" ht="15.75" customHeight="1" x14ac:dyDescent="0.35">
      <c r="A58" t="s">
        <v>1524</v>
      </c>
      <c r="B58" s="29" t="s">
        <v>10</v>
      </c>
      <c r="C58" s="27">
        <v>6868</v>
      </c>
      <c r="D58">
        <v>3</v>
      </c>
      <c r="F58" s="29" t="s">
        <v>1530</v>
      </c>
      <c r="G58">
        <v>5</v>
      </c>
      <c r="H58" s="576">
        <v>0</v>
      </c>
      <c r="L58" s="166">
        <v>673359</v>
      </c>
      <c r="O58" s="181">
        <v>1</v>
      </c>
      <c r="P58" s="182">
        <v>971055</v>
      </c>
      <c r="Q58" s="182">
        <v>7</v>
      </c>
      <c r="R58" s="182" t="s">
        <v>738</v>
      </c>
      <c r="S58" s="182">
        <v>3.875</v>
      </c>
      <c r="T58" s="182" t="s">
        <v>737</v>
      </c>
      <c r="U58" s="182">
        <v>1025815</v>
      </c>
      <c r="V58" s="183" t="s">
        <v>87</v>
      </c>
      <c r="W58" s="184">
        <v>1</v>
      </c>
      <c r="X58" s="185">
        <v>1</v>
      </c>
      <c r="Y58" s="185">
        <v>2</v>
      </c>
      <c r="Z58" s="186">
        <v>2</v>
      </c>
      <c r="AA58" s="177">
        <v>2</v>
      </c>
      <c r="AB58" s="187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0"/>
      <c r="AQ58" s="10"/>
      <c r="AR58" s="10"/>
      <c r="AS58" s="10"/>
      <c r="AT58" s="188"/>
      <c r="AU58" s="188"/>
      <c r="AV58" s="188"/>
      <c r="AW58" s="188"/>
      <c r="AX58" s="188"/>
      <c r="AY58" s="188"/>
      <c r="AZ58" s="188"/>
      <c r="BA58" s="188"/>
      <c r="BB58" s="188"/>
      <c r="BC58" s="188"/>
      <c r="BD58" s="188"/>
      <c r="BF58">
        <f>ROWS($U$46:U58)</f>
        <v>13</v>
      </c>
      <c r="BG58" t="str">
        <f t="shared" si="66"/>
        <v/>
      </c>
      <c r="BH58" t="str">
        <f>IFERROR(SMALL($BG$46:$BG$3014,ROWS($BG$46:BG58)),"")</f>
        <v/>
      </c>
      <c r="BI58" s="170">
        <f>IFERROR(INDEX($O$46:$T$3015,$BH58:$BH69,COLUMNS($BE$46:BE58)),0)</f>
        <v>0</v>
      </c>
      <c r="BJ58" s="170">
        <f>IFERROR(INDEX($O$46:$T$3015,$BH58:$BH69,COLUMNS($BE$46:BF58)),0)</f>
        <v>0</v>
      </c>
      <c r="BK58" s="170">
        <f>IFERROR(INDEX($O$46:$T$3015,$BH58:$BH69,COLUMNS($BE$46:BG58)),0)</f>
        <v>0</v>
      </c>
      <c r="BL58" s="170">
        <f>IFERROR(INDEX($O$46:$T$3015,$BH58:$BH69,COLUMNS($BE$46:BH58)),0)</f>
        <v>0</v>
      </c>
      <c r="BM58" s="170">
        <f>IFERROR(INDEX($O$46:$T$3015,$BH58:$BH69,COLUMNS($BE$46:BI58)),0)</f>
        <v>0</v>
      </c>
      <c r="BN58" s="170">
        <f>IFERROR(INDEX($O$46:$T$3015,$BH58:$BH69,COLUMNS($BE$46:BJ58)),0)</f>
        <v>0</v>
      </c>
      <c r="BO58" s="170">
        <f>IFERROR(INDEX($O$46:$T$3015,$BH58:$BH69,COLUMNS($BE$46:BG58)),0)</f>
        <v>0</v>
      </c>
      <c r="DB58" s="37">
        <v>770450</v>
      </c>
      <c r="DD58" s="75">
        <v>33</v>
      </c>
      <c r="DE58" s="37">
        <v>752294</v>
      </c>
      <c r="DF58" t="s">
        <v>207</v>
      </c>
      <c r="DG58" s="37" t="str">
        <f t="shared" si="60"/>
        <v>1010 CT82  0.018"</v>
      </c>
      <c r="DH58" s="37">
        <v>10</v>
      </c>
      <c r="DI58" s="37">
        <v>1010</v>
      </c>
      <c r="DJ58" s="37" t="s">
        <v>104</v>
      </c>
      <c r="DK58" s="37"/>
      <c r="DL58" s="37" t="s">
        <v>240</v>
      </c>
      <c r="DM58" s="37">
        <v>52</v>
      </c>
      <c r="DN58" s="37">
        <v>0</v>
      </c>
      <c r="DO58" s="37">
        <v>272</v>
      </c>
      <c r="DP58" s="37"/>
      <c r="DQ58" s="37">
        <v>50</v>
      </c>
      <c r="DR58" s="37" t="str">
        <f t="shared" si="61"/>
        <v xml:space="preserve">1010 CT82 </v>
      </c>
      <c r="DS58" s="37">
        <f t="shared" si="43"/>
        <v>0</v>
      </c>
      <c r="DV58" s="10" t="s">
        <v>49</v>
      </c>
      <c r="DW58" t="s">
        <v>1588</v>
      </c>
      <c r="DX58">
        <v>30</v>
      </c>
      <c r="DY58" t="s">
        <v>1683</v>
      </c>
      <c r="DZ58" t="s">
        <v>1671</v>
      </c>
      <c r="EA58">
        <v>1</v>
      </c>
      <c r="EB58" t="s">
        <v>1513</v>
      </c>
      <c r="EC58" s="10">
        <v>419</v>
      </c>
      <c r="ED58" s="10" t="s">
        <v>1746</v>
      </c>
      <c r="EE58" s="813">
        <f t="shared" si="19"/>
        <v>0</v>
      </c>
      <c r="EF58">
        <f>ROWS($DE$2:DE58)</f>
        <v>57</v>
      </c>
      <c r="EG58" t="str">
        <f t="shared" si="26"/>
        <v/>
      </c>
      <c r="EJ58" t="str">
        <f t="shared" si="27"/>
        <v/>
      </c>
      <c r="EM58" t="str">
        <f t="shared" si="28"/>
        <v/>
      </c>
      <c r="EP58" t="str">
        <f t="shared" si="29"/>
        <v/>
      </c>
      <c r="ES58" t="str">
        <f t="shared" si="30"/>
        <v/>
      </c>
      <c r="EV58" t="str">
        <f t="shared" si="31"/>
        <v/>
      </c>
      <c r="EY58" t="str">
        <f t="shared" si="32"/>
        <v/>
      </c>
      <c r="FB58" t="str">
        <f t="shared" si="33"/>
        <v/>
      </c>
      <c r="FE58" t="str">
        <f t="shared" si="34"/>
        <v/>
      </c>
      <c r="FH58" t="str">
        <f t="shared" si="35"/>
        <v/>
      </c>
      <c r="FK58" t="str">
        <f t="shared" si="36"/>
        <v/>
      </c>
      <c r="FN58" t="str">
        <f t="shared" si="37"/>
        <v/>
      </c>
      <c r="FQ58" t="str">
        <f t="shared" si="38"/>
        <v/>
      </c>
      <c r="FT58" t="str">
        <f t="shared" si="39"/>
        <v/>
      </c>
      <c r="FW58" t="str">
        <f t="shared" si="40"/>
        <v/>
      </c>
      <c r="FZ58" t="str">
        <f t="shared" si="41"/>
        <v/>
      </c>
      <c r="GC58" t="str">
        <f t="shared" si="42"/>
        <v/>
      </c>
      <c r="GE58" s="155"/>
      <c r="GF58" s="26" t="str">
        <f t="shared" si="45"/>
        <v>06.5.1 - 20</v>
      </c>
      <c r="GG58" s="28" t="str">
        <f t="shared" si="46"/>
        <v>6.5.1 20</v>
      </c>
      <c r="GH58" s="882" t="s">
        <v>1591</v>
      </c>
      <c r="GI58" s="75">
        <v>20</v>
      </c>
      <c r="GJ58" s="874" t="s">
        <v>1676</v>
      </c>
      <c r="GK58" s="875" t="s">
        <v>1669</v>
      </c>
      <c r="GL58" s="876">
        <v>1</v>
      </c>
      <c r="GM58" s="37" t="s">
        <v>1513</v>
      </c>
      <c r="GN58" s="877">
        <v>712</v>
      </c>
      <c r="GO58" s="26">
        <f t="shared" si="58"/>
        <v>0</v>
      </c>
      <c r="GP58" t="s">
        <v>1669</v>
      </c>
      <c r="GQ58" s="26" t="s">
        <v>1767</v>
      </c>
      <c r="GS58">
        <f>ROWS($GJ$20:GJ58)</f>
        <v>39</v>
      </c>
      <c r="GT58" s="63" t="str">
        <f t="shared" si="57"/>
        <v/>
      </c>
      <c r="GU58"/>
      <c r="HC58" s="805"/>
      <c r="HD58" s="805"/>
    </row>
    <row r="59" spans="1:212" ht="15.75" customHeight="1" thickBot="1" x14ac:dyDescent="0.4">
      <c r="A59" t="s">
        <v>1525</v>
      </c>
      <c r="B59" s="29" t="s">
        <v>1533</v>
      </c>
      <c r="C59" s="27">
        <v>8245</v>
      </c>
      <c r="D59">
        <v>4</v>
      </c>
      <c r="F59" s="3" t="s">
        <v>1531</v>
      </c>
      <c r="G59">
        <v>6</v>
      </c>
      <c r="H59" s="576">
        <v>0</v>
      </c>
      <c r="L59" s="166">
        <v>687527</v>
      </c>
      <c r="O59" s="190">
        <v>2</v>
      </c>
      <c r="P59" s="190">
        <v>773384</v>
      </c>
      <c r="Q59" s="190">
        <v>12</v>
      </c>
      <c r="R59" s="190"/>
      <c r="S59" s="190">
        <v>3.875</v>
      </c>
      <c r="T59" s="190" t="s">
        <v>737</v>
      </c>
      <c r="U59" s="190">
        <v>1025815</v>
      </c>
      <c r="V59" s="171" t="s">
        <v>88</v>
      </c>
      <c r="W59" s="191">
        <v>1</v>
      </c>
      <c r="X59" s="173">
        <v>2</v>
      </c>
      <c r="Y59" s="192">
        <v>2</v>
      </c>
      <c r="Z59" s="171"/>
      <c r="AA59" s="175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  <c r="AL59" s="188"/>
      <c r="AM59" s="188"/>
      <c r="AN59" s="188"/>
      <c r="AO59" s="188"/>
      <c r="AP59" s="188"/>
      <c r="AQ59" s="188"/>
      <c r="AR59" s="188"/>
      <c r="AS59" s="188"/>
      <c r="AT59" s="188"/>
      <c r="AU59" s="188"/>
      <c r="AV59" s="188"/>
      <c r="AW59" s="188"/>
      <c r="AX59" s="188"/>
      <c r="AY59" s="188"/>
      <c r="AZ59" s="188"/>
      <c r="BA59" s="188"/>
      <c r="BB59" s="188"/>
      <c r="BC59" s="188"/>
      <c r="BD59" s="188"/>
      <c r="BF59">
        <f>ROWS($U$46:U59)</f>
        <v>14</v>
      </c>
      <c r="BG59" t="str">
        <f t="shared" si="66"/>
        <v/>
      </c>
      <c r="BH59" t="str">
        <f>IFERROR(SMALL($BG$46:$BG$3014,ROWS($BG$46:BG59)),"")</f>
        <v/>
      </c>
      <c r="BI59" s="170">
        <f>IFERROR(INDEX($O$46:$T$3015,$BH59:$BH70,COLUMNS($BE$46:BE59)),0)</f>
        <v>0</v>
      </c>
      <c r="BJ59" s="170">
        <f>IFERROR(INDEX($O$46:$T$3015,$BH59:$BH70,COLUMNS($BE$46:BF59)),0)</f>
        <v>0</v>
      </c>
      <c r="BK59" s="170">
        <f>IFERROR(INDEX($O$46:$T$3015,$BH59:$BH70,COLUMNS($BE$46:BG59)),0)</f>
        <v>0</v>
      </c>
      <c r="BL59" s="170">
        <f>IFERROR(INDEX($O$46:$T$3015,$BH59:$BH70,COLUMNS($BE$46:BH59)),0)</f>
        <v>0</v>
      </c>
      <c r="BM59" s="170">
        <f>IFERROR(INDEX($O$46:$T$3015,$BH59:$BH70,COLUMNS($BE$46:BI59)),0)</f>
        <v>0</v>
      </c>
      <c r="BN59" s="170">
        <f>IFERROR(INDEX($O$46:$T$3015,$BH59:$BH70,COLUMNS($BE$46:BJ59)),0)</f>
        <v>0</v>
      </c>
      <c r="BO59" s="170">
        <f>IFERROR(INDEX($O$46:$T$3015,$BH59:$BH70,COLUMNS($BE$46:BG59)),0)</f>
        <v>0</v>
      </c>
      <c r="DB59" s="37">
        <v>770451</v>
      </c>
      <c r="DD59" s="75">
        <v>53</v>
      </c>
      <c r="DE59" s="37">
        <v>752555</v>
      </c>
      <c r="DF59" t="s">
        <v>208</v>
      </c>
      <c r="DG59" s="37" t="str">
        <f t="shared" si="60"/>
        <v>1313 CT81  0.018"</v>
      </c>
      <c r="DH59" s="37">
        <v>13</v>
      </c>
      <c r="DI59" s="37">
        <v>1313</v>
      </c>
      <c r="DJ59" s="37" t="s">
        <v>261</v>
      </c>
      <c r="DK59" s="37"/>
      <c r="DL59" s="37" t="s">
        <v>240</v>
      </c>
      <c r="DM59" s="37">
        <v>7</v>
      </c>
      <c r="DN59" s="37">
        <v>3</v>
      </c>
      <c r="DO59" s="37">
        <v>360</v>
      </c>
      <c r="DP59" s="37"/>
      <c r="DQ59" s="37"/>
      <c r="DR59" s="37" t="str">
        <f t="shared" si="61"/>
        <v xml:space="preserve">1313 CT81 </v>
      </c>
      <c r="DS59" s="37">
        <f t="shared" si="43"/>
        <v>0</v>
      </c>
      <c r="DV59" s="10" t="s">
        <v>732</v>
      </c>
      <c r="DW59" t="s">
        <v>1589</v>
      </c>
      <c r="DX59">
        <v>20</v>
      </c>
      <c r="DY59" t="s">
        <v>1679</v>
      </c>
      <c r="DZ59" t="s">
        <v>1670</v>
      </c>
      <c r="EA59">
        <v>1</v>
      </c>
      <c r="EB59" t="s">
        <v>1513</v>
      </c>
      <c r="EC59" s="10">
        <v>413</v>
      </c>
      <c r="ED59" s="10" t="s">
        <v>1742</v>
      </c>
      <c r="EE59" s="813">
        <f t="shared" si="19"/>
        <v>0</v>
      </c>
      <c r="EF59">
        <f>ROWS($DE$2:DE59)</f>
        <v>58</v>
      </c>
      <c r="EG59" t="str">
        <f t="shared" si="26"/>
        <v/>
      </c>
      <c r="EJ59" t="str">
        <f t="shared" si="27"/>
        <v/>
      </c>
      <c r="EM59" t="str">
        <f t="shared" si="28"/>
        <v/>
      </c>
      <c r="EP59" t="str">
        <f t="shared" si="29"/>
        <v/>
      </c>
      <c r="ES59" t="str">
        <f t="shared" si="30"/>
        <v/>
      </c>
      <c r="EV59" t="str">
        <f t="shared" si="31"/>
        <v/>
      </c>
      <c r="EY59" t="str">
        <f t="shared" si="32"/>
        <v/>
      </c>
      <c r="FB59" t="str">
        <f t="shared" si="33"/>
        <v/>
      </c>
      <c r="FE59" t="str">
        <f t="shared" si="34"/>
        <v/>
      </c>
      <c r="FH59" t="str">
        <f t="shared" si="35"/>
        <v/>
      </c>
      <c r="FK59" t="str">
        <f t="shared" si="36"/>
        <v/>
      </c>
      <c r="FN59" t="str">
        <f t="shared" si="37"/>
        <v/>
      </c>
      <c r="FQ59" t="str">
        <f t="shared" si="38"/>
        <v/>
      </c>
      <c r="FT59" t="str">
        <f t="shared" si="39"/>
        <v/>
      </c>
      <c r="FW59" t="str">
        <f t="shared" si="40"/>
        <v/>
      </c>
      <c r="FZ59" t="str">
        <f t="shared" si="41"/>
        <v/>
      </c>
      <c r="GC59" t="str">
        <f t="shared" si="42"/>
        <v/>
      </c>
      <c r="GE59" s="155"/>
      <c r="GF59" s="26" t="str">
        <f t="shared" si="45"/>
        <v>06.5.1 - 30</v>
      </c>
      <c r="GG59" s="28" t="str">
        <f t="shared" si="46"/>
        <v>6.5.1 30</v>
      </c>
      <c r="GH59" s="882" t="s">
        <v>1591</v>
      </c>
      <c r="GI59" s="75">
        <v>30</v>
      </c>
      <c r="GJ59" s="874" t="s">
        <v>1674</v>
      </c>
      <c r="GK59" s="875" t="s">
        <v>1669</v>
      </c>
      <c r="GL59" s="876">
        <v>1</v>
      </c>
      <c r="GM59" s="37" t="s">
        <v>1513</v>
      </c>
      <c r="GN59" s="877">
        <v>836</v>
      </c>
      <c r="GO59" s="26">
        <f t="shared" si="58"/>
        <v>0</v>
      </c>
      <c r="GP59" t="s">
        <v>1669</v>
      </c>
      <c r="GQ59" s="26" t="s">
        <v>1768</v>
      </c>
      <c r="GS59">
        <f>ROWS($GJ$20:GJ59)</f>
        <v>40</v>
      </c>
      <c r="GT59" s="63" t="str">
        <f t="shared" si="57"/>
        <v/>
      </c>
      <c r="GU59"/>
      <c r="HC59" s="805"/>
      <c r="HD59" s="805"/>
    </row>
    <row r="60" spans="1:212" ht="15.75" customHeight="1" thickBot="1" x14ac:dyDescent="0.4">
      <c r="B60" s="30" t="s">
        <v>956</v>
      </c>
      <c r="C60" s="31">
        <v>550</v>
      </c>
      <c r="D60">
        <v>5</v>
      </c>
      <c r="F60" s="76" t="s">
        <v>1532</v>
      </c>
      <c r="G60" s="58">
        <v>7</v>
      </c>
      <c r="H60" s="577">
        <v>0</v>
      </c>
      <c r="L60" s="166">
        <v>690800</v>
      </c>
      <c r="O60" s="193"/>
      <c r="P60" s="193"/>
      <c r="Q60" s="193"/>
      <c r="R60" s="193"/>
      <c r="S60" s="190">
        <v>3.875</v>
      </c>
      <c r="T60" s="190" t="s">
        <v>737</v>
      </c>
      <c r="U60" s="190">
        <v>1025815</v>
      </c>
      <c r="V60" s="171" t="s">
        <v>89</v>
      </c>
      <c r="W60" s="191">
        <v>1</v>
      </c>
      <c r="X60" s="173">
        <v>1</v>
      </c>
      <c r="Y60" s="173">
        <v>2</v>
      </c>
      <c r="Z60" s="192">
        <v>2</v>
      </c>
      <c r="AA60" s="177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  <c r="AM60" s="188"/>
      <c r="AN60" s="188"/>
      <c r="AO60" s="188"/>
      <c r="AP60" s="188"/>
      <c r="AQ60" s="188"/>
      <c r="AR60" s="188"/>
      <c r="AS60" s="188"/>
      <c r="AT60" s="188"/>
      <c r="AU60" s="188"/>
      <c r="AV60" s="188"/>
      <c r="AW60" s="188"/>
      <c r="AX60" s="188"/>
      <c r="AY60" s="188"/>
      <c r="AZ60" s="188"/>
      <c r="BA60" s="188"/>
      <c r="BB60" s="188"/>
      <c r="BC60" s="188"/>
      <c r="BD60" s="188"/>
      <c r="BF60">
        <f>ROWS($U$46:U60)</f>
        <v>15</v>
      </c>
      <c r="BG60" t="str">
        <f t="shared" si="66"/>
        <v/>
      </c>
      <c r="BH60" t="str">
        <f>IFERROR(SMALL($BG$46:$BG$3014,ROWS($BG$46:BG60)),"")</f>
        <v/>
      </c>
      <c r="BI60" s="170">
        <f>IFERROR(INDEX($O$46:$T$3015,$BH60:$BH71,COLUMNS($BE$46:BE60)),0)</f>
        <v>0</v>
      </c>
      <c r="BJ60" s="170">
        <f>IFERROR(INDEX($O$46:$T$3015,$BH60:$BH71,COLUMNS($BE$46:BF60)),0)</f>
        <v>0</v>
      </c>
      <c r="BK60" s="170">
        <f>IFERROR(INDEX($O$46:$T$3015,$BH60:$BH71,COLUMNS($BE$46:BG60)),0)</f>
        <v>0</v>
      </c>
      <c r="BL60" s="170">
        <f>IFERROR(INDEX($O$46:$T$3015,$BH60:$BH71,COLUMNS($BE$46:BH60)),0)</f>
        <v>0</v>
      </c>
      <c r="BM60" s="170">
        <f>IFERROR(INDEX($O$46:$T$3015,$BH60:$BH71,COLUMNS($BE$46:BI60)),0)</f>
        <v>0</v>
      </c>
      <c r="BN60" s="170">
        <f>IFERROR(INDEX($O$46:$T$3015,$BH60:$BH71,COLUMNS($BE$46:BJ60)),0)</f>
        <v>0</v>
      </c>
      <c r="BO60" s="170">
        <f>IFERROR(INDEX($O$46:$T$3015,$BH60:$BH71,COLUMNS($BE$46:BG60)),0)</f>
        <v>0</v>
      </c>
      <c r="CX60" s="71">
        <f>IF(AND(BI46&lt;&gt;"",BI46&lt;&gt;0),BI46,IF(AND($BI$63&lt;&gt;"",$BI$63&lt;&gt;0,$BI$63&lt;&gt;CX45,$BI$63&lt;&gt;CX44,$BI$63&lt;&gt;CX43),$BI$63,IF(AND($BI$64&lt;&gt;"",$BI$64&lt;&gt;0,$BI$64&lt;&gt;CX45,$BI$64&lt;&gt;CX44,$BI$64&lt;&gt;CX43),$BI$64,IF(AND($BI$65&lt;&gt;"",$BI$65&lt;&gt;0,$BI$65&lt;&gt;CX45,$BI$65&lt;&gt;CX44,$BI$65&lt;&gt;CX43),$BI$65,""))))</f>
        <v>1</v>
      </c>
      <c r="CY60" s="71">
        <f>IF(AND(BJ46&lt;&gt;"",BJ46&lt;&gt;0),BJ46,IF(AND('ARDT Cutter Entry'!$BP$59='ARDT Cutter Entry'!$BP$3,'ARDT Cutter Entry'!$BP$59&lt;&gt;"",'ARDT Cutter Entry'!$BP$59&lt;&gt;0,'ARDT Cutter Entry'!$BP$59&lt;&gt;CY45,'ARDT Cutter Entry'!$BP$59&lt;&gt;CY44,'ARDT Cutter Entry'!$BP$59&lt;&gt;CY43),'ARDT Cutter Entry'!$BP$59,IF(AND('ARDT Cutter Entry'!$BP$60='ARDT Cutter Entry'!$BP$4,'ARDT Cutter Entry'!$BP$60&lt;&gt;"",'ARDT Cutter Entry'!$BP$60&lt;&gt;0,'ARDT Cutter Entry'!$BP$60&lt;&gt;CY45,'ARDT Cutter Entry'!$BP$60&lt;&gt;CY44,'ARDT Cutter Entry'!$BP$60&lt;&gt;CY43),'ARDT Cutter Entry'!$BP$60,IF(AND('ARDT Cutter Entry'!$BP$61='ARDT Cutter Entry'!$BP$5,'ARDT Cutter Entry'!$BP$61&lt;&gt;"",'ARDT Cutter Entry'!$BP$61&lt;&gt;0,'ARDT Cutter Entry'!$BP$61&lt;&gt;CY45,'ARDT Cutter Entry'!$BP$61&lt;&gt;CY44,'ARDT Cutter Entry'!$BP$59&lt;&gt;CY43),'ARDT Cutter Entry'!$BP$61,""))))</f>
        <v>1039060</v>
      </c>
      <c r="DB60" s="37">
        <v>773383</v>
      </c>
      <c r="DD60" s="75">
        <v>48</v>
      </c>
      <c r="DE60" s="37">
        <v>752563</v>
      </c>
      <c r="DF60" t="s">
        <v>209</v>
      </c>
      <c r="DG60" s="37" t="str">
        <f t="shared" si="60"/>
        <v>1010 CT81  0.018"</v>
      </c>
      <c r="DH60" s="37">
        <v>10</v>
      </c>
      <c r="DI60" s="37">
        <v>1010</v>
      </c>
      <c r="DJ60" s="37" t="s">
        <v>261</v>
      </c>
      <c r="DK60" s="37"/>
      <c r="DL60" s="37" t="s">
        <v>240</v>
      </c>
      <c r="DM60" s="37">
        <v>20</v>
      </c>
      <c r="DN60" s="37">
        <v>0</v>
      </c>
      <c r="DO60" s="37">
        <v>272</v>
      </c>
      <c r="DP60" s="37"/>
      <c r="DQ60" s="37">
        <v>50</v>
      </c>
      <c r="DR60" s="37" t="str">
        <f t="shared" si="61"/>
        <v xml:space="preserve">1010 CT81 </v>
      </c>
      <c r="DS60" s="37">
        <f t="shared" si="43"/>
        <v>0</v>
      </c>
      <c r="DV60" s="10" t="s">
        <v>732</v>
      </c>
      <c r="DW60" t="s">
        <v>1588</v>
      </c>
      <c r="DX60">
        <v>20</v>
      </c>
      <c r="DY60" t="s">
        <v>1684</v>
      </c>
      <c r="DZ60" t="s">
        <v>1671</v>
      </c>
      <c r="EA60">
        <v>1</v>
      </c>
      <c r="EB60" t="s">
        <v>1513</v>
      </c>
      <c r="EC60" s="10">
        <v>328</v>
      </c>
      <c r="ED60" s="10" t="s">
        <v>1747</v>
      </c>
      <c r="EE60" s="813">
        <f t="shared" si="19"/>
        <v>0</v>
      </c>
      <c r="EF60">
        <f>ROWS($DE$2:DE60)</f>
        <v>59</v>
      </c>
      <c r="EG60" t="str">
        <f t="shared" si="26"/>
        <v/>
      </c>
      <c r="EJ60" t="str">
        <f t="shared" si="27"/>
        <v/>
      </c>
      <c r="EM60" t="str">
        <f t="shared" si="28"/>
        <v/>
      </c>
      <c r="EP60" t="str">
        <f t="shared" si="29"/>
        <v/>
      </c>
      <c r="ES60" t="str">
        <f t="shared" si="30"/>
        <v/>
      </c>
      <c r="EV60" t="str">
        <f t="shared" si="31"/>
        <v/>
      </c>
      <c r="EY60" t="str">
        <f t="shared" si="32"/>
        <v/>
      </c>
      <c r="FB60" t="str">
        <f t="shared" si="33"/>
        <v/>
      </c>
      <c r="FE60" t="str">
        <f t="shared" si="34"/>
        <v/>
      </c>
      <c r="FH60" t="str">
        <f t="shared" si="35"/>
        <v/>
      </c>
      <c r="FK60" t="str">
        <f t="shared" si="36"/>
        <v/>
      </c>
      <c r="FN60" t="str">
        <f t="shared" si="37"/>
        <v/>
      </c>
      <c r="FQ60" t="str">
        <f t="shared" si="38"/>
        <v/>
      </c>
      <c r="FT60" t="str">
        <f t="shared" si="39"/>
        <v/>
      </c>
      <c r="FW60" t="str">
        <f t="shared" si="40"/>
        <v/>
      </c>
      <c r="FZ60" t="str">
        <f t="shared" si="41"/>
        <v/>
      </c>
      <c r="GC60" t="str">
        <f t="shared" si="42"/>
        <v/>
      </c>
      <c r="GE60" s="155"/>
      <c r="GF60" s="26" t="str">
        <f t="shared" si="45"/>
        <v>06.5.1 - 40</v>
      </c>
      <c r="GG60" s="28" t="str">
        <f t="shared" si="46"/>
        <v>6.5.1 40</v>
      </c>
      <c r="GH60" s="882" t="s">
        <v>1591</v>
      </c>
      <c r="GI60" s="75">
        <v>40</v>
      </c>
      <c r="GJ60" s="874" t="s">
        <v>1715</v>
      </c>
      <c r="GK60" s="875" t="s">
        <v>1669</v>
      </c>
      <c r="GL60" s="876">
        <v>1</v>
      </c>
      <c r="GM60" s="37" t="s">
        <v>1513</v>
      </c>
      <c r="GN60" s="877">
        <v>333</v>
      </c>
      <c r="GO60" s="26">
        <f t="shared" si="58"/>
        <v>0</v>
      </c>
      <c r="GP60" t="s">
        <v>1669</v>
      </c>
      <c r="GQ60" s="26" t="s">
        <v>1769</v>
      </c>
      <c r="GS60">
        <f>ROWS($GJ$20:GJ60)</f>
        <v>41</v>
      </c>
      <c r="GT60" s="63" t="str">
        <f t="shared" si="57"/>
        <v/>
      </c>
      <c r="GU60"/>
      <c r="HC60" s="805"/>
      <c r="HD60" s="805"/>
    </row>
    <row r="61" spans="1:212" ht="15.75" customHeight="1" thickBot="1" x14ac:dyDescent="0.4">
      <c r="L61" s="166">
        <v>695382</v>
      </c>
      <c r="O61" s="193"/>
      <c r="P61" s="193"/>
      <c r="Q61" s="193"/>
      <c r="R61" s="193"/>
      <c r="S61" s="190">
        <v>3.875</v>
      </c>
      <c r="T61" s="190" t="s">
        <v>737</v>
      </c>
      <c r="U61" s="190">
        <v>1025815</v>
      </c>
      <c r="V61" s="171" t="s">
        <v>90</v>
      </c>
      <c r="W61" s="191">
        <v>1</v>
      </c>
      <c r="X61" s="173">
        <v>2</v>
      </c>
      <c r="Y61" s="173">
        <v>2</v>
      </c>
      <c r="Z61" s="177">
        <v>2</v>
      </c>
      <c r="AA61" s="177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  <c r="AQ61" s="188"/>
      <c r="AR61" s="188"/>
      <c r="AS61" s="188"/>
      <c r="AT61" s="188"/>
      <c r="AU61" s="188"/>
      <c r="AV61" s="188"/>
      <c r="AW61" s="188"/>
      <c r="AX61" s="188"/>
      <c r="AY61" s="188"/>
      <c r="AZ61" s="188"/>
      <c r="BA61" s="188"/>
      <c r="BB61" s="188"/>
      <c r="BC61" s="188"/>
      <c r="BD61" s="188"/>
      <c r="BF61">
        <f>ROWS($U$46:U61)</f>
        <v>16</v>
      </c>
      <c r="BG61" t="str">
        <f t="shared" si="66"/>
        <v/>
      </c>
      <c r="BH61" t="str">
        <f>IFERROR(SMALL($BG$46:$BG$3014,ROWS($BG$46:BG61)),"")</f>
        <v/>
      </c>
      <c r="BI61" s="170">
        <f>IFERROR(INDEX($O$46:$T$3015,$BH61:$BH72,COLUMNS($BE$46:BE61)),0)</f>
        <v>0</v>
      </c>
      <c r="BJ61" s="170">
        <f>IFERROR(INDEX($O$46:$T$3015,$BH61:$BH72,COLUMNS($BE$46:BF61)),0)</f>
        <v>0</v>
      </c>
      <c r="BK61" s="170">
        <f>IFERROR(INDEX($O$46:$T$3015,$BH61:$BH72,COLUMNS($BE$46:BG61)),0)</f>
        <v>0</v>
      </c>
      <c r="BL61" s="170">
        <f>IFERROR(INDEX($O$46:$T$3015,$BH61:$BH72,COLUMNS($BE$46:BH61)),0)</f>
        <v>0</v>
      </c>
      <c r="BM61" s="170">
        <f>IFERROR(INDEX($O$46:$T$3015,$BH61:$BH72,COLUMNS($BE$46:BI61)),0)</f>
        <v>0</v>
      </c>
      <c r="BN61" s="170">
        <f>IFERROR(INDEX($O$46:$T$3015,$BH61:$BH72,COLUMNS($BE$46:BJ61)),0)</f>
        <v>0</v>
      </c>
      <c r="BO61" s="170">
        <f>IFERROR(INDEX($O$46:$T$3015,$BH61:$BH72,COLUMNS($BE$46:BG61)),0)</f>
        <v>0</v>
      </c>
      <c r="CX61" s="72">
        <f>IF(CX60&lt;&gt;"",IF(AND(BI47&lt;&gt;"",BI47&lt;&gt;0),BI47,IF(AND($BI$63&lt;&gt;"",$BI$63&lt;&gt;0,$BI$63&lt;&gt;CX60,$BI$63&lt;&gt;CX45,$BI$63&lt;&gt;CX44),$BI$63,IF(AND($BI$64&lt;&gt;"",$BI$64&lt;&gt;0,$BI$64&lt;&gt;CX60,$BI$64&lt;&gt;CX45,$BI$64&lt;&gt;CX44),$BI$64,IF(AND($BI$65&lt;&gt;"",$BI$65&lt;&gt;0,$BI$65&lt;&gt;CX60,$BI$65&lt;&gt;CX45,$BI$65&lt;&gt;CX44),$BI$65,"")))),"")</f>
        <v>2</v>
      </c>
      <c r="CY61" s="72">
        <f>IF(CY60&lt;&gt;"",IF(AND(BJ47&lt;&gt;"",BJ47&lt;&gt;0),BJ47,IF(AND('ARDT Cutter Entry'!$BP$59='ARDT Cutter Entry'!$BP$3,'ARDT Cutter Entry'!$BP$59&lt;&gt;"",'ARDT Cutter Entry'!$BP$59&lt;&gt;0,'ARDT Cutter Entry'!$BP$59&lt;&gt;CY60,'ARDT Cutter Entry'!$BP$59&lt;&gt;CY45,'ARDT Cutter Entry'!$BP$59&lt;&gt;CY44,'ARDT Cutter Entry'!$BP$59&lt;&gt;CY43,'ARDT Cutter Entry'!$BP$59&lt;&gt;CY42),'ARDT Cutter Entry'!$BP$59,IF(AND('ARDT Cutter Entry'!$BP$60='ARDT Cutter Entry'!$BP$4,'ARDT Cutter Entry'!$BP$60&lt;&gt;"",'ARDT Cutter Entry'!$BP$60&lt;&gt;0,'ARDT Cutter Entry'!$BP$60&lt;&gt;CY60,'ARDT Cutter Entry'!$BP$60&lt;&gt;CY45,'ARDT Cutter Entry'!$BP$60&lt;&gt;CY44,'ARDT Cutter Entry'!$BP$60&lt;&gt;CY43,'ARDT Cutter Entry'!$BP$60&lt;&gt;CY42),'ARDT Cutter Entry'!$BP$60,IF(AND('ARDT Cutter Entry'!$BP$61='ARDT Cutter Entry'!$BP$5,'ARDT Cutter Entry'!$BP$61&lt;&gt;"",'ARDT Cutter Entry'!$BP$61&lt;&gt;0,'ARDT Cutter Entry'!$BP$61&lt;&gt;CY60,'ARDT Cutter Entry'!$BP$61&lt;&gt;CY45,'ARDT Cutter Entry'!$BP$59&lt;&gt;CY44,'ARDT Cutter Entry'!$BP$59&lt;&gt;CY43,'ARDT Cutter Entry'!$BP$59&lt;&gt;CY42),'ARDT Cutter Entry'!$BP$61,"")))),"")</f>
        <v>1130197</v>
      </c>
      <c r="DB61" s="37">
        <v>773384</v>
      </c>
      <c r="DD61" s="75">
        <v>58</v>
      </c>
      <c r="DE61" s="37">
        <v>755975</v>
      </c>
      <c r="DF61" t="s">
        <v>210</v>
      </c>
      <c r="DG61" s="37" t="str">
        <f t="shared" si="60"/>
        <v>1913 CT80  0.018"</v>
      </c>
      <c r="DH61" s="37">
        <v>19</v>
      </c>
      <c r="DI61" s="37">
        <v>1913</v>
      </c>
      <c r="DJ61" s="37" t="s">
        <v>262</v>
      </c>
      <c r="DK61" s="37"/>
      <c r="DL61" s="37" t="s">
        <v>240</v>
      </c>
      <c r="DM61" s="37">
        <v>2</v>
      </c>
      <c r="DN61" s="37">
        <v>2</v>
      </c>
      <c r="DO61" s="37">
        <v>660</v>
      </c>
      <c r="DP61" s="37"/>
      <c r="DQ61" s="37"/>
      <c r="DR61" s="37" t="str">
        <f t="shared" si="61"/>
        <v xml:space="preserve">1913 CT80 </v>
      </c>
      <c r="DS61" s="37">
        <f t="shared" si="43"/>
        <v>0</v>
      </c>
      <c r="DV61" s="10" t="s">
        <v>146</v>
      </c>
      <c r="DW61" t="s">
        <v>1591</v>
      </c>
      <c r="DX61">
        <v>10</v>
      </c>
      <c r="DY61" t="s">
        <v>1682</v>
      </c>
      <c r="DZ61" t="s">
        <v>1669</v>
      </c>
      <c r="EA61">
        <v>1</v>
      </c>
      <c r="EB61" t="s">
        <v>1513</v>
      </c>
      <c r="EC61" s="10">
        <v>615</v>
      </c>
      <c r="ED61" s="10" t="s">
        <v>1745</v>
      </c>
      <c r="EE61" s="813">
        <f t="shared" si="19"/>
        <v>0</v>
      </c>
      <c r="EF61">
        <f>ROWS($DE$2:DE61)</f>
        <v>60</v>
      </c>
      <c r="EG61" t="str">
        <f t="shared" si="26"/>
        <v/>
      </c>
      <c r="EJ61" t="str">
        <f t="shared" si="27"/>
        <v/>
      </c>
      <c r="EM61" t="str">
        <f t="shared" si="28"/>
        <v/>
      </c>
      <c r="EP61" t="str">
        <f t="shared" si="29"/>
        <v/>
      </c>
      <c r="ES61" t="str">
        <f t="shared" si="30"/>
        <v/>
      </c>
      <c r="EV61" t="str">
        <f t="shared" si="31"/>
        <v/>
      </c>
      <c r="EY61" t="str">
        <f t="shared" si="32"/>
        <v/>
      </c>
      <c r="FB61" t="str">
        <f t="shared" si="33"/>
        <v/>
      </c>
      <c r="FE61" t="str">
        <f t="shared" si="34"/>
        <v/>
      </c>
      <c r="FH61" t="str">
        <f t="shared" si="35"/>
        <v/>
      </c>
      <c r="FK61" t="str">
        <f t="shared" si="36"/>
        <v/>
      </c>
      <c r="FN61" t="str">
        <f t="shared" si="37"/>
        <v/>
      </c>
      <c r="FQ61" t="str">
        <f t="shared" si="38"/>
        <v/>
      </c>
      <c r="FT61" t="str">
        <f t="shared" si="39"/>
        <v/>
      </c>
      <c r="FW61" t="str">
        <f t="shared" si="40"/>
        <v/>
      </c>
      <c r="FZ61" t="str">
        <f t="shared" si="41"/>
        <v/>
      </c>
      <c r="GC61" t="str">
        <f t="shared" si="42"/>
        <v/>
      </c>
      <c r="GE61" s="155"/>
      <c r="GF61" s="26" t="str">
        <f t="shared" si="45"/>
        <v>06.5.1 - 50</v>
      </c>
      <c r="GG61" s="28" t="str">
        <f t="shared" si="46"/>
        <v>6.5.1 50</v>
      </c>
      <c r="GH61" s="882" t="s">
        <v>1591</v>
      </c>
      <c r="GI61" s="75">
        <v>50</v>
      </c>
      <c r="GJ61" s="874" t="s">
        <v>1716</v>
      </c>
      <c r="GK61" s="875" t="s">
        <v>1669</v>
      </c>
      <c r="GL61" s="876">
        <v>1</v>
      </c>
      <c r="GM61" s="37" t="s">
        <v>1513</v>
      </c>
      <c r="GN61" s="877">
        <v>202</v>
      </c>
      <c r="GO61" s="26">
        <f t="shared" si="58"/>
        <v>0</v>
      </c>
      <c r="GP61" t="s">
        <v>1669</v>
      </c>
      <c r="GQ61" s="26" t="s">
        <v>1770</v>
      </c>
      <c r="GS61">
        <f>ROWS($GJ$20:GJ61)</f>
        <v>42</v>
      </c>
      <c r="GT61" s="63" t="str">
        <f t="shared" si="57"/>
        <v/>
      </c>
      <c r="GU61"/>
      <c r="HC61" s="805"/>
      <c r="HD61" s="805"/>
    </row>
    <row r="62" spans="1:212" ht="16.5" customHeight="1" thickBot="1" x14ac:dyDescent="0.4">
      <c r="F62" s="62" t="s">
        <v>1106</v>
      </c>
      <c r="G62" s="1018" t="s">
        <v>1518</v>
      </c>
      <c r="L62" s="176">
        <v>702957</v>
      </c>
      <c r="O62" s="193"/>
      <c r="P62" s="193"/>
      <c r="Q62" s="193"/>
      <c r="R62" s="193"/>
      <c r="S62" s="190">
        <v>3.875</v>
      </c>
      <c r="T62" s="194" t="s">
        <v>737</v>
      </c>
      <c r="U62" s="194">
        <v>1025815</v>
      </c>
      <c r="V62" s="195" t="s">
        <v>91</v>
      </c>
      <c r="W62" s="191">
        <v>1</v>
      </c>
      <c r="X62" s="173">
        <v>2</v>
      </c>
      <c r="Y62" s="192">
        <v>2</v>
      </c>
      <c r="Z62" s="171"/>
      <c r="AA62" s="178"/>
      <c r="AB62" s="196"/>
      <c r="AC62" s="196"/>
      <c r="AD62" s="196"/>
      <c r="AE62" s="196"/>
      <c r="AF62" s="196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8"/>
      <c r="AR62" s="188"/>
      <c r="AS62" s="188"/>
      <c r="AT62" s="188"/>
      <c r="AU62" s="188"/>
      <c r="AV62" s="188"/>
      <c r="AW62" s="188"/>
      <c r="AX62" s="188"/>
      <c r="AY62" s="188"/>
      <c r="AZ62" s="188"/>
      <c r="BA62" s="188"/>
      <c r="BB62" s="188"/>
      <c r="BC62" s="188"/>
      <c r="BD62" s="188"/>
      <c r="BF62">
        <f>ROWS($U$46:U62)</f>
        <v>17</v>
      </c>
      <c r="BG62" t="str">
        <f t="shared" si="66"/>
        <v/>
      </c>
      <c r="BH62" t="str">
        <f>IFERROR(SMALL($BG$46:$BG$3014,ROWS($BG$46:BG62)),"")</f>
        <v/>
      </c>
      <c r="BI62" s="170">
        <f>IFERROR(INDEX($O$46:$T$3015,$BH62:$BH73,COLUMNS($BE$46:BE62)),0)</f>
        <v>0</v>
      </c>
      <c r="BJ62" s="170">
        <f>IFERROR(INDEX($O$46:$T$3015,$BH62:$BH73,COLUMNS($BE$46:BF62)),0)</f>
        <v>0</v>
      </c>
      <c r="BK62" s="170">
        <f>IFERROR(INDEX($O$46:$T$3015,$BH62:$BH73,COLUMNS($BE$46:BG62)),0)</f>
        <v>0</v>
      </c>
      <c r="BL62" s="170">
        <f>IFERROR(INDEX($O$46:$T$3015,$BH62:$BH73,COLUMNS($BE$46:BH62)),0)</f>
        <v>0</v>
      </c>
      <c r="BM62" s="170">
        <f>IFERROR(INDEX($O$46:$T$3015,$BH62:$BH73,COLUMNS($BE$46:BI62)),0)</f>
        <v>0</v>
      </c>
      <c r="BN62" s="170">
        <f>IFERROR(INDEX($O$46:$T$3015,$BH62:$BH73,COLUMNS($BE$46:BJ62)),0)</f>
        <v>0</v>
      </c>
      <c r="BO62" s="170">
        <f>IFERROR(INDEX($O$46:$T$3015,$BH62:$BH73,COLUMNS($BE$46:BG62)),0)</f>
        <v>0</v>
      </c>
      <c r="CX62" s="72">
        <f>IF(CX61&lt;&gt;"",IF(AND(BI48&lt;&gt;"",BI48&lt;&gt;0),BI48,IF(AND($BI$63&lt;&gt;"",$BI$63&lt;&gt;0,$BI$63&lt;&gt;CX61,$BI$63&lt;&gt;CX60,$BI$63&lt;&gt;CX45),$BI$63,IF(AND($BI$64&lt;&gt;"",$BI$64&lt;&gt;0,$BI$64&lt;&gt;CX61,$BI$64&lt;&gt;CX60,$BI$64&lt;&gt;CX45),$BI$64,IF(AND($BI$65&lt;&gt;"",$BI$65&lt;&gt;0,$BI$65&lt;&gt;CX61,$BI$65&lt;&gt;CX60,$BI$65&lt;&gt;CX45),$BI$65,IF(AND($BI$66&lt;&gt;"",$BI$66&lt;&gt;0,$BI$66&lt;&gt;CX61,$BI$66&lt;&gt;CX60,$BI$66&lt;&gt;CX45),$BI$66,IF(AND($BI$67&lt;&gt;"",$BI$67&lt;&gt;0,$BI$67&lt;&gt;CX61,$BI$67&lt;&gt;CX60,$BI$67&lt;&gt;CX45),$BI$67,"")))))),"")</f>
        <v>3</v>
      </c>
      <c r="CY62" s="72">
        <f>IF(CY61&lt;&gt;"",IF(AND(BJ48&lt;&gt;"",BJ48&lt;&gt;0),BJ48,IF(AND('ARDT Cutter Entry'!$BP$59='ARDT Cutter Entry'!$BP$3,'ARDT Cutter Entry'!$BP$59&lt;&gt;"",'ARDT Cutter Entry'!$BP$59&lt;&gt;0,'ARDT Cutter Entry'!$BP$59&lt;&gt;CY61,'ARDT Cutter Entry'!$BP$59&lt;&gt;CY60,'ARDT Cutter Entry'!$BP$59&lt;&gt;CY45,'ARDT Cutter Entry'!$BP$59&lt;&gt;CY44,'ARDT Cutter Entry'!$BP$59&lt;&gt;CY43),'ARDT Cutter Entry'!$BP$59,IF(AND('ARDT Cutter Entry'!$BP$60='ARDT Cutter Entry'!$BP$4,'ARDT Cutter Entry'!$BP$60&lt;&gt;"",'ARDT Cutter Entry'!$BP$60&lt;&gt;0,'ARDT Cutter Entry'!$BP$60&lt;&gt;CY61,'ARDT Cutter Entry'!$BP$60&lt;&gt;CY60,'ARDT Cutter Entry'!$BP$60&lt;&gt;CY45,'ARDT Cutter Entry'!$BP$60&lt;&gt;CY44,'ARDT Cutter Entry'!$BP$60&lt;&gt;CY43),'ARDT Cutter Entry'!$BP$60,IF(AND('ARDT Cutter Entry'!$BP$61='ARDT Cutter Entry'!$BP$5,'ARDT Cutter Entry'!$BP$61&lt;&gt;"",'ARDT Cutter Entry'!$BP$61&lt;&gt;0,'ARDT Cutter Entry'!$BP$61&lt;&gt;CY61,'ARDT Cutter Entry'!$BP$61&lt;&gt;CY60,'ARDT Cutter Entry'!$BP$61&lt;&gt;CY45,'ARDT Cutter Entry'!$BP$61&lt;&gt;CY44,'ARDT Cutter Entry'!$BP$61&lt;&gt;CY43),'ARDT Cutter Entry'!$BP$61,IF(AND('ARDT Cutter Entry'!$BP$62='ARDT Cutter Entry'!$BP$6,'ARDT Cutter Entry'!$BP$62&lt;&gt;"",'ARDT Cutter Entry'!$BP$62&lt;&gt;0,'ARDT Cutter Entry'!$BP$62&lt;&gt;CY61,'ARDT Cutter Entry'!$BP$62&lt;&gt;CY60,'ARDT Cutter Entry'!$BP$62&lt;&gt;CY45,'ARDT Cutter Entry'!$BP$62&lt;&gt;CY44,'ARDT Cutter Entry'!$BP$62&lt;&gt;CY43),'ARDT Cutter Entry'!$BP$62,IF(AND('ARDT Cutter Entry'!$BP$63='ARDT Cutter Entry'!$BP$7,'ARDT Cutter Entry'!$BP$63&lt;&gt;"",'ARDT Cutter Entry'!$BP$63&lt;&gt;0,'ARDT Cutter Entry'!$BP$63&lt;&gt;CY61,'ARDT Cutter Entry'!$BP$63&lt;&gt;CY60,'ARDT Cutter Entry'!$BP$63&lt;&gt;CY45,'ARDT Cutter Entry'!$BP$63&lt;&gt;CY44,'ARDT Cutter Entry'!$BP$63&lt;&gt;CY43),'ARDT Cutter Entry'!$BP$63,"")))))),"")</f>
        <v>418525</v>
      </c>
      <c r="DB62" s="37">
        <v>780654</v>
      </c>
      <c r="DD62" s="75">
        <v>36</v>
      </c>
      <c r="DE62" s="37">
        <v>761246</v>
      </c>
      <c r="DF62" t="s">
        <v>211</v>
      </c>
      <c r="DG62" s="37" t="str">
        <f t="shared" si="60"/>
        <v>1623 CT80  0.018"</v>
      </c>
      <c r="DH62" s="37">
        <v>16</v>
      </c>
      <c r="DI62" s="37">
        <v>1623</v>
      </c>
      <c r="DJ62" s="37" t="s">
        <v>262</v>
      </c>
      <c r="DK62" s="37"/>
      <c r="DL62" s="37" t="s">
        <v>240</v>
      </c>
      <c r="DM62" s="37">
        <v>12</v>
      </c>
      <c r="DN62" s="37">
        <v>20</v>
      </c>
      <c r="DO62" s="37">
        <v>497</v>
      </c>
      <c r="DP62" s="37"/>
      <c r="DQ62" s="37"/>
      <c r="DR62" s="37" t="str">
        <f t="shared" si="61"/>
        <v xml:space="preserve">1623 CT80 </v>
      </c>
      <c r="DS62" s="37">
        <f t="shared" si="43"/>
        <v>0</v>
      </c>
      <c r="DV62" s="10" t="s">
        <v>146</v>
      </c>
      <c r="DW62" t="s">
        <v>1590</v>
      </c>
      <c r="DX62">
        <v>10</v>
      </c>
      <c r="DY62" t="s">
        <v>1681</v>
      </c>
      <c r="DZ62" t="s">
        <v>1668</v>
      </c>
      <c r="EA62">
        <v>1</v>
      </c>
      <c r="EB62" t="s">
        <v>1513</v>
      </c>
      <c r="EC62" s="10">
        <v>490</v>
      </c>
      <c r="ED62" s="10" t="s">
        <v>1744</v>
      </c>
      <c r="EE62" s="813">
        <f t="shared" si="19"/>
        <v>0</v>
      </c>
      <c r="EF62">
        <f>ROWS($DE$2:DE62)</f>
        <v>61</v>
      </c>
      <c r="EG62" t="str">
        <f t="shared" si="26"/>
        <v/>
      </c>
      <c r="EJ62" t="str">
        <f t="shared" si="27"/>
        <v/>
      </c>
      <c r="EM62" t="str">
        <f t="shared" si="28"/>
        <v/>
      </c>
      <c r="EP62" t="str">
        <f t="shared" si="29"/>
        <v/>
      </c>
      <c r="ES62" t="str">
        <f t="shared" si="30"/>
        <v/>
      </c>
      <c r="EV62" t="str">
        <f t="shared" si="31"/>
        <v/>
      </c>
      <c r="EY62" t="str">
        <f t="shared" si="32"/>
        <v/>
      </c>
      <c r="FB62" t="str">
        <f t="shared" si="33"/>
        <v/>
      </c>
      <c r="FE62" t="str">
        <f t="shared" si="34"/>
        <v/>
      </c>
      <c r="FH62" t="str">
        <f t="shared" si="35"/>
        <v/>
      </c>
      <c r="FK62" t="str">
        <f t="shared" si="36"/>
        <v/>
      </c>
      <c r="FN62" t="str">
        <f t="shared" si="37"/>
        <v/>
      </c>
      <c r="FQ62" t="str">
        <f t="shared" si="38"/>
        <v/>
      </c>
      <c r="FT62" t="str">
        <f t="shared" si="39"/>
        <v/>
      </c>
      <c r="FW62" t="str">
        <f t="shared" si="40"/>
        <v/>
      </c>
      <c r="FZ62" t="str">
        <f t="shared" si="41"/>
        <v/>
      </c>
      <c r="GC62" t="str">
        <f t="shared" si="42"/>
        <v/>
      </c>
      <c r="GE62" s="155"/>
      <c r="GF62" s="26" t="str">
        <f t="shared" si="45"/>
        <v>06.5.1 - 60</v>
      </c>
      <c r="GG62" s="28" t="str">
        <f t="shared" si="46"/>
        <v>6.5.1 60</v>
      </c>
      <c r="GH62" s="882" t="s">
        <v>1591</v>
      </c>
      <c r="GI62" s="75">
        <v>60</v>
      </c>
      <c r="GJ62" s="874" t="s">
        <v>1717</v>
      </c>
      <c r="GK62" s="875" t="s">
        <v>1669</v>
      </c>
      <c r="GL62" s="876">
        <v>1</v>
      </c>
      <c r="GM62" s="37" t="s">
        <v>1513</v>
      </c>
      <c r="GN62" s="877">
        <v>135</v>
      </c>
      <c r="GO62" s="26">
        <f t="shared" si="58"/>
        <v>0</v>
      </c>
      <c r="GP62" t="s">
        <v>1669</v>
      </c>
      <c r="GQ62" s="26" t="s">
        <v>1771</v>
      </c>
      <c r="GS62">
        <f>ROWS($GJ$20:GJ62)</f>
        <v>43</v>
      </c>
      <c r="GT62" s="64" t="str">
        <f t="shared" si="57"/>
        <v/>
      </c>
      <c r="GU62"/>
      <c r="HC62" s="805"/>
      <c r="HD62" s="805"/>
    </row>
    <row r="63" spans="1:212" ht="15.75" customHeight="1" x14ac:dyDescent="0.35">
      <c r="B63" s="118">
        <f>IF(D4&lt;&gt;"",INDEX(D12:F21,MATCH(D4,D12:D21,2),3),"")</f>
        <v>1608</v>
      </c>
      <c r="C63" s="119">
        <f>IF(G4&lt;&gt;"",INDEX(D12:F21,MATCH(G4,D12:D21,2),3),"")</f>
        <v>1608</v>
      </c>
      <c r="F63" s="63" t="s">
        <v>1107</v>
      </c>
      <c r="G63" s="1019"/>
      <c r="L63" s="166">
        <v>709378</v>
      </c>
      <c r="O63" s="197">
        <v>1</v>
      </c>
      <c r="P63" s="190">
        <v>418525</v>
      </c>
      <c r="Q63" s="190">
        <v>12</v>
      </c>
      <c r="R63" s="190"/>
      <c r="S63" s="182">
        <v>6.125</v>
      </c>
      <c r="T63" s="198" t="s">
        <v>739</v>
      </c>
      <c r="U63" s="198">
        <v>859588</v>
      </c>
      <c r="V63" s="183" t="s">
        <v>87</v>
      </c>
      <c r="W63" s="184">
        <v>2</v>
      </c>
      <c r="X63" s="185">
        <v>2</v>
      </c>
      <c r="Y63" s="185">
        <v>2</v>
      </c>
      <c r="Z63" s="173">
        <v>2</v>
      </c>
      <c r="AA63" s="173">
        <v>2</v>
      </c>
      <c r="AB63" s="173">
        <v>2</v>
      </c>
      <c r="AC63" s="173">
        <v>2</v>
      </c>
      <c r="AD63" s="174">
        <v>2</v>
      </c>
      <c r="AE63" s="174">
        <v>1</v>
      </c>
      <c r="AF63" s="40">
        <v>1</v>
      </c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8"/>
      <c r="AR63" s="188"/>
      <c r="AS63" s="188"/>
      <c r="AT63" s="188"/>
      <c r="AU63" s="188"/>
      <c r="AV63" s="188"/>
      <c r="AW63" s="188"/>
      <c r="AX63" s="188"/>
      <c r="AY63" s="188"/>
      <c r="AZ63" s="188"/>
      <c r="BA63" s="188"/>
      <c r="BB63" s="188"/>
      <c r="BC63" s="188"/>
      <c r="BD63" s="188"/>
      <c r="BF63">
        <f>ROWS($U$46:U63)</f>
        <v>18</v>
      </c>
      <c r="BG63" t="str">
        <f t="shared" si="66"/>
        <v/>
      </c>
      <c r="BH63" t="str">
        <f>IFERROR(SMALL($BG$46:$BG$3014,ROWS($BG$46:BG63)),"")</f>
        <v/>
      </c>
      <c r="BI63" s="189">
        <f>'ARDT Cutter Entry'!$BN$59</f>
        <v>4</v>
      </c>
      <c r="BJ63" s="189">
        <f>'ARDT Cutter Entry'!$BP$59</f>
        <v>643738</v>
      </c>
      <c r="BK63" s="170" t="str">
        <f>IFERROR(INDEX($O$46:$T$132,$BH63:$BH74,COLUMNS($BE$46:BG63)),"")</f>
        <v/>
      </c>
      <c r="BL63" s="170" t="str">
        <f>IFERROR(INDEX($O$46:$T$132,$BH63:$BH74,COLUMNS($BE$46:BH63)),"")</f>
        <v/>
      </c>
      <c r="BM63" s="170" t="str">
        <f>IFERROR(INDEX($O$46:$T$132,$BH63:$BH74,COLUMNS($BE$46:BI63)),"")</f>
        <v/>
      </c>
      <c r="BO63" s="43">
        <f>SUMIF(BJ46:BJ62, "&lt;&gt;1228501", BO46:BO62)</f>
        <v>62</v>
      </c>
      <c r="CX63" s="72">
        <f>IF(CX62&lt;&gt;"",IF(AND(BI49&lt;&gt;"",BI49&lt;&gt;0),BI49,IF(AND($BI$63&lt;&gt;"",$BI$63&lt;&gt;0,$BI$63&lt;&gt;CX62,$BI$63&lt;&gt;CX61,$BI$63&lt;&gt;CX60),$BI$63,IF(AND($BI$64&lt;&gt;"",$BI$64&lt;&gt;0,$BI$64&lt;&gt;CX62,$BI$64&lt;&gt;CX61,$BI$64&lt;&gt;CX60),$BI$64,IF(AND($BI$65&lt;&gt;"",$BI$65&lt;&gt;0,$BI$65&lt;&gt;CX62,$BI$65&lt;&gt;CX61,$BI$65&lt;&gt;CX60),$BI$65,IF(AND($BI$66&lt;&gt;"",$BI$66&lt;&gt;0,$BI$66&lt;&gt;CX62,$BI$66&lt;&gt;CX61,$BI$66&lt;&gt;CX60),$BI$66,IF(AND($BI$67&lt;&gt;"",$BI$67&lt;&gt;0,$BI$67&lt;&gt;CX62,$BI$67&lt;&gt;CX61,$BI$67&lt;&gt;CX60),$BI$67,"")))))),"")</f>
        <v>4</v>
      </c>
      <c r="CY63" s="72">
        <f>IF(CY62&lt;&gt;"",IF(AND(BJ49&lt;&gt;"",BJ49&lt;&gt;0),BJ49,IF(AND('ARDT Cutter Entry'!$BP$59='ARDT Cutter Entry'!$BP$3,'ARDT Cutter Entry'!$BP$59&lt;&gt;"",'ARDT Cutter Entry'!$BP$59&lt;&gt;0,'ARDT Cutter Entry'!$BP$59&lt;&gt;CY62,'ARDT Cutter Entry'!$BP$59&lt;&gt;CY61,'ARDT Cutter Entry'!$BP$59&lt;&gt;CY60,'ARDT Cutter Entry'!$BP$59&lt;&gt;CY59,'ARDT Cutter Entry'!$BP$59&lt;&gt;CY58),'ARDT Cutter Entry'!$BP$59,IF(AND('ARDT Cutter Entry'!$BP$60='ARDT Cutter Entry'!$BP$4,'ARDT Cutter Entry'!$BP$60&lt;&gt;"",'ARDT Cutter Entry'!$BP$60&lt;&gt;0,'ARDT Cutter Entry'!$BP$60&lt;&gt;CY62,'ARDT Cutter Entry'!$BP$60&lt;&gt;CY61,'ARDT Cutter Entry'!$BP$60&lt;&gt;CY60,'ARDT Cutter Entry'!$BP$60&lt;&gt;CY59,'ARDT Cutter Entry'!$BP$60&lt;&gt;CY58),'ARDT Cutter Entry'!$BP$60,IF(AND('ARDT Cutter Entry'!$BP$61='ARDT Cutter Entry'!$BP$5,'ARDT Cutter Entry'!$BP$61&lt;&gt;"",'ARDT Cutter Entry'!$BP$61&lt;&gt;0,'ARDT Cutter Entry'!$BP$61&lt;&gt;CY62,'ARDT Cutter Entry'!$BP$61&lt;&gt;CY61,'ARDT Cutter Entry'!$BP$61&lt;&gt;CY60,'ARDT Cutter Entry'!$BP$61&lt;&gt;CY59,'ARDT Cutter Entry'!$BP$61&lt;&gt;CY58),'ARDT Cutter Entry'!$BP$61,IF(AND('ARDT Cutter Entry'!$BP$62='ARDT Cutter Entry'!$BP$6,'ARDT Cutter Entry'!$BP$62&lt;&gt;"",'ARDT Cutter Entry'!$BP$62&lt;&gt;0,'ARDT Cutter Entry'!$BP$62&lt;&gt;CY62,'ARDT Cutter Entry'!$BP$62&lt;&gt;CY61,'ARDT Cutter Entry'!$BP$62&lt;&gt;CY60,'ARDT Cutter Entry'!$BP$62&lt;&gt;CY59,'ARDT Cutter Entry'!$BP$62&lt;&gt;CY58),'ARDT Cutter Entry'!$BP$62,IF(AND('ARDT Cutter Entry'!$BP$63='ARDT Cutter Entry'!$BP$7,'ARDT Cutter Entry'!$BP$63&lt;&gt;"",'ARDT Cutter Entry'!$BP$63&lt;&gt;0,'ARDT Cutter Entry'!$BP$63&lt;&gt;CY62,'ARDT Cutter Entry'!$BP$63&lt;&gt;CY61,'ARDT Cutter Entry'!$BP$63&lt;&gt;CY60,'ARDT Cutter Entry'!$BP$63&lt;&gt;CY59,'ARDT Cutter Entry'!$BP$63&lt;&gt;CY58),'ARDT Cutter Entry'!$BP$63,"")))))),"")</f>
        <v>643738</v>
      </c>
      <c r="DB63" s="37">
        <v>781580</v>
      </c>
      <c r="DD63" s="75">
        <v>34</v>
      </c>
      <c r="DE63" s="37">
        <v>761304</v>
      </c>
      <c r="DF63" t="s">
        <v>212</v>
      </c>
      <c r="DG63" s="37" t="str">
        <f t="shared" si="60"/>
        <v>1316 CT80 V 0.010"</v>
      </c>
      <c r="DH63" s="37">
        <v>13</v>
      </c>
      <c r="DI63" s="37">
        <v>1316</v>
      </c>
      <c r="DJ63" s="37" t="s">
        <v>262</v>
      </c>
      <c r="DK63" s="37" t="s">
        <v>271</v>
      </c>
      <c r="DL63" s="37" t="s">
        <v>239</v>
      </c>
      <c r="DM63" s="37">
        <v>24</v>
      </c>
      <c r="DN63" s="37">
        <v>0</v>
      </c>
      <c r="DO63" s="37">
        <v>360</v>
      </c>
      <c r="DP63" s="37"/>
      <c r="DQ63" s="37"/>
      <c r="DR63" s="37" t="str">
        <f t="shared" si="61"/>
        <v>1316 CT80 V</v>
      </c>
      <c r="DS63" s="37">
        <f t="shared" si="43"/>
        <v>0</v>
      </c>
      <c r="DV63" s="10" t="s">
        <v>146</v>
      </c>
      <c r="DW63" t="s">
        <v>1589</v>
      </c>
      <c r="DX63">
        <v>10</v>
      </c>
      <c r="DY63" t="s">
        <v>1675</v>
      </c>
      <c r="DZ63" t="s">
        <v>1670</v>
      </c>
      <c r="EA63">
        <v>1</v>
      </c>
      <c r="EB63" t="s">
        <v>1513</v>
      </c>
      <c r="EC63" s="10">
        <v>345</v>
      </c>
      <c r="ED63" s="10" t="s">
        <v>1738</v>
      </c>
      <c r="EE63" s="813">
        <f t="shared" si="19"/>
        <v>0</v>
      </c>
      <c r="EF63">
        <f>ROWS($DE$2:DE63)</f>
        <v>62</v>
      </c>
      <c r="EG63" t="str">
        <f t="shared" si="26"/>
        <v/>
      </c>
      <c r="EJ63" t="str">
        <f t="shared" si="27"/>
        <v/>
      </c>
      <c r="EM63" t="str">
        <f t="shared" si="28"/>
        <v/>
      </c>
      <c r="EP63" t="str">
        <f t="shared" si="29"/>
        <v/>
      </c>
      <c r="ES63" t="str">
        <f t="shared" si="30"/>
        <v/>
      </c>
      <c r="EV63" t="str">
        <f t="shared" si="31"/>
        <v/>
      </c>
      <c r="EY63" t="str">
        <f t="shared" si="32"/>
        <v/>
      </c>
      <c r="FB63" t="str">
        <f t="shared" si="33"/>
        <v/>
      </c>
      <c r="FE63" t="str">
        <f t="shared" si="34"/>
        <v/>
      </c>
      <c r="FH63" t="str">
        <f t="shared" si="35"/>
        <v/>
      </c>
      <c r="FK63" t="str">
        <f t="shared" si="36"/>
        <v/>
      </c>
      <c r="FN63" t="str">
        <f t="shared" si="37"/>
        <v/>
      </c>
      <c r="FQ63" t="str">
        <f t="shared" si="38"/>
        <v/>
      </c>
      <c r="FT63" t="str">
        <f t="shared" si="39"/>
        <v/>
      </c>
      <c r="FW63" t="str">
        <f t="shared" si="40"/>
        <v/>
      </c>
      <c r="FZ63" t="str">
        <f t="shared" si="41"/>
        <v/>
      </c>
      <c r="GC63" t="str">
        <f t="shared" si="42"/>
        <v/>
      </c>
      <c r="GE63" s="155"/>
      <c r="GF63" s="26" t="str">
        <f t="shared" si="45"/>
        <v>07.1 - 10</v>
      </c>
      <c r="GG63" s="28" t="str">
        <f t="shared" si="46"/>
        <v>7.1 10</v>
      </c>
      <c r="GH63" s="882">
        <v>7.1</v>
      </c>
      <c r="GI63" s="75">
        <v>10</v>
      </c>
      <c r="GJ63" s="874" t="s">
        <v>1718</v>
      </c>
      <c r="GK63" s="875" t="s">
        <v>1526</v>
      </c>
      <c r="GL63" s="876">
        <v>1</v>
      </c>
      <c r="GM63" s="37" t="s">
        <v>1513</v>
      </c>
      <c r="GN63" s="877">
        <v>3680</v>
      </c>
      <c r="GO63" s="26">
        <v>1</v>
      </c>
      <c r="GP63" t="s">
        <v>1526</v>
      </c>
      <c r="GQ63" s="26" t="s">
        <v>1772</v>
      </c>
      <c r="GS63">
        <f>ROWS($GJ$20:GJ63)</f>
        <v>44</v>
      </c>
      <c r="GT63" s="883" t="str">
        <f t="shared" ref="GT63:GT69" si="67">IF($E$31&lt;&gt;0,IF($E$31=$GK63,$GS63,""),"")</f>
        <v/>
      </c>
      <c r="GU63"/>
      <c r="HC63" s="805"/>
      <c r="HD63" s="805"/>
    </row>
    <row r="64" spans="1:212" ht="15.75" customHeight="1" x14ac:dyDescent="0.35">
      <c r="B64" s="3">
        <f>IF(D5&lt;&gt;"",INDEX(D12:F21,MATCH(D5,D12:D21,2),3),"")</f>
        <v>1613</v>
      </c>
      <c r="C64" s="27">
        <f>IF(G5&lt;&gt;"",INDEX(D12:F21,MATCH(G5,D12:D21,2),3),"")</f>
        <v>1613</v>
      </c>
      <c r="F64" s="63" t="s">
        <v>791</v>
      </c>
      <c r="G64" s="666"/>
      <c r="L64" s="166">
        <v>756447</v>
      </c>
      <c r="O64" s="199">
        <v>2</v>
      </c>
      <c r="P64" s="200">
        <v>781580</v>
      </c>
      <c r="Q64" s="200">
        <v>39</v>
      </c>
      <c r="R64" s="200"/>
      <c r="S64" s="190">
        <v>6.125</v>
      </c>
      <c r="T64" s="201" t="s">
        <v>739</v>
      </c>
      <c r="U64" s="201">
        <v>859588</v>
      </c>
      <c r="V64" s="171" t="s">
        <v>88</v>
      </c>
      <c r="W64" s="191">
        <v>2</v>
      </c>
      <c r="X64" s="173">
        <v>2</v>
      </c>
      <c r="Y64" s="173">
        <v>2</v>
      </c>
      <c r="Z64" s="173">
        <v>2</v>
      </c>
      <c r="AA64" s="173">
        <v>2</v>
      </c>
      <c r="AB64" s="173">
        <v>1</v>
      </c>
      <c r="AC64" s="192">
        <v>1</v>
      </c>
      <c r="AD64" s="180"/>
      <c r="AE64" s="175"/>
      <c r="AF64" s="172"/>
      <c r="AG64" s="188"/>
      <c r="AH64" s="188"/>
      <c r="AI64" s="188"/>
      <c r="AJ64" s="188"/>
      <c r="AK64" s="188"/>
      <c r="AL64" s="188"/>
      <c r="AM64" s="188"/>
      <c r="AN64" s="188"/>
      <c r="AO64" s="188"/>
      <c r="AP64" s="188"/>
      <c r="AQ64" s="188"/>
      <c r="AR64" s="188"/>
      <c r="AS64" s="188"/>
      <c r="AT64" s="188"/>
      <c r="AU64" s="188"/>
      <c r="AV64" s="188"/>
      <c r="AW64" s="188"/>
      <c r="AX64" s="188"/>
      <c r="AY64" s="188"/>
      <c r="AZ64" s="188"/>
      <c r="BA64" s="188"/>
      <c r="BB64" s="188"/>
      <c r="BC64" s="188"/>
      <c r="BD64" s="188"/>
      <c r="BF64">
        <f>ROWS($U$46:U64)</f>
        <v>19</v>
      </c>
      <c r="BG64" t="str">
        <f t="shared" si="66"/>
        <v/>
      </c>
      <c r="BH64" t="str">
        <f>IFERROR(SMALL($BG$46:$BG$3014,ROWS($BG$46:BG64)),"")</f>
        <v/>
      </c>
      <c r="BI64" s="189">
        <f>'ARDT Cutter Entry'!$BN$60</f>
        <v>5</v>
      </c>
      <c r="BJ64" s="189">
        <f>'ARDT Cutter Entry'!$BP$60</f>
        <v>1126402</v>
      </c>
      <c r="BK64" s="170" t="str">
        <f>IFERROR(INDEX($O$46:$T$132,$BH64:$BH75,COLUMNS($BE$46:BG64)),"")</f>
        <v/>
      </c>
      <c r="BL64" s="170" t="str">
        <f>IFERROR(INDEX($O$46:$T$132,$BH64:$BH75,COLUMNS($BE$46:BH64)),"")</f>
        <v/>
      </c>
      <c r="BM64" s="170" t="str">
        <f>IFERROR(INDEX($O$46:$T$132,$BH64:$BH75,COLUMNS($BE$46:BI64)),"")</f>
        <v/>
      </c>
      <c r="CX64" s="72">
        <f>IF(CX63&lt;&gt;"",IF(AND(BI50&lt;&gt;"",BI50&lt;&gt;0),BI50,IF(AND($BI$63&lt;&gt;"",$BI$63&lt;&gt;0,$BI$63&lt;&gt;CX63,$BI$63&lt;&gt;CX62,$BI$63&lt;&gt;CX61,$BI$63&lt;&gt;CX60),$BI$63,IF(AND($BI$64&lt;&gt;"",$BI$64&lt;&gt;0,$BI$64&lt;&gt;CX63,$BI$64&lt;&gt;CX62,$BI$64&lt;&gt;CX61,$BI$64&lt;&gt;CX60),$BI$64,IF(AND($BI$65&lt;&gt;"",$BI$65&lt;&gt;0,$BI$65&lt;&gt;CX63,$BI$65&lt;&gt;CX62,$BI$65&lt;&gt;CX61,$BI$65&lt;&gt;CX60),$BI$65,IF(AND($BI$66&lt;&gt;"",$BI$66&lt;&gt;0,$BI$66&lt;&gt;CX63,$BI$66&lt;&gt;CX62,$BI$66&lt;&gt;CX61,$BI$66&lt;&gt;CX60),$BI$66,IF(AND($BI$67&lt;&gt;"",$BI$67&lt;&gt;0,$BI$67&lt;&gt;CX63,$BI$67&lt;&gt;CX62,$BI$67&lt;&gt;CX61,$BI$67&lt;&gt;CX60),$BI$67,"")))))),"")</f>
        <v>5</v>
      </c>
      <c r="CY64" s="72">
        <f>IF(CY63&lt;&gt;"",IF(AND(BJ50&lt;&gt;"",BJ50&lt;&gt;0),BJ50,IF(AND('ARDT Cutter Entry'!$BP$59='ARDT Cutter Entry'!$BP$3,'ARDT Cutter Entry'!$BP$59&lt;&gt;"",'ARDT Cutter Entry'!$BP$59&lt;&gt;0,'ARDT Cutter Entry'!$BP$59&lt;&gt;CY63,'ARDT Cutter Entry'!$BP$59&lt;&gt;CY62,'ARDT Cutter Entry'!$BP$59&lt;&gt;CY61,'ARDT Cutter Entry'!$BP$59&lt;&gt;CY60,'ARDT Cutter Entry'!$BP$59&lt;&gt;CY59),'ARDT Cutter Entry'!$BP$59,IF(AND('ARDT Cutter Entry'!$BP$60='ARDT Cutter Entry'!$BP$4,'ARDT Cutter Entry'!$BP$60&lt;&gt;"",'ARDT Cutter Entry'!$BP$60&lt;&gt;0,'ARDT Cutter Entry'!$BP$60&lt;&gt;CY63,'ARDT Cutter Entry'!$BP$60&lt;&gt;CY62,'ARDT Cutter Entry'!$BP$60&lt;&gt;CY61,'ARDT Cutter Entry'!$BP$60&lt;&gt;CY60,'ARDT Cutter Entry'!$BP$60&lt;&gt;CY59),'ARDT Cutter Entry'!$BP$60,IF(AND('ARDT Cutter Entry'!$BP$61='ARDT Cutter Entry'!$BP$5,'ARDT Cutter Entry'!$BP$61&lt;&gt;"",'ARDT Cutter Entry'!$BP$61&lt;&gt;0,'ARDT Cutter Entry'!$BP$61&lt;&gt;CY63,'ARDT Cutter Entry'!$BP$61&lt;&gt;CY62,'ARDT Cutter Entry'!$BP$61&lt;&gt;CY61,'ARDT Cutter Entry'!$BP$61&lt;&gt;CY60,'ARDT Cutter Entry'!$BP$61&lt;&gt;CY59),'ARDT Cutter Entry'!$BP$61,IF(AND('ARDT Cutter Entry'!$BP$62='ARDT Cutter Entry'!$BP$6,'ARDT Cutter Entry'!$BP$62&lt;&gt;"",'ARDT Cutter Entry'!$BP$62&lt;&gt;0,'ARDT Cutter Entry'!$BP$62&lt;&gt;CY63,'ARDT Cutter Entry'!$BP$62&lt;&gt;CY62,'ARDT Cutter Entry'!$BP$62&lt;&gt;CY61,'ARDT Cutter Entry'!$BP$62&lt;&gt;CY60,'ARDT Cutter Entry'!$BP$62&lt;&gt;CY59),'ARDT Cutter Entry'!$BP$62,IF(AND('ARDT Cutter Entry'!$BP$63='ARDT Cutter Entry'!$BP$7,'ARDT Cutter Entry'!$BP$63&lt;&gt;"",'ARDT Cutter Entry'!$BP$63&lt;&gt;0,'ARDT Cutter Entry'!$BP$63&lt;&gt;CY63,'ARDT Cutter Entry'!$BP$63&lt;&gt;CY62,'ARDT Cutter Entry'!$BP$63&lt;&gt;CY61,'ARDT Cutter Entry'!$BP$63&lt;&gt;CY60,'ARDT Cutter Entry'!$BP$63&lt;&gt;CY59),'ARDT Cutter Entry'!$BP$63,"")))))),"")</f>
        <v>1126402</v>
      </c>
      <c r="DB64" s="37">
        <v>802064</v>
      </c>
      <c r="DD64" s="75">
        <v>35</v>
      </c>
      <c r="DE64" s="37">
        <v>770450</v>
      </c>
      <c r="DF64" t="s">
        <v>213</v>
      </c>
      <c r="DG64" s="37" t="str">
        <f t="shared" si="60"/>
        <v>1618 CT80 BL 0.018"</v>
      </c>
      <c r="DH64" s="37">
        <v>16</v>
      </c>
      <c r="DI64" s="37">
        <v>1618</v>
      </c>
      <c r="DJ64" s="37" t="s">
        <v>262</v>
      </c>
      <c r="DK64" s="37" t="s">
        <v>246</v>
      </c>
      <c r="DL64" s="37" t="s">
        <v>240</v>
      </c>
      <c r="DM64" s="37">
        <v>16</v>
      </c>
      <c r="DN64" s="37">
        <v>2</v>
      </c>
      <c r="DO64" s="37">
        <v>497</v>
      </c>
      <c r="DP64" s="37"/>
      <c r="DQ64" s="37"/>
      <c r="DR64" s="37" t="str">
        <f t="shared" si="61"/>
        <v>1618 CT80 BL</v>
      </c>
      <c r="DS64" s="37">
        <f t="shared" si="43"/>
        <v>314.78199999999998</v>
      </c>
      <c r="DT64" s="10">
        <v>242.14</v>
      </c>
      <c r="DV64" s="10" t="s">
        <v>146</v>
      </c>
      <c r="DW64" t="s">
        <v>1590</v>
      </c>
      <c r="DX64">
        <v>10</v>
      </c>
      <c r="DY64" t="s">
        <v>1681</v>
      </c>
      <c r="DZ64" t="s">
        <v>1668</v>
      </c>
      <c r="EA64">
        <v>1</v>
      </c>
      <c r="EB64" t="s">
        <v>1513</v>
      </c>
      <c r="EC64" s="10">
        <v>490</v>
      </c>
      <c r="ED64" s="10" t="s">
        <v>1744</v>
      </c>
      <c r="EE64" s="813">
        <f t="shared" si="19"/>
        <v>0</v>
      </c>
      <c r="EF64">
        <f>ROWS($DE$2:DE64)</f>
        <v>63</v>
      </c>
      <c r="EG64" t="str">
        <f t="shared" si="26"/>
        <v/>
      </c>
      <c r="EJ64" t="str">
        <f t="shared" si="27"/>
        <v/>
      </c>
      <c r="EM64" t="str">
        <f t="shared" si="28"/>
        <v/>
      </c>
      <c r="EP64" t="str">
        <f t="shared" si="29"/>
        <v/>
      </c>
      <c r="ES64" t="str">
        <f t="shared" si="30"/>
        <v/>
      </c>
      <c r="EV64" t="str">
        <f t="shared" si="31"/>
        <v/>
      </c>
      <c r="EY64" t="str">
        <f t="shared" si="32"/>
        <v/>
      </c>
      <c r="FB64" t="str">
        <f t="shared" si="33"/>
        <v/>
      </c>
      <c r="FE64" t="str">
        <f t="shared" si="34"/>
        <v/>
      </c>
      <c r="FH64" t="str">
        <f t="shared" si="35"/>
        <v/>
      </c>
      <c r="FK64" t="str">
        <f t="shared" si="36"/>
        <v/>
      </c>
      <c r="FN64" t="str">
        <f t="shared" si="37"/>
        <v/>
      </c>
      <c r="FQ64" t="str">
        <f t="shared" si="38"/>
        <v/>
      </c>
      <c r="FT64" t="str">
        <f t="shared" si="39"/>
        <v/>
      </c>
      <c r="FW64" t="str">
        <f t="shared" si="40"/>
        <v/>
      </c>
      <c r="FZ64" t="str">
        <f t="shared" si="41"/>
        <v/>
      </c>
      <c r="GC64" t="str">
        <f t="shared" si="42"/>
        <v/>
      </c>
      <c r="GE64" s="155"/>
      <c r="GF64" s="26" t="str">
        <f t="shared" si="45"/>
        <v>07.2 - 10</v>
      </c>
      <c r="GG64" s="28" t="str">
        <f t="shared" si="46"/>
        <v>7.2 10</v>
      </c>
      <c r="GH64" s="882">
        <v>7.2</v>
      </c>
      <c r="GI64" s="75">
        <v>10</v>
      </c>
      <c r="GJ64" s="874" t="s">
        <v>1719</v>
      </c>
      <c r="GK64" s="875" t="s">
        <v>1527</v>
      </c>
      <c r="GL64" s="876">
        <v>1</v>
      </c>
      <c r="GM64" s="37" t="s">
        <v>1513</v>
      </c>
      <c r="GN64" s="877">
        <v>4600</v>
      </c>
      <c r="GO64" s="26">
        <v>1</v>
      </c>
      <c r="GP64" t="s">
        <v>1527</v>
      </c>
      <c r="GQ64" s="26" t="s">
        <v>1772</v>
      </c>
      <c r="GS64">
        <f>ROWS($GJ$20:GJ64)</f>
        <v>45</v>
      </c>
      <c r="GT64" s="884" t="str">
        <f t="shared" si="67"/>
        <v/>
      </c>
      <c r="GU64"/>
      <c r="HC64" s="805"/>
      <c r="HD64" s="805"/>
    </row>
    <row r="65" spans="2:212" ht="15.75" customHeight="1" x14ac:dyDescent="0.35">
      <c r="B65" s="3" t="str">
        <f>IF(D6&lt;&gt;"",INDEX(D12:F21,MATCH(D6,D12:D21,2),3),"")</f>
        <v/>
      </c>
      <c r="C65" s="27" t="str">
        <f>IF(G6&lt;&gt;"",INDEX(D12:F21,MATCH(G6,D12:D21,2),3),"")</f>
        <v/>
      </c>
      <c r="F65" s="63" t="s">
        <v>2222</v>
      </c>
      <c r="G65" s="666"/>
      <c r="L65" s="176">
        <v>756502</v>
      </c>
      <c r="O65" s="202"/>
      <c r="P65" s="203"/>
      <c r="Q65" s="203"/>
      <c r="R65" s="204"/>
      <c r="S65" s="201">
        <v>6.125</v>
      </c>
      <c r="T65" s="201" t="s">
        <v>739</v>
      </c>
      <c r="U65" s="201">
        <v>859588</v>
      </c>
      <c r="V65" s="171" t="s">
        <v>89</v>
      </c>
      <c r="W65" s="191">
        <v>2</v>
      </c>
      <c r="X65" s="173">
        <v>2</v>
      </c>
      <c r="Y65" s="173">
        <v>2</v>
      </c>
      <c r="Z65" s="173">
        <v>2</v>
      </c>
      <c r="AA65" s="173">
        <v>2</v>
      </c>
      <c r="AB65" s="173">
        <v>2</v>
      </c>
      <c r="AC65" s="192">
        <v>2</v>
      </c>
      <c r="AD65" s="40">
        <v>2</v>
      </c>
      <c r="AE65" s="40">
        <v>1</v>
      </c>
      <c r="AF65" s="40">
        <v>1</v>
      </c>
      <c r="AG65" s="187"/>
      <c r="AH65" s="188"/>
      <c r="AI65" s="188"/>
      <c r="AJ65" s="188"/>
      <c r="AK65" s="188"/>
      <c r="AL65" s="188"/>
      <c r="AM65" s="188"/>
      <c r="AN65" s="188"/>
      <c r="AO65" s="188"/>
      <c r="AP65" s="188"/>
      <c r="AQ65" s="188"/>
      <c r="AR65" s="188"/>
      <c r="AS65" s="188"/>
      <c r="AT65" s="188"/>
      <c r="AU65" s="188"/>
      <c r="AV65" s="188"/>
      <c r="AW65" s="188"/>
      <c r="AX65" s="188"/>
      <c r="AY65" s="188"/>
      <c r="AZ65" s="188"/>
      <c r="BA65" s="188"/>
      <c r="BB65" s="188"/>
      <c r="BC65" s="188"/>
      <c r="BD65" s="188"/>
      <c r="BF65">
        <f>ROWS($U$46:U65)</f>
        <v>20</v>
      </c>
      <c r="BG65" t="str">
        <f t="shared" si="66"/>
        <v/>
      </c>
      <c r="BH65" t="str">
        <f>IFERROR(SMALL($BG$46:$BG$3014,ROWS($BG$46:BG65)),"")</f>
        <v/>
      </c>
      <c r="BI65" s="189">
        <f>'ARDT Cutter Entry'!$BN$61</f>
        <v>6</v>
      </c>
      <c r="BJ65" s="189">
        <f>'ARDT Cutter Entry'!$BP$61</f>
        <v>0</v>
      </c>
      <c r="BK65" s="170" t="str">
        <f>IFERROR(INDEX($O$46:$T$132,$BH65:$BH76,COLUMNS($BE$46:BG65)),"")</f>
        <v/>
      </c>
      <c r="BL65" s="170" t="str">
        <f>IFERROR(INDEX($O$46:$T$132,$BH65:$BH76,COLUMNS($BE$46:BH65)),"")</f>
        <v/>
      </c>
      <c r="BM65" s="170" t="str">
        <f>IFERROR(INDEX($O$46:$T$132,$BH65:$BH76,COLUMNS($BE$46:BI65)),"")</f>
        <v/>
      </c>
      <c r="CX65" s="72">
        <f>IF(CX64&lt;&gt;"",IF(AND(BI51&lt;&gt;"",BI51&lt;&gt;0),BI51,IF(AND($BI$63&lt;&gt;"",$BI$63&lt;&gt;0,$BI$63&lt;&gt;CX64,$BI$63&lt;&gt;CX63,$BI$63&lt;&gt;CX62,$BI$63&lt;&gt;CX61,$BI$63&lt;&gt;CX60),$BI$63,IF(AND($BI$64&lt;&gt;"",$BI$64&lt;&gt;0,$BI$64&lt;&gt;CX64,$BI$64&lt;&gt;CX63,$BI$64&lt;&gt;CX62,$BI$64&lt;&gt;CX61,$BI$64&lt;&gt;CX60),$BI$64,IF(AND($BI$65&lt;&gt;"",$BI$65&lt;&gt;0,$BI$65&lt;&gt;CX64,$BI$65&lt;&gt;CX63,$BI$65&lt;&gt;CX62,$BI$65&lt;&gt;CX61,$BI$65&lt;&gt;CX60),$BI$65,IF(AND($BI$66&lt;&gt;"",$BI$66&lt;&gt;0,$BI$66&lt;&gt;CX64,$BI$66&lt;&gt;CX63,$BI$66&lt;&gt;CX62,$BI$66&lt;&gt;CX61,$BI$66&lt;&gt;CX60),$BI$66,IF(AND($BI$67&lt;&gt;"",$BI$67&lt;&gt;0,$BI$67&lt;&gt;CX64,$BI$67&lt;&gt;CX63,$BI$67&lt;&gt;CX62,$BI$67&lt;&gt;CX61,$BI$67&lt;&gt;CX60),$BI$67,"")))))),"")</f>
        <v>6</v>
      </c>
      <c r="CY65" s="72" t="str">
        <f>IF(CY64&lt;&gt;"",IF(AND(BJ51&lt;&gt;"",BJ51&lt;&gt;0),BJ51,IF(AND('ARDT Cutter Entry'!$BP$59='ARDT Cutter Entry'!$BP$3,'ARDT Cutter Entry'!$BP$59&lt;&gt;"",'ARDT Cutter Entry'!$BP$59&lt;&gt;0,'ARDT Cutter Entry'!$BP$59&lt;&gt;CY64,'ARDT Cutter Entry'!$BP$59&lt;&gt;CY63,'ARDT Cutter Entry'!$BP$59&lt;&gt;CY62,'ARDT Cutter Entry'!$BP$59&lt;&gt;CY61,'ARDT Cutter Entry'!$BP$59&lt;&gt;CY60),'ARDT Cutter Entry'!$BP$59,IF(AND('ARDT Cutter Entry'!$BP$60='ARDT Cutter Entry'!$BP$4,'ARDT Cutter Entry'!$BP$60&lt;&gt;"",'ARDT Cutter Entry'!$BP$60&lt;&gt;0,'ARDT Cutter Entry'!$BP$60&lt;&gt;CY64,'ARDT Cutter Entry'!$BP$60&lt;&gt;CY63,'ARDT Cutter Entry'!$BP$60&lt;&gt;CY62,'ARDT Cutter Entry'!$BP$60&lt;&gt;CY61,'ARDT Cutter Entry'!$BP$60&lt;&gt;CY60),'ARDT Cutter Entry'!$BP$60,IF(AND('ARDT Cutter Entry'!$BP$61='ARDT Cutter Entry'!$BP$5,'ARDT Cutter Entry'!$BP$61&lt;&gt;"",'ARDT Cutter Entry'!$BP$61&lt;&gt;0,'ARDT Cutter Entry'!$BP$61&lt;&gt;CY64,'ARDT Cutter Entry'!$BP$61&lt;&gt;CY63,'ARDT Cutter Entry'!$BP$61&lt;&gt;CY62,'ARDT Cutter Entry'!$BP$61&lt;&gt;CY61,'ARDT Cutter Entry'!$BP$61&lt;&gt;CY60),'ARDT Cutter Entry'!$BP$61,IF(AND('ARDT Cutter Entry'!$BP$62='ARDT Cutter Entry'!$BP$6,'ARDT Cutter Entry'!$BP$62&lt;&gt;"",'ARDT Cutter Entry'!$BP$62&lt;&gt;0,'ARDT Cutter Entry'!$BP$62&lt;&gt;CY64,'ARDT Cutter Entry'!$BP$62&lt;&gt;CY63,'ARDT Cutter Entry'!$BP$62&lt;&gt;CY62,'ARDT Cutter Entry'!$BP$62&lt;&gt;CY61,'ARDT Cutter Entry'!$BP$62&lt;&gt;CY60),'ARDT Cutter Entry'!$BP$62,IF(AND('ARDT Cutter Entry'!$BP$63='ARDT Cutter Entry'!$BP$7,'ARDT Cutter Entry'!$BP$63&lt;&gt;"",'ARDT Cutter Entry'!$BP$63&lt;&gt;0,'ARDT Cutter Entry'!$BP$63&lt;&gt;CY64,'ARDT Cutter Entry'!$BP$63&lt;&gt;CY63,'ARDT Cutter Entry'!$BP$63&lt;&gt;CY62,'ARDT Cutter Entry'!$BP$63&lt;&gt;CY61,'ARDT Cutter Entry'!$BP$63&lt;&gt;CY60),'ARDT Cutter Entry'!$BP$63,"")))))),"")</f>
        <v/>
      </c>
      <c r="DB65" s="37">
        <v>802065</v>
      </c>
      <c r="DD65" s="75">
        <v>57</v>
      </c>
      <c r="DE65" s="37">
        <v>770451</v>
      </c>
      <c r="DF65" t="s">
        <v>214</v>
      </c>
      <c r="DG65" s="37" t="str">
        <f t="shared" si="60"/>
        <v>19 CT80 Short Bullet 0.018"</v>
      </c>
      <c r="DH65" s="37">
        <v>19</v>
      </c>
      <c r="DI65" s="37">
        <v>19</v>
      </c>
      <c r="DJ65" s="37" t="s">
        <v>262</v>
      </c>
      <c r="DK65" s="37" t="s">
        <v>257</v>
      </c>
      <c r="DL65" s="37" t="s">
        <v>240</v>
      </c>
      <c r="DM65" s="37">
        <v>0</v>
      </c>
      <c r="DN65" s="37">
        <v>11</v>
      </c>
      <c r="DO65" s="37">
        <v>660</v>
      </c>
      <c r="DP65" s="37"/>
      <c r="DQ65" s="37"/>
      <c r="DR65" s="37" t="str">
        <f t="shared" si="61"/>
        <v>19 CT80 Short Bullet</v>
      </c>
      <c r="DS65" s="37">
        <f t="shared" si="43"/>
        <v>345.94300000000004</v>
      </c>
      <c r="DT65" s="10">
        <v>266.11</v>
      </c>
      <c r="DV65" s="10" t="s">
        <v>146</v>
      </c>
      <c r="DW65" t="s">
        <v>1591</v>
      </c>
      <c r="DX65">
        <v>10</v>
      </c>
      <c r="DY65" t="s">
        <v>1682</v>
      </c>
      <c r="DZ65" t="s">
        <v>1669</v>
      </c>
      <c r="EA65">
        <v>1</v>
      </c>
      <c r="EB65" t="s">
        <v>1513</v>
      </c>
      <c r="EC65" s="10">
        <v>615</v>
      </c>
      <c r="ED65" s="10" t="s">
        <v>1745</v>
      </c>
      <c r="EE65" s="813">
        <f t="shared" si="19"/>
        <v>0</v>
      </c>
      <c r="EF65">
        <f>ROWS($DE$2:DE65)</f>
        <v>64</v>
      </c>
      <c r="EG65" t="str">
        <f t="shared" si="26"/>
        <v/>
      </c>
      <c r="EJ65" t="str">
        <f t="shared" si="27"/>
        <v/>
      </c>
      <c r="EM65" t="str">
        <f t="shared" si="28"/>
        <v/>
      </c>
      <c r="EP65" t="str">
        <f t="shared" si="29"/>
        <v/>
      </c>
      <c r="ES65" t="str">
        <f t="shared" si="30"/>
        <v/>
      </c>
      <c r="EV65" t="str">
        <f t="shared" si="31"/>
        <v/>
      </c>
      <c r="EY65" t="str">
        <f t="shared" si="32"/>
        <v/>
      </c>
      <c r="FB65" t="str">
        <f t="shared" si="33"/>
        <v/>
      </c>
      <c r="FE65" t="str">
        <f t="shared" si="34"/>
        <v/>
      </c>
      <c r="FH65" t="str">
        <f t="shared" si="35"/>
        <v/>
      </c>
      <c r="FK65" t="str">
        <f t="shared" si="36"/>
        <v/>
      </c>
      <c r="FN65" t="str">
        <f t="shared" si="37"/>
        <v/>
      </c>
      <c r="FQ65" t="str">
        <f t="shared" si="38"/>
        <v/>
      </c>
      <c r="FT65" t="str">
        <f t="shared" si="39"/>
        <v/>
      </c>
      <c r="FW65" t="str">
        <f t="shared" si="40"/>
        <v/>
      </c>
      <c r="FZ65" t="str">
        <f t="shared" si="41"/>
        <v/>
      </c>
      <c r="GC65" t="str">
        <f t="shared" si="42"/>
        <v/>
      </c>
      <c r="GE65" s="155"/>
      <c r="GF65" s="26" t="str">
        <f t="shared" si="45"/>
        <v>07.3 - 10</v>
      </c>
      <c r="GG65" s="28" t="str">
        <f t="shared" si="46"/>
        <v>7.3 10</v>
      </c>
      <c r="GH65" s="882">
        <v>7.3</v>
      </c>
      <c r="GI65" s="75">
        <v>10</v>
      </c>
      <c r="GJ65" s="874" t="s">
        <v>1720</v>
      </c>
      <c r="GK65" s="875" t="s">
        <v>1528</v>
      </c>
      <c r="GL65" s="876">
        <v>1</v>
      </c>
      <c r="GM65" s="37" t="s">
        <v>1513</v>
      </c>
      <c r="GN65" s="877">
        <v>5520</v>
      </c>
      <c r="GO65" s="26">
        <v>1</v>
      </c>
      <c r="GP65" t="s">
        <v>1528</v>
      </c>
      <c r="GQ65" s="26" t="s">
        <v>1772</v>
      </c>
      <c r="GS65">
        <f>ROWS($GJ$20:GJ65)</f>
        <v>46</v>
      </c>
      <c r="GT65" s="884" t="str">
        <f t="shared" si="67"/>
        <v/>
      </c>
      <c r="GU65"/>
      <c r="HC65" s="805"/>
      <c r="HD65" s="805"/>
    </row>
    <row r="66" spans="2:212" ht="15.75" customHeight="1" x14ac:dyDescent="0.35">
      <c r="B66" s="3" t="str">
        <f>IF(D7&lt;&gt;"",INDEX(D12:F21,MATCH(D7,D12:D21,2),3),"")</f>
        <v/>
      </c>
      <c r="C66" s="27" t="str">
        <f>IF(G7&lt;&gt;"",INDEX(D12:F21,MATCH(G7,D12:D21,2),3),"")</f>
        <v/>
      </c>
      <c r="F66" s="63" t="s">
        <v>2219</v>
      </c>
      <c r="G66" s="666"/>
      <c r="L66" s="166">
        <v>756537</v>
      </c>
      <c r="O66" s="205"/>
      <c r="P66" s="193"/>
      <c r="Q66" s="193"/>
      <c r="R66" s="206"/>
      <c r="S66" s="201">
        <v>6.125</v>
      </c>
      <c r="T66" s="201" t="s">
        <v>739</v>
      </c>
      <c r="U66" s="201">
        <v>859588</v>
      </c>
      <c r="V66" s="171" t="s">
        <v>90</v>
      </c>
      <c r="W66" s="191">
        <v>2</v>
      </c>
      <c r="X66" s="173">
        <v>2</v>
      </c>
      <c r="Y66" s="173">
        <v>2</v>
      </c>
      <c r="Z66" s="173">
        <v>2</v>
      </c>
      <c r="AA66" s="173">
        <v>2</v>
      </c>
      <c r="AB66" s="173">
        <v>1</v>
      </c>
      <c r="AC66" s="192">
        <v>1</v>
      </c>
      <c r="AD66" s="171"/>
      <c r="AE66" s="172"/>
      <c r="AF66" s="172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AW66" s="188"/>
      <c r="AX66" s="188"/>
      <c r="AY66" s="188"/>
      <c r="AZ66" s="188"/>
      <c r="BA66" s="188"/>
      <c r="BB66" s="188"/>
      <c r="BC66" s="188"/>
      <c r="BD66" s="188"/>
      <c r="BF66">
        <f>ROWS($U$46:U66)</f>
        <v>21</v>
      </c>
      <c r="BG66" t="str">
        <f t="shared" si="66"/>
        <v/>
      </c>
      <c r="BH66" t="str">
        <f>IFERROR(SMALL($BG$46:$BG$3014,ROWS($BG$46:BG66)),"")</f>
        <v/>
      </c>
      <c r="BI66" s="189">
        <f>'ARDT Cutter Entry'!$BN$62</f>
        <v>7</v>
      </c>
      <c r="BJ66" s="189">
        <f>'ARDT Cutter Entry'!$BP$62</f>
        <v>0</v>
      </c>
      <c r="BK66" s="170" t="str">
        <f>IFERROR(INDEX($O$46:$T$132,$BH66:$BH77,COLUMNS($BE$46:BG66)),"")</f>
        <v/>
      </c>
      <c r="BL66" s="170" t="str">
        <f>IFERROR(INDEX($O$46:$T$132,$BH66:$BH77,COLUMNS($BE$46:BH66)),"")</f>
        <v/>
      </c>
      <c r="BM66" s="170" t="str">
        <f>IFERROR(INDEX($O$46:$T$132,$BH66:$BH77,COLUMNS($BE$46:BI66)),"")</f>
        <v/>
      </c>
      <c r="CX66" s="72">
        <f t="shared" ref="CX66:CX80" si="68">IF(CX65&lt;&gt;"",IF(AND(BI52&lt;&gt;"",BI52&lt;&gt;0),BI52,IF(AND($BI$63&lt;&gt;"",$BI$63&lt;&gt;0,$BI$63&lt;&gt;CX65,$BI$63&lt;&gt;CX64,$BI$63&lt;&gt;CX63,$BI$63&lt;&gt;CX62,$BI$63&lt;&gt;CX61,$BI$63&lt;&gt;CX60),$BI$63,IF(AND($BI$64&lt;&gt;"",$BI$64&lt;&gt;0,$BI$64&lt;&gt;CX65,$BI$64&lt;&gt;CX64,$BI$64&lt;&gt;CX63,$BI$64&lt;&gt;CX62,$BI$64&lt;&gt;CX61,$BI$64&lt;&gt;CX60),$BI$64,IF(AND($BI$65&lt;&gt;"",$BI$65&lt;&gt;0,$BI$65&lt;&gt;CX65,$BI$65&lt;&gt;CX64,$BI$65&lt;&gt;CX63,$BI$65&lt;&gt;CX62,$BI$65&lt;&gt;CX61,$BI$65&lt;&gt;CX60),$BI$65,IF(AND($BI$66&lt;&gt;"",$BI$66&lt;&gt;0,$BI$66&lt;&gt;CX65,$BI$66&lt;&gt;CX64,$BI$66&lt;&gt;CX63,$BI$66&lt;&gt;CX62,$BI$66&lt;&gt;CX61,$BI$66&lt;&gt;CX60),$BI$66,IF(AND($BI$67&lt;&gt;"",$BI$67&lt;&gt;0,$BI$67&lt;&gt;CX65,$BI$67&lt;&gt;CX64,$BI$67&lt;&gt;CX63,$BI$67&lt;&gt;CX62,$BI$67&lt;&gt;CX61,$BI$67&lt;&gt;CX60),$BI$67,"")))))),"")</f>
        <v>7</v>
      </c>
      <c r="CY66" s="72" t="str">
        <f>IF(CY65&lt;&gt;"",IF(AND(BJ52&lt;&gt;"",BJ52&lt;&gt;0),BJ52,IF(AND('ARDT Cutter Entry'!$BP$59='ARDT Cutter Entry'!$BP$3,'ARDT Cutter Entry'!$BP$59&lt;&gt;"",'ARDT Cutter Entry'!$BP$59&lt;&gt;0,'ARDT Cutter Entry'!$BP$59&lt;&gt;CY65,'ARDT Cutter Entry'!$BP$59&lt;&gt;CY64,'ARDT Cutter Entry'!$BP$59&lt;&gt;CY63,'ARDT Cutter Entry'!$BP$59&lt;&gt;CY62,'ARDT Cutter Entry'!$BP$59&lt;&gt;CY61),'ARDT Cutter Entry'!$BP$59,IF(AND('ARDT Cutter Entry'!$BP$60='ARDT Cutter Entry'!$BP$4,'ARDT Cutter Entry'!$BP$60&lt;&gt;"",'ARDT Cutter Entry'!$BP$60&lt;&gt;0,'ARDT Cutter Entry'!$BP$60&lt;&gt;CY65,'ARDT Cutter Entry'!$BP$60&lt;&gt;CY64,'ARDT Cutter Entry'!$BP$60&lt;&gt;CY63,'ARDT Cutter Entry'!$BP$60&lt;&gt;CY62,'ARDT Cutter Entry'!$BP$60&lt;&gt;CY61),'ARDT Cutter Entry'!$BP$60,IF(AND('ARDT Cutter Entry'!$BP$61='ARDT Cutter Entry'!$BP$5,'ARDT Cutter Entry'!$BP$61&lt;&gt;"",'ARDT Cutter Entry'!$BP$61&lt;&gt;0,'ARDT Cutter Entry'!$BP$61&lt;&gt;CY65,'ARDT Cutter Entry'!$BP$61&lt;&gt;CY64,'ARDT Cutter Entry'!$BP$61&lt;&gt;CY63,'ARDT Cutter Entry'!$BP$61&lt;&gt;CY62,'ARDT Cutter Entry'!$BP$61&lt;&gt;CY61),'ARDT Cutter Entry'!$BP$61,IF(AND('ARDT Cutter Entry'!$BP$62='ARDT Cutter Entry'!$BP$6,'ARDT Cutter Entry'!$BP$62&lt;&gt;"",'ARDT Cutter Entry'!$BP$62&lt;&gt;0,'ARDT Cutter Entry'!$BP$62&lt;&gt;CY65,'ARDT Cutter Entry'!$BP$62&lt;&gt;CY64,'ARDT Cutter Entry'!$BP$62&lt;&gt;CY63,'ARDT Cutter Entry'!$BP$62&lt;&gt;CY62,'ARDT Cutter Entry'!$BP$62&lt;&gt;CY61),'ARDT Cutter Entry'!$BP$62,IF(AND('ARDT Cutter Entry'!$BP$63='ARDT Cutter Entry'!$BP$7,'ARDT Cutter Entry'!$BP$63&lt;&gt;"",'ARDT Cutter Entry'!$BP$63&lt;&gt;0,'ARDT Cutter Entry'!$BP$63&lt;&gt;CY65,'ARDT Cutter Entry'!$BP$63&lt;&gt;CY64,'ARDT Cutter Entry'!$BP$63&lt;&gt;CY63,'ARDT Cutter Entry'!$BP$63&lt;&gt;CY62,'ARDT Cutter Entry'!$BP$63&lt;&gt;CY61),'ARDT Cutter Entry'!$BP$63,"")))))),"")</f>
        <v/>
      </c>
      <c r="DB66" s="37">
        <v>853552</v>
      </c>
      <c r="DD66" s="75">
        <v>77</v>
      </c>
      <c r="DE66" s="37">
        <v>773383</v>
      </c>
      <c r="DF66" t="s">
        <v>215</v>
      </c>
      <c r="DG66" s="37" t="str">
        <f t="shared" si="60"/>
        <v>1005 CT200  0.010"</v>
      </c>
      <c r="DH66" s="37">
        <v>10</v>
      </c>
      <c r="DI66" s="37">
        <v>1005</v>
      </c>
      <c r="DJ66" s="37" t="s">
        <v>101</v>
      </c>
      <c r="DK66" s="37"/>
      <c r="DL66" s="37" t="s">
        <v>239</v>
      </c>
      <c r="DM66" s="37">
        <v>20</v>
      </c>
      <c r="DN66" s="37">
        <v>0</v>
      </c>
      <c r="DO66" s="37">
        <v>272</v>
      </c>
      <c r="DP66" s="37"/>
      <c r="DQ66" s="37">
        <v>50</v>
      </c>
      <c r="DR66" s="37" t="str">
        <f t="shared" si="61"/>
        <v xml:space="preserve">1005 CT200 </v>
      </c>
      <c r="DS66" s="37">
        <f t="shared" si="43"/>
        <v>0</v>
      </c>
      <c r="DU66" s="10">
        <v>100</v>
      </c>
      <c r="DV66" s="10" t="s">
        <v>146</v>
      </c>
      <c r="DW66" t="s">
        <v>1588</v>
      </c>
      <c r="DX66">
        <v>10</v>
      </c>
      <c r="DY66" t="s">
        <v>1678</v>
      </c>
      <c r="DZ66" t="s">
        <v>1671</v>
      </c>
      <c r="EA66">
        <v>1</v>
      </c>
      <c r="EB66" t="s">
        <v>1513</v>
      </c>
      <c r="EC66" s="10">
        <v>215</v>
      </c>
      <c r="ED66" s="10" t="s">
        <v>1741</v>
      </c>
      <c r="EE66" s="813">
        <f t="shared" si="19"/>
        <v>0</v>
      </c>
      <c r="EF66">
        <f>ROWS($DE$2:DE66)</f>
        <v>65</v>
      </c>
      <c r="EG66" t="str">
        <f t="shared" si="26"/>
        <v/>
      </c>
      <c r="EJ66" t="str">
        <f t="shared" si="27"/>
        <v/>
      </c>
      <c r="EM66" t="str">
        <f t="shared" si="28"/>
        <v/>
      </c>
      <c r="EP66" t="str">
        <f t="shared" si="29"/>
        <v/>
      </c>
      <c r="ES66" t="str">
        <f t="shared" si="30"/>
        <v/>
      </c>
      <c r="EV66" t="str">
        <f t="shared" si="31"/>
        <v/>
      </c>
      <c r="EY66" t="str">
        <f t="shared" si="32"/>
        <v/>
      </c>
      <c r="FB66" t="str">
        <f t="shared" si="33"/>
        <v/>
      </c>
      <c r="FE66" t="str">
        <f t="shared" si="34"/>
        <v/>
      </c>
      <c r="FH66" t="str">
        <f t="shared" si="35"/>
        <v/>
      </c>
      <c r="FK66" t="str">
        <f t="shared" si="36"/>
        <v/>
      </c>
      <c r="FN66" t="str">
        <f t="shared" si="37"/>
        <v/>
      </c>
      <c r="FQ66" t="str">
        <f t="shared" si="38"/>
        <v/>
      </c>
      <c r="FT66" t="str">
        <f t="shared" si="39"/>
        <v/>
      </c>
      <c r="FW66" t="str">
        <f t="shared" si="40"/>
        <v/>
      </c>
      <c r="FZ66" t="str">
        <f t="shared" si="41"/>
        <v/>
      </c>
      <c r="GC66" t="str">
        <f t="shared" si="42"/>
        <v/>
      </c>
      <c r="GE66" s="155"/>
      <c r="GF66" s="26" t="str">
        <f t="shared" si="45"/>
        <v>07.4 - 10</v>
      </c>
      <c r="GG66" s="28" t="str">
        <f t="shared" si="46"/>
        <v>7.4 10</v>
      </c>
      <c r="GH66" s="882">
        <v>7.4</v>
      </c>
      <c r="GI66" s="75">
        <v>10</v>
      </c>
      <c r="GJ66" s="874" t="s">
        <v>1721</v>
      </c>
      <c r="GK66" s="875" t="s">
        <v>1529</v>
      </c>
      <c r="GL66" s="876">
        <v>1</v>
      </c>
      <c r="GM66" s="37" t="s">
        <v>1513</v>
      </c>
      <c r="GN66" s="877">
        <v>6440</v>
      </c>
      <c r="GO66" s="26">
        <v>1</v>
      </c>
      <c r="GP66" t="s">
        <v>1529</v>
      </c>
      <c r="GQ66" s="26" t="s">
        <v>1772</v>
      </c>
      <c r="GS66">
        <f>ROWS($GJ$20:GJ66)</f>
        <v>47</v>
      </c>
      <c r="GT66" s="884" t="str">
        <f t="shared" si="67"/>
        <v/>
      </c>
      <c r="GU66"/>
      <c r="HC66" s="805"/>
      <c r="HD66" s="805"/>
    </row>
    <row r="67" spans="2:212" ht="15.75" customHeight="1" thickBot="1" x14ac:dyDescent="0.4">
      <c r="B67" s="76" t="str">
        <f>IF(D8&lt;&gt;"",INDEX(D12:F21,MATCH(D8,D12:D21,2),3),"")</f>
        <v/>
      </c>
      <c r="C67" s="31" t="str">
        <f>IF(G8&lt;&gt;"",INDEX(D12:F21,MATCH(G8,D12:D21,2),3),"")</f>
        <v/>
      </c>
      <c r="F67" s="63" t="s">
        <v>1066</v>
      </c>
      <c r="G67" s="666"/>
      <c r="L67" s="166">
        <v>756668</v>
      </c>
      <c r="O67" s="205"/>
      <c r="P67" s="193"/>
      <c r="Q67" s="193"/>
      <c r="R67" s="206"/>
      <c r="S67" s="201">
        <v>6.125</v>
      </c>
      <c r="T67" s="201" t="s">
        <v>739</v>
      </c>
      <c r="U67" s="201">
        <v>859588</v>
      </c>
      <c r="V67" s="171" t="s">
        <v>91</v>
      </c>
      <c r="W67" s="191">
        <v>2</v>
      </c>
      <c r="X67" s="173">
        <v>2</v>
      </c>
      <c r="Y67" s="173">
        <v>2</v>
      </c>
      <c r="Z67" s="173">
        <v>2</v>
      </c>
      <c r="AA67" s="173">
        <v>2</v>
      </c>
      <c r="AB67" s="173">
        <v>2</v>
      </c>
      <c r="AC67" s="173">
        <v>2</v>
      </c>
      <c r="AD67" s="174">
        <v>2</v>
      </c>
      <c r="AE67" s="174">
        <v>1</v>
      </c>
      <c r="AF67" s="177">
        <v>1</v>
      </c>
      <c r="AG67" s="187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88"/>
      <c r="AW67" s="188"/>
      <c r="AX67" s="188"/>
      <c r="AY67" s="188"/>
      <c r="AZ67" s="188"/>
      <c r="BA67" s="188"/>
      <c r="BB67" s="188"/>
      <c r="BC67" s="188"/>
      <c r="BD67" s="188"/>
      <c r="BF67">
        <f>ROWS($U$46:U67)</f>
        <v>22</v>
      </c>
      <c r="BG67" t="str">
        <f t="shared" si="66"/>
        <v/>
      </c>
      <c r="BH67" t="str">
        <f>IFERROR(SMALL($BG$46:$BG$3014,ROWS($BG$46:BG67)),"")</f>
        <v/>
      </c>
      <c r="BI67" s="189">
        <f>'ARDT Cutter Entry'!$BN$63</f>
        <v>8</v>
      </c>
      <c r="BJ67" s="189">
        <f>'ARDT Cutter Entry'!$BP$63</f>
        <v>0</v>
      </c>
      <c r="BK67" s="170" t="str">
        <f>IFERROR(INDEX($O$46:$T$132,$BH67:$BH78,COLUMNS($BE$46:BG67)),"")</f>
        <v/>
      </c>
      <c r="BL67" s="170" t="str">
        <f>IFERROR(INDEX($O$46:$T$132,$BH67:$BH78,COLUMNS($BE$46:BH67)),"")</f>
        <v/>
      </c>
      <c r="BM67" s="170" t="str">
        <f>IFERROR(INDEX($O$46:$T$132,$BH67:$BH78,COLUMNS($BE$46:BI67)),"")</f>
        <v/>
      </c>
      <c r="CX67" s="72">
        <f t="shared" si="68"/>
        <v>8</v>
      </c>
      <c r="CY67" s="72" t="str">
        <f>IF(CY66&lt;&gt;"",IF(AND(BJ53&lt;&gt;"",BJ53&lt;&gt;0),BJ53,IF(AND('ARDT Cutter Entry'!$BP$59='ARDT Cutter Entry'!$BP$3,'ARDT Cutter Entry'!$BP$59&lt;&gt;"",'ARDT Cutter Entry'!$BP$59&lt;&gt;0,'ARDT Cutter Entry'!$BP$59&lt;&gt;CY66,'ARDT Cutter Entry'!$BP$59&lt;&gt;CY65,'ARDT Cutter Entry'!$BP$59&lt;&gt;CY64,'ARDT Cutter Entry'!$BP$59&lt;&gt;CY63,'ARDT Cutter Entry'!$BP$59&lt;&gt;CY62),'ARDT Cutter Entry'!$BP$59,IF(AND('ARDT Cutter Entry'!$BP$60='ARDT Cutter Entry'!$BP$4,'ARDT Cutter Entry'!$BP$60&lt;&gt;"",'ARDT Cutter Entry'!$BP$60&lt;&gt;0,'ARDT Cutter Entry'!$BP$60&lt;&gt;CY66,'ARDT Cutter Entry'!$BP$60&lt;&gt;CY65,'ARDT Cutter Entry'!$BP$60&lt;&gt;CY64,'ARDT Cutter Entry'!$BP$60&lt;&gt;CY63,'ARDT Cutter Entry'!$BP$60&lt;&gt;CY62),'ARDT Cutter Entry'!$BP$60,IF(AND('ARDT Cutter Entry'!$BP$61='ARDT Cutter Entry'!$BP$5,'ARDT Cutter Entry'!$BP$61&lt;&gt;"",'ARDT Cutter Entry'!$BP$61&lt;&gt;0,'ARDT Cutter Entry'!$BP$61&lt;&gt;CY66,'ARDT Cutter Entry'!$BP$61&lt;&gt;CY65,'ARDT Cutter Entry'!$BP$61&lt;&gt;CY64,'ARDT Cutter Entry'!$BP$61&lt;&gt;CY63,'ARDT Cutter Entry'!$BP$61&lt;&gt;CY62),'ARDT Cutter Entry'!$BP$61,IF(AND('ARDT Cutter Entry'!$BP$62='ARDT Cutter Entry'!$BP$6,'ARDT Cutter Entry'!$BP$62&lt;&gt;"",'ARDT Cutter Entry'!$BP$62&lt;&gt;0,'ARDT Cutter Entry'!$BP$62&lt;&gt;CY66,'ARDT Cutter Entry'!$BP$62&lt;&gt;CY65,'ARDT Cutter Entry'!$BP$62&lt;&gt;CY64,'ARDT Cutter Entry'!$BP$62&lt;&gt;CY63,'ARDT Cutter Entry'!$BP$62&lt;&gt;CY62),'ARDT Cutter Entry'!$BP$62,IF(AND('ARDT Cutter Entry'!$BP$63='ARDT Cutter Entry'!$BP$7,'ARDT Cutter Entry'!$BP$63&lt;&gt;"",'ARDT Cutter Entry'!$BP$63&lt;&gt;0,'ARDT Cutter Entry'!$BP$63&lt;&gt;CY66,'ARDT Cutter Entry'!$BP$63&lt;&gt;CY65,'ARDT Cutter Entry'!$BP$63&lt;&gt;CY64,'ARDT Cutter Entry'!$BP$63&lt;&gt;CY63,'ARDT Cutter Entry'!$BP$63&lt;&gt;CY62),'ARDT Cutter Entry'!$BP$63,"")))))),"")</f>
        <v/>
      </c>
      <c r="DB67" s="37">
        <v>871781</v>
      </c>
      <c r="DD67" s="75">
        <v>63</v>
      </c>
      <c r="DE67" s="37">
        <v>773384</v>
      </c>
      <c r="DF67" t="s">
        <v>216</v>
      </c>
      <c r="DG67" s="37" t="str">
        <f t="shared" si="60"/>
        <v>1005 CT200  0.018"</v>
      </c>
      <c r="DH67" s="37">
        <v>10</v>
      </c>
      <c r="DI67" s="37">
        <v>1005</v>
      </c>
      <c r="DJ67" s="37" t="s">
        <v>101</v>
      </c>
      <c r="DK67" s="37"/>
      <c r="DL67" s="37" t="s">
        <v>240</v>
      </c>
      <c r="DM67" s="37">
        <v>72</v>
      </c>
      <c r="DN67" s="37">
        <v>0</v>
      </c>
      <c r="DO67" s="37">
        <v>272</v>
      </c>
      <c r="DP67" s="37"/>
      <c r="DQ67" s="37">
        <v>50</v>
      </c>
      <c r="DR67" s="37" t="str">
        <f t="shared" si="61"/>
        <v xml:space="preserve">1005 CT200 </v>
      </c>
      <c r="DS67" s="37">
        <f t="shared" si="43"/>
        <v>0</v>
      </c>
      <c r="DU67" s="10">
        <v>100</v>
      </c>
      <c r="DV67" s="10" t="s">
        <v>146</v>
      </c>
      <c r="DW67" t="s">
        <v>1588</v>
      </c>
      <c r="DX67">
        <v>10</v>
      </c>
      <c r="DY67" t="s">
        <v>1678</v>
      </c>
      <c r="DZ67" t="s">
        <v>1671</v>
      </c>
      <c r="EA67">
        <v>1</v>
      </c>
      <c r="EB67" t="s">
        <v>1513</v>
      </c>
      <c r="EC67" s="10">
        <v>215</v>
      </c>
      <c r="ED67" s="10" t="s">
        <v>1741</v>
      </c>
      <c r="EE67" s="813">
        <f t="shared" si="19"/>
        <v>0</v>
      </c>
      <c r="EF67">
        <f>ROWS($DE$2:DE67)</f>
        <v>66</v>
      </c>
      <c r="EG67" t="str">
        <f t="shared" si="26"/>
        <v/>
      </c>
      <c r="EJ67" t="str">
        <f t="shared" si="27"/>
        <v/>
      </c>
      <c r="EM67" t="str">
        <f t="shared" si="28"/>
        <v/>
      </c>
      <c r="EP67" t="str">
        <f t="shared" si="29"/>
        <v/>
      </c>
      <c r="ES67" t="str">
        <f t="shared" si="30"/>
        <v/>
      </c>
      <c r="EV67" t="str">
        <f t="shared" si="31"/>
        <v/>
      </c>
      <c r="EY67" t="str">
        <f t="shared" si="32"/>
        <v/>
      </c>
      <c r="FB67" t="str">
        <f t="shared" si="33"/>
        <v/>
      </c>
      <c r="FE67" t="str">
        <f t="shared" si="34"/>
        <v/>
      </c>
      <c r="FH67" t="str">
        <f t="shared" si="35"/>
        <v/>
      </c>
      <c r="FK67" t="str">
        <f t="shared" si="36"/>
        <v/>
      </c>
      <c r="FN67" t="str">
        <f t="shared" si="37"/>
        <v/>
      </c>
      <c r="FQ67" t="str">
        <f t="shared" si="38"/>
        <v/>
      </c>
      <c r="FT67" t="str">
        <f t="shared" si="39"/>
        <v/>
      </c>
      <c r="FW67" t="str">
        <f t="shared" si="40"/>
        <v/>
      </c>
      <c r="FZ67" t="str">
        <f t="shared" si="41"/>
        <v/>
      </c>
      <c r="GC67" t="str">
        <f t="shared" si="42"/>
        <v/>
      </c>
      <c r="GE67" s="155"/>
      <c r="GF67" s="26" t="str">
        <f t="shared" si="45"/>
        <v>07.5 - 10</v>
      </c>
      <c r="GG67" s="28" t="str">
        <f t="shared" si="46"/>
        <v>7.5 10</v>
      </c>
      <c r="GH67" s="882">
        <v>7.5</v>
      </c>
      <c r="GI67" s="75">
        <v>10</v>
      </c>
      <c r="GJ67" s="874" t="s">
        <v>1722</v>
      </c>
      <c r="GK67" s="875" t="s">
        <v>1530</v>
      </c>
      <c r="GL67" s="876">
        <v>1</v>
      </c>
      <c r="GM67" s="37" t="s">
        <v>1513</v>
      </c>
      <c r="GN67" s="877">
        <v>7360</v>
      </c>
      <c r="GO67" s="26">
        <v>1</v>
      </c>
      <c r="GP67" t="s">
        <v>1530</v>
      </c>
      <c r="GQ67" s="26" t="s">
        <v>1772</v>
      </c>
      <c r="GS67">
        <f>ROWS($GJ$20:GJ67)</f>
        <v>48</v>
      </c>
      <c r="GT67" s="884" t="str">
        <f t="shared" si="67"/>
        <v/>
      </c>
      <c r="GU67"/>
      <c r="HC67" s="805"/>
      <c r="HD67" s="805"/>
    </row>
    <row r="68" spans="2:212" ht="16.5" customHeight="1" thickBot="1" x14ac:dyDescent="0.4">
      <c r="F68" s="63" t="s">
        <v>1108</v>
      </c>
      <c r="G68" s="666"/>
      <c r="L68" s="166">
        <v>757448</v>
      </c>
      <c r="O68" s="207"/>
      <c r="P68" s="208"/>
      <c r="Q68" s="208"/>
      <c r="R68" s="209"/>
      <c r="S68" s="210">
        <v>6.125</v>
      </c>
      <c r="T68" s="210" t="s">
        <v>739</v>
      </c>
      <c r="U68" s="210">
        <v>859588</v>
      </c>
      <c r="V68" s="195" t="s">
        <v>92</v>
      </c>
      <c r="W68" s="191">
        <v>2</v>
      </c>
      <c r="X68" s="173">
        <v>2</v>
      </c>
      <c r="Y68" s="173">
        <v>2</v>
      </c>
      <c r="Z68" s="173">
        <v>2</v>
      </c>
      <c r="AA68" s="173">
        <v>2</v>
      </c>
      <c r="AB68" s="173">
        <v>1</v>
      </c>
      <c r="AC68" s="192">
        <v>1</v>
      </c>
      <c r="AD68" s="171"/>
      <c r="AE68" s="172"/>
      <c r="AF68" s="172"/>
      <c r="AG68" s="188"/>
      <c r="AH68" s="188"/>
      <c r="AI68" s="188"/>
      <c r="AJ68" s="188"/>
      <c r="AK68" s="188"/>
      <c r="AL68" s="188"/>
      <c r="AM68" s="188"/>
      <c r="AN68" s="188"/>
      <c r="AO68" s="188"/>
      <c r="AP68" s="188"/>
      <c r="AQ68" s="188"/>
      <c r="AR68" s="188"/>
      <c r="AS68" s="188"/>
      <c r="AT68" s="188"/>
      <c r="AU68" s="188"/>
      <c r="AV68" s="188"/>
      <c r="AW68" s="188"/>
      <c r="AX68" s="188"/>
      <c r="AY68" s="188"/>
      <c r="AZ68" s="188"/>
      <c r="BA68" s="188"/>
      <c r="BB68" s="188"/>
      <c r="BC68" s="188"/>
      <c r="BD68" s="188"/>
      <c r="BF68">
        <f>ROWS($U$46:U68)</f>
        <v>23</v>
      </c>
      <c r="BG68" t="str">
        <f t="shared" si="66"/>
        <v/>
      </c>
      <c r="BH68" t="str">
        <f>IFERROR(SMALL($BG$46:$BG$3014,ROWS($BG$46:BG68)),"")</f>
        <v/>
      </c>
      <c r="BI68" s="189">
        <f>'ARDT Cutter Entry'!$BN$64</f>
        <v>0</v>
      </c>
      <c r="BJ68" s="189">
        <f>'ARDT Cutter Entry'!$BP$64</f>
        <v>0</v>
      </c>
      <c r="BK68" s="170" t="str">
        <f>IFERROR(INDEX($O$46:$T$132,$BH68:$BH79,COLUMNS($BE$46:BG68)),"")</f>
        <v/>
      </c>
      <c r="BL68" s="170" t="str">
        <f>IFERROR(INDEX($O$46:$T$132,$BH68:$BH79,COLUMNS($BE$46:BH68)),"")</f>
        <v/>
      </c>
      <c r="BM68" s="170" t="str">
        <f>IFERROR(INDEX($O$46:$T$132,$BH68:$BH79,COLUMNS($BE$46:BI68)),"")</f>
        <v/>
      </c>
      <c r="CX68" s="72" t="str">
        <f t="shared" si="68"/>
        <v/>
      </c>
      <c r="CY68" s="72" t="str">
        <f>IF(CY67&lt;&gt;"",IF(AND(BJ54&lt;&gt;"",BJ54&lt;&gt;0),BJ54,IF(AND('ARDT Cutter Entry'!$BP$59='ARDT Cutter Entry'!$BP$3,'ARDT Cutter Entry'!$BP$59&lt;&gt;"",'ARDT Cutter Entry'!$BP$59&lt;&gt;0,'ARDT Cutter Entry'!$BP$59&lt;&gt;CY67,'ARDT Cutter Entry'!$BP$59&lt;&gt;CY66,'ARDT Cutter Entry'!$BP$59&lt;&gt;CY65,'ARDT Cutter Entry'!$BP$59&lt;&gt;CY64,'ARDT Cutter Entry'!$BP$59&lt;&gt;CY63),'ARDT Cutter Entry'!$BP$59,IF(AND('ARDT Cutter Entry'!$BP$60='ARDT Cutter Entry'!$BP$4,'ARDT Cutter Entry'!$BP$60&lt;&gt;"",'ARDT Cutter Entry'!$BP$60&lt;&gt;0,'ARDT Cutter Entry'!$BP$60&lt;&gt;CY67,'ARDT Cutter Entry'!$BP$60&lt;&gt;CY66,'ARDT Cutter Entry'!$BP$60&lt;&gt;CY65,'ARDT Cutter Entry'!$BP$60&lt;&gt;CY64,'ARDT Cutter Entry'!$BP$60&lt;&gt;CY63),'ARDT Cutter Entry'!$BP$60,IF(AND('ARDT Cutter Entry'!$BP$61='ARDT Cutter Entry'!$BP$5,'ARDT Cutter Entry'!$BP$61&lt;&gt;"",'ARDT Cutter Entry'!$BP$61&lt;&gt;0,'ARDT Cutter Entry'!$BP$61&lt;&gt;CY67,'ARDT Cutter Entry'!$BP$61&lt;&gt;CY66,'ARDT Cutter Entry'!$BP$61&lt;&gt;CY65,'ARDT Cutter Entry'!$BP$61&lt;&gt;CY64,'ARDT Cutter Entry'!$BP$61&lt;&gt;CY63),'ARDT Cutter Entry'!$BP$61,IF(AND('ARDT Cutter Entry'!$BP$62='ARDT Cutter Entry'!$BP$6,'ARDT Cutter Entry'!$BP$62&lt;&gt;"",'ARDT Cutter Entry'!$BP$62&lt;&gt;0,'ARDT Cutter Entry'!$BP$62&lt;&gt;CY67,'ARDT Cutter Entry'!$BP$62&lt;&gt;CY66,'ARDT Cutter Entry'!$BP$62&lt;&gt;CY65,'ARDT Cutter Entry'!$BP$62&lt;&gt;CY64,'ARDT Cutter Entry'!$BP$62&lt;&gt;CY63),'ARDT Cutter Entry'!$BP$62,IF(AND('ARDT Cutter Entry'!$BP$63='ARDT Cutter Entry'!$BP$7,'ARDT Cutter Entry'!$BP$63&lt;&gt;"",'ARDT Cutter Entry'!$BP$63&lt;&gt;0,'ARDT Cutter Entry'!$BP$63&lt;&gt;CY67,'ARDT Cutter Entry'!$BP$63&lt;&gt;CY66,'ARDT Cutter Entry'!$BP$63&lt;&gt;CY65,'ARDT Cutter Entry'!$BP$63&lt;&gt;CY64,'ARDT Cutter Entry'!$BP$63&lt;&gt;CY63),'ARDT Cutter Entry'!$BP$63,"")))))),"")</f>
        <v/>
      </c>
      <c r="DB68" s="37">
        <v>882800</v>
      </c>
      <c r="DD68" s="75">
        <v>29</v>
      </c>
      <c r="DE68" s="37">
        <v>780654</v>
      </c>
      <c r="DF68" t="s">
        <v>217</v>
      </c>
      <c r="DG68" s="37" t="str">
        <f t="shared" si="60"/>
        <v>1010 CT80  0.010"</v>
      </c>
      <c r="DH68" s="37">
        <v>10</v>
      </c>
      <c r="DI68" s="37">
        <v>1010</v>
      </c>
      <c r="DJ68" s="37" t="s">
        <v>262</v>
      </c>
      <c r="DK68" s="37"/>
      <c r="DL68" s="37" t="s">
        <v>239</v>
      </c>
      <c r="DM68" s="37">
        <v>55</v>
      </c>
      <c r="DN68" s="37">
        <v>0</v>
      </c>
      <c r="DO68" s="37">
        <v>272</v>
      </c>
      <c r="DP68" s="37"/>
      <c r="DQ68" s="37">
        <v>50</v>
      </c>
      <c r="DR68" s="37" t="str">
        <f t="shared" si="61"/>
        <v xml:space="preserve">1010 CT80 </v>
      </c>
      <c r="DS68" s="37">
        <f t="shared" si="43"/>
        <v>0</v>
      </c>
      <c r="DV68" s="10" t="s">
        <v>146</v>
      </c>
      <c r="DW68" t="s">
        <v>1588</v>
      </c>
      <c r="DX68">
        <v>10</v>
      </c>
      <c r="DY68" t="s">
        <v>1678</v>
      </c>
      <c r="DZ68" t="s">
        <v>1671</v>
      </c>
      <c r="EA68">
        <v>1</v>
      </c>
      <c r="EB68" t="s">
        <v>1513</v>
      </c>
      <c r="EC68" s="10">
        <v>215</v>
      </c>
      <c r="ED68" s="10" t="s">
        <v>1741</v>
      </c>
      <c r="EE68" s="813">
        <f t="shared" si="19"/>
        <v>0</v>
      </c>
      <c r="EF68">
        <f>ROWS($DE$2:DE68)</f>
        <v>67</v>
      </c>
      <c r="EG68" t="str">
        <f t="shared" si="26"/>
        <v/>
      </c>
      <c r="EJ68" t="str">
        <f t="shared" si="27"/>
        <v/>
      </c>
      <c r="EM68" t="str">
        <f t="shared" si="28"/>
        <v/>
      </c>
      <c r="EP68" t="str">
        <f t="shared" si="29"/>
        <v/>
      </c>
      <c r="ES68" t="str">
        <f t="shared" si="30"/>
        <v/>
      </c>
      <c r="EV68" t="str">
        <f t="shared" si="31"/>
        <v/>
      </c>
      <c r="EY68" t="str">
        <f t="shared" si="32"/>
        <v/>
      </c>
      <c r="FB68" t="str">
        <f t="shared" si="33"/>
        <v/>
      </c>
      <c r="FE68" t="str">
        <f t="shared" si="34"/>
        <v/>
      </c>
      <c r="FH68" t="str">
        <f t="shared" si="35"/>
        <v/>
      </c>
      <c r="FK68" t="str">
        <f t="shared" si="36"/>
        <v/>
      </c>
      <c r="FN68" t="str">
        <f t="shared" si="37"/>
        <v/>
      </c>
      <c r="FQ68" t="str">
        <f t="shared" si="38"/>
        <v/>
      </c>
      <c r="FT68" t="str">
        <f t="shared" si="39"/>
        <v/>
      </c>
      <c r="FW68" t="str">
        <f t="shared" si="40"/>
        <v/>
      </c>
      <c r="FZ68" t="str">
        <f t="shared" si="41"/>
        <v/>
      </c>
      <c r="GC68" t="str">
        <f t="shared" si="42"/>
        <v/>
      </c>
      <c r="GE68" s="155"/>
      <c r="GF68" s="26" t="str">
        <f t="shared" si="45"/>
        <v>07.6 - 10</v>
      </c>
      <c r="GG68" s="28" t="str">
        <f t="shared" si="46"/>
        <v>7.6 10</v>
      </c>
      <c r="GH68" s="882">
        <v>7.6</v>
      </c>
      <c r="GI68" s="75">
        <v>10</v>
      </c>
      <c r="GJ68" s="874" t="s">
        <v>1723</v>
      </c>
      <c r="GK68" s="875" t="s">
        <v>1531</v>
      </c>
      <c r="GL68" s="876">
        <v>1</v>
      </c>
      <c r="GM68" s="37" t="s">
        <v>1513</v>
      </c>
      <c r="GN68" s="877">
        <v>8280</v>
      </c>
      <c r="GO68" s="26">
        <v>1</v>
      </c>
      <c r="GP68" t="s">
        <v>1531</v>
      </c>
      <c r="GQ68" s="26" t="s">
        <v>1772</v>
      </c>
      <c r="GS68">
        <f>ROWS($GJ$20:GJ68)</f>
        <v>49</v>
      </c>
      <c r="GT68" s="884" t="str">
        <f t="shared" si="67"/>
        <v/>
      </c>
      <c r="GU68"/>
      <c r="HC68" s="805"/>
      <c r="HD68" s="805"/>
    </row>
    <row r="69" spans="2:212" ht="15.75" customHeight="1" thickBot="1" x14ac:dyDescent="0.4">
      <c r="F69" s="63" t="s">
        <v>1278</v>
      </c>
      <c r="G69" s="666"/>
      <c r="L69" s="176">
        <v>763567</v>
      </c>
      <c r="O69" s="211">
        <v>1</v>
      </c>
      <c r="P69" s="212">
        <v>717748</v>
      </c>
      <c r="Q69" s="212">
        <v>3</v>
      </c>
      <c r="R69" s="212" t="s">
        <v>746</v>
      </c>
      <c r="S69" s="182">
        <v>6.125</v>
      </c>
      <c r="T69" s="182" t="s">
        <v>739</v>
      </c>
      <c r="U69" s="198">
        <v>952071</v>
      </c>
      <c r="V69" s="183" t="s">
        <v>87</v>
      </c>
      <c r="W69" s="184">
        <v>1</v>
      </c>
      <c r="X69" s="185">
        <v>3</v>
      </c>
      <c r="Y69" s="185">
        <v>3</v>
      </c>
      <c r="Z69" s="185">
        <v>3</v>
      </c>
      <c r="AA69" s="185">
        <v>3</v>
      </c>
      <c r="AB69" s="185">
        <v>3</v>
      </c>
      <c r="AC69" s="185">
        <v>3</v>
      </c>
      <c r="AD69" s="174">
        <v>3</v>
      </c>
      <c r="AE69" s="174">
        <v>2</v>
      </c>
      <c r="AF69" s="177">
        <v>2</v>
      </c>
      <c r="AG69" s="187"/>
      <c r="AH69" s="188"/>
      <c r="AI69" s="188"/>
      <c r="AJ69" s="188"/>
      <c r="AK69" s="188"/>
      <c r="AL69" s="188"/>
      <c r="AM69" s="188"/>
      <c r="AN69" s="188"/>
      <c r="AO69" s="188"/>
      <c r="AP69" s="188"/>
      <c r="AQ69" s="188"/>
      <c r="AR69" s="188"/>
      <c r="AS69" s="188"/>
      <c r="AT69" s="188"/>
      <c r="AU69" s="188"/>
      <c r="AV69" s="188"/>
      <c r="AW69" s="188"/>
      <c r="AX69" s="188"/>
      <c r="AY69" s="188"/>
      <c r="AZ69" s="188"/>
      <c r="BA69" s="188"/>
      <c r="BB69" s="188"/>
      <c r="BC69" s="188"/>
      <c r="BD69" s="188"/>
      <c r="BF69">
        <f>ROWS($U$46:U69)</f>
        <v>24</v>
      </c>
      <c r="BG69" t="str">
        <f t="shared" si="66"/>
        <v/>
      </c>
      <c r="BH69" t="str">
        <f>IFERROR(SMALL($BG$46:$BG$3014,ROWS($BG$46:BG69)),"")</f>
        <v/>
      </c>
      <c r="BI69" s="170" t="str">
        <f>IFERROR(INDEX($O$46:$T$132,$BH69:$BH80,COLUMNS($BE$46:BE69)),"")</f>
        <v/>
      </c>
      <c r="BJ69" s="170" t="str">
        <f>IFERROR(INDEX($O$46:$T$132,$BH69:$BH80,COLUMNS($BE$46:BF69)),"")</f>
        <v/>
      </c>
      <c r="BK69" s="170" t="str">
        <f>IFERROR(INDEX($O$46:$T$132,$BH69:$BH80,COLUMNS($BE$46:BG69)),"")</f>
        <v/>
      </c>
      <c r="BL69" s="170" t="str">
        <f>IFERROR(INDEX($O$46:$T$132,$BH69:$BH80,COLUMNS($BE$46:BH69)),"")</f>
        <v/>
      </c>
      <c r="BM69" s="170" t="str">
        <f>IFERROR(INDEX($O$46:$T$132,$BH69:$BH80,COLUMNS($BE$46:BI69)),"")</f>
        <v/>
      </c>
      <c r="CX69" s="72" t="str">
        <f t="shared" si="68"/>
        <v/>
      </c>
      <c r="CY69" s="72" t="str">
        <f>IF(CY68&lt;&gt;"",IF(AND(BJ55&lt;&gt;"",BJ55&lt;&gt;0),BJ55,IF(AND('ARDT Cutter Entry'!$BP$59='ARDT Cutter Entry'!$BP$3,'ARDT Cutter Entry'!$BP$59&lt;&gt;"",'ARDT Cutter Entry'!$BP$59&lt;&gt;0,'ARDT Cutter Entry'!$BP$59&lt;&gt;CY68,'ARDT Cutter Entry'!$BP$59&lt;&gt;CY67,'ARDT Cutter Entry'!$BP$59&lt;&gt;CY66,'ARDT Cutter Entry'!$BP$59&lt;&gt;CY65,'ARDT Cutter Entry'!$BP$59&lt;&gt;CY64),'ARDT Cutter Entry'!$BP$59,IF(AND('ARDT Cutter Entry'!$BP$60='ARDT Cutter Entry'!$BP$4,'ARDT Cutter Entry'!$BP$60&lt;&gt;"",'ARDT Cutter Entry'!$BP$60&lt;&gt;0,'ARDT Cutter Entry'!$BP$60&lt;&gt;CY68,'ARDT Cutter Entry'!$BP$60&lt;&gt;CY67,'ARDT Cutter Entry'!$BP$60&lt;&gt;CY66,'ARDT Cutter Entry'!$BP$60&lt;&gt;CY65,'ARDT Cutter Entry'!$BP$60&lt;&gt;CY64),'ARDT Cutter Entry'!$BP$60,IF(AND('ARDT Cutter Entry'!$BP$61='ARDT Cutter Entry'!$BP$5,'ARDT Cutter Entry'!$BP$61&lt;&gt;"",'ARDT Cutter Entry'!$BP$61&lt;&gt;0,'ARDT Cutter Entry'!$BP$61&lt;&gt;CY68,'ARDT Cutter Entry'!$BP$61&lt;&gt;CY67,'ARDT Cutter Entry'!$BP$61&lt;&gt;CY66,'ARDT Cutter Entry'!$BP$61&lt;&gt;CY65,'ARDT Cutter Entry'!$BP$61&lt;&gt;CY64),'ARDT Cutter Entry'!$BP$61,IF(AND('ARDT Cutter Entry'!$BP$62='ARDT Cutter Entry'!$BP$6,'ARDT Cutter Entry'!$BP$62&lt;&gt;"",'ARDT Cutter Entry'!$BP$62&lt;&gt;0,'ARDT Cutter Entry'!$BP$62&lt;&gt;CY68,'ARDT Cutter Entry'!$BP$62&lt;&gt;CY67,'ARDT Cutter Entry'!$BP$62&lt;&gt;CY66,'ARDT Cutter Entry'!$BP$62&lt;&gt;CY65,'ARDT Cutter Entry'!$BP$62&lt;&gt;CY64),'ARDT Cutter Entry'!$BP$62,IF(AND('ARDT Cutter Entry'!$BP$63='ARDT Cutter Entry'!$BP$7,'ARDT Cutter Entry'!$BP$63&lt;&gt;"",'ARDT Cutter Entry'!$BP$63&lt;&gt;0,'ARDT Cutter Entry'!$BP$63&lt;&gt;CY68,'ARDT Cutter Entry'!$BP$63&lt;&gt;CY67,'ARDT Cutter Entry'!$BP$63&lt;&gt;CY66,'ARDT Cutter Entry'!$BP$63&lt;&gt;CY65,'ARDT Cutter Entry'!$BP$63&lt;&gt;CY64),'ARDT Cutter Entry'!$BP$63,"")))))),"")</f>
        <v/>
      </c>
      <c r="DB69" s="37">
        <v>886466</v>
      </c>
      <c r="DD69" s="75">
        <v>27</v>
      </c>
      <c r="DE69" s="37">
        <v>781580</v>
      </c>
      <c r="DF69" t="s">
        <v>218</v>
      </c>
      <c r="DG69" s="37" t="str">
        <f t="shared" si="60"/>
        <v>1010 CT80  0.018"</v>
      </c>
      <c r="DH69" s="37">
        <v>10</v>
      </c>
      <c r="DI69" s="37">
        <v>1010</v>
      </c>
      <c r="DJ69" s="37" t="s">
        <v>262</v>
      </c>
      <c r="DK69" s="37"/>
      <c r="DL69" s="37" t="s">
        <v>240</v>
      </c>
      <c r="DM69" s="37">
        <v>54</v>
      </c>
      <c r="DN69" s="37">
        <v>0</v>
      </c>
      <c r="DO69" s="37">
        <v>272</v>
      </c>
      <c r="DP69" s="37"/>
      <c r="DQ69" s="37">
        <v>50</v>
      </c>
      <c r="DR69" s="37" t="str">
        <f t="shared" si="61"/>
        <v xml:space="preserve">1010 CT80 </v>
      </c>
      <c r="DS69" s="37">
        <f t="shared" si="43"/>
        <v>124.05900000000001</v>
      </c>
      <c r="DT69" s="10">
        <v>95.43</v>
      </c>
      <c r="DV69" s="10" t="s">
        <v>146</v>
      </c>
      <c r="DW69" t="s">
        <v>1588</v>
      </c>
      <c r="DX69">
        <v>10</v>
      </c>
      <c r="DY69" t="s">
        <v>1678</v>
      </c>
      <c r="DZ69" t="s">
        <v>1671</v>
      </c>
      <c r="EA69">
        <v>1</v>
      </c>
      <c r="EB69" t="s">
        <v>1513</v>
      </c>
      <c r="EC69" s="10">
        <v>215</v>
      </c>
      <c r="ED69" s="10" t="s">
        <v>1741</v>
      </c>
      <c r="EE69" s="813">
        <f t="shared" si="19"/>
        <v>0</v>
      </c>
      <c r="EF69">
        <f>ROWS($DE$2:DE69)</f>
        <v>68</v>
      </c>
      <c r="EG69" t="str">
        <f t="shared" si="26"/>
        <v/>
      </c>
      <c r="EJ69" t="str">
        <f t="shared" si="27"/>
        <v/>
      </c>
      <c r="EM69" t="str">
        <f t="shared" si="28"/>
        <v/>
      </c>
      <c r="EP69" t="str">
        <f t="shared" si="29"/>
        <v/>
      </c>
      <c r="ES69" t="str">
        <f t="shared" si="30"/>
        <v/>
      </c>
      <c r="EV69" t="str">
        <f t="shared" si="31"/>
        <v/>
      </c>
      <c r="EY69" t="str">
        <f t="shared" si="32"/>
        <v/>
      </c>
      <c r="FB69" t="str">
        <f t="shared" si="33"/>
        <v/>
      </c>
      <c r="FE69" t="str">
        <f t="shared" si="34"/>
        <v/>
      </c>
      <c r="FH69" t="str">
        <f t="shared" si="35"/>
        <v/>
      </c>
      <c r="FK69" t="str">
        <f t="shared" si="36"/>
        <v/>
      </c>
      <c r="FN69" t="str">
        <f t="shared" si="37"/>
        <v/>
      </c>
      <c r="FQ69" t="str">
        <f t="shared" si="38"/>
        <v/>
      </c>
      <c r="FT69" t="str">
        <f t="shared" si="39"/>
        <v/>
      </c>
      <c r="FW69" t="str">
        <f t="shared" si="40"/>
        <v/>
      </c>
      <c r="FZ69" t="str">
        <f t="shared" si="41"/>
        <v/>
      </c>
      <c r="GC69" t="str">
        <f t="shared" si="42"/>
        <v/>
      </c>
      <c r="GE69" s="155"/>
      <c r="GF69" s="26" t="str">
        <f t="shared" si="45"/>
        <v>07.7 - 10</v>
      </c>
      <c r="GG69" s="28" t="str">
        <f t="shared" si="46"/>
        <v>7.7 10</v>
      </c>
      <c r="GH69" s="882">
        <v>7.7</v>
      </c>
      <c r="GI69" s="75">
        <v>10</v>
      </c>
      <c r="GJ69" s="874" t="s">
        <v>1724</v>
      </c>
      <c r="GK69" s="875" t="s">
        <v>1532</v>
      </c>
      <c r="GL69" s="876">
        <v>1</v>
      </c>
      <c r="GM69" s="37" t="s">
        <v>1513</v>
      </c>
      <c r="GN69" s="877">
        <v>9200</v>
      </c>
      <c r="GO69" s="26">
        <v>1</v>
      </c>
      <c r="GP69" t="s">
        <v>1532</v>
      </c>
      <c r="GQ69" s="26" t="s">
        <v>1772</v>
      </c>
      <c r="GS69">
        <f>ROWS($GJ$20:GJ69)</f>
        <v>50</v>
      </c>
      <c r="GT69" s="885" t="str">
        <f t="shared" si="67"/>
        <v/>
      </c>
      <c r="GU69"/>
      <c r="HC69" s="805"/>
      <c r="HD69" s="805"/>
    </row>
    <row r="70" spans="2:212" ht="15.75" customHeight="1" x14ac:dyDescent="0.35">
      <c r="F70" s="63" t="s">
        <v>1516</v>
      </c>
      <c r="G70" s="666"/>
      <c r="L70" s="166">
        <v>767900</v>
      </c>
      <c r="O70" s="197">
        <v>2</v>
      </c>
      <c r="P70" s="190">
        <v>418525</v>
      </c>
      <c r="Q70" s="190">
        <v>12</v>
      </c>
      <c r="R70" s="190"/>
      <c r="S70" s="190">
        <v>6.125</v>
      </c>
      <c r="T70" s="190" t="s">
        <v>739</v>
      </c>
      <c r="U70" s="201">
        <v>952071</v>
      </c>
      <c r="V70" s="171" t="s">
        <v>88</v>
      </c>
      <c r="W70" s="191">
        <v>3</v>
      </c>
      <c r="X70" s="173">
        <v>3</v>
      </c>
      <c r="Y70" s="173">
        <v>3</v>
      </c>
      <c r="Z70" s="173">
        <v>3</v>
      </c>
      <c r="AA70" s="173">
        <v>3</v>
      </c>
      <c r="AB70" s="173">
        <v>2</v>
      </c>
      <c r="AC70" s="192">
        <v>2</v>
      </c>
      <c r="AD70" s="171"/>
      <c r="AE70" s="172"/>
      <c r="AF70" s="172"/>
      <c r="AG70" s="188"/>
      <c r="AH70" s="188"/>
      <c r="AI70" s="188"/>
      <c r="AJ70" s="188"/>
      <c r="AK70" s="188"/>
      <c r="AL70" s="188"/>
      <c r="AM70" s="188"/>
      <c r="AN70" s="188"/>
      <c r="AO70" s="188"/>
      <c r="AP70" s="188"/>
      <c r="AQ70" s="188"/>
      <c r="AR70" s="188"/>
      <c r="AS70" s="188"/>
      <c r="AT70" s="188"/>
      <c r="AU70" s="188"/>
      <c r="AV70" s="188"/>
      <c r="AW70" s="188"/>
      <c r="AX70" s="188"/>
      <c r="AY70" s="188"/>
      <c r="AZ70" s="188"/>
      <c r="BA70" s="188"/>
      <c r="BB70" s="188"/>
      <c r="BC70" s="188"/>
      <c r="BD70" s="188"/>
      <c r="BF70">
        <f>ROWS($U$46:U70)</f>
        <v>25</v>
      </c>
      <c r="BG70" t="str">
        <f t="shared" si="66"/>
        <v/>
      </c>
      <c r="BH70" t="str">
        <f>IFERROR(SMALL($BG$46:$BG$3014,ROWS($BG$46:BG70)),"")</f>
        <v/>
      </c>
      <c r="BI70" s="170" t="str">
        <f>IFERROR(INDEX($O$46:$T$132,$BH70:$BH81,COLUMNS($BE$46:BE70)),"")</f>
        <v/>
      </c>
      <c r="BJ70" s="170" t="str">
        <f>IFERROR(INDEX($O$46:$T$132,$BH70:$BH81,COLUMNS($BE$46:BF70)),"")</f>
        <v/>
      </c>
      <c r="BK70" s="170" t="str">
        <f>IFERROR(INDEX($O$46:$T$132,$BH70:$BH81,COLUMNS($BE$46:BG70)),"")</f>
        <v/>
      </c>
      <c r="BL70" s="170" t="str">
        <f>IFERROR(INDEX($O$46:$T$132,$BH70:$BH81,COLUMNS($BE$46:BH70)),"")</f>
        <v/>
      </c>
      <c r="BM70" s="170" t="str">
        <f>IFERROR(INDEX($O$46:$T$132,$BH70:$BH81,COLUMNS($BE$46:BI70)),"")</f>
        <v/>
      </c>
      <c r="CX70" s="72" t="str">
        <f t="shared" si="68"/>
        <v/>
      </c>
      <c r="CY70" s="72" t="str">
        <f>IF(CY69&lt;&gt;"",IF(AND(BJ56&lt;&gt;"",BJ56&lt;&gt;0),BJ56,IF(AND('ARDT Cutter Entry'!$BP$59='ARDT Cutter Entry'!$BP$3,'ARDT Cutter Entry'!$BP$59&lt;&gt;"",'ARDT Cutter Entry'!$BP$59&lt;&gt;0,'ARDT Cutter Entry'!$BP$59&lt;&gt;CY69,'ARDT Cutter Entry'!$BP$59&lt;&gt;CY68,'ARDT Cutter Entry'!$BP$59&lt;&gt;CY67,'ARDT Cutter Entry'!$BP$59&lt;&gt;CY66,'ARDT Cutter Entry'!$BP$59&lt;&gt;CY65),'ARDT Cutter Entry'!$BP$59,IF(AND('ARDT Cutter Entry'!$BP$60='ARDT Cutter Entry'!$BP$4,'ARDT Cutter Entry'!$BP$60&lt;&gt;"",'ARDT Cutter Entry'!$BP$60&lt;&gt;0,'ARDT Cutter Entry'!$BP$60&lt;&gt;CY69,'ARDT Cutter Entry'!$BP$60&lt;&gt;CY68,'ARDT Cutter Entry'!$BP$60&lt;&gt;CY67,'ARDT Cutter Entry'!$BP$60&lt;&gt;CY66,'ARDT Cutter Entry'!$BP$60&lt;&gt;CY65),'ARDT Cutter Entry'!$BP$60,IF(AND('ARDT Cutter Entry'!$BP$61='ARDT Cutter Entry'!$BP$5,'ARDT Cutter Entry'!$BP$61&lt;&gt;"",'ARDT Cutter Entry'!$BP$61&lt;&gt;0,'ARDT Cutter Entry'!$BP$61&lt;&gt;CY69,'ARDT Cutter Entry'!$BP$61&lt;&gt;CY68,'ARDT Cutter Entry'!$BP$61&lt;&gt;CY67,'ARDT Cutter Entry'!$BP$61&lt;&gt;CY66,'ARDT Cutter Entry'!$BP$61&lt;&gt;CY65),'ARDT Cutter Entry'!$BP$61,IF(AND('ARDT Cutter Entry'!$BP$62='ARDT Cutter Entry'!$BP$6,'ARDT Cutter Entry'!$BP$62&lt;&gt;"",'ARDT Cutter Entry'!$BP$62&lt;&gt;0,'ARDT Cutter Entry'!$BP$62&lt;&gt;CY69,'ARDT Cutter Entry'!$BP$62&lt;&gt;CY68,'ARDT Cutter Entry'!$BP$62&lt;&gt;CY67,'ARDT Cutter Entry'!$BP$62&lt;&gt;CY66,'ARDT Cutter Entry'!$BP$62&lt;&gt;CY65),'ARDT Cutter Entry'!$BP$62,IF(AND('ARDT Cutter Entry'!$BP$63='ARDT Cutter Entry'!$BP$7,'ARDT Cutter Entry'!$BP$63&lt;&gt;"",'ARDT Cutter Entry'!$BP$63&lt;&gt;0,'ARDT Cutter Entry'!$BP$63&lt;&gt;CY69,'ARDT Cutter Entry'!$BP$63&lt;&gt;CY68,'ARDT Cutter Entry'!$BP$63&lt;&gt;CY67,'ARDT Cutter Entry'!$BP$63&lt;&gt;CY66,'ARDT Cutter Entry'!$BP$63&lt;&gt;CY65),'ARDT Cutter Entry'!$BP$63,"")))))),"")</f>
        <v/>
      </c>
      <c r="DB70" s="37">
        <v>887028</v>
      </c>
      <c r="DD70" s="75">
        <v>31</v>
      </c>
      <c r="DE70" s="37">
        <v>802064</v>
      </c>
      <c r="DF70" t="s">
        <v>219</v>
      </c>
      <c r="DG70" s="37" t="str">
        <f t="shared" si="60"/>
        <v>1308 CT97  0.010"</v>
      </c>
      <c r="DH70" s="37">
        <v>13</v>
      </c>
      <c r="DI70" s="37">
        <v>1308</v>
      </c>
      <c r="DJ70" s="37" t="s">
        <v>267</v>
      </c>
      <c r="DK70" s="37"/>
      <c r="DL70" s="37" t="s">
        <v>239</v>
      </c>
      <c r="DM70" s="37">
        <v>74</v>
      </c>
      <c r="DN70" s="37">
        <v>11</v>
      </c>
      <c r="DO70" s="37">
        <v>360</v>
      </c>
      <c r="DP70" s="37"/>
      <c r="DQ70" s="37"/>
      <c r="DR70" s="37" t="str">
        <f t="shared" si="61"/>
        <v xml:space="preserve">1308 CT97 </v>
      </c>
      <c r="DS70" s="37">
        <f t="shared" si="43"/>
        <v>0</v>
      </c>
      <c r="DV70" s="10" t="s">
        <v>732</v>
      </c>
      <c r="DW70" t="s">
        <v>1589</v>
      </c>
      <c r="DX70">
        <v>20</v>
      </c>
      <c r="DY70" t="s">
        <v>1679</v>
      </c>
      <c r="DZ70" t="s">
        <v>1670</v>
      </c>
      <c r="EA70">
        <v>1</v>
      </c>
      <c r="EB70" t="s">
        <v>1513</v>
      </c>
      <c r="EC70" s="10">
        <v>413</v>
      </c>
      <c r="ED70" s="10" t="s">
        <v>1742</v>
      </c>
      <c r="EE70" s="813">
        <f t="shared" si="19"/>
        <v>0</v>
      </c>
      <c r="EF70">
        <f>ROWS($DE$2:DE70)</f>
        <v>69</v>
      </c>
      <c r="EG70" t="str">
        <f t="shared" si="26"/>
        <v/>
      </c>
      <c r="EJ70" t="str">
        <f t="shared" si="27"/>
        <v/>
      </c>
      <c r="EM70" t="str">
        <f t="shared" si="28"/>
        <v/>
      </c>
      <c r="EP70" t="str">
        <f t="shared" si="29"/>
        <v/>
      </c>
      <c r="ES70" t="str">
        <f t="shared" si="30"/>
        <v/>
      </c>
      <c r="EV70" t="str">
        <f t="shared" si="31"/>
        <v/>
      </c>
      <c r="EY70" t="str">
        <f t="shared" si="32"/>
        <v/>
      </c>
      <c r="FB70" t="str">
        <f t="shared" si="33"/>
        <v/>
      </c>
      <c r="FE70" t="str">
        <f t="shared" si="34"/>
        <v/>
      </c>
      <c r="FH70" t="str">
        <f t="shared" si="35"/>
        <v/>
      </c>
      <c r="FK70" t="str">
        <f t="shared" si="36"/>
        <v/>
      </c>
      <c r="FN70" t="str">
        <f t="shared" si="37"/>
        <v/>
      </c>
      <c r="FQ70" t="str">
        <f t="shared" si="38"/>
        <v/>
      </c>
      <c r="FT70" t="str">
        <f t="shared" si="39"/>
        <v/>
      </c>
      <c r="FW70" t="str">
        <f t="shared" si="40"/>
        <v/>
      </c>
      <c r="FZ70" t="str">
        <f t="shared" si="41"/>
        <v/>
      </c>
      <c r="GC70" t="str">
        <f t="shared" si="42"/>
        <v/>
      </c>
      <c r="GE70" s="155"/>
      <c r="GF70" s="26" t="str">
        <f t="shared" si="45"/>
        <v>08 - 10</v>
      </c>
      <c r="GG70" s="28" t="str">
        <f t="shared" si="46"/>
        <v>8 10</v>
      </c>
      <c r="GH70" s="869">
        <v>8</v>
      </c>
      <c r="GI70" s="75">
        <v>10</v>
      </c>
      <c r="GJ70" s="874" t="s">
        <v>1725</v>
      </c>
      <c r="GK70" s="875"/>
      <c r="GL70" s="876">
        <v>1</v>
      </c>
      <c r="GM70" s="37" t="s">
        <v>1513</v>
      </c>
      <c r="GN70" s="877">
        <v>60</v>
      </c>
      <c r="GO70" s="26">
        <f t="shared" si="58"/>
        <v>0</v>
      </c>
      <c r="GQ70" s="26"/>
      <c r="GS70">
        <f>ROWS($GJ$20:GJ70)</f>
        <v>51</v>
      </c>
      <c r="GT70"/>
      <c r="GU70"/>
      <c r="HC70" s="805"/>
      <c r="HD70" s="805"/>
    </row>
    <row r="71" spans="2:212" ht="15.75" customHeight="1" thickBot="1" x14ac:dyDescent="0.4">
      <c r="B71" s="93" t="s">
        <v>947</v>
      </c>
      <c r="C71" s="93" t="s">
        <v>949</v>
      </c>
      <c r="F71" s="64" t="s">
        <v>2311</v>
      </c>
      <c r="G71" s="1020"/>
      <c r="L71" s="176">
        <v>780769</v>
      </c>
      <c r="O71" s="199">
        <v>3</v>
      </c>
      <c r="P71" s="200">
        <v>781580</v>
      </c>
      <c r="Q71" s="200">
        <v>36</v>
      </c>
      <c r="R71" s="200"/>
      <c r="S71" s="190">
        <v>6.125</v>
      </c>
      <c r="T71" s="190" t="s">
        <v>739</v>
      </c>
      <c r="U71" s="201">
        <v>952071</v>
      </c>
      <c r="V71" s="171" t="s">
        <v>89</v>
      </c>
      <c r="W71" s="191">
        <v>1</v>
      </c>
      <c r="X71" s="173">
        <v>3</v>
      </c>
      <c r="Y71" s="173">
        <v>3</v>
      </c>
      <c r="Z71" s="173">
        <v>3</v>
      </c>
      <c r="AA71" s="173">
        <v>3</v>
      </c>
      <c r="AB71" s="173">
        <v>3</v>
      </c>
      <c r="AC71" s="173">
        <v>3</v>
      </c>
      <c r="AD71" s="174">
        <v>3</v>
      </c>
      <c r="AE71" s="174">
        <v>2</v>
      </c>
      <c r="AF71" s="177">
        <v>2</v>
      </c>
      <c r="AG71" s="187"/>
      <c r="AH71" s="188"/>
      <c r="AI71" s="188"/>
      <c r="AJ71" s="188"/>
      <c r="AK71" s="188"/>
      <c r="AL71" s="188"/>
      <c r="AM71" s="188"/>
      <c r="AN71" s="188"/>
      <c r="AO71" s="188"/>
      <c r="AP71" s="188"/>
      <c r="AQ71" s="188"/>
      <c r="AR71" s="188"/>
      <c r="AS71" s="188"/>
      <c r="AT71" s="188"/>
      <c r="AU71" s="188"/>
      <c r="AV71" s="188"/>
      <c r="AW71" s="188"/>
      <c r="AX71" s="188"/>
      <c r="AY71" s="188"/>
      <c r="AZ71" s="188"/>
      <c r="BA71" s="188"/>
      <c r="BB71" s="188"/>
      <c r="BC71" s="188"/>
      <c r="BD71" s="188"/>
      <c r="BF71">
        <f>ROWS($U$46:U71)</f>
        <v>26</v>
      </c>
      <c r="BG71" t="str">
        <f t="shared" si="66"/>
        <v/>
      </c>
      <c r="BH71" t="str">
        <f>IFERROR(SMALL($BG$46:$BG$3014,ROWS($BG$46:BG71)),"")</f>
        <v/>
      </c>
      <c r="BI71" s="170" t="str">
        <f>IFERROR(INDEX($O$46:$T$132,$BH71:$BH82,COLUMNS($BE$46:BE71)),"")</f>
        <v/>
      </c>
      <c r="BJ71" s="170" t="str">
        <f>IFERROR(INDEX($O$46:$T$132,$BH71:$BH82,COLUMNS($BE$46:BF71)),"")</f>
        <v/>
      </c>
      <c r="BK71" s="170" t="str">
        <f>IFERROR(INDEX($O$46:$T$132,$BH71:$BH82,COLUMNS($BE$46:BG71)),"")</f>
        <v/>
      </c>
      <c r="BL71" s="170" t="str">
        <f>IFERROR(INDEX($O$46:$T$132,$BH71:$BH82,COLUMNS($BE$46:BH71)),"")</f>
        <v/>
      </c>
      <c r="BM71" s="170" t="str">
        <f>IFERROR(INDEX($O$46:$T$132,$BH71:$BH82,COLUMNS($BE$46:BI71)),"")</f>
        <v/>
      </c>
      <c r="CX71" s="72" t="str">
        <f t="shared" si="68"/>
        <v/>
      </c>
      <c r="CY71" s="72" t="str">
        <f>IF(CY70&lt;&gt;"",IF(AND(BJ57&lt;&gt;"",BJ57&lt;&gt;0),BJ57,IF(AND('ARDT Cutter Entry'!$BP$59='ARDT Cutter Entry'!$BP$3,'ARDT Cutter Entry'!$BP$59&lt;&gt;"",'ARDT Cutter Entry'!$BP$59&lt;&gt;0,'ARDT Cutter Entry'!$BP$59&lt;&gt;CY70,'ARDT Cutter Entry'!$BP$59&lt;&gt;CY69,'ARDT Cutter Entry'!$BP$59&lt;&gt;CY68,'ARDT Cutter Entry'!$BP$59&lt;&gt;CY67,'ARDT Cutter Entry'!$BP$59&lt;&gt;CY66),'ARDT Cutter Entry'!$BP$59,IF(AND('ARDT Cutter Entry'!$BP$60='ARDT Cutter Entry'!$BP$4,'ARDT Cutter Entry'!$BP$60&lt;&gt;"",'ARDT Cutter Entry'!$BP$60&lt;&gt;0,'ARDT Cutter Entry'!$BP$60&lt;&gt;CY70,'ARDT Cutter Entry'!$BP$60&lt;&gt;CY69,'ARDT Cutter Entry'!$BP$60&lt;&gt;CY68,'ARDT Cutter Entry'!$BP$60&lt;&gt;CY67,'ARDT Cutter Entry'!$BP$60&lt;&gt;CY66),'ARDT Cutter Entry'!$BP$60,IF(AND('ARDT Cutter Entry'!$BP$61='ARDT Cutter Entry'!$BP$5,'ARDT Cutter Entry'!$BP$61&lt;&gt;"",'ARDT Cutter Entry'!$BP$61&lt;&gt;0,'ARDT Cutter Entry'!$BP$61&lt;&gt;CY70,'ARDT Cutter Entry'!$BP$61&lt;&gt;CY69,'ARDT Cutter Entry'!$BP$61&lt;&gt;CY68,'ARDT Cutter Entry'!$BP$61&lt;&gt;CY67,'ARDT Cutter Entry'!$BP$61&lt;&gt;CY66),'ARDT Cutter Entry'!$BP$61,IF(AND('ARDT Cutter Entry'!$BP$62='ARDT Cutter Entry'!$BP$6,'ARDT Cutter Entry'!$BP$62&lt;&gt;"",'ARDT Cutter Entry'!$BP$62&lt;&gt;0,'ARDT Cutter Entry'!$BP$62&lt;&gt;CY70,'ARDT Cutter Entry'!$BP$62&lt;&gt;CY69,'ARDT Cutter Entry'!$BP$62&lt;&gt;CY68,'ARDT Cutter Entry'!$BP$62&lt;&gt;CY67,'ARDT Cutter Entry'!$BP$62&lt;&gt;CY66),'ARDT Cutter Entry'!$BP$62,IF(AND('ARDT Cutter Entry'!$BP$63='ARDT Cutter Entry'!$BP$7,'ARDT Cutter Entry'!$BP$63&lt;&gt;"",'ARDT Cutter Entry'!$BP$63&lt;&gt;0,'ARDT Cutter Entry'!$BP$63&lt;&gt;CY70,'ARDT Cutter Entry'!$BP$63&lt;&gt;CY69,'ARDT Cutter Entry'!$BP$63&lt;&gt;CY68,'ARDT Cutter Entry'!$BP$63&lt;&gt;CY67,'ARDT Cutter Entry'!$BP$63&lt;&gt;CY66),'ARDT Cutter Entry'!$BP$63,"")))))),"")</f>
        <v/>
      </c>
      <c r="DB71" s="37">
        <v>907609</v>
      </c>
      <c r="DD71" s="75">
        <v>1</v>
      </c>
      <c r="DE71" s="37">
        <v>802065</v>
      </c>
      <c r="DF71" t="s">
        <v>220</v>
      </c>
      <c r="DG71" s="37" t="str">
        <f t="shared" si="60"/>
        <v>1313 CT97  0.010"</v>
      </c>
      <c r="DH71" s="37">
        <v>13</v>
      </c>
      <c r="DI71" s="37">
        <v>1313</v>
      </c>
      <c r="DJ71" s="37" t="s">
        <v>267</v>
      </c>
      <c r="DK71" s="37"/>
      <c r="DL71" s="37" t="s">
        <v>239</v>
      </c>
      <c r="DM71" s="37">
        <v>0</v>
      </c>
      <c r="DN71" s="37">
        <v>0</v>
      </c>
      <c r="DO71" s="37">
        <v>360</v>
      </c>
      <c r="DP71" s="37"/>
      <c r="DQ71" s="37"/>
      <c r="DR71" s="37" t="str">
        <f t="shared" si="61"/>
        <v xml:space="preserve">1313 CT97 </v>
      </c>
      <c r="DS71" s="37">
        <f t="shared" si="43"/>
        <v>0</v>
      </c>
      <c r="DV71" s="10" t="s">
        <v>732</v>
      </c>
      <c r="DW71" t="s">
        <v>1589</v>
      </c>
      <c r="DX71">
        <v>20</v>
      </c>
      <c r="DY71" t="s">
        <v>1679</v>
      </c>
      <c r="DZ71" t="s">
        <v>1670</v>
      </c>
      <c r="EA71">
        <v>1</v>
      </c>
      <c r="EB71" t="s">
        <v>1513</v>
      </c>
      <c r="EC71" s="10">
        <v>413</v>
      </c>
      <c r="ED71" s="10" t="s">
        <v>1742</v>
      </c>
      <c r="EE71" s="813">
        <f t="shared" si="19"/>
        <v>0</v>
      </c>
      <c r="EF71">
        <f>ROWS($DE$2:DE71)</f>
        <v>70</v>
      </c>
      <c r="EG71" t="str">
        <f t="shared" si="26"/>
        <v/>
      </c>
      <c r="EJ71" t="str">
        <f t="shared" si="27"/>
        <v/>
      </c>
      <c r="EM71" t="str">
        <f t="shared" si="28"/>
        <v/>
      </c>
      <c r="EP71" t="str">
        <f t="shared" si="29"/>
        <v/>
      </c>
      <c r="ES71" t="str">
        <f t="shared" si="30"/>
        <v/>
      </c>
      <c r="EV71" t="str">
        <f t="shared" si="31"/>
        <v/>
      </c>
      <c r="EY71" t="str">
        <f t="shared" si="32"/>
        <v/>
      </c>
      <c r="FB71" t="str">
        <f t="shared" si="33"/>
        <v/>
      </c>
      <c r="FE71" t="str">
        <f t="shared" si="34"/>
        <v/>
      </c>
      <c r="FH71" t="str">
        <f t="shared" si="35"/>
        <v/>
      </c>
      <c r="FK71" t="str">
        <f t="shared" si="36"/>
        <v/>
      </c>
      <c r="FN71" t="str">
        <f t="shared" si="37"/>
        <v/>
      </c>
      <c r="FQ71" t="str">
        <f t="shared" si="38"/>
        <v/>
      </c>
      <c r="FT71" t="str">
        <f t="shared" si="39"/>
        <v/>
      </c>
      <c r="FW71" t="str">
        <f t="shared" si="40"/>
        <v/>
      </c>
      <c r="FZ71" t="str">
        <f t="shared" si="41"/>
        <v/>
      </c>
      <c r="GC71" t="str">
        <f t="shared" si="42"/>
        <v/>
      </c>
      <c r="GE71" s="155"/>
      <c r="GF71" s="26" t="str">
        <f t="shared" si="45"/>
        <v>08 - 20</v>
      </c>
      <c r="GG71" s="28" t="str">
        <f t="shared" si="46"/>
        <v>8 20</v>
      </c>
      <c r="GH71" s="869">
        <v>8</v>
      </c>
      <c r="GI71" s="75">
        <v>20</v>
      </c>
      <c r="GJ71" s="874" t="s">
        <v>1726</v>
      </c>
      <c r="GK71" s="875"/>
      <c r="GL71" s="876">
        <v>1</v>
      </c>
      <c r="GM71" s="37" t="s">
        <v>1513</v>
      </c>
      <c r="GN71" s="877">
        <v>72</v>
      </c>
      <c r="GO71" s="26">
        <f t="shared" si="58"/>
        <v>0</v>
      </c>
      <c r="GQ71" s="26"/>
      <c r="GS71">
        <f>ROWS($GJ$20:GJ71)</f>
        <v>52</v>
      </c>
      <c r="GT71"/>
      <c r="GU71"/>
      <c r="HC71" s="805"/>
      <c r="HD71" s="805"/>
    </row>
    <row r="72" spans="2:212" ht="15.75" customHeight="1" x14ac:dyDescent="0.35">
      <c r="B72" s="1008" t="s">
        <v>2229</v>
      </c>
      <c r="C72" s="93" t="s">
        <v>2240</v>
      </c>
      <c r="L72" s="166">
        <v>791141</v>
      </c>
      <c r="O72" s="202"/>
      <c r="P72" s="203"/>
      <c r="Q72" s="203"/>
      <c r="R72" s="204"/>
      <c r="S72" s="201">
        <v>6.125</v>
      </c>
      <c r="T72" s="201" t="s">
        <v>739</v>
      </c>
      <c r="U72" s="201">
        <v>952071</v>
      </c>
      <c r="V72" s="171" t="s">
        <v>90</v>
      </c>
      <c r="W72" s="191">
        <v>3</v>
      </c>
      <c r="X72" s="173">
        <v>3</v>
      </c>
      <c r="Y72" s="173">
        <v>3</v>
      </c>
      <c r="Z72" s="173">
        <v>3</v>
      </c>
      <c r="AA72" s="173">
        <v>3</v>
      </c>
      <c r="AB72" s="173">
        <v>2</v>
      </c>
      <c r="AC72" s="192">
        <v>2</v>
      </c>
      <c r="AD72" s="171"/>
      <c r="AE72" s="172"/>
      <c r="AF72" s="172"/>
      <c r="AG72" s="188"/>
      <c r="AH72" s="188"/>
      <c r="AI72" s="188"/>
      <c r="AJ72" s="188"/>
      <c r="AK72" s="188"/>
      <c r="AL72" s="188"/>
      <c r="AM72" s="188"/>
      <c r="AN72" s="188"/>
      <c r="AO72" s="188"/>
      <c r="AP72" s="188"/>
      <c r="AQ72" s="188"/>
      <c r="AR72" s="188"/>
      <c r="AS72" s="188"/>
      <c r="AT72" s="188"/>
      <c r="AU72" s="188"/>
      <c r="AV72" s="188"/>
      <c r="AW72" s="188"/>
      <c r="AX72" s="188"/>
      <c r="AY72" s="188"/>
      <c r="AZ72" s="188"/>
      <c r="BA72" s="188"/>
      <c r="BB72" s="188"/>
      <c r="BC72" s="188"/>
      <c r="BD72" s="188"/>
      <c r="BF72">
        <f>ROWS($U$46:U72)</f>
        <v>27</v>
      </c>
      <c r="BG72" t="str">
        <f t="shared" si="66"/>
        <v/>
      </c>
      <c r="BH72" t="str">
        <f>IFERROR(SMALL($BG$46:$BG$3014,ROWS($BG$46:BG72)),"")</f>
        <v/>
      </c>
      <c r="BI72" s="170" t="str">
        <f>IFERROR(INDEX($O$46:$T$132,$BH72:$BH83,COLUMNS($BE$46:BE72)),"")</f>
        <v/>
      </c>
      <c r="BJ72" s="170" t="str">
        <f>IFERROR(INDEX($O$46:$T$132,$BH72:$BH83,COLUMNS($BE$46:BF72)),"")</f>
        <v/>
      </c>
      <c r="BK72" s="170" t="str">
        <f>IFERROR(INDEX($O$46:$T$132,$BH72:$BH83,COLUMNS($BE$46:BG72)),"")</f>
        <v/>
      </c>
      <c r="BL72" s="170" t="str">
        <f>IFERROR(INDEX($O$46:$T$132,$BH72:$BH83,COLUMNS($BE$46:BH72)),"")</f>
        <v/>
      </c>
      <c r="BM72" s="170" t="str">
        <f>IFERROR(INDEX($O$46:$T$132,$BH72:$BH83,COLUMNS($BE$46:BI72)),"")</f>
        <v/>
      </c>
      <c r="CX72" s="72" t="str">
        <f t="shared" si="68"/>
        <v/>
      </c>
      <c r="CY72" s="72" t="str">
        <f>IF(CY71&lt;&gt;"",IF(AND(BJ58&lt;&gt;"",BJ58&lt;&gt;0),BJ58,IF(AND('ARDT Cutter Entry'!$BP$59='ARDT Cutter Entry'!$BP$3,'ARDT Cutter Entry'!$BP$59&lt;&gt;"",'ARDT Cutter Entry'!$BP$59&lt;&gt;0,'ARDT Cutter Entry'!$BP$59&lt;&gt;CY71,'ARDT Cutter Entry'!$BP$59&lt;&gt;CY70,'ARDT Cutter Entry'!$BP$59&lt;&gt;CY69,'ARDT Cutter Entry'!$BP$59&lt;&gt;CY68,'ARDT Cutter Entry'!$BP$59&lt;&gt;CY67),'ARDT Cutter Entry'!$BP$59,IF(AND('ARDT Cutter Entry'!$BP$60='ARDT Cutter Entry'!$BP$4,'ARDT Cutter Entry'!$BP$60&lt;&gt;"",'ARDT Cutter Entry'!$BP$60&lt;&gt;0,'ARDT Cutter Entry'!$BP$60&lt;&gt;CY71,'ARDT Cutter Entry'!$BP$60&lt;&gt;CY70,'ARDT Cutter Entry'!$BP$60&lt;&gt;CY69,'ARDT Cutter Entry'!$BP$60&lt;&gt;CY68,'ARDT Cutter Entry'!$BP$60&lt;&gt;CY67),'ARDT Cutter Entry'!$BP$60,IF(AND('ARDT Cutter Entry'!$BP$61='ARDT Cutter Entry'!$BP$5,'ARDT Cutter Entry'!$BP$61&lt;&gt;"",'ARDT Cutter Entry'!$BP$61&lt;&gt;0,'ARDT Cutter Entry'!$BP$61&lt;&gt;CY71,'ARDT Cutter Entry'!$BP$61&lt;&gt;CY70,'ARDT Cutter Entry'!$BP$61&lt;&gt;CY69,'ARDT Cutter Entry'!$BP$61&lt;&gt;CY68,'ARDT Cutter Entry'!$BP$61&lt;&gt;CY67),'ARDT Cutter Entry'!$BP$61,IF(AND('ARDT Cutter Entry'!$BP$62='ARDT Cutter Entry'!$BP$6,'ARDT Cutter Entry'!$BP$62&lt;&gt;"",'ARDT Cutter Entry'!$BP$62&lt;&gt;0,'ARDT Cutter Entry'!$BP$62&lt;&gt;CY71,'ARDT Cutter Entry'!$BP$62&lt;&gt;CY70,'ARDT Cutter Entry'!$BP$62&lt;&gt;CY69,'ARDT Cutter Entry'!$BP$62&lt;&gt;CY68,'ARDT Cutter Entry'!$BP$62&lt;&gt;CY67),'ARDT Cutter Entry'!$BP$62,IF(AND('ARDT Cutter Entry'!$BP$63='ARDT Cutter Entry'!$BP$7,'ARDT Cutter Entry'!$BP$63&lt;&gt;"",'ARDT Cutter Entry'!$BP$63&lt;&gt;0,'ARDT Cutter Entry'!$BP$63&lt;&gt;CY71,'ARDT Cutter Entry'!$BP$63&lt;&gt;CY70,'ARDT Cutter Entry'!$BP$63&lt;&gt;CY69,'ARDT Cutter Entry'!$BP$63&lt;&gt;CY68,'ARDT Cutter Entry'!$BP$63&lt;&gt;CY67),'ARDT Cutter Entry'!$BP$63,"")))))),"")</f>
        <v/>
      </c>
      <c r="DB72" s="37">
        <v>930925</v>
      </c>
      <c r="DD72" s="75">
        <v>79</v>
      </c>
      <c r="DE72" s="37">
        <v>853552</v>
      </c>
      <c r="DF72" t="s">
        <v>221</v>
      </c>
      <c r="DG72" s="37" t="str">
        <f t="shared" si="60"/>
        <v>1913 CT125  0.018"</v>
      </c>
      <c r="DH72" s="37">
        <v>19</v>
      </c>
      <c r="DI72" s="37">
        <v>1913</v>
      </c>
      <c r="DJ72" s="37" t="s">
        <v>102</v>
      </c>
      <c r="DK72" s="37"/>
      <c r="DL72" s="37" t="s">
        <v>240</v>
      </c>
      <c r="DM72" s="37">
        <v>152</v>
      </c>
      <c r="DN72" s="37">
        <v>0</v>
      </c>
      <c r="DO72" s="37">
        <v>660</v>
      </c>
      <c r="DP72" s="37"/>
      <c r="DQ72" s="37"/>
      <c r="DR72" s="37" t="str">
        <f t="shared" si="61"/>
        <v xml:space="preserve">1913 CT125 </v>
      </c>
      <c r="DS72" s="37">
        <f t="shared" si="43"/>
        <v>0</v>
      </c>
      <c r="DV72" s="10" t="s">
        <v>49</v>
      </c>
      <c r="DW72" t="s">
        <v>1591</v>
      </c>
      <c r="DX72">
        <v>30</v>
      </c>
      <c r="DY72" t="s">
        <v>1674</v>
      </c>
      <c r="DZ72" t="s">
        <v>1669</v>
      </c>
      <c r="EA72">
        <v>1</v>
      </c>
      <c r="EB72" t="s">
        <v>1513</v>
      </c>
      <c r="EC72" s="10">
        <v>836</v>
      </c>
      <c r="ED72" s="10" t="s">
        <v>1737</v>
      </c>
      <c r="EE72" s="813">
        <f t="shared" si="19"/>
        <v>0</v>
      </c>
      <c r="EF72">
        <f>ROWS($DE$2:DE72)</f>
        <v>71</v>
      </c>
      <c r="EG72" t="str">
        <f t="shared" si="26"/>
        <v/>
      </c>
      <c r="EJ72" t="str">
        <f t="shared" si="27"/>
        <v/>
      </c>
      <c r="EM72" t="str">
        <f t="shared" si="28"/>
        <v/>
      </c>
      <c r="EP72" t="str">
        <f t="shared" si="29"/>
        <v/>
      </c>
      <c r="ES72" t="str">
        <f t="shared" si="30"/>
        <v/>
      </c>
      <c r="EV72" t="str">
        <f t="shared" si="31"/>
        <v/>
      </c>
      <c r="EY72" t="str">
        <f t="shared" si="32"/>
        <v/>
      </c>
      <c r="FB72" t="str">
        <f t="shared" si="33"/>
        <v/>
      </c>
      <c r="FE72" t="str">
        <f t="shared" si="34"/>
        <v/>
      </c>
      <c r="FH72" t="str">
        <f t="shared" si="35"/>
        <v/>
      </c>
      <c r="FK72" t="str">
        <f t="shared" si="36"/>
        <v/>
      </c>
      <c r="FN72" t="str">
        <f t="shared" si="37"/>
        <v/>
      </c>
      <c r="FQ72" t="str">
        <f t="shared" si="38"/>
        <v/>
      </c>
      <c r="FT72" t="str">
        <f t="shared" si="39"/>
        <v/>
      </c>
      <c r="FW72" t="str">
        <f t="shared" si="40"/>
        <v/>
      </c>
      <c r="FZ72" t="str">
        <f t="shared" si="41"/>
        <v/>
      </c>
      <c r="GC72" t="str">
        <f t="shared" si="42"/>
        <v/>
      </c>
      <c r="GE72" s="155"/>
      <c r="GF72" s="26" t="str">
        <f t="shared" si="45"/>
        <v>08 - 30</v>
      </c>
      <c r="GG72" s="28" t="str">
        <f t="shared" si="46"/>
        <v>8 30</v>
      </c>
      <c r="GH72" s="869">
        <v>8</v>
      </c>
      <c r="GI72" s="75">
        <v>30</v>
      </c>
      <c r="GJ72" s="874" t="s">
        <v>1615</v>
      </c>
      <c r="GK72" s="875"/>
      <c r="GL72" s="876">
        <v>1</v>
      </c>
      <c r="GM72" s="37" t="s">
        <v>1513</v>
      </c>
      <c r="GN72" s="877">
        <v>58</v>
      </c>
      <c r="GO72" s="26">
        <f t="shared" si="58"/>
        <v>0</v>
      </c>
      <c r="GQ72" s="26"/>
      <c r="GS72">
        <f>ROWS($GJ$20:GJ72)</f>
        <v>53</v>
      </c>
      <c r="GT72"/>
      <c r="GU72"/>
      <c r="HC72" s="805"/>
      <c r="HD72" s="805"/>
    </row>
    <row r="73" spans="2:212" ht="16.5" customHeight="1" thickBot="1" x14ac:dyDescent="0.4">
      <c r="B73" s="93" t="s">
        <v>2315</v>
      </c>
      <c r="C73" t="s">
        <v>2229</v>
      </c>
      <c r="L73" s="166">
        <v>791391</v>
      </c>
      <c r="O73" s="205"/>
      <c r="P73" s="193"/>
      <c r="Q73" s="193"/>
      <c r="R73" s="206"/>
      <c r="S73" s="201">
        <v>6.125</v>
      </c>
      <c r="T73" s="201" t="s">
        <v>739</v>
      </c>
      <c r="U73" s="201">
        <v>952071</v>
      </c>
      <c r="V73" s="171" t="s">
        <v>91</v>
      </c>
      <c r="W73" s="191">
        <v>1</v>
      </c>
      <c r="X73" s="173">
        <v>3</v>
      </c>
      <c r="Y73" s="173">
        <v>3</v>
      </c>
      <c r="Z73" s="173">
        <v>3</v>
      </c>
      <c r="AA73" s="173">
        <v>3</v>
      </c>
      <c r="AB73" s="173">
        <v>3</v>
      </c>
      <c r="AC73" s="173">
        <v>3</v>
      </c>
      <c r="AD73" s="174">
        <v>3</v>
      </c>
      <c r="AE73" s="174">
        <v>2</v>
      </c>
      <c r="AF73" s="177">
        <v>2</v>
      </c>
      <c r="AG73" s="187"/>
      <c r="AH73" s="188"/>
      <c r="AI73" s="188"/>
      <c r="AJ73" s="188"/>
      <c r="AK73" s="188"/>
      <c r="AL73" s="188"/>
      <c r="AM73" s="188"/>
      <c r="AN73" s="188"/>
      <c r="AO73" s="188"/>
      <c r="AP73" s="188"/>
      <c r="AQ73" s="188"/>
      <c r="AR73" s="188"/>
      <c r="AS73" s="188"/>
      <c r="AT73" s="188"/>
      <c r="AU73" s="188"/>
      <c r="AV73" s="188"/>
      <c r="AW73" s="188"/>
      <c r="AX73" s="188"/>
      <c r="AY73" s="188"/>
      <c r="AZ73" s="188"/>
      <c r="BA73" s="188"/>
      <c r="BB73" s="188"/>
      <c r="BC73" s="188"/>
      <c r="BD73" s="188"/>
      <c r="BF73">
        <f>ROWS($U$46:U73)</f>
        <v>28</v>
      </c>
      <c r="BG73" t="str">
        <f t="shared" si="66"/>
        <v/>
      </c>
      <c r="BH73" t="str">
        <f>IFERROR(SMALL($BG$46:$BG$3014,ROWS($BG$46:BG73)),"")</f>
        <v/>
      </c>
      <c r="BI73" s="170" t="str">
        <f>IFERROR(INDEX($O$46:$T$132,$BH73:$BH84,COLUMNS($BE$46:BE73)),"")</f>
        <v/>
      </c>
      <c r="BJ73" s="170" t="str">
        <f>IFERROR(INDEX($O$46:$T$132,$BH73:$BH84,COLUMNS($BE$46:BF73)),"")</f>
        <v/>
      </c>
      <c r="BK73" s="170" t="str">
        <f>IFERROR(INDEX($O$46:$T$132,$BH73:$BH84,COLUMNS($BE$46:BG73)),"")</f>
        <v/>
      </c>
      <c r="BL73" s="170" t="str">
        <f>IFERROR(INDEX($O$46:$T$132,$BH73:$BH84,COLUMNS($BE$46:BH73)),"")</f>
        <v/>
      </c>
      <c r="BM73" s="170" t="str">
        <f>IFERROR(INDEX($O$46:$T$132,$BH73:$BH84,COLUMNS($BE$46:BI73)),"")</f>
        <v/>
      </c>
      <c r="CX73" s="72" t="str">
        <f t="shared" si="68"/>
        <v/>
      </c>
      <c r="CY73" s="72" t="str">
        <f>IF(CY72&lt;&gt;"",IF(AND(BJ59&lt;&gt;"",BJ59&lt;&gt;0),BJ59,IF(AND('ARDT Cutter Entry'!$BP$59='ARDT Cutter Entry'!$BP$3,'ARDT Cutter Entry'!$BP$59&lt;&gt;"",'ARDT Cutter Entry'!$BP$59&lt;&gt;0,'ARDT Cutter Entry'!$BP$59&lt;&gt;CY72,'ARDT Cutter Entry'!$BP$59&lt;&gt;CY71,'ARDT Cutter Entry'!$BP$59&lt;&gt;CY70,'ARDT Cutter Entry'!$BP$59&lt;&gt;CY69,'ARDT Cutter Entry'!$BP$59&lt;&gt;CY68),'ARDT Cutter Entry'!$BP$59,IF(AND('ARDT Cutter Entry'!$BP$60='ARDT Cutter Entry'!$BP$4,'ARDT Cutter Entry'!$BP$60&lt;&gt;"",'ARDT Cutter Entry'!$BP$60&lt;&gt;0,'ARDT Cutter Entry'!$BP$60&lt;&gt;CY72,'ARDT Cutter Entry'!$BP$60&lt;&gt;CY71,'ARDT Cutter Entry'!$BP$60&lt;&gt;CY70,'ARDT Cutter Entry'!$BP$60&lt;&gt;CY69,'ARDT Cutter Entry'!$BP$60&lt;&gt;CY68),'ARDT Cutter Entry'!$BP$60,IF(AND('ARDT Cutter Entry'!$BP$61='ARDT Cutter Entry'!$BP$5,'ARDT Cutter Entry'!$BP$61&lt;&gt;"",'ARDT Cutter Entry'!$BP$61&lt;&gt;0,'ARDT Cutter Entry'!$BP$61&lt;&gt;CY72,'ARDT Cutter Entry'!$BP$61&lt;&gt;CY71,'ARDT Cutter Entry'!$BP$61&lt;&gt;CY70,'ARDT Cutter Entry'!$BP$61&lt;&gt;CY69,'ARDT Cutter Entry'!$BP$61&lt;&gt;CY68),'ARDT Cutter Entry'!$BP$61,IF(AND('ARDT Cutter Entry'!$BP$62='ARDT Cutter Entry'!$BP$6,'ARDT Cutter Entry'!$BP$62&lt;&gt;"",'ARDT Cutter Entry'!$BP$62&lt;&gt;0,'ARDT Cutter Entry'!$BP$62&lt;&gt;CY72,'ARDT Cutter Entry'!$BP$62&lt;&gt;CY71,'ARDT Cutter Entry'!$BP$62&lt;&gt;CY70,'ARDT Cutter Entry'!$BP$62&lt;&gt;CY69,'ARDT Cutter Entry'!$BP$62&lt;&gt;CY68),'ARDT Cutter Entry'!$BP$62,IF(AND('ARDT Cutter Entry'!$BP$63='ARDT Cutter Entry'!$BP$7,'ARDT Cutter Entry'!$BP$63&lt;&gt;"",'ARDT Cutter Entry'!$BP$63&lt;&gt;0,'ARDT Cutter Entry'!$BP$63&lt;&gt;CY72,'ARDT Cutter Entry'!$BP$63&lt;&gt;CY71,'ARDT Cutter Entry'!$BP$63&lt;&gt;CY70,'ARDT Cutter Entry'!$BP$63&lt;&gt;CY69,'ARDT Cutter Entry'!$BP$63&lt;&gt;CY68),'ARDT Cutter Entry'!$BP$63,"")))))),"")</f>
        <v/>
      </c>
      <c r="DB73" s="37">
        <v>932725</v>
      </c>
      <c r="DD73" s="75">
        <v>55</v>
      </c>
      <c r="DE73" s="37">
        <v>871781</v>
      </c>
      <c r="DF73" t="s">
        <v>222</v>
      </c>
      <c r="DG73" s="37" t="str">
        <f t="shared" ref="DG73:DG88" si="69">DR73 &amp; " " &amp; DL73</f>
        <v>1313 CT200  0.018"</v>
      </c>
      <c r="DH73" s="37">
        <v>13</v>
      </c>
      <c r="DI73" s="37">
        <v>1313</v>
      </c>
      <c r="DJ73" s="37" t="s">
        <v>101</v>
      </c>
      <c r="DK73" s="37"/>
      <c r="DL73" s="37" t="s">
        <v>240</v>
      </c>
      <c r="DM73" s="37">
        <v>37</v>
      </c>
      <c r="DN73" s="37">
        <v>0</v>
      </c>
      <c r="DO73" s="37">
        <v>360</v>
      </c>
      <c r="DP73" s="37"/>
      <c r="DQ73" s="37"/>
      <c r="DR73" s="37" t="str">
        <f t="shared" ref="DR73:DR88" si="70">DI73 &amp; " " &amp; DJ73 &amp; " " &amp; DK73</f>
        <v xml:space="preserve">1313 CT200 </v>
      </c>
      <c r="DS73" s="37">
        <f t="shared" si="43"/>
        <v>40.43866666666667</v>
      </c>
      <c r="DT73" s="10">
        <v>31.106666666666669</v>
      </c>
      <c r="DU73" s="10">
        <v>100</v>
      </c>
      <c r="DV73" s="10" t="s">
        <v>146</v>
      </c>
      <c r="DW73" t="s">
        <v>1589</v>
      </c>
      <c r="DX73">
        <v>10</v>
      </c>
      <c r="DY73" t="s">
        <v>1675</v>
      </c>
      <c r="DZ73" t="s">
        <v>1670</v>
      </c>
      <c r="EA73">
        <v>1</v>
      </c>
      <c r="EB73" t="s">
        <v>1513</v>
      </c>
      <c r="EC73" s="10">
        <v>345</v>
      </c>
      <c r="ED73" s="10" t="s">
        <v>1738</v>
      </c>
      <c r="EE73" s="813">
        <f t="shared" si="19"/>
        <v>0</v>
      </c>
      <c r="EF73">
        <f>ROWS($DE$2:DE73)</f>
        <v>72</v>
      </c>
      <c r="EG73" t="str">
        <f t="shared" si="26"/>
        <v/>
      </c>
      <c r="EJ73" t="str">
        <f t="shared" si="27"/>
        <v/>
      </c>
      <c r="EM73" t="str">
        <f t="shared" si="28"/>
        <v/>
      </c>
      <c r="EP73" t="str">
        <f t="shared" si="29"/>
        <v/>
      </c>
      <c r="ES73" t="str">
        <f t="shared" si="30"/>
        <v/>
      </c>
      <c r="EV73" t="str">
        <f t="shared" si="31"/>
        <v/>
      </c>
      <c r="EY73" t="str">
        <f t="shared" si="32"/>
        <v/>
      </c>
      <c r="FB73" t="str">
        <f t="shared" si="33"/>
        <v/>
      </c>
      <c r="FE73" t="str">
        <f t="shared" si="34"/>
        <v/>
      </c>
      <c r="FH73" t="str">
        <f t="shared" si="35"/>
        <v/>
      </c>
      <c r="FK73" t="str">
        <f t="shared" si="36"/>
        <v/>
      </c>
      <c r="FN73" t="str">
        <f t="shared" si="37"/>
        <v/>
      </c>
      <c r="FQ73" t="str">
        <f t="shared" si="38"/>
        <v/>
      </c>
      <c r="FT73" t="str">
        <f t="shared" si="39"/>
        <v/>
      </c>
      <c r="FW73" t="str">
        <f t="shared" si="40"/>
        <v/>
      </c>
      <c r="FZ73" t="str">
        <f t="shared" si="41"/>
        <v/>
      </c>
      <c r="GC73" t="str">
        <f t="shared" si="42"/>
        <v/>
      </c>
      <c r="GE73" s="155"/>
      <c r="GF73" s="26" t="str">
        <f t="shared" si="45"/>
        <v>08 - 40</v>
      </c>
      <c r="GG73" s="28" t="str">
        <f t="shared" si="46"/>
        <v>8 40</v>
      </c>
      <c r="GH73" s="869">
        <v>8</v>
      </c>
      <c r="GI73" s="75">
        <v>40</v>
      </c>
      <c r="GJ73" s="874" t="s">
        <v>1727</v>
      </c>
      <c r="GK73" s="875"/>
      <c r="GL73" s="876">
        <v>1</v>
      </c>
      <c r="GM73" s="37" t="s">
        <v>1513</v>
      </c>
      <c r="GN73" s="877">
        <v>72</v>
      </c>
      <c r="GO73" s="26">
        <f t="shared" si="58"/>
        <v>0</v>
      </c>
      <c r="GQ73" s="26"/>
      <c r="GS73">
        <f>ROWS($GJ$20:GJ73)</f>
        <v>54</v>
      </c>
      <c r="GT73"/>
      <c r="GU73"/>
      <c r="HC73" s="805"/>
      <c r="HD73" s="805"/>
    </row>
    <row r="74" spans="2:212" ht="15.75" customHeight="1" thickBot="1" x14ac:dyDescent="0.4">
      <c r="B74" s="93" t="s">
        <v>2335</v>
      </c>
      <c r="C74" s="93" t="s">
        <v>2315</v>
      </c>
      <c r="G74" s="624" t="s">
        <v>1434</v>
      </c>
      <c r="L74" s="166">
        <v>791578</v>
      </c>
      <c r="O74" s="207"/>
      <c r="P74" s="208"/>
      <c r="Q74" s="208"/>
      <c r="R74" s="209"/>
      <c r="S74" s="210">
        <v>6.125</v>
      </c>
      <c r="T74" s="210" t="s">
        <v>739</v>
      </c>
      <c r="U74" s="210">
        <v>952071</v>
      </c>
      <c r="V74" s="195" t="s">
        <v>92</v>
      </c>
      <c r="W74" s="191">
        <v>3</v>
      </c>
      <c r="X74" s="173">
        <v>3</v>
      </c>
      <c r="Y74" s="173">
        <v>3</v>
      </c>
      <c r="Z74" s="173">
        <v>3</v>
      </c>
      <c r="AA74" s="173">
        <v>3</v>
      </c>
      <c r="AB74" s="173">
        <v>2</v>
      </c>
      <c r="AC74" s="192">
        <v>2</v>
      </c>
      <c r="AD74" s="171"/>
      <c r="AE74" s="175"/>
      <c r="AF74" s="175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AW74" s="188"/>
      <c r="AX74" s="188"/>
      <c r="AY74" s="188"/>
      <c r="AZ74" s="188"/>
      <c r="BA74" s="188"/>
      <c r="BB74" s="188"/>
      <c r="BC74" s="188"/>
      <c r="BD74" s="188"/>
      <c r="BF74">
        <f>ROWS($U$46:U74)</f>
        <v>29</v>
      </c>
      <c r="BG74" t="str">
        <f t="shared" si="66"/>
        <v/>
      </c>
      <c r="BH74" t="str">
        <f>IFERROR(SMALL($BG$46:$BG$3014,ROWS($BG$46:BG74)),"")</f>
        <v/>
      </c>
      <c r="BI74" s="170" t="str">
        <f>IFERROR(INDEX($O$46:$T$132,$BH74:$BH85,COLUMNS($BE$46:BE74)),"")</f>
        <v/>
      </c>
      <c r="BJ74" s="170" t="str">
        <f>IFERROR(INDEX($O$46:$T$132,$BH74:$BH85,COLUMNS($BE$46:BF74)),"")</f>
        <v/>
      </c>
      <c r="BK74" s="170" t="str">
        <f>IFERROR(INDEX($O$46:$T$132,$BH74:$BH85,COLUMNS($BE$46:BG74)),"")</f>
        <v/>
      </c>
      <c r="BL74" s="170" t="str">
        <f>IFERROR(INDEX($O$46:$T$132,$BH74:$BH85,COLUMNS($BE$46:BH74)),"")</f>
        <v/>
      </c>
      <c r="BM74" s="170" t="str">
        <f>IFERROR(INDEX($O$46:$T$132,$BH74:$BH85,COLUMNS($BE$46:BI74)),"")</f>
        <v/>
      </c>
      <c r="CX74" s="72" t="str">
        <f t="shared" si="68"/>
        <v/>
      </c>
      <c r="CY74" s="72" t="str">
        <f>IF(CY73&lt;&gt;"",IF(AND(BJ60&lt;&gt;"",BJ60&lt;&gt;0),BJ60,IF(AND('ARDT Cutter Entry'!$BP$59='ARDT Cutter Entry'!$BP$3,'ARDT Cutter Entry'!$BP$59&lt;&gt;"",'ARDT Cutter Entry'!$BP$59&lt;&gt;0,'ARDT Cutter Entry'!$BP$59&lt;&gt;CY73,'ARDT Cutter Entry'!$BP$59&lt;&gt;CY72,'ARDT Cutter Entry'!$BP$59&lt;&gt;CY71,'ARDT Cutter Entry'!$BP$59&lt;&gt;CY70,'ARDT Cutter Entry'!$BP$59&lt;&gt;CY69),'ARDT Cutter Entry'!$BP$59,IF(AND('ARDT Cutter Entry'!$BP$60='ARDT Cutter Entry'!$BP$4,'ARDT Cutter Entry'!$BP$60&lt;&gt;"",'ARDT Cutter Entry'!$BP$60&lt;&gt;0,'ARDT Cutter Entry'!$BP$60&lt;&gt;CY73,'ARDT Cutter Entry'!$BP$60&lt;&gt;CY72,'ARDT Cutter Entry'!$BP$60&lt;&gt;CY71,'ARDT Cutter Entry'!$BP$60&lt;&gt;CY70,'ARDT Cutter Entry'!$BP$60&lt;&gt;CY69),'ARDT Cutter Entry'!$BP$60,IF(AND('ARDT Cutter Entry'!$BP$61='ARDT Cutter Entry'!$BP$5,'ARDT Cutter Entry'!$BP$61&lt;&gt;"",'ARDT Cutter Entry'!$BP$61&lt;&gt;0,'ARDT Cutter Entry'!$BP$61&lt;&gt;CY73,'ARDT Cutter Entry'!$BP$61&lt;&gt;CY72,'ARDT Cutter Entry'!$BP$61&lt;&gt;CY71,'ARDT Cutter Entry'!$BP$61&lt;&gt;CY70,'ARDT Cutter Entry'!$BP$61&lt;&gt;CY69),'ARDT Cutter Entry'!$BP$61,IF(AND('ARDT Cutter Entry'!$BP$62='ARDT Cutter Entry'!$BP$6,'ARDT Cutter Entry'!$BP$62&lt;&gt;"",'ARDT Cutter Entry'!$BP$62&lt;&gt;0,'ARDT Cutter Entry'!$BP$62&lt;&gt;CY73,'ARDT Cutter Entry'!$BP$62&lt;&gt;CY72,'ARDT Cutter Entry'!$BP$62&lt;&gt;CY71,'ARDT Cutter Entry'!$BP$62&lt;&gt;CY70,'ARDT Cutter Entry'!$BP$62&lt;&gt;CY69),'ARDT Cutter Entry'!$BP$62,IF(AND('ARDT Cutter Entry'!$BP$63='ARDT Cutter Entry'!$BP$7,'ARDT Cutter Entry'!$BP$63&lt;&gt;"",'ARDT Cutter Entry'!$BP$63&lt;&gt;0,'ARDT Cutter Entry'!$BP$63&lt;&gt;CY73,'ARDT Cutter Entry'!$BP$63&lt;&gt;CY72,'ARDT Cutter Entry'!$BP$63&lt;&gt;CY71,'ARDT Cutter Entry'!$BP$63&lt;&gt;CY70,'ARDT Cutter Entry'!$BP$63&lt;&gt;CY69),'ARDT Cutter Entry'!$BP$63,"")))))),"")</f>
        <v/>
      </c>
      <c r="DB74" s="37">
        <v>971055</v>
      </c>
      <c r="DD74" s="75">
        <v>44</v>
      </c>
      <c r="DE74" s="37">
        <v>882800</v>
      </c>
      <c r="DF74" t="s">
        <v>223</v>
      </c>
      <c r="DG74" s="37" t="str">
        <f t="shared" si="69"/>
        <v>0808 CT80  0.018"</v>
      </c>
      <c r="DH74" s="45" t="s">
        <v>927</v>
      </c>
      <c r="DI74" s="45" t="s">
        <v>928</v>
      </c>
      <c r="DJ74" s="37" t="s">
        <v>262</v>
      </c>
      <c r="DK74" s="37"/>
      <c r="DL74" s="37" t="s">
        <v>240</v>
      </c>
      <c r="DM74" s="37">
        <v>35</v>
      </c>
      <c r="DN74" s="37">
        <v>16</v>
      </c>
      <c r="DO74" s="37">
        <v>272</v>
      </c>
      <c r="DP74" s="37"/>
      <c r="DQ74" s="37">
        <v>50</v>
      </c>
      <c r="DR74" s="37" t="str">
        <f t="shared" si="70"/>
        <v xml:space="preserve">0808 CT80 </v>
      </c>
      <c r="DS74" s="37">
        <f t="shared" si="43"/>
        <v>0</v>
      </c>
      <c r="DV74" s="10" t="s">
        <v>146</v>
      </c>
      <c r="DW74" t="s">
        <v>1587</v>
      </c>
      <c r="DX74">
        <v>10</v>
      </c>
      <c r="DY74" t="s">
        <v>1685</v>
      </c>
      <c r="DZ74" t="s">
        <v>1672</v>
      </c>
      <c r="EA74">
        <v>1</v>
      </c>
      <c r="EB74" t="s">
        <v>1513</v>
      </c>
      <c r="EC74" s="10">
        <v>196</v>
      </c>
      <c r="ED74" s="10" t="s">
        <v>1748</v>
      </c>
      <c r="EE74" s="813">
        <f t="shared" ref="EE74:EE137" si="71">SUMIF($G$12:$G$21,$DE74,$E$12:$E$21)</f>
        <v>0</v>
      </c>
      <c r="EF74">
        <f>ROWS($DE$2:DE74)</f>
        <v>73</v>
      </c>
      <c r="EG74" t="str">
        <f t="shared" si="26"/>
        <v/>
      </c>
      <c r="EJ74" t="str">
        <f t="shared" si="27"/>
        <v/>
      </c>
      <c r="EM74" t="str">
        <f t="shared" si="28"/>
        <v/>
      </c>
      <c r="EP74" t="str">
        <f t="shared" si="29"/>
        <v/>
      </c>
      <c r="ES74" t="str">
        <f t="shared" si="30"/>
        <v/>
      </c>
      <c r="EV74" t="str">
        <f t="shared" si="31"/>
        <v/>
      </c>
      <c r="EY74" t="str">
        <f t="shared" si="32"/>
        <v/>
      </c>
      <c r="FB74" t="str">
        <f t="shared" si="33"/>
        <v/>
      </c>
      <c r="FE74" t="str">
        <f t="shared" si="34"/>
        <v/>
      </c>
      <c r="FH74" t="str">
        <f t="shared" si="35"/>
        <v/>
      </c>
      <c r="FK74" t="str">
        <f t="shared" si="36"/>
        <v/>
      </c>
      <c r="FN74" t="str">
        <f t="shared" si="37"/>
        <v/>
      </c>
      <c r="FQ74" t="str">
        <f t="shared" si="38"/>
        <v/>
      </c>
      <c r="FT74" t="str">
        <f t="shared" si="39"/>
        <v/>
      </c>
      <c r="FW74" t="str">
        <f t="shared" si="40"/>
        <v/>
      </c>
      <c r="FZ74" t="str">
        <f t="shared" si="41"/>
        <v/>
      </c>
      <c r="GC74" t="str">
        <f t="shared" si="42"/>
        <v/>
      </c>
      <c r="GE74" s="155"/>
      <c r="GF74" s="26" t="str">
        <f t="shared" si="45"/>
        <v>09 - 10</v>
      </c>
      <c r="GG74" s="28" t="str">
        <f t="shared" si="46"/>
        <v>9 10</v>
      </c>
      <c r="GH74" s="869">
        <v>9</v>
      </c>
      <c r="GI74" s="75">
        <v>10</v>
      </c>
      <c r="GJ74" s="874" t="s">
        <v>1617</v>
      </c>
      <c r="GK74" s="875"/>
      <c r="GL74" s="876">
        <v>1</v>
      </c>
      <c r="GM74" s="37" t="s">
        <v>1612</v>
      </c>
      <c r="GN74" s="877">
        <v>1</v>
      </c>
      <c r="GO74" s="26">
        <f t="shared" si="58"/>
        <v>0</v>
      </c>
      <c r="GQ74" s="26"/>
      <c r="GS74">
        <f>ROWS($GJ$20:GJ74)</f>
        <v>55</v>
      </c>
      <c r="GT74"/>
      <c r="GU74"/>
      <c r="HC74" s="805"/>
      <c r="HD74" s="805"/>
    </row>
    <row r="75" spans="2:212" ht="15.75" customHeight="1" x14ac:dyDescent="0.35">
      <c r="B75" s="93" t="s">
        <v>2240</v>
      </c>
      <c r="C75" s="93" t="s">
        <v>2335</v>
      </c>
      <c r="G75" s="72" t="s">
        <v>1435</v>
      </c>
      <c r="H75" s="607"/>
      <c r="I75" s="607"/>
      <c r="J75" s="607"/>
      <c r="L75" s="176">
        <v>791867</v>
      </c>
      <c r="O75" s="211">
        <v>1</v>
      </c>
      <c r="P75" s="212">
        <v>717749</v>
      </c>
      <c r="Q75" s="212">
        <v>3</v>
      </c>
      <c r="R75" s="212"/>
      <c r="S75" s="182">
        <v>6.125</v>
      </c>
      <c r="T75" s="198" t="s">
        <v>73</v>
      </c>
      <c r="U75" s="198">
        <v>952636</v>
      </c>
      <c r="V75" s="183" t="s">
        <v>87</v>
      </c>
      <c r="W75" s="184">
        <v>1</v>
      </c>
      <c r="X75" s="185">
        <v>4</v>
      </c>
      <c r="Y75" s="185">
        <v>4</v>
      </c>
      <c r="Z75" s="185">
        <v>4</v>
      </c>
      <c r="AA75" s="185">
        <v>4</v>
      </c>
      <c r="AB75" s="186">
        <v>4</v>
      </c>
      <c r="AC75" s="186">
        <v>2</v>
      </c>
      <c r="AD75" s="177">
        <v>3</v>
      </c>
      <c r="AE75" s="177"/>
      <c r="AF75" s="188"/>
      <c r="AG75" s="188"/>
      <c r="AH75" s="188"/>
      <c r="AI75" s="188"/>
      <c r="AJ75" s="188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88"/>
      <c r="AV75" s="188"/>
      <c r="AW75" s="188"/>
      <c r="AX75" s="188"/>
      <c r="AY75" s="188"/>
      <c r="AZ75" s="188"/>
      <c r="BA75" s="188"/>
      <c r="BB75" s="188"/>
      <c r="BC75" s="188"/>
      <c r="BD75" s="188"/>
      <c r="BF75">
        <f>ROWS($U$46:U75)</f>
        <v>30</v>
      </c>
      <c r="BG75" t="str">
        <f t="shared" si="66"/>
        <v/>
      </c>
      <c r="BH75" t="str">
        <f>IFERROR(SMALL($BG$46:$BG$3014,ROWS($BG$46:BG75)),"")</f>
        <v/>
      </c>
      <c r="BI75" s="170" t="str">
        <f>IFERROR(INDEX($O$46:$T$132,$BH75:$BH86,COLUMNS($BE$46:BE75)),"")</f>
        <v/>
      </c>
      <c r="BJ75" s="170" t="str">
        <f>IFERROR(INDEX($O$46:$T$132,$BH75:$BH86,COLUMNS($BE$46:BF75)),"")</f>
        <v/>
      </c>
      <c r="BK75" s="170" t="str">
        <f>IFERROR(INDEX($O$46:$T$132,$BH75:$BH86,COLUMNS($BE$46:BG75)),"")</f>
        <v/>
      </c>
      <c r="BL75" s="170" t="str">
        <f>IFERROR(INDEX($O$46:$T$132,$BH75:$BH86,COLUMNS($BE$46:BH75)),"")</f>
        <v/>
      </c>
      <c r="BM75" s="170" t="str">
        <f>IFERROR(INDEX($O$46:$T$132,$BH75:$BH86,COLUMNS($BE$46:BI75)),"")</f>
        <v/>
      </c>
      <c r="CX75" s="72" t="str">
        <f t="shared" si="68"/>
        <v/>
      </c>
      <c r="CY75" s="72" t="str">
        <f>IF(CY74&lt;&gt;"",IF(AND(BJ61&lt;&gt;"",BJ61&lt;&gt;0),BJ61,IF(AND('ARDT Cutter Entry'!$BP$59='ARDT Cutter Entry'!$BP$3,'ARDT Cutter Entry'!$BP$59&lt;&gt;"",'ARDT Cutter Entry'!$BP$59&lt;&gt;0,'ARDT Cutter Entry'!$BP$59&lt;&gt;CY74,'ARDT Cutter Entry'!$BP$59&lt;&gt;CY73,'ARDT Cutter Entry'!$BP$59&lt;&gt;CY72,'ARDT Cutter Entry'!$BP$59&lt;&gt;CY71,'ARDT Cutter Entry'!$BP$59&lt;&gt;CY70),'ARDT Cutter Entry'!$BP$59,IF(AND('ARDT Cutter Entry'!$BP$60='ARDT Cutter Entry'!$BP$4,'ARDT Cutter Entry'!$BP$60&lt;&gt;"",'ARDT Cutter Entry'!$BP$60&lt;&gt;0,'ARDT Cutter Entry'!$BP$60&lt;&gt;CY74,'ARDT Cutter Entry'!$BP$60&lt;&gt;CY73,'ARDT Cutter Entry'!$BP$60&lt;&gt;CY72,'ARDT Cutter Entry'!$BP$60&lt;&gt;CY71,'ARDT Cutter Entry'!$BP$60&lt;&gt;CY70),'ARDT Cutter Entry'!$BP$60,IF(AND('ARDT Cutter Entry'!$BP$61='ARDT Cutter Entry'!$BP$5,'ARDT Cutter Entry'!$BP$61&lt;&gt;"",'ARDT Cutter Entry'!$BP$61&lt;&gt;0,'ARDT Cutter Entry'!$BP$61&lt;&gt;CY74,'ARDT Cutter Entry'!$BP$61&lt;&gt;CY73,'ARDT Cutter Entry'!$BP$61&lt;&gt;CY72,'ARDT Cutter Entry'!$BP$61&lt;&gt;CY71,'ARDT Cutter Entry'!$BP$61&lt;&gt;CY70),'ARDT Cutter Entry'!$BP$61,IF(AND('ARDT Cutter Entry'!$BP$62='ARDT Cutter Entry'!$BP$6,'ARDT Cutter Entry'!$BP$62&lt;&gt;"",'ARDT Cutter Entry'!$BP$62&lt;&gt;0,'ARDT Cutter Entry'!$BP$62&lt;&gt;CY74,'ARDT Cutter Entry'!$BP$62&lt;&gt;CY73,'ARDT Cutter Entry'!$BP$62&lt;&gt;CY72,'ARDT Cutter Entry'!$BP$62&lt;&gt;CY71,'ARDT Cutter Entry'!$BP$62&lt;&gt;CY70),'ARDT Cutter Entry'!$BP$62,IF(AND('ARDT Cutter Entry'!$BP$63='ARDT Cutter Entry'!$BP$7,'ARDT Cutter Entry'!$BP$63&lt;&gt;"",'ARDT Cutter Entry'!$BP$63&lt;&gt;0,'ARDT Cutter Entry'!$BP$63&lt;&gt;CY74,'ARDT Cutter Entry'!$BP$63&lt;&gt;CY73,'ARDT Cutter Entry'!$BP$63&lt;&gt;CY72,'ARDT Cutter Entry'!$BP$63&lt;&gt;CY71,'ARDT Cutter Entry'!$BP$63&lt;&gt;CY70),'ARDT Cutter Entry'!$BP$63,"")))))),"")</f>
        <v/>
      </c>
      <c r="DB75" s="37">
        <v>983094</v>
      </c>
      <c r="DD75" s="75">
        <v>61</v>
      </c>
      <c r="DE75" s="37">
        <v>886466</v>
      </c>
      <c r="DF75" t="s">
        <v>224</v>
      </c>
      <c r="DG75" s="37" t="str">
        <f t="shared" si="69"/>
        <v>1308 CT109  0.018"</v>
      </c>
      <c r="DH75" s="37">
        <v>13</v>
      </c>
      <c r="DI75" s="37">
        <v>1308</v>
      </c>
      <c r="DJ75" s="37" t="s">
        <v>247</v>
      </c>
      <c r="DK75" s="37"/>
      <c r="DL75" s="37" t="s">
        <v>240</v>
      </c>
      <c r="DM75" s="37">
        <v>21</v>
      </c>
      <c r="DN75" s="37">
        <v>23</v>
      </c>
      <c r="DO75" s="37">
        <v>360</v>
      </c>
      <c r="DP75" s="37"/>
      <c r="DQ75" s="37"/>
      <c r="DR75" s="37" t="str">
        <f t="shared" si="70"/>
        <v xml:space="preserve">1308 CT109 </v>
      </c>
      <c r="DS75" s="37">
        <f t="shared" si="43"/>
        <v>0</v>
      </c>
      <c r="DV75" s="10" t="s">
        <v>49</v>
      </c>
      <c r="DW75" t="s">
        <v>1589</v>
      </c>
      <c r="DX75">
        <v>30</v>
      </c>
      <c r="DY75" t="s">
        <v>1677</v>
      </c>
      <c r="DZ75" t="s">
        <v>1670</v>
      </c>
      <c r="EA75">
        <v>1</v>
      </c>
      <c r="EB75" t="s">
        <v>1513</v>
      </c>
      <c r="EC75" s="10">
        <v>480</v>
      </c>
      <c r="ED75" s="10" t="s">
        <v>1740</v>
      </c>
      <c r="EE75" s="813">
        <f t="shared" si="71"/>
        <v>0</v>
      </c>
      <c r="EF75">
        <f>ROWS($DE$2:DE75)</f>
        <v>74</v>
      </c>
      <c r="EG75" t="str">
        <f t="shared" si="26"/>
        <v/>
      </c>
      <c r="EJ75" t="str">
        <f t="shared" si="27"/>
        <v/>
      </c>
      <c r="EM75" t="str">
        <f t="shared" si="28"/>
        <v/>
      </c>
      <c r="EP75" t="str">
        <f t="shared" si="29"/>
        <v/>
      </c>
      <c r="ES75" t="str">
        <f t="shared" si="30"/>
        <v/>
      </c>
      <c r="EV75" t="str">
        <f t="shared" si="31"/>
        <v/>
      </c>
      <c r="EY75" t="str">
        <f t="shared" si="32"/>
        <v/>
      </c>
      <c r="FB75" t="str">
        <f t="shared" si="33"/>
        <v/>
      </c>
      <c r="FE75" t="str">
        <f t="shared" si="34"/>
        <v/>
      </c>
      <c r="FH75" t="str">
        <f t="shared" si="35"/>
        <v/>
      </c>
      <c r="FK75" t="str">
        <f t="shared" si="36"/>
        <v/>
      </c>
      <c r="FN75" t="str">
        <f t="shared" si="37"/>
        <v/>
      </c>
      <c r="FQ75" t="str">
        <f t="shared" si="38"/>
        <v/>
      </c>
      <c r="FT75" t="str">
        <f t="shared" si="39"/>
        <v/>
      </c>
      <c r="FW75" t="str">
        <f t="shared" si="40"/>
        <v/>
      </c>
      <c r="FZ75" t="str">
        <f t="shared" si="41"/>
        <v/>
      </c>
      <c r="GC75" t="str">
        <f t="shared" si="42"/>
        <v/>
      </c>
      <c r="GE75" s="155"/>
      <c r="GF75" s="26" t="str">
        <f t="shared" si="45"/>
        <v>010 - 10</v>
      </c>
      <c r="GG75" s="28" t="str">
        <f t="shared" si="46"/>
        <v>10 10</v>
      </c>
      <c r="GH75" s="869">
        <v>10</v>
      </c>
      <c r="GI75" s="75">
        <v>10</v>
      </c>
      <c r="GJ75" s="874" t="s">
        <v>1728</v>
      </c>
      <c r="GK75" s="875"/>
      <c r="GL75" s="876">
        <v>1</v>
      </c>
      <c r="GM75" s="37" t="s">
        <v>1513</v>
      </c>
      <c r="GN75" s="877">
        <v>800</v>
      </c>
      <c r="GO75" s="26">
        <f t="shared" si="58"/>
        <v>0</v>
      </c>
      <c r="GQ75" s="26"/>
      <c r="GS75">
        <f>ROWS($GJ$20:GJ75)</f>
        <v>56</v>
      </c>
      <c r="GT75"/>
      <c r="GU75"/>
      <c r="HC75" s="805"/>
      <c r="HD75" s="805"/>
    </row>
    <row r="76" spans="2:212" ht="15.75" customHeight="1" x14ac:dyDescent="0.35">
      <c r="B76" s="93" t="s">
        <v>2232</v>
      </c>
      <c r="C76" s="93" t="s">
        <v>2230</v>
      </c>
      <c r="G76" s="72" t="s">
        <v>1436</v>
      </c>
      <c r="L76" s="176">
        <v>792414</v>
      </c>
      <c r="O76" s="197">
        <v>2</v>
      </c>
      <c r="P76" s="190">
        <v>418525</v>
      </c>
      <c r="Q76" s="190">
        <v>5</v>
      </c>
      <c r="R76" s="190"/>
      <c r="S76" s="190">
        <v>6.125</v>
      </c>
      <c r="T76" s="201" t="s">
        <v>73</v>
      </c>
      <c r="U76" s="201">
        <v>952636</v>
      </c>
      <c r="V76" s="171" t="s">
        <v>88</v>
      </c>
      <c r="W76" s="191">
        <v>4</v>
      </c>
      <c r="X76" s="173">
        <v>4</v>
      </c>
      <c r="Y76" s="173">
        <v>4</v>
      </c>
      <c r="Z76" s="173">
        <v>2</v>
      </c>
      <c r="AA76" s="192">
        <v>3</v>
      </c>
      <c r="AB76" s="171"/>
      <c r="AC76" s="172"/>
      <c r="AD76" s="175"/>
      <c r="AE76" s="65"/>
      <c r="AF76" s="188"/>
      <c r="AG76" s="188"/>
      <c r="AH76" s="188"/>
      <c r="AI76" s="188"/>
      <c r="AJ76" s="188"/>
      <c r="AK76" s="188"/>
      <c r="AL76" s="188"/>
      <c r="AM76" s="188"/>
      <c r="AN76" s="188"/>
      <c r="AO76" s="188"/>
      <c r="AP76" s="188"/>
      <c r="AQ76" s="188"/>
      <c r="AR76" s="188"/>
      <c r="AS76" s="188"/>
      <c r="AT76" s="188"/>
      <c r="AU76" s="188"/>
      <c r="AV76" s="188"/>
      <c r="AW76" s="188"/>
      <c r="AX76" s="188"/>
      <c r="AY76" s="188"/>
      <c r="AZ76" s="188"/>
      <c r="BA76" s="188"/>
      <c r="BB76" s="188"/>
      <c r="BC76" s="188"/>
      <c r="BD76" s="188"/>
      <c r="BF76">
        <f>ROWS($U$46:U76)</f>
        <v>31</v>
      </c>
      <c r="BG76" t="str">
        <f t="shared" si="66"/>
        <v/>
      </c>
      <c r="BH76" t="str">
        <f>IFERROR(SMALL($BG$46:$BG$3014,ROWS($BG$46:BG76)),"")</f>
        <v/>
      </c>
      <c r="BI76" s="170" t="str">
        <f>IFERROR(INDEX($O$46:$T$132,$BH76:$BH87,COLUMNS($BE$46:BE76)),"")</f>
        <v/>
      </c>
      <c r="BJ76" s="170" t="str">
        <f>IFERROR(INDEX($O$46:$T$132,$BH76:$BH87,COLUMNS($BE$46:BF76)),"")</f>
        <v/>
      </c>
      <c r="BK76" s="170" t="str">
        <f>IFERROR(INDEX($O$46:$T$132,$BH76:$BH87,COLUMNS($BE$46:BG76)),"")</f>
        <v/>
      </c>
      <c r="BL76" s="170" t="str">
        <f>IFERROR(INDEX($O$46:$T$132,$BH76:$BH87,COLUMNS($BE$46:BH76)),"")</f>
        <v/>
      </c>
      <c r="BM76" s="170" t="str">
        <f>IFERROR(INDEX($O$46:$T$132,$BH76:$BH87,COLUMNS($BE$46:BI76)),"")</f>
        <v/>
      </c>
      <c r="CX76" s="72" t="str">
        <f t="shared" si="68"/>
        <v/>
      </c>
      <c r="CY76" s="72" t="str">
        <f>IF(CY75&lt;&gt;"",IF(AND(BJ62&lt;&gt;"",BJ62&lt;&gt;0),BJ62,IF(AND('ARDT Cutter Entry'!$BP$59='ARDT Cutter Entry'!$BP$3,'ARDT Cutter Entry'!$BP$59&lt;&gt;"",'ARDT Cutter Entry'!$BP$59&lt;&gt;0,'ARDT Cutter Entry'!$BP$59&lt;&gt;CY75,'ARDT Cutter Entry'!$BP$59&lt;&gt;CY74,'ARDT Cutter Entry'!$BP$59&lt;&gt;CY73,'ARDT Cutter Entry'!$BP$59&lt;&gt;CY72,'ARDT Cutter Entry'!$BP$59&lt;&gt;CY71),'ARDT Cutter Entry'!$BP$59,IF(AND('ARDT Cutter Entry'!$BP$60='ARDT Cutter Entry'!$BP$4,'ARDT Cutter Entry'!$BP$60&lt;&gt;"",'ARDT Cutter Entry'!$BP$60&lt;&gt;0,'ARDT Cutter Entry'!$BP$60&lt;&gt;CY75,'ARDT Cutter Entry'!$BP$60&lt;&gt;CY74,'ARDT Cutter Entry'!$BP$60&lt;&gt;CY73,'ARDT Cutter Entry'!$BP$60&lt;&gt;CY72,'ARDT Cutter Entry'!$BP$60&lt;&gt;CY71),'ARDT Cutter Entry'!$BP$60,IF(AND('ARDT Cutter Entry'!$BP$61='ARDT Cutter Entry'!$BP$5,'ARDT Cutter Entry'!$BP$61&lt;&gt;"",'ARDT Cutter Entry'!$BP$61&lt;&gt;0,'ARDT Cutter Entry'!$BP$61&lt;&gt;CY75,'ARDT Cutter Entry'!$BP$61&lt;&gt;CY74,'ARDT Cutter Entry'!$BP$61&lt;&gt;CY73,'ARDT Cutter Entry'!$BP$61&lt;&gt;CY72,'ARDT Cutter Entry'!$BP$61&lt;&gt;CY71),'ARDT Cutter Entry'!$BP$61,IF(AND('ARDT Cutter Entry'!$BP$62='ARDT Cutter Entry'!$BP$6,'ARDT Cutter Entry'!$BP$62&lt;&gt;"",'ARDT Cutter Entry'!$BP$62&lt;&gt;0,'ARDT Cutter Entry'!$BP$62&lt;&gt;CY75,'ARDT Cutter Entry'!$BP$62&lt;&gt;CY74,'ARDT Cutter Entry'!$BP$62&lt;&gt;CY73,'ARDT Cutter Entry'!$BP$62&lt;&gt;CY72,'ARDT Cutter Entry'!$BP$62&lt;&gt;CY71),'ARDT Cutter Entry'!$BP$62,IF(AND('ARDT Cutter Entry'!$BP$63='ARDT Cutter Entry'!$BP$7,'ARDT Cutter Entry'!$BP$63&lt;&gt;"",'ARDT Cutter Entry'!$BP$63&lt;&gt;0,'ARDT Cutter Entry'!$BP$63&lt;&gt;CY75,'ARDT Cutter Entry'!$BP$63&lt;&gt;CY74,'ARDT Cutter Entry'!$BP$63&lt;&gt;CY73,'ARDT Cutter Entry'!$BP$63&lt;&gt;CY72,'ARDT Cutter Entry'!$BP$63&lt;&gt;CY71),'ARDT Cutter Entry'!$BP$63,"")))))),"")</f>
        <v/>
      </c>
      <c r="DB76" s="37">
        <v>983096</v>
      </c>
      <c r="DD76" s="75">
        <v>62</v>
      </c>
      <c r="DE76" s="37">
        <v>887028</v>
      </c>
      <c r="DF76" t="s">
        <v>225</v>
      </c>
      <c r="DG76" s="37" t="str">
        <f t="shared" si="69"/>
        <v>1313 CT109  0.018"</v>
      </c>
      <c r="DH76" s="37">
        <v>13</v>
      </c>
      <c r="DI76" s="37">
        <v>1313</v>
      </c>
      <c r="DJ76" s="37" t="s">
        <v>247</v>
      </c>
      <c r="DK76" s="37"/>
      <c r="DL76" s="37" t="s">
        <v>240</v>
      </c>
      <c r="DM76" s="37">
        <v>68</v>
      </c>
      <c r="DN76" s="37">
        <v>14</v>
      </c>
      <c r="DO76" s="37">
        <v>360</v>
      </c>
      <c r="DP76" s="37"/>
      <c r="DQ76" s="37"/>
      <c r="DR76" s="37" t="str">
        <f t="shared" si="70"/>
        <v xml:space="preserve">1313 CT109 </v>
      </c>
      <c r="DS76" s="37">
        <f t="shared" si="43"/>
        <v>0</v>
      </c>
      <c r="DV76" s="10" t="s">
        <v>49</v>
      </c>
      <c r="DW76" t="s">
        <v>1589</v>
      </c>
      <c r="DX76">
        <v>30</v>
      </c>
      <c r="DY76" t="s">
        <v>1677</v>
      </c>
      <c r="DZ76" t="s">
        <v>1670</v>
      </c>
      <c r="EA76">
        <v>1</v>
      </c>
      <c r="EB76" t="s">
        <v>1513</v>
      </c>
      <c r="EC76" s="10">
        <v>480</v>
      </c>
      <c r="ED76" s="10" t="s">
        <v>1740</v>
      </c>
      <c r="EE76" s="813">
        <f t="shared" si="71"/>
        <v>0</v>
      </c>
      <c r="EF76">
        <f>ROWS($DE$2:DE76)</f>
        <v>75</v>
      </c>
      <c r="EG76" t="str">
        <f t="shared" ref="EG76:EG139" si="72">IF($CY$60&lt;&gt;0,IF($CY$60=DE76,EF76,""),"")</f>
        <v/>
      </c>
      <c r="EJ76" t="str">
        <f t="shared" ref="EJ76:EJ139" si="73">IF($CY$61&lt;&gt;0,IF($CY$61=DE76,EF76,""),"")</f>
        <v/>
      </c>
      <c r="EM76" t="str">
        <f t="shared" ref="EM76:EM139" si="74">IF($CY$62&lt;&gt;0,IF($CY$62=DE76,EF76,""),"")</f>
        <v/>
      </c>
      <c r="EP76" t="str">
        <f t="shared" ref="EP76:EP139" si="75">IF($CY$63&lt;&gt;0,IF($CY$63=DE76,EF76,""),"")</f>
        <v/>
      </c>
      <c r="ES76" t="str">
        <f t="shared" ref="ES76:ES139" si="76">IF($CY$64&lt;&gt;0,IF($CY$64=DE76,EF76,""),"")</f>
        <v/>
      </c>
      <c r="EV76" t="str">
        <f t="shared" ref="EV76:EV139" si="77">IF($CY$65&lt;&gt;0,IF($CY$65=DE76,EF76,""),"")</f>
        <v/>
      </c>
      <c r="EY76" t="str">
        <f t="shared" ref="EY76:EY139" si="78">IF($CY$66&lt;&gt;0,IF($CY$66=DE76,EF76,""),"")</f>
        <v/>
      </c>
      <c r="FB76" t="str">
        <f t="shared" ref="FB76:FB139" si="79">IF($CY$67&lt;&gt;0,IF($CY$67=DE76,EF76,""),"")</f>
        <v/>
      </c>
      <c r="FE76" t="str">
        <f t="shared" ref="FE76:FE139" si="80">IF($CY$68&lt;&gt;0,IF($CY$68=DE76,EF76,""),"")</f>
        <v/>
      </c>
      <c r="FH76" t="str">
        <f t="shared" ref="FH76:FH139" si="81">IF($CY$69&lt;&gt;0,IF($CY$69=DE76,EF76,""),"")</f>
        <v/>
      </c>
      <c r="FK76" t="str">
        <f t="shared" ref="FK76:FK139" si="82">IF($CY$70&lt;&gt;0, IF($CY$70=DE76, EF76, ""), "")</f>
        <v/>
      </c>
      <c r="FN76" t="str">
        <f t="shared" ref="FN76:FN139" si="83">IF($CY$71&lt;&gt;0, IF($CY$71=DE76, EF76, ""), "")</f>
        <v/>
      </c>
      <c r="FQ76" t="str">
        <f t="shared" ref="FQ76:FQ139" si="84">IF($CY$72&lt;&gt;0, IF($CY$72=DE76, EF76, ""), "")</f>
        <v/>
      </c>
      <c r="FT76" t="str">
        <f t="shared" ref="FT76:FT139" si="85">IF($CY$73&lt;&gt;0, IF($CY$73=DE76, EF76, ""), "")</f>
        <v/>
      </c>
      <c r="FW76" t="str">
        <f t="shared" ref="FW76:FW139" si="86">IF($CY$74&lt;&gt;0, IF($CY$74=DE76, EF76, ""), "")</f>
        <v/>
      </c>
      <c r="FZ76" t="str">
        <f t="shared" ref="FZ76:FZ139" si="87">IF($CY$75&lt;&gt;0, IF($CY$75=DE76, EF76, ""), "")</f>
        <v/>
      </c>
      <c r="GC76" t="str">
        <f t="shared" ref="GC76:GC139" si="88">IF($CY$76&lt;&gt;0, IF($CY$76=DE76, EF76, ""), "")</f>
        <v/>
      </c>
      <c r="GE76" s="155"/>
      <c r="GF76" s="26" t="str">
        <f t="shared" si="45"/>
        <v>010 - 20</v>
      </c>
      <c r="GG76" s="28" t="str">
        <f t="shared" si="46"/>
        <v>10 20</v>
      </c>
      <c r="GH76" s="869">
        <v>10</v>
      </c>
      <c r="GI76" s="75">
        <v>20</v>
      </c>
      <c r="GJ76" s="874" t="s">
        <v>1729</v>
      </c>
      <c r="GK76" s="875" t="s">
        <v>1730</v>
      </c>
      <c r="GL76" s="876">
        <v>1</v>
      </c>
      <c r="GM76" s="37" t="s">
        <v>1513</v>
      </c>
      <c r="GN76" s="877">
        <v>5000</v>
      </c>
      <c r="GO76" s="26">
        <f t="shared" si="58"/>
        <v>0</v>
      </c>
      <c r="GQ76" s="26"/>
      <c r="GS76">
        <f>ROWS($GJ$20:GJ76)</f>
        <v>57</v>
      </c>
      <c r="GT76"/>
      <c r="GU76"/>
      <c r="HC76" s="805"/>
      <c r="HD76" s="805"/>
    </row>
    <row r="77" spans="2:212" ht="15.75" customHeight="1" x14ac:dyDescent="0.35">
      <c r="B77" s="93" t="s">
        <v>2231</v>
      </c>
      <c r="C77" s="93" t="s">
        <v>2235</v>
      </c>
      <c r="G77" s="72" t="s">
        <v>1440</v>
      </c>
      <c r="L77" s="176">
        <v>792657</v>
      </c>
      <c r="O77" s="197">
        <v>3</v>
      </c>
      <c r="P77" s="190">
        <v>703670</v>
      </c>
      <c r="Q77" s="190">
        <v>5</v>
      </c>
      <c r="R77" s="190"/>
      <c r="S77" s="190">
        <v>6.125</v>
      </c>
      <c r="T77" s="201" t="s">
        <v>73</v>
      </c>
      <c r="U77" s="201">
        <v>952636</v>
      </c>
      <c r="V77" s="171" t="s">
        <v>89</v>
      </c>
      <c r="W77" s="191">
        <v>1</v>
      </c>
      <c r="X77" s="173">
        <v>4</v>
      </c>
      <c r="Y77" s="173">
        <v>4</v>
      </c>
      <c r="Z77" s="173">
        <v>4</v>
      </c>
      <c r="AA77" s="173">
        <v>4</v>
      </c>
      <c r="AB77" s="173">
        <v>2</v>
      </c>
      <c r="AC77" s="192">
        <v>3</v>
      </c>
      <c r="AD77" s="192"/>
      <c r="AE77" s="65"/>
      <c r="AF77" s="188"/>
      <c r="AG77" s="188"/>
      <c r="AH77" s="188"/>
      <c r="AI77" s="188"/>
      <c r="AJ77" s="188"/>
      <c r="AK77" s="188"/>
      <c r="AL77" s="188"/>
      <c r="AM77" s="188"/>
      <c r="AN77" s="188"/>
      <c r="AO77" s="188"/>
      <c r="AP77" s="188"/>
      <c r="AQ77" s="188"/>
      <c r="AR77" s="188"/>
      <c r="AS77" s="188"/>
      <c r="AT77" s="188"/>
      <c r="AU77" s="188"/>
      <c r="AV77" s="188"/>
      <c r="AW77" s="188"/>
      <c r="AX77" s="188"/>
      <c r="AY77" s="188"/>
      <c r="AZ77" s="188"/>
      <c r="BA77" s="188"/>
      <c r="BB77" s="188"/>
      <c r="BC77" s="188"/>
      <c r="BD77" s="188"/>
      <c r="BF77">
        <f>ROWS($U$46:U77)</f>
        <v>32</v>
      </c>
      <c r="BG77" t="str">
        <f t="shared" si="66"/>
        <v/>
      </c>
      <c r="BH77" t="str">
        <f>IFERROR(SMALL($BG$46:$BG$3014,ROWS($BG$46:BG77)),"")</f>
        <v/>
      </c>
      <c r="BI77" s="170" t="str">
        <f>IFERROR(INDEX($O$46:$T$132,$BH77:$BH88,COLUMNS($BE$46:BE77)),"")</f>
        <v/>
      </c>
      <c r="BJ77" s="170" t="str">
        <f>IFERROR(INDEX($O$46:$T$132,$BH77:$BH88,COLUMNS($BE$46:BF77)),"")</f>
        <v/>
      </c>
      <c r="BK77" s="170" t="str">
        <f>IFERROR(INDEX($O$46:$T$132,$BH77:$BH88,COLUMNS($BE$46:BG77)),"")</f>
        <v/>
      </c>
      <c r="BL77" s="170" t="str">
        <f>IFERROR(INDEX($O$46:$T$132,$BH77:$BH88,COLUMNS($BE$46:BH77)),"")</f>
        <v/>
      </c>
      <c r="BM77" s="170" t="str">
        <f>IFERROR(INDEX($O$46:$T$132,$BH77:$BH88,COLUMNS($BE$46:BI77)),"")</f>
        <v/>
      </c>
      <c r="CX77" s="72" t="str">
        <f t="shared" si="68"/>
        <v/>
      </c>
      <c r="CY77" s="72" t="str">
        <f>IF(CY76&lt;&gt;"",IF(AND(BJ63&lt;&gt;"",BJ63&lt;&gt;0),BJ63,IF(AND('ARDT Cutter Entry'!$BP$59='ARDT Cutter Entry'!$BP$3,'ARDT Cutter Entry'!$BP$59&lt;&gt;"",'ARDT Cutter Entry'!$BP$59&lt;&gt;0,'ARDT Cutter Entry'!$BP$59&lt;&gt;CY76,'ARDT Cutter Entry'!$BP$59&lt;&gt;CY75,'ARDT Cutter Entry'!$BP$59&lt;&gt;CY74,'ARDT Cutter Entry'!$BP$59&lt;&gt;CY73,'ARDT Cutter Entry'!$BP$59&lt;&gt;CY72),'ARDT Cutter Entry'!$BP$59,IF(AND('ARDT Cutter Entry'!$BP$60='ARDT Cutter Entry'!$BP$4,'ARDT Cutter Entry'!$BP$60&lt;&gt;"",'ARDT Cutter Entry'!$BP$60&lt;&gt;0,'ARDT Cutter Entry'!$BP$60&lt;&gt;CY76,'ARDT Cutter Entry'!$BP$60&lt;&gt;CY75,'ARDT Cutter Entry'!$BP$60&lt;&gt;CY74,'ARDT Cutter Entry'!$BP$60&lt;&gt;CY73,'ARDT Cutter Entry'!$BP$60&lt;&gt;CY72),'ARDT Cutter Entry'!$BP$60,IF(AND('ARDT Cutter Entry'!$BP$61='ARDT Cutter Entry'!$BP$5,'ARDT Cutter Entry'!$BP$61&lt;&gt;"",'ARDT Cutter Entry'!$BP$61&lt;&gt;0,'ARDT Cutter Entry'!$BP$61&lt;&gt;CY76,'ARDT Cutter Entry'!$BP$61&lt;&gt;CY75,'ARDT Cutter Entry'!$BP$61&lt;&gt;CY74,'ARDT Cutter Entry'!$BP$61&lt;&gt;CY73,'ARDT Cutter Entry'!$BP$61&lt;&gt;CY72),'ARDT Cutter Entry'!$BP$61,IF(AND('ARDT Cutter Entry'!$BP$62='ARDT Cutter Entry'!$BP$6,'ARDT Cutter Entry'!$BP$62&lt;&gt;"",'ARDT Cutter Entry'!$BP$62&lt;&gt;0,'ARDT Cutter Entry'!$BP$62&lt;&gt;CY76,'ARDT Cutter Entry'!$BP$62&lt;&gt;CY75,'ARDT Cutter Entry'!$BP$62&lt;&gt;CY74,'ARDT Cutter Entry'!$BP$62&lt;&gt;CY73,'ARDT Cutter Entry'!$BP$62&lt;&gt;CY72),'ARDT Cutter Entry'!$BP$62,IF(AND('ARDT Cutter Entry'!$BP$63='ARDT Cutter Entry'!$BP$7,'ARDT Cutter Entry'!$BP$63&lt;&gt;"",'ARDT Cutter Entry'!$BP$63&lt;&gt;0,'ARDT Cutter Entry'!$BP$63&lt;&gt;CY76,'ARDT Cutter Entry'!$BP$63&lt;&gt;CY75,'ARDT Cutter Entry'!$BP$63&lt;&gt;CY74,'ARDT Cutter Entry'!$BP$63&lt;&gt;CY73,'ARDT Cutter Entry'!$BP$63&lt;&gt;CY72),'ARDT Cutter Entry'!$BP$63,"")))))),"")</f>
        <v/>
      </c>
      <c r="DB77" s="37">
        <v>983150</v>
      </c>
      <c r="DD77" s="75">
        <v>75</v>
      </c>
      <c r="DE77" s="37">
        <v>907609</v>
      </c>
      <c r="DF77" t="s">
        <v>226</v>
      </c>
      <c r="DG77" s="37" t="str">
        <f t="shared" si="69"/>
        <v>1313 CT125 GEDB 0.010"</v>
      </c>
      <c r="DH77" s="37">
        <v>13</v>
      </c>
      <c r="DI77" s="37">
        <v>1313</v>
      </c>
      <c r="DJ77" s="37" t="s">
        <v>102</v>
      </c>
      <c r="DK77" s="37" t="s">
        <v>272</v>
      </c>
      <c r="DL77" s="37" t="s">
        <v>239</v>
      </c>
      <c r="DM77" s="37">
        <v>33</v>
      </c>
      <c r="DN77" s="37">
        <v>0</v>
      </c>
      <c r="DO77" s="37">
        <v>360</v>
      </c>
      <c r="DP77" s="37"/>
      <c r="DQ77" s="37"/>
      <c r="DR77" s="37" t="str">
        <f t="shared" si="70"/>
        <v>1313 CT125 GEDB</v>
      </c>
      <c r="DS77" s="37">
        <f t="shared" si="43"/>
        <v>0</v>
      </c>
      <c r="DV77" s="10" t="s">
        <v>49</v>
      </c>
      <c r="DW77" t="s">
        <v>1589</v>
      </c>
      <c r="DX77">
        <v>30</v>
      </c>
      <c r="DY77" t="s">
        <v>1677</v>
      </c>
      <c r="DZ77" t="s">
        <v>1670</v>
      </c>
      <c r="EA77">
        <v>1</v>
      </c>
      <c r="EB77" t="s">
        <v>1513</v>
      </c>
      <c r="EC77" s="10">
        <v>480</v>
      </c>
      <c r="ED77" s="10" t="s">
        <v>1740</v>
      </c>
      <c r="EE77" s="813">
        <f t="shared" si="71"/>
        <v>0</v>
      </c>
      <c r="EF77">
        <f>ROWS($DE$2:DE77)</f>
        <v>76</v>
      </c>
      <c r="EG77" t="str">
        <f t="shared" si="72"/>
        <v/>
      </c>
      <c r="EJ77" t="str">
        <f t="shared" si="73"/>
        <v/>
      </c>
      <c r="EM77" t="str">
        <f t="shared" si="74"/>
        <v/>
      </c>
      <c r="EP77" t="str">
        <f t="shared" si="75"/>
        <v/>
      </c>
      <c r="ES77" t="str">
        <f t="shared" si="76"/>
        <v/>
      </c>
      <c r="EV77" t="str">
        <f t="shared" si="77"/>
        <v/>
      </c>
      <c r="EY77" t="str">
        <f t="shared" si="78"/>
        <v/>
      </c>
      <c r="FB77" t="str">
        <f t="shared" si="79"/>
        <v/>
      </c>
      <c r="FE77" t="str">
        <f t="shared" si="80"/>
        <v/>
      </c>
      <c r="FH77" t="str">
        <f t="shared" si="81"/>
        <v/>
      </c>
      <c r="FK77" t="str">
        <f t="shared" si="82"/>
        <v/>
      </c>
      <c r="FN77" t="str">
        <f t="shared" si="83"/>
        <v/>
      </c>
      <c r="FQ77" t="str">
        <f t="shared" si="84"/>
        <v/>
      </c>
      <c r="FT77" t="str">
        <f t="shared" si="85"/>
        <v/>
      </c>
      <c r="FW77" t="str">
        <f t="shared" si="86"/>
        <v/>
      </c>
      <c r="FZ77" t="str">
        <f t="shared" si="87"/>
        <v/>
      </c>
      <c r="GC77" t="str">
        <f t="shared" si="88"/>
        <v/>
      </c>
      <c r="GE77" s="155"/>
      <c r="GF77" s="26" t="str">
        <f t="shared" si="45"/>
        <v>010 - 30</v>
      </c>
      <c r="GG77" s="28" t="str">
        <f t="shared" si="46"/>
        <v>10 30</v>
      </c>
      <c r="GH77" s="869">
        <v>10</v>
      </c>
      <c r="GI77" s="75">
        <v>30</v>
      </c>
      <c r="GJ77" s="874" t="s">
        <v>1731</v>
      </c>
      <c r="GK77" s="875" t="s">
        <v>1732</v>
      </c>
      <c r="GL77" s="876">
        <v>1</v>
      </c>
      <c r="GM77" s="37" t="s">
        <v>1513</v>
      </c>
      <c r="GN77" s="877">
        <v>5000</v>
      </c>
      <c r="GO77" s="26">
        <f t="shared" si="58"/>
        <v>0</v>
      </c>
      <c r="GQ77" s="26"/>
      <c r="GS77">
        <f>ROWS($GJ$20:GJ77)</f>
        <v>58</v>
      </c>
      <c r="GT77"/>
      <c r="GU77"/>
      <c r="HC77" s="805"/>
      <c r="HD77" s="805"/>
    </row>
    <row r="78" spans="2:212" ht="15.75" customHeight="1" x14ac:dyDescent="0.35">
      <c r="B78" s="93" t="s">
        <v>2230</v>
      </c>
      <c r="C78" s="93" t="s">
        <v>2239</v>
      </c>
      <c r="F78" s="607"/>
      <c r="G78" s="72" t="s">
        <v>1439</v>
      </c>
      <c r="L78" s="176">
        <v>792702</v>
      </c>
      <c r="O78" s="199">
        <v>4</v>
      </c>
      <c r="P78" s="200">
        <v>802064</v>
      </c>
      <c r="Q78" s="200">
        <v>20</v>
      </c>
      <c r="R78" s="200"/>
      <c r="S78" s="190">
        <v>6.125</v>
      </c>
      <c r="T78" s="201" t="s">
        <v>73</v>
      </c>
      <c r="U78" s="201">
        <v>952636</v>
      </c>
      <c r="V78" s="171" t="s">
        <v>90</v>
      </c>
      <c r="W78" s="191">
        <v>4</v>
      </c>
      <c r="X78" s="173">
        <v>4</v>
      </c>
      <c r="Y78" s="173">
        <v>4</v>
      </c>
      <c r="Z78" s="173">
        <v>4</v>
      </c>
      <c r="AA78" s="173">
        <v>4</v>
      </c>
      <c r="AB78" s="174">
        <v>4</v>
      </c>
      <c r="AC78" s="174">
        <v>2</v>
      </c>
      <c r="AD78" s="177">
        <v>3</v>
      </c>
      <c r="AE78" s="177"/>
      <c r="AF78" s="188"/>
      <c r="AG78" s="188"/>
      <c r="AH78" s="188"/>
      <c r="AI78" s="188"/>
      <c r="AJ78" s="188"/>
      <c r="AK78" s="188"/>
      <c r="AL78" s="188"/>
      <c r="AM78" s="188"/>
      <c r="AN78" s="188"/>
      <c r="AO78" s="188"/>
      <c r="AP78" s="188"/>
      <c r="AQ78" s="188"/>
      <c r="AR78" s="188"/>
      <c r="AS78" s="188"/>
      <c r="AT78" s="188"/>
      <c r="AU78" s="188"/>
      <c r="AV78" s="188"/>
      <c r="AW78" s="188"/>
      <c r="AX78" s="188"/>
      <c r="AY78" s="188"/>
      <c r="AZ78" s="188"/>
      <c r="BA78" s="188"/>
      <c r="BB78" s="188"/>
      <c r="BC78" s="188"/>
      <c r="BD78" s="188"/>
      <c r="BF78">
        <f>ROWS($U$46:U78)</f>
        <v>33</v>
      </c>
      <c r="BG78" t="str">
        <f t="shared" si="66"/>
        <v/>
      </c>
      <c r="BH78" t="str">
        <f>IFERROR(SMALL($BG$46:$BG$3014,ROWS($BG$46:BG78)),"")</f>
        <v/>
      </c>
      <c r="BI78" s="170" t="str">
        <f>IFERROR(INDEX($O$46:$T$132,$BH78:$BH89,COLUMNS($BE$46:BE78)),"")</f>
        <v/>
      </c>
      <c r="BJ78" s="170" t="str">
        <f>IFERROR(INDEX($O$46:$T$132,$BH78:$BH89,COLUMNS($BE$46:BF78)),"")</f>
        <v/>
      </c>
      <c r="BK78" s="170" t="str">
        <f>IFERROR(INDEX($O$46:$T$132,$BH78:$BH89,COLUMNS($BE$46:BG78)),"")</f>
        <v/>
      </c>
      <c r="BL78" s="170" t="str">
        <f>IFERROR(INDEX($O$46:$T$132,$BH78:$BH89,COLUMNS($BE$46:BH78)),"")</f>
        <v/>
      </c>
      <c r="BM78" s="170" t="str">
        <f>IFERROR(INDEX($O$46:$T$132,$BH78:$BH89,COLUMNS($BE$46:BI78)),"")</f>
        <v/>
      </c>
      <c r="CX78" s="72" t="str">
        <f t="shared" si="68"/>
        <v/>
      </c>
      <c r="CY78" s="72" t="str">
        <f>IF(CY77&lt;&gt;"",IF(AND(BJ64&lt;&gt;"",BJ64&lt;&gt;0),BJ64,IF(AND('ARDT Cutter Entry'!$BP$59='ARDT Cutter Entry'!$BP$3,'ARDT Cutter Entry'!$BP$59&lt;&gt;"",'ARDT Cutter Entry'!$BP$59&lt;&gt;0,'ARDT Cutter Entry'!$BP$59&lt;&gt;CY77,'ARDT Cutter Entry'!$BP$59&lt;&gt;CY76,'ARDT Cutter Entry'!$BP$59&lt;&gt;CY75,'ARDT Cutter Entry'!$BP$59&lt;&gt;CY74,'ARDT Cutter Entry'!$BP$59&lt;&gt;CY73),'ARDT Cutter Entry'!$BP$59,IF(AND('ARDT Cutter Entry'!$BP$60='ARDT Cutter Entry'!$BP$4,'ARDT Cutter Entry'!$BP$60&lt;&gt;"",'ARDT Cutter Entry'!$BP$60&lt;&gt;0,'ARDT Cutter Entry'!$BP$60&lt;&gt;CY77,'ARDT Cutter Entry'!$BP$60&lt;&gt;CY76,'ARDT Cutter Entry'!$BP$60&lt;&gt;CY75,'ARDT Cutter Entry'!$BP$60&lt;&gt;CY74,'ARDT Cutter Entry'!$BP$60&lt;&gt;CY73),'ARDT Cutter Entry'!$BP$60,IF(AND('ARDT Cutter Entry'!$BP$61='ARDT Cutter Entry'!$BP$5,'ARDT Cutter Entry'!$BP$61&lt;&gt;"",'ARDT Cutter Entry'!$BP$61&lt;&gt;0,'ARDT Cutter Entry'!$BP$61&lt;&gt;CY77,'ARDT Cutter Entry'!$BP$61&lt;&gt;CY76,'ARDT Cutter Entry'!$BP$61&lt;&gt;CY75,'ARDT Cutter Entry'!$BP$61&lt;&gt;CY74,'ARDT Cutter Entry'!$BP$61&lt;&gt;CY73),'ARDT Cutter Entry'!$BP$61,IF(AND('ARDT Cutter Entry'!$BP$62='ARDT Cutter Entry'!$BP$6,'ARDT Cutter Entry'!$BP$62&lt;&gt;"",'ARDT Cutter Entry'!$BP$62&lt;&gt;0,'ARDT Cutter Entry'!$BP$62&lt;&gt;CY77,'ARDT Cutter Entry'!$BP$62&lt;&gt;CY76,'ARDT Cutter Entry'!$BP$62&lt;&gt;CY75,'ARDT Cutter Entry'!$BP$62&lt;&gt;CY74,'ARDT Cutter Entry'!$BP$62&lt;&gt;CY73),'ARDT Cutter Entry'!$BP$62,IF(AND('ARDT Cutter Entry'!$BP$63='ARDT Cutter Entry'!$BP$7,'ARDT Cutter Entry'!$BP$63&lt;&gt;"",'ARDT Cutter Entry'!$BP$63&lt;&gt;0,'ARDT Cutter Entry'!$BP$63&lt;&gt;CY77,'ARDT Cutter Entry'!$BP$63&lt;&gt;CY76,'ARDT Cutter Entry'!$BP$63&lt;&gt;CY75,'ARDT Cutter Entry'!$BP$63&lt;&gt;CY74,'ARDT Cutter Entry'!$BP$63&lt;&gt;CY73),'ARDT Cutter Entry'!$BP$63,"")))))),"")</f>
        <v/>
      </c>
      <c r="DB78" s="37">
        <v>983152</v>
      </c>
      <c r="DD78" s="75">
        <v>47</v>
      </c>
      <c r="DE78" s="37">
        <v>930925</v>
      </c>
      <c r="DF78" t="s">
        <v>227</v>
      </c>
      <c r="DG78" s="37" t="str">
        <f t="shared" si="69"/>
        <v>1010 CT109 TSPV 0.010"</v>
      </c>
      <c r="DH78" s="37">
        <v>10</v>
      </c>
      <c r="DI78" s="37">
        <v>1010</v>
      </c>
      <c r="DJ78" s="37" t="s">
        <v>247</v>
      </c>
      <c r="DK78" s="37" t="s">
        <v>242</v>
      </c>
      <c r="DL78" s="37" t="s">
        <v>239</v>
      </c>
      <c r="DM78" s="37">
        <v>7</v>
      </c>
      <c r="DN78" s="37">
        <v>0</v>
      </c>
      <c r="DO78" s="37">
        <v>272</v>
      </c>
      <c r="DP78" s="37"/>
      <c r="DQ78" s="37"/>
      <c r="DR78" s="37" t="str">
        <f t="shared" si="70"/>
        <v>1010 CT109 TSPV</v>
      </c>
      <c r="DS78" s="37">
        <f t="shared" ref="DS78:DS141" si="89">DT78*1.3</f>
        <v>0</v>
      </c>
      <c r="DV78" s="10" t="s">
        <v>49</v>
      </c>
      <c r="DW78" t="s">
        <v>1588</v>
      </c>
      <c r="DX78">
        <v>30</v>
      </c>
      <c r="DY78" t="s">
        <v>1683</v>
      </c>
      <c r="DZ78" t="s">
        <v>1671</v>
      </c>
      <c r="EA78">
        <v>1</v>
      </c>
      <c r="EB78" t="s">
        <v>1513</v>
      </c>
      <c r="EC78" s="10">
        <v>419</v>
      </c>
      <c r="ED78" s="10" t="s">
        <v>1746</v>
      </c>
      <c r="EE78" s="813">
        <f t="shared" si="71"/>
        <v>0</v>
      </c>
      <c r="EF78">
        <f>ROWS($DE$2:DE78)</f>
        <v>77</v>
      </c>
      <c r="EG78" t="str">
        <f t="shared" si="72"/>
        <v/>
      </c>
      <c r="EJ78" t="str">
        <f t="shared" si="73"/>
        <v/>
      </c>
      <c r="EM78" t="str">
        <f t="shared" si="74"/>
        <v/>
      </c>
      <c r="EP78" t="str">
        <f t="shared" si="75"/>
        <v/>
      </c>
      <c r="ES78" t="str">
        <f t="shared" si="76"/>
        <v/>
      </c>
      <c r="EV78" t="str">
        <f t="shared" si="77"/>
        <v/>
      </c>
      <c r="EY78" t="str">
        <f t="shared" si="78"/>
        <v/>
      </c>
      <c r="FB78" t="str">
        <f t="shared" si="79"/>
        <v/>
      </c>
      <c r="FE78" t="str">
        <f t="shared" si="80"/>
        <v/>
      </c>
      <c r="FH78" t="str">
        <f t="shared" si="81"/>
        <v/>
      </c>
      <c r="FK78" t="str">
        <f t="shared" si="82"/>
        <v/>
      </c>
      <c r="FN78" t="str">
        <f t="shared" si="83"/>
        <v/>
      </c>
      <c r="FQ78" t="str">
        <f t="shared" si="84"/>
        <v/>
      </c>
      <c r="FT78" t="str">
        <f t="shared" si="85"/>
        <v/>
      </c>
      <c r="FW78" t="str">
        <f t="shared" si="86"/>
        <v/>
      </c>
      <c r="FZ78" t="str">
        <f t="shared" si="87"/>
        <v/>
      </c>
      <c r="GC78" t="str">
        <f t="shared" si="88"/>
        <v/>
      </c>
      <c r="GE78" s="155"/>
      <c r="GF78" s="26" t="str">
        <f t="shared" si="45"/>
        <v>010 - 40</v>
      </c>
      <c r="GG78" s="28" t="str">
        <f t="shared" si="46"/>
        <v>10 40</v>
      </c>
      <c r="GH78" s="869">
        <v>10</v>
      </c>
      <c r="GI78" s="75">
        <v>40</v>
      </c>
      <c r="GJ78" s="874" t="s">
        <v>1733</v>
      </c>
      <c r="GK78" s="875" t="s">
        <v>1734</v>
      </c>
      <c r="GL78" s="876">
        <v>1</v>
      </c>
      <c r="GM78" s="37" t="s">
        <v>1513</v>
      </c>
      <c r="GN78" s="877">
        <v>5000</v>
      </c>
      <c r="GO78" s="26">
        <f t="shared" si="58"/>
        <v>0</v>
      </c>
      <c r="GQ78" s="26"/>
      <c r="GS78">
        <f>ROWS($GJ$20:GJ78)</f>
        <v>59</v>
      </c>
      <c r="GT78"/>
      <c r="GU78"/>
      <c r="HC78" s="805"/>
      <c r="HD78" s="805"/>
    </row>
    <row r="79" spans="2:212" ht="16.5" customHeight="1" thickBot="1" x14ac:dyDescent="0.4">
      <c r="B79" s="93" t="s">
        <v>948</v>
      </c>
      <c r="C79" s="93" t="s">
        <v>1136</v>
      </c>
      <c r="G79" s="622" t="s">
        <v>1437</v>
      </c>
      <c r="L79" s="176">
        <v>800418</v>
      </c>
      <c r="O79" s="213"/>
      <c r="P79" s="214"/>
      <c r="Q79" s="214"/>
      <c r="R79" s="201"/>
      <c r="S79" s="210">
        <v>6.125</v>
      </c>
      <c r="T79" s="210" t="s">
        <v>73</v>
      </c>
      <c r="U79" s="210">
        <v>952636</v>
      </c>
      <c r="V79" s="195" t="s">
        <v>91</v>
      </c>
      <c r="W79" s="191">
        <v>1</v>
      </c>
      <c r="X79" s="173">
        <v>4</v>
      </c>
      <c r="Y79" s="173">
        <v>4</v>
      </c>
      <c r="Z79" s="173">
        <v>2</v>
      </c>
      <c r="AA79" s="192">
        <v>3</v>
      </c>
      <c r="AB79" s="171"/>
      <c r="AC79" s="172"/>
      <c r="AD79" s="175"/>
      <c r="AE79" s="65"/>
      <c r="AF79" s="188"/>
      <c r="AG79" s="188"/>
      <c r="AH79" s="188"/>
      <c r="AI79" s="188"/>
      <c r="AJ79" s="188"/>
      <c r="AK79" s="188"/>
      <c r="AL79" s="188"/>
      <c r="AM79" s="188"/>
      <c r="AN79" s="188"/>
      <c r="AO79" s="188"/>
      <c r="AP79" s="188"/>
      <c r="AQ79" s="188"/>
      <c r="AR79" s="188"/>
      <c r="AS79" s="188"/>
      <c r="AT79" s="188"/>
      <c r="AU79" s="188"/>
      <c r="AV79" s="188"/>
      <c r="AW79" s="188"/>
      <c r="AX79" s="188"/>
      <c r="AY79" s="188"/>
      <c r="AZ79" s="188"/>
      <c r="BA79" s="188"/>
      <c r="BB79" s="188"/>
      <c r="BC79" s="188"/>
      <c r="BD79" s="188"/>
      <c r="BF79">
        <f>ROWS($U$46:U79)</f>
        <v>34</v>
      </c>
      <c r="BG79" t="str">
        <f t="shared" si="66"/>
        <v/>
      </c>
      <c r="CX79" s="72" t="str">
        <f t="shared" si="68"/>
        <v/>
      </c>
      <c r="CY79" s="72" t="str">
        <f>IF(CY78&lt;&gt;"",IF(AND(BJ65&lt;&gt;"",BJ65&lt;&gt;0),BJ65,IF(AND('ARDT Cutter Entry'!$BP$59='ARDT Cutter Entry'!$BP$3,'ARDT Cutter Entry'!$BP$59&lt;&gt;"",'ARDT Cutter Entry'!$BP$59&lt;&gt;0,'ARDT Cutter Entry'!$BP$59&lt;&gt;CY78,'ARDT Cutter Entry'!$BP$59&lt;&gt;CY77,'ARDT Cutter Entry'!$BP$59&lt;&gt;CY76,'ARDT Cutter Entry'!$BP$59&lt;&gt;CY75,'ARDT Cutter Entry'!$BP$59&lt;&gt;CY74),'ARDT Cutter Entry'!$BP$59,IF(AND('ARDT Cutter Entry'!$BP$60='ARDT Cutter Entry'!$BP$4,'ARDT Cutter Entry'!$BP$60&lt;&gt;"",'ARDT Cutter Entry'!$BP$60&lt;&gt;0,'ARDT Cutter Entry'!$BP$60&lt;&gt;CY78,'ARDT Cutter Entry'!$BP$60&lt;&gt;CY77,'ARDT Cutter Entry'!$BP$60&lt;&gt;CY76,'ARDT Cutter Entry'!$BP$60&lt;&gt;CY75,'ARDT Cutter Entry'!$BP$60&lt;&gt;CY74),'ARDT Cutter Entry'!$BP$60,IF(AND('ARDT Cutter Entry'!$BP$61='ARDT Cutter Entry'!$BP$5,'ARDT Cutter Entry'!$BP$61&lt;&gt;"",'ARDT Cutter Entry'!$BP$61&lt;&gt;0,'ARDT Cutter Entry'!$BP$61&lt;&gt;CY78,'ARDT Cutter Entry'!$BP$61&lt;&gt;CY77,'ARDT Cutter Entry'!$BP$61&lt;&gt;CY76,'ARDT Cutter Entry'!$BP$61&lt;&gt;CY75,'ARDT Cutter Entry'!$BP$61&lt;&gt;CY74),'ARDT Cutter Entry'!$BP$61,IF(AND('ARDT Cutter Entry'!$BP$62='ARDT Cutter Entry'!$BP$6,'ARDT Cutter Entry'!$BP$62&lt;&gt;"",'ARDT Cutter Entry'!$BP$62&lt;&gt;0,'ARDT Cutter Entry'!$BP$62&lt;&gt;CY78,'ARDT Cutter Entry'!$BP$62&lt;&gt;CY77,'ARDT Cutter Entry'!$BP$62&lt;&gt;CY76,'ARDT Cutter Entry'!$BP$62&lt;&gt;CY75,'ARDT Cutter Entry'!$BP$62&lt;&gt;CY74),'ARDT Cutter Entry'!$BP$62,IF(AND('ARDT Cutter Entry'!$BP$63='ARDT Cutter Entry'!$BP$7,'ARDT Cutter Entry'!$BP$63&lt;&gt;"",'ARDT Cutter Entry'!$BP$63&lt;&gt;0,'ARDT Cutter Entry'!$BP$63&lt;&gt;CY78,'ARDT Cutter Entry'!$BP$63&lt;&gt;CY77,'ARDT Cutter Entry'!$BP$63&lt;&gt;CY76,'ARDT Cutter Entry'!$BP$63&lt;&gt;CY75,'ARDT Cutter Entry'!$BP$63&lt;&gt;CY74),'ARDT Cutter Entry'!$BP$63,"")))))),"")</f>
        <v/>
      </c>
      <c r="DB79" s="37">
        <v>853550</v>
      </c>
      <c r="DD79" s="75">
        <v>51</v>
      </c>
      <c r="DE79" s="37">
        <v>932725</v>
      </c>
      <c r="DF79" t="s">
        <v>228</v>
      </c>
      <c r="DG79" s="37" t="str">
        <f t="shared" si="69"/>
        <v>1313 CT405  0.010"</v>
      </c>
      <c r="DH79" s="37">
        <v>13</v>
      </c>
      <c r="DI79" s="37">
        <v>1313</v>
      </c>
      <c r="DJ79" s="37" t="s">
        <v>266</v>
      </c>
      <c r="DK79" s="37"/>
      <c r="DL79" s="37" t="s">
        <v>239</v>
      </c>
      <c r="DM79" s="37">
        <v>15</v>
      </c>
      <c r="DN79" s="37">
        <v>1</v>
      </c>
      <c r="DO79" s="37">
        <v>360</v>
      </c>
      <c r="DP79" s="37"/>
      <c r="DQ79" s="37"/>
      <c r="DR79" s="37" t="str">
        <f t="shared" si="70"/>
        <v xml:space="preserve">1313 CT405 </v>
      </c>
      <c r="DS79" s="37">
        <f t="shared" si="89"/>
        <v>146.25</v>
      </c>
      <c r="DT79" s="10">
        <v>112.5</v>
      </c>
      <c r="DU79" s="10">
        <v>180</v>
      </c>
      <c r="DV79" s="10" t="s">
        <v>732</v>
      </c>
      <c r="DW79" t="s">
        <v>1589</v>
      </c>
      <c r="DX79">
        <v>20</v>
      </c>
      <c r="DY79" t="s">
        <v>1679</v>
      </c>
      <c r="DZ79" t="s">
        <v>1670</v>
      </c>
      <c r="EA79">
        <v>1</v>
      </c>
      <c r="EB79" t="s">
        <v>1513</v>
      </c>
      <c r="EC79" s="10">
        <v>413</v>
      </c>
      <c r="ED79" s="10" t="s">
        <v>1742</v>
      </c>
      <c r="EE79" s="813">
        <f t="shared" si="71"/>
        <v>0</v>
      </c>
      <c r="EF79">
        <f>ROWS($DE$2:DE79)</f>
        <v>78</v>
      </c>
      <c r="EG79" t="str">
        <f t="shared" si="72"/>
        <v/>
      </c>
      <c r="EJ79" t="str">
        <f t="shared" si="73"/>
        <v/>
      </c>
      <c r="EM79" t="str">
        <f t="shared" si="74"/>
        <v/>
      </c>
      <c r="EP79" t="str">
        <f t="shared" si="75"/>
        <v/>
      </c>
      <c r="ES79" t="str">
        <f t="shared" si="76"/>
        <v/>
      </c>
      <c r="EV79" t="str">
        <f t="shared" si="77"/>
        <v/>
      </c>
      <c r="EY79" t="str">
        <f t="shared" si="78"/>
        <v/>
      </c>
      <c r="FB79" t="str">
        <f t="shared" si="79"/>
        <v/>
      </c>
      <c r="FE79" t="str">
        <f t="shared" si="80"/>
        <v/>
      </c>
      <c r="FH79" t="str">
        <f t="shared" si="81"/>
        <v/>
      </c>
      <c r="FK79" t="str">
        <f t="shared" si="82"/>
        <v/>
      </c>
      <c r="FN79" t="str">
        <f t="shared" si="83"/>
        <v/>
      </c>
      <c r="FQ79" t="str">
        <f t="shared" si="84"/>
        <v/>
      </c>
      <c r="FT79" t="str">
        <f t="shared" si="85"/>
        <v/>
      </c>
      <c r="FW79" t="str">
        <f t="shared" si="86"/>
        <v/>
      </c>
      <c r="FZ79" t="str">
        <f t="shared" si="87"/>
        <v/>
      </c>
      <c r="GC79" t="str">
        <f t="shared" si="88"/>
        <v/>
      </c>
      <c r="GE79" s="155"/>
      <c r="GF79" s="26" t="str">
        <f t="shared" si="45"/>
        <v>011 - 10</v>
      </c>
      <c r="GG79" s="28" t="str">
        <f t="shared" si="46"/>
        <v>11 10</v>
      </c>
      <c r="GH79" s="869">
        <v>11</v>
      </c>
      <c r="GI79" s="75">
        <v>10</v>
      </c>
      <c r="GJ79" s="874" t="s">
        <v>1622</v>
      </c>
      <c r="GK79" s="875"/>
      <c r="GL79" s="876">
        <v>1</v>
      </c>
      <c r="GM79" s="37" t="s">
        <v>1592</v>
      </c>
      <c r="GN79" s="877">
        <v>1</v>
      </c>
      <c r="GO79" s="26">
        <f t="shared" si="58"/>
        <v>0</v>
      </c>
      <c r="GQ79" s="26"/>
      <c r="GS79">
        <f>ROWS($GJ$20:GJ79)</f>
        <v>60</v>
      </c>
      <c r="GT79"/>
      <c r="GU79"/>
      <c r="HC79" s="805"/>
      <c r="HD79" s="805"/>
    </row>
    <row r="80" spans="2:212" ht="15.75" customHeight="1" thickBot="1" x14ac:dyDescent="0.4">
      <c r="B80" s="93" t="s">
        <v>2234</v>
      </c>
      <c r="C80" s="131" t="str">
        <f>IF(Data!D73="SAUDI ARAMCO","DTD/TSSD:","Reviewed by Eng.:")</f>
        <v>Reviewed by Eng.:</v>
      </c>
      <c r="G80" s="623" t="s">
        <v>1438</v>
      </c>
      <c r="L80" s="176">
        <v>801053</v>
      </c>
      <c r="O80" s="211">
        <v>1</v>
      </c>
      <c r="P80" s="212">
        <v>418525</v>
      </c>
      <c r="Q80" s="212">
        <v>6</v>
      </c>
      <c r="R80" s="212"/>
      <c r="S80" s="182">
        <v>6.125</v>
      </c>
      <c r="T80" s="198" t="s">
        <v>740</v>
      </c>
      <c r="U80" s="198">
        <v>953042</v>
      </c>
      <c r="V80" s="183" t="s">
        <v>87</v>
      </c>
      <c r="W80" s="184">
        <v>3</v>
      </c>
      <c r="X80" s="185">
        <v>2</v>
      </c>
      <c r="Y80" s="185">
        <v>2</v>
      </c>
      <c r="Z80" s="185">
        <v>2</v>
      </c>
      <c r="AA80" s="185">
        <v>2</v>
      </c>
      <c r="AB80" s="185">
        <v>3</v>
      </c>
      <c r="AC80" s="185">
        <v>1</v>
      </c>
      <c r="AD80" s="177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  <c r="AQ80" s="188"/>
      <c r="AR80" s="188"/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  <c r="BD80" s="188"/>
      <c r="BF80">
        <f>ROWS($U$46:U80)</f>
        <v>35</v>
      </c>
      <c r="BG80" t="str">
        <f t="shared" si="66"/>
        <v/>
      </c>
      <c r="CX80" s="72" t="str">
        <f t="shared" si="68"/>
        <v/>
      </c>
      <c r="CY80" s="72" t="str">
        <f>IF(CY79&lt;&gt;"",IF(AND(BJ66&lt;&gt;"",BJ66&lt;&gt;0),BJ66,IF(AND('ARDT Cutter Entry'!$BP$59='ARDT Cutter Entry'!$BP$3,'ARDT Cutter Entry'!$BP$59&lt;&gt;"",'ARDT Cutter Entry'!$BP$59&lt;&gt;0,'ARDT Cutter Entry'!$BP$59&lt;&gt;CY79,'ARDT Cutter Entry'!$BP$59&lt;&gt;CY78,'ARDT Cutter Entry'!$BP$59&lt;&gt;CY77,'ARDT Cutter Entry'!$BP$59&lt;&gt;CY76,'ARDT Cutter Entry'!$BP$59&lt;&gt;CY75),'ARDT Cutter Entry'!$BP$59,IF(AND('ARDT Cutter Entry'!$BP$60='ARDT Cutter Entry'!$BP$4,'ARDT Cutter Entry'!$BP$60&lt;&gt;"",'ARDT Cutter Entry'!$BP$60&lt;&gt;0,'ARDT Cutter Entry'!$BP$60&lt;&gt;CY79,'ARDT Cutter Entry'!$BP$60&lt;&gt;CY78,'ARDT Cutter Entry'!$BP$60&lt;&gt;CY77,'ARDT Cutter Entry'!$BP$60&lt;&gt;CY76,'ARDT Cutter Entry'!$BP$60&lt;&gt;CY75),'ARDT Cutter Entry'!$BP$60,IF(AND('ARDT Cutter Entry'!$BP$61='ARDT Cutter Entry'!$BP$5,'ARDT Cutter Entry'!$BP$61&lt;&gt;"",'ARDT Cutter Entry'!$BP$61&lt;&gt;0,'ARDT Cutter Entry'!$BP$61&lt;&gt;CY79,'ARDT Cutter Entry'!$BP$61&lt;&gt;CY78,'ARDT Cutter Entry'!$BP$61&lt;&gt;CY77,'ARDT Cutter Entry'!$BP$61&lt;&gt;CY76,'ARDT Cutter Entry'!$BP$61&lt;&gt;CY75),'ARDT Cutter Entry'!$BP$61,IF(AND('ARDT Cutter Entry'!$BP$62='ARDT Cutter Entry'!$BP$6,'ARDT Cutter Entry'!$BP$62&lt;&gt;"",'ARDT Cutter Entry'!$BP$62&lt;&gt;0,'ARDT Cutter Entry'!$BP$62&lt;&gt;CY79,'ARDT Cutter Entry'!$BP$62&lt;&gt;CY78,'ARDT Cutter Entry'!$BP$62&lt;&gt;CY77,'ARDT Cutter Entry'!$BP$62&lt;&gt;CY76,'ARDT Cutter Entry'!$BP$62&lt;&gt;CY75),'ARDT Cutter Entry'!$BP$62,IF(AND('ARDT Cutter Entry'!$BP$63='ARDT Cutter Entry'!$BP$7,'ARDT Cutter Entry'!$BP$63&lt;&gt;"",'ARDT Cutter Entry'!$BP$63&lt;&gt;0,'ARDT Cutter Entry'!$BP$63&lt;&gt;CY79,'ARDT Cutter Entry'!$BP$63&lt;&gt;CY78,'ARDT Cutter Entry'!$BP$63&lt;&gt;CY77,'ARDT Cutter Entry'!$BP$63&lt;&gt;CY76,'ARDT Cutter Entry'!$BP$63&lt;&gt;CY75),'ARDT Cutter Entry'!$BP$63,"")))))),"")</f>
        <v/>
      </c>
      <c r="DB80" s="37">
        <v>853551</v>
      </c>
      <c r="DD80" s="75">
        <v>64</v>
      </c>
      <c r="DE80" s="37">
        <v>971055</v>
      </c>
      <c r="DF80" t="s">
        <v>229</v>
      </c>
      <c r="DG80" s="37" t="str">
        <f t="shared" si="69"/>
        <v>10.5 CT217 MED BLT 0.018"</v>
      </c>
      <c r="DH80" s="37">
        <v>10</v>
      </c>
      <c r="DI80" s="37">
        <v>10.5</v>
      </c>
      <c r="DJ80" s="37" t="s">
        <v>264</v>
      </c>
      <c r="DK80" s="37" t="s">
        <v>265</v>
      </c>
      <c r="DL80" s="37" t="s">
        <v>240</v>
      </c>
      <c r="DM80" s="37">
        <v>30</v>
      </c>
      <c r="DN80" s="37">
        <v>7</v>
      </c>
      <c r="DO80" s="37">
        <v>272</v>
      </c>
      <c r="DP80" s="37"/>
      <c r="DQ80" s="37">
        <v>50</v>
      </c>
      <c r="DR80" s="37" t="str">
        <f t="shared" si="70"/>
        <v>10.5 CT217 MED BLT</v>
      </c>
      <c r="DS80" s="37">
        <f t="shared" si="89"/>
        <v>0</v>
      </c>
      <c r="DV80" s="10" t="s">
        <v>146</v>
      </c>
      <c r="DW80" t="s">
        <v>1588</v>
      </c>
      <c r="DX80">
        <v>10</v>
      </c>
      <c r="DY80" t="s">
        <v>1678</v>
      </c>
      <c r="DZ80" t="s">
        <v>1671</v>
      </c>
      <c r="EA80">
        <v>1</v>
      </c>
      <c r="EB80" t="s">
        <v>1513</v>
      </c>
      <c r="EC80" s="10">
        <v>215</v>
      </c>
      <c r="ED80" s="10" t="s">
        <v>1741</v>
      </c>
      <c r="EE80" s="813">
        <f t="shared" si="71"/>
        <v>0</v>
      </c>
      <c r="EF80">
        <f>ROWS($DE$2:DE80)</f>
        <v>79</v>
      </c>
      <c r="EG80" t="str">
        <f t="shared" si="72"/>
        <v/>
      </c>
      <c r="EJ80" t="str">
        <f t="shared" si="73"/>
        <v/>
      </c>
      <c r="EM80" t="str">
        <f t="shared" si="74"/>
        <v/>
      </c>
      <c r="EP80" t="str">
        <f t="shared" si="75"/>
        <v/>
      </c>
      <c r="ES80" t="str">
        <f t="shared" si="76"/>
        <v/>
      </c>
      <c r="EV80" t="str">
        <f t="shared" si="77"/>
        <v/>
      </c>
      <c r="EY80" t="str">
        <f t="shared" si="78"/>
        <v/>
      </c>
      <c r="FB80" t="str">
        <f t="shared" si="79"/>
        <v/>
      </c>
      <c r="FE80" t="str">
        <f t="shared" si="80"/>
        <v/>
      </c>
      <c r="FH80" t="str">
        <f t="shared" si="81"/>
        <v/>
      </c>
      <c r="FK80" t="str">
        <f t="shared" si="82"/>
        <v/>
      </c>
      <c r="FN80" t="str">
        <f t="shared" si="83"/>
        <v/>
      </c>
      <c r="FQ80" t="str">
        <f t="shared" si="84"/>
        <v/>
      </c>
      <c r="FT80" t="str">
        <f t="shared" si="85"/>
        <v/>
      </c>
      <c r="FW80" t="str">
        <f t="shared" si="86"/>
        <v/>
      </c>
      <c r="FZ80" t="str">
        <f t="shared" si="87"/>
        <v/>
      </c>
      <c r="GC80" t="str">
        <f t="shared" si="88"/>
        <v/>
      </c>
      <c r="GE80" s="155"/>
      <c r="GF80" s="26" t="str">
        <f t="shared" si="45"/>
        <v>012 - 10</v>
      </c>
      <c r="GG80" s="28" t="str">
        <f t="shared" si="46"/>
        <v>12 10</v>
      </c>
      <c r="GH80" s="869">
        <v>12</v>
      </c>
      <c r="GI80" s="75">
        <v>10</v>
      </c>
      <c r="GJ80" s="874" t="s">
        <v>1623</v>
      </c>
      <c r="GK80" s="875"/>
      <c r="GL80" s="876">
        <v>1</v>
      </c>
      <c r="GM80" s="37" t="s">
        <v>1592</v>
      </c>
      <c r="GN80" s="877">
        <v>1</v>
      </c>
      <c r="GO80" s="26">
        <f t="shared" si="58"/>
        <v>0</v>
      </c>
      <c r="GQ80" s="26"/>
      <c r="GS80">
        <f>ROWS($GJ$20:GJ80)</f>
        <v>61</v>
      </c>
      <c r="GT80"/>
      <c r="GU80"/>
      <c r="HC80" s="805"/>
      <c r="HD80" s="805"/>
    </row>
    <row r="81" spans="2:212" ht="15.75" customHeight="1" thickBot="1" x14ac:dyDescent="0.4">
      <c r="B81" s="93" t="s">
        <v>2233</v>
      </c>
      <c r="C81" s="1023" t="s">
        <v>2240</v>
      </c>
      <c r="L81" s="176">
        <v>803492</v>
      </c>
      <c r="O81" s="199">
        <v>2</v>
      </c>
      <c r="P81" s="200">
        <v>742617</v>
      </c>
      <c r="Q81" s="200">
        <v>20</v>
      </c>
      <c r="R81" s="200"/>
      <c r="S81" s="190">
        <v>6.125</v>
      </c>
      <c r="T81" s="201" t="s">
        <v>740</v>
      </c>
      <c r="U81" s="201">
        <v>953042</v>
      </c>
      <c r="V81" s="171" t="s">
        <v>88</v>
      </c>
      <c r="W81" s="191">
        <v>2</v>
      </c>
      <c r="X81" s="173">
        <v>2</v>
      </c>
      <c r="Y81" s="173">
        <v>2</v>
      </c>
      <c r="Z81" s="173">
        <v>3</v>
      </c>
      <c r="AA81" s="192">
        <v>1</v>
      </c>
      <c r="AB81" s="171"/>
      <c r="AC81" s="172"/>
      <c r="AD81" s="65"/>
      <c r="AE81" s="188"/>
      <c r="AF81" s="188"/>
      <c r="AG81" s="188"/>
      <c r="AH81" s="188"/>
      <c r="AI81" s="188"/>
      <c r="AJ81" s="188"/>
      <c r="AK81" s="188"/>
      <c r="AL81" s="188"/>
      <c r="AM81" s="188"/>
      <c r="AN81" s="188"/>
      <c r="AO81" s="188"/>
      <c r="AP81" s="188"/>
      <c r="AQ81" s="188"/>
      <c r="AR81" s="188"/>
      <c r="AS81" s="188"/>
      <c r="AT81" s="188"/>
      <c r="AU81" s="188"/>
      <c r="AV81" s="188"/>
      <c r="AW81" s="188"/>
      <c r="AX81" s="188"/>
      <c r="AY81" s="188"/>
      <c r="AZ81" s="188"/>
      <c r="BA81" s="188"/>
      <c r="BB81" s="188"/>
      <c r="BC81" s="188"/>
      <c r="BD81" s="188"/>
      <c r="BF81">
        <f>ROWS($U$46:U81)</f>
        <v>36</v>
      </c>
      <c r="BG81" t="str">
        <f t="shared" si="66"/>
        <v/>
      </c>
      <c r="DB81" s="37">
        <v>717747</v>
      </c>
      <c r="DD81" s="75">
        <v>52</v>
      </c>
      <c r="DE81" s="37">
        <v>983094</v>
      </c>
      <c r="DF81" t="s">
        <v>230</v>
      </c>
      <c r="DG81" s="37" t="str">
        <f t="shared" si="69"/>
        <v>1308 CT216  0.018"</v>
      </c>
      <c r="DH81" s="37">
        <v>13</v>
      </c>
      <c r="DI81" s="37">
        <v>1308</v>
      </c>
      <c r="DJ81" s="37" t="s">
        <v>263</v>
      </c>
      <c r="DK81" s="37"/>
      <c r="DL81" s="37" t="s">
        <v>240</v>
      </c>
      <c r="DM81" s="37">
        <v>77</v>
      </c>
      <c r="DN81" s="37">
        <v>0</v>
      </c>
      <c r="DO81" s="37">
        <v>360</v>
      </c>
      <c r="DP81" s="37"/>
      <c r="DQ81" s="37"/>
      <c r="DR81" s="37" t="str">
        <f t="shared" si="70"/>
        <v xml:space="preserve">1308 CT216 </v>
      </c>
      <c r="DS81" s="37">
        <f t="shared" si="89"/>
        <v>0</v>
      </c>
      <c r="DV81" s="10" t="s">
        <v>49</v>
      </c>
      <c r="DW81" t="s">
        <v>1589</v>
      </c>
      <c r="DX81">
        <v>30</v>
      </c>
      <c r="DY81" t="s">
        <v>1677</v>
      </c>
      <c r="DZ81" t="s">
        <v>1670</v>
      </c>
      <c r="EA81">
        <v>1</v>
      </c>
      <c r="EB81" t="s">
        <v>1513</v>
      </c>
      <c r="EC81" s="10">
        <v>480</v>
      </c>
      <c r="ED81" s="10" t="s">
        <v>1740</v>
      </c>
      <c r="EE81" s="813">
        <f t="shared" si="71"/>
        <v>0</v>
      </c>
      <c r="EF81">
        <f>ROWS($DE$2:DE81)</f>
        <v>80</v>
      </c>
      <c r="EG81" t="str">
        <f t="shared" si="72"/>
        <v/>
      </c>
      <c r="EJ81" t="str">
        <f t="shared" si="73"/>
        <v/>
      </c>
      <c r="EM81" t="str">
        <f t="shared" si="74"/>
        <v/>
      </c>
      <c r="EP81" t="str">
        <f t="shared" si="75"/>
        <v/>
      </c>
      <c r="ES81" t="str">
        <f t="shared" si="76"/>
        <v/>
      </c>
      <c r="EV81" t="str">
        <f t="shared" si="77"/>
        <v/>
      </c>
      <c r="EY81" t="str">
        <f t="shared" si="78"/>
        <v/>
      </c>
      <c r="FB81" t="str">
        <f t="shared" si="79"/>
        <v/>
      </c>
      <c r="FE81" t="str">
        <f t="shared" si="80"/>
        <v/>
      </c>
      <c r="FH81" t="str">
        <f t="shared" si="81"/>
        <v/>
      </c>
      <c r="FK81" t="str">
        <f t="shared" si="82"/>
        <v/>
      </c>
      <c r="FN81" t="str">
        <f t="shared" si="83"/>
        <v/>
      </c>
      <c r="FQ81" t="str">
        <f t="shared" si="84"/>
        <v/>
      </c>
      <c r="FT81" t="str">
        <f t="shared" si="85"/>
        <v/>
      </c>
      <c r="FW81" t="str">
        <f t="shared" si="86"/>
        <v/>
      </c>
      <c r="FZ81" t="str">
        <f t="shared" si="87"/>
        <v/>
      </c>
      <c r="GC81" t="str">
        <f t="shared" si="88"/>
        <v/>
      </c>
      <c r="GE81" s="155"/>
      <c r="GF81" s="26" t="str">
        <f t="shared" si="45"/>
        <v>013 - 10</v>
      </c>
      <c r="GG81" s="28" t="str">
        <f t="shared" si="46"/>
        <v>13 10</v>
      </c>
      <c r="GH81" s="869">
        <v>13</v>
      </c>
      <c r="GI81" s="75">
        <v>10</v>
      </c>
      <c r="GJ81" s="874" t="s">
        <v>1624</v>
      </c>
      <c r="GK81" s="875"/>
      <c r="GL81" s="876">
        <v>1</v>
      </c>
      <c r="GM81" s="37" t="s">
        <v>1592</v>
      </c>
      <c r="GN81" s="877">
        <v>1</v>
      </c>
      <c r="GO81" s="26">
        <f t="shared" si="58"/>
        <v>0</v>
      </c>
      <c r="GQ81" s="26"/>
      <c r="GS81">
        <f>ROWS($GJ$20:GJ81)</f>
        <v>62</v>
      </c>
      <c r="GT81"/>
      <c r="GU81"/>
      <c r="HC81" s="805"/>
      <c r="HD81" s="805"/>
    </row>
    <row r="82" spans="2:212" ht="15.75" customHeight="1" thickBot="1" x14ac:dyDescent="0.4">
      <c r="B82" s="93" t="s">
        <v>2236</v>
      </c>
      <c r="C82" s="1023" t="s">
        <v>2336</v>
      </c>
      <c r="G82" s="107" t="s">
        <v>1534</v>
      </c>
      <c r="L82" s="176">
        <v>836417</v>
      </c>
      <c r="O82" s="190">
        <v>3</v>
      </c>
      <c r="P82" s="190">
        <v>717751</v>
      </c>
      <c r="Q82" s="190">
        <v>9</v>
      </c>
      <c r="R82" s="190" t="s">
        <v>1117</v>
      </c>
      <c r="S82" s="201">
        <v>6.125</v>
      </c>
      <c r="T82" s="201" t="s">
        <v>740</v>
      </c>
      <c r="U82" s="201">
        <v>953042</v>
      </c>
      <c r="V82" s="171" t="s">
        <v>89</v>
      </c>
      <c r="W82" s="191">
        <v>3</v>
      </c>
      <c r="X82" s="173">
        <v>2</v>
      </c>
      <c r="Y82" s="173">
        <v>2</v>
      </c>
      <c r="Z82" s="173">
        <v>2</v>
      </c>
      <c r="AA82" s="173">
        <v>2</v>
      </c>
      <c r="AB82" s="174">
        <v>3</v>
      </c>
      <c r="AC82" s="177">
        <v>1</v>
      </c>
      <c r="AD82" s="177"/>
      <c r="AE82" s="188"/>
      <c r="AF82" s="188"/>
      <c r="AG82" s="188"/>
      <c r="AH82" s="188"/>
      <c r="AI82" s="188"/>
      <c r="AJ82" s="188"/>
      <c r="AK82" s="188"/>
      <c r="AL82" s="188"/>
      <c r="AM82" s="188"/>
      <c r="AN82" s="188"/>
      <c r="AO82" s="188"/>
      <c r="AP82" s="188"/>
      <c r="AQ82" s="188"/>
      <c r="AR82" s="188"/>
      <c r="AS82" s="188"/>
      <c r="AT82" s="188"/>
      <c r="AU82" s="188"/>
      <c r="AV82" s="188"/>
      <c r="AW82" s="188"/>
      <c r="AX82" s="188"/>
      <c r="AY82" s="188"/>
      <c r="AZ82" s="188"/>
      <c r="BA82" s="188"/>
      <c r="BB82" s="188"/>
      <c r="BC82" s="188"/>
      <c r="BD82" s="188"/>
      <c r="BF82">
        <f>ROWS($U$46:U82)</f>
        <v>37</v>
      </c>
      <c r="BG82" t="str">
        <f t="shared" si="66"/>
        <v/>
      </c>
      <c r="DB82" s="37">
        <v>1010264</v>
      </c>
      <c r="DD82" s="75">
        <v>82</v>
      </c>
      <c r="DE82" s="37">
        <v>983096</v>
      </c>
      <c r="DF82" t="s">
        <v>231</v>
      </c>
      <c r="DG82" s="37" t="str">
        <f t="shared" si="69"/>
        <v>1313 CT216  0.018"</v>
      </c>
      <c r="DH82" s="37">
        <v>13</v>
      </c>
      <c r="DI82" s="37">
        <v>1313</v>
      </c>
      <c r="DJ82" s="37" t="s">
        <v>263</v>
      </c>
      <c r="DK82" s="37"/>
      <c r="DL82" s="37" t="s">
        <v>240</v>
      </c>
      <c r="DM82" s="37">
        <v>8</v>
      </c>
      <c r="DN82" s="37">
        <v>0</v>
      </c>
      <c r="DO82" s="37">
        <v>360</v>
      </c>
      <c r="DP82" s="37"/>
      <c r="DQ82" s="37"/>
      <c r="DR82" s="37" t="str">
        <f t="shared" si="70"/>
        <v xml:space="preserve">1313 CT216 </v>
      </c>
      <c r="DS82" s="37">
        <f t="shared" si="89"/>
        <v>0</v>
      </c>
      <c r="DV82" s="10" t="s">
        <v>49</v>
      </c>
      <c r="DW82" t="s">
        <v>1589</v>
      </c>
      <c r="DX82">
        <v>30</v>
      </c>
      <c r="DY82" t="s">
        <v>1677</v>
      </c>
      <c r="DZ82" t="s">
        <v>1670</v>
      </c>
      <c r="EA82">
        <v>1</v>
      </c>
      <c r="EB82" t="s">
        <v>1513</v>
      </c>
      <c r="EC82" s="10">
        <v>480</v>
      </c>
      <c r="ED82" s="10" t="s">
        <v>1740</v>
      </c>
      <c r="EE82" s="813">
        <f t="shared" si="71"/>
        <v>0</v>
      </c>
      <c r="EF82">
        <f>ROWS($DE$2:DE82)</f>
        <v>81</v>
      </c>
      <c r="EG82" t="str">
        <f t="shared" si="72"/>
        <v/>
      </c>
      <c r="EJ82" t="str">
        <f t="shared" si="73"/>
        <v/>
      </c>
      <c r="EM82" t="str">
        <f t="shared" si="74"/>
        <v/>
      </c>
      <c r="EP82" t="str">
        <f t="shared" si="75"/>
        <v/>
      </c>
      <c r="ES82" t="str">
        <f t="shared" si="76"/>
        <v/>
      </c>
      <c r="EV82" t="str">
        <f t="shared" si="77"/>
        <v/>
      </c>
      <c r="EY82" t="str">
        <f t="shared" si="78"/>
        <v/>
      </c>
      <c r="FB82" t="str">
        <f t="shared" si="79"/>
        <v/>
      </c>
      <c r="FE82" t="str">
        <f t="shared" si="80"/>
        <v/>
      </c>
      <c r="FH82" t="str">
        <f t="shared" si="81"/>
        <v/>
      </c>
      <c r="FK82" t="str">
        <f t="shared" si="82"/>
        <v/>
      </c>
      <c r="FN82" t="str">
        <f t="shared" si="83"/>
        <v/>
      </c>
      <c r="FQ82" t="str">
        <f t="shared" si="84"/>
        <v/>
      </c>
      <c r="FT82" t="str">
        <f t="shared" si="85"/>
        <v/>
      </c>
      <c r="FW82" t="str">
        <f t="shared" si="86"/>
        <v/>
      </c>
      <c r="FZ82" t="str">
        <f t="shared" si="87"/>
        <v/>
      </c>
      <c r="GC82" t="str">
        <f t="shared" si="88"/>
        <v/>
      </c>
      <c r="GE82" s="155"/>
      <c r="GF82" s="26" t="str">
        <f t="shared" si="45"/>
        <v>013 - 20</v>
      </c>
      <c r="GG82" s="28" t="str">
        <f t="shared" si="46"/>
        <v>13 20</v>
      </c>
      <c r="GH82" s="869">
        <v>13</v>
      </c>
      <c r="GI82" s="75">
        <v>20</v>
      </c>
      <c r="GJ82" s="874" t="s">
        <v>1625</v>
      </c>
      <c r="GK82" s="875"/>
      <c r="GL82" s="876">
        <v>1</v>
      </c>
      <c r="GM82" s="37" t="s">
        <v>1592</v>
      </c>
      <c r="GN82" s="877">
        <v>1</v>
      </c>
      <c r="GO82" s="26">
        <f t="shared" si="58"/>
        <v>0</v>
      </c>
      <c r="GQ82" s="26"/>
      <c r="GS82">
        <f>ROWS($GJ$20:GJ82)</f>
        <v>63</v>
      </c>
      <c r="GT82"/>
      <c r="GU82"/>
      <c r="HC82" s="805"/>
      <c r="HD82" s="805"/>
    </row>
    <row r="83" spans="2:212" ht="15.75" customHeight="1" thickBot="1" x14ac:dyDescent="0.4">
      <c r="B83" s="93" t="s">
        <v>2235</v>
      </c>
      <c r="C83" s="1023" t="s">
        <v>2337</v>
      </c>
      <c r="G83" s="63" t="s">
        <v>1690</v>
      </c>
      <c r="L83" s="176">
        <v>854024</v>
      </c>
      <c r="O83" s="205"/>
      <c r="P83" s="193"/>
      <c r="Q83" s="193"/>
      <c r="R83" s="206"/>
      <c r="S83" s="201">
        <v>6.125</v>
      </c>
      <c r="T83" s="201" t="s">
        <v>740</v>
      </c>
      <c r="U83" s="201">
        <v>953042</v>
      </c>
      <c r="V83" s="171" t="s">
        <v>90</v>
      </c>
      <c r="W83" s="191">
        <v>2</v>
      </c>
      <c r="X83" s="173">
        <v>2</v>
      </c>
      <c r="Y83" s="173">
        <v>2</v>
      </c>
      <c r="Z83" s="173">
        <v>3</v>
      </c>
      <c r="AA83" s="192">
        <v>1</v>
      </c>
      <c r="AB83" s="171"/>
      <c r="AC83" s="172"/>
      <c r="AD83" s="65"/>
      <c r="AE83" s="188"/>
      <c r="AF83" s="188"/>
      <c r="AG83" s="188"/>
      <c r="AH83" s="188"/>
      <c r="AI83" s="188"/>
      <c r="AJ83" s="188"/>
      <c r="AK83" s="188"/>
      <c r="AL83" s="188"/>
      <c r="AM83" s="188"/>
      <c r="AN83" s="188"/>
      <c r="AO83" s="188"/>
      <c r="AP83" s="188"/>
      <c r="AQ83" s="188"/>
      <c r="AR83" s="188"/>
      <c r="AS83" s="188"/>
      <c r="AT83" s="188"/>
      <c r="AU83" s="188"/>
      <c r="AV83" s="188"/>
      <c r="AW83" s="188"/>
      <c r="AX83" s="188"/>
      <c r="AY83" s="188"/>
      <c r="AZ83" s="188"/>
      <c r="BA83" s="188"/>
      <c r="BB83" s="188"/>
      <c r="BC83" s="188"/>
      <c r="BD83" s="188"/>
      <c r="BF83">
        <f>ROWS($U$46:U83)</f>
        <v>38</v>
      </c>
      <c r="BG83" t="str">
        <f t="shared" si="66"/>
        <v/>
      </c>
      <c r="DB83" s="37">
        <v>1014885</v>
      </c>
      <c r="DD83" s="75">
        <v>81</v>
      </c>
      <c r="DE83" s="37">
        <v>983150</v>
      </c>
      <c r="DF83" t="s">
        <v>232</v>
      </c>
      <c r="DG83" s="37" t="str">
        <f t="shared" si="69"/>
        <v>1613 CT216  0.018"</v>
      </c>
      <c r="DH83" s="37">
        <v>16</v>
      </c>
      <c r="DI83" s="37">
        <v>1613</v>
      </c>
      <c r="DJ83" s="37" t="s">
        <v>263</v>
      </c>
      <c r="DK83" s="37"/>
      <c r="DL83" s="37" t="s">
        <v>240</v>
      </c>
      <c r="DM83" s="37">
        <v>13</v>
      </c>
      <c r="DN83" s="37">
        <v>0</v>
      </c>
      <c r="DO83" s="37">
        <v>497</v>
      </c>
      <c r="DP83" s="37"/>
      <c r="DQ83" s="37"/>
      <c r="DR83" s="37" t="str">
        <f t="shared" si="70"/>
        <v xml:space="preserve">1613 CT216 </v>
      </c>
      <c r="DS83" s="37">
        <f t="shared" si="89"/>
        <v>0</v>
      </c>
      <c r="DV83" s="10" t="s">
        <v>49</v>
      </c>
      <c r="DW83" t="s">
        <v>1590</v>
      </c>
      <c r="DX83">
        <v>30</v>
      </c>
      <c r="DY83" t="s">
        <v>1673</v>
      </c>
      <c r="DZ83" t="s">
        <v>1668</v>
      </c>
      <c r="EA83">
        <v>1</v>
      </c>
      <c r="EB83" t="s">
        <v>1513</v>
      </c>
      <c r="EC83" s="10">
        <v>662</v>
      </c>
      <c r="ED83" s="10" t="s">
        <v>1736</v>
      </c>
      <c r="EE83" s="813">
        <f t="shared" si="71"/>
        <v>0</v>
      </c>
      <c r="EF83">
        <f>ROWS($DE$2:DE83)</f>
        <v>82</v>
      </c>
      <c r="EG83" t="str">
        <f t="shared" si="72"/>
        <v/>
      </c>
      <c r="EJ83" t="str">
        <f t="shared" si="73"/>
        <v/>
      </c>
      <c r="EM83" t="str">
        <f t="shared" si="74"/>
        <v/>
      </c>
      <c r="EP83" t="str">
        <f t="shared" si="75"/>
        <v/>
      </c>
      <c r="ES83" t="str">
        <f t="shared" si="76"/>
        <v/>
      </c>
      <c r="EV83" t="str">
        <f t="shared" si="77"/>
        <v/>
      </c>
      <c r="EY83" t="str">
        <f t="shared" si="78"/>
        <v/>
      </c>
      <c r="FB83" t="str">
        <f t="shared" si="79"/>
        <v/>
      </c>
      <c r="FE83" t="str">
        <f t="shared" si="80"/>
        <v/>
      </c>
      <c r="FH83" t="str">
        <f t="shared" si="81"/>
        <v/>
      </c>
      <c r="FK83" t="str">
        <f t="shared" si="82"/>
        <v/>
      </c>
      <c r="FN83" t="str">
        <f t="shared" si="83"/>
        <v/>
      </c>
      <c r="FQ83" t="str">
        <f t="shared" si="84"/>
        <v/>
      </c>
      <c r="FT83" t="str">
        <f t="shared" si="85"/>
        <v/>
      </c>
      <c r="FW83" t="str">
        <f t="shared" si="86"/>
        <v/>
      </c>
      <c r="FZ83" t="str">
        <f t="shared" si="87"/>
        <v/>
      </c>
      <c r="GC83" t="str">
        <f t="shared" si="88"/>
        <v/>
      </c>
      <c r="GE83" s="155"/>
      <c r="GF83" s="669" t="str">
        <f t="shared" si="45"/>
        <v>013 - 30</v>
      </c>
      <c r="GG83" s="674" t="str">
        <f t="shared" si="46"/>
        <v>13 30</v>
      </c>
      <c r="GH83" s="886">
        <v>13</v>
      </c>
      <c r="GI83" s="302">
        <v>30</v>
      </c>
      <c r="GJ83" s="887" t="s">
        <v>1626</v>
      </c>
      <c r="GK83" s="888"/>
      <c r="GL83" s="889">
        <v>1</v>
      </c>
      <c r="GM83" s="294" t="s">
        <v>1592</v>
      </c>
      <c r="GN83" s="890">
        <v>1</v>
      </c>
      <c r="GO83" s="669">
        <f t="shared" si="58"/>
        <v>0</v>
      </c>
      <c r="GP83" s="58"/>
      <c r="GQ83" s="669"/>
      <c r="GS83">
        <f>ROWS($GJ$20:GJ83)</f>
        <v>64</v>
      </c>
      <c r="GT83"/>
      <c r="GU83"/>
      <c r="HC83" s="805"/>
      <c r="HD83" s="805"/>
    </row>
    <row r="84" spans="2:212" ht="15.75" customHeight="1" x14ac:dyDescent="0.35">
      <c r="B84" s="93" t="s">
        <v>2237</v>
      </c>
      <c r="C84" s="1023" t="s">
        <v>1136</v>
      </c>
      <c r="G84" s="63" t="s">
        <v>1691</v>
      </c>
      <c r="L84" s="176">
        <v>859588</v>
      </c>
      <c r="O84" s="205"/>
      <c r="P84" s="193"/>
      <c r="Q84" s="193"/>
      <c r="R84" s="206"/>
      <c r="S84" s="201">
        <v>6.125</v>
      </c>
      <c r="T84" s="201" t="s">
        <v>740</v>
      </c>
      <c r="U84" s="201">
        <v>953042</v>
      </c>
      <c r="V84" s="171" t="s">
        <v>91</v>
      </c>
      <c r="W84" s="191">
        <v>3</v>
      </c>
      <c r="X84" s="173">
        <v>2</v>
      </c>
      <c r="Y84" s="173">
        <v>2</v>
      </c>
      <c r="Z84" s="173">
        <v>2</v>
      </c>
      <c r="AA84" s="174">
        <v>2</v>
      </c>
      <c r="AB84" s="174">
        <v>3</v>
      </c>
      <c r="AC84" s="177">
        <v>1</v>
      </c>
      <c r="AD84" s="177"/>
      <c r="AE84" s="188"/>
      <c r="AF84" s="188"/>
      <c r="AG84" s="188"/>
      <c r="AH84" s="188"/>
      <c r="AI84" s="188"/>
      <c r="AJ84" s="188"/>
      <c r="AK84" s="188"/>
      <c r="AL84" s="188"/>
      <c r="AM84" s="188"/>
      <c r="AN84" s="188"/>
      <c r="AO84" s="188"/>
      <c r="AP84" s="188"/>
      <c r="AQ84" s="188"/>
      <c r="AR84" s="188"/>
      <c r="AS84" s="188"/>
      <c r="AT84" s="188"/>
      <c r="AU84" s="188"/>
      <c r="AV84" s="188"/>
      <c r="AW84" s="188"/>
      <c r="AX84" s="188"/>
      <c r="AY84" s="188"/>
      <c r="AZ84" s="188"/>
      <c r="BA84" s="188"/>
      <c r="BB84" s="188"/>
      <c r="BC84" s="188"/>
      <c r="BD84" s="188"/>
      <c r="BF84">
        <f>ROWS($U$46:U84)</f>
        <v>39</v>
      </c>
      <c r="BG84" t="str">
        <f t="shared" si="66"/>
        <v/>
      </c>
      <c r="DB84" s="37">
        <v>1014939</v>
      </c>
      <c r="DD84" s="75">
        <v>83</v>
      </c>
      <c r="DE84" s="37">
        <v>983152</v>
      </c>
      <c r="DF84" t="s">
        <v>233</v>
      </c>
      <c r="DG84" s="37" t="str">
        <f t="shared" si="69"/>
        <v>1913 CT216  0.018"</v>
      </c>
      <c r="DH84" s="37">
        <v>19</v>
      </c>
      <c r="DI84" s="37">
        <v>1913</v>
      </c>
      <c r="DJ84" s="37" t="s">
        <v>263</v>
      </c>
      <c r="DK84" s="37"/>
      <c r="DL84" s="37" t="s">
        <v>240</v>
      </c>
      <c r="DM84" s="37">
        <v>38</v>
      </c>
      <c r="DN84" s="37">
        <v>0</v>
      </c>
      <c r="DO84" s="37">
        <v>660</v>
      </c>
      <c r="DP84" s="37"/>
      <c r="DQ84" s="37"/>
      <c r="DR84" s="37" t="str">
        <f t="shared" si="70"/>
        <v xml:space="preserve">1913 CT216 </v>
      </c>
      <c r="DS84" s="37">
        <f t="shared" si="89"/>
        <v>0</v>
      </c>
      <c r="DV84" s="10" t="s">
        <v>49</v>
      </c>
      <c r="DW84" t="s">
        <v>1591</v>
      </c>
      <c r="DX84">
        <v>30</v>
      </c>
      <c r="DY84" t="s">
        <v>1674</v>
      </c>
      <c r="DZ84" t="s">
        <v>1669</v>
      </c>
      <c r="EA84">
        <v>1</v>
      </c>
      <c r="EB84" t="s">
        <v>1513</v>
      </c>
      <c r="EC84" s="10">
        <v>836</v>
      </c>
      <c r="ED84" s="10" t="s">
        <v>1737</v>
      </c>
      <c r="EE84" s="813">
        <f t="shared" si="71"/>
        <v>0</v>
      </c>
      <c r="EF84">
        <f>ROWS($DE$2:DE84)</f>
        <v>83</v>
      </c>
      <c r="EG84" t="str">
        <f t="shared" si="72"/>
        <v/>
      </c>
      <c r="EJ84" t="str">
        <f t="shared" si="73"/>
        <v/>
      </c>
      <c r="EM84" t="str">
        <f t="shared" si="74"/>
        <v/>
      </c>
      <c r="EP84" t="str">
        <f t="shared" si="75"/>
        <v/>
      </c>
      <c r="ES84" t="str">
        <f t="shared" si="76"/>
        <v/>
      </c>
      <c r="EV84" t="str">
        <f t="shared" si="77"/>
        <v/>
      </c>
      <c r="EY84" t="str">
        <f t="shared" si="78"/>
        <v/>
      </c>
      <c r="FB84" t="str">
        <f t="shared" si="79"/>
        <v/>
      </c>
      <c r="FE84" t="str">
        <f t="shared" si="80"/>
        <v/>
      </c>
      <c r="FH84" t="str">
        <f t="shared" si="81"/>
        <v/>
      </c>
      <c r="FK84" t="str">
        <f t="shared" si="82"/>
        <v/>
      </c>
      <c r="FN84" t="str">
        <f t="shared" si="83"/>
        <v/>
      </c>
      <c r="FQ84" t="str">
        <f t="shared" si="84"/>
        <v/>
      </c>
      <c r="FT84" t="str">
        <f t="shared" si="85"/>
        <v/>
      </c>
      <c r="FW84" t="str">
        <f t="shared" si="86"/>
        <v/>
      </c>
      <c r="FZ84" t="str">
        <f t="shared" si="87"/>
        <v/>
      </c>
      <c r="GC84" t="str">
        <f t="shared" si="88"/>
        <v/>
      </c>
      <c r="GE84" s="155"/>
    </row>
    <row r="85" spans="2:212" ht="16.5" customHeight="1" thickBot="1" x14ac:dyDescent="0.4">
      <c r="B85" s="93" t="s">
        <v>2238</v>
      </c>
      <c r="G85" s="63" t="s">
        <v>1692</v>
      </c>
      <c r="L85" s="176">
        <v>866362</v>
      </c>
      <c r="O85" s="207"/>
      <c r="P85" s="208"/>
      <c r="Q85" s="208"/>
      <c r="R85" s="209"/>
      <c r="S85" s="210">
        <v>6.125</v>
      </c>
      <c r="T85" s="210" t="s">
        <v>740</v>
      </c>
      <c r="U85" s="210">
        <v>953042</v>
      </c>
      <c r="V85" s="195" t="s">
        <v>92</v>
      </c>
      <c r="W85" s="191">
        <v>2</v>
      </c>
      <c r="X85" s="173">
        <v>2</v>
      </c>
      <c r="Y85" s="173">
        <v>3</v>
      </c>
      <c r="Z85" s="192">
        <v>1</v>
      </c>
      <c r="AA85" s="171"/>
      <c r="AB85" s="172"/>
      <c r="AC85" s="172"/>
      <c r="AD85" s="178"/>
      <c r="AE85" s="188"/>
      <c r="AF85" s="188"/>
      <c r="AG85" s="188"/>
      <c r="AH85" s="188"/>
      <c r="AI85" s="188"/>
      <c r="AJ85" s="188"/>
      <c r="AK85" s="188"/>
      <c r="AL85" s="188"/>
      <c r="AM85" s="188"/>
      <c r="AN85" s="188"/>
      <c r="AO85" s="188"/>
      <c r="AP85" s="188"/>
      <c r="AQ85" s="188"/>
      <c r="AR85" s="188"/>
      <c r="AS85" s="188"/>
      <c r="AT85" s="188"/>
      <c r="AU85" s="188"/>
      <c r="AV85" s="188"/>
      <c r="AW85" s="188"/>
      <c r="AX85" s="188"/>
      <c r="AY85" s="188"/>
      <c r="AZ85" s="188"/>
      <c r="BA85" s="188"/>
      <c r="BB85" s="188"/>
      <c r="BC85" s="188"/>
      <c r="BD85" s="188"/>
      <c r="BF85">
        <f>ROWS($U$46:U85)</f>
        <v>40</v>
      </c>
      <c r="BG85" t="str">
        <f t="shared" si="66"/>
        <v/>
      </c>
      <c r="DB85" s="37">
        <v>1017002</v>
      </c>
      <c r="DD85" s="75">
        <v>84</v>
      </c>
      <c r="DE85" s="37">
        <v>853550</v>
      </c>
      <c r="DF85"/>
      <c r="DG85" s="37" t="str">
        <f t="shared" si="69"/>
        <v>1313 CT125 GEDB 0.018"</v>
      </c>
      <c r="DH85" s="37">
        <v>13</v>
      </c>
      <c r="DI85" s="37">
        <v>1313</v>
      </c>
      <c r="DJ85" s="37" t="s">
        <v>102</v>
      </c>
      <c r="DK85" s="37" t="s">
        <v>272</v>
      </c>
      <c r="DL85" s="37" t="s">
        <v>240</v>
      </c>
      <c r="DM85" s="37">
        <v>0</v>
      </c>
      <c r="DN85" s="37">
        <v>0</v>
      </c>
      <c r="DO85" s="37">
        <v>360</v>
      </c>
      <c r="DP85" s="37"/>
      <c r="DQ85" s="37"/>
      <c r="DR85" s="37" t="str">
        <f t="shared" si="70"/>
        <v>1313 CT125 GEDB</v>
      </c>
      <c r="DS85" s="37">
        <f t="shared" si="89"/>
        <v>0</v>
      </c>
      <c r="DV85" s="10" t="s">
        <v>49</v>
      </c>
      <c r="DW85" t="s">
        <v>1589</v>
      </c>
      <c r="DX85">
        <v>30</v>
      </c>
      <c r="DY85" t="s">
        <v>1677</v>
      </c>
      <c r="DZ85" t="s">
        <v>1670</v>
      </c>
      <c r="EA85">
        <v>1</v>
      </c>
      <c r="EB85" t="s">
        <v>1513</v>
      </c>
      <c r="EC85" s="10">
        <v>480</v>
      </c>
      <c r="ED85" s="10" t="s">
        <v>1740</v>
      </c>
      <c r="EE85" s="813">
        <f t="shared" si="71"/>
        <v>0</v>
      </c>
      <c r="EF85">
        <f>ROWS($DE$2:DE85)</f>
        <v>84</v>
      </c>
      <c r="EG85" t="str">
        <f t="shared" si="72"/>
        <v/>
      </c>
      <c r="EJ85" t="str">
        <f t="shared" si="73"/>
        <v/>
      </c>
      <c r="EM85" t="str">
        <f t="shared" si="74"/>
        <v/>
      </c>
      <c r="EP85" t="str">
        <f t="shared" si="75"/>
        <v/>
      </c>
      <c r="ES85" t="str">
        <f t="shared" si="76"/>
        <v/>
      </c>
      <c r="EV85" t="str">
        <f t="shared" si="77"/>
        <v/>
      </c>
      <c r="EY85" t="str">
        <f t="shared" si="78"/>
        <v/>
      </c>
      <c r="FB85" t="str">
        <f t="shared" si="79"/>
        <v/>
      </c>
      <c r="FE85" t="str">
        <f t="shared" si="80"/>
        <v/>
      </c>
      <c r="FH85" t="str">
        <f t="shared" si="81"/>
        <v/>
      </c>
      <c r="FK85" t="str">
        <f t="shared" si="82"/>
        <v/>
      </c>
      <c r="FN85" t="str">
        <f t="shared" si="83"/>
        <v/>
      </c>
      <c r="FQ85" t="str">
        <f t="shared" si="84"/>
        <v/>
      </c>
      <c r="FT85" t="str">
        <f t="shared" si="85"/>
        <v/>
      </c>
      <c r="FW85" t="str">
        <f t="shared" si="86"/>
        <v/>
      </c>
      <c r="FZ85" t="str">
        <f t="shared" si="87"/>
        <v/>
      </c>
      <c r="GC85" t="str">
        <f t="shared" si="88"/>
        <v/>
      </c>
      <c r="GE85" s="155"/>
    </row>
    <row r="86" spans="2:212" ht="15.75" customHeight="1" x14ac:dyDescent="0.35">
      <c r="B86" s="93" t="s">
        <v>2239</v>
      </c>
      <c r="G86" s="63" t="s">
        <v>1693</v>
      </c>
      <c r="L86" s="176">
        <v>870474</v>
      </c>
      <c r="O86" s="211">
        <v>1</v>
      </c>
      <c r="P86" s="212">
        <v>418525</v>
      </c>
      <c r="Q86" s="212">
        <v>5</v>
      </c>
      <c r="R86" s="212"/>
      <c r="S86" s="182">
        <v>6.125</v>
      </c>
      <c r="T86" s="198" t="s">
        <v>73</v>
      </c>
      <c r="U86" s="198">
        <v>986403</v>
      </c>
      <c r="V86" s="183" t="s">
        <v>87</v>
      </c>
      <c r="W86" s="184">
        <v>2</v>
      </c>
      <c r="X86" s="185">
        <v>3</v>
      </c>
      <c r="Y86" s="185">
        <v>3</v>
      </c>
      <c r="Z86" s="185">
        <v>3</v>
      </c>
      <c r="AA86" s="185">
        <v>3</v>
      </c>
      <c r="AB86" s="185">
        <v>3</v>
      </c>
      <c r="AC86" s="185">
        <v>1</v>
      </c>
      <c r="AD86" s="185">
        <v>2</v>
      </c>
      <c r="AE86" s="187"/>
      <c r="AF86" s="188"/>
      <c r="AG86" s="188"/>
      <c r="AH86" s="188"/>
      <c r="AI86" s="188"/>
      <c r="AJ86" s="188"/>
      <c r="AK86" s="188"/>
      <c r="AL86" s="188"/>
      <c r="AM86" s="188"/>
      <c r="AN86" s="188"/>
      <c r="AO86" s="188"/>
      <c r="AP86" s="188"/>
      <c r="AQ86" s="188"/>
      <c r="AR86" s="188"/>
      <c r="AS86" s="188"/>
      <c r="AT86" s="188"/>
      <c r="AU86" s="188"/>
      <c r="AV86" s="188"/>
      <c r="AW86" s="188"/>
      <c r="AX86" s="188"/>
      <c r="AY86" s="188"/>
      <c r="AZ86" s="188"/>
      <c r="BA86" s="188"/>
      <c r="BB86" s="188"/>
      <c r="BC86" s="188"/>
      <c r="BD86" s="188"/>
      <c r="BF86">
        <f>ROWS($U$46:U86)</f>
        <v>41</v>
      </c>
      <c r="BG86" t="str">
        <f t="shared" si="66"/>
        <v/>
      </c>
      <c r="DB86" s="37">
        <v>1027339</v>
      </c>
      <c r="DD86" s="75">
        <v>85</v>
      </c>
      <c r="DE86" s="37">
        <v>853551</v>
      </c>
      <c r="DF86"/>
      <c r="DG86" s="37" t="str">
        <f t="shared" si="69"/>
        <v>1613 CT125 GEDB 0.018"</v>
      </c>
      <c r="DH86" s="37">
        <v>16</v>
      </c>
      <c r="DI86" s="37">
        <v>1613</v>
      </c>
      <c r="DJ86" s="37" t="s">
        <v>102</v>
      </c>
      <c r="DK86" s="37" t="s">
        <v>272</v>
      </c>
      <c r="DL86" s="37" t="s">
        <v>240</v>
      </c>
      <c r="DM86" s="37">
        <v>0</v>
      </c>
      <c r="DN86" s="37">
        <v>0</v>
      </c>
      <c r="DO86" s="37">
        <v>497</v>
      </c>
      <c r="DP86" s="37"/>
      <c r="DQ86" s="37"/>
      <c r="DR86" s="37" t="str">
        <f t="shared" si="70"/>
        <v>1613 CT125 GEDB</v>
      </c>
      <c r="DS86" s="37">
        <f t="shared" si="89"/>
        <v>0</v>
      </c>
      <c r="DV86" s="10" t="s">
        <v>49</v>
      </c>
      <c r="DW86" t="s">
        <v>1590</v>
      </c>
      <c r="DX86">
        <v>30</v>
      </c>
      <c r="DY86" t="s">
        <v>1673</v>
      </c>
      <c r="DZ86" t="s">
        <v>1668</v>
      </c>
      <c r="EA86">
        <v>1</v>
      </c>
      <c r="EB86" t="s">
        <v>1513</v>
      </c>
      <c r="EC86" s="10">
        <v>662</v>
      </c>
      <c r="ED86" s="10" t="s">
        <v>1736</v>
      </c>
      <c r="EE86" s="813">
        <f t="shared" si="71"/>
        <v>0</v>
      </c>
      <c r="EF86">
        <f>ROWS($DE$2:DE86)</f>
        <v>85</v>
      </c>
      <c r="EG86" t="str">
        <f t="shared" si="72"/>
        <v/>
      </c>
      <c r="EJ86" t="str">
        <f t="shared" si="73"/>
        <v/>
      </c>
      <c r="EM86" t="str">
        <f t="shared" si="74"/>
        <v/>
      </c>
      <c r="EP86" t="str">
        <f t="shared" si="75"/>
        <v/>
      </c>
      <c r="ES86" t="str">
        <f t="shared" si="76"/>
        <v/>
      </c>
      <c r="EV86" t="str">
        <f t="shared" si="77"/>
        <v/>
      </c>
      <c r="EY86" t="str">
        <f t="shared" si="78"/>
        <v/>
      </c>
      <c r="FB86" t="str">
        <f t="shared" si="79"/>
        <v/>
      </c>
      <c r="FE86" t="str">
        <f t="shared" si="80"/>
        <v/>
      </c>
      <c r="FH86" t="str">
        <f t="shared" si="81"/>
        <v/>
      </c>
      <c r="FK86" t="str">
        <f t="shared" si="82"/>
        <v/>
      </c>
      <c r="FN86" t="str">
        <f t="shared" si="83"/>
        <v/>
      </c>
      <c r="FQ86" t="str">
        <f t="shared" si="84"/>
        <v/>
      </c>
      <c r="FT86" t="str">
        <f t="shared" si="85"/>
        <v/>
      </c>
      <c r="FW86" t="str">
        <f t="shared" si="86"/>
        <v/>
      </c>
      <c r="FZ86" t="str">
        <f t="shared" si="87"/>
        <v/>
      </c>
      <c r="GC86" t="str">
        <f t="shared" si="88"/>
        <v/>
      </c>
      <c r="GE86" s="155"/>
    </row>
    <row r="87" spans="2:212" ht="15.75" customHeight="1" x14ac:dyDescent="0.35">
      <c r="B87" s="93" t="s">
        <v>1136</v>
      </c>
      <c r="G87" s="63" t="s">
        <v>1694</v>
      </c>
      <c r="L87" s="176">
        <v>870489</v>
      </c>
      <c r="O87" s="197">
        <v>2</v>
      </c>
      <c r="P87" s="190">
        <v>703670</v>
      </c>
      <c r="Q87" s="190">
        <v>8</v>
      </c>
      <c r="R87" s="190" t="s">
        <v>1116</v>
      </c>
      <c r="S87" s="190">
        <v>6.125</v>
      </c>
      <c r="T87" s="201" t="s">
        <v>73</v>
      </c>
      <c r="U87" s="201">
        <v>986403</v>
      </c>
      <c r="V87" s="171" t="s">
        <v>88</v>
      </c>
      <c r="W87" s="191">
        <v>3</v>
      </c>
      <c r="X87" s="173">
        <v>3</v>
      </c>
      <c r="Y87" s="173">
        <v>3</v>
      </c>
      <c r="Z87" s="173">
        <v>1</v>
      </c>
      <c r="AA87" s="192">
        <v>2</v>
      </c>
      <c r="AB87" s="171"/>
      <c r="AC87" s="172"/>
      <c r="AD87" s="175"/>
      <c r="AE87" s="188"/>
      <c r="AF87" s="188"/>
      <c r="AG87" s="188"/>
      <c r="AH87" s="188"/>
      <c r="AI87" s="188"/>
      <c r="AJ87" s="188"/>
      <c r="AK87" s="188"/>
      <c r="AL87" s="188"/>
      <c r="AM87" s="188"/>
      <c r="AN87" s="188"/>
      <c r="AO87" s="188"/>
      <c r="AP87" s="188"/>
      <c r="AQ87" s="188"/>
      <c r="AR87" s="188"/>
      <c r="AS87" s="188"/>
      <c r="AT87" s="188"/>
      <c r="AU87" s="188"/>
      <c r="AV87" s="188"/>
      <c r="AW87" s="188"/>
      <c r="AX87" s="188"/>
      <c r="AY87" s="188"/>
      <c r="AZ87" s="188"/>
      <c r="BA87" s="188"/>
      <c r="BB87" s="188"/>
      <c r="BC87" s="188"/>
      <c r="BD87" s="188"/>
      <c r="BF87">
        <f>ROWS($U$46:U87)</f>
        <v>42</v>
      </c>
      <c r="BG87" t="str">
        <f t="shared" si="66"/>
        <v/>
      </c>
      <c r="DB87" s="37">
        <v>1039034</v>
      </c>
      <c r="DD87" s="75">
        <v>86</v>
      </c>
      <c r="DE87" s="37">
        <v>717747</v>
      </c>
      <c r="DF87" t="s">
        <v>789</v>
      </c>
      <c r="DG87" s="37" t="str">
        <f t="shared" si="69"/>
        <v>1010 CT200  0.010"</v>
      </c>
      <c r="DH87" s="37">
        <v>10</v>
      </c>
      <c r="DI87" s="37">
        <v>1010</v>
      </c>
      <c r="DJ87" s="37" t="s">
        <v>101</v>
      </c>
      <c r="DK87" s="37"/>
      <c r="DL87" s="37" t="s">
        <v>239</v>
      </c>
      <c r="DM87" s="37"/>
      <c r="DN87" s="37"/>
      <c r="DO87" s="37">
        <v>272</v>
      </c>
      <c r="DP87" s="37"/>
      <c r="DQ87" s="37"/>
      <c r="DR87" s="37" t="str">
        <f t="shared" si="70"/>
        <v xml:space="preserve">1010 CT200 </v>
      </c>
      <c r="DS87" s="37">
        <f t="shared" si="89"/>
        <v>0</v>
      </c>
      <c r="DU87" s="10">
        <v>100</v>
      </c>
      <c r="DV87" s="10" t="s">
        <v>146</v>
      </c>
      <c r="DW87" t="s">
        <v>1588</v>
      </c>
      <c r="DX87">
        <v>10</v>
      </c>
      <c r="DY87" t="s">
        <v>1678</v>
      </c>
      <c r="DZ87" t="s">
        <v>1671</v>
      </c>
      <c r="EA87">
        <v>1</v>
      </c>
      <c r="EB87" t="s">
        <v>1513</v>
      </c>
      <c r="EC87" s="10">
        <v>215</v>
      </c>
      <c r="ED87" s="10" t="s">
        <v>1741</v>
      </c>
      <c r="EE87" s="813">
        <f t="shared" si="71"/>
        <v>0</v>
      </c>
      <c r="EF87">
        <f>ROWS($DE$2:DE87)</f>
        <v>86</v>
      </c>
      <c r="EG87" t="str">
        <f t="shared" si="72"/>
        <v/>
      </c>
      <c r="EJ87" t="str">
        <f t="shared" si="73"/>
        <v/>
      </c>
      <c r="EM87" t="str">
        <f t="shared" si="74"/>
        <v/>
      </c>
      <c r="EP87" t="str">
        <f t="shared" si="75"/>
        <v/>
      </c>
      <c r="ES87" t="str">
        <f t="shared" si="76"/>
        <v/>
      </c>
      <c r="EV87" t="str">
        <f t="shared" si="77"/>
        <v/>
      </c>
      <c r="EY87" t="str">
        <f t="shared" si="78"/>
        <v/>
      </c>
      <c r="FB87" t="str">
        <f t="shared" si="79"/>
        <v/>
      </c>
      <c r="FE87" t="str">
        <f t="shared" si="80"/>
        <v/>
      </c>
      <c r="FH87" t="str">
        <f t="shared" si="81"/>
        <v/>
      </c>
      <c r="FK87" t="str">
        <f t="shared" si="82"/>
        <v/>
      </c>
      <c r="FN87" t="str">
        <f t="shared" si="83"/>
        <v/>
      </c>
      <c r="FQ87" t="str">
        <f t="shared" si="84"/>
        <v/>
      </c>
      <c r="FT87" t="str">
        <f t="shared" si="85"/>
        <v/>
      </c>
      <c r="FW87" t="str">
        <f t="shared" si="86"/>
        <v/>
      </c>
      <c r="FZ87" t="str">
        <f t="shared" si="87"/>
        <v/>
      </c>
      <c r="GC87" t="str">
        <f t="shared" si="88"/>
        <v/>
      </c>
      <c r="GE87" s="155"/>
    </row>
    <row r="88" spans="2:212" ht="15.75" customHeight="1" x14ac:dyDescent="0.35">
      <c r="B88" s="10"/>
      <c r="G88" s="63" t="s">
        <v>1695</v>
      </c>
      <c r="L88" s="176">
        <v>874733</v>
      </c>
      <c r="O88" s="199">
        <v>3</v>
      </c>
      <c r="P88" s="200">
        <v>802065</v>
      </c>
      <c r="Q88" s="200">
        <v>20</v>
      </c>
      <c r="R88" s="200" t="s">
        <v>741</v>
      </c>
      <c r="S88" s="190">
        <v>6.125</v>
      </c>
      <c r="T88" s="201" t="s">
        <v>73</v>
      </c>
      <c r="U88" s="201">
        <v>986403</v>
      </c>
      <c r="V88" s="171" t="s">
        <v>89</v>
      </c>
      <c r="W88" s="191">
        <v>2</v>
      </c>
      <c r="X88" s="173">
        <v>3</v>
      </c>
      <c r="Y88" s="173">
        <v>3</v>
      </c>
      <c r="Z88" s="173">
        <v>3</v>
      </c>
      <c r="AA88" s="173">
        <v>3</v>
      </c>
      <c r="AB88" s="173">
        <v>1</v>
      </c>
      <c r="AC88" s="192">
        <v>2</v>
      </c>
      <c r="AD88" s="192"/>
      <c r="AE88" s="188"/>
      <c r="AF88" s="188"/>
      <c r="AG88" s="188"/>
      <c r="AH88" s="188"/>
      <c r="AI88" s="188"/>
      <c r="AJ88" s="188"/>
      <c r="AK88" s="188"/>
      <c r="AL88" s="188"/>
      <c r="AM88" s="188"/>
      <c r="AN88" s="188"/>
      <c r="AO88" s="188"/>
      <c r="AP88" s="188"/>
      <c r="AQ88" s="188"/>
      <c r="AR88" s="188"/>
      <c r="AS88" s="188"/>
      <c r="AT88" s="188"/>
      <c r="AU88" s="188"/>
      <c r="AV88" s="188"/>
      <c r="AW88" s="188"/>
      <c r="AX88" s="188"/>
      <c r="AY88" s="188"/>
      <c r="AZ88" s="188"/>
      <c r="BA88" s="188"/>
      <c r="BB88" s="188"/>
      <c r="BC88" s="188"/>
      <c r="BD88" s="188"/>
      <c r="BF88">
        <f>ROWS($U$46:U88)</f>
        <v>43</v>
      </c>
      <c r="BG88" t="str">
        <f t="shared" si="66"/>
        <v/>
      </c>
      <c r="DB88" s="37">
        <v>1039036</v>
      </c>
      <c r="DD88" s="75">
        <v>46</v>
      </c>
      <c r="DE88" s="37">
        <v>1010264</v>
      </c>
      <c r="DF88" t="s">
        <v>151</v>
      </c>
      <c r="DG88" s="37" t="str">
        <f t="shared" si="69"/>
        <v>1005 CT109 TSPV 0.010"</v>
      </c>
      <c r="DH88" s="37">
        <v>10</v>
      </c>
      <c r="DI88" s="37">
        <v>1005</v>
      </c>
      <c r="DJ88" s="37" t="s">
        <v>247</v>
      </c>
      <c r="DK88" s="37" t="s">
        <v>242</v>
      </c>
      <c r="DL88" s="37" t="s">
        <v>239</v>
      </c>
      <c r="DM88" s="37">
        <v>5</v>
      </c>
      <c r="DN88" s="37">
        <v>0</v>
      </c>
      <c r="DO88" s="37">
        <v>272</v>
      </c>
      <c r="DP88" s="37"/>
      <c r="DQ88" s="37">
        <v>50</v>
      </c>
      <c r="DR88" s="37" t="str">
        <f t="shared" si="70"/>
        <v>1005 CT109 TSPV</v>
      </c>
      <c r="DS88" s="37">
        <f t="shared" si="89"/>
        <v>0</v>
      </c>
      <c r="DV88" s="10" t="s">
        <v>49</v>
      </c>
      <c r="DW88" t="s">
        <v>1588</v>
      </c>
      <c r="DX88">
        <v>30</v>
      </c>
      <c r="DY88" t="s">
        <v>1683</v>
      </c>
      <c r="DZ88" t="s">
        <v>1671</v>
      </c>
      <c r="EA88">
        <v>1</v>
      </c>
      <c r="EB88" t="s">
        <v>1513</v>
      </c>
      <c r="EC88" s="10">
        <v>419</v>
      </c>
      <c r="ED88" s="10" t="s">
        <v>1746</v>
      </c>
      <c r="EE88" s="813">
        <f t="shared" si="71"/>
        <v>0</v>
      </c>
      <c r="EF88">
        <f>ROWS($DE$2:DE88)</f>
        <v>87</v>
      </c>
      <c r="EG88" t="str">
        <f t="shared" si="72"/>
        <v/>
      </c>
      <c r="EJ88" t="str">
        <f t="shared" si="73"/>
        <v/>
      </c>
      <c r="EM88" t="str">
        <f t="shared" si="74"/>
        <v/>
      </c>
      <c r="EP88" t="str">
        <f t="shared" si="75"/>
        <v/>
      </c>
      <c r="ES88" t="str">
        <f t="shared" si="76"/>
        <v/>
      </c>
      <c r="EV88" t="str">
        <f t="shared" si="77"/>
        <v/>
      </c>
      <c r="EY88" t="str">
        <f t="shared" si="78"/>
        <v/>
      </c>
      <c r="FB88" t="str">
        <f t="shared" si="79"/>
        <v/>
      </c>
      <c r="FE88" t="str">
        <f t="shared" si="80"/>
        <v/>
      </c>
      <c r="FH88" t="str">
        <f t="shared" si="81"/>
        <v/>
      </c>
      <c r="FK88" t="str">
        <f t="shared" si="82"/>
        <v/>
      </c>
      <c r="FN88" t="str">
        <f t="shared" si="83"/>
        <v/>
      </c>
      <c r="FQ88" t="str">
        <f t="shared" si="84"/>
        <v/>
      </c>
      <c r="FT88" t="str">
        <f t="shared" si="85"/>
        <v/>
      </c>
      <c r="FW88" t="str">
        <f t="shared" si="86"/>
        <v/>
      </c>
      <c r="FZ88" t="str">
        <f t="shared" si="87"/>
        <v/>
      </c>
      <c r="GC88" t="str">
        <f t="shared" si="88"/>
        <v/>
      </c>
      <c r="GE88" s="155"/>
    </row>
    <row r="89" spans="2:212" ht="15.75" customHeight="1" x14ac:dyDescent="0.35">
      <c r="B89" s="10"/>
      <c r="G89" s="63" t="s">
        <v>1696</v>
      </c>
      <c r="L89" s="176">
        <v>882281</v>
      </c>
      <c r="O89" s="202"/>
      <c r="P89" s="203"/>
      <c r="Q89" s="203"/>
      <c r="R89" s="204"/>
      <c r="S89" s="201">
        <v>6.125</v>
      </c>
      <c r="T89" s="201" t="s">
        <v>73</v>
      </c>
      <c r="U89" s="201">
        <v>986403</v>
      </c>
      <c r="V89" s="171" t="s">
        <v>90</v>
      </c>
      <c r="W89" s="191">
        <v>2</v>
      </c>
      <c r="X89" s="173">
        <v>3</v>
      </c>
      <c r="Y89" s="173">
        <v>3</v>
      </c>
      <c r="Z89" s="173">
        <v>3</v>
      </c>
      <c r="AA89" s="173">
        <v>3</v>
      </c>
      <c r="AB89" s="174">
        <v>3</v>
      </c>
      <c r="AC89" s="174">
        <v>1</v>
      </c>
      <c r="AD89" s="177">
        <v>2</v>
      </c>
      <c r="AE89" s="187"/>
      <c r="AF89" s="188"/>
      <c r="AG89" s="188"/>
      <c r="AH89" s="188"/>
      <c r="AI89" s="188"/>
      <c r="AJ89" s="188"/>
      <c r="AK89" s="188"/>
      <c r="AL89" s="188"/>
      <c r="AM89" s="188"/>
      <c r="AN89" s="188"/>
      <c r="AO89" s="188"/>
      <c r="AP89" s="188"/>
      <c r="AQ89" s="188"/>
      <c r="AR89" s="188"/>
      <c r="AS89" s="188"/>
      <c r="AT89" s="188"/>
      <c r="AU89" s="188"/>
      <c r="AV89" s="188"/>
      <c r="AW89" s="188"/>
      <c r="AX89" s="188"/>
      <c r="AY89" s="188"/>
      <c r="AZ89" s="188"/>
      <c r="BA89" s="188"/>
      <c r="BB89" s="188"/>
      <c r="BC89" s="188"/>
      <c r="BD89" s="188"/>
      <c r="BF89">
        <f>ROWS($U$46:U89)</f>
        <v>44</v>
      </c>
      <c r="BG89" t="str">
        <f t="shared" si="66"/>
        <v/>
      </c>
      <c r="DB89" s="37">
        <v>768848</v>
      </c>
      <c r="DD89" s="75">
        <v>70</v>
      </c>
      <c r="DE89" s="37">
        <v>1014885</v>
      </c>
      <c r="DF89" t="s">
        <v>152</v>
      </c>
      <c r="DG89" s="37" t="s">
        <v>800</v>
      </c>
      <c r="DH89" s="37">
        <v>13</v>
      </c>
      <c r="DI89" s="37">
        <v>1308</v>
      </c>
      <c r="DJ89" s="37" t="s">
        <v>248</v>
      </c>
      <c r="DK89" s="37"/>
      <c r="DL89" s="37" t="s">
        <v>240</v>
      </c>
      <c r="DM89" s="37">
        <v>0</v>
      </c>
      <c r="DN89" s="37">
        <v>58</v>
      </c>
      <c r="DO89" s="37">
        <v>360</v>
      </c>
      <c r="DP89" s="37"/>
      <c r="DQ89" s="37"/>
      <c r="DR89" s="37" t="s">
        <v>801</v>
      </c>
      <c r="DS89" s="37">
        <f t="shared" si="89"/>
        <v>0</v>
      </c>
      <c r="DV89" s="10" t="s">
        <v>49</v>
      </c>
      <c r="DW89" t="s">
        <v>1589</v>
      </c>
      <c r="DX89">
        <v>30</v>
      </c>
      <c r="DY89" t="s">
        <v>1677</v>
      </c>
      <c r="DZ89" t="s">
        <v>1670</v>
      </c>
      <c r="EA89">
        <v>1</v>
      </c>
      <c r="EB89" t="s">
        <v>1513</v>
      </c>
      <c r="EC89" s="10">
        <v>480</v>
      </c>
      <c r="ED89" s="10" t="s">
        <v>1740</v>
      </c>
      <c r="EE89" s="813">
        <f t="shared" si="71"/>
        <v>0</v>
      </c>
      <c r="EF89">
        <f>ROWS($DE$2:DE89)</f>
        <v>88</v>
      </c>
      <c r="EG89" t="str">
        <f t="shared" si="72"/>
        <v/>
      </c>
      <c r="EJ89" t="str">
        <f t="shared" si="73"/>
        <v/>
      </c>
      <c r="EM89" t="str">
        <f t="shared" si="74"/>
        <v/>
      </c>
      <c r="EP89" t="str">
        <f t="shared" si="75"/>
        <v/>
      </c>
      <c r="ES89" t="str">
        <f t="shared" si="76"/>
        <v/>
      </c>
      <c r="EV89" t="str">
        <f t="shared" si="77"/>
        <v/>
      </c>
      <c r="EY89" t="str">
        <f t="shared" si="78"/>
        <v/>
      </c>
      <c r="FB89" t="str">
        <f t="shared" si="79"/>
        <v/>
      </c>
      <c r="FE89" t="str">
        <f t="shared" si="80"/>
        <v/>
      </c>
      <c r="FH89" t="str">
        <f t="shared" si="81"/>
        <v/>
      </c>
      <c r="FK89" t="str">
        <f t="shared" si="82"/>
        <v/>
      </c>
      <c r="FN89" t="str">
        <f t="shared" si="83"/>
        <v/>
      </c>
      <c r="FQ89" t="str">
        <f t="shared" si="84"/>
        <v/>
      </c>
      <c r="FT89" t="str">
        <f t="shared" si="85"/>
        <v/>
      </c>
      <c r="FW89" t="str">
        <f t="shared" si="86"/>
        <v/>
      </c>
      <c r="FZ89" t="str">
        <f t="shared" si="87"/>
        <v/>
      </c>
      <c r="GC89" t="str">
        <f t="shared" si="88"/>
        <v/>
      </c>
      <c r="GE89" s="155"/>
    </row>
    <row r="90" spans="2:212" ht="15.75" customHeight="1" thickBot="1" x14ac:dyDescent="0.4">
      <c r="B90" s="10"/>
      <c r="G90" s="63" t="s">
        <v>1697</v>
      </c>
      <c r="L90" s="176">
        <v>886362</v>
      </c>
      <c r="O90" s="207"/>
      <c r="P90" s="208"/>
      <c r="Q90" s="208"/>
      <c r="R90" s="209"/>
      <c r="S90" s="210">
        <v>6.125</v>
      </c>
      <c r="T90" s="210" t="s">
        <v>73</v>
      </c>
      <c r="U90" s="210">
        <v>986403</v>
      </c>
      <c r="V90" s="195" t="s">
        <v>91</v>
      </c>
      <c r="W90" s="191">
        <v>3</v>
      </c>
      <c r="X90" s="173">
        <v>3</v>
      </c>
      <c r="Y90" s="173">
        <v>3</v>
      </c>
      <c r="Z90" s="173">
        <v>1</v>
      </c>
      <c r="AA90" s="192">
        <v>2</v>
      </c>
      <c r="AB90" s="171"/>
      <c r="AC90" s="172"/>
      <c r="AD90" s="175"/>
      <c r="AE90" s="188"/>
      <c r="AF90" s="188"/>
      <c r="AG90" s="188"/>
      <c r="AH90" s="188"/>
      <c r="AI90" s="188"/>
      <c r="AJ90" s="188"/>
      <c r="AK90" s="188"/>
      <c r="AL90" s="188"/>
      <c r="AM90" s="188"/>
      <c r="AN90" s="188"/>
      <c r="AO90" s="188"/>
      <c r="AP90" s="188"/>
      <c r="AQ90" s="188"/>
      <c r="AR90" s="188"/>
      <c r="AS90" s="188"/>
      <c r="AT90" s="188"/>
      <c r="AU90" s="188"/>
      <c r="AV90" s="188"/>
      <c r="AW90" s="188"/>
      <c r="AX90" s="188"/>
      <c r="AY90" s="188"/>
      <c r="AZ90" s="188"/>
      <c r="BA90" s="188"/>
      <c r="BB90" s="188"/>
      <c r="BC90" s="188"/>
      <c r="BD90" s="188"/>
      <c r="BF90">
        <f>ROWS($U$46:U90)</f>
        <v>45</v>
      </c>
      <c r="BG90" t="str">
        <f t="shared" si="66"/>
        <v/>
      </c>
      <c r="DB90" s="37">
        <v>703671</v>
      </c>
      <c r="DD90" s="75">
        <v>71</v>
      </c>
      <c r="DE90" s="37">
        <v>1014939</v>
      </c>
      <c r="DF90" t="s">
        <v>153</v>
      </c>
      <c r="DG90" s="37" t="s">
        <v>802</v>
      </c>
      <c r="DH90" s="37">
        <v>16</v>
      </c>
      <c r="DI90" s="37">
        <v>1608</v>
      </c>
      <c r="DJ90" s="37" t="s">
        <v>248</v>
      </c>
      <c r="DK90" s="37"/>
      <c r="DL90" s="37" t="s">
        <v>240</v>
      </c>
      <c r="DM90" s="37">
        <v>0</v>
      </c>
      <c r="DN90" s="37">
        <v>28</v>
      </c>
      <c r="DO90" s="37">
        <v>497</v>
      </c>
      <c r="DP90" s="37"/>
      <c r="DQ90" s="37"/>
      <c r="DR90" s="37" t="s">
        <v>803</v>
      </c>
      <c r="DS90" s="37">
        <f t="shared" si="89"/>
        <v>0</v>
      </c>
      <c r="DV90" s="10" t="s">
        <v>49</v>
      </c>
      <c r="DW90" t="s">
        <v>1590</v>
      </c>
      <c r="DX90">
        <v>30</v>
      </c>
      <c r="DY90" t="s">
        <v>1673</v>
      </c>
      <c r="DZ90" t="s">
        <v>1668</v>
      </c>
      <c r="EA90">
        <v>1</v>
      </c>
      <c r="EB90" t="s">
        <v>1513</v>
      </c>
      <c r="EC90" s="10">
        <v>662</v>
      </c>
      <c r="ED90" s="10" t="s">
        <v>1736</v>
      </c>
      <c r="EE90" s="813">
        <f t="shared" si="71"/>
        <v>0</v>
      </c>
      <c r="EF90">
        <f>ROWS($DE$2:DE90)</f>
        <v>89</v>
      </c>
      <c r="EG90" t="str">
        <f t="shared" si="72"/>
        <v/>
      </c>
      <c r="EJ90" t="str">
        <f t="shared" si="73"/>
        <v/>
      </c>
      <c r="EM90" t="str">
        <f t="shared" si="74"/>
        <v/>
      </c>
      <c r="EP90" t="str">
        <f t="shared" si="75"/>
        <v/>
      </c>
      <c r="ES90" t="str">
        <f t="shared" si="76"/>
        <v/>
      </c>
      <c r="EV90" t="str">
        <f t="shared" si="77"/>
        <v/>
      </c>
      <c r="EY90" t="str">
        <f t="shared" si="78"/>
        <v/>
      </c>
      <c r="FB90" t="str">
        <f t="shared" si="79"/>
        <v/>
      </c>
      <c r="FE90" t="str">
        <f t="shared" si="80"/>
        <v/>
      </c>
      <c r="FH90" t="str">
        <f t="shared" si="81"/>
        <v/>
      </c>
      <c r="FK90" t="str">
        <f t="shared" si="82"/>
        <v/>
      </c>
      <c r="FN90" t="str">
        <f t="shared" si="83"/>
        <v/>
      </c>
      <c r="FQ90" t="str">
        <f t="shared" si="84"/>
        <v/>
      </c>
      <c r="FT90" t="str">
        <f t="shared" si="85"/>
        <v/>
      </c>
      <c r="FW90" t="str">
        <f t="shared" si="86"/>
        <v/>
      </c>
      <c r="FZ90" t="str">
        <f t="shared" si="87"/>
        <v/>
      </c>
      <c r="GC90" t="str">
        <f t="shared" si="88"/>
        <v/>
      </c>
      <c r="GE90" s="155"/>
    </row>
    <row r="91" spans="2:212" ht="16.5" customHeight="1" x14ac:dyDescent="0.35">
      <c r="B91" s="10"/>
      <c r="G91" s="63" t="s">
        <v>1698</v>
      </c>
      <c r="L91" s="176">
        <v>887309</v>
      </c>
      <c r="O91" s="211">
        <v>1</v>
      </c>
      <c r="P91" s="212">
        <v>703670</v>
      </c>
      <c r="Q91" s="212">
        <v>9</v>
      </c>
      <c r="R91" s="212"/>
      <c r="S91" s="182">
        <v>6.125</v>
      </c>
      <c r="T91" s="198" t="s">
        <v>742</v>
      </c>
      <c r="U91" s="198">
        <v>1002869</v>
      </c>
      <c r="V91" s="183" t="s">
        <v>87</v>
      </c>
      <c r="W91" s="184">
        <v>1</v>
      </c>
      <c r="X91" s="185">
        <v>2</v>
      </c>
      <c r="Y91" s="185">
        <v>2</v>
      </c>
      <c r="Z91" s="185">
        <v>2</v>
      </c>
      <c r="AA91" s="186">
        <v>2</v>
      </c>
      <c r="AB91" s="186">
        <v>2</v>
      </c>
      <c r="AC91" s="186">
        <v>1</v>
      </c>
      <c r="AD91" s="187"/>
      <c r="AE91" s="188"/>
      <c r="AF91" s="188"/>
      <c r="AG91" s="188"/>
      <c r="AH91" s="188"/>
      <c r="AI91" s="188"/>
      <c r="AJ91" s="188"/>
      <c r="AK91" s="188"/>
      <c r="AL91" s="188"/>
      <c r="AM91" s="188"/>
      <c r="AN91" s="188"/>
      <c r="AO91" s="188"/>
      <c r="AP91" s="188"/>
      <c r="AQ91" s="188"/>
      <c r="AR91" s="188"/>
      <c r="AS91" s="188"/>
      <c r="AT91" s="188"/>
      <c r="AU91" s="188"/>
      <c r="AV91" s="188"/>
      <c r="AW91" s="188"/>
      <c r="AX91" s="188"/>
      <c r="AY91" s="188"/>
      <c r="AZ91" s="188"/>
      <c r="BA91" s="188"/>
      <c r="BB91" s="188"/>
      <c r="BC91" s="188"/>
      <c r="BD91" s="188"/>
      <c r="BF91">
        <f>ROWS($U$46:U91)</f>
        <v>46</v>
      </c>
      <c r="BG91" t="str">
        <f t="shared" si="66"/>
        <v/>
      </c>
      <c r="DB91" s="37">
        <v>932811</v>
      </c>
      <c r="DD91" s="75">
        <v>67</v>
      </c>
      <c r="DE91" s="37">
        <v>1017002</v>
      </c>
      <c r="DF91" t="s">
        <v>154</v>
      </c>
      <c r="DG91" s="37" t="s">
        <v>804</v>
      </c>
      <c r="DH91" s="37">
        <v>13</v>
      </c>
      <c r="DI91" s="37">
        <v>1313</v>
      </c>
      <c r="DJ91" s="37"/>
      <c r="DK91" s="37" t="s">
        <v>234</v>
      </c>
      <c r="DL91" s="37"/>
      <c r="DM91" s="37">
        <v>3</v>
      </c>
      <c r="DN91" s="37">
        <v>0</v>
      </c>
      <c r="DO91" s="37">
        <v>360</v>
      </c>
      <c r="DP91" s="37"/>
      <c r="DQ91" s="37"/>
      <c r="DR91" s="37" t="s">
        <v>805</v>
      </c>
      <c r="DS91" s="37">
        <f t="shared" si="89"/>
        <v>0</v>
      </c>
      <c r="DV91" s="10" t="s">
        <v>146</v>
      </c>
      <c r="DW91" t="s">
        <v>1589</v>
      </c>
      <c r="DX91">
        <v>10</v>
      </c>
      <c r="DY91" t="s">
        <v>1675</v>
      </c>
      <c r="DZ91" t="s">
        <v>1670</v>
      </c>
      <c r="EA91">
        <v>1</v>
      </c>
      <c r="EB91" t="s">
        <v>1513</v>
      </c>
      <c r="EC91" s="10">
        <v>345</v>
      </c>
      <c r="ED91" s="10" t="s">
        <v>1738</v>
      </c>
      <c r="EE91" s="813">
        <f t="shared" si="71"/>
        <v>0</v>
      </c>
      <c r="EF91">
        <f>ROWS($DE$2:DE91)</f>
        <v>90</v>
      </c>
      <c r="EG91" t="str">
        <f t="shared" si="72"/>
        <v/>
      </c>
      <c r="EJ91" t="str">
        <f t="shared" si="73"/>
        <v/>
      </c>
      <c r="EM91" t="str">
        <f t="shared" si="74"/>
        <v/>
      </c>
      <c r="EP91" t="str">
        <f t="shared" si="75"/>
        <v/>
      </c>
      <c r="ES91" t="str">
        <f t="shared" si="76"/>
        <v/>
      </c>
      <c r="EV91" t="str">
        <f t="shared" si="77"/>
        <v/>
      </c>
      <c r="EY91" t="str">
        <f t="shared" si="78"/>
        <v/>
      </c>
      <c r="FB91" t="str">
        <f t="shared" si="79"/>
        <v/>
      </c>
      <c r="FE91" t="str">
        <f t="shared" si="80"/>
        <v/>
      </c>
      <c r="FH91" t="str">
        <f t="shared" si="81"/>
        <v/>
      </c>
      <c r="FK91" t="str">
        <f t="shared" si="82"/>
        <v/>
      </c>
      <c r="FN91" t="str">
        <f t="shared" si="83"/>
        <v/>
      </c>
      <c r="FQ91" t="str">
        <f t="shared" si="84"/>
        <v/>
      </c>
      <c r="FT91" t="str">
        <f t="shared" si="85"/>
        <v/>
      </c>
      <c r="FW91" t="str">
        <f t="shared" si="86"/>
        <v/>
      </c>
      <c r="FZ91" t="str">
        <f t="shared" si="87"/>
        <v/>
      </c>
      <c r="GC91" t="str">
        <f t="shared" si="88"/>
        <v/>
      </c>
      <c r="GE91" s="155"/>
    </row>
    <row r="92" spans="2:212" ht="15.75" customHeight="1" x14ac:dyDescent="0.35">
      <c r="B92" s="10"/>
      <c r="G92" s="63" t="s">
        <v>1699</v>
      </c>
      <c r="L92" s="176">
        <v>888856</v>
      </c>
      <c r="O92" s="199">
        <v>2</v>
      </c>
      <c r="P92" s="200">
        <v>932725</v>
      </c>
      <c r="Q92" s="200">
        <v>22</v>
      </c>
      <c r="R92" s="200"/>
      <c r="S92" s="190">
        <v>6.125</v>
      </c>
      <c r="T92" s="201" t="s">
        <v>742</v>
      </c>
      <c r="U92" s="201">
        <v>1002869</v>
      </c>
      <c r="V92" s="171" t="s">
        <v>88</v>
      </c>
      <c r="W92" s="191">
        <v>2</v>
      </c>
      <c r="X92" s="173">
        <v>2</v>
      </c>
      <c r="Y92" s="173">
        <v>2</v>
      </c>
      <c r="Z92" s="192">
        <v>1</v>
      </c>
      <c r="AA92" s="171"/>
      <c r="AB92" s="172"/>
      <c r="AC92" s="175"/>
      <c r="AD92" s="188"/>
      <c r="AE92" s="188"/>
      <c r="AF92" s="188"/>
      <c r="AG92" s="188"/>
      <c r="AH92" s="188"/>
      <c r="AI92" s="188"/>
      <c r="AJ92" s="188"/>
      <c r="AK92" s="188"/>
      <c r="AL92" s="188"/>
      <c r="AM92" s="188"/>
      <c r="AN92" s="188"/>
      <c r="AO92" s="188"/>
      <c r="AP92" s="188"/>
      <c r="AQ92" s="188"/>
      <c r="AR92" s="188"/>
      <c r="AS92" s="188"/>
      <c r="AT92" s="188"/>
      <c r="AU92" s="188"/>
      <c r="AV92" s="188"/>
      <c r="AW92" s="188"/>
      <c r="AX92" s="188"/>
      <c r="AY92" s="188"/>
      <c r="AZ92" s="188"/>
      <c r="BA92" s="188"/>
      <c r="BB92" s="188"/>
      <c r="BC92" s="188"/>
      <c r="BD92" s="188"/>
      <c r="BF92">
        <f>ROWS($U$46:U92)</f>
        <v>47</v>
      </c>
      <c r="BG92" t="str">
        <f t="shared" si="66"/>
        <v/>
      </c>
      <c r="DB92" s="37">
        <v>932807</v>
      </c>
      <c r="DD92" s="75">
        <v>78</v>
      </c>
      <c r="DE92" s="37">
        <v>1027339</v>
      </c>
      <c r="DF92" t="s">
        <v>155</v>
      </c>
      <c r="DG92" s="37" t="s">
        <v>806</v>
      </c>
      <c r="DH92" s="37">
        <v>16</v>
      </c>
      <c r="DI92" s="37">
        <v>1608</v>
      </c>
      <c r="DJ92" s="37" t="s">
        <v>243</v>
      </c>
      <c r="DK92" s="37"/>
      <c r="DL92" s="37" t="s">
        <v>239</v>
      </c>
      <c r="DM92" s="37">
        <v>6</v>
      </c>
      <c r="DN92" s="37">
        <v>0</v>
      </c>
      <c r="DO92" s="37">
        <v>497</v>
      </c>
      <c r="DP92" s="37"/>
      <c r="DQ92" s="37"/>
      <c r="DR92" s="37" t="s">
        <v>807</v>
      </c>
      <c r="DS92" s="37">
        <f t="shared" si="89"/>
        <v>0</v>
      </c>
      <c r="DV92" s="10" t="s">
        <v>49</v>
      </c>
      <c r="DW92" t="s">
        <v>1590</v>
      </c>
      <c r="DX92">
        <v>30</v>
      </c>
      <c r="DY92" t="s">
        <v>1673</v>
      </c>
      <c r="DZ92" t="s">
        <v>1668</v>
      </c>
      <c r="EA92">
        <v>1</v>
      </c>
      <c r="EB92" t="s">
        <v>1513</v>
      </c>
      <c r="EC92" s="10">
        <v>662</v>
      </c>
      <c r="ED92" s="10" t="s">
        <v>1736</v>
      </c>
      <c r="EE92" s="813">
        <f t="shared" si="71"/>
        <v>0</v>
      </c>
      <c r="EF92">
        <f>ROWS($DE$2:DE92)</f>
        <v>91</v>
      </c>
      <c r="EG92" t="str">
        <f t="shared" si="72"/>
        <v/>
      </c>
      <c r="EJ92" t="str">
        <f t="shared" si="73"/>
        <v/>
      </c>
      <c r="EM92" t="str">
        <f t="shared" si="74"/>
        <v/>
      </c>
      <c r="EP92" t="str">
        <f t="shared" si="75"/>
        <v/>
      </c>
      <c r="ES92" t="str">
        <f t="shared" si="76"/>
        <v/>
      </c>
      <c r="EV92" t="str">
        <f t="shared" si="77"/>
        <v/>
      </c>
      <c r="EY92" t="str">
        <f t="shared" si="78"/>
        <v/>
      </c>
      <c r="FB92" t="str">
        <f t="shared" si="79"/>
        <v/>
      </c>
      <c r="FE92" t="str">
        <f t="shared" si="80"/>
        <v/>
      </c>
      <c r="FH92" t="str">
        <f t="shared" si="81"/>
        <v/>
      </c>
      <c r="FK92" t="str">
        <f t="shared" si="82"/>
        <v/>
      </c>
      <c r="FN92" t="str">
        <f t="shared" si="83"/>
        <v/>
      </c>
      <c r="FQ92" t="str">
        <f t="shared" si="84"/>
        <v/>
      </c>
      <c r="FT92" t="str">
        <f t="shared" si="85"/>
        <v/>
      </c>
      <c r="FW92" t="str">
        <f t="shared" si="86"/>
        <v/>
      </c>
      <c r="FZ92" t="str">
        <f t="shared" si="87"/>
        <v/>
      </c>
      <c r="GC92" t="str">
        <f t="shared" si="88"/>
        <v/>
      </c>
      <c r="GE92" s="155"/>
    </row>
    <row r="93" spans="2:212" ht="61.5" customHeight="1" x14ac:dyDescent="0.35">
      <c r="B93" s="10"/>
      <c r="G93" s="63" t="s">
        <v>1700</v>
      </c>
      <c r="L93" s="176">
        <v>890428</v>
      </c>
      <c r="O93" s="202"/>
      <c r="P93" s="203"/>
      <c r="Q93" s="203"/>
      <c r="R93" s="204"/>
      <c r="S93" s="201">
        <v>6.125</v>
      </c>
      <c r="T93" s="201" t="s">
        <v>742</v>
      </c>
      <c r="U93" s="201">
        <v>1002869</v>
      </c>
      <c r="V93" s="171" t="s">
        <v>89</v>
      </c>
      <c r="W93" s="191">
        <v>1</v>
      </c>
      <c r="X93" s="173">
        <v>2</v>
      </c>
      <c r="Y93" s="173">
        <v>2</v>
      </c>
      <c r="Z93" s="173">
        <v>2</v>
      </c>
      <c r="AA93" s="174">
        <v>2</v>
      </c>
      <c r="AB93" s="177">
        <v>1</v>
      </c>
      <c r="AC93" s="177"/>
      <c r="AD93" s="188"/>
      <c r="AE93" s="188"/>
      <c r="AF93" s="188"/>
      <c r="AG93" s="188"/>
      <c r="AH93" s="188"/>
      <c r="AI93" s="188"/>
      <c r="AJ93" s="188"/>
      <c r="AK93" s="188"/>
      <c r="AL93" s="188"/>
      <c r="AM93" s="188"/>
      <c r="AN93" s="188"/>
      <c r="AO93" s="188"/>
      <c r="AP93" s="188"/>
      <c r="AQ93" s="188"/>
      <c r="AR93" s="188"/>
      <c r="AS93" s="188"/>
      <c r="AT93" s="188"/>
      <c r="AU93" s="188"/>
      <c r="AV93" s="188"/>
      <c r="AW93" s="188"/>
      <c r="AX93" s="188"/>
      <c r="AY93" s="188"/>
      <c r="AZ93" s="188"/>
      <c r="BA93" s="188"/>
      <c r="BB93" s="188"/>
      <c r="BC93" s="188"/>
      <c r="BD93" s="188"/>
      <c r="BF93">
        <f>ROWS($U$46:U93)</f>
        <v>48</v>
      </c>
      <c r="BG93" t="str">
        <f t="shared" si="66"/>
        <v/>
      </c>
      <c r="DB93" s="37">
        <v>410851</v>
      </c>
      <c r="DD93" s="75">
        <v>66</v>
      </c>
      <c r="DE93" s="37">
        <v>1039034</v>
      </c>
      <c r="DF93" t="s">
        <v>156</v>
      </c>
      <c r="DG93" s="37" t="s">
        <v>808</v>
      </c>
      <c r="DH93" s="37">
        <v>13</v>
      </c>
      <c r="DI93" s="37">
        <v>1308</v>
      </c>
      <c r="DJ93" s="37" t="s">
        <v>249</v>
      </c>
      <c r="DK93" s="37"/>
      <c r="DL93" s="37" t="s">
        <v>240</v>
      </c>
      <c r="DM93" s="37">
        <v>28</v>
      </c>
      <c r="DN93" s="37">
        <v>0</v>
      </c>
      <c r="DO93" s="37">
        <v>360</v>
      </c>
      <c r="DP93" s="37"/>
      <c r="DQ93" s="37"/>
      <c r="DR93" s="37" t="s">
        <v>809</v>
      </c>
      <c r="DS93" s="37">
        <f t="shared" si="89"/>
        <v>0</v>
      </c>
      <c r="DV93" s="10" t="s">
        <v>49</v>
      </c>
      <c r="DW93" t="s">
        <v>1589</v>
      </c>
      <c r="DX93">
        <v>30</v>
      </c>
      <c r="DY93" t="s">
        <v>1677</v>
      </c>
      <c r="DZ93" t="s">
        <v>1670</v>
      </c>
      <c r="EA93">
        <v>1</v>
      </c>
      <c r="EB93" t="s">
        <v>1513</v>
      </c>
      <c r="EC93" s="10">
        <v>480</v>
      </c>
      <c r="ED93" s="10" t="s">
        <v>1740</v>
      </c>
      <c r="EE93" s="813">
        <f t="shared" si="71"/>
        <v>0</v>
      </c>
      <c r="EF93">
        <f>ROWS($DE$2:DE93)</f>
        <v>92</v>
      </c>
      <c r="EG93" t="str">
        <f t="shared" si="72"/>
        <v/>
      </c>
      <c r="EJ93" t="str">
        <f t="shared" si="73"/>
        <v/>
      </c>
      <c r="EM93" t="str">
        <f t="shared" si="74"/>
        <v/>
      </c>
      <c r="EP93" t="str">
        <f t="shared" si="75"/>
        <v/>
      </c>
      <c r="ES93" t="str">
        <f t="shared" si="76"/>
        <v/>
      </c>
      <c r="EV93" t="str">
        <f t="shared" si="77"/>
        <v/>
      </c>
      <c r="EY93" t="str">
        <f t="shared" si="78"/>
        <v/>
      </c>
      <c r="FB93" t="str">
        <f t="shared" si="79"/>
        <v/>
      </c>
      <c r="FE93" t="str">
        <f t="shared" si="80"/>
        <v/>
      </c>
      <c r="FH93" t="str">
        <f t="shared" si="81"/>
        <v/>
      </c>
      <c r="FK93" t="str">
        <f t="shared" si="82"/>
        <v/>
      </c>
      <c r="FN93" t="str">
        <f t="shared" si="83"/>
        <v/>
      </c>
      <c r="FQ93" t="str">
        <f t="shared" si="84"/>
        <v/>
      </c>
      <c r="FT93" t="str">
        <f t="shared" si="85"/>
        <v/>
      </c>
      <c r="FW93" t="str">
        <f t="shared" si="86"/>
        <v/>
      </c>
      <c r="FZ93" t="str">
        <f t="shared" si="87"/>
        <v/>
      </c>
      <c r="GC93" t="str">
        <f t="shared" si="88"/>
        <v/>
      </c>
      <c r="GE93" s="155"/>
    </row>
    <row r="94" spans="2:212" ht="15.75" customHeight="1" thickBot="1" x14ac:dyDescent="0.4">
      <c r="B94" s="10"/>
      <c r="G94" s="64" t="s">
        <v>1701</v>
      </c>
      <c r="L94" s="176">
        <v>892722</v>
      </c>
      <c r="O94" s="205"/>
      <c r="P94" s="193"/>
      <c r="Q94" s="193"/>
      <c r="R94" s="206"/>
      <c r="S94" s="201">
        <v>6.125</v>
      </c>
      <c r="T94" s="201" t="s">
        <v>742</v>
      </c>
      <c r="U94" s="201">
        <v>1002869</v>
      </c>
      <c r="V94" s="171" t="s">
        <v>90</v>
      </c>
      <c r="W94" s="191">
        <v>2</v>
      </c>
      <c r="X94" s="173">
        <v>2</v>
      </c>
      <c r="Y94" s="173">
        <v>2</v>
      </c>
      <c r="Z94" s="192">
        <v>1</v>
      </c>
      <c r="AA94" s="171"/>
      <c r="AB94" s="172"/>
      <c r="AC94" s="65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  <c r="AQ94" s="188"/>
      <c r="AR94" s="188"/>
      <c r="AS94" s="188"/>
      <c r="AT94" s="188"/>
      <c r="AU94" s="188"/>
      <c r="AV94" s="188"/>
      <c r="AW94" s="188"/>
      <c r="AX94" s="188"/>
      <c r="AY94" s="188"/>
      <c r="AZ94" s="188"/>
      <c r="BA94" s="188"/>
      <c r="BB94" s="188"/>
      <c r="BC94" s="188"/>
      <c r="BD94" s="188"/>
      <c r="BF94">
        <f>ROWS($U$46:U94)</f>
        <v>49</v>
      </c>
      <c r="BG94" t="str">
        <f t="shared" si="66"/>
        <v/>
      </c>
      <c r="DB94" s="37">
        <v>755957</v>
      </c>
      <c r="DD94" s="75">
        <v>65</v>
      </c>
      <c r="DE94" s="37">
        <v>1039036</v>
      </c>
      <c r="DF94" t="s">
        <v>157</v>
      </c>
      <c r="DG94" s="37" t="s">
        <v>810</v>
      </c>
      <c r="DH94" s="37">
        <v>13</v>
      </c>
      <c r="DI94" s="37">
        <v>1313</v>
      </c>
      <c r="DJ94" s="37" t="s">
        <v>249</v>
      </c>
      <c r="DK94" s="37"/>
      <c r="DL94" s="37" t="s">
        <v>240</v>
      </c>
      <c r="DM94" s="37">
        <v>6</v>
      </c>
      <c r="DN94" s="37">
        <v>0</v>
      </c>
      <c r="DO94" s="37">
        <v>360</v>
      </c>
      <c r="DP94" s="37"/>
      <c r="DQ94" s="37"/>
      <c r="DR94" s="37" t="s">
        <v>811</v>
      </c>
      <c r="DS94" s="37">
        <f t="shared" si="89"/>
        <v>0</v>
      </c>
      <c r="DV94" s="10" t="s">
        <v>49</v>
      </c>
      <c r="DW94" t="s">
        <v>1589</v>
      </c>
      <c r="DX94">
        <v>30</v>
      </c>
      <c r="DY94" t="s">
        <v>1677</v>
      </c>
      <c r="DZ94" t="s">
        <v>1670</v>
      </c>
      <c r="EA94">
        <v>1</v>
      </c>
      <c r="EB94" t="s">
        <v>1513</v>
      </c>
      <c r="EC94" s="10">
        <v>480</v>
      </c>
      <c r="ED94" s="10" t="s">
        <v>1740</v>
      </c>
      <c r="EE94" s="813">
        <f t="shared" si="71"/>
        <v>0</v>
      </c>
      <c r="EF94">
        <f>ROWS($DE$2:DE94)</f>
        <v>93</v>
      </c>
      <c r="EG94" t="str">
        <f t="shared" si="72"/>
        <v/>
      </c>
      <c r="EJ94" t="str">
        <f t="shared" si="73"/>
        <v/>
      </c>
      <c r="EM94" t="str">
        <f t="shared" si="74"/>
        <v/>
      </c>
      <c r="EP94" t="str">
        <f t="shared" si="75"/>
        <v/>
      </c>
      <c r="ES94" t="str">
        <f t="shared" si="76"/>
        <v/>
      </c>
      <c r="EV94" t="str">
        <f t="shared" si="77"/>
        <v/>
      </c>
      <c r="EY94" t="str">
        <f t="shared" si="78"/>
        <v/>
      </c>
      <c r="FB94" t="str">
        <f t="shared" si="79"/>
        <v/>
      </c>
      <c r="FE94" t="str">
        <f t="shared" si="80"/>
        <v/>
      </c>
      <c r="FH94" t="str">
        <f t="shared" si="81"/>
        <v/>
      </c>
      <c r="FK94" t="str">
        <f t="shared" si="82"/>
        <v/>
      </c>
      <c r="FN94" t="str">
        <f t="shared" si="83"/>
        <v/>
      </c>
      <c r="FQ94" t="str">
        <f t="shared" si="84"/>
        <v/>
      </c>
      <c r="FT94" t="str">
        <f t="shared" si="85"/>
        <v/>
      </c>
      <c r="FW94" t="str">
        <f t="shared" si="86"/>
        <v/>
      </c>
      <c r="FZ94" t="str">
        <f t="shared" si="87"/>
        <v/>
      </c>
      <c r="GC94" t="str">
        <f t="shared" si="88"/>
        <v/>
      </c>
      <c r="GE94" s="155"/>
    </row>
    <row r="95" spans="2:212" ht="15.75" customHeight="1" x14ac:dyDescent="0.35">
      <c r="B95" s="10"/>
      <c r="L95" s="176">
        <v>899327</v>
      </c>
      <c r="O95" s="205"/>
      <c r="P95" s="193"/>
      <c r="Q95" s="193"/>
      <c r="R95" s="206"/>
      <c r="S95" s="201">
        <v>6.125</v>
      </c>
      <c r="T95" s="201" t="s">
        <v>742</v>
      </c>
      <c r="U95" s="201">
        <v>1002869</v>
      </c>
      <c r="V95" s="171" t="s">
        <v>91</v>
      </c>
      <c r="W95" s="191">
        <v>1</v>
      </c>
      <c r="X95" s="173">
        <v>2</v>
      </c>
      <c r="Y95" s="173">
        <v>2</v>
      </c>
      <c r="Z95" s="173">
        <v>2</v>
      </c>
      <c r="AA95" s="174">
        <v>2</v>
      </c>
      <c r="AB95" s="177">
        <v>1</v>
      </c>
      <c r="AC95" s="177"/>
      <c r="AD95" s="188"/>
      <c r="AE95" s="188"/>
      <c r="AF95" s="188"/>
      <c r="AG95" s="188"/>
      <c r="AH95" s="188"/>
      <c r="AI95" s="188"/>
      <c r="AJ95" s="188"/>
      <c r="AK95" s="188"/>
      <c r="AL95" s="188"/>
      <c r="AM95" s="188"/>
      <c r="AN95" s="188"/>
      <c r="AO95" s="188"/>
      <c r="AP95" s="188"/>
      <c r="AQ95" s="188"/>
      <c r="AR95" s="188"/>
      <c r="AS95" s="188"/>
      <c r="AT95" s="188"/>
      <c r="AU95" s="188"/>
      <c r="AV95" s="188"/>
      <c r="AW95" s="188"/>
      <c r="AX95" s="188"/>
      <c r="AY95" s="188"/>
      <c r="AZ95" s="188"/>
      <c r="BA95" s="188"/>
      <c r="BB95" s="188"/>
      <c r="BC95" s="188"/>
      <c r="BD95" s="188"/>
      <c r="BF95">
        <f>ROWS($U$46:U95)</f>
        <v>50</v>
      </c>
      <c r="BG95" t="str">
        <f t="shared" si="66"/>
        <v/>
      </c>
      <c r="DB95" s="37">
        <v>763844</v>
      </c>
      <c r="DD95" s="75"/>
      <c r="DE95" s="37">
        <v>768848</v>
      </c>
      <c r="DF95" t="s">
        <v>897</v>
      </c>
      <c r="DG95" s="37" t="s">
        <v>913</v>
      </c>
      <c r="DH95" s="45" t="s">
        <v>927</v>
      </c>
      <c r="DI95" s="45" t="s">
        <v>928</v>
      </c>
      <c r="DJ95" s="37" t="s">
        <v>104</v>
      </c>
      <c r="DK95" s="37"/>
      <c r="DL95" s="37" t="s">
        <v>239</v>
      </c>
      <c r="DM95" s="37">
        <v>0</v>
      </c>
      <c r="DN95" s="37">
        <v>0</v>
      </c>
      <c r="DO95" s="37">
        <v>272</v>
      </c>
      <c r="DP95" s="37"/>
      <c r="DQ95" s="37"/>
      <c r="DR95" s="37" t="str">
        <f t="shared" ref="DR95:DR126" si="90">DI95 &amp; " " &amp; DJ95 &amp; " " &amp; DK95</f>
        <v xml:space="preserve">0808 CT82 </v>
      </c>
      <c r="DS95" s="37">
        <f t="shared" si="89"/>
        <v>0</v>
      </c>
      <c r="DV95" s="10" t="s">
        <v>49</v>
      </c>
      <c r="DW95" t="s">
        <v>1587</v>
      </c>
      <c r="DX95">
        <v>30</v>
      </c>
      <c r="DY95" t="s">
        <v>1686</v>
      </c>
      <c r="DZ95" t="s">
        <v>1672</v>
      </c>
      <c r="EA95">
        <v>1</v>
      </c>
      <c r="EB95" t="s">
        <v>1513</v>
      </c>
      <c r="EC95" s="10">
        <v>376</v>
      </c>
      <c r="ED95" s="10" t="s">
        <v>1749</v>
      </c>
      <c r="EE95" s="813">
        <f t="shared" si="71"/>
        <v>0</v>
      </c>
      <c r="EF95">
        <f>ROWS($DE$2:DE95)</f>
        <v>94</v>
      </c>
      <c r="EG95" t="str">
        <f t="shared" si="72"/>
        <v/>
      </c>
      <c r="EJ95" t="str">
        <f t="shared" si="73"/>
        <v/>
      </c>
      <c r="EM95" t="str">
        <f t="shared" si="74"/>
        <v/>
      </c>
      <c r="EP95" t="str">
        <f t="shared" si="75"/>
        <v/>
      </c>
      <c r="ES95" t="str">
        <f t="shared" si="76"/>
        <v/>
      </c>
      <c r="EV95" t="str">
        <f t="shared" si="77"/>
        <v/>
      </c>
      <c r="EY95" t="str">
        <f t="shared" si="78"/>
        <v/>
      </c>
      <c r="FB95" t="str">
        <f t="shared" si="79"/>
        <v/>
      </c>
      <c r="FE95" t="str">
        <f t="shared" si="80"/>
        <v/>
      </c>
      <c r="FH95" t="str">
        <f t="shared" si="81"/>
        <v/>
      </c>
      <c r="FK95" t="str">
        <f t="shared" si="82"/>
        <v/>
      </c>
      <c r="FN95" t="str">
        <f t="shared" si="83"/>
        <v/>
      </c>
      <c r="FQ95" t="str">
        <f t="shared" si="84"/>
        <v/>
      </c>
      <c r="FT95" t="str">
        <f t="shared" si="85"/>
        <v/>
      </c>
      <c r="FW95" t="str">
        <f t="shared" si="86"/>
        <v/>
      </c>
      <c r="FZ95" t="str">
        <f t="shared" si="87"/>
        <v/>
      </c>
      <c r="GC95" t="str">
        <f t="shared" si="88"/>
        <v/>
      </c>
      <c r="GE95" s="155"/>
    </row>
    <row r="96" spans="2:212" ht="15.75" customHeight="1" thickBot="1" x14ac:dyDescent="0.4">
      <c r="B96" s="10"/>
      <c r="L96" s="176">
        <v>902208</v>
      </c>
      <c r="O96" s="207"/>
      <c r="P96" s="208"/>
      <c r="Q96" s="208"/>
      <c r="R96" s="209"/>
      <c r="S96" s="210">
        <v>6.125</v>
      </c>
      <c r="T96" s="210" t="s">
        <v>742</v>
      </c>
      <c r="U96" s="210">
        <v>1002869</v>
      </c>
      <c r="V96" s="195" t="s">
        <v>92</v>
      </c>
      <c r="W96" s="191">
        <v>2</v>
      </c>
      <c r="X96" s="173">
        <v>2</v>
      </c>
      <c r="Y96" s="173">
        <v>2</v>
      </c>
      <c r="Z96" s="192">
        <v>1</v>
      </c>
      <c r="AA96" s="171"/>
      <c r="AB96" s="215"/>
      <c r="AC96" s="192"/>
      <c r="AD96" s="188"/>
      <c r="AE96" s="188"/>
      <c r="AF96" s="188"/>
      <c r="AG96" s="188"/>
      <c r="AH96" s="188"/>
      <c r="AI96" s="188"/>
      <c r="AJ96" s="188"/>
      <c r="AK96" s="188"/>
      <c r="AL96" s="188"/>
      <c r="AM96" s="188"/>
      <c r="AN96" s="188"/>
      <c r="AO96" s="188"/>
      <c r="AP96" s="188"/>
      <c r="AQ96" s="188"/>
      <c r="AR96" s="188"/>
      <c r="AS96" s="188"/>
      <c r="AT96" s="188"/>
      <c r="AU96" s="188"/>
      <c r="AV96" s="188"/>
      <c r="AW96" s="188"/>
      <c r="AX96" s="188"/>
      <c r="AY96" s="188"/>
      <c r="AZ96" s="188"/>
      <c r="BA96" s="188"/>
      <c r="BB96" s="188"/>
      <c r="BC96" s="188"/>
      <c r="BD96" s="188"/>
      <c r="BF96">
        <f>ROWS($U$46:U96)</f>
        <v>51</v>
      </c>
      <c r="BG96" t="str">
        <f t="shared" si="66"/>
        <v/>
      </c>
      <c r="DB96" s="37">
        <v>794672</v>
      </c>
      <c r="DD96" s="75"/>
      <c r="DE96" s="37">
        <v>703671</v>
      </c>
      <c r="DF96" t="s">
        <v>898</v>
      </c>
      <c r="DG96" s="37" t="s">
        <v>914</v>
      </c>
      <c r="DH96" s="37">
        <v>16</v>
      </c>
      <c r="DI96" s="37">
        <v>1613</v>
      </c>
      <c r="DJ96" s="37" t="s">
        <v>101</v>
      </c>
      <c r="DK96" s="37"/>
      <c r="DL96" s="37" t="s">
        <v>239</v>
      </c>
      <c r="DM96" s="37">
        <v>0</v>
      </c>
      <c r="DN96" s="37">
        <v>0</v>
      </c>
      <c r="DO96" s="37">
        <v>497</v>
      </c>
      <c r="DP96" s="37"/>
      <c r="DQ96" s="37"/>
      <c r="DR96" s="37" t="str">
        <f t="shared" si="90"/>
        <v xml:space="preserve">1613 CT200 </v>
      </c>
      <c r="DS96" s="37">
        <f t="shared" si="89"/>
        <v>68.042000000000002</v>
      </c>
      <c r="DT96" s="10">
        <v>52.34</v>
      </c>
      <c r="DV96" s="10" t="s">
        <v>146</v>
      </c>
      <c r="DW96" t="s">
        <v>1590</v>
      </c>
      <c r="DX96">
        <v>10</v>
      </c>
      <c r="DY96" t="s">
        <v>1681</v>
      </c>
      <c r="DZ96" t="s">
        <v>1668</v>
      </c>
      <c r="EA96">
        <v>1</v>
      </c>
      <c r="EB96" t="s">
        <v>1513</v>
      </c>
      <c r="EC96" s="10">
        <v>490</v>
      </c>
      <c r="ED96" s="10" t="s">
        <v>1744</v>
      </c>
      <c r="EE96" s="813">
        <f t="shared" si="71"/>
        <v>0</v>
      </c>
      <c r="EF96">
        <f>ROWS($DE$2:DE96)</f>
        <v>95</v>
      </c>
      <c r="EG96" t="str">
        <f t="shared" si="72"/>
        <v/>
      </c>
      <c r="EJ96" t="str">
        <f t="shared" si="73"/>
        <v/>
      </c>
      <c r="EM96" t="str">
        <f t="shared" si="74"/>
        <v/>
      </c>
      <c r="EP96" t="str">
        <f t="shared" si="75"/>
        <v/>
      </c>
      <c r="ES96" t="str">
        <f t="shared" si="76"/>
        <v/>
      </c>
      <c r="EV96" t="str">
        <f t="shared" si="77"/>
        <v/>
      </c>
      <c r="EY96" t="str">
        <f t="shared" si="78"/>
        <v/>
      </c>
      <c r="FB96" t="str">
        <f t="shared" si="79"/>
        <v/>
      </c>
      <c r="FE96" t="str">
        <f t="shared" si="80"/>
        <v/>
      </c>
      <c r="FH96" t="str">
        <f t="shared" si="81"/>
        <v/>
      </c>
      <c r="FK96" t="str">
        <f t="shared" si="82"/>
        <v/>
      </c>
      <c r="FN96" t="str">
        <f t="shared" si="83"/>
        <v/>
      </c>
      <c r="FQ96" t="str">
        <f t="shared" si="84"/>
        <v/>
      </c>
      <c r="FT96" t="str">
        <f t="shared" si="85"/>
        <v/>
      </c>
      <c r="FW96" t="str">
        <f t="shared" si="86"/>
        <v/>
      </c>
      <c r="FZ96" t="str">
        <f t="shared" si="87"/>
        <v/>
      </c>
      <c r="GC96" t="str">
        <f t="shared" si="88"/>
        <v/>
      </c>
      <c r="GE96" s="155"/>
    </row>
    <row r="97" spans="1:187" ht="16.5" customHeight="1" x14ac:dyDescent="0.35">
      <c r="B97" s="10"/>
      <c r="L97" s="176">
        <v>903299</v>
      </c>
      <c r="O97" s="211">
        <v>1</v>
      </c>
      <c r="P97" s="212">
        <v>802065</v>
      </c>
      <c r="Q97" s="212">
        <v>22</v>
      </c>
      <c r="R97" s="212" t="s">
        <v>741</v>
      </c>
      <c r="S97" s="182">
        <v>6.125</v>
      </c>
      <c r="T97" s="198" t="s">
        <v>742</v>
      </c>
      <c r="U97" s="198">
        <v>1032847</v>
      </c>
      <c r="V97" s="183" t="s">
        <v>87</v>
      </c>
      <c r="W97" s="184">
        <v>2</v>
      </c>
      <c r="X97" s="185">
        <v>1</v>
      </c>
      <c r="Y97" s="185">
        <v>1</v>
      </c>
      <c r="Z97" s="185">
        <v>1</v>
      </c>
      <c r="AA97" s="185">
        <v>1</v>
      </c>
      <c r="AB97" s="185">
        <v>1</v>
      </c>
      <c r="AC97" s="185">
        <v>2</v>
      </c>
      <c r="AD97" s="187"/>
      <c r="AE97" s="188"/>
      <c r="AF97" s="188"/>
      <c r="AG97" s="188"/>
      <c r="AH97" s="188"/>
      <c r="AI97" s="188"/>
      <c r="AJ97" s="188"/>
      <c r="AK97" s="188"/>
      <c r="AL97" s="188"/>
      <c r="AM97" s="188"/>
      <c r="AN97" s="188"/>
      <c r="AO97" s="188"/>
      <c r="AP97" s="188"/>
      <c r="AQ97" s="188"/>
      <c r="AR97" s="188"/>
      <c r="AS97" s="188"/>
      <c r="AT97" s="188"/>
      <c r="AU97" s="188"/>
      <c r="AV97" s="188"/>
      <c r="AW97" s="188"/>
      <c r="AX97" s="188"/>
      <c r="AY97" s="188"/>
      <c r="AZ97" s="188"/>
      <c r="BA97" s="188"/>
      <c r="BB97" s="188"/>
      <c r="BC97" s="188"/>
      <c r="BD97" s="188"/>
      <c r="BF97">
        <f>ROWS($U$46:U97)</f>
        <v>52</v>
      </c>
      <c r="BG97" t="str">
        <f t="shared" si="66"/>
        <v/>
      </c>
      <c r="DB97" s="37">
        <v>785003</v>
      </c>
      <c r="DD97" s="75"/>
      <c r="DE97" s="37">
        <v>932811</v>
      </c>
      <c r="DF97" t="s">
        <v>899</v>
      </c>
      <c r="DG97" s="37" t="s">
        <v>915</v>
      </c>
      <c r="DH97" s="37">
        <v>16</v>
      </c>
      <c r="DI97" s="37">
        <v>1613</v>
      </c>
      <c r="DJ97" s="37" t="s">
        <v>929</v>
      </c>
      <c r="DK97" s="37" t="s">
        <v>931</v>
      </c>
      <c r="DL97" s="37" t="s">
        <v>239</v>
      </c>
      <c r="DM97" s="37">
        <v>0</v>
      </c>
      <c r="DN97" s="37">
        <v>0</v>
      </c>
      <c r="DO97" s="37">
        <v>497</v>
      </c>
      <c r="DP97" s="37"/>
      <c r="DQ97" s="37"/>
      <c r="DR97" s="37" t="str">
        <f t="shared" si="90"/>
        <v>1613 CT404 GEDB 0.010"</v>
      </c>
      <c r="DS97" s="37">
        <f t="shared" si="89"/>
        <v>262.97699999999998</v>
      </c>
      <c r="DT97" s="10">
        <v>202.29</v>
      </c>
      <c r="DV97" s="555" t="s">
        <v>1543</v>
      </c>
      <c r="DW97" t="s">
        <v>1543</v>
      </c>
      <c r="DX97" t="s">
        <v>1543</v>
      </c>
      <c r="DY97" t="s">
        <v>1543</v>
      </c>
      <c r="DZ97" t="s">
        <v>1543</v>
      </c>
      <c r="EA97" t="s">
        <v>1543</v>
      </c>
      <c r="EB97" t="s">
        <v>1543</v>
      </c>
      <c r="EC97" s="10" t="s">
        <v>1543</v>
      </c>
      <c r="ED97" s="10" t="s">
        <v>1543</v>
      </c>
      <c r="EE97" s="813">
        <f t="shared" si="71"/>
        <v>0</v>
      </c>
      <c r="EF97">
        <f>ROWS($DE$2:DE97)</f>
        <v>96</v>
      </c>
      <c r="EG97" t="str">
        <f t="shared" si="72"/>
        <v/>
      </c>
      <c r="EJ97" t="str">
        <f t="shared" si="73"/>
        <v/>
      </c>
      <c r="EM97" t="str">
        <f t="shared" si="74"/>
        <v/>
      </c>
      <c r="EP97" t="str">
        <f t="shared" si="75"/>
        <v/>
      </c>
      <c r="ES97" t="str">
        <f t="shared" si="76"/>
        <v/>
      </c>
      <c r="EV97" t="str">
        <f t="shared" si="77"/>
        <v/>
      </c>
      <c r="EY97" t="str">
        <f t="shared" si="78"/>
        <v/>
      </c>
      <c r="FB97" t="str">
        <f t="shared" si="79"/>
        <v/>
      </c>
      <c r="FE97" t="str">
        <f t="shared" si="80"/>
        <v/>
      </c>
      <c r="FH97" t="str">
        <f t="shared" si="81"/>
        <v/>
      </c>
      <c r="FK97" t="str">
        <f t="shared" si="82"/>
        <v/>
      </c>
      <c r="FN97" t="str">
        <f t="shared" si="83"/>
        <v/>
      </c>
      <c r="FQ97" t="str">
        <f t="shared" si="84"/>
        <v/>
      </c>
      <c r="FT97" t="str">
        <f t="shared" si="85"/>
        <v/>
      </c>
      <c r="FW97" t="str">
        <f t="shared" si="86"/>
        <v/>
      </c>
      <c r="FZ97" t="str">
        <f t="shared" si="87"/>
        <v/>
      </c>
      <c r="GC97" t="str">
        <f t="shared" si="88"/>
        <v/>
      </c>
      <c r="GE97" s="155"/>
    </row>
    <row r="98" spans="1:187" ht="15.75" customHeight="1" thickBot="1" x14ac:dyDescent="0.4">
      <c r="B98" s="10"/>
      <c r="L98" s="176">
        <v>905235</v>
      </c>
      <c r="O98" s="199">
        <v>2</v>
      </c>
      <c r="P98" s="200">
        <v>703670</v>
      </c>
      <c r="Q98" s="200">
        <v>9</v>
      </c>
      <c r="R98" s="200" t="s">
        <v>1115</v>
      </c>
      <c r="S98" s="190">
        <v>6.125</v>
      </c>
      <c r="T98" s="201" t="s">
        <v>742</v>
      </c>
      <c r="U98" s="201">
        <v>1032847</v>
      </c>
      <c r="V98" s="171" t="s">
        <v>88</v>
      </c>
      <c r="W98" s="191">
        <v>1</v>
      </c>
      <c r="X98" s="173">
        <v>1</v>
      </c>
      <c r="Y98" s="173">
        <v>1</v>
      </c>
      <c r="Z98" s="192">
        <v>2</v>
      </c>
      <c r="AA98" s="171"/>
      <c r="AB98" s="172"/>
      <c r="AC98" s="175"/>
      <c r="AD98" s="188"/>
      <c r="AE98" s="188"/>
      <c r="AF98" s="188"/>
      <c r="AG98" s="188"/>
      <c r="AH98" s="188"/>
      <c r="AI98" s="188"/>
      <c r="AJ98" s="188"/>
      <c r="AK98" s="188"/>
      <c r="AL98" s="188"/>
      <c r="AM98" s="188"/>
      <c r="AN98" s="188"/>
      <c r="AO98" s="188"/>
      <c r="AP98" s="188"/>
      <c r="AQ98" s="188"/>
      <c r="AR98" s="188"/>
      <c r="AS98" s="188"/>
      <c r="AT98" s="188"/>
      <c r="AU98" s="188"/>
      <c r="AV98" s="188"/>
      <c r="AW98" s="188"/>
      <c r="AX98" s="188"/>
      <c r="AY98" s="188"/>
      <c r="AZ98" s="188"/>
      <c r="BA98" s="188"/>
      <c r="BB98" s="188"/>
      <c r="BC98" s="188"/>
      <c r="BD98" s="188"/>
      <c r="BF98">
        <f>ROWS($U$46:U98)</f>
        <v>53</v>
      </c>
      <c r="BG98" t="str">
        <f t="shared" si="66"/>
        <v/>
      </c>
      <c r="DB98" s="37">
        <v>785001</v>
      </c>
      <c r="DD98" s="75"/>
      <c r="DE98" s="37">
        <v>932807</v>
      </c>
      <c r="DF98" t="s">
        <v>900</v>
      </c>
      <c r="DG98" s="37" t="s">
        <v>916</v>
      </c>
      <c r="DH98" s="37">
        <v>13</v>
      </c>
      <c r="DI98" s="37">
        <v>1313</v>
      </c>
      <c r="DJ98" s="37" t="s">
        <v>929</v>
      </c>
      <c r="DK98" s="37" t="s">
        <v>931</v>
      </c>
      <c r="DL98" s="37" t="s">
        <v>239</v>
      </c>
      <c r="DM98" s="37">
        <v>0</v>
      </c>
      <c r="DN98" s="37">
        <v>0</v>
      </c>
      <c r="DO98" s="37">
        <v>360</v>
      </c>
      <c r="DP98" s="37"/>
      <c r="DQ98" s="37"/>
      <c r="DR98" s="37" t="str">
        <f t="shared" si="90"/>
        <v>1313 CT404 GEDB 0.010"</v>
      </c>
      <c r="DS98" s="37">
        <f t="shared" si="89"/>
        <v>172.80900000000003</v>
      </c>
      <c r="DT98" s="10">
        <v>132.93</v>
      </c>
      <c r="DV98" s="555" t="s">
        <v>1543</v>
      </c>
      <c r="DW98" t="s">
        <v>1543</v>
      </c>
      <c r="DX98" t="s">
        <v>1543</v>
      </c>
      <c r="DY98" t="s">
        <v>1543</v>
      </c>
      <c r="DZ98" t="s">
        <v>1543</v>
      </c>
      <c r="EA98" t="s">
        <v>1543</v>
      </c>
      <c r="EB98" t="s">
        <v>1543</v>
      </c>
      <c r="EC98" s="10" t="s">
        <v>1543</v>
      </c>
      <c r="ED98" s="10" t="s">
        <v>1543</v>
      </c>
      <c r="EE98" s="813">
        <f t="shared" si="71"/>
        <v>0</v>
      </c>
      <c r="EF98">
        <f>ROWS($DE$2:DE98)</f>
        <v>97</v>
      </c>
      <c r="EG98" t="str">
        <f t="shared" si="72"/>
        <v/>
      </c>
      <c r="EJ98" t="str">
        <f t="shared" si="73"/>
        <v/>
      </c>
      <c r="EM98" t="str">
        <f t="shared" si="74"/>
        <v/>
      </c>
      <c r="EP98" t="str">
        <f t="shared" si="75"/>
        <v/>
      </c>
      <c r="ES98" t="str">
        <f t="shared" si="76"/>
        <v/>
      </c>
      <c r="EV98" t="str">
        <f t="shared" si="77"/>
        <v/>
      </c>
      <c r="EY98" t="str">
        <f t="shared" si="78"/>
        <v/>
      </c>
      <c r="FB98" t="str">
        <f t="shared" si="79"/>
        <v/>
      </c>
      <c r="FE98" t="str">
        <f t="shared" si="80"/>
        <v/>
      </c>
      <c r="FH98" t="str">
        <f t="shared" si="81"/>
        <v/>
      </c>
      <c r="FK98" t="str">
        <f t="shared" si="82"/>
        <v/>
      </c>
      <c r="FN98" t="str">
        <f t="shared" si="83"/>
        <v/>
      </c>
      <c r="FQ98" t="str">
        <f t="shared" si="84"/>
        <v/>
      </c>
      <c r="FT98" t="str">
        <f t="shared" si="85"/>
        <v/>
      </c>
      <c r="FW98" t="str">
        <f t="shared" si="86"/>
        <v/>
      </c>
      <c r="FZ98" t="str">
        <f t="shared" si="87"/>
        <v/>
      </c>
      <c r="GC98" t="str">
        <f t="shared" si="88"/>
        <v/>
      </c>
      <c r="GE98" s="155"/>
    </row>
    <row r="99" spans="1:187" ht="15.75" customHeight="1" thickBot="1" x14ac:dyDescent="0.4">
      <c r="B99" s="24" t="s">
        <v>1272</v>
      </c>
      <c r="C99" s="32"/>
      <c r="D99" s="67"/>
      <c r="E99" s="68"/>
      <c r="F99" s="68"/>
      <c r="L99" s="176">
        <v>933078</v>
      </c>
      <c r="O99" s="202"/>
      <c r="P99" s="203"/>
      <c r="Q99" s="203"/>
      <c r="R99" s="204"/>
      <c r="S99" s="201">
        <v>6.125</v>
      </c>
      <c r="T99" s="201" t="s">
        <v>742</v>
      </c>
      <c r="U99" s="201">
        <v>1032847</v>
      </c>
      <c r="V99" s="171" t="s">
        <v>89</v>
      </c>
      <c r="W99" s="191">
        <v>2</v>
      </c>
      <c r="X99" s="173">
        <v>1</v>
      </c>
      <c r="Y99" s="173">
        <v>1</v>
      </c>
      <c r="Z99" s="173">
        <v>1</v>
      </c>
      <c r="AA99" s="174">
        <v>1</v>
      </c>
      <c r="AB99" s="177">
        <v>2</v>
      </c>
      <c r="AC99" s="177"/>
      <c r="AD99" s="188"/>
      <c r="AE99" s="188"/>
      <c r="AF99" s="188"/>
      <c r="AG99" s="188"/>
      <c r="AH99" s="188"/>
      <c r="AI99" s="188"/>
      <c r="AJ99" s="188"/>
      <c r="AK99" s="188"/>
      <c r="AL99" s="188"/>
      <c r="AM99" s="188"/>
      <c r="AN99" s="188"/>
      <c r="AO99" s="188"/>
      <c r="AP99" s="188"/>
      <c r="AQ99" s="188"/>
      <c r="AR99" s="188"/>
      <c r="AS99" s="188"/>
      <c r="AT99" s="188"/>
      <c r="AU99" s="188"/>
      <c r="AV99" s="188"/>
      <c r="AW99" s="188"/>
      <c r="AX99" s="188"/>
      <c r="AY99" s="188"/>
      <c r="AZ99" s="188"/>
      <c r="BA99" s="188"/>
      <c r="BB99" s="188"/>
      <c r="BC99" s="188"/>
      <c r="BD99" s="188"/>
      <c r="BF99">
        <f>ROWS($U$46:U99)</f>
        <v>54</v>
      </c>
      <c r="BG99" t="str">
        <f t="shared" si="66"/>
        <v/>
      </c>
      <c r="DB99" s="37">
        <v>755889</v>
      </c>
      <c r="DD99" s="75"/>
      <c r="DE99" s="37">
        <v>410851</v>
      </c>
      <c r="DF99" t="s">
        <v>901</v>
      </c>
      <c r="DG99" s="37" t="s">
        <v>901</v>
      </c>
      <c r="DH99" s="37">
        <v>13</v>
      </c>
      <c r="DI99" s="37">
        <v>1308</v>
      </c>
      <c r="DJ99" s="37" t="s">
        <v>86</v>
      </c>
      <c r="DK99" s="37" t="s">
        <v>932</v>
      </c>
      <c r="DL99" s="37"/>
      <c r="DM99" s="37">
        <v>15</v>
      </c>
      <c r="DN99" s="37">
        <v>0</v>
      </c>
      <c r="DO99" s="37">
        <v>360</v>
      </c>
      <c r="DP99" s="37"/>
      <c r="DQ99" s="37"/>
      <c r="DR99" s="37" t="str">
        <f t="shared" si="90"/>
        <v>1308 CT31 PDC Dome</v>
      </c>
      <c r="DS99" s="37">
        <f t="shared" si="89"/>
        <v>25.070933333333329</v>
      </c>
      <c r="DT99" s="10">
        <v>19.28533333333333</v>
      </c>
      <c r="DV99" s="10" t="s">
        <v>146</v>
      </c>
      <c r="DW99" t="s">
        <v>1589</v>
      </c>
      <c r="DX99">
        <v>10</v>
      </c>
      <c r="DY99" t="s">
        <v>1675</v>
      </c>
      <c r="DZ99" t="s">
        <v>1670</v>
      </c>
      <c r="EA99">
        <v>1</v>
      </c>
      <c r="EB99" t="s">
        <v>1513</v>
      </c>
      <c r="EC99" s="10">
        <v>345</v>
      </c>
      <c r="ED99" s="10" t="s">
        <v>1738</v>
      </c>
      <c r="EE99" s="813">
        <f t="shared" si="71"/>
        <v>0</v>
      </c>
      <c r="EF99">
        <f>ROWS($DE$2:DE99)</f>
        <v>98</v>
      </c>
      <c r="EG99" t="str">
        <f t="shared" si="72"/>
        <v/>
      </c>
      <c r="EJ99" t="str">
        <f t="shared" si="73"/>
        <v/>
      </c>
      <c r="EM99" t="str">
        <f t="shared" si="74"/>
        <v/>
      </c>
      <c r="EP99" t="str">
        <f t="shared" si="75"/>
        <v/>
      </c>
      <c r="ES99" t="str">
        <f t="shared" si="76"/>
        <v/>
      </c>
      <c r="EV99" t="str">
        <f t="shared" si="77"/>
        <v/>
      </c>
      <c r="EY99" t="str">
        <f t="shared" si="78"/>
        <v/>
      </c>
      <c r="FB99" t="str">
        <f t="shared" si="79"/>
        <v/>
      </c>
      <c r="FE99" t="str">
        <f t="shared" si="80"/>
        <v/>
      </c>
      <c r="FH99" t="str">
        <f t="shared" si="81"/>
        <v/>
      </c>
      <c r="FK99" t="str">
        <f t="shared" si="82"/>
        <v/>
      </c>
      <c r="FN99" t="str">
        <f t="shared" si="83"/>
        <v/>
      </c>
      <c r="FQ99" t="str">
        <f t="shared" si="84"/>
        <v/>
      </c>
      <c r="FT99" t="str">
        <f t="shared" si="85"/>
        <v/>
      </c>
      <c r="FW99" t="str">
        <f t="shared" si="86"/>
        <v/>
      </c>
      <c r="FZ99" t="str">
        <f t="shared" si="87"/>
        <v/>
      </c>
      <c r="GC99" t="str">
        <f t="shared" si="88"/>
        <v/>
      </c>
      <c r="GE99" s="155"/>
    </row>
    <row r="100" spans="1:187" ht="16.5" customHeight="1" thickBot="1" x14ac:dyDescent="0.4">
      <c r="B100" s="1144" t="s">
        <v>1275</v>
      </c>
      <c r="C100" s="26"/>
      <c r="E100" s="26"/>
      <c r="F100" s="26"/>
      <c r="L100" s="176">
        <v>937159</v>
      </c>
      <c r="O100" s="205"/>
      <c r="P100" s="193"/>
      <c r="Q100" s="193"/>
      <c r="R100" s="206"/>
      <c r="S100" s="201">
        <v>6.125</v>
      </c>
      <c r="T100" s="201" t="s">
        <v>742</v>
      </c>
      <c r="U100" s="201">
        <v>1032847</v>
      </c>
      <c r="V100" s="171" t="s">
        <v>90</v>
      </c>
      <c r="W100" s="191">
        <v>1</v>
      </c>
      <c r="X100" s="173">
        <v>1</v>
      </c>
      <c r="Y100" s="173">
        <v>1</v>
      </c>
      <c r="Z100" s="192">
        <v>2</v>
      </c>
      <c r="AA100" s="171"/>
      <c r="AB100" s="172"/>
      <c r="AC100" s="65"/>
      <c r="AD100" s="188"/>
      <c r="AE100" s="188"/>
      <c r="AF100" s="188"/>
      <c r="AG100" s="188"/>
      <c r="AH100" s="188"/>
      <c r="AI100" s="188"/>
      <c r="AJ100" s="188"/>
      <c r="AK100" s="188"/>
      <c r="AL100" s="188"/>
      <c r="AM100" s="188"/>
      <c r="AN100" s="188"/>
      <c r="AO100" s="188"/>
      <c r="AP100" s="188"/>
      <c r="AQ100" s="188"/>
      <c r="AR100" s="188"/>
      <c r="AS100" s="188"/>
      <c r="AT100" s="188"/>
      <c r="AU100" s="188"/>
      <c r="AV100" s="188"/>
      <c r="AW100" s="188"/>
      <c r="AX100" s="188"/>
      <c r="AY100" s="188"/>
      <c r="AZ100" s="188"/>
      <c r="BA100" s="188"/>
      <c r="BB100" s="188"/>
      <c r="BC100" s="188"/>
      <c r="BD100" s="188"/>
      <c r="BF100">
        <f>ROWS($U$46:U100)</f>
        <v>55</v>
      </c>
      <c r="BG100" t="str">
        <f t="shared" si="66"/>
        <v/>
      </c>
      <c r="DB100" s="37">
        <v>802063</v>
      </c>
      <c r="DD100" s="75"/>
      <c r="DE100" s="37">
        <v>755957</v>
      </c>
      <c r="DF100" t="s">
        <v>902</v>
      </c>
      <c r="DG100" s="37" t="s">
        <v>917</v>
      </c>
      <c r="DH100" s="37">
        <v>19</v>
      </c>
      <c r="DI100" s="37">
        <v>19</v>
      </c>
      <c r="DJ100" s="37" t="s">
        <v>262</v>
      </c>
      <c r="DK100" s="37" t="s">
        <v>933</v>
      </c>
      <c r="DL100" s="37" t="s">
        <v>240</v>
      </c>
      <c r="DM100" s="37">
        <v>0</v>
      </c>
      <c r="DN100" s="37">
        <v>0</v>
      </c>
      <c r="DO100" s="37">
        <v>660</v>
      </c>
      <c r="DP100" s="37"/>
      <c r="DQ100" s="37"/>
      <c r="DR100" s="37" t="str">
        <f t="shared" si="90"/>
        <v>19 CT80 Medium bullet</v>
      </c>
      <c r="DS100" s="37">
        <f t="shared" si="89"/>
        <v>0</v>
      </c>
      <c r="DV100" s="10" t="s">
        <v>146</v>
      </c>
      <c r="DW100" t="s">
        <v>1591</v>
      </c>
      <c r="DX100">
        <v>10</v>
      </c>
      <c r="DY100" t="s">
        <v>1682</v>
      </c>
      <c r="DZ100" t="s">
        <v>1669</v>
      </c>
      <c r="EA100">
        <v>1</v>
      </c>
      <c r="EB100" t="s">
        <v>1513</v>
      </c>
      <c r="EC100" s="10">
        <v>615</v>
      </c>
      <c r="ED100" s="10" t="s">
        <v>1745</v>
      </c>
      <c r="EE100" s="813">
        <f t="shared" si="71"/>
        <v>0</v>
      </c>
      <c r="EF100">
        <f>ROWS($DE$2:DE100)</f>
        <v>99</v>
      </c>
      <c r="EG100" t="str">
        <f t="shared" si="72"/>
        <v/>
      </c>
      <c r="EJ100" t="str">
        <f t="shared" si="73"/>
        <v/>
      </c>
      <c r="EM100" t="str">
        <f t="shared" si="74"/>
        <v/>
      </c>
      <c r="EP100" t="str">
        <f t="shared" si="75"/>
        <v/>
      </c>
      <c r="ES100" t="str">
        <f t="shared" si="76"/>
        <v/>
      </c>
      <c r="EV100" t="str">
        <f t="shared" si="77"/>
        <v/>
      </c>
      <c r="EY100" t="str">
        <f t="shared" si="78"/>
        <v/>
      </c>
      <c r="FB100" t="str">
        <f t="shared" si="79"/>
        <v/>
      </c>
      <c r="FE100" t="str">
        <f t="shared" si="80"/>
        <v/>
      </c>
      <c r="FH100" t="str">
        <f t="shared" si="81"/>
        <v/>
      </c>
      <c r="FK100" t="str">
        <f t="shared" si="82"/>
        <v/>
      </c>
      <c r="FN100" t="str">
        <f t="shared" si="83"/>
        <v/>
      </c>
      <c r="FQ100" t="str">
        <f t="shared" si="84"/>
        <v/>
      </c>
      <c r="FT100" t="str">
        <f t="shared" si="85"/>
        <v/>
      </c>
      <c r="FW100" t="str">
        <f t="shared" si="86"/>
        <v/>
      </c>
      <c r="FZ100" t="str">
        <f t="shared" si="87"/>
        <v/>
      </c>
      <c r="GC100" t="str">
        <f t="shared" si="88"/>
        <v/>
      </c>
      <c r="GE100" s="155"/>
    </row>
    <row r="101" spans="1:187" ht="15.75" customHeight="1" thickBot="1" x14ac:dyDescent="0.4">
      <c r="B101" s="1145"/>
      <c r="C101" s="579">
        <v>0</v>
      </c>
      <c r="E101" s="26"/>
      <c r="F101" s="26"/>
      <c r="L101" s="176">
        <v>942738</v>
      </c>
      <c r="O101" s="205"/>
      <c r="P101" s="193"/>
      <c r="Q101" s="193"/>
      <c r="R101" s="206"/>
      <c r="S101" s="201">
        <v>6.125</v>
      </c>
      <c r="T101" s="201" t="s">
        <v>742</v>
      </c>
      <c r="U101" s="201">
        <v>1032847</v>
      </c>
      <c r="V101" s="171" t="s">
        <v>91</v>
      </c>
      <c r="W101" s="191">
        <v>2</v>
      </c>
      <c r="X101" s="173">
        <v>1</v>
      </c>
      <c r="Y101" s="173">
        <v>1</v>
      </c>
      <c r="Z101" s="173">
        <v>1</v>
      </c>
      <c r="AA101" s="174">
        <v>1</v>
      </c>
      <c r="AB101" s="177">
        <v>2</v>
      </c>
      <c r="AC101" s="177"/>
      <c r="AD101" s="188"/>
      <c r="AE101" s="188"/>
      <c r="AF101" s="188"/>
      <c r="AG101" s="188"/>
      <c r="AH101" s="188"/>
      <c r="AI101" s="188"/>
      <c r="AJ101" s="188"/>
      <c r="AK101" s="188"/>
      <c r="AL101" s="188"/>
      <c r="AM101" s="188"/>
      <c r="AN101" s="188"/>
      <c r="AO101" s="188"/>
      <c r="AP101" s="188"/>
      <c r="AQ101" s="188"/>
      <c r="AR101" s="188"/>
      <c r="AS101" s="188"/>
      <c r="AT101" s="188"/>
      <c r="AU101" s="188"/>
      <c r="AV101" s="188"/>
      <c r="AW101" s="188"/>
      <c r="AX101" s="188"/>
      <c r="AY101" s="188"/>
      <c r="AZ101" s="188"/>
      <c r="BA101" s="188"/>
      <c r="BB101" s="188"/>
      <c r="BC101" s="188"/>
      <c r="BD101" s="188"/>
      <c r="BF101">
        <f>ROWS($U$46:U101)</f>
        <v>56</v>
      </c>
      <c r="BG101" t="str">
        <f t="shared" si="66"/>
        <v/>
      </c>
      <c r="DB101" s="37">
        <v>179734</v>
      </c>
      <c r="DD101" s="75"/>
      <c r="DE101" s="37">
        <v>763844</v>
      </c>
      <c r="DF101" t="s">
        <v>903</v>
      </c>
      <c r="DG101" s="37" t="s">
        <v>918</v>
      </c>
      <c r="DH101" s="37">
        <v>13</v>
      </c>
      <c r="DI101" s="37">
        <v>13</v>
      </c>
      <c r="DJ101" s="37" t="s">
        <v>262</v>
      </c>
      <c r="DK101" s="37" t="s">
        <v>934</v>
      </c>
      <c r="DL101" s="37" t="s">
        <v>240</v>
      </c>
      <c r="DM101" s="37">
        <v>0</v>
      </c>
      <c r="DN101" s="37">
        <v>0</v>
      </c>
      <c r="DO101" s="37">
        <v>360</v>
      </c>
      <c r="DP101" s="37"/>
      <c r="DQ101" s="37"/>
      <c r="DR101" s="37" t="str">
        <f t="shared" si="90"/>
        <v>13 CT80 Long bullet</v>
      </c>
      <c r="DS101" s="37">
        <f t="shared" si="89"/>
        <v>0</v>
      </c>
      <c r="DV101" s="10" t="s">
        <v>146</v>
      </c>
      <c r="DW101" t="s">
        <v>1589</v>
      </c>
      <c r="DX101">
        <v>10</v>
      </c>
      <c r="DY101" t="s">
        <v>1675</v>
      </c>
      <c r="DZ101" t="s">
        <v>1670</v>
      </c>
      <c r="EA101">
        <v>1</v>
      </c>
      <c r="EB101" t="s">
        <v>1513</v>
      </c>
      <c r="EC101" s="10">
        <v>345</v>
      </c>
      <c r="ED101" s="10" t="s">
        <v>1738</v>
      </c>
      <c r="EE101" s="813">
        <f t="shared" si="71"/>
        <v>0</v>
      </c>
      <c r="EF101">
        <f>ROWS($DE$2:DE101)</f>
        <v>100</v>
      </c>
      <c r="EG101" t="str">
        <f t="shared" si="72"/>
        <v/>
      </c>
      <c r="EJ101" t="str">
        <f t="shared" si="73"/>
        <v/>
      </c>
      <c r="EM101" t="str">
        <f t="shared" si="74"/>
        <v/>
      </c>
      <c r="EP101" t="str">
        <f t="shared" si="75"/>
        <v/>
      </c>
      <c r="ES101" t="str">
        <f t="shared" si="76"/>
        <v/>
      </c>
      <c r="EV101" t="str">
        <f t="shared" si="77"/>
        <v/>
      </c>
      <c r="EY101" t="str">
        <f t="shared" si="78"/>
        <v/>
      </c>
      <c r="FB101" t="str">
        <f t="shared" si="79"/>
        <v/>
      </c>
      <c r="FE101" t="str">
        <f t="shared" si="80"/>
        <v/>
      </c>
      <c r="FH101" t="str">
        <f t="shared" si="81"/>
        <v/>
      </c>
      <c r="FK101" t="str">
        <f t="shared" si="82"/>
        <v/>
      </c>
      <c r="FN101" t="str">
        <f t="shared" si="83"/>
        <v/>
      </c>
      <c r="FQ101" t="str">
        <f t="shared" si="84"/>
        <v/>
      </c>
      <c r="FT101" t="str">
        <f t="shared" si="85"/>
        <v/>
      </c>
      <c r="FW101" t="str">
        <f t="shared" si="86"/>
        <v/>
      </c>
      <c r="FZ101" t="str">
        <f t="shared" si="87"/>
        <v/>
      </c>
      <c r="GC101" t="str">
        <f t="shared" si="88"/>
        <v/>
      </c>
      <c r="GE101" s="155"/>
    </row>
    <row r="102" spans="1:187" ht="15.75" customHeight="1" thickBot="1" x14ac:dyDescent="0.4">
      <c r="B102" s="1145"/>
      <c r="C102" s="579">
        <v>7</v>
      </c>
      <c r="E102" s="26"/>
      <c r="F102" s="26"/>
      <c r="L102" s="176">
        <v>942975</v>
      </c>
      <c r="O102" s="207"/>
      <c r="P102" s="208"/>
      <c r="Q102" s="208"/>
      <c r="R102" s="209"/>
      <c r="S102" s="210">
        <v>6.125</v>
      </c>
      <c r="T102" s="210" t="s">
        <v>742</v>
      </c>
      <c r="U102" s="210">
        <v>1032847</v>
      </c>
      <c r="V102" s="195" t="s">
        <v>92</v>
      </c>
      <c r="W102" s="191">
        <v>1</v>
      </c>
      <c r="X102" s="173">
        <v>1</v>
      </c>
      <c r="Y102" s="173">
        <v>1</v>
      </c>
      <c r="Z102" s="192">
        <v>2</v>
      </c>
      <c r="AA102" s="171"/>
      <c r="AB102" s="172"/>
      <c r="AC102" s="178"/>
      <c r="AD102" s="196"/>
      <c r="AE102" s="188"/>
      <c r="AF102" s="188"/>
      <c r="AG102" s="188"/>
      <c r="AH102" s="188"/>
      <c r="AI102" s="188"/>
      <c r="AJ102" s="188"/>
      <c r="AK102" s="188"/>
      <c r="AL102" s="188"/>
      <c r="AM102" s="188"/>
      <c r="AN102" s="188"/>
      <c r="AO102" s="188"/>
      <c r="AP102" s="188"/>
      <c r="AQ102" s="188"/>
      <c r="AR102" s="188"/>
      <c r="AS102" s="188"/>
      <c r="AT102" s="188"/>
      <c r="AU102" s="188"/>
      <c r="AV102" s="188"/>
      <c r="AW102" s="188"/>
      <c r="AX102" s="188"/>
      <c r="AY102" s="188"/>
      <c r="AZ102" s="188"/>
      <c r="BA102" s="188"/>
      <c r="BB102" s="188"/>
      <c r="BC102" s="188"/>
      <c r="BD102" s="188"/>
      <c r="BF102">
        <f>ROWS($U$46:U102)</f>
        <v>57</v>
      </c>
      <c r="BG102" t="str">
        <f t="shared" si="66"/>
        <v/>
      </c>
      <c r="DB102" s="37">
        <v>971093</v>
      </c>
      <c r="DD102" s="75"/>
      <c r="DE102" s="37">
        <v>794672</v>
      </c>
      <c r="DF102" t="s">
        <v>904</v>
      </c>
      <c r="DG102" s="37" t="s">
        <v>919</v>
      </c>
      <c r="DH102" s="37">
        <v>19</v>
      </c>
      <c r="DI102" s="37">
        <v>1913</v>
      </c>
      <c r="DJ102" s="37" t="s">
        <v>267</v>
      </c>
      <c r="DK102" s="37" t="s">
        <v>935</v>
      </c>
      <c r="DL102" s="37" t="s">
        <v>240</v>
      </c>
      <c r="DM102" s="37">
        <v>0</v>
      </c>
      <c r="DN102" s="37">
        <v>0</v>
      </c>
      <c r="DO102" s="37">
        <v>660</v>
      </c>
      <c r="DP102" s="37"/>
      <c r="DQ102" s="37"/>
      <c r="DR102" s="37" t="str">
        <f t="shared" si="90"/>
        <v>1913 CT97 TBO-Cutter</v>
      </c>
      <c r="DS102" s="37">
        <f t="shared" si="89"/>
        <v>330.27800000000002</v>
      </c>
      <c r="DT102" s="10">
        <v>254.06</v>
      </c>
      <c r="DV102" s="10" t="s">
        <v>49</v>
      </c>
      <c r="DW102" t="s">
        <v>1591</v>
      </c>
      <c r="DX102">
        <v>30</v>
      </c>
      <c r="DY102" t="s">
        <v>1674</v>
      </c>
      <c r="DZ102" t="s">
        <v>1669</v>
      </c>
      <c r="EA102">
        <v>1</v>
      </c>
      <c r="EB102" t="s">
        <v>1513</v>
      </c>
      <c r="EC102" s="10">
        <v>836</v>
      </c>
      <c r="ED102" s="10" t="s">
        <v>1737</v>
      </c>
      <c r="EE102" s="813">
        <f t="shared" si="71"/>
        <v>0</v>
      </c>
      <c r="EF102">
        <f>ROWS($DE$2:DE102)</f>
        <v>101</v>
      </c>
      <c r="EG102" t="str">
        <f t="shared" si="72"/>
        <v/>
      </c>
      <c r="EJ102" t="str">
        <f t="shared" si="73"/>
        <v/>
      </c>
      <c r="EM102" t="str">
        <f t="shared" si="74"/>
        <v/>
      </c>
      <c r="EP102" t="str">
        <f t="shared" si="75"/>
        <v/>
      </c>
      <c r="ES102" t="str">
        <f t="shared" si="76"/>
        <v/>
      </c>
      <c r="EV102" t="str">
        <f t="shared" si="77"/>
        <v/>
      </c>
      <c r="EY102" t="str">
        <f t="shared" si="78"/>
        <v/>
      </c>
      <c r="FB102" t="str">
        <f t="shared" si="79"/>
        <v/>
      </c>
      <c r="FE102" t="str">
        <f t="shared" si="80"/>
        <v/>
      </c>
      <c r="FH102" t="str">
        <f t="shared" si="81"/>
        <v/>
      </c>
      <c r="FK102" t="str">
        <f t="shared" si="82"/>
        <v/>
      </c>
      <c r="FN102" t="str">
        <f t="shared" si="83"/>
        <v/>
      </c>
      <c r="FQ102" t="str">
        <f t="shared" si="84"/>
        <v/>
      </c>
      <c r="FT102" t="str">
        <f t="shared" si="85"/>
        <v/>
      </c>
      <c r="FW102" t="str">
        <f t="shared" si="86"/>
        <v/>
      </c>
      <c r="FZ102" t="str">
        <f t="shared" si="87"/>
        <v/>
      </c>
      <c r="GC102" t="str">
        <f t="shared" si="88"/>
        <v/>
      </c>
      <c r="GE102" s="155"/>
    </row>
    <row r="103" spans="1:187" ht="15.75" customHeight="1" thickBot="1" x14ac:dyDescent="0.4">
      <c r="A103" s="1004">
        <f>VALUE(LEFT($B$2,8))</f>
        <v>13753277</v>
      </c>
      <c r="B103" s="1146"/>
      <c r="C103" s="579">
        <v>9</v>
      </c>
      <c r="E103" s="26"/>
      <c r="F103" s="26"/>
      <c r="L103" s="176">
        <v>952071</v>
      </c>
      <c r="O103" s="211">
        <v>1</v>
      </c>
      <c r="P103" s="212">
        <v>418525</v>
      </c>
      <c r="Q103" s="212">
        <v>6</v>
      </c>
      <c r="R103" s="212"/>
      <c r="S103" s="182">
        <v>8.5</v>
      </c>
      <c r="T103" s="182" t="s">
        <v>743</v>
      </c>
      <c r="U103" s="182">
        <v>639070</v>
      </c>
      <c r="V103" s="183" t="s">
        <v>87</v>
      </c>
      <c r="W103" s="184">
        <v>2</v>
      </c>
      <c r="X103" s="185">
        <v>2</v>
      </c>
      <c r="Y103" s="185">
        <v>3</v>
      </c>
      <c r="Z103" s="185">
        <v>3</v>
      </c>
      <c r="AA103" s="185">
        <v>3</v>
      </c>
      <c r="AB103" s="185">
        <v>3</v>
      </c>
      <c r="AC103" s="185">
        <v>3</v>
      </c>
      <c r="AD103" s="185">
        <v>1</v>
      </c>
      <c r="AE103" s="177"/>
      <c r="AF103" s="188"/>
      <c r="AG103" s="188"/>
      <c r="AH103" s="188"/>
      <c r="AI103" s="188"/>
      <c r="AJ103" s="188"/>
      <c r="AK103" s="188"/>
      <c r="AL103" s="188"/>
      <c r="AM103" s="188"/>
      <c r="AN103" s="188"/>
      <c r="AO103" s="188"/>
      <c r="AP103" s="188"/>
      <c r="AQ103" s="188"/>
      <c r="AR103" s="188"/>
      <c r="AS103" s="188"/>
      <c r="AT103" s="188"/>
      <c r="AU103" s="188"/>
      <c r="AV103" s="188"/>
      <c r="AW103" s="188"/>
      <c r="AX103" s="188"/>
      <c r="AY103" s="188"/>
      <c r="AZ103" s="188"/>
      <c r="BA103" s="188"/>
      <c r="BB103" s="188"/>
      <c r="BC103" s="188"/>
      <c r="BD103" s="188"/>
      <c r="BF103">
        <f>ROWS($U$46:U103)</f>
        <v>58</v>
      </c>
      <c r="BG103" t="str">
        <f t="shared" si="66"/>
        <v/>
      </c>
      <c r="DB103" s="37">
        <v>933120</v>
      </c>
      <c r="DD103" s="75"/>
      <c r="DE103" s="37">
        <v>785003</v>
      </c>
      <c r="DF103" t="s">
        <v>905</v>
      </c>
      <c r="DG103" s="37" t="s">
        <v>920</v>
      </c>
      <c r="DH103" s="37">
        <v>16</v>
      </c>
      <c r="DI103" s="37">
        <v>1613</v>
      </c>
      <c r="DJ103" s="37" t="s">
        <v>267</v>
      </c>
      <c r="DK103" s="37" t="s">
        <v>935</v>
      </c>
      <c r="DL103" s="37" t="s">
        <v>240</v>
      </c>
      <c r="DM103" s="37">
        <v>0</v>
      </c>
      <c r="DN103" s="37">
        <v>0</v>
      </c>
      <c r="DO103" s="37">
        <v>497</v>
      </c>
      <c r="DP103" s="37"/>
      <c r="DQ103" s="37"/>
      <c r="DR103" s="37" t="str">
        <f t="shared" si="90"/>
        <v>1613 CT97 TBO-Cutter</v>
      </c>
      <c r="DS103" s="37">
        <f t="shared" si="89"/>
        <v>0</v>
      </c>
      <c r="DV103" s="10" t="s">
        <v>49</v>
      </c>
      <c r="DW103" t="s">
        <v>1590</v>
      </c>
      <c r="DX103">
        <v>30</v>
      </c>
      <c r="DY103" t="s">
        <v>1673</v>
      </c>
      <c r="DZ103" t="s">
        <v>1668</v>
      </c>
      <c r="EA103">
        <v>1</v>
      </c>
      <c r="EB103" t="s">
        <v>1513</v>
      </c>
      <c r="EC103" s="10">
        <v>662</v>
      </c>
      <c r="ED103" s="10" t="s">
        <v>1736</v>
      </c>
      <c r="EE103" s="813">
        <f t="shared" si="71"/>
        <v>0</v>
      </c>
      <c r="EF103">
        <f>ROWS($DE$2:DE103)</f>
        <v>102</v>
      </c>
      <c r="EG103" t="str">
        <f t="shared" si="72"/>
        <v/>
      </c>
      <c r="EJ103" t="str">
        <f t="shared" si="73"/>
        <v/>
      </c>
      <c r="EM103" t="str">
        <f t="shared" si="74"/>
        <v/>
      </c>
      <c r="EP103" t="str">
        <f t="shared" si="75"/>
        <v/>
      </c>
      <c r="ES103" t="str">
        <f t="shared" si="76"/>
        <v/>
      </c>
      <c r="EV103" t="str">
        <f t="shared" si="77"/>
        <v/>
      </c>
      <c r="EY103" t="str">
        <f t="shared" si="78"/>
        <v/>
      </c>
      <c r="FB103" t="str">
        <f t="shared" si="79"/>
        <v/>
      </c>
      <c r="FE103" t="str">
        <f t="shared" si="80"/>
        <v/>
      </c>
      <c r="FH103" t="str">
        <f t="shared" si="81"/>
        <v/>
      </c>
      <c r="FK103" t="str">
        <f t="shared" si="82"/>
        <v/>
      </c>
      <c r="FN103" t="str">
        <f t="shared" si="83"/>
        <v/>
      </c>
      <c r="FQ103" t="str">
        <f t="shared" si="84"/>
        <v/>
      </c>
      <c r="FT103" t="str">
        <f t="shared" si="85"/>
        <v/>
      </c>
      <c r="FW103" t="str">
        <f t="shared" si="86"/>
        <v/>
      </c>
      <c r="FZ103" t="str">
        <f t="shared" si="87"/>
        <v/>
      </c>
      <c r="GC103" t="str">
        <f t="shared" si="88"/>
        <v/>
      </c>
      <c r="GE103" s="155"/>
    </row>
    <row r="104" spans="1:187" ht="15" customHeight="1" thickBot="1" x14ac:dyDescent="0.4">
      <c r="B104" s="1145"/>
      <c r="C104" s="579">
        <v>15</v>
      </c>
      <c r="E104" s="26"/>
      <c r="F104" s="26"/>
      <c r="L104" s="176">
        <v>952533</v>
      </c>
      <c r="O104" s="197">
        <v>2</v>
      </c>
      <c r="P104" s="190">
        <v>471108</v>
      </c>
      <c r="Q104" s="190">
        <v>6</v>
      </c>
      <c r="R104" s="190"/>
      <c r="S104" s="190">
        <v>8.5</v>
      </c>
      <c r="T104" s="190" t="s">
        <v>743</v>
      </c>
      <c r="U104" s="190">
        <v>639070</v>
      </c>
      <c r="V104" s="171" t="s">
        <v>88</v>
      </c>
      <c r="W104" s="191">
        <v>3</v>
      </c>
      <c r="X104" s="173">
        <v>3</v>
      </c>
      <c r="Y104" s="173">
        <v>3</v>
      </c>
      <c r="Z104" s="173">
        <v>3</v>
      </c>
      <c r="AA104" s="192">
        <v>1</v>
      </c>
      <c r="AB104" s="171"/>
      <c r="AC104" s="172"/>
      <c r="AD104" s="172"/>
      <c r="AE104" s="65"/>
      <c r="AF104" s="188"/>
      <c r="AG104" s="188"/>
      <c r="AH104" s="188"/>
      <c r="AI104" s="188"/>
      <c r="AJ104" s="188"/>
      <c r="AK104" s="188"/>
      <c r="AL104" s="188"/>
      <c r="AM104" s="188"/>
      <c r="AN104" s="188"/>
      <c r="AO104" s="188"/>
      <c r="AP104" s="188"/>
      <c r="AQ104" s="188"/>
      <c r="AR104" s="188"/>
      <c r="AS104" s="188"/>
      <c r="AT104" s="188"/>
      <c r="AU104" s="188"/>
      <c r="AV104" s="188"/>
      <c r="AW104" s="188"/>
      <c r="AX104" s="188"/>
      <c r="AY104" s="188"/>
      <c r="AZ104" s="188"/>
      <c r="BA104" s="188"/>
      <c r="BB104" s="188"/>
      <c r="BC104" s="188"/>
      <c r="BD104" s="188"/>
      <c r="BF104">
        <f>ROWS($U$46:U104)</f>
        <v>59</v>
      </c>
      <c r="BG104" t="str">
        <f t="shared" si="66"/>
        <v/>
      </c>
      <c r="DB104" s="37">
        <v>983408</v>
      </c>
      <c r="DD104" s="75"/>
      <c r="DE104" s="37">
        <v>785001</v>
      </c>
      <c r="DF104" t="s">
        <v>906</v>
      </c>
      <c r="DG104" s="37" t="s">
        <v>921</v>
      </c>
      <c r="DH104" s="37">
        <v>13</v>
      </c>
      <c r="DI104" s="37">
        <v>1313</v>
      </c>
      <c r="DJ104" s="37" t="s">
        <v>267</v>
      </c>
      <c r="DK104" s="37" t="s">
        <v>935</v>
      </c>
      <c r="DL104" s="37" t="s">
        <v>240</v>
      </c>
      <c r="DM104" s="37">
        <v>0</v>
      </c>
      <c r="DN104" s="37">
        <v>0</v>
      </c>
      <c r="DO104" s="37">
        <v>360</v>
      </c>
      <c r="DP104" s="37"/>
      <c r="DQ104" s="37"/>
      <c r="DR104" s="37" t="str">
        <f t="shared" si="90"/>
        <v>1313 CT97 TBO-Cutter</v>
      </c>
      <c r="DS104" s="37">
        <f t="shared" si="89"/>
        <v>195.02600000000001</v>
      </c>
      <c r="DT104" s="10">
        <v>150.02000000000001</v>
      </c>
      <c r="DV104" s="10" t="s">
        <v>49</v>
      </c>
      <c r="DW104" t="s">
        <v>1589</v>
      </c>
      <c r="DX104">
        <v>30</v>
      </c>
      <c r="DY104" t="s">
        <v>1677</v>
      </c>
      <c r="DZ104" t="s">
        <v>1670</v>
      </c>
      <c r="EA104">
        <v>1</v>
      </c>
      <c r="EB104" t="s">
        <v>1513</v>
      </c>
      <c r="EC104" s="10">
        <v>480</v>
      </c>
      <c r="ED104" s="10" t="s">
        <v>1740</v>
      </c>
      <c r="EE104" s="813">
        <f t="shared" si="71"/>
        <v>0</v>
      </c>
      <c r="EF104">
        <f>ROWS($DE$2:DE104)</f>
        <v>103</v>
      </c>
      <c r="EG104" t="str">
        <f t="shared" si="72"/>
        <v/>
      </c>
      <c r="EJ104" t="str">
        <f t="shared" si="73"/>
        <v/>
      </c>
      <c r="EM104" t="str">
        <f t="shared" si="74"/>
        <v/>
      </c>
      <c r="EP104" t="str">
        <f t="shared" si="75"/>
        <v/>
      </c>
      <c r="ES104" t="str">
        <f t="shared" si="76"/>
        <v/>
      </c>
      <c r="EV104" t="str">
        <f t="shared" si="77"/>
        <v/>
      </c>
      <c r="EY104" t="str">
        <f t="shared" si="78"/>
        <v/>
      </c>
      <c r="FB104" t="str">
        <f t="shared" si="79"/>
        <v/>
      </c>
      <c r="FE104" t="str">
        <f t="shared" si="80"/>
        <v/>
      </c>
      <c r="FH104" t="str">
        <f t="shared" si="81"/>
        <v/>
      </c>
      <c r="FK104" t="str">
        <f t="shared" si="82"/>
        <v/>
      </c>
      <c r="FN104" t="str">
        <f t="shared" si="83"/>
        <v/>
      </c>
      <c r="FQ104" t="str">
        <f t="shared" si="84"/>
        <v/>
      </c>
      <c r="FT104" t="str">
        <f t="shared" si="85"/>
        <v/>
      </c>
      <c r="FW104" t="str">
        <f t="shared" si="86"/>
        <v/>
      </c>
      <c r="FZ104" t="str">
        <f t="shared" si="87"/>
        <v/>
      </c>
      <c r="GC104" t="str">
        <f t="shared" si="88"/>
        <v/>
      </c>
      <c r="GE104" s="155"/>
    </row>
    <row r="105" spans="1:187" ht="15" customHeight="1" thickBot="1" x14ac:dyDescent="0.4">
      <c r="B105" s="1145"/>
      <c r="C105" s="579">
        <v>17</v>
      </c>
      <c r="E105" s="26"/>
      <c r="F105" s="26"/>
      <c r="L105" s="176">
        <v>952636</v>
      </c>
      <c r="O105" s="199">
        <v>3</v>
      </c>
      <c r="P105" s="200">
        <v>471109</v>
      </c>
      <c r="Q105" s="200">
        <v>28</v>
      </c>
      <c r="R105" s="200"/>
      <c r="S105" s="190">
        <v>8.5</v>
      </c>
      <c r="T105" s="190" t="s">
        <v>743</v>
      </c>
      <c r="U105" s="190">
        <v>639070</v>
      </c>
      <c r="V105" s="171" t="s">
        <v>89</v>
      </c>
      <c r="W105" s="191">
        <v>2</v>
      </c>
      <c r="X105" s="173">
        <v>2</v>
      </c>
      <c r="Y105" s="173">
        <v>3</v>
      </c>
      <c r="Z105" s="173">
        <v>3</v>
      </c>
      <c r="AA105" s="173">
        <v>3</v>
      </c>
      <c r="AB105" s="173">
        <v>3</v>
      </c>
      <c r="AC105" s="174">
        <v>3</v>
      </c>
      <c r="AD105" s="177">
        <v>1</v>
      </c>
      <c r="AE105" s="177"/>
      <c r="AF105" s="188"/>
      <c r="AG105" s="188"/>
      <c r="AH105" s="188"/>
      <c r="AI105" s="188"/>
      <c r="AJ105" s="188"/>
      <c r="AK105" s="188"/>
      <c r="AL105" s="188"/>
      <c r="AM105" s="188"/>
      <c r="AN105" s="188"/>
      <c r="AO105" s="188"/>
      <c r="AP105" s="188"/>
      <c r="AQ105" s="188"/>
      <c r="AR105" s="188"/>
      <c r="AS105" s="188"/>
      <c r="AT105" s="188"/>
      <c r="AU105" s="188"/>
      <c r="AV105" s="188"/>
      <c r="AW105" s="188"/>
      <c r="AX105" s="188"/>
      <c r="AY105" s="188"/>
      <c r="AZ105" s="188"/>
      <c r="BA105" s="188"/>
      <c r="BB105" s="188"/>
      <c r="BC105" s="188"/>
      <c r="BD105" s="188"/>
      <c r="BF105">
        <f>ROWS($U$46:U105)</f>
        <v>60</v>
      </c>
      <c r="BG105" t="str">
        <f t="shared" si="66"/>
        <v/>
      </c>
      <c r="DB105" s="37">
        <v>774371</v>
      </c>
      <c r="DD105" s="75"/>
      <c r="DE105" s="37">
        <v>755889</v>
      </c>
      <c r="DF105" t="s">
        <v>907</v>
      </c>
      <c r="DG105" s="37" t="s">
        <v>922</v>
      </c>
      <c r="DH105" s="37">
        <v>16</v>
      </c>
      <c r="DI105" s="37">
        <v>16</v>
      </c>
      <c r="DJ105" s="37" t="s">
        <v>262</v>
      </c>
      <c r="DK105" s="37" t="s">
        <v>934</v>
      </c>
      <c r="DL105" s="37" t="s">
        <v>239</v>
      </c>
      <c r="DM105" s="37">
        <v>0</v>
      </c>
      <c r="DN105" s="37">
        <v>0</v>
      </c>
      <c r="DO105" s="37">
        <v>497</v>
      </c>
      <c r="DP105" s="37"/>
      <c r="DQ105" s="37"/>
      <c r="DR105" s="37" t="str">
        <f t="shared" si="90"/>
        <v>16 CT80 Long bullet</v>
      </c>
      <c r="DS105" s="37">
        <f t="shared" si="89"/>
        <v>284.726</v>
      </c>
      <c r="DT105" s="10">
        <v>219.02</v>
      </c>
      <c r="DV105" s="10" t="s">
        <v>146</v>
      </c>
      <c r="DW105" t="s">
        <v>1590</v>
      </c>
      <c r="DX105">
        <v>10</v>
      </c>
      <c r="DY105" t="s">
        <v>1681</v>
      </c>
      <c r="DZ105" t="s">
        <v>1668</v>
      </c>
      <c r="EA105">
        <v>1</v>
      </c>
      <c r="EB105" t="s">
        <v>1513</v>
      </c>
      <c r="EC105" s="10">
        <v>490</v>
      </c>
      <c r="ED105" s="10" t="s">
        <v>1744</v>
      </c>
      <c r="EE105" s="813">
        <f t="shared" si="71"/>
        <v>0</v>
      </c>
      <c r="EF105">
        <f>ROWS($DE$2:DE105)</f>
        <v>104</v>
      </c>
      <c r="EG105" t="str">
        <f t="shared" si="72"/>
        <v/>
      </c>
      <c r="EJ105" t="str">
        <f t="shared" si="73"/>
        <v/>
      </c>
      <c r="EM105" t="str">
        <f t="shared" si="74"/>
        <v/>
      </c>
      <c r="EP105" t="str">
        <f t="shared" si="75"/>
        <v/>
      </c>
      <c r="ES105" t="str">
        <f t="shared" si="76"/>
        <v/>
      </c>
      <c r="EV105" t="str">
        <f t="shared" si="77"/>
        <v/>
      </c>
      <c r="EY105" t="str">
        <f t="shared" si="78"/>
        <v/>
      </c>
      <c r="FB105" t="str">
        <f t="shared" si="79"/>
        <v/>
      </c>
      <c r="FE105" t="str">
        <f t="shared" si="80"/>
        <v/>
      </c>
      <c r="FH105" t="str">
        <f t="shared" si="81"/>
        <v/>
      </c>
      <c r="FK105" t="str">
        <f t="shared" si="82"/>
        <v/>
      </c>
      <c r="FN105" t="str">
        <f t="shared" si="83"/>
        <v/>
      </c>
      <c r="FQ105" t="str">
        <f t="shared" si="84"/>
        <v/>
      </c>
      <c r="FT105" t="str">
        <f t="shared" si="85"/>
        <v/>
      </c>
      <c r="FW105" t="str">
        <f t="shared" si="86"/>
        <v/>
      </c>
      <c r="FZ105" t="str">
        <f t="shared" si="87"/>
        <v/>
      </c>
      <c r="GC105" t="str">
        <f t="shared" si="88"/>
        <v/>
      </c>
      <c r="GE105" s="155"/>
    </row>
    <row r="106" spans="1:187" ht="15" customHeight="1" thickBot="1" x14ac:dyDescent="0.4">
      <c r="B106" s="1145"/>
      <c r="C106" s="579">
        <v>17.625</v>
      </c>
      <c r="E106" s="26"/>
      <c r="F106" s="26"/>
      <c r="L106" s="176">
        <v>952724</v>
      </c>
      <c r="O106" s="202"/>
      <c r="P106" s="203"/>
      <c r="Q106" s="203"/>
      <c r="R106" s="204"/>
      <c r="S106" s="201">
        <v>8.5</v>
      </c>
      <c r="T106" s="190" t="s">
        <v>743</v>
      </c>
      <c r="U106" s="190">
        <v>639070</v>
      </c>
      <c r="V106" s="171" t="s">
        <v>90</v>
      </c>
      <c r="W106" s="191">
        <v>3</v>
      </c>
      <c r="X106" s="173">
        <v>3</v>
      </c>
      <c r="Y106" s="173">
        <v>3</v>
      </c>
      <c r="Z106" s="173">
        <v>3</v>
      </c>
      <c r="AA106" s="173">
        <v>3</v>
      </c>
      <c r="AB106" s="192">
        <v>1</v>
      </c>
      <c r="AC106" s="171"/>
      <c r="AD106" s="172"/>
      <c r="AE106" s="65"/>
      <c r="AF106" s="188"/>
      <c r="AG106" s="188"/>
      <c r="AH106" s="188"/>
      <c r="AI106" s="188"/>
      <c r="AJ106" s="188"/>
      <c r="AK106" s="188"/>
      <c r="AL106" s="188"/>
      <c r="AM106" s="188"/>
      <c r="AN106" s="188"/>
      <c r="AO106" s="188"/>
      <c r="AP106" s="188"/>
      <c r="AQ106" s="188"/>
      <c r="AR106" s="188"/>
      <c r="AS106" s="188"/>
      <c r="AT106" s="188"/>
      <c r="AU106" s="188"/>
      <c r="AV106" s="188"/>
      <c r="AW106" s="188"/>
      <c r="AX106" s="188"/>
      <c r="AY106" s="188"/>
      <c r="AZ106" s="188"/>
      <c r="BA106" s="188"/>
      <c r="BB106" s="188"/>
      <c r="BC106" s="188"/>
      <c r="BD106" s="188"/>
      <c r="BF106">
        <f>ROWS($U$46:U106)</f>
        <v>61</v>
      </c>
      <c r="BG106" t="str">
        <f t="shared" si="66"/>
        <v/>
      </c>
      <c r="DB106" s="37">
        <v>179733</v>
      </c>
      <c r="DD106" s="75"/>
      <c r="DE106" s="37">
        <v>802063</v>
      </c>
      <c r="DF106" t="s">
        <v>908</v>
      </c>
      <c r="DG106" s="37" t="s">
        <v>923</v>
      </c>
      <c r="DH106" s="37">
        <v>16</v>
      </c>
      <c r="DI106" s="37">
        <v>1613</v>
      </c>
      <c r="DJ106" s="37" t="s">
        <v>267</v>
      </c>
      <c r="DK106" s="37" t="s">
        <v>935</v>
      </c>
      <c r="DL106" s="37" t="s">
        <v>239</v>
      </c>
      <c r="DM106" s="37">
        <v>0</v>
      </c>
      <c r="DN106" s="37">
        <v>0</v>
      </c>
      <c r="DO106" s="37">
        <v>497</v>
      </c>
      <c r="DP106" s="37"/>
      <c r="DQ106" s="37"/>
      <c r="DR106" s="37" t="str">
        <f t="shared" si="90"/>
        <v>1613 CT97 TBO-Cutter</v>
      </c>
      <c r="DS106" s="37">
        <f t="shared" si="89"/>
        <v>260.767</v>
      </c>
      <c r="DT106" s="10">
        <v>200.59</v>
      </c>
      <c r="DV106" s="10" t="s">
        <v>49</v>
      </c>
      <c r="DW106" t="s">
        <v>1590</v>
      </c>
      <c r="DX106">
        <v>30</v>
      </c>
      <c r="DY106" t="s">
        <v>1673</v>
      </c>
      <c r="DZ106" t="s">
        <v>1668</v>
      </c>
      <c r="EA106">
        <v>1</v>
      </c>
      <c r="EB106" t="s">
        <v>1513</v>
      </c>
      <c r="EC106" s="10">
        <v>662</v>
      </c>
      <c r="ED106" s="10" t="s">
        <v>1736</v>
      </c>
      <c r="EE106" s="813">
        <f t="shared" si="71"/>
        <v>0</v>
      </c>
      <c r="EF106">
        <f>ROWS($DE$2:DE106)</f>
        <v>105</v>
      </c>
      <c r="EG106" t="str">
        <f t="shared" si="72"/>
        <v/>
      </c>
      <c r="EJ106" t="str">
        <f t="shared" si="73"/>
        <v/>
      </c>
      <c r="EM106" t="str">
        <f t="shared" si="74"/>
        <v/>
      </c>
      <c r="EP106" t="str">
        <f t="shared" si="75"/>
        <v/>
      </c>
      <c r="ES106" t="str">
        <f t="shared" si="76"/>
        <v/>
      </c>
      <c r="EV106" t="str">
        <f t="shared" si="77"/>
        <v/>
      </c>
      <c r="EY106" t="str">
        <f t="shared" si="78"/>
        <v/>
      </c>
      <c r="FB106" t="str">
        <f t="shared" si="79"/>
        <v/>
      </c>
      <c r="FE106" t="str">
        <f t="shared" si="80"/>
        <v/>
      </c>
      <c r="FH106" t="str">
        <f t="shared" si="81"/>
        <v/>
      </c>
      <c r="FK106" t="str">
        <f t="shared" si="82"/>
        <v/>
      </c>
      <c r="FN106" t="str">
        <f t="shared" si="83"/>
        <v/>
      </c>
      <c r="FQ106" t="str">
        <f t="shared" si="84"/>
        <v/>
      </c>
      <c r="FT106" t="str">
        <f t="shared" si="85"/>
        <v/>
      </c>
      <c r="FW106" t="str">
        <f t="shared" si="86"/>
        <v/>
      </c>
      <c r="FZ106" t="str">
        <f t="shared" si="87"/>
        <v/>
      </c>
      <c r="GC106" t="str">
        <f t="shared" si="88"/>
        <v/>
      </c>
      <c r="GE106" s="155"/>
    </row>
    <row r="107" spans="1:187" ht="15" customHeight="1" thickBot="1" x14ac:dyDescent="0.4">
      <c r="B107" s="1147"/>
      <c r="C107" s="579">
        <v>22.125</v>
      </c>
      <c r="E107" s="26"/>
      <c r="F107" s="26"/>
      <c r="L107" s="176">
        <v>952982</v>
      </c>
      <c r="O107" s="205"/>
      <c r="P107" s="193"/>
      <c r="Q107" s="193"/>
      <c r="R107" s="206"/>
      <c r="S107" s="201">
        <v>8.5</v>
      </c>
      <c r="T107" s="190" t="s">
        <v>743</v>
      </c>
      <c r="U107" s="190">
        <v>639070</v>
      </c>
      <c r="V107" s="171" t="s">
        <v>91</v>
      </c>
      <c r="W107" s="191">
        <v>2</v>
      </c>
      <c r="X107" s="173">
        <v>2</v>
      </c>
      <c r="Y107" s="173">
        <v>3</v>
      </c>
      <c r="Z107" s="173">
        <v>3</v>
      </c>
      <c r="AA107" s="173">
        <v>3</v>
      </c>
      <c r="AB107" s="174">
        <v>3</v>
      </c>
      <c r="AC107" s="174">
        <v>3</v>
      </c>
      <c r="AD107" s="177">
        <v>1</v>
      </c>
      <c r="AE107" s="177"/>
      <c r="AF107" s="188"/>
      <c r="AG107" s="188"/>
      <c r="AH107" s="188"/>
      <c r="AI107" s="188"/>
      <c r="AJ107" s="188"/>
      <c r="AK107" s="188"/>
      <c r="AL107" s="188"/>
      <c r="AM107" s="188"/>
      <c r="AN107" s="188"/>
      <c r="AO107" s="188"/>
      <c r="AP107" s="188"/>
      <c r="AQ107" s="188"/>
      <c r="AR107" s="188"/>
      <c r="AS107" s="188"/>
      <c r="AT107" s="188"/>
      <c r="AU107" s="188"/>
      <c r="AV107" s="188"/>
      <c r="AW107" s="188"/>
      <c r="AX107" s="188"/>
      <c r="AY107" s="188"/>
      <c r="AZ107" s="188"/>
      <c r="BA107" s="188"/>
      <c r="BB107" s="188"/>
      <c r="BC107" s="188"/>
      <c r="BD107" s="188"/>
      <c r="BF107">
        <f>ROWS($U$46:U107)</f>
        <v>62</v>
      </c>
      <c r="BG107" t="str">
        <f t="shared" si="66"/>
        <v/>
      </c>
      <c r="DB107" s="37">
        <v>742620</v>
      </c>
      <c r="DD107" s="75"/>
      <c r="DE107" s="37">
        <v>179734</v>
      </c>
      <c r="DF107" t="s">
        <v>957</v>
      </c>
      <c r="DG107" s="37" t="s">
        <v>957</v>
      </c>
      <c r="DH107" s="37">
        <v>13</v>
      </c>
      <c r="DI107" s="37">
        <v>13</v>
      </c>
      <c r="DJ107" s="37"/>
      <c r="DK107" s="37" t="s">
        <v>958</v>
      </c>
      <c r="DL107" s="37"/>
      <c r="DM107" s="37">
        <v>0</v>
      </c>
      <c r="DN107" s="37">
        <v>0</v>
      </c>
      <c r="DO107" s="37">
        <v>360</v>
      </c>
      <c r="DP107" s="37"/>
      <c r="DQ107" s="37"/>
      <c r="DR107" s="37" t="str">
        <f t="shared" si="90"/>
        <v>13  long impact arrestor</v>
      </c>
      <c r="DS107" s="37">
        <f t="shared" si="89"/>
        <v>7.3111999999999995</v>
      </c>
      <c r="DT107" s="10">
        <v>5.6239999999999997</v>
      </c>
      <c r="DV107" s="10" t="s">
        <v>1753</v>
      </c>
      <c r="DW107" t="s">
        <v>1589</v>
      </c>
      <c r="DX107">
        <v>10</v>
      </c>
      <c r="DY107" t="s">
        <v>1675</v>
      </c>
      <c r="DZ107" t="s">
        <v>1670</v>
      </c>
      <c r="EA107">
        <v>1</v>
      </c>
      <c r="EB107" t="s">
        <v>1513</v>
      </c>
      <c r="EC107" s="10">
        <v>345</v>
      </c>
      <c r="ED107" s="10" t="s">
        <v>1738</v>
      </c>
      <c r="EE107" s="813">
        <f t="shared" si="71"/>
        <v>0</v>
      </c>
      <c r="EF107">
        <f>ROWS($DE$2:DE107)</f>
        <v>106</v>
      </c>
      <c r="EG107" t="str">
        <f t="shared" si="72"/>
        <v/>
      </c>
      <c r="EJ107" t="str">
        <f t="shared" si="73"/>
        <v/>
      </c>
      <c r="EM107" t="str">
        <f t="shared" si="74"/>
        <v/>
      </c>
      <c r="EP107" t="str">
        <f t="shared" si="75"/>
        <v/>
      </c>
      <c r="ES107" t="str">
        <f t="shared" si="76"/>
        <v/>
      </c>
      <c r="EV107" t="str">
        <f t="shared" si="77"/>
        <v/>
      </c>
      <c r="EY107" t="str">
        <f t="shared" si="78"/>
        <v/>
      </c>
      <c r="FB107" t="str">
        <f t="shared" si="79"/>
        <v/>
      </c>
      <c r="FE107" t="str">
        <f t="shared" si="80"/>
        <v/>
      </c>
      <c r="FH107" t="str">
        <f t="shared" si="81"/>
        <v/>
      </c>
      <c r="FK107" t="str">
        <f t="shared" si="82"/>
        <v/>
      </c>
      <c r="FN107" t="str">
        <f t="shared" si="83"/>
        <v/>
      </c>
      <c r="FQ107" t="str">
        <f t="shared" si="84"/>
        <v/>
      </c>
      <c r="FT107" t="str">
        <f t="shared" si="85"/>
        <v/>
      </c>
      <c r="FW107" t="str">
        <f t="shared" si="86"/>
        <v/>
      </c>
      <c r="FZ107" t="str">
        <f t="shared" si="87"/>
        <v/>
      </c>
      <c r="GC107" t="str">
        <f t="shared" si="88"/>
        <v/>
      </c>
      <c r="GE107" s="155"/>
    </row>
    <row r="108" spans="1:187" ht="15" customHeight="1" thickBot="1" x14ac:dyDescent="0.4">
      <c r="B108" s="25"/>
      <c r="C108" s="26" t="s">
        <v>1277</v>
      </c>
      <c r="E108" s="26" t="s">
        <v>1276</v>
      </c>
      <c r="F108" s="581" t="s">
        <v>1279</v>
      </c>
      <c r="G108">
        <f>G109*340*1.1</f>
        <v>374.00000000000006</v>
      </c>
      <c r="L108" s="176">
        <v>953042</v>
      </c>
      <c r="O108" s="207"/>
      <c r="P108" s="208"/>
      <c r="Q108" s="208"/>
      <c r="R108" s="209"/>
      <c r="S108" s="210">
        <v>8.5</v>
      </c>
      <c r="T108" s="194" t="s">
        <v>743</v>
      </c>
      <c r="U108" s="194">
        <v>639070</v>
      </c>
      <c r="V108" s="195" t="s">
        <v>92</v>
      </c>
      <c r="W108" s="191">
        <v>3</v>
      </c>
      <c r="X108" s="173">
        <v>3</v>
      </c>
      <c r="Y108" s="173">
        <v>3</v>
      </c>
      <c r="Z108" s="173">
        <v>3</v>
      </c>
      <c r="AA108" s="192">
        <v>1</v>
      </c>
      <c r="AB108" s="171"/>
      <c r="AC108" s="172"/>
      <c r="AD108" s="172"/>
      <c r="AE108" s="178"/>
      <c r="AF108" s="188"/>
      <c r="AG108" s="188"/>
      <c r="AH108" s="188"/>
      <c r="AI108" s="188"/>
      <c r="AJ108" s="188"/>
      <c r="AK108" s="188"/>
      <c r="AL108" s="188"/>
      <c r="AM108" s="188"/>
      <c r="AN108" s="188"/>
      <c r="AO108" s="188"/>
      <c r="AP108" s="188"/>
      <c r="AQ108" s="188"/>
      <c r="AR108" s="188"/>
      <c r="AS108" s="188"/>
      <c r="AT108" s="188"/>
      <c r="AU108" s="188"/>
      <c r="AV108" s="188"/>
      <c r="AW108" s="188"/>
      <c r="AX108" s="188"/>
      <c r="AY108" s="188"/>
      <c r="AZ108" s="188"/>
      <c r="BA108" s="188"/>
      <c r="BB108" s="188"/>
      <c r="BC108" s="188"/>
      <c r="BD108" s="188"/>
      <c r="BF108">
        <f>ROWS($U$46:U108)</f>
        <v>63</v>
      </c>
      <c r="BG108" t="str">
        <f t="shared" si="66"/>
        <v/>
      </c>
      <c r="DB108" s="37">
        <v>742618</v>
      </c>
      <c r="DD108" s="75"/>
      <c r="DE108" s="37">
        <v>971093</v>
      </c>
      <c r="DF108" t="s">
        <v>909</v>
      </c>
      <c r="DG108" s="37" t="s">
        <v>924</v>
      </c>
      <c r="DH108" s="37">
        <v>16</v>
      </c>
      <c r="DI108" s="37">
        <v>16</v>
      </c>
      <c r="DJ108" s="37" t="s">
        <v>264</v>
      </c>
      <c r="DK108" s="37" t="s">
        <v>936</v>
      </c>
      <c r="DL108" s="37" t="s">
        <v>240</v>
      </c>
      <c r="DM108" s="37">
        <v>0</v>
      </c>
      <c r="DN108" s="37">
        <v>0</v>
      </c>
      <c r="DO108" s="37">
        <v>497</v>
      </c>
      <c r="DP108" s="37"/>
      <c r="DQ108" s="37"/>
      <c r="DR108" s="37" t="str">
        <f t="shared" si="90"/>
        <v>16 CT217 Long BLT</v>
      </c>
      <c r="DS108" s="37">
        <f t="shared" si="89"/>
        <v>94.913000000000011</v>
      </c>
      <c r="DT108" s="10">
        <v>73.010000000000005</v>
      </c>
      <c r="DV108" s="10" t="s">
        <v>146</v>
      </c>
      <c r="DW108" t="s">
        <v>1590</v>
      </c>
      <c r="DX108">
        <v>10</v>
      </c>
      <c r="DY108" t="s">
        <v>1681</v>
      </c>
      <c r="DZ108" t="s">
        <v>1668</v>
      </c>
      <c r="EA108">
        <v>1</v>
      </c>
      <c r="EB108" t="s">
        <v>1513</v>
      </c>
      <c r="EC108" s="10">
        <v>490</v>
      </c>
      <c r="ED108" s="10" t="s">
        <v>1744</v>
      </c>
      <c r="EE108" s="813">
        <f t="shared" si="71"/>
        <v>0</v>
      </c>
      <c r="EF108">
        <f>ROWS($DE$2:DE108)</f>
        <v>107</v>
      </c>
      <c r="EG108" t="str">
        <f t="shared" si="72"/>
        <v/>
      </c>
      <c r="EJ108" t="str">
        <f t="shared" si="73"/>
        <v/>
      </c>
      <c r="EM108" t="str">
        <f t="shared" si="74"/>
        <v/>
      </c>
      <c r="EP108" t="str">
        <f t="shared" si="75"/>
        <v/>
      </c>
      <c r="ES108" t="str">
        <f t="shared" si="76"/>
        <v/>
      </c>
      <c r="EV108" t="str">
        <f t="shared" si="77"/>
        <v/>
      </c>
      <c r="EY108" t="str">
        <f t="shared" si="78"/>
        <v/>
      </c>
      <c r="FB108" t="str">
        <f t="shared" si="79"/>
        <v/>
      </c>
      <c r="FE108" t="str">
        <f t="shared" si="80"/>
        <v/>
      </c>
      <c r="FH108" t="str">
        <f t="shared" si="81"/>
        <v/>
      </c>
      <c r="FK108" t="str">
        <f t="shared" si="82"/>
        <v/>
      </c>
      <c r="FN108" t="str">
        <f t="shared" si="83"/>
        <v/>
      </c>
      <c r="FQ108" t="str">
        <f t="shared" si="84"/>
        <v/>
      </c>
      <c r="FT108" t="str">
        <f t="shared" si="85"/>
        <v/>
      </c>
      <c r="FW108" t="str">
        <f t="shared" si="86"/>
        <v/>
      </c>
      <c r="FZ108" t="str">
        <f t="shared" si="87"/>
        <v/>
      </c>
      <c r="GC108" t="str">
        <f t="shared" si="88"/>
        <v/>
      </c>
      <c r="GE108" s="155"/>
    </row>
    <row r="109" spans="1:187" ht="15.75" customHeight="1" thickBot="1" x14ac:dyDescent="0.4">
      <c r="B109" s="25" t="s">
        <v>72</v>
      </c>
      <c r="C109" s="33">
        <f>IFERROR(IF(VALUE(SUBSTITUTE(C43,"""",""))&lt;2,0,IF(VALUE(SUBSTITUTE(C43,"""",""))="",0,IF(AND(VALUE(SUBSTITUTE(C43,"""",""))&gt;=C101,VALUE(SUBSTITUTE(C43,"""",""))&lt;C102),C111,IF(AND(VALUE(SUBSTITUTE(C43,"""",""))&gt;=C102,VALUE(SUBSTITUTE(C43,"""",""))&lt;C103),C112,IF(AND(VALUE(SUBSTITUTE(C43,"""",""))&gt;=C103,VALUE(SUBSTITUTE(C43,"""",""))&lt;C104),C113,IF(AND(VALUE(SUBSTITUTE(C43,"""",""))&gt;=C104,VALUE(SUBSTITUTE(C43,"""",""))&lt;C105),C114,IF(AND(VALUE(SUBSTITUTE(C43,"""",""))&gt;=C105,VALUE(SUBSTITUTE(C43,"""",""))&lt;C106),C115,IF(AND(VALUE(SUBSTITUTE(C43,"""",""))&gt;=C106,VALUE(SUBSTITUTE(C43,"""",""))&lt;C107),C116,C117)))))))),0)</f>
        <v>623.85</v>
      </c>
      <c r="D109" s="33"/>
      <c r="E109" s="33">
        <f>IFERROR(IF(VALUE(SUBSTITUTE(C43,"""",""))&lt;2,0,IF(VALUE(SUBSTITUTE(C43,"""",""))="",0,IF(AND(VALUE(SUBSTITUTE(C43,"""",""))&gt;=C101,VALUE(SUBSTITUTE(C43,"""",""))&lt;C102),E111,IF(AND(VALUE(SUBSTITUTE(C43,"""",""))&gt;=C102,VALUE(SUBSTITUTE(C43,"""",""))&lt;C103),E112,IF(AND(VALUE(SUBSTITUTE(C43,"""",""))&gt;=C103,VALUE(SUBSTITUTE(C43,"""",""))&lt;C104),E113,IF(AND(VALUE(SUBSTITUTE(C43,"""",""))&gt;=C104,VALUE(SUBSTITUTE(C43,"""",""))&lt;C105),E114,IF(AND(VALUE(SUBSTITUTE(C43,"""",""))&gt;=C105,VALUE(SUBSTITUTE(C43,"""",""))&lt;C106),E115,IF(AND(VALUE(SUBSTITUTE(C43,"""",""))&gt;=C106,VALUE(SUBSTITUTE(C43,"""",""))&lt;C107),E116,E117)))))))),0)</f>
        <v>11</v>
      </c>
      <c r="F109" s="26">
        <f>IF(OR(L4=1,L5=1),F113,IFERROR(IF($C$43&lt;2,0,IF($C$43="",0,IF(AND($C$43&gt;=C101,$C$43&lt;C102),F111,IF(AND($C$43&gt;=C102,$C$43&lt;C103),F112,0)))),0))</f>
        <v>1000</v>
      </c>
      <c r="G109" s="613">
        <f>IFERROR(IF(VALUE(SUBSTITUTE(B43,"""",""))&lt;2,0,IF(VALUE(SUBSTITUTE(B43,"""",""))="",0,IF(AND(VALUE(SUBSTITUTE(B43,"""",""))&gt;=C101,VALUE(SUBSTITUTE(B43,"""",""))&lt;C102),G111,IF(AND(VALUE(SUBSTITUTE(B43,"""",""))&gt;=C102,VALUE(SUBSTITUTE(B43,"""",""))&lt;C103),G112,IF(AND(VALUE(SUBSTITUTE(B43,"""",""))&gt;=C103,VALUE(SUBSTITUTE(B43,"""",""))&lt;C104),G113,IF(AND(VALUE(SUBSTITUTE(B43,"""",""))&gt;=C104,VALUE(SUBSTITUTE(B43,"""",""))&lt;C105),G114,IF(AND(VALUE(SUBSTITUTE(B43,"""",""))&gt;=C105,VALUE(SUBSTITUTE(B43,"""",""))&lt;C106),G115,IF(AND(VALUE(SUBSTITUTE(B43,"""",""))&gt;=C106,VALUE(SUBSTITUTE(B43,"""",""))&lt;C107),G116,G117)))))))),0)</f>
        <v>1</v>
      </c>
      <c r="L109" s="176">
        <v>953047</v>
      </c>
      <c r="O109" s="211">
        <v>1</v>
      </c>
      <c r="P109" s="212">
        <v>703670</v>
      </c>
      <c r="Q109" s="212">
        <v>3</v>
      </c>
      <c r="R109" s="212"/>
      <c r="S109" s="182">
        <v>8.5</v>
      </c>
      <c r="T109" s="182" t="s">
        <v>744</v>
      </c>
      <c r="U109" s="182">
        <v>791578</v>
      </c>
      <c r="V109" s="183" t="s">
        <v>87</v>
      </c>
      <c r="W109" s="184">
        <v>2</v>
      </c>
      <c r="X109" s="185">
        <v>2</v>
      </c>
      <c r="Y109" s="185">
        <v>3</v>
      </c>
      <c r="Z109" s="185">
        <v>3</v>
      </c>
      <c r="AA109" s="185">
        <v>3</v>
      </c>
      <c r="AB109" s="185">
        <v>3</v>
      </c>
      <c r="AC109" s="185">
        <v>3</v>
      </c>
      <c r="AD109" s="185">
        <v>4</v>
      </c>
      <c r="AE109" s="185">
        <v>1</v>
      </c>
      <c r="AF109" s="187"/>
      <c r="AG109" s="188"/>
      <c r="AH109" s="188"/>
      <c r="AI109" s="188"/>
      <c r="AJ109" s="188"/>
      <c r="AK109" s="188"/>
      <c r="AL109" s="188"/>
      <c r="AM109" s="188"/>
      <c r="AN109" s="188"/>
      <c r="AO109" s="188"/>
      <c r="AP109" s="188"/>
      <c r="AQ109" s="188"/>
      <c r="AR109" s="188"/>
      <c r="AS109" s="188"/>
      <c r="AT109" s="188"/>
      <c r="AU109" s="188"/>
      <c r="AV109" s="188"/>
      <c r="AW109" s="188"/>
      <c r="AX109" s="188"/>
      <c r="AY109" s="188"/>
      <c r="AZ109" s="188"/>
      <c r="BA109" s="188"/>
      <c r="BB109" s="188"/>
      <c r="BC109" s="188"/>
      <c r="BD109" s="188"/>
      <c r="BF109">
        <f>ROWS($U$46:U109)</f>
        <v>64</v>
      </c>
      <c r="BG109" t="str">
        <f t="shared" si="66"/>
        <v/>
      </c>
      <c r="DB109" s="310">
        <v>745173</v>
      </c>
      <c r="DD109" s="75"/>
      <c r="DE109" s="37">
        <v>933120</v>
      </c>
      <c r="DF109" t="s">
        <v>910</v>
      </c>
      <c r="DG109" s="37" t="s">
        <v>925</v>
      </c>
      <c r="DH109" s="37">
        <v>16</v>
      </c>
      <c r="DI109" s="37">
        <v>1613</v>
      </c>
      <c r="DJ109" s="37" t="s">
        <v>266</v>
      </c>
      <c r="DK109" s="37" t="s">
        <v>937</v>
      </c>
      <c r="DL109" s="37" t="s">
        <v>240</v>
      </c>
      <c r="DM109" s="37">
        <v>0</v>
      </c>
      <c r="DN109" s="37">
        <v>0</v>
      </c>
      <c r="DO109" s="37">
        <v>497</v>
      </c>
      <c r="DP109" s="37"/>
      <c r="DQ109" s="37"/>
      <c r="DR109" s="37" t="str">
        <f t="shared" si="90"/>
        <v>1613 CT405 GEDB 0.018"</v>
      </c>
      <c r="DS109" s="37">
        <f t="shared" si="89"/>
        <v>270.49099999999999</v>
      </c>
      <c r="DT109" s="10">
        <v>208.07</v>
      </c>
      <c r="DV109" s="10" t="s">
        <v>732</v>
      </c>
      <c r="DW109" t="s">
        <v>1590</v>
      </c>
      <c r="DX109">
        <v>20</v>
      </c>
      <c r="DY109" t="s">
        <v>1680</v>
      </c>
      <c r="DZ109" t="s">
        <v>1668</v>
      </c>
      <c r="EA109">
        <v>1</v>
      </c>
      <c r="EB109" t="s">
        <v>1513</v>
      </c>
      <c r="EC109" s="10">
        <v>545</v>
      </c>
      <c r="ED109" s="10" t="s">
        <v>1743</v>
      </c>
      <c r="EE109" s="813">
        <f t="shared" si="71"/>
        <v>0</v>
      </c>
      <c r="EF109">
        <f>ROWS($DE$2:DE109)</f>
        <v>108</v>
      </c>
      <c r="EG109" t="str">
        <f t="shared" si="72"/>
        <v/>
      </c>
      <c r="EJ109" t="str">
        <f t="shared" si="73"/>
        <v/>
      </c>
      <c r="EM109" t="str">
        <f t="shared" si="74"/>
        <v/>
      </c>
      <c r="EP109" t="str">
        <f t="shared" si="75"/>
        <v/>
      </c>
      <c r="ES109" t="str">
        <f t="shared" si="76"/>
        <v/>
      </c>
      <c r="EV109" t="str">
        <f t="shared" si="77"/>
        <v/>
      </c>
      <c r="EY109" t="str">
        <f t="shared" si="78"/>
        <v/>
      </c>
      <c r="FB109" t="str">
        <f t="shared" si="79"/>
        <v/>
      </c>
      <c r="FE109" t="str">
        <f t="shared" si="80"/>
        <v/>
      </c>
      <c r="FH109" t="str">
        <f t="shared" si="81"/>
        <v/>
      </c>
      <c r="FK109" t="str">
        <f t="shared" si="82"/>
        <v/>
      </c>
      <c r="FN109" t="str">
        <f t="shared" si="83"/>
        <v/>
      </c>
      <c r="FQ109" t="str">
        <f t="shared" si="84"/>
        <v/>
      </c>
      <c r="FT109" t="str">
        <f t="shared" si="85"/>
        <v/>
      </c>
      <c r="FW109" t="str">
        <f t="shared" si="86"/>
        <v/>
      </c>
      <c r="FZ109" t="str">
        <f t="shared" si="87"/>
        <v/>
      </c>
      <c r="GC109" t="str">
        <f t="shared" si="88"/>
        <v/>
      </c>
      <c r="GE109" s="155"/>
    </row>
    <row r="110" spans="1:187" ht="15" customHeight="1" thickBot="1" x14ac:dyDescent="0.4">
      <c r="B110" s="1133" t="s">
        <v>1274</v>
      </c>
      <c r="C110" s="1134"/>
      <c r="E110" s="580" t="s">
        <v>1273</v>
      </c>
      <c r="F110" s="26"/>
      <c r="G110" s="612" t="s">
        <v>1389</v>
      </c>
      <c r="L110" s="176">
        <v>959209</v>
      </c>
      <c r="O110" s="197">
        <v>2</v>
      </c>
      <c r="P110" s="190">
        <v>729435</v>
      </c>
      <c r="Q110" s="190">
        <v>6</v>
      </c>
      <c r="R110" s="190"/>
      <c r="S110" s="190">
        <v>8.5</v>
      </c>
      <c r="T110" s="190" t="s">
        <v>744</v>
      </c>
      <c r="U110" s="190">
        <v>791578</v>
      </c>
      <c r="V110" s="171" t="s">
        <v>88</v>
      </c>
      <c r="W110" s="191">
        <v>3</v>
      </c>
      <c r="X110" s="173">
        <v>3</v>
      </c>
      <c r="Y110" s="173">
        <v>3</v>
      </c>
      <c r="Z110" s="173">
        <v>3</v>
      </c>
      <c r="AA110" s="173">
        <v>4</v>
      </c>
      <c r="AB110" s="192">
        <v>4</v>
      </c>
      <c r="AC110" s="171"/>
      <c r="AD110" s="172"/>
      <c r="AE110" s="172"/>
      <c r="AF110" s="188"/>
      <c r="AG110" s="188"/>
      <c r="AH110" s="188"/>
      <c r="AI110" s="188"/>
      <c r="AJ110" s="188"/>
      <c r="AK110" s="188"/>
      <c r="AL110" s="188"/>
      <c r="AM110" s="188"/>
      <c r="AN110" s="188"/>
      <c r="AO110" s="188"/>
      <c r="AP110" s="188"/>
      <c r="AQ110" s="188"/>
      <c r="AR110" s="188"/>
      <c r="AS110" s="188"/>
      <c r="AT110" s="188"/>
      <c r="AU110" s="188"/>
      <c r="AV110" s="188"/>
      <c r="AW110" s="188"/>
      <c r="AX110" s="188"/>
      <c r="AY110" s="188"/>
      <c r="AZ110" s="188"/>
      <c r="BA110" s="188"/>
      <c r="BB110" s="188"/>
      <c r="BC110" s="188"/>
      <c r="BD110" s="188"/>
      <c r="BF110">
        <f>ROWS($U$46:U110)</f>
        <v>65</v>
      </c>
      <c r="BG110" t="str">
        <f t="shared" si="66"/>
        <v/>
      </c>
      <c r="DB110" s="310">
        <v>768849</v>
      </c>
      <c r="DD110" s="75"/>
      <c r="DE110" s="37">
        <v>983408</v>
      </c>
      <c r="DF110" t="s">
        <v>911</v>
      </c>
      <c r="DG110" s="37" t="s">
        <v>911</v>
      </c>
      <c r="DH110" s="37">
        <v>13</v>
      </c>
      <c r="DI110" s="37">
        <v>1318</v>
      </c>
      <c r="DJ110" s="37" t="s">
        <v>930</v>
      </c>
      <c r="DK110" s="37" t="s">
        <v>938</v>
      </c>
      <c r="DL110" s="37"/>
      <c r="DM110" s="37">
        <v>0</v>
      </c>
      <c r="DN110" s="37">
        <v>0</v>
      </c>
      <c r="DO110" s="37">
        <v>360</v>
      </c>
      <c r="DP110" s="37"/>
      <c r="DQ110" s="37"/>
      <c r="DR110" s="37" t="str">
        <f t="shared" si="90"/>
        <v>1318 CT214 Short MDR STEEL</v>
      </c>
      <c r="DS110" s="37">
        <f t="shared" si="89"/>
        <v>77.506</v>
      </c>
      <c r="DT110" s="10">
        <v>59.62</v>
      </c>
      <c r="DV110" s="10" t="s">
        <v>1752</v>
      </c>
      <c r="DW110" t="s">
        <v>1589</v>
      </c>
      <c r="DX110">
        <v>50</v>
      </c>
      <c r="DY110" t="s">
        <v>1797</v>
      </c>
      <c r="DZ110" t="s">
        <v>1670</v>
      </c>
      <c r="EA110">
        <v>1</v>
      </c>
      <c r="EB110" t="s">
        <v>1513</v>
      </c>
      <c r="EC110" s="10">
        <v>202</v>
      </c>
      <c r="ED110" s="10" t="s">
        <v>1798</v>
      </c>
      <c r="EE110" s="813">
        <f t="shared" si="71"/>
        <v>0</v>
      </c>
      <c r="EF110">
        <f>ROWS($DE$2:DE110)</f>
        <v>109</v>
      </c>
      <c r="EG110" t="str">
        <f t="shared" si="72"/>
        <v/>
      </c>
      <c r="EJ110" t="str">
        <f t="shared" si="73"/>
        <v/>
      </c>
      <c r="EM110" t="str">
        <f t="shared" si="74"/>
        <v/>
      </c>
      <c r="EP110" t="str">
        <f t="shared" si="75"/>
        <v/>
      </c>
      <c r="ES110" t="str">
        <f t="shared" si="76"/>
        <v/>
      </c>
      <c r="EV110" t="str">
        <f t="shared" si="77"/>
        <v/>
      </c>
      <c r="EY110" t="str">
        <f t="shared" si="78"/>
        <v/>
      </c>
      <c r="FB110" t="str">
        <f t="shared" si="79"/>
        <v/>
      </c>
      <c r="FE110" t="str">
        <f t="shared" si="80"/>
        <v/>
      </c>
      <c r="FH110" t="str">
        <f t="shared" si="81"/>
        <v/>
      </c>
      <c r="FK110" t="str">
        <f t="shared" si="82"/>
        <v/>
      </c>
      <c r="FN110" t="str">
        <f t="shared" si="83"/>
        <v/>
      </c>
      <c r="FQ110" t="str">
        <f t="shared" si="84"/>
        <v/>
      </c>
      <c r="FT110" t="str">
        <f t="shared" si="85"/>
        <v/>
      </c>
      <c r="FW110" t="str">
        <f t="shared" si="86"/>
        <v/>
      </c>
      <c r="FZ110" t="str">
        <f t="shared" si="87"/>
        <v/>
      </c>
      <c r="GC110" t="str">
        <f t="shared" si="88"/>
        <v/>
      </c>
      <c r="GE110" s="155"/>
    </row>
    <row r="111" spans="1:187" ht="15" customHeight="1" thickBot="1" x14ac:dyDescent="0.4">
      <c r="B111" s="582" t="s">
        <v>1627</v>
      </c>
      <c r="C111" s="582">
        <v>466.33</v>
      </c>
      <c r="E111" s="33">
        <v>9</v>
      </c>
      <c r="F111" s="608">
        <v>830</v>
      </c>
      <c r="G111" s="609">
        <v>0.5</v>
      </c>
      <c r="L111" s="176">
        <v>960723</v>
      </c>
      <c r="O111" s="197">
        <v>3</v>
      </c>
      <c r="P111" s="190">
        <v>729687</v>
      </c>
      <c r="Q111" s="190">
        <v>28</v>
      </c>
      <c r="R111" s="190"/>
      <c r="S111" s="190">
        <v>8.5</v>
      </c>
      <c r="T111" s="190" t="s">
        <v>744</v>
      </c>
      <c r="U111" s="190">
        <v>791578</v>
      </c>
      <c r="V111" s="171" t="s">
        <v>89</v>
      </c>
      <c r="W111" s="191">
        <v>2</v>
      </c>
      <c r="X111" s="173">
        <v>2</v>
      </c>
      <c r="Y111" s="173">
        <v>3</v>
      </c>
      <c r="Z111" s="173">
        <v>3</v>
      </c>
      <c r="AA111" s="173">
        <v>3</v>
      </c>
      <c r="AB111" s="173">
        <v>3</v>
      </c>
      <c r="AC111" s="173">
        <v>3</v>
      </c>
      <c r="AD111" s="174">
        <v>4</v>
      </c>
      <c r="AE111" s="177">
        <v>1</v>
      </c>
      <c r="AF111" s="187"/>
      <c r="AG111" s="188"/>
      <c r="AH111" s="188"/>
      <c r="AI111" s="188"/>
      <c r="AJ111" s="188"/>
      <c r="AK111" s="188"/>
      <c r="AL111" s="188"/>
      <c r="AM111" s="188"/>
      <c r="AN111" s="188"/>
      <c r="AO111" s="188"/>
      <c r="AP111" s="188"/>
      <c r="AQ111" s="188"/>
      <c r="AR111" s="188"/>
      <c r="AS111" s="188"/>
      <c r="AT111" s="188"/>
      <c r="AU111" s="188"/>
      <c r="AV111" s="188"/>
      <c r="AW111" s="188"/>
      <c r="AX111" s="188"/>
      <c r="AY111" s="188"/>
      <c r="AZ111" s="188"/>
      <c r="BA111" s="188"/>
      <c r="BB111" s="188"/>
      <c r="BC111" s="188"/>
      <c r="BD111" s="188"/>
      <c r="BF111">
        <f>ROWS($U$46:U111)</f>
        <v>66</v>
      </c>
      <c r="BG111" t="str">
        <f t="shared" ref="BG111:BG174" si="91">IF(VALUE(SUBSTITUTE($B$5,"M",""))=U111,BF111,"")</f>
        <v/>
      </c>
      <c r="DB111" s="10">
        <v>738227</v>
      </c>
      <c r="DD111" s="75"/>
      <c r="DE111" s="37">
        <v>774371</v>
      </c>
      <c r="DF111" t="s">
        <v>912</v>
      </c>
      <c r="DG111" s="37" t="s">
        <v>926</v>
      </c>
      <c r="DH111" s="37">
        <v>13</v>
      </c>
      <c r="DI111" s="37">
        <v>13</v>
      </c>
      <c r="DJ111" s="37" t="s">
        <v>262</v>
      </c>
      <c r="DK111" s="37" t="s">
        <v>257</v>
      </c>
      <c r="DL111" s="37" t="s">
        <v>240</v>
      </c>
      <c r="DM111" s="37">
        <v>0</v>
      </c>
      <c r="DN111" s="37">
        <v>0</v>
      </c>
      <c r="DO111" s="37">
        <v>360</v>
      </c>
      <c r="DP111" s="37"/>
      <c r="DQ111" s="37"/>
      <c r="DR111" s="37" t="str">
        <f t="shared" si="90"/>
        <v>13 CT80 Short Bullet</v>
      </c>
      <c r="DS111" s="37">
        <f t="shared" si="89"/>
        <v>0</v>
      </c>
      <c r="DV111" s="10" t="s">
        <v>146</v>
      </c>
      <c r="DW111" t="s">
        <v>1589</v>
      </c>
      <c r="DX111">
        <v>10</v>
      </c>
      <c r="DY111" t="s">
        <v>1675</v>
      </c>
      <c r="DZ111" t="s">
        <v>1670</v>
      </c>
      <c r="EA111">
        <v>1</v>
      </c>
      <c r="EB111" t="s">
        <v>1513</v>
      </c>
      <c r="EC111" s="10">
        <v>345</v>
      </c>
      <c r="ED111" s="10" t="s">
        <v>1738</v>
      </c>
      <c r="EE111" s="813">
        <f t="shared" si="71"/>
        <v>0</v>
      </c>
      <c r="EF111">
        <f>ROWS($DE$2:DE111)</f>
        <v>110</v>
      </c>
      <c r="EG111" t="str">
        <f t="shared" si="72"/>
        <v/>
      </c>
      <c r="EJ111" t="str">
        <f t="shared" si="73"/>
        <v/>
      </c>
      <c r="EM111" t="str">
        <f t="shared" si="74"/>
        <v/>
      </c>
      <c r="EP111" t="str">
        <f t="shared" si="75"/>
        <v/>
      </c>
      <c r="ES111" t="str">
        <f t="shared" si="76"/>
        <v/>
      </c>
      <c r="EV111" t="str">
        <f t="shared" si="77"/>
        <v/>
      </c>
      <c r="EY111" t="str">
        <f t="shared" si="78"/>
        <v/>
      </c>
      <c r="FB111" t="str">
        <f t="shared" si="79"/>
        <v/>
      </c>
      <c r="FE111" t="str">
        <f t="shared" si="80"/>
        <v/>
      </c>
      <c r="FH111" t="str">
        <f t="shared" si="81"/>
        <v/>
      </c>
      <c r="FK111" t="str">
        <f t="shared" si="82"/>
        <v/>
      </c>
      <c r="FN111" t="str">
        <f t="shared" si="83"/>
        <v/>
      </c>
      <c r="FQ111" t="str">
        <f t="shared" si="84"/>
        <v/>
      </c>
      <c r="FT111" t="str">
        <f t="shared" si="85"/>
        <v/>
      </c>
      <c r="FW111" t="str">
        <f t="shared" si="86"/>
        <v/>
      </c>
      <c r="FZ111" t="str">
        <f t="shared" si="87"/>
        <v/>
      </c>
      <c r="GC111" t="str">
        <f t="shared" si="88"/>
        <v/>
      </c>
      <c r="GE111" s="155"/>
    </row>
    <row r="112" spans="1:187" ht="15" customHeight="1" thickBot="1" x14ac:dyDescent="0.4">
      <c r="B112" s="582" t="s">
        <v>1628</v>
      </c>
      <c r="C112" s="582">
        <v>623.85</v>
      </c>
      <c r="E112" s="578">
        <v>11</v>
      </c>
      <c r="F112" s="608">
        <v>1000</v>
      </c>
      <c r="G112" s="610">
        <v>1</v>
      </c>
      <c r="L112" s="176">
        <v>965522</v>
      </c>
      <c r="O112" s="199">
        <v>4</v>
      </c>
      <c r="P112" s="200">
        <v>418525</v>
      </c>
      <c r="Q112" s="200">
        <v>9</v>
      </c>
      <c r="R112" s="200"/>
      <c r="S112" s="190">
        <v>8.5</v>
      </c>
      <c r="T112" s="190" t="s">
        <v>744</v>
      </c>
      <c r="U112" s="190">
        <v>791578</v>
      </c>
      <c r="V112" s="171" t="s">
        <v>90</v>
      </c>
      <c r="W112" s="191">
        <v>3</v>
      </c>
      <c r="X112" s="173">
        <v>3</v>
      </c>
      <c r="Y112" s="173">
        <v>3</v>
      </c>
      <c r="Z112" s="173">
        <v>3</v>
      </c>
      <c r="AA112" s="173">
        <v>3</v>
      </c>
      <c r="AB112" s="173">
        <v>4</v>
      </c>
      <c r="AC112" s="192">
        <v>4</v>
      </c>
      <c r="AD112" s="171"/>
      <c r="AE112" s="172"/>
      <c r="AF112" s="188"/>
      <c r="AG112" s="188"/>
      <c r="AH112" s="188"/>
      <c r="AI112" s="188"/>
      <c r="AJ112" s="188"/>
      <c r="AK112" s="188"/>
      <c r="AL112" s="188"/>
      <c r="AM112" s="188"/>
      <c r="AN112" s="188"/>
      <c r="AO112" s="188"/>
      <c r="AP112" s="188"/>
      <c r="AQ112" s="188"/>
      <c r="AR112" s="188"/>
      <c r="AS112" s="188"/>
      <c r="AT112" s="188"/>
      <c r="AU112" s="188"/>
      <c r="AV112" s="188"/>
      <c r="AW112" s="188"/>
      <c r="AX112" s="188"/>
      <c r="AY112" s="188"/>
      <c r="AZ112" s="188"/>
      <c r="BA112" s="188"/>
      <c r="BB112" s="188"/>
      <c r="BC112" s="188"/>
      <c r="BD112" s="188"/>
      <c r="BF112">
        <f>ROWS($U$46:U112)</f>
        <v>67</v>
      </c>
      <c r="BG112" t="str">
        <f t="shared" si="91"/>
        <v/>
      </c>
      <c r="DB112" s="10">
        <v>738228</v>
      </c>
      <c r="DD112" s="75"/>
      <c r="DE112" s="37">
        <v>179733</v>
      </c>
      <c r="DF112" t="s">
        <v>959</v>
      </c>
      <c r="DG112" s="37" t="s">
        <v>959</v>
      </c>
      <c r="DH112" s="37">
        <v>13</v>
      </c>
      <c r="DI112" s="37">
        <v>13</v>
      </c>
      <c r="DJ112" s="37"/>
      <c r="DK112" s="37" t="s">
        <v>960</v>
      </c>
      <c r="DL112" s="37"/>
      <c r="DM112" s="37">
        <v>0</v>
      </c>
      <c r="DN112" s="37">
        <v>0</v>
      </c>
      <c r="DO112" s="37">
        <v>360</v>
      </c>
      <c r="DP112" s="37"/>
      <c r="DQ112" s="37"/>
      <c r="DR112" s="37" t="str">
        <f t="shared" si="90"/>
        <v>13  Short Impact Arrestor</v>
      </c>
      <c r="DS112" s="37">
        <f t="shared" si="89"/>
        <v>4.3680000000000003</v>
      </c>
      <c r="DT112" s="10">
        <v>3.36</v>
      </c>
      <c r="DV112" s="10" t="s">
        <v>1753</v>
      </c>
      <c r="DW112" t="s">
        <v>1589</v>
      </c>
      <c r="DX112">
        <v>10</v>
      </c>
      <c r="DY112" t="s">
        <v>1675</v>
      </c>
      <c r="DZ112" t="s">
        <v>1670</v>
      </c>
      <c r="EA112">
        <v>1</v>
      </c>
      <c r="EB112" t="s">
        <v>1513</v>
      </c>
      <c r="EC112" s="10">
        <v>345</v>
      </c>
      <c r="ED112" s="10" t="s">
        <v>1738</v>
      </c>
      <c r="EE112" s="813">
        <f t="shared" si="71"/>
        <v>0</v>
      </c>
      <c r="EF112">
        <f>ROWS($DE$2:DE112)</f>
        <v>111</v>
      </c>
      <c r="EG112" t="str">
        <f t="shared" si="72"/>
        <v/>
      </c>
      <c r="EJ112" t="str">
        <f t="shared" si="73"/>
        <v/>
      </c>
      <c r="EM112" t="str">
        <f t="shared" si="74"/>
        <v/>
      </c>
      <c r="EP112" t="str">
        <f t="shared" si="75"/>
        <v/>
      </c>
      <c r="ES112" t="str">
        <f t="shared" si="76"/>
        <v/>
      </c>
      <c r="EV112" t="str">
        <f t="shared" si="77"/>
        <v/>
      </c>
      <c r="EY112" t="str">
        <f t="shared" si="78"/>
        <v/>
      </c>
      <c r="FB112" t="str">
        <f t="shared" si="79"/>
        <v/>
      </c>
      <c r="FE112" t="str">
        <f t="shared" si="80"/>
        <v/>
      </c>
      <c r="FH112" t="str">
        <f t="shared" si="81"/>
        <v/>
      </c>
      <c r="FK112" t="str">
        <f t="shared" si="82"/>
        <v/>
      </c>
      <c r="FN112" t="str">
        <f t="shared" si="83"/>
        <v/>
      </c>
      <c r="FQ112" t="str">
        <f t="shared" si="84"/>
        <v/>
      </c>
      <c r="FT112" t="str">
        <f t="shared" si="85"/>
        <v/>
      </c>
      <c r="FW112" t="str">
        <f t="shared" si="86"/>
        <v/>
      </c>
      <c r="FZ112" t="str">
        <f t="shared" si="87"/>
        <v/>
      </c>
      <c r="GC112" t="str">
        <f t="shared" si="88"/>
        <v/>
      </c>
      <c r="GE112" s="155"/>
    </row>
    <row r="113" spans="1:187" ht="15" customHeight="1" thickBot="1" x14ac:dyDescent="0.4">
      <c r="B113" s="33" t="s">
        <v>1629</v>
      </c>
      <c r="C113" s="33">
        <v>1126.1400000000001</v>
      </c>
      <c r="E113" s="33">
        <v>12</v>
      </c>
      <c r="F113" s="608">
        <v>550</v>
      </c>
      <c r="G113" s="610">
        <v>3.5</v>
      </c>
      <c r="L113" s="176">
        <v>969409</v>
      </c>
      <c r="O113" s="202"/>
      <c r="P113" s="203"/>
      <c r="Q113" s="203"/>
      <c r="R113" s="204"/>
      <c r="S113" s="201">
        <v>8.5</v>
      </c>
      <c r="T113" s="190" t="s">
        <v>744</v>
      </c>
      <c r="U113" s="190">
        <v>791578</v>
      </c>
      <c r="V113" s="171" t="s">
        <v>91</v>
      </c>
      <c r="W113" s="191">
        <v>2</v>
      </c>
      <c r="X113" s="173">
        <v>2</v>
      </c>
      <c r="Y113" s="173">
        <v>3</v>
      </c>
      <c r="Z113" s="173">
        <v>3</v>
      </c>
      <c r="AA113" s="173">
        <v>3</v>
      </c>
      <c r="AB113" s="173">
        <v>3</v>
      </c>
      <c r="AC113" s="174">
        <v>3</v>
      </c>
      <c r="AD113" s="174">
        <v>4</v>
      </c>
      <c r="AE113" s="177">
        <v>1</v>
      </c>
      <c r="AF113" s="187"/>
      <c r="AG113" s="188"/>
      <c r="AH113" s="188"/>
      <c r="AI113" s="188"/>
      <c r="AJ113" s="188"/>
      <c r="AK113" s="188"/>
      <c r="AL113" s="188"/>
      <c r="AM113" s="188"/>
      <c r="AN113" s="188"/>
      <c r="AO113" s="188"/>
      <c r="AP113" s="188"/>
      <c r="AQ113" s="188"/>
      <c r="AR113" s="188"/>
      <c r="AS113" s="188"/>
      <c r="AT113" s="188"/>
      <c r="AU113" s="188"/>
      <c r="AV113" s="188"/>
      <c r="AW113" s="188"/>
      <c r="AX113" s="188"/>
      <c r="AY113" s="188"/>
      <c r="AZ113" s="188"/>
      <c r="BA113" s="188"/>
      <c r="BB113" s="188"/>
      <c r="BC113" s="188"/>
      <c r="BD113" s="188"/>
      <c r="BF113">
        <f>ROWS($U$46:U113)</f>
        <v>68</v>
      </c>
      <c r="BG113" t="str">
        <f t="shared" si="91"/>
        <v/>
      </c>
      <c r="DB113" s="10">
        <v>661066</v>
      </c>
      <c r="DD113" s="75"/>
      <c r="DE113" s="37">
        <v>742620</v>
      </c>
      <c r="DF113" t="s">
        <v>1139</v>
      </c>
      <c r="DG113" s="37" t="s">
        <v>1140</v>
      </c>
      <c r="DH113" s="37">
        <v>16</v>
      </c>
      <c r="DI113" s="37">
        <v>1613</v>
      </c>
      <c r="DJ113" s="37" t="s">
        <v>260</v>
      </c>
      <c r="DK113" s="37" t="s">
        <v>1141</v>
      </c>
      <c r="DL113" s="37" t="s">
        <v>240</v>
      </c>
      <c r="DM113" s="37"/>
      <c r="DN113" s="37"/>
      <c r="DO113" s="37">
        <v>497</v>
      </c>
      <c r="DP113" s="37"/>
      <c r="DQ113" s="37"/>
      <c r="DR113" s="37" t="str">
        <f t="shared" si="90"/>
        <v xml:space="preserve">1613 CT91 TBO-Cutter </v>
      </c>
      <c r="DS113" s="37">
        <f t="shared" si="89"/>
        <v>0</v>
      </c>
      <c r="DV113" s="10" t="s">
        <v>146</v>
      </c>
      <c r="DW113" t="s">
        <v>1590</v>
      </c>
      <c r="DX113">
        <v>10</v>
      </c>
      <c r="DY113" t="s">
        <v>1681</v>
      </c>
      <c r="DZ113" t="s">
        <v>1668</v>
      </c>
      <c r="EA113">
        <v>1</v>
      </c>
      <c r="EB113" t="s">
        <v>1513</v>
      </c>
      <c r="EC113" s="10">
        <v>490</v>
      </c>
      <c r="ED113" s="10" t="s">
        <v>1744</v>
      </c>
      <c r="EE113" s="813">
        <f t="shared" si="71"/>
        <v>0</v>
      </c>
      <c r="EF113">
        <f>ROWS($DE$2:DE113)</f>
        <v>112</v>
      </c>
      <c r="EG113" t="str">
        <f t="shared" si="72"/>
        <v/>
      </c>
      <c r="EJ113" t="str">
        <f t="shared" si="73"/>
        <v/>
      </c>
      <c r="EM113" t="str">
        <f t="shared" si="74"/>
        <v/>
      </c>
      <c r="EP113" t="str">
        <f t="shared" si="75"/>
        <v/>
      </c>
      <c r="ES113" t="str">
        <f t="shared" si="76"/>
        <v/>
      </c>
      <c r="EV113" t="str">
        <f t="shared" si="77"/>
        <v/>
      </c>
      <c r="EY113" t="str">
        <f t="shared" si="78"/>
        <v/>
      </c>
      <c r="FB113" t="str">
        <f t="shared" si="79"/>
        <v/>
      </c>
      <c r="FE113" t="str">
        <f t="shared" si="80"/>
        <v/>
      </c>
      <c r="FH113" t="str">
        <f t="shared" si="81"/>
        <v/>
      </c>
      <c r="FK113" t="str">
        <f t="shared" si="82"/>
        <v/>
      </c>
      <c r="FN113" t="str">
        <f t="shared" si="83"/>
        <v/>
      </c>
      <c r="FQ113" t="str">
        <f t="shared" si="84"/>
        <v/>
      </c>
      <c r="FT113" t="str">
        <f t="shared" si="85"/>
        <v/>
      </c>
      <c r="FW113" t="str">
        <f t="shared" si="86"/>
        <v/>
      </c>
      <c r="FZ113" t="str">
        <f t="shared" si="87"/>
        <v/>
      </c>
      <c r="GC113" t="str">
        <f t="shared" si="88"/>
        <v/>
      </c>
      <c r="GE113" s="155"/>
    </row>
    <row r="114" spans="1:187" ht="15" customHeight="1" thickBot="1" x14ac:dyDescent="0.4">
      <c r="B114" s="33" t="s">
        <v>1630</v>
      </c>
      <c r="C114" s="33">
        <v>1260.1199999999999</v>
      </c>
      <c r="E114" s="33">
        <v>15</v>
      </c>
      <c r="G114" s="610">
        <v>5</v>
      </c>
      <c r="L114" s="176">
        <v>979843</v>
      </c>
      <c r="O114" s="207"/>
      <c r="P114" s="208"/>
      <c r="Q114" s="208"/>
      <c r="R114" s="209"/>
      <c r="S114" s="210">
        <v>8.5</v>
      </c>
      <c r="T114" s="194" t="s">
        <v>744</v>
      </c>
      <c r="U114" s="194">
        <v>791578</v>
      </c>
      <c r="V114" s="195" t="s">
        <v>92</v>
      </c>
      <c r="W114" s="191">
        <v>3</v>
      </c>
      <c r="X114" s="173">
        <v>3</v>
      </c>
      <c r="Y114" s="173">
        <v>3</v>
      </c>
      <c r="Z114" s="173">
        <v>3</v>
      </c>
      <c r="AA114" s="173">
        <v>4</v>
      </c>
      <c r="AB114" s="192">
        <v>4</v>
      </c>
      <c r="AC114" s="171"/>
      <c r="AD114" s="172"/>
      <c r="AE114" s="172"/>
      <c r="AF114" s="188"/>
      <c r="AG114" s="188"/>
      <c r="AH114" s="188"/>
      <c r="AI114" s="188"/>
      <c r="AJ114" s="188"/>
      <c r="AK114" s="188"/>
      <c r="AL114" s="188"/>
      <c r="AM114" s="188"/>
      <c r="AN114" s="188"/>
      <c r="AO114" s="188"/>
      <c r="AP114" s="188"/>
      <c r="AQ114" s="188"/>
      <c r="AR114" s="188"/>
      <c r="AS114" s="188"/>
      <c r="AT114" s="188"/>
      <c r="AU114" s="188"/>
      <c r="AV114" s="188"/>
      <c r="AW114" s="188"/>
      <c r="AX114" s="188"/>
      <c r="AY114" s="188"/>
      <c r="AZ114" s="188"/>
      <c r="BA114" s="188"/>
      <c r="BB114" s="188"/>
      <c r="BC114" s="188"/>
      <c r="BD114" s="188"/>
      <c r="BF114">
        <f>ROWS($U$46:U114)</f>
        <v>69</v>
      </c>
      <c r="BG114" t="str">
        <f t="shared" si="91"/>
        <v/>
      </c>
      <c r="DB114" s="10">
        <v>661065</v>
      </c>
      <c r="DD114" s="75"/>
      <c r="DE114" s="37">
        <v>742618</v>
      </c>
      <c r="DF114" t="s">
        <v>1137</v>
      </c>
      <c r="DG114" s="37" t="s">
        <v>1142</v>
      </c>
      <c r="DH114" s="37">
        <v>13</v>
      </c>
      <c r="DI114" s="37">
        <v>1313</v>
      </c>
      <c r="DJ114" s="37" t="s">
        <v>260</v>
      </c>
      <c r="DK114" s="37"/>
      <c r="DL114" s="37" t="s">
        <v>240</v>
      </c>
      <c r="DM114" s="37"/>
      <c r="DN114" s="37"/>
      <c r="DO114" s="37">
        <v>360</v>
      </c>
      <c r="DP114" s="37"/>
      <c r="DQ114" s="37"/>
      <c r="DR114" s="37" t="str">
        <f t="shared" si="90"/>
        <v xml:space="preserve">1313 CT91 </v>
      </c>
      <c r="DS114" s="37">
        <f t="shared" si="89"/>
        <v>0</v>
      </c>
      <c r="DV114" s="10" t="s">
        <v>146</v>
      </c>
      <c r="DW114" t="s">
        <v>1589</v>
      </c>
      <c r="DX114">
        <v>10</v>
      </c>
      <c r="DY114" t="s">
        <v>1675</v>
      </c>
      <c r="DZ114" t="s">
        <v>1670</v>
      </c>
      <c r="EA114">
        <v>1</v>
      </c>
      <c r="EB114" t="s">
        <v>1513</v>
      </c>
      <c r="EC114" s="10">
        <v>345</v>
      </c>
      <c r="ED114" s="10" t="s">
        <v>1738</v>
      </c>
      <c r="EE114" s="813">
        <f t="shared" si="71"/>
        <v>0</v>
      </c>
      <c r="EF114">
        <f>ROWS($DE$2:DE114)</f>
        <v>113</v>
      </c>
      <c r="EG114" t="str">
        <f t="shared" si="72"/>
        <v/>
      </c>
      <c r="EJ114" t="str">
        <f t="shared" si="73"/>
        <v/>
      </c>
      <c r="EM114" t="str">
        <f t="shared" si="74"/>
        <v/>
      </c>
      <c r="EP114" t="str">
        <f t="shared" si="75"/>
        <v/>
      </c>
      <c r="ES114" t="str">
        <f t="shared" si="76"/>
        <v/>
      </c>
      <c r="EV114" t="str">
        <f t="shared" si="77"/>
        <v/>
      </c>
      <c r="EY114" t="str">
        <f t="shared" si="78"/>
        <v/>
      </c>
      <c r="FB114" t="str">
        <f t="shared" si="79"/>
        <v/>
      </c>
      <c r="FE114" t="str">
        <f t="shared" si="80"/>
        <v/>
      </c>
      <c r="FH114" t="str">
        <f t="shared" si="81"/>
        <v/>
      </c>
      <c r="FK114" t="str">
        <f t="shared" si="82"/>
        <v/>
      </c>
      <c r="FN114" t="str">
        <f t="shared" si="83"/>
        <v/>
      </c>
      <c r="FQ114" t="str">
        <f t="shared" si="84"/>
        <v/>
      </c>
      <c r="FT114" t="str">
        <f t="shared" si="85"/>
        <v/>
      </c>
      <c r="FW114" t="str">
        <f t="shared" si="86"/>
        <v/>
      </c>
      <c r="FZ114" t="str">
        <f t="shared" si="87"/>
        <v/>
      </c>
      <c r="GC114" t="str">
        <f t="shared" si="88"/>
        <v/>
      </c>
      <c r="GE114" s="155"/>
    </row>
    <row r="115" spans="1:187" ht="15.75" customHeight="1" thickBot="1" x14ac:dyDescent="0.4">
      <c r="B115" s="33" t="s">
        <v>1631</v>
      </c>
      <c r="C115" s="33">
        <v>2274</v>
      </c>
      <c r="E115" s="33">
        <v>16</v>
      </c>
      <c r="G115" s="610">
        <v>6</v>
      </c>
      <c r="L115" s="176">
        <v>983003</v>
      </c>
      <c r="O115" s="211">
        <v>1</v>
      </c>
      <c r="P115" s="212">
        <v>703670</v>
      </c>
      <c r="Q115" s="212">
        <v>3</v>
      </c>
      <c r="R115" s="212"/>
      <c r="S115" s="182">
        <v>8.5</v>
      </c>
      <c r="T115" s="182" t="s">
        <v>744</v>
      </c>
      <c r="U115" s="182">
        <v>952724</v>
      </c>
      <c r="V115" s="183" t="s">
        <v>87</v>
      </c>
      <c r="W115" s="184">
        <v>1</v>
      </c>
      <c r="X115" s="185">
        <v>3</v>
      </c>
      <c r="Y115" s="185">
        <v>4</v>
      </c>
      <c r="Z115" s="185">
        <v>4</v>
      </c>
      <c r="AA115" s="185">
        <v>4</v>
      </c>
      <c r="AB115" s="185">
        <v>4</v>
      </c>
      <c r="AC115" s="185">
        <v>4</v>
      </c>
      <c r="AD115" s="185">
        <v>2</v>
      </c>
      <c r="AE115" s="185">
        <v>2</v>
      </c>
      <c r="AF115" s="177"/>
      <c r="AG115" s="188"/>
      <c r="AH115" s="188"/>
      <c r="AI115" s="188"/>
      <c r="AJ115" s="188"/>
      <c r="AK115" s="188"/>
      <c r="AL115" s="188"/>
      <c r="AM115" s="188"/>
      <c r="AN115" s="188"/>
      <c r="AO115" s="188"/>
      <c r="AP115" s="188"/>
      <c r="AQ115" s="188"/>
      <c r="AR115" s="188"/>
      <c r="AS115" s="188"/>
      <c r="AT115" s="188"/>
      <c r="AU115" s="188"/>
      <c r="AV115" s="188"/>
      <c r="AW115" s="188"/>
      <c r="AX115" s="188"/>
      <c r="AY115" s="188"/>
      <c r="AZ115" s="188"/>
      <c r="BA115" s="188"/>
      <c r="BB115" s="188"/>
      <c r="BC115" s="188"/>
      <c r="BD115" s="188"/>
      <c r="BF115">
        <f>ROWS($U$46:U115)</f>
        <v>70</v>
      </c>
      <c r="BG115" t="str">
        <f t="shared" si="91"/>
        <v/>
      </c>
      <c r="DB115" s="10">
        <v>976348</v>
      </c>
      <c r="DD115" s="75"/>
      <c r="DE115" s="37">
        <v>745173</v>
      </c>
      <c r="DF115" t="s">
        <v>1144</v>
      </c>
      <c r="DG115" s="37" t="s">
        <v>1145</v>
      </c>
      <c r="DH115" s="37">
        <v>13</v>
      </c>
      <c r="DI115" s="37">
        <v>1313</v>
      </c>
      <c r="DJ115" s="37" t="s">
        <v>262</v>
      </c>
      <c r="DK115" s="37"/>
      <c r="DL115" s="37" t="s">
        <v>239</v>
      </c>
      <c r="DM115" s="37"/>
      <c r="DN115" s="37"/>
      <c r="DO115" s="37">
        <v>360</v>
      </c>
      <c r="DP115" s="37"/>
      <c r="DQ115" s="37"/>
      <c r="DR115" s="37" t="str">
        <f t="shared" si="90"/>
        <v xml:space="preserve">1313 CT80 </v>
      </c>
      <c r="DS115" s="37">
        <f t="shared" si="89"/>
        <v>157.30000000000001</v>
      </c>
      <c r="DT115" s="10">
        <v>121</v>
      </c>
      <c r="DV115" s="10" t="s">
        <v>146</v>
      </c>
      <c r="DW115" t="s">
        <v>1589</v>
      </c>
      <c r="DX115">
        <v>10</v>
      </c>
      <c r="DY115" t="s">
        <v>1675</v>
      </c>
      <c r="DZ115" t="s">
        <v>1670</v>
      </c>
      <c r="EA115">
        <v>1</v>
      </c>
      <c r="EB115" t="s">
        <v>1513</v>
      </c>
      <c r="EC115" s="10">
        <v>345</v>
      </c>
      <c r="ED115" s="10" t="s">
        <v>1738</v>
      </c>
      <c r="EE115" s="813">
        <f t="shared" si="71"/>
        <v>0</v>
      </c>
      <c r="EF115">
        <f>ROWS($DE$2:DE115)</f>
        <v>114</v>
      </c>
      <c r="EG115" t="str">
        <f t="shared" si="72"/>
        <v/>
      </c>
      <c r="EJ115" t="str">
        <f t="shared" si="73"/>
        <v/>
      </c>
      <c r="EM115" t="str">
        <f t="shared" si="74"/>
        <v/>
      </c>
      <c r="EP115" t="str">
        <f t="shared" si="75"/>
        <v/>
      </c>
      <c r="ES115" t="str">
        <f t="shared" si="76"/>
        <v/>
      </c>
      <c r="EV115" t="str">
        <f t="shared" si="77"/>
        <v/>
      </c>
      <c r="EY115" t="str">
        <f t="shared" si="78"/>
        <v/>
      </c>
      <c r="FB115" t="str">
        <f t="shared" si="79"/>
        <v/>
      </c>
      <c r="FE115" t="str">
        <f t="shared" si="80"/>
        <v/>
      </c>
      <c r="FH115" t="str">
        <f t="shared" si="81"/>
        <v/>
      </c>
      <c r="FK115" t="str">
        <f t="shared" si="82"/>
        <v/>
      </c>
      <c r="FN115" t="str">
        <f t="shared" si="83"/>
        <v/>
      </c>
      <c r="FQ115" t="str">
        <f t="shared" si="84"/>
        <v/>
      </c>
      <c r="FT115" t="str">
        <f t="shared" si="85"/>
        <v/>
      </c>
      <c r="FW115" t="str">
        <f t="shared" si="86"/>
        <v/>
      </c>
      <c r="FZ115" t="str">
        <f t="shared" si="87"/>
        <v/>
      </c>
      <c r="GC115" t="str">
        <f t="shared" si="88"/>
        <v/>
      </c>
      <c r="GE115" s="155"/>
    </row>
    <row r="116" spans="1:187" ht="15" customHeight="1" thickBot="1" x14ac:dyDescent="0.4">
      <c r="B116" s="33" t="s">
        <v>1632</v>
      </c>
      <c r="C116" s="33">
        <v>2274</v>
      </c>
      <c r="E116" s="33">
        <v>18</v>
      </c>
      <c r="G116" s="610">
        <v>7</v>
      </c>
      <c r="L116" s="176">
        <v>986403</v>
      </c>
      <c r="O116" s="197">
        <v>2</v>
      </c>
      <c r="P116" s="190">
        <v>418525</v>
      </c>
      <c r="Q116" s="190">
        <v>12</v>
      </c>
      <c r="R116" s="190"/>
      <c r="S116" s="190">
        <v>8.5</v>
      </c>
      <c r="T116" s="190" t="s">
        <v>744</v>
      </c>
      <c r="U116" s="190">
        <v>952724</v>
      </c>
      <c r="V116" s="171" t="s">
        <v>88</v>
      </c>
      <c r="W116" s="191">
        <v>4</v>
      </c>
      <c r="X116" s="173">
        <v>4</v>
      </c>
      <c r="Y116" s="173">
        <v>4</v>
      </c>
      <c r="Z116" s="173">
        <v>4</v>
      </c>
      <c r="AA116" s="173">
        <v>2</v>
      </c>
      <c r="AB116" s="192">
        <v>2</v>
      </c>
      <c r="AC116" s="171"/>
      <c r="AD116" s="172"/>
      <c r="AE116" s="172"/>
      <c r="AF116" s="65"/>
      <c r="AG116" s="188"/>
      <c r="AH116" s="188"/>
      <c r="AI116" s="188"/>
      <c r="AJ116" s="188"/>
      <c r="AK116" s="188"/>
      <c r="AL116" s="188"/>
      <c r="AM116" s="188"/>
      <c r="AN116" s="188"/>
      <c r="AO116" s="188"/>
      <c r="AP116" s="188"/>
      <c r="AQ116" s="188"/>
      <c r="AR116" s="188"/>
      <c r="AS116" s="188"/>
      <c r="AT116" s="188"/>
      <c r="AU116" s="188"/>
      <c r="AV116" s="188"/>
      <c r="AW116" s="188"/>
      <c r="AX116" s="188"/>
      <c r="AY116" s="188"/>
      <c r="AZ116" s="188"/>
      <c r="BA116" s="188"/>
      <c r="BB116" s="188"/>
      <c r="BC116" s="188"/>
      <c r="BD116" s="188"/>
      <c r="BF116">
        <f>ROWS($U$46:U116)</f>
        <v>71</v>
      </c>
      <c r="BG116" t="str">
        <f t="shared" si="91"/>
        <v/>
      </c>
      <c r="DB116" s="10">
        <v>983148</v>
      </c>
      <c r="DD116" s="75"/>
      <c r="DE116" s="37">
        <v>768849</v>
      </c>
      <c r="DF116" t="s">
        <v>1176</v>
      </c>
      <c r="DG116" s="37" t="s">
        <v>1177</v>
      </c>
      <c r="DH116" s="37" t="s">
        <v>927</v>
      </c>
      <c r="DI116" s="37" t="s">
        <v>928</v>
      </c>
      <c r="DJ116" s="37" t="s">
        <v>104</v>
      </c>
      <c r="DK116" s="37"/>
      <c r="DL116" s="37" t="s">
        <v>240</v>
      </c>
      <c r="DM116" s="37"/>
      <c r="DN116" s="37"/>
      <c r="DO116" s="37">
        <v>272</v>
      </c>
      <c r="DP116" s="37"/>
      <c r="DQ116" s="37"/>
      <c r="DR116" s="37" t="str">
        <f t="shared" si="90"/>
        <v xml:space="preserve">0808 CT82 </v>
      </c>
      <c r="DS116" s="37">
        <f t="shared" si="89"/>
        <v>0</v>
      </c>
      <c r="DV116" s="10" t="s">
        <v>49</v>
      </c>
      <c r="DW116" t="s">
        <v>1587</v>
      </c>
      <c r="DX116">
        <v>30</v>
      </c>
      <c r="DY116" t="s">
        <v>1686</v>
      </c>
      <c r="DZ116" t="s">
        <v>1672</v>
      </c>
      <c r="EA116">
        <v>1</v>
      </c>
      <c r="EB116" t="s">
        <v>1513</v>
      </c>
      <c r="EC116" s="10">
        <v>376</v>
      </c>
      <c r="ED116" s="10" t="s">
        <v>1749</v>
      </c>
      <c r="EE116" s="813">
        <f t="shared" si="71"/>
        <v>0</v>
      </c>
      <c r="EF116">
        <f>ROWS($DE$2:DE116)</f>
        <v>115</v>
      </c>
      <c r="EG116" t="str">
        <f t="shared" si="72"/>
        <v/>
      </c>
      <c r="EJ116" t="str">
        <f t="shared" si="73"/>
        <v/>
      </c>
      <c r="EM116" t="str">
        <f t="shared" si="74"/>
        <v/>
      </c>
      <c r="EP116" t="str">
        <f t="shared" si="75"/>
        <v/>
      </c>
      <c r="ES116" t="str">
        <f t="shared" si="76"/>
        <v/>
      </c>
      <c r="EV116" t="str">
        <f t="shared" si="77"/>
        <v/>
      </c>
      <c r="EY116" t="str">
        <f t="shared" si="78"/>
        <v/>
      </c>
      <c r="FB116" t="str">
        <f t="shared" si="79"/>
        <v/>
      </c>
      <c r="FE116" t="str">
        <f t="shared" si="80"/>
        <v/>
      </c>
      <c r="FH116" t="str">
        <f t="shared" si="81"/>
        <v/>
      </c>
      <c r="FK116" t="str">
        <f t="shared" si="82"/>
        <v/>
      </c>
      <c r="FN116" t="str">
        <f t="shared" si="83"/>
        <v/>
      </c>
      <c r="FQ116" t="str">
        <f t="shared" si="84"/>
        <v/>
      </c>
      <c r="FT116" t="str">
        <f t="shared" si="85"/>
        <v/>
      </c>
      <c r="FW116" t="str">
        <f t="shared" si="86"/>
        <v/>
      </c>
      <c r="FZ116" t="str">
        <f t="shared" si="87"/>
        <v/>
      </c>
      <c r="GC116" t="str">
        <f t="shared" si="88"/>
        <v/>
      </c>
      <c r="GE116" s="155"/>
    </row>
    <row r="117" spans="1:187" ht="15" customHeight="1" thickBot="1" x14ac:dyDescent="0.4">
      <c r="B117" s="33" t="s">
        <v>1633</v>
      </c>
      <c r="C117" s="33">
        <v>3650</v>
      </c>
      <c r="D117" s="58"/>
      <c r="E117" s="33">
        <v>20</v>
      </c>
      <c r="F117" s="58"/>
      <c r="G117" s="611">
        <v>8</v>
      </c>
      <c r="L117" s="176">
        <v>989853</v>
      </c>
      <c r="O117" s="197">
        <v>3</v>
      </c>
      <c r="P117" s="190">
        <v>729435</v>
      </c>
      <c r="Q117" s="190">
        <v>3</v>
      </c>
      <c r="R117" s="190"/>
      <c r="S117" s="190">
        <v>8.5</v>
      </c>
      <c r="T117" s="190" t="s">
        <v>744</v>
      </c>
      <c r="U117" s="190">
        <v>952724</v>
      </c>
      <c r="V117" s="171" t="s">
        <v>89</v>
      </c>
      <c r="W117" s="191">
        <v>1</v>
      </c>
      <c r="X117" s="173">
        <v>3</v>
      </c>
      <c r="Y117" s="173">
        <v>4</v>
      </c>
      <c r="Z117" s="173">
        <v>4</v>
      </c>
      <c r="AA117" s="173">
        <v>4</v>
      </c>
      <c r="AB117" s="173">
        <v>4</v>
      </c>
      <c r="AC117" s="173">
        <v>4</v>
      </c>
      <c r="AD117" s="174">
        <v>2</v>
      </c>
      <c r="AE117" s="177">
        <v>2</v>
      </c>
      <c r="AF117" s="177"/>
      <c r="AG117" s="188"/>
      <c r="AH117" s="188"/>
      <c r="AI117" s="188"/>
      <c r="AJ117" s="188"/>
      <c r="AK117" s="188"/>
      <c r="AL117" s="188"/>
      <c r="AM117" s="188"/>
      <c r="AN117" s="188"/>
      <c r="AO117" s="188"/>
      <c r="AP117" s="188"/>
      <c r="AQ117" s="188"/>
      <c r="AR117" s="188"/>
      <c r="AS117" s="188"/>
      <c r="AT117" s="188"/>
      <c r="AU117" s="188"/>
      <c r="AV117" s="188"/>
      <c r="AW117" s="188"/>
      <c r="AX117" s="188"/>
      <c r="AY117" s="188"/>
      <c r="AZ117" s="188"/>
      <c r="BA117" s="188"/>
      <c r="BB117" s="188"/>
      <c r="BC117" s="188"/>
      <c r="BD117" s="188"/>
      <c r="BF117">
        <f>ROWS($U$46:U117)</f>
        <v>72</v>
      </c>
      <c r="BG117" t="str">
        <f t="shared" si="91"/>
        <v/>
      </c>
      <c r="DB117" s="10">
        <v>1032645</v>
      </c>
      <c r="DD117" s="75"/>
      <c r="DE117" s="37">
        <v>738227</v>
      </c>
      <c r="DF117" t="s">
        <v>1181</v>
      </c>
      <c r="DG117" s="37" t="s">
        <v>1181</v>
      </c>
      <c r="DH117" s="37">
        <v>13</v>
      </c>
      <c r="DI117" s="37">
        <v>1308</v>
      </c>
      <c r="DJ117" s="37" t="s">
        <v>1185</v>
      </c>
      <c r="DK117" s="37"/>
      <c r="DL117" s="37" t="s">
        <v>240</v>
      </c>
      <c r="DM117" s="37"/>
      <c r="DN117" s="37"/>
      <c r="DO117" s="37">
        <v>360</v>
      </c>
      <c r="DP117" s="37"/>
      <c r="DQ117" s="37"/>
      <c r="DR117" s="37" t="str">
        <f t="shared" si="90"/>
        <v xml:space="preserve">1308 CR31 </v>
      </c>
      <c r="DS117" s="37">
        <f t="shared" si="89"/>
        <v>0</v>
      </c>
      <c r="DV117" s="10" t="s">
        <v>49</v>
      </c>
      <c r="DW117" t="s">
        <v>1589</v>
      </c>
      <c r="DX117">
        <v>30</v>
      </c>
      <c r="DY117" t="s">
        <v>1799</v>
      </c>
      <c r="DZ117" t="s">
        <v>1670</v>
      </c>
      <c r="EA117">
        <v>1</v>
      </c>
      <c r="EB117" t="s">
        <v>1513</v>
      </c>
      <c r="EC117" s="10">
        <v>480</v>
      </c>
      <c r="ED117" s="10" t="s">
        <v>1740</v>
      </c>
      <c r="EE117" s="813">
        <f t="shared" si="71"/>
        <v>0</v>
      </c>
      <c r="EF117">
        <f>ROWS($DE$2:DE117)</f>
        <v>116</v>
      </c>
      <c r="EG117" t="str">
        <f t="shared" si="72"/>
        <v/>
      </c>
      <c r="EJ117" t="str">
        <f t="shared" si="73"/>
        <v/>
      </c>
      <c r="EM117" t="str">
        <f t="shared" si="74"/>
        <v/>
      </c>
      <c r="EP117" t="str">
        <f t="shared" si="75"/>
        <v/>
      </c>
      <c r="ES117" t="str">
        <f t="shared" si="76"/>
        <v/>
      </c>
      <c r="EV117" t="str">
        <f t="shared" si="77"/>
        <v/>
      </c>
      <c r="EY117" t="str">
        <f t="shared" si="78"/>
        <v/>
      </c>
      <c r="FB117" t="str">
        <f t="shared" si="79"/>
        <v/>
      </c>
      <c r="FE117" t="str">
        <f t="shared" si="80"/>
        <v/>
      </c>
      <c r="FH117" t="str">
        <f t="shared" si="81"/>
        <v/>
      </c>
      <c r="FK117" t="str">
        <f t="shared" si="82"/>
        <v/>
      </c>
      <c r="FN117" t="str">
        <f t="shared" si="83"/>
        <v/>
      </c>
      <c r="FQ117" t="str">
        <f t="shared" si="84"/>
        <v/>
      </c>
      <c r="FT117" t="str">
        <f t="shared" si="85"/>
        <v/>
      </c>
      <c r="FW117" t="str">
        <f t="shared" si="86"/>
        <v/>
      </c>
      <c r="FZ117" t="str">
        <f t="shared" si="87"/>
        <v/>
      </c>
      <c r="GC117" t="str">
        <f t="shared" si="88"/>
        <v/>
      </c>
      <c r="GE117" s="155"/>
    </row>
    <row r="118" spans="1:187" ht="15" customHeight="1" x14ac:dyDescent="0.35">
      <c r="L118" s="37">
        <v>1000080</v>
      </c>
      <c r="O118" s="199">
        <v>4</v>
      </c>
      <c r="P118" s="200">
        <v>729687</v>
      </c>
      <c r="Q118" s="200">
        <v>28</v>
      </c>
      <c r="R118" s="200"/>
      <c r="S118" s="190">
        <v>8.5</v>
      </c>
      <c r="T118" s="190" t="s">
        <v>744</v>
      </c>
      <c r="U118" s="190">
        <v>952724</v>
      </c>
      <c r="V118" s="171" t="s">
        <v>90</v>
      </c>
      <c r="W118" s="191">
        <v>4</v>
      </c>
      <c r="X118" s="173">
        <v>4</v>
      </c>
      <c r="Y118" s="173">
        <v>4</v>
      </c>
      <c r="Z118" s="173">
        <v>4</v>
      </c>
      <c r="AA118" s="173">
        <v>4</v>
      </c>
      <c r="AB118" s="173">
        <v>2</v>
      </c>
      <c r="AC118" s="192">
        <v>2</v>
      </c>
      <c r="AD118" s="171"/>
      <c r="AE118" s="172"/>
      <c r="AF118" s="65"/>
      <c r="AG118" s="188"/>
      <c r="AH118" s="188"/>
      <c r="AI118" s="188"/>
      <c r="AJ118" s="188"/>
      <c r="AK118" s="188"/>
      <c r="AL118" s="188"/>
      <c r="AM118" s="188"/>
      <c r="AN118" s="188"/>
      <c r="AO118" s="188"/>
      <c r="AP118" s="188"/>
      <c r="AQ118" s="188"/>
      <c r="AR118" s="188"/>
      <c r="AS118" s="188"/>
      <c r="AT118" s="188"/>
      <c r="AU118" s="188"/>
      <c r="AV118" s="188"/>
      <c r="AW118" s="188"/>
      <c r="AX118" s="188"/>
      <c r="AY118" s="188"/>
      <c r="AZ118" s="188"/>
      <c r="BA118" s="188"/>
      <c r="BB118" s="188"/>
      <c r="BC118" s="188"/>
      <c r="BD118" s="188"/>
      <c r="BF118">
        <f>ROWS($U$46:U118)</f>
        <v>73</v>
      </c>
      <c r="BG118" t="str">
        <f t="shared" si="91"/>
        <v/>
      </c>
      <c r="DB118" s="10">
        <v>176086</v>
      </c>
      <c r="DD118" s="75"/>
      <c r="DE118" s="37">
        <v>738228</v>
      </c>
      <c r="DF118" t="s">
        <v>1182</v>
      </c>
      <c r="DG118" s="37" t="s">
        <v>1182</v>
      </c>
      <c r="DH118" s="37">
        <v>16</v>
      </c>
      <c r="DI118" s="37">
        <v>1608</v>
      </c>
      <c r="DJ118" s="37" t="s">
        <v>1185</v>
      </c>
      <c r="DK118" s="37"/>
      <c r="DL118" s="37" t="s">
        <v>240</v>
      </c>
      <c r="DM118" s="37"/>
      <c r="DN118" s="37"/>
      <c r="DO118" s="37">
        <v>497</v>
      </c>
      <c r="DP118" s="37"/>
      <c r="DQ118" s="37"/>
      <c r="DR118" s="37" t="str">
        <f t="shared" si="90"/>
        <v xml:space="preserve">1608 CR31 </v>
      </c>
      <c r="DS118" s="37">
        <f t="shared" si="89"/>
        <v>0</v>
      </c>
      <c r="DV118" s="10" t="s">
        <v>49</v>
      </c>
      <c r="DW118" t="s">
        <v>1590</v>
      </c>
      <c r="DX118">
        <v>30</v>
      </c>
      <c r="DY118" t="s">
        <v>1800</v>
      </c>
      <c r="DZ118" t="s">
        <v>1668</v>
      </c>
      <c r="EA118">
        <v>1</v>
      </c>
      <c r="EB118" t="s">
        <v>1513</v>
      </c>
      <c r="EC118" s="10">
        <v>662</v>
      </c>
      <c r="ED118" s="10" t="s">
        <v>1736</v>
      </c>
      <c r="EE118" s="813">
        <f t="shared" si="71"/>
        <v>0</v>
      </c>
      <c r="EF118">
        <f>ROWS($DE$2:DE118)</f>
        <v>117</v>
      </c>
      <c r="EG118" t="str">
        <f t="shared" si="72"/>
        <v/>
      </c>
      <c r="EJ118" t="str">
        <f t="shared" si="73"/>
        <v/>
      </c>
      <c r="EM118" t="str">
        <f t="shared" si="74"/>
        <v/>
      </c>
      <c r="EP118" t="str">
        <f t="shared" si="75"/>
        <v/>
      </c>
      <c r="ES118" t="str">
        <f t="shared" si="76"/>
        <v/>
      </c>
      <c r="EV118" t="str">
        <f t="shared" si="77"/>
        <v/>
      </c>
      <c r="EY118" t="str">
        <f t="shared" si="78"/>
        <v/>
      </c>
      <c r="FB118" t="str">
        <f t="shared" si="79"/>
        <v/>
      </c>
      <c r="FE118" t="str">
        <f t="shared" si="80"/>
        <v/>
      </c>
      <c r="FH118" t="str">
        <f t="shared" si="81"/>
        <v/>
      </c>
      <c r="FK118" t="str">
        <f t="shared" si="82"/>
        <v/>
      </c>
      <c r="FN118" t="str">
        <f t="shared" si="83"/>
        <v/>
      </c>
      <c r="FQ118" t="str">
        <f t="shared" si="84"/>
        <v/>
      </c>
      <c r="FT118" t="str">
        <f t="shared" si="85"/>
        <v/>
      </c>
      <c r="FW118" t="str">
        <f t="shared" si="86"/>
        <v/>
      </c>
      <c r="FZ118" t="str">
        <f t="shared" si="87"/>
        <v/>
      </c>
      <c r="GC118" t="str">
        <f t="shared" si="88"/>
        <v/>
      </c>
      <c r="GE118" s="155"/>
    </row>
    <row r="119" spans="1:187" ht="15" customHeight="1" x14ac:dyDescent="0.35">
      <c r="L119" s="37">
        <v>1000708</v>
      </c>
      <c r="O119" s="202"/>
      <c r="P119" s="203"/>
      <c r="Q119" s="203"/>
      <c r="R119" s="204"/>
      <c r="S119" s="201">
        <v>8.5</v>
      </c>
      <c r="T119" s="190" t="s">
        <v>744</v>
      </c>
      <c r="U119" s="190">
        <v>952724</v>
      </c>
      <c r="V119" s="171" t="s">
        <v>91</v>
      </c>
      <c r="W119" s="191">
        <v>1</v>
      </c>
      <c r="X119" s="173">
        <v>3</v>
      </c>
      <c r="Y119" s="173">
        <v>4</v>
      </c>
      <c r="Z119" s="173">
        <v>4</v>
      </c>
      <c r="AA119" s="173">
        <v>4</v>
      </c>
      <c r="AB119" s="173">
        <v>4</v>
      </c>
      <c r="AC119" s="174">
        <v>4</v>
      </c>
      <c r="AD119" s="174">
        <v>2</v>
      </c>
      <c r="AE119" s="177">
        <v>2</v>
      </c>
      <c r="AF119" s="177"/>
      <c r="AG119" s="188"/>
      <c r="AH119" s="188"/>
      <c r="AI119" s="188"/>
      <c r="AJ119" s="188"/>
      <c r="AK119" s="188"/>
      <c r="AL119" s="188"/>
      <c r="AM119" s="188"/>
      <c r="AN119" s="188"/>
      <c r="AO119" s="188"/>
      <c r="AP119" s="188"/>
      <c r="AQ119" s="188"/>
      <c r="AR119" s="188"/>
      <c r="AS119" s="188"/>
      <c r="AT119" s="188"/>
      <c r="AU119" s="188"/>
      <c r="AV119" s="188"/>
      <c r="AW119" s="188"/>
      <c r="AX119" s="188"/>
      <c r="AY119" s="188"/>
      <c r="AZ119" s="188"/>
      <c r="BA119" s="188"/>
      <c r="BB119" s="188"/>
      <c r="BC119" s="188"/>
      <c r="BD119" s="188"/>
      <c r="BF119">
        <f>ROWS($U$46:U119)</f>
        <v>74</v>
      </c>
      <c r="BG119" t="str">
        <f t="shared" si="91"/>
        <v/>
      </c>
      <c r="DB119" s="10">
        <v>1014941</v>
      </c>
      <c r="DD119" s="75"/>
      <c r="DE119" s="37">
        <v>661066</v>
      </c>
      <c r="DF119" t="s">
        <v>1919</v>
      </c>
      <c r="DG119" s="37" t="s">
        <v>1919</v>
      </c>
      <c r="DH119" s="37">
        <v>16</v>
      </c>
      <c r="DI119" s="37">
        <v>1613</v>
      </c>
      <c r="DJ119" s="37" t="s">
        <v>1412</v>
      </c>
      <c r="DK119" s="37"/>
      <c r="DL119" s="37" t="s">
        <v>1920</v>
      </c>
      <c r="DM119" s="37"/>
      <c r="DN119" s="37"/>
      <c r="DO119" s="37">
        <v>497</v>
      </c>
      <c r="DP119" s="37"/>
      <c r="DQ119" s="37"/>
      <c r="DR119" s="37" t="str">
        <f t="shared" si="90"/>
        <v xml:space="preserve">1613 CR45 </v>
      </c>
      <c r="DS119" s="37">
        <f t="shared" si="89"/>
        <v>0</v>
      </c>
      <c r="DV119" s="10" t="s">
        <v>49</v>
      </c>
      <c r="DW119" t="s">
        <v>1590</v>
      </c>
      <c r="DX119">
        <v>30</v>
      </c>
      <c r="DY119" t="s">
        <v>1800</v>
      </c>
      <c r="DZ119" t="s">
        <v>1668</v>
      </c>
      <c r="EA119">
        <v>1</v>
      </c>
      <c r="EB119" t="s">
        <v>1513</v>
      </c>
      <c r="EC119" s="10">
        <v>662</v>
      </c>
      <c r="ED119" s="10" t="s">
        <v>1736</v>
      </c>
      <c r="EE119" s="813">
        <f t="shared" si="71"/>
        <v>0</v>
      </c>
      <c r="EF119">
        <f>ROWS($DE$2:DE119)</f>
        <v>118</v>
      </c>
      <c r="EG119" t="str">
        <f t="shared" si="72"/>
        <v/>
      </c>
      <c r="EJ119" t="str">
        <f t="shared" si="73"/>
        <v/>
      </c>
      <c r="EM119" t="str">
        <f t="shared" si="74"/>
        <v/>
      </c>
      <c r="EP119" t="str">
        <f t="shared" si="75"/>
        <v/>
      </c>
      <c r="ES119" t="str">
        <f t="shared" si="76"/>
        <v/>
      </c>
      <c r="EV119" t="str">
        <f t="shared" si="77"/>
        <v/>
      </c>
      <c r="EY119" t="str">
        <f t="shared" si="78"/>
        <v/>
      </c>
      <c r="FB119" t="str">
        <f t="shared" si="79"/>
        <v/>
      </c>
      <c r="FE119" t="str">
        <f t="shared" si="80"/>
        <v/>
      </c>
      <c r="FH119" t="str">
        <f t="shared" si="81"/>
        <v/>
      </c>
      <c r="FK119" t="str">
        <f t="shared" si="82"/>
        <v/>
      </c>
      <c r="FN119" t="str">
        <f t="shared" si="83"/>
        <v/>
      </c>
      <c r="FQ119" t="str">
        <f t="shared" si="84"/>
        <v/>
      </c>
      <c r="FT119" t="str">
        <f t="shared" si="85"/>
        <v/>
      </c>
      <c r="FW119" t="str">
        <f t="shared" si="86"/>
        <v/>
      </c>
      <c r="FZ119" t="str">
        <f t="shared" si="87"/>
        <v/>
      </c>
      <c r="GC119" t="str">
        <f t="shared" si="88"/>
        <v/>
      </c>
      <c r="GE119" s="155"/>
    </row>
    <row r="120" spans="1:187" ht="15" customHeight="1" thickBot="1" x14ac:dyDescent="0.4">
      <c r="L120" s="37">
        <v>1002869</v>
      </c>
      <c r="O120" s="207"/>
      <c r="P120" s="208"/>
      <c r="Q120" s="208"/>
      <c r="R120" s="209"/>
      <c r="S120" s="210">
        <v>8.5</v>
      </c>
      <c r="T120" s="194" t="s">
        <v>744</v>
      </c>
      <c r="U120" s="194">
        <v>952724</v>
      </c>
      <c r="V120" s="195" t="s">
        <v>92</v>
      </c>
      <c r="W120" s="191">
        <v>4</v>
      </c>
      <c r="X120" s="173">
        <v>4</v>
      </c>
      <c r="Y120" s="173">
        <v>4</v>
      </c>
      <c r="Z120" s="173">
        <v>4</v>
      </c>
      <c r="AA120" s="173">
        <v>2</v>
      </c>
      <c r="AB120" s="192">
        <v>2</v>
      </c>
      <c r="AC120" s="171"/>
      <c r="AD120" s="172"/>
      <c r="AE120" s="172"/>
      <c r="AF120" s="65"/>
      <c r="AG120" s="188"/>
      <c r="AH120" s="188"/>
      <c r="AI120" s="188"/>
      <c r="AJ120" s="188"/>
      <c r="AK120" s="188"/>
      <c r="AL120" s="188"/>
      <c r="AM120" s="188"/>
      <c r="AN120" s="188"/>
      <c r="AO120" s="188"/>
      <c r="AP120" s="188"/>
      <c r="AQ120" s="188"/>
      <c r="AR120" s="188"/>
      <c r="AS120" s="188"/>
      <c r="AT120" s="188"/>
      <c r="AU120" s="188"/>
      <c r="AV120" s="188"/>
      <c r="AW120" s="188"/>
      <c r="AX120" s="188"/>
      <c r="AY120" s="188"/>
      <c r="AZ120" s="188"/>
      <c r="BA120" s="188"/>
      <c r="BB120" s="188"/>
      <c r="BC120" s="188"/>
      <c r="BD120" s="188"/>
      <c r="BF120">
        <f>ROWS($U$46:U120)</f>
        <v>75</v>
      </c>
      <c r="BG120" t="str">
        <f t="shared" si="91"/>
        <v/>
      </c>
      <c r="DB120" s="10">
        <v>1100745</v>
      </c>
      <c r="DD120" s="75"/>
      <c r="DE120" s="37">
        <v>661065</v>
      </c>
      <c r="DF120" t="s">
        <v>1183</v>
      </c>
      <c r="DG120" s="37" t="s">
        <v>1183</v>
      </c>
      <c r="DH120" s="37">
        <v>13</v>
      </c>
      <c r="DI120" s="37">
        <v>1313</v>
      </c>
      <c r="DJ120" s="37" t="s">
        <v>1185</v>
      </c>
      <c r="DK120" s="37"/>
      <c r="DL120" s="37" t="s">
        <v>240</v>
      </c>
      <c r="DM120" s="37"/>
      <c r="DN120" s="37"/>
      <c r="DO120" s="37">
        <v>360</v>
      </c>
      <c r="DP120" s="37"/>
      <c r="DQ120" s="37"/>
      <c r="DR120" s="37" t="str">
        <f t="shared" si="90"/>
        <v xml:space="preserve">1313 CR31 </v>
      </c>
      <c r="DS120" s="37">
        <f t="shared" si="89"/>
        <v>0</v>
      </c>
      <c r="DV120" s="10" t="s">
        <v>49</v>
      </c>
      <c r="DW120" t="s">
        <v>1589</v>
      </c>
      <c r="DX120">
        <v>30</v>
      </c>
      <c r="DY120" t="s">
        <v>1799</v>
      </c>
      <c r="DZ120" t="s">
        <v>1670</v>
      </c>
      <c r="EA120">
        <v>1</v>
      </c>
      <c r="EB120" t="s">
        <v>1513</v>
      </c>
      <c r="EC120" s="10">
        <v>480</v>
      </c>
      <c r="ED120" s="10" t="s">
        <v>1740</v>
      </c>
      <c r="EE120" s="813">
        <f t="shared" si="71"/>
        <v>0</v>
      </c>
      <c r="EF120">
        <f>ROWS($DE$2:DE120)</f>
        <v>119</v>
      </c>
      <c r="EG120" t="str">
        <f t="shared" si="72"/>
        <v/>
      </c>
      <c r="EJ120" t="str">
        <f t="shared" si="73"/>
        <v/>
      </c>
      <c r="EM120" t="str">
        <f t="shared" si="74"/>
        <v/>
      </c>
      <c r="EP120" t="str">
        <f t="shared" si="75"/>
        <v/>
      </c>
      <c r="ES120" t="str">
        <f t="shared" si="76"/>
        <v/>
      </c>
      <c r="EV120" t="str">
        <f t="shared" si="77"/>
        <v/>
      </c>
      <c r="EY120" t="str">
        <f t="shared" si="78"/>
        <v/>
      </c>
      <c r="FB120" t="str">
        <f t="shared" si="79"/>
        <v/>
      </c>
      <c r="FE120" t="str">
        <f t="shared" si="80"/>
        <v/>
      </c>
      <c r="FH120" t="str">
        <f t="shared" si="81"/>
        <v/>
      </c>
      <c r="FK120" t="str">
        <f t="shared" si="82"/>
        <v/>
      </c>
      <c r="FN120" t="str">
        <f t="shared" si="83"/>
        <v/>
      </c>
      <c r="FQ120" t="str">
        <f t="shared" si="84"/>
        <v/>
      </c>
      <c r="FT120" t="str">
        <f t="shared" si="85"/>
        <v/>
      </c>
      <c r="FW120" t="str">
        <f t="shared" si="86"/>
        <v/>
      </c>
      <c r="FZ120" t="str">
        <f t="shared" si="87"/>
        <v/>
      </c>
      <c r="GC120" t="str">
        <f t="shared" si="88"/>
        <v/>
      </c>
      <c r="GE120" s="155"/>
    </row>
    <row r="121" spans="1:187" ht="15" customHeight="1" x14ac:dyDescent="0.35">
      <c r="A121" s="944"/>
      <c r="B121" s="945" t="str">
        <f>IF(OR(AND(OR(COUNTIF('ARDT Cutter Entry'!D17:AI17,"*upper*"),COUNTIF('ARDT Cutter Entry'!D17:AI17,"*pin*")),COUNTIF('ARDT Cutter Entry'!D17:AI17,"*replac*")),COUNTIF('ARDT Cutter Entry'!D17:AI17,"*USR*")),"USR","")</f>
        <v/>
      </c>
      <c r="L121" s="37">
        <v>1002910</v>
      </c>
      <c r="O121" s="211">
        <v>1</v>
      </c>
      <c r="P121" s="212">
        <v>703670</v>
      </c>
      <c r="Q121" s="212">
        <v>3</v>
      </c>
      <c r="R121" s="212"/>
      <c r="S121" s="182">
        <v>8.5</v>
      </c>
      <c r="T121" s="182" t="s">
        <v>744</v>
      </c>
      <c r="U121" s="182">
        <v>1011366</v>
      </c>
      <c r="V121" s="183" t="s">
        <v>87</v>
      </c>
      <c r="W121" s="184">
        <v>1</v>
      </c>
      <c r="X121" s="185">
        <v>3</v>
      </c>
      <c r="Y121" s="185">
        <v>4</v>
      </c>
      <c r="Z121" s="185">
        <v>4</v>
      </c>
      <c r="AA121" s="185">
        <v>4</v>
      </c>
      <c r="AB121" s="185">
        <v>4</v>
      </c>
      <c r="AC121" s="185">
        <v>4</v>
      </c>
      <c r="AD121" s="185">
        <v>2</v>
      </c>
      <c r="AE121" s="185">
        <v>2</v>
      </c>
      <c r="AF121" s="187"/>
      <c r="AG121" s="188"/>
      <c r="AH121" s="188"/>
      <c r="AI121" s="188"/>
      <c r="AJ121" s="188"/>
      <c r="AK121" s="188"/>
      <c r="AL121" s="188"/>
      <c r="AM121" s="188"/>
      <c r="AN121" s="188"/>
      <c r="AO121" s="188"/>
      <c r="AP121" s="188"/>
      <c r="AQ121" s="188"/>
      <c r="AR121" s="188"/>
      <c r="AS121" s="188"/>
      <c r="AT121" s="188"/>
      <c r="AU121" s="188"/>
      <c r="AV121" s="188"/>
      <c r="AW121" s="188"/>
      <c r="AX121" s="188"/>
      <c r="AY121" s="188"/>
      <c r="AZ121" s="188"/>
      <c r="BA121" s="188"/>
      <c r="BB121" s="188"/>
      <c r="BC121" s="188"/>
      <c r="BD121" s="188"/>
      <c r="BF121">
        <f>ROWS($U$46:U121)</f>
        <v>76</v>
      </c>
      <c r="BG121" t="str">
        <f t="shared" si="91"/>
        <v/>
      </c>
      <c r="DB121" s="10">
        <v>1130198</v>
      </c>
      <c r="DD121" s="75"/>
      <c r="DE121" s="37">
        <v>976348</v>
      </c>
      <c r="DF121" t="s">
        <v>1184</v>
      </c>
      <c r="DG121" s="37" t="s">
        <v>1184</v>
      </c>
      <c r="DH121" s="37">
        <v>13</v>
      </c>
      <c r="DI121" s="37">
        <v>1308</v>
      </c>
      <c r="DJ121" s="37" t="s">
        <v>1185</v>
      </c>
      <c r="DK121" s="37"/>
      <c r="DL121" s="37" t="s">
        <v>239</v>
      </c>
      <c r="DM121" s="37"/>
      <c r="DN121" s="37"/>
      <c r="DO121" s="37">
        <v>360</v>
      </c>
      <c r="DP121" s="37"/>
      <c r="DQ121" s="37"/>
      <c r="DR121" s="37" t="str">
        <f t="shared" si="90"/>
        <v xml:space="preserve">1308 CR31 </v>
      </c>
      <c r="DS121" s="37">
        <f t="shared" si="89"/>
        <v>0</v>
      </c>
      <c r="DV121" s="10" t="s">
        <v>49</v>
      </c>
      <c r="DW121" t="s">
        <v>1589</v>
      </c>
      <c r="DX121">
        <v>30</v>
      </c>
      <c r="DY121" t="s">
        <v>1799</v>
      </c>
      <c r="DZ121" t="s">
        <v>1670</v>
      </c>
      <c r="EA121">
        <v>1</v>
      </c>
      <c r="EB121" t="s">
        <v>1513</v>
      </c>
      <c r="EC121" s="10">
        <v>480</v>
      </c>
      <c r="ED121" s="10" t="s">
        <v>1740</v>
      </c>
      <c r="EE121" s="813">
        <f t="shared" si="71"/>
        <v>0</v>
      </c>
      <c r="EF121">
        <f>ROWS($DE$2:DE121)</f>
        <v>120</v>
      </c>
      <c r="EG121" t="str">
        <f t="shared" si="72"/>
        <v/>
      </c>
      <c r="EJ121" t="str">
        <f t="shared" si="73"/>
        <v/>
      </c>
      <c r="EM121" t="str">
        <f t="shared" si="74"/>
        <v/>
      </c>
      <c r="EP121" t="str">
        <f t="shared" si="75"/>
        <v/>
      </c>
      <c r="ES121" t="str">
        <f t="shared" si="76"/>
        <v/>
      </c>
      <c r="EV121" t="str">
        <f t="shared" si="77"/>
        <v/>
      </c>
      <c r="EY121" t="str">
        <f t="shared" si="78"/>
        <v/>
      </c>
      <c r="FB121" t="str">
        <f t="shared" si="79"/>
        <v/>
      </c>
      <c r="FE121" t="str">
        <f t="shared" si="80"/>
        <v/>
      </c>
      <c r="FH121" t="str">
        <f t="shared" si="81"/>
        <v/>
      </c>
      <c r="FK121" t="str">
        <f t="shared" si="82"/>
        <v/>
      </c>
      <c r="FN121" t="str">
        <f t="shared" si="83"/>
        <v/>
      </c>
      <c r="FQ121" t="str">
        <f t="shared" si="84"/>
        <v/>
      </c>
      <c r="FT121" t="str">
        <f t="shared" si="85"/>
        <v/>
      </c>
      <c r="FW121" t="str">
        <f t="shared" si="86"/>
        <v/>
      </c>
      <c r="FZ121" t="str">
        <f t="shared" si="87"/>
        <v/>
      </c>
      <c r="GC121" t="str">
        <f t="shared" si="88"/>
        <v/>
      </c>
      <c r="GE121" s="155"/>
    </row>
    <row r="122" spans="1:187" ht="15.75" customHeight="1" x14ac:dyDescent="0.35">
      <c r="A122" s="946"/>
      <c r="B122" s="947" t="str">
        <f>IFERROR(INDEX(A124:B133,MATCH(B3,B124:B132,0),1),"")</f>
        <v/>
      </c>
      <c r="L122" s="37">
        <v>1002926</v>
      </c>
      <c r="O122" s="197">
        <v>2</v>
      </c>
      <c r="P122" s="190">
        <v>418525</v>
      </c>
      <c r="Q122" s="190">
        <v>12</v>
      </c>
      <c r="R122" s="190"/>
      <c r="S122" s="190">
        <v>8.5</v>
      </c>
      <c r="T122" s="190" t="s">
        <v>744</v>
      </c>
      <c r="U122" s="190">
        <v>1011366</v>
      </c>
      <c r="V122" s="171" t="s">
        <v>88</v>
      </c>
      <c r="W122" s="191">
        <v>4</v>
      </c>
      <c r="X122" s="173">
        <v>4</v>
      </c>
      <c r="Y122" s="173">
        <v>4</v>
      </c>
      <c r="Z122" s="173">
        <v>4</v>
      </c>
      <c r="AA122" s="173">
        <v>2</v>
      </c>
      <c r="AB122" s="192">
        <v>2</v>
      </c>
      <c r="AC122" s="171"/>
      <c r="AD122" s="172"/>
      <c r="AE122" s="172"/>
      <c r="AF122" s="188"/>
      <c r="AG122" s="188"/>
      <c r="AH122" s="188"/>
      <c r="AI122" s="188"/>
      <c r="AJ122" s="188"/>
      <c r="AK122" s="188"/>
      <c r="AL122" s="188"/>
      <c r="AM122" s="188"/>
      <c r="AN122" s="188"/>
      <c r="AO122" s="188"/>
      <c r="AP122" s="188"/>
      <c r="AQ122" s="188"/>
      <c r="AR122" s="188"/>
      <c r="AS122" s="188"/>
      <c r="AT122" s="188"/>
      <c r="AU122" s="188"/>
      <c r="AV122" s="188"/>
      <c r="AW122" s="188"/>
      <c r="AX122" s="188"/>
      <c r="AY122" s="188"/>
      <c r="AZ122" s="188"/>
      <c r="BA122" s="188"/>
      <c r="BB122" s="188"/>
      <c r="BC122" s="188"/>
      <c r="BD122" s="188"/>
      <c r="BF122">
        <f>ROWS($U$46:U122)</f>
        <v>77</v>
      </c>
      <c r="BG122" t="str">
        <f t="shared" si="91"/>
        <v/>
      </c>
      <c r="DB122" s="10">
        <v>1130196</v>
      </c>
      <c r="DE122" s="10">
        <v>983148</v>
      </c>
      <c r="DF122" t="s">
        <v>1199</v>
      </c>
      <c r="DG122" s="10" t="s">
        <v>1199</v>
      </c>
      <c r="DH122" s="10">
        <v>16</v>
      </c>
      <c r="DI122" s="10">
        <v>1608</v>
      </c>
      <c r="DJ122" s="10" t="s">
        <v>263</v>
      </c>
      <c r="DL122" s="10" t="s">
        <v>240</v>
      </c>
      <c r="DO122" s="555">
        <v>497</v>
      </c>
      <c r="DR122" s="37" t="str">
        <f t="shared" si="90"/>
        <v xml:space="preserve">1608 CT216 </v>
      </c>
      <c r="DS122" s="37">
        <f t="shared" si="89"/>
        <v>0</v>
      </c>
      <c r="DV122" s="10" t="s">
        <v>49</v>
      </c>
      <c r="DW122" t="s">
        <v>1590</v>
      </c>
      <c r="DX122">
        <v>30</v>
      </c>
      <c r="DY122" t="s">
        <v>1673</v>
      </c>
      <c r="DZ122" t="s">
        <v>1668</v>
      </c>
      <c r="EA122">
        <v>1</v>
      </c>
      <c r="EB122" t="s">
        <v>1513</v>
      </c>
      <c r="EC122" s="10">
        <v>662</v>
      </c>
      <c r="ED122" s="10" t="s">
        <v>1736</v>
      </c>
      <c r="EE122" s="813">
        <f t="shared" si="71"/>
        <v>0</v>
      </c>
      <c r="EF122">
        <f>ROWS($DE$2:DE122)</f>
        <v>121</v>
      </c>
      <c r="EG122" t="str">
        <f t="shared" si="72"/>
        <v/>
      </c>
      <c r="EJ122" t="str">
        <f t="shared" si="73"/>
        <v/>
      </c>
      <c r="EM122" t="str">
        <f t="shared" si="74"/>
        <v/>
      </c>
      <c r="EP122" t="str">
        <f t="shared" si="75"/>
        <v/>
      </c>
      <c r="ES122" t="str">
        <f t="shared" si="76"/>
        <v/>
      </c>
      <c r="EV122" t="str">
        <f t="shared" si="77"/>
        <v/>
      </c>
      <c r="EY122" t="str">
        <f t="shared" si="78"/>
        <v/>
      </c>
      <c r="FB122" t="str">
        <f t="shared" si="79"/>
        <v/>
      </c>
      <c r="FE122" t="str">
        <f t="shared" si="80"/>
        <v/>
      </c>
      <c r="FH122" t="str">
        <f t="shared" si="81"/>
        <v/>
      </c>
      <c r="FK122" t="str">
        <f t="shared" si="82"/>
        <v/>
      </c>
      <c r="FN122" t="str">
        <f t="shared" si="83"/>
        <v/>
      </c>
      <c r="FQ122" t="str">
        <f t="shared" si="84"/>
        <v/>
      </c>
      <c r="FT122" t="str">
        <f t="shared" si="85"/>
        <v/>
      </c>
      <c r="FW122" t="str">
        <f t="shared" si="86"/>
        <v/>
      </c>
      <c r="FZ122" t="str">
        <f t="shared" si="87"/>
        <v/>
      </c>
      <c r="GC122" t="str">
        <f t="shared" si="88"/>
        <v/>
      </c>
      <c r="GE122" s="155"/>
    </row>
    <row r="123" spans="1:187" ht="15" customHeight="1" x14ac:dyDescent="0.35">
      <c r="A123" s="946"/>
      <c r="B123" s="947"/>
      <c r="L123" s="37">
        <v>1005293</v>
      </c>
      <c r="O123" s="197">
        <v>3</v>
      </c>
      <c r="P123" s="190">
        <v>729435</v>
      </c>
      <c r="Q123" s="190">
        <v>3</v>
      </c>
      <c r="R123" s="190"/>
      <c r="S123" s="190">
        <v>8.5</v>
      </c>
      <c r="T123" s="190" t="s">
        <v>744</v>
      </c>
      <c r="U123" s="190">
        <v>1011366</v>
      </c>
      <c r="V123" s="171" t="s">
        <v>89</v>
      </c>
      <c r="W123" s="191">
        <v>1</v>
      </c>
      <c r="X123" s="173">
        <v>3</v>
      </c>
      <c r="Y123" s="173">
        <v>4</v>
      </c>
      <c r="Z123" s="173">
        <v>4</v>
      </c>
      <c r="AA123" s="173">
        <v>4</v>
      </c>
      <c r="AB123" s="173">
        <v>4</v>
      </c>
      <c r="AC123" s="173">
        <v>4</v>
      </c>
      <c r="AD123" s="174">
        <v>2</v>
      </c>
      <c r="AE123" s="177">
        <v>2</v>
      </c>
      <c r="AF123" s="187"/>
      <c r="AG123" s="188"/>
      <c r="AH123" s="188"/>
      <c r="AI123" s="188"/>
      <c r="AJ123" s="188"/>
      <c r="AK123" s="188"/>
      <c r="AL123" s="188"/>
      <c r="AM123" s="188"/>
      <c r="AN123" s="188"/>
      <c r="AO123" s="188"/>
      <c r="AP123" s="188"/>
      <c r="AQ123" s="188"/>
      <c r="AR123" s="188"/>
      <c r="AS123" s="188"/>
      <c r="AT123" s="188"/>
      <c r="AU123" s="188"/>
      <c r="AV123" s="188"/>
      <c r="AW123" s="188"/>
      <c r="AX123" s="188"/>
      <c r="AY123" s="188"/>
      <c r="AZ123" s="188"/>
      <c r="BA123" s="188"/>
      <c r="BB123" s="188"/>
      <c r="BC123" s="188"/>
      <c r="BD123" s="188"/>
      <c r="BF123">
        <f>ROWS($U$46:U123)</f>
        <v>78</v>
      </c>
      <c r="BG123" t="str">
        <f t="shared" si="91"/>
        <v/>
      </c>
      <c r="DB123" s="10">
        <v>1130200</v>
      </c>
      <c r="DE123" s="10">
        <v>1032645</v>
      </c>
      <c r="DF123" t="s">
        <v>1213</v>
      </c>
      <c r="DG123" s="10" t="s">
        <v>1213</v>
      </c>
      <c r="DH123" s="10">
        <v>0.437</v>
      </c>
      <c r="DI123" s="10">
        <v>0.437</v>
      </c>
      <c r="DK123" s="10" t="s">
        <v>1217</v>
      </c>
      <c r="DO123" s="555"/>
      <c r="DR123" s="37" t="str">
        <f t="shared" si="90"/>
        <v>0.437  CARBIDE NOZZLE DEFLECTOR</v>
      </c>
      <c r="DS123" s="37">
        <f t="shared" si="89"/>
        <v>0</v>
      </c>
      <c r="DV123" s="10" t="s">
        <v>1754</v>
      </c>
      <c r="DW123" t="s">
        <v>1543</v>
      </c>
      <c r="DX123" t="s">
        <v>1543</v>
      </c>
      <c r="DY123" t="s">
        <v>1543</v>
      </c>
      <c r="DZ123" t="s">
        <v>1543</v>
      </c>
      <c r="EA123" t="s">
        <v>1543</v>
      </c>
      <c r="EB123" t="s">
        <v>1543</v>
      </c>
      <c r="EC123" s="10" t="s">
        <v>1543</v>
      </c>
      <c r="ED123" s="10" t="s">
        <v>1543</v>
      </c>
      <c r="EE123" s="813">
        <f t="shared" si="71"/>
        <v>0</v>
      </c>
      <c r="EF123">
        <f>ROWS($DE$2:DE123)</f>
        <v>122</v>
      </c>
      <c r="EG123" t="str">
        <f t="shared" si="72"/>
        <v/>
      </c>
      <c r="EJ123" t="str">
        <f t="shared" si="73"/>
        <v/>
      </c>
      <c r="EM123" t="str">
        <f t="shared" si="74"/>
        <v/>
      </c>
      <c r="EP123" t="str">
        <f t="shared" si="75"/>
        <v/>
      </c>
      <c r="ES123" t="str">
        <f t="shared" si="76"/>
        <v/>
      </c>
      <c r="EV123" t="str">
        <f t="shared" si="77"/>
        <v/>
      </c>
      <c r="EY123" t="str">
        <f t="shared" si="78"/>
        <v/>
      </c>
      <c r="FB123" t="str">
        <f t="shared" si="79"/>
        <v/>
      </c>
      <c r="FE123" t="str">
        <f t="shared" si="80"/>
        <v/>
      </c>
      <c r="FH123" t="str">
        <f t="shared" si="81"/>
        <v/>
      </c>
      <c r="FK123" t="str">
        <f t="shared" si="82"/>
        <v/>
      </c>
      <c r="FN123" t="str">
        <f t="shared" si="83"/>
        <v/>
      </c>
      <c r="FQ123" t="str">
        <f t="shared" si="84"/>
        <v/>
      </c>
      <c r="FT123" t="str">
        <f t="shared" si="85"/>
        <v/>
      </c>
      <c r="FW123" t="str">
        <f t="shared" si="86"/>
        <v/>
      </c>
      <c r="FZ123" t="str">
        <f t="shared" si="87"/>
        <v/>
      </c>
      <c r="GC123" t="str">
        <f t="shared" si="88"/>
        <v/>
      </c>
      <c r="GE123" s="155"/>
    </row>
    <row r="124" spans="1:187" ht="15" customHeight="1" x14ac:dyDescent="0.35">
      <c r="A124" s="946" t="s">
        <v>1528</v>
      </c>
      <c r="B124" s="948">
        <v>5.875</v>
      </c>
      <c r="C124" s="607"/>
      <c r="L124" s="10">
        <v>1005462</v>
      </c>
      <c r="O124" s="199">
        <v>4</v>
      </c>
      <c r="P124" s="200">
        <v>729687</v>
      </c>
      <c r="Q124" s="200">
        <v>28</v>
      </c>
      <c r="R124" s="200"/>
      <c r="S124" s="190">
        <v>8.5</v>
      </c>
      <c r="T124" s="190" t="s">
        <v>744</v>
      </c>
      <c r="U124" s="190">
        <v>1011366</v>
      </c>
      <c r="V124" s="171" t="s">
        <v>90</v>
      </c>
      <c r="W124" s="191">
        <v>4</v>
      </c>
      <c r="X124" s="173">
        <v>4</v>
      </c>
      <c r="Y124" s="173">
        <v>4</v>
      </c>
      <c r="Z124" s="173">
        <v>4</v>
      </c>
      <c r="AA124" s="173">
        <v>4</v>
      </c>
      <c r="AB124" s="173">
        <v>2</v>
      </c>
      <c r="AC124" s="192">
        <v>2</v>
      </c>
      <c r="AD124" s="180"/>
      <c r="AE124" s="175"/>
      <c r="AF124" s="188"/>
      <c r="AG124" s="188"/>
      <c r="AH124" s="188"/>
      <c r="AI124" s="188"/>
      <c r="AJ124" s="188"/>
      <c r="AK124" s="188"/>
      <c r="AL124" s="188"/>
      <c r="AM124" s="188"/>
      <c r="AN124" s="188"/>
      <c r="AO124" s="188"/>
      <c r="AP124" s="188"/>
      <c r="AQ124" s="188"/>
      <c r="AR124" s="188"/>
      <c r="AS124" s="188"/>
      <c r="AT124" s="188"/>
      <c r="AU124" s="188"/>
      <c r="AV124" s="188"/>
      <c r="AW124" s="188"/>
      <c r="AX124" s="188"/>
      <c r="AY124" s="188"/>
      <c r="AZ124" s="188"/>
      <c r="BA124" s="188"/>
      <c r="BB124" s="188"/>
      <c r="BC124" s="188"/>
      <c r="BD124" s="188"/>
      <c r="BF124">
        <f>ROWS($U$46:U124)</f>
        <v>79</v>
      </c>
      <c r="BG124" t="str">
        <f t="shared" si="91"/>
        <v/>
      </c>
      <c r="DB124" s="10">
        <v>647435</v>
      </c>
      <c r="DE124" s="10">
        <v>176086</v>
      </c>
      <c r="DF124" t="s">
        <v>1218</v>
      </c>
      <c r="DG124" s="10" t="s">
        <v>1218</v>
      </c>
      <c r="DH124" s="10" t="s">
        <v>1219</v>
      </c>
      <c r="DI124" s="10" t="s">
        <v>1219</v>
      </c>
      <c r="DK124" s="10" t="s">
        <v>1220</v>
      </c>
      <c r="DO124" s="555"/>
      <c r="DR124" s="37" t="str">
        <f t="shared" si="90"/>
        <v>17/32  carbide nozzle deflector</v>
      </c>
      <c r="DS124" s="37">
        <f t="shared" si="89"/>
        <v>0</v>
      </c>
      <c r="DV124" s="10" t="s">
        <v>1754</v>
      </c>
      <c r="DW124" t="s">
        <v>1543</v>
      </c>
      <c r="DX124" t="s">
        <v>1543</v>
      </c>
      <c r="DY124" t="s">
        <v>1543</v>
      </c>
      <c r="DZ124" t="s">
        <v>1543</v>
      </c>
      <c r="EA124" t="s">
        <v>1543</v>
      </c>
      <c r="EB124" t="s">
        <v>1543</v>
      </c>
      <c r="EC124" s="10" t="s">
        <v>1543</v>
      </c>
      <c r="ED124" s="10" t="s">
        <v>1543</v>
      </c>
      <c r="EE124" s="813">
        <f t="shared" si="71"/>
        <v>0</v>
      </c>
      <c r="EF124">
        <f>ROWS($DE$2:DE124)</f>
        <v>123</v>
      </c>
      <c r="EG124" t="str">
        <f t="shared" si="72"/>
        <v/>
      </c>
      <c r="EJ124" t="str">
        <f t="shared" si="73"/>
        <v/>
      </c>
      <c r="EM124" t="str">
        <f t="shared" si="74"/>
        <v/>
      </c>
      <c r="EP124" t="str">
        <f t="shared" si="75"/>
        <v/>
      </c>
      <c r="ES124" t="str">
        <f t="shared" si="76"/>
        <v/>
      </c>
      <c r="EV124" t="str">
        <f t="shared" si="77"/>
        <v/>
      </c>
      <c r="EY124" t="str">
        <f t="shared" si="78"/>
        <v/>
      </c>
      <c r="FB124" t="str">
        <f t="shared" si="79"/>
        <v/>
      </c>
      <c r="FE124" t="str">
        <f t="shared" si="80"/>
        <v/>
      </c>
      <c r="FH124" t="str">
        <f t="shared" si="81"/>
        <v/>
      </c>
      <c r="FK124" t="str">
        <f t="shared" si="82"/>
        <v/>
      </c>
      <c r="FN124" t="str">
        <f t="shared" si="83"/>
        <v/>
      </c>
      <c r="FQ124" t="str">
        <f t="shared" si="84"/>
        <v/>
      </c>
      <c r="FT124" t="str">
        <f t="shared" si="85"/>
        <v/>
      </c>
      <c r="FW124" t="str">
        <f t="shared" si="86"/>
        <v/>
      </c>
      <c r="FZ124" t="str">
        <f t="shared" si="87"/>
        <v/>
      </c>
      <c r="GC124" t="str">
        <f t="shared" si="88"/>
        <v/>
      </c>
      <c r="GE124" s="155"/>
    </row>
    <row r="125" spans="1:187" ht="15" customHeight="1" x14ac:dyDescent="0.35">
      <c r="A125" s="946" t="s">
        <v>1529</v>
      </c>
      <c r="B125" s="948">
        <v>8.375</v>
      </c>
      <c r="C125" s="607"/>
      <c r="L125" s="10">
        <v>1006037</v>
      </c>
      <c r="O125" s="202"/>
      <c r="P125" s="203"/>
      <c r="Q125" s="203"/>
      <c r="R125" s="204"/>
      <c r="S125" s="201">
        <v>8.5</v>
      </c>
      <c r="T125" s="190" t="s">
        <v>744</v>
      </c>
      <c r="U125" s="190">
        <v>1011366</v>
      </c>
      <c r="V125" s="171" t="s">
        <v>91</v>
      </c>
      <c r="W125" s="191">
        <v>1</v>
      </c>
      <c r="X125" s="173">
        <v>3</v>
      </c>
      <c r="Y125" s="173">
        <v>4</v>
      </c>
      <c r="Z125" s="173">
        <v>4</v>
      </c>
      <c r="AA125" s="173">
        <v>4</v>
      </c>
      <c r="AB125" s="173">
        <v>4</v>
      </c>
      <c r="AC125" s="192">
        <v>4</v>
      </c>
      <c r="AD125" s="40">
        <v>2</v>
      </c>
      <c r="AE125" s="40">
        <v>2</v>
      </c>
      <c r="AF125" s="187"/>
      <c r="AG125" s="188"/>
      <c r="AH125" s="188"/>
      <c r="AI125" s="188"/>
      <c r="AJ125" s="188"/>
      <c r="AK125" s="188"/>
      <c r="AL125" s="188"/>
      <c r="AM125" s="188"/>
      <c r="AN125" s="188"/>
      <c r="AO125" s="188"/>
      <c r="AP125" s="188"/>
      <c r="AQ125" s="188"/>
      <c r="AR125" s="188"/>
      <c r="AS125" s="188"/>
      <c r="AT125" s="188"/>
      <c r="AU125" s="188"/>
      <c r="AV125" s="188"/>
      <c r="AW125" s="188"/>
      <c r="AX125" s="188"/>
      <c r="AY125" s="188"/>
      <c r="AZ125" s="188"/>
      <c r="BA125" s="188"/>
      <c r="BB125" s="188"/>
      <c r="BC125" s="188"/>
      <c r="BD125" s="188"/>
      <c r="BF125">
        <f>ROWS($U$46:U125)</f>
        <v>80</v>
      </c>
      <c r="BG125" t="str">
        <f t="shared" si="91"/>
        <v/>
      </c>
      <c r="DB125" s="10">
        <v>752583</v>
      </c>
      <c r="DE125" s="10">
        <v>1014941</v>
      </c>
      <c r="DF125" t="s">
        <v>1221</v>
      </c>
      <c r="DG125" t="s">
        <v>1221</v>
      </c>
      <c r="DH125" s="10">
        <v>16</v>
      </c>
      <c r="DI125" s="10">
        <v>1613</v>
      </c>
      <c r="DJ125" s="10" t="s">
        <v>248</v>
      </c>
      <c r="DL125" s="10" t="s">
        <v>240</v>
      </c>
      <c r="DO125" s="555">
        <v>497</v>
      </c>
      <c r="DR125" s="37" t="str">
        <f t="shared" si="90"/>
        <v xml:space="preserve">1613 CT133 </v>
      </c>
      <c r="DS125" s="37">
        <f t="shared" si="89"/>
        <v>0</v>
      </c>
      <c r="DV125" s="10" t="s">
        <v>49</v>
      </c>
      <c r="DW125" t="s">
        <v>1590</v>
      </c>
      <c r="DX125">
        <v>30</v>
      </c>
      <c r="DY125" t="s">
        <v>1673</v>
      </c>
      <c r="DZ125" t="s">
        <v>1668</v>
      </c>
      <c r="EA125">
        <v>1</v>
      </c>
      <c r="EB125" t="s">
        <v>1513</v>
      </c>
      <c r="EC125" s="10">
        <v>662</v>
      </c>
      <c r="ED125" s="10" t="s">
        <v>1736</v>
      </c>
      <c r="EE125" s="813">
        <f t="shared" si="71"/>
        <v>0</v>
      </c>
      <c r="EF125">
        <f>ROWS($DE$2:DE125)</f>
        <v>124</v>
      </c>
      <c r="EG125" t="str">
        <f t="shared" si="72"/>
        <v/>
      </c>
      <c r="EJ125" t="str">
        <f t="shared" si="73"/>
        <v/>
      </c>
      <c r="EM125" t="str">
        <f t="shared" si="74"/>
        <v/>
      </c>
      <c r="EP125" t="str">
        <f t="shared" si="75"/>
        <v/>
      </c>
      <c r="ES125" t="str">
        <f t="shared" si="76"/>
        <v/>
      </c>
      <c r="EV125" t="str">
        <f t="shared" si="77"/>
        <v/>
      </c>
      <c r="EY125" t="str">
        <f t="shared" si="78"/>
        <v/>
      </c>
      <c r="FB125" t="str">
        <f t="shared" si="79"/>
        <v/>
      </c>
      <c r="FE125" t="str">
        <f t="shared" si="80"/>
        <v/>
      </c>
      <c r="FH125" t="str">
        <f t="shared" si="81"/>
        <v/>
      </c>
      <c r="FK125" t="str">
        <f t="shared" si="82"/>
        <v/>
      </c>
      <c r="FN125" t="str">
        <f t="shared" si="83"/>
        <v/>
      </c>
      <c r="FQ125" t="str">
        <f t="shared" si="84"/>
        <v/>
      </c>
      <c r="FT125" t="str">
        <f t="shared" si="85"/>
        <v/>
      </c>
      <c r="FW125" t="str">
        <f t="shared" si="86"/>
        <v/>
      </c>
      <c r="FZ125" t="str">
        <f t="shared" si="87"/>
        <v/>
      </c>
      <c r="GC125" t="str">
        <f t="shared" si="88"/>
        <v/>
      </c>
      <c r="GE125" s="155"/>
    </row>
    <row r="126" spans="1:187" ht="15" customHeight="1" thickBot="1" x14ac:dyDescent="0.4">
      <c r="A126" s="946" t="s">
        <v>1530</v>
      </c>
      <c r="B126" s="949">
        <v>12</v>
      </c>
      <c r="C126" s="607"/>
      <c r="L126" s="10">
        <v>1007406</v>
      </c>
      <c r="O126" s="207"/>
      <c r="P126" s="208"/>
      <c r="Q126" s="208"/>
      <c r="R126" s="209"/>
      <c r="S126" s="210">
        <v>8.5</v>
      </c>
      <c r="T126" s="194" t="s">
        <v>744</v>
      </c>
      <c r="U126" s="194">
        <v>1011366</v>
      </c>
      <c r="V126" s="195" t="s">
        <v>92</v>
      </c>
      <c r="W126" s="191">
        <v>4</v>
      </c>
      <c r="X126" s="173">
        <v>4</v>
      </c>
      <c r="Y126" s="173">
        <v>4</v>
      </c>
      <c r="Z126" s="173">
        <v>4</v>
      </c>
      <c r="AA126" s="173">
        <v>2</v>
      </c>
      <c r="AB126" s="173">
        <v>2</v>
      </c>
      <c r="AC126" s="195"/>
      <c r="AD126" s="216"/>
      <c r="AE126" s="216"/>
      <c r="AF126" s="188"/>
      <c r="AG126" s="188"/>
      <c r="AH126" s="188"/>
      <c r="AI126" s="188"/>
      <c r="AJ126" s="188"/>
      <c r="AK126" s="188"/>
      <c r="AL126" s="188"/>
      <c r="AM126" s="188"/>
      <c r="AN126" s="188"/>
      <c r="AO126" s="188"/>
      <c r="AP126" s="188"/>
      <c r="AQ126" s="188"/>
      <c r="AR126" s="188"/>
      <c r="AS126" s="188"/>
      <c r="AT126" s="188"/>
      <c r="AU126" s="188"/>
      <c r="AV126" s="188"/>
      <c r="AW126" s="188"/>
      <c r="AX126" s="188"/>
      <c r="AY126" s="188"/>
      <c r="AZ126" s="188"/>
      <c r="BA126" s="188"/>
      <c r="BB126" s="188"/>
      <c r="BC126" s="188"/>
      <c r="BD126" s="188"/>
      <c r="BF126">
        <f>ROWS($U$46:U126)</f>
        <v>81</v>
      </c>
      <c r="BG126" t="str">
        <f t="shared" si="91"/>
        <v/>
      </c>
      <c r="DB126" s="10">
        <v>1134752</v>
      </c>
      <c r="DE126" s="10">
        <v>1100745</v>
      </c>
      <c r="DF126" t="s">
        <v>1228</v>
      </c>
      <c r="DG126" s="10" t="s">
        <v>1228</v>
      </c>
      <c r="DH126" s="10">
        <v>19</v>
      </c>
      <c r="DI126" s="10">
        <v>1913</v>
      </c>
      <c r="DJ126" s="10" t="s">
        <v>1231</v>
      </c>
      <c r="DL126" s="10" t="s">
        <v>240</v>
      </c>
      <c r="DO126" s="555">
        <v>660</v>
      </c>
      <c r="DR126" s="37" t="str">
        <f t="shared" si="90"/>
        <v xml:space="preserve">1913 CT418 </v>
      </c>
      <c r="DS126" s="37">
        <f t="shared" si="89"/>
        <v>351.9394666666667</v>
      </c>
      <c r="DT126" s="10">
        <v>270.72266666666667</v>
      </c>
      <c r="DV126" s="10" t="s">
        <v>49</v>
      </c>
      <c r="DW126" t="s">
        <v>1591</v>
      </c>
      <c r="DX126">
        <v>30</v>
      </c>
      <c r="DY126" t="s">
        <v>1674</v>
      </c>
      <c r="DZ126" t="s">
        <v>1669</v>
      </c>
      <c r="EA126">
        <v>1</v>
      </c>
      <c r="EB126" t="s">
        <v>1513</v>
      </c>
      <c r="EC126" s="10">
        <v>836</v>
      </c>
      <c r="ED126" s="10" t="s">
        <v>1737</v>
      </c>
      <c r="EE126" s="813">
        <f t="shared" si="71"/>
        <v>0</v>
      </c>
      <c r="EF126">
        <f>ROWS($DE$2:DE126)</f>
        <v>125</v>
      </c>
      <c r="EG126" t="str">
        <f t="shared" si="72"/>
        <v/>
      </c>
      <c r="EJ126" t="str">
        <f t="shared" si="73"/>
        <v/>
      </c>
      <c r="EM126" t="str">
        <f t="shared" si="74"/>
        <v/>
      </c>
      <c r="EP126" t="str">
        <f t="shared" si="75"/>
        <v/>
      </c>
      <c r="ES126" t="str">
        <f t="shared" si="76"/>
        <v/>
      </c>
      <c r="EV126" t="str">
        <f t="shared" si="77"/>
        <v/>
      </c>
      <c r="EY126" t="str">
        <f t="shared" si="78"/>
        <v/>
      </c>
      <c r="FB126" t="str">
        <f t="shared" si="79"/>
        <v/>
      </c>
      <c r="FE126" t="str">
        <f t="shared" si="80"/>
        <v/>
      </c>
      <c r="FH126" t="str">
        <f t="shared" si="81"/>
        <v/>
      </c>
      <c r="FK126" t="str">
        <f t="shared" si="82"/>
        <v/>
      </c>
      <c r="FN126" t="str">
        <f t="shared" si="83"/>
        <v/>
      </c>
      <c r="FQ126" t="str">
        <f t="shared" si="84"/>
        <v/>
      </c>
      <c r="FT126" t="str">
        <f t="shared" si="85"/>
        <v/>
      </c>
      <c r="FW126" t="str">
        <f t="shared" si="86"/>
        <v/>
      </c>
      <c r="FZ126" t="str">
        <f t="shared" si="87"/>
        <v/>
      </c>
      <c r="GC126" t="str">
        <f t="shared" si="88"/>
        <v/>
      </c>
      <c r="GE126" s="155"/>
    </row>
    <row r="127" spans="1:187" ht="15" customHeight="1" x14ac:dyDescent="0.35">
      <c r="A127" s="946" t="s">
        <v>1531</v>
      </c>
      <c r="B127" s="948">
        <v>16</v>
      </c>
      <c r="C127" s="943"/>
      <c r="L127" s="10">
        <v>1007863</v>
      </c>
      <c r="O127" s="211">
        <v>1</v>
      </c>
      <c r="P127" s="212">
        <v>871781</v>
      </c>
      <c r="Q127" s="212">
        <v>3</v>
      </c>
      <c r="R127" s="212"/>
      <c r="S127" s="182">
        <v>8.5</v>
      </c>
      <c r="T127" s="182" t="s">
        <v>744</v>
      </c>
      <c r="U127" s="182">
        <v>1041673</v>
      </c>
      <c r="V127" s="183" t="s">
        <v>87</v>
      </c>
      <c r="W127" s="184">
        <v>1</v>
      </c>
      <c r="X127" s="185">
        <v>3</v>
      </c>
      <c r="Y127" s="185">
        <v>2</v>
      </c>
      <c r="Z127" s="185">
        <v>2</v>
      </c>
      <c r="AA127" s="185">
        <v>2</v>
      </c>
      <c r="AB127" s="185">
        <v>2</v>
      </c>
      <c r="AC127" s="185">
        <v>2</v>
      </c>
      <c r="AD127" s="185">
        <v>4</v>
      </c>
      <c r="AE127" s="183">
        <v>4</v>
      </c>
      <c r="AF127" s="177"/>
      <c r="AG127" s="217">
        <v>5</v>
      </c>
      <c r="AH127" s="217">
        <v>5</v>
      </c>
      <c r="AI127" s="217">
        <v>5</v>
      </c>
      <c r="AJ127" s="217">
        <v>5</v>
      </c>
      <c r="AK127" s="217">
        <v>5</v>
      </c>
      <c r="AL127" s="217">
        <v>5</v>
      </c>
      <c r="AM127" s="188"/>
      <c r="AN127" s="188"/>
      <c r="AO127" s="188"/>
      <c r="AP127" s="188"/>
      <c r="AQ127" s="188"/>
      <c r="AR127" s="188"/>
      <c r="AS127" s="188"/>
      <c r="AT127" s="188"/>
      <c r="AU127" s="188"/>
      <c r="AV127" s="188"/>
      <c r="AW127" s="188"/>
      <c r="AX127" s="188"/>
      <c r="AY127" s="188"/>
      <c r="AZ127" s="188"/>
      <c r="BA127" s="188"/>
      <c r="BB127" s="188"/>
      <c r="BC127" s="188"/>
      <c r="BD127" s="188"/>
      <c r="BF127">
        <f>ROWS($U$46:U127)</f>
        <v>82</v>
      </c>
      <c r="BG127" t="str">
        <f t="shared" si="91"/>
        <v/>
      </c>
      <c r="DB127" s="10">
        <v>724180</v>
      </c>
      <c r="DE127" s="10">
        <v>1130198</v>
      </c>
      <c r="DF127" t="s">
        <v>1229</v>
      </c>
      <c r="DG127" s="10" t="s">
        <v>1229</v>
      </c>
      <c r="DH127" s="10">
        <v>16</v>
      </c>
      <c r="DI127" s="10">
        <v>1613</v>
      </c>
      <c r="DJ127" s="10" t="s">
        <v>1232</v>
      </c>
      <c r="DL127" s="10" t="s">
        <v>240</v>
      </c>
      <c r="DO127" s="555">
        <v>497</v>
      </c>
      <c r="DR127" s="37" t="str">
        <f t="shared" ref="DR127:DR158" si="92">DI127 &amp; " " &amp; DJ127 &amp; " " &amp; DK127</f>
        <v xml:space="preserve">1613 CT182 </v>
      </c>
      <c r="DS127" s="37">
        <f t="shared" si="89"/>
        <v>263.71280000000002</v>
      </c>
      <c r="DT127" s="10">
        <v>202.85600000000002</v>
      </c>
      <c r="DV127" s="10" t="s">
        <v>49</v>
      </c>
      <c r="DW127" t="s">
        <v>1590</v>
      </c>
      <c r="DX127">
        <v>30</v>
      </c>
      <c r="DY127" t="s">
        <v>1673</v>
      </c>
      <c r="DZ127" t="s">
        <v>1668</v>
      </c>
      <c r="EA127">
        <v>1</v>
      </c>
      <c r="EB127" t="s">
        <v>1513</v>
      </c>
      <c r="EC127" s="10">
        <v>662</v>
      </c>
      <c r="ED127" s="10" t="s">
        <v>1736</v>
      </c>
      <c r="EE127" s="813">
        <f t="shared" si="71"/>
        <v>0</v>
      </c>
      <c r="EF127">
        <f>ROWS($DE$2:DE127)</f>
        <v>126</v>
      </c>
      <c r="EG127" t="str">
        <f t="shared" si="72"/>
        <v/>
      </c>
      <c r="EJ127" t="str">
        <f t="shared" si="73"/>
        <v/>
      </c>
      <c r="EM127" t="str">
        <f t="shared" si="74"/>
        <v/>
      </c>
      <c r="EP127" t="str">
        <f t="shared" si="75"/>
        <v/>
      </c>
      <c r="ES127" t="str">
        <f t="shared" si="76"/>
        <v/>
      </c>
      <c r="EV127" t="str">
        <f t="shared" si="77"/>
        <v/>
      </c>
      <c r="EY127" t="str">
        <f t="shared" si="78"/>
        <v/>
      </c>
      <c r="FB127" t="str">
        <f t="shared" si="79"/>
        <v/>
      </c>
      <c r="FE127" t="str">
        <f t="shared" si="80"/>
        <v/>
      </c>
      <c r="FH127" t="str">
        <f t="shared" si="81"/>
        <v/>
      </c>
      <c r="FK127" t="str">
        <f t="shared" si="82"/>
        <v/>
      </c>
      <c r="FN127" t="str">
        <f t="shared" si="83"/>
        <v/>
      </c>
      <c r="FQ127" t="str">
        <f t="shared" si="84"/>
        <v/>
      </c>
      <c r="FT127" t="str">
        <f t="shared" si="85"/>
        <v/>
      </c>
      <c r="FW127" t="str">
        <f t="shared" si="86"/>
        <v/>
      </c>
      <c r="FZ127" t="str">
        <f t="shared" si="87"/>
        <v/>
      </c>
      <c r="GC127" t="str">
        <f t="shared" si="88"/>
        <v/>
      </c>
      <c r="GE127" s="155"/>
    </row>
    <row r="128" spans="1:187" ht="15.75" customHeight="1" x14ac:dyDescent="0.35">
      <c r="A128" s="946" t="s">
        <v>1528</v>
      </c>
      <c r="B128" s="949">
        <v>6.125</v>
      </c>
      <c r="C128" s="607"/>
      <c r="D128" s="607"/>
      <c r="L128" s="10">
        <v>1011366</v>
      </c>
      <c r="O128" s="197">
        <v>2</v>
      </c>
      <c r="P128" s="190">
        <v>744015</v>
      </c>
      <c r="Q128" s="190">
        <v>28</v>
      </c>
      <c r="R128" s="190"/>
      <c r="S128" s="190">
        <v>8.5</v>
      </c>
      <c r="T128" s="190" t="s">
        <v>744</v>
      </c>
      <c r="U128" s="190">
        <v>1041673</v>
      </c>
      <c r="V128" s="171" t="s">
        <v>88</v>
      </c>
      <c r="W128" s="191">
        <v>2</v>
      </c>
      <c r="X128" s="173">
        <v>2</v>
      </c>
      <c r="Y128" s="173">
        <v>2</v>
      </c>
      <c r="Z128" s="173">
        <v>2</v>
      </c>
      <c r="AA128" s="173">
        <v>4</v>
      </c>
      <c r="AB128" s="173">
        <v>4</v>
      </c>
      <c r="AC128" s="171"/>
      <c r="AD128" s="172"/>
      <c r="AE128" s="172"/>
      <c r="AF128" s="65"/>
      <c r="AG128" s="217">
        <v>5</v>
      </c>
      <c r="AH128" s="217">
        <v>5</v>
      </c>
      <c r="AI128" s="217">
        <v>5</v>
      </c>
      <c r="AJ128" s="217">
        <v>5</v>
      </c>
      <c r="AK128" s="188"/>
      <c r="AL128" s="188"/>
      <c r="AM128" s="188"/>
      <c r="AN128" s="188"/>
      <c r="AO128" s="188"/>
      <c r="AP128" s="188"/>
      <c r="AQ128" s="188"/>
      <c r="AR128" s="188"/>
      <c r="AS128" s="188"/>
      <c r="AT128" s="188"/>
      <c r="AU128" s="188"/>
      <c r="AV128" s="188"/>
      <c r="AW128" s="188"/>
      <c r="AX128" s="188"/>
      <c r="AY128" s="188"/>
      <c r="AZ128" s="188"/>
      <c r="BA128" s="188"/>
      <c r="BB128" s="188"/>
      <c r="BC128" s="188"/>
      <c r="BD128" s="188"/>
      <c r="BF128">
        <f>ROWS($U$46:U128)</f>
        <v>83</v>
      </c>
      <c r="BG128" t="str">
        <f t="shared" si="91"/>
        <v/>
      </c>
      <c r="DB128" s="10">
        <v>724181</v>
      </c>
      <c r="DE128" s="10">
        <v>1130196</v>
      </c>
      <c r="DF128" t="s">
        <v>1230</v>
      </c>
      <c r="DG128" s="10" t="s">
        <v>1230</v>
      </c>
      <c r="DH128" s="10">
        <v>13</v>
      </c>
      <c r="DI128" s="10">
        <v>1313</v>
      </c>
      <c r="DJ128" s="10" t="s">
        <v>1232</v>
      </c>
      <c r="DL128" s="10" t="s">
        <v>240</v>
      </c>
      <c r="DO128" s="555">
        <v>360</v>
      </c>
      <c r="DR128" s="37" t="str">
        <f t="shared" si="92"/>
        <v xml:space="preserve">1313 CT182 </v>
      </c>
      <c r="DS128" s="37">
        <f t="shared" si="89"/>
        <v>208.0351</v>
      </c>
      <c r="DT128" s="10">
        <v>160.02699999999999</v>
      </c>
      <c r="DV128" s="10" t="s">
        <v>49</v>
      </c>
      <c r="DW128" t="s">
        <v>1589</v>
      </c>
      <c r="DX128">
        <v>30</v>
      </c>
      <c r="DY128" t="s">
        <v>1677</v>
      </c>
      <c r="DZ128" t="s">
        <v>1670</v>
      </c>
      <c r="EA128">
        <v>1</v>
      </c>
      <c r="EB128" t="s">
        <v>1513</v>
      </c>
      <c r="EC128" s="10">
        <v>480</v>
      </c>
      <c r="ED128" s="10" t="s">
        <v>1740</v>
      </c>
      <c r="EE128" s="813">
        <f t="shared" si="71"/>
        <v>0</v>
      </c>
      <c r="EF128">
        <f>ROWS($DE$2:DE128)</f>
        <v>127</v>
      </c>
      <c r="EG128" t="str">
        <f t="shared" si="72"/>
        <v/>
      </c>
      <c r="EJ128" t="str">
        <f t="shared" si="73"/>
        <v/>
      </c>
      <c r="EM128" t="str">
        <f t="shared" si="74"/>
        <v/>
      </c>
      <c r="EP128" t="str">
        <f t="shared" si="75"/>
        <v/>
      </c>
      <c r="ES128" t="str">
        <f t="shared" si="76"/>
        <v/>
      </c>
      <c r="EV128" t="str">
        <f t="shared" si="77"/>
        <v/>
      </c>
      <c r="EY128" t="str">
        <f t="shared" si="78"/>
        <v/>
      </c>
      <c r="FB128" t="str">
        <f t="shared" si="79"/>
        <v/>
      </c>
      <c r="FE128" t="str">
        <f t="shared" si="80"/>
        <v/>
      </c>
      <c r="FH128" t="str">
        <f t="shared" si="81"/>
        <v/>
      </c>
      <c r="FK128" t="str">
        <f t="shared" si="82"/>
        <v/>
      </c>
      <c r="FN128" t="str">
        <f t="shared" si="83"/>
        <v/>
      </c>
      <c r="FQ128" t="str">
        <f t="shared" si="84"/>
        <v/>
      </c>
      <c r="FT128" t="str">
        <f t="shared" si="85"/>
        <v/>
      </c>
      <c r="FW128" t="str">
        <f t="shared" si="86"/>
        <v/>
      </c>
      <c r="FZ128" t="str">
        <f t="shared" si="87"/>
        <v/>
      </c>
      <c r="GC128" t="str">
        <f t="shared" si="88"/>
        <v/>
      </c>
      <c r="GE128" s="155"/>
    </row>
    <row r="129" spans="1:187" ht="15" customHeight="1" x14ac:dyDescent="0.35">
      <c r="A129" s="946" t="s">
        <v>1529</v>
      </c>
      <c r="B129" s="949">
        <v>8.5</v>
      </c>
      <c r="C129" s="607"/>
      <c r="L129" s="10">
        <v>1016454</v>
      </c>
      <c r="O129" s="197">
        <v>3</v>
      </c>
      <c r="P129" s="190">
        <v>752555</v>
      </c>
      <c r="Q129" s="190">
        <v>3</v>
      </c>
      <c r="R129" s="190"/>
      <c r="S129" s="190">
        <v>8.5</v>
      </c>
      <c r="T129" s="190" t="s">
        <v>744</v>
      </c>
      <c r="U129" s="190">
        <v>1041673</v>
      </c>
      <c r="V129" s="171" t="s">
        <v>89</v>
      </c>
      <c r="W129" s="191">
        <v>1</v>
      </c>
      <c r="X129" s="173">
        <v>3</v>
      </c>
      <c r="Y129" s="173">
        <v>2</v>
      </c>
      <c r="Z129" s="173">
        <v>2</v>
      </c>
      <c r="AA129" s="173">
        <v>2</v>
      </c>
      <c r="AB129" s="173">
        <v>2</v>
      </c>
      <c r="AC129" s="173">
        <v>2</v>
      </c>
      <c r="AD129" s="173">
        <v>4</v>
      </c>
      <c r="AE129" s="192">
        <v>4</v>
      </c>
      <c r="AF129" s="177"/>
      <c r="AG129" s="217">
        <v>5</v>
      </c>
      <c r="AH129" s="217">
        <v>5</v>
      </c>
      <c r="AI129" s="217">
        <v>5</v>
      </c>
      <c r="AJ129" s="217">
        <v>5</v>
      </c>
      <c r="AK129" s="217">
        <v>5</v>
      </c>
      <c r="AL129" s="217">
        <v>5</v>
      </c>
      <c r="AM129" s="188"/>
      <c r="AN129" s="188"/>
      <c r="AO129" s="188"/>
      <c r="AP129" s="188"/>
      <c r="AQ129" s="188"/>
      <c r="AR129" s="188"/>
      <c r="AS129" s="188"/>
      <c r="AT129" s="188"/>
      <c r="AU129" s="188"/>
      <c r="AV129" s="188"/>
      <c r="AW129" s="188"/>
      <c r="AX129" s="188"/>
      <c r="AY129" s="188"/>
      <c r="AZ129" s="188"/>
      <c r="BA129" s="188"/>
      <c r="BB129" s="188"/>
      <c r="BC129" s="188"/>
      <c r="BD129" s="188"/>
      <c r="BF129">
        <f>ROWS($U$46:U129)</f>
        <v>84</v>
      </c>
      <c r="BG129" t="str">
        <f t="shared" si="91"/>
        <v/>
      </c>
      <c r="DB129" s="10">
        <v>138561</v>
      </c>
      <c r="DE129" s="10">
        <v>1130200</v>
      </c>
      <c r="DF129" t="s">
        <v>1236</v>
      </c>
      <c r="DG129" s="10" t="s">
        <v>1236</v>
      </c>
      <c r="DH129" s="10">
        <v>19</v>
      </c>
      <c r="DI129" s="10">
        <v>1913</v>
      </c>
      <c r="DJ129" s="10" t="s">
        <v>1232</v>
      </c>
      <c r="DL129" s="10" t="s">
        <v>240</v>
      </c>
      <c r="DO129" s="555">
        <v>660</v>
      </c>
      <c r="DR129" s="37" t="str">
        <f t="shared" si="92"/>
        <v xml:space="preserve">1913 CT182 </v>
      </c>
      <c r="DS129" s="37">
        <f t="shared" si="89"/>
        <v>254.95600000000002</v>
      </c>
      <c r="DT129" s="10">
        <v>196.12</v>
      </c>
      <c r="DV129" s="10" t="s">
        <v>49</v>
      </c>
      <c r="DW129" t="s">
        <v>1591</v>
      </c>
      <c r="DX129">
        <v>30</v>
      </c>
      <c r="DY129" t="s">
        <v>1674</v>
      </c>
      <c r="DZ129" t="s">
        <v>1669</v>
      </c>
      <c r="EA129">
        <v>1</v>
      </c>
      <c r="EB129" t="s">
        <v>1513</v>
      </c>
      <c r="EC129" s="10">
        <v>836</v>
      </c>
      <c r="ED129" s="10" t="s">
        <v>1737</v>
      </c>
      <c r="EE129" s="813">
        <f t="shared" si="71"/>
        <v>0</v>
      </c>
      <c r="EF129">
        <f>ROWS($DE$2:DE129)</f>
        <v>128</v>
      </c>
      <c r="EG129" t="str">
        <f t="shared" si="72"/>
        <v/>
      </c>
      <c r="EJ129" t="str">
        <f t="shared" si="73"/>
        <v/>
      </c>
      <c r="EM129" t="str">
        <f t="shared" si="74"/>
        <v/>
      </c>
      <c r="EP129" t="str">
        <f t="shared" si="75"/>
        <v/>
      </c>
      <c r="ES129" t="str">
        <f t="shared" si="76"/>
        <v/>
      </c>
      <c r="EV129" t="str">
        <f t="shared" si="77"/>
        <v/>
      </c>
      <c r="EY129" t="str">
        <f t="shared" si="78"/>
        <v/>
      </c>
      <c r="FB129" t="str">
        <f t="shared" si="79"/>
        <v/>
      </c>
      <c r="FE129" t="str">
        <f t="shared" si="80"/>
        <v/>
      </c>
      <c r="FH129" t="str">
        <f t="shared" si="81"/>
        <v/>
      </c>
      <c r="FK129" t="str">
        <f t="shared" si="82"/>
        <v/>
      </c>
      <c r="FN129" t="str">
        <f t="shared" si="83"/>
        <v/>
      </c>
      <c r="FQ129" t="str">
        <f t="shared" si="84"/>
        <v/>
      </c>
      <c r="FT129" t="str">
        <f t="shared" si="85"/>
        <v/>
      </c>
      <c r="FW129" t="str">
        <f t="shared" si="86"/>
        <v/>
      </c>
      <c r="FZ129" t="str">
        <f t="shared" si="87"/>
        <v/>
      </c>
      <c r="GC129" t="str">
        <f t="shared" si="88"/>
        <v/>
      </c>
      <c r="GE129" s="155"/>
    </row>
    <row r="130" spans="1:187" ht="15" customHeight="1" x14ac:dyDescent="0.35">
      <c r="A130" s="946" t="s">
        <v>1530</v>
      </c>
      <c r="B130" s="949">
        <v>12.25</v>
      </c>
      <c r="L130" s="10">
        <v>1019988</v>
      </c>
      <c r="O130" s="199">
        <v>4</v>
      </c>
      <c r="P130" s="200">
        <v>418525</v>
      </c>
      <c r="Q130" s="200">
        <v>12</v>
      </c>
      <c r="R130" s="200"/>
      <c r="S130" s="190">
        <v>8.5</v>
      </c>
      <c r="T130" s="190" t="s">
        <v>744</v>
      </c>
      <c r="U130" s="190">
        <v>1041673</v>
      </c>
      <c r="V130" s="171" t="s">
        <v>90</v>
      </c>
      <c r="W130" s="191">
        <v>2</v>
      </c>
      <c r="X130" s="173">
        <v>2</v>
      </c>
      <c r="Y130" s="173">
        <v>2</v>
      </c>
      <c r="Z130" s="173">
        <v>2</v>
      </c>
      <c r="AA130" s="173">
        <v>2</v>
      </c>
      <c r="AB130" s="173">
        <v>4</v>
      </c>
      <c r="AC130" s="173">
        <v>4</v>
      </c>
      <c r="AD130" s="171"/>
      <c r="AE130" s="175"/>
      <c r="AF130" s="65"/>
      <c r="AG130" s="217">
        <v>5</v>
      </c>
      <c r="AH130" s="217">
        <v>5</v>
      </c>
      <c r="AI130" s="217">
        <v>5</v>
      </c>
      <c r="AJ130" s="217">
        <v>5</v>
      </c>
      <c r="AK130" s="217">
        <v>5</v>
      </c>
      <c r="AL130" s="188"/>
      <c r="AM130" s="188"/>
      <c r="AN130" s="188"/>
      <c r="AO130" s="188"/>
      <c r="AP130" s="188"/>
      <c r="AQ130" s="188"/>
      <c r="AR130" s="188"/>
      <c r="AS130" s="188"/>
      <c r="AT130" s="188"/>
      <c r="AU130" s="188"/>
      <c r="AV130" s="188"/>
      <c r="AW130" s="188"/>
      <c r="AX130" s="188"/>
      <c r="AY130" s="188"/>
      <c r="AZ130" s="188"/>
      <c r="BA130" s="188"/>
      <c r="BB130" s="188"/>
      <c r="BC130" s="188"/>
      <c r="BD130" s="188"/>
      <c r="BF130">
        <f>ROWS($U$46:U130)</f>
        <v>85</v>
      </c>
      <c r="BG130" t="str">
        <f t="shared" si="91"/>
        <v/>
      </c>
      <c r="DB130" s="10">
        <v>179692</v>
      </c>
      <c r="DE130" s="10">
        <v>647435</v>
      </c>
      <c r="DF130" t="s">
        <v>1255</v>
      </c>
      <c r="DG130" s="10" t="s">
        <v>1255</v>
      </c>
      <c r="DH130" s="10">
        <v>16</v>
      </c>
      <c r="DI130" s="10">
        <v>1608</v>
      </c>
      <c r="DJ130" s="10" t="s">
        <v>101</v>
      </c>
      <c r="DL130" s="10" t="s">
        <v>240</v>
      </c>
      <c r="DO130" s="555">
        <v>497</v>
      </c>
      <c r="DR130" s="37" t="str">
        <f t="shared" si="92"/>
        <v xml:space="preserve">1608 CT200 </v>
      </c>
      <c r="DS130" s="37">
        <f t="shared" si="89"/>
        <v>64.428000000000011</v>
      </c>
      <c r="DT130" s="10">
        <v>49.56</v>
      </c>
      <c r="DV130" s="10" t="s">
        <v>146</v>
      </c>
      <c r="DW130" t="s">
        <v>1590</v>
      </c>
      <c r="DX130">
        <v>10</v>
      </c>
      <c r="DY130" t="s">
        <v>1681</v>
      </c>
      <c r="DZ130" t="s">
        <v>1668</v>
      </c>
      <c r="EA130">
        <v>1</v>
      </c>
      <c r="EB130" t="s">
        <v>1513</v>
      </c>
      <c r="EC130" s="10">
        <v>490</v>
      </c>
      <c r="ED130" s="10" t="s">
        <v>1744</v>
      </c>
      <c r="EE130" s="813">
        <f t="shared" si="71"/>
        <v>0</v>
      </c>
      <c r="EF130">
        <f>ROWS($DE$2:DE130)</f>
        <v>129</v>
      </c>
      <c r="EG130" t="str">
        <f t="shared" si="72"/>
        <v/>
      </c>
      <c r="EJ130" t="str">
        <f t="shared" si="73"/>
        <v/>
      </c>
      <c r="EM130" t="str">
        <f t="shared" si="74"/>
        <v/>
      </c>
      <c r="EP130" t="str">
        <f t="shared" si="75"/>
        <v/>
      </c>
      <c r="ES130" t="str">
        <f t="shared" si="76"/>
        <v/>
      </c>
      <c r="EV130" t="str">
        <f t="shared" si="77"/>
        <v/>
      </c>
      <c r="EY130" t="str">
        <f t="shared" si="78"/>
        <v/>
      </c>
      <c r="FB130" t="str">
        <f t="shared" si="79"/>
        <v/>
      </c>
      <c r="FE130" t="str">
        <f t="shared" si="80"/>
        <v/>
      </c>
      <c r="FH130" t="str">
        <f t="shared" si="81"/>
        <v/>
      </c>
      <c r="FK130" t="str">
        <f t="shared" si="82"/>
        <v/>
      </c>
      <c r="FN130" t="str">
        <f t="shared" si="83"/>
        <v/>
      </c>
      <c r="FQ130" t="str">
        <f t="shared" si="84"/>
        <v/>
      </c>
      <c r="FT130" t="str">
        <f t="shared" si="85"/>
        <v/>
      </c>
      <c r="FW130" t="str">
        <f t="shared" si="86"/>
        <v/>
      </c>
      <c r="FZ130" t="str">
        <f t="shared" si="87"/>
        <v/>
      </c>
      <c r="GC130" t="str">
        <f t="shared" si="88"/>
        <v/>
      </c>
      <c r="GE130" s="155"/>
    </row>
    <row r="131" spans="1:187" ht="15" customHeight="1" x14ac:dyDescent="0.35">
      <c r="A131" s="946" t="s">
        <v>1531</v>
      </c>
      <c r="B131" s="949">
        <v>17</v>
      </c>
      <c r="L131" s="10">
        <v>1020531</v>
      </c>
      <c r="O131" s="190">
        <v>5</v>
      </c>
      <c r="P131" s="190">
        <v>649901</v>
      </c>
      <c r="Q131" s="190">
        <v>31</v>
      </c>
      <c r="R131" s="190"/>
      <c r="S131" s="201">
        <v>8.5</v>
      </c>
      <c r="T131" s="190" t="s">
        <v>744</v>
      </c>
      <c r="U131" s="190">
        <v>1041673</v>
      </c>
      <c r="V131" s="171" t="s">
        <v>91</v>
      </c>
      <c r="W131" s="191">
        <v>1</v>
      </c>
      <c r="X131" s="173">
        <v>3</v>
      </c>
      <c r="Y131" s="173">
        <v>2</v>
      </c>
      <c r="Z131" s="173">
        <v>2</v>
      </c>
      <c r="AA131" s="173">
        <v>2</v>
      </c>
      <c r="AB131" s="173">
        <v>2</v>
      </c>
      <c r="AC131" s="173">
        <v>2</v>
      </c>
      <c r="AD131" s="173">
        <v>4</v>
      </c>
      <c r="AE131" s="40">
        <v>4</v>
      </c>
      <c r="AF131" s="177"/>
      <c r="AG131" s="217">
        <v>5</v>
      </c>
      <c r="AH131" s="217">
        <v>5</v>
      </c>
      <c r="AI131" s="217">
        <v>5</v>
      </c>
      <c r="AJ131" s="217">
        <v>5</v>
      </c>
      <c r="AK131" s="217">
        <v>5</v>
      </c>
      <c r="AL131" s="217">
        <v>5</v>
      </c>
      <c r="AM131" s="188"/>
      <c r="AN131" s="188"/>
      <c r="AO131" s="188"/>
      <c r="AP131" s="188"/>
      <c r="AQ131" s="188"/>
      <c r="AR131" s="188"/>
      <c r="AS131" s="188"/>
      <c r="AT131" s="188"/>
      <c r="AU131" s="188"/>
      <c r="AV131" s="188"/>
      <c r="AW131" s="188"/>
      <c r="AX131" s="188"/>
      <c r="AY131" s="188"/>
      <c r="AZ131" s="188"/>
      <c r="BA131" s="188"/>
      <c r="BB131" s="188"/>
      <c r="BC131" s="188"/>
      <c r="BD131" s="188"/>
      <c r="BF131">
        <f>ROWS($U$46:U131)</f>
        <v>86</v>
      </c>
      <c r="BG131" t="str">
        <f t="shared" si="91"/>
        <v/>
      </c>
      <c r="DB131" s="10">
        <v>1100696</v>
      </c>
      <c r="DE131" s="10">
        <v>752583</v>
      </c>
      <c r="DF131" t="s">
        <v>1237</v>
      </c>
      <c r="DG131" s="10" t="s">
        <v>1237</v>
      </c>
      <c r="DH131" s="10">
        <v>19</v>
      </c>
      <c r="DI131" s="10">
        <v>1913</v>
      </c>
      <c r="DJ131" s="10" t="s">
        <v>261</v>
      </c>
      <c r="DL131" s="10" t="s">
        <v>240</v>
      </c>
      <c r="DO131" s="555">
        <v>660</v>
      </c>
      <c r="DR131" s="37" t="str">
        <f t="shared" si="92"/>
        <v xml:space="preserve">1913 CT81 </v>
      </c>
      <c r="DS131" s="37">
        <f t="shared" si="89"/>
        <v>271.024</v>
      </c>
      <c r="DT131" s="10">
        <v>208.48</v>
      </c>
      <c r="DV131" s="10" t="s">
        <v>732</v>
      </c>
      <c r="DW131" t="s">
        <v>1591</v>
      </c>
      <c r="DX131">
        <v>20</v>
      </c>
      <c r="DY131" t="s">
        <v>1676</v>
      </c>
      <c r="DZ131" t="s">
        <v>1669</v>
      </c>
      <c r="EA131">
        <v>1</v>
      </c>
      <c r="EB131" t="s">
        <v>1513</v>
      </c>
      <c r="EC131" s="10">
        <v>712</v>
      </c>
      <c r="ED131" s="10" t="s">
        <v>1739</v>
      </c>
      <c r="EE131" s="813">
        <f t="shared" si="71"/>
        <v>0</v>
      </c>
      <c r="EF131">
        <f>ROWS($DE$2:DE131)</f>
        <v>130</v>
      </c>
      <c r="EG131" t="str">
        <f t="shared" si="72"/>
        <v/>
      </c>
      <c r="EJ131" t="str">
        <f t="shared" si="73"/>
        <v/>
      </c>
      <c r="EM131" t="str">
        <f t="shared" si="74"/>
        <v/>
      </c>
      <c r="EP131" t="str">
        <f t="shared" si="75"/>
        <v/>
      </c>
      <c r="ES131" t="str">
        <f t="shared" si="76"/>
        <v/>
      </c>
      <c r="EV131" t="str">
        <f t="shared" si="77"/>
        <v/>
      </c>
      <c r="EY131" t="str">
        <f t="shared" si="78"/>
        <v/>
      </c>
      <c r="FB131" t="str">
        <f t="shared" si="79"/>
        <v/>
      </c>
      <c r="FE131" t="str">
        <f t="shared" si="80"/>
        <v/>
      </c>
      <c r="FH131" t="str">
        <f t="shared" si="81"/>
        <v/>
      </c>
      <c r="FK131" t="str">
        <f t="shared" si="82"/>
        <v/>
      </c>
      <c r="FN131" t="str">
        <f t="shared" si="83"/>
        <v/>
      </c>
      <c r="FQ131" t="str">
        <f t="shared" si="84"/>
        <v/>
      </c>
      <c r="FT131" t="str">
        <f t="shared" si="85"/>
        <v/>
      </c>
      <c r="FW131" t="str">
        <f t="shared" si="86"/>
        <v/>
      </c>
      <c r="FZ131" t="str">
        <f t="shared" si="87"/>
        <v/>
      </c>
      <c r="GC131" t="str">
        <f t="shared" si="88"/>
        <v/>
      </c>
      <c r="GE131" s="155"/>
    </row>
    <row r="132" spans="1:187" ht="15" customHeight="1" thickBot="1" x14ac:dyDescent="0.4">
      <c r="A132" s="946" t="s">
        <v>1531</v>
      </c>
      <c r="B132" s="949">
        <v>22</v>
      </c>
      <c r="L132" s="10">
        <v>1020985</v>
      </c>
      <c r="O132" s="207"/>
      <c r="P132" s="208"/>
      <c r="Q132" s="208"/>
      <c r="R132" s="209"/>
      <c r="S132" s="210">
        <v>8.5</v>
      </c>
      <c r="T132" s="194" t="s">
        <v>744</v>
      </c>
      <c r="U132" s="194">
        <v>1041673</v>
      </c>
      <c r="V132" s="195" t="s">
        <v>92</v>
      </c>
      <c r="W132" s="191">
        <v>2</v>
      </c>
      <c r="X132" s="173">
        <v>2</v>
      </c>
      <c r="Y132" s="173">
        <v>2</v>
      </c>
      <c r="Z132" s="173">
        <v>2</v>
      </c>
      <c r="AA132" s="173">
        <v>4</v>
      </c>
      <c r="AB132" s="173">
        <v>4</v>
      </c>
      <c r="AC132" s="195"/>
      <c r="AD132" s="216"/>
      <c r="AE132" s="216"/>
      <c r="AF132" s="178"/>
      <c r="AG132" s="217">
        <v>5</v>
      </c>
      <c r="AH132" s="217">
        <v>5</v>
      </c>
      <c r="AI132" s="217">
        <v>5</v>
      </c>
      <c r="AJ132" s="217">
        <v>5</v>
      </c>
      <c r="AK132" s="188"/>
      <c r="AL132" s="188"/>
      <c r="AM132" s="188"/>
      <c r="AN132" s="188"/>
      <c r="AO132" s="188"/>
      <c r="AP132" s="188"/>
      <c r="AQ132" s="188"/>
      <c r="AR132" s="188"/>
      <c r="AS132" s="188"/>
      <c r="AT132" s="188"/>
      <c r="AU132" s="188"/>
      <c r="AV132" s="188"/>
      <c r="AW132" s="188"/>
      <c r="AX132" s="188"/>
      <c r="AY132" s="188"/>
      <c r="AZ132" s="188"/>
      <c r="BA132" s="188"/>
      <c r="BB132" s="188"/>
      <c r="BC132" s="188"/>
      <c r="BD132" s="188"/>
      <c r="BF132">
        <f>ROWS($U$46:U132)</f>
        <v>87</v>
      </c>
      <c r="BG132" t="str">
        <f t="shared" si="91"/>
        <v/>
      </c>
      <c r="DB132" s="10">
        <v>649901</v>
      </c>
      <c r="DE132" s="10">
        <v>1134752</v>
      </c>
      <c r="DF132" t="s">
        <v>1239</v>
      </c>
      <c r="DG132" s="10" t="s">
        <v>1239</v>
      </c>
      <c r="DH132" s="10">
        <v>13</v>
      </c>
      <c r="DI132" s="10">
        <v>1308</v>
      </c>
      <c r="DJ132" s="10" t="s">
        <v>1232</v>
      </c>
      <c r="DL132" s="10" t="s">
        <v>240</v>
      </c>
      <c r="DO132" s="555">
        <v>360</v>
      </c>
      <c r="DR132" s="37" t="str">
        <f t="shared" si="92"/>
        <v xml:space="preserve">1308 CT182 </v>
      </c>
      <c r="DS132" s="37">
        <f t="shared" si="89"/>
        <v>0</v>
      </c>
      <c r="DV132" s="10" t="s">
        <v>49</v>
      </c>
      <c r="DW132" t="s">
        <v>1589</v>
      </c>
      <c r="DX132">
        <v>30</v>
      </c>
      <c r="DY132" t="s">
        <v>1677</v>
      </c>
      <c r="DZ132" t="s">
        <v>1670</v>
      </c>
      <c r="EA132">
        <v>1</v>
      </c>
      <c r="EB132" t="s">
        <v>1513</v>
      </c>
      <c r="EC132" s="10">
        <v>480</v>
      </c>
      <c r="ED132" s="10" t="s">
        <v>1740</v>
      </c>
      <c r="EE132" s="813">
        <f t="shared" si="71"/>
        <v>0</v>
      </c>
      <c r="EF132">
        <f>ROWS($DE$2:DE132)</f>
        <v>131</v>
      </c>
      <c r="EG132" t="str">
        <f t="shared" si="72"/>
        <v/>
      </c>
      <c r="EJ132" t="str">
        <f t="shared" si="73"/>
        <v/>
      </c>
      <c r="EM132" t="str">
        <f t="shared" si="74"/>
        <v/>
      </c>
      <c r="EP132" t="str">
        <f t="shared" si="75"/>
        <v/>
      </c>
      <c r="ES132" t="str">
        <f t="shared" si="76"/>
        <v/>
      </c>
      <c r="EV132" t="str">
        <f t="shared" si="77"/>
        <v/>
      </c>
      <c r="EY132" t="str">
        <f t="shared" si="78"/>
        <v/>
      </c>
      <c r="FB132" t="str">
        <f t="shared" si="79"/>
        <v/>
      </c>
      <c r="FE132" t="str">
        <f t="shared" si="80"/>
        <v/>
      </c>
      <c r="FH132" t="str">
        <f t="shared" si="81"/>
        <v/>
      </c>
      <c r="FK132" t="str">
        <f t="shared" si="82"/>
        <v/>
      </c>
      <c r="FN132" t="str">
        <f t="shared" si="83"/>
        <v/>
      </c>
      <c r="FQ132" t="str">
        <f t="shared" si="84"/>
        <v/>
      </c>
      <c r="FT132" t="str">
        <f t="shared" si="85"/>
        <v/>
      </c>
      <c r="FW132" t="str">
        <f t="shared" si="86"/>
        <v/>
      </c>
      <c r="FZ132" t="str">
        <f t="shared" si="87"/>
        <v/>
      </c>
      <c r="GC132" t="str">
        <f t="shared" si="88"/>
        <v/>
      </c>
      <c r="GE132" s="155"/>
    </row>
    <row r="133" spans="1:187" ht="15.75" customHeight="1" thickBot="1" x14ac:dyDescent="0.4">
      <c r="A133" s="950" t="s">
        <v>1532</v>
      </c>
      <c r="B133" s="951"/>
      <c r="L133" s="10">
        <v>1022975</v>
      </c>
      <c r="O133" s="211">
        <v>1</v>
      </c>
      <c r="P133" s="212">
        <v>418525</v>
      </c>
      <c r="Q133" s="212">
        <v>14</v>
      </c>
      <c r="R133" s="212"/>
      <c r="S133" s="182">
        <v>12.25</v>
      </c>
      <c r="T133" s="182" t="s">
        <v>745</v>
      </c>
      <c r="U133" s="182">
        <v>952533</v>
      </c>
      <c r="V133" s="183" t="s">
        <v>87</v>
      </c>
      <c r="W133" s="184">
        <v>2</v>
      </c>
      <c r="X133" s="185">
        <v>3</v>
      </c>
      <c r="Y133" s="185">
        <v>3</v>
      </c>
      <c r="Z133" s="185">
        <v>3</v>
      </c>
      <c r="AA133" s="185">
        <v>3</v>
      </c>
      <c r="AB133" s="185">
        <v>3</v>
      </c>
      <c r="AC133" s="185">
        <v>3</v>
      </c>
      <c r="AD133" s="185">
        <v>3</v>
      </c>
      <c r="AE133" s="185">
        <v>3</v>
      </c>
      <c r="AF133" s="185">
        <v>1</v>
      </c>
      <c r="AG133" s="173">
        <v>1</v>
      </c>
      <c r="AH133" s="188"/>
      <c r="AI133" s="223">
        <v>4</v>
      </c>
      <c r="AJ133" s="188"/>
      <c r="AK133" s="188"/>
      <c r="AL133" s="188"/>
      <c r="AM133" s="188"/>
      <c r="AN133" s="188"/>
      <c r="AO133" s="188"/>
      <c r="AP133" s="188"/>
      <c r="AQ133" s="188"/>
      <c r="AR133" s="188"/>
      <c r="AS133" s="188"/>
      <c r="AT133" s="188"/>
      <c r="AU133" s="188"/>
      <c r="AV133" s="188"/>
      <c r="AW133" s="188"/>
      <c r="AX133" s="188"/>
      <c r="AY133" s="188"/>
      <c r="AZ133" s="188"/>
      <c r="BA133" s="188"/>
      <c r="BB133" s="188"/>
      <c r="BC133" s="188"/>
      <c r="BD133" s="188"/>
      <c r="BF133">
        <f>ROWS($U$46:U133)</f>
        <v>88</v>
      </c>
      <c r="BG133" t="str">
        <f t="shared" si="91"/>
        <v/>
      </c>
      <c r="DB133" s="10">
        <v>752554</v>
      </c>
      <c r="DE133" s="10">
        <v>724180</v>
      </c>
      <c r="DF133" t="s">
        <v>1241</v>
      </c>
      <c r="DG133" s="10" t="s">
        <v>1241</v>
      </c>
      <c r="DH133" s="10">
        <v>13</v>
      </c>
      <c r="DI133" s="10">
        <v>1313</v>
      </c>
      <c r="DJ133" s="10" t="s">
        <v>1258</v>
      </c>
      <c r="DL133" s="10" t="s">
        <v>240</v>
      </c>
      <c r="DO133" s="555">
        <v>360</v>
      </c>
      <c r="DR133" s="37" t="str">
        <f t="shared" si="92"/>
        <v xml:space="preserve">1313 CT88 </v>
      </c>
      <c r="DS133" s="37">
        <f t="shared" si="89"/>
        <v>213.51200000000003</v>
      </c>
      <c r="DT133" s="10">
        <v>164.24</v>
      </c>
      <c r="DV133" s="555" t="s">
        <v>1543</v>
      </c>
      <c r="DW133" t="s">
        <v>1543</v>
      </c>
      <c r="DX133" t="s">
        <v>1543</v>
      </c>
      <c r="DY133" t="s">
        <v>1543</v>
      </c>
      <c r="DZ133" t="s">
        <v>1543</v>
      </c>
      <c r="EA133" t="s">
        <v>1543</v>
      </c>
      <c r="EB133" t="s">
        <v>1543</v>
      </c>
      <c r="EC133" s="10" t="s">
        <v>1543</v>
      </c>
      <c r="ED133" s="10" t="s">
        <v>1543</v>
      </c>
      <c r="EE133" s="813">
        <f t="shared" si="71"/>
        <v>0</v>
      </c>
      <c r="EF133">
        <f>ROWS($DE$2:DE133)</f>
        <v>132</v>
      </c>
      <c r="EG133" t="str">
        <f t="shared" si="72"/>
        <v/>
      </c>
      <c r="EJ133" t="str">
        <f t="shared" si="73"/>
        <v/>
      </c>
      <c r="EM133" t="str">
        <f t="shared" si="74"/>
        <v/>
      </c>
      <c r="EP133" t="str">
        <f t="shared" si="75"/>
        <v/>
      </c>
      <c r="ES133" t="str">
        <f t="shared" si="76"/>
        <v/>
      </c>
      <c r="EV133" t="str">
        <f t="shared" si="77"/>
        <v/>
      </c>
      <c r="EY133" t="str">
        <f t="shared" si="78"/>
        <v/>
      </c>
      <c r="FB133" t="str">
        <f t="shared" si="79"/>
        <v/>
      </c>
      <c r="FE133" t="str">
        <f t="shared" si="80"/>
        <v/>
      </c>
      <c r="FH133" t="str">
        <f t="shared" si="81"/>
        <v/>
      </c>
      <c r="FK133" t="str">
        <f t="shared" si="82"/>
        <v/>
      </c>
      <c r="FN133" t="str">
        <f t="shared" si="83"/>
        <v/>
      </c>
      <c r="FQ133" t="str">
        <f t="shared" si="84"/>
        <v/>
      </c>
      <c r="FT133" t="str">
        <f t="shared" si="85"/>
        <v/>
      </c>
      <c r="FW133" t="str">
        <f t="shared" si="86"/>
        <v/>
      </c>
      <c r="FZ133" t="str">
        <f t="shared" si="87"/>
        <v/>
      </c>
      <c r="GC133" t="str">
        <f t="shared" si="88"/>
        <v/>
      </c>
      <c r="GE133" s="155"/>
    </row>
    <row r="134" spans="1:187" ht="15" customHeight="1" x14ac:dyDescent="0.35">
      <c r="L134" s="10">
        <v>1023917</v>
      </c>
      <c r="O134" s="197">
        <v>2</v>
      </c>
      <c r="P134" s="190">
        <v>708305</v>
      </c>
      <c r="Q134" s="190">
        <v>3</v>
      </c>
      <c r="R134" s="190" t="s">
        <v>746</v>
      </c>
      <c r="S134" s="190">
        <v>12.25</v>
      </c>
      <c r="T134" s="190" t="s">
        <v>745</v>
      </c>
      <c r="U134" s="190">
        <v>952533</v>
      </c>
      <c r="V134" s="171" t="s">
        <v>88</v>
      </c>
      <c r="W134" s="191">
        <v>3</v>
      </c>
      <c r="X134" s="173">
        <v>3</v>
      </c>
      <c r="Y134" s="173">
        <v>3</v>
      </c>
      <c r="Z134" s="173">
        <v>3</v>
      </c>
      <c r="AA134" s="173">
        <v>3</v>
      </c>
      <c r="AB134" s="173">
        <v>3</v>
      </c>
      <c r="AC134" s="173">
        <v>1</v>
      </c>
      <c r="AD134" s="173">
        <v>1</v>
      </c>
      <c r="AE134" s="171"/>
      <c r="AF134" s="172"/>
      <c r="AG134" s="175"/>
      <c r="AH134" s="188"/>
      <c r="AI134" s="217">
        <v>4</v>
      </c>
      <c r="AJ134" s="188"/>
      <c r="AK134" s="188"/>
      <c r="AL134" s="188"/>
      <c r="AM134" s="188"/>
      <c r="AN134" s="188"/>
      <c r="AO134" s="188"/>
      <c r="AP134" s="188"/>
      <c r="AQ134" s="188"/>
      <c r="AR134" s="188"/>
      <c r="AS134" s="188"/>
      <c r="AT134" s="188"/>
      <c r="AU134" s="188"/>
      <c r="AV134" s="188"/>
      <c r="AW134" s="188"/>
      <c r="AX134" s="188"/>
      <c r="AY134" s="188"/>
      <c r="AZ134" s="188"/>
      <c r="BA134" s="188"/>
      <c r="BB134" s="188"/>
      <c r="BC134" s="188"/>
      <c r="BD134" s="188"/>
      <c r="BF134">
        <f>ROWS($U$46:U134)</f>
        <v>89</v>
      </c>
      <c r="BG134" t="str">
        <f t="shared" si="91"/>
        <v/>
      </c>
      <c r="DB134" s="10">
        <v>752556</v>
      </c>
      <c r="DE134" s="10">
        <v>724181</v>
      </c>
      <c r="DF134" t="s">
        <v>1242</v>
      </c>
      <c r="DG134" s="10" t="s">
        <v>1242</v>
      </c>
      <c r="DH134" s="10">
        <v>16</v>
      </c>
      <c r="DI134" s="10">
        <v>1613</v>
      </c>
      <c r="DJ134" s="10" t="s">
        <v>1258</v>
      </c>
      <c r="DL134" s="10" t="s">
        <v>240</v>
      </c>
      <c r="DO134" s="555">
        <v>497</v>
      </c>
      <c r="DR134" s="37" t="str">
        <f t="shared" si="92"/>
        <v xml:space="preserve">1613 CT88 </v>
      </c>
      <c r="DS134" s="37">
        <f t="shared" si="89"/>
        <v>279.68200000000002</v>
      </c>
      <c r="DT134" s="10">
        <v>215.14</v>
      </c>
      <c r="DV134" s="555" t="s">
        <v>1543</v>
      </c>
      <c r="DW134" t="s">
        <v>1543</v>
      </c>
      <c r="DX134" t="s">
        <v>1543</v>
      </c>
      <c r="DY134" t="s">
        <v>1543</v>
      </c>
      <c r="DZ134" t="s">
        <v>1543</v>
      </c>
      <c r="EA134" t="s">
        <v>1543</v>
      </c>
      <c r="EB134" t="s">
        <v>1543</v>
      </c>
      <c r="EC134" s="10" t="s">
        <v>1543</v>
      </c>
      <c r="ED134" s="10" t="s">
        <v>1543</v>
      </c>
      <c r="EE134" s="813">
        <f t="shared" si="71"/>
        <v>0</v>
      </c>
      <c r="EF134">
        <f>ROWS($DE$2:DE134)</f>
        <v>133</v>
      </c>
      <c r="EG134" t="str">
        <f t="shared" si="72"/>
        <v/>
      </c>
      <c r="EJ134" t="str">
        <f t="shared" si="73"/>
        <v/>
      </c>
      <c r="EM134" t="str">
        <f t="shared" si="74"/>
        <v/>
      </c>
      <c r="EP134" t="str">
        <f t="shared" si="75"/>
        <v/>
      </c>
      <c r="ES134" t="str">
        <f t="shared" si="76"/>
        <v/>
      </c>
      <c r="EV134" t="str">
        <f t="shared" si="77"/>
        <v/>
      </c>
      <c r="EY134" t="str">
        <f t="shared" si="78"/>
        <v/>
      </c>
      <c r="FB134" t="str">
        <f t="shared" si="79"/>
        <v/>
      </c>
      <c r="FE134" t="str">
        <f t="shared" si="80"/>
        <v/>
      </c>
      <c r="FH134" t="str">
        <f t="shared" si="81"/>
        <v/>
      </c>
      <c r="FK134" t="str">
        <f t="shared" si="82"/>
        <v/>
      </c>
      <c r="FN134" t="str">
        <f t="shared" si="83"/>
        <v/>
      </c>
      <c r="FQ134" t="str">
        <f t="shared" si="84"/>
        <v/>
      </c>
      <c r="FT134" t="str">
        <f t="shared" si="85"/>
        <v/>
      </c>
      <c r="FW134" t="str">
        <f t="shared" si="86"/>
        <v/>
      </c>
      <c r="FZ134" t="str">
        <f t="shared" si="87"/>
        <v/>
      </c>
      <c r="GC134" t="str">
        <f t="shared" si="88"/>
        <v/>
      </c>
      <c r="GE134" s="155"/>
    </row>
    <row r="135" spans="1:187" ht="15" customHeight="1" x14ac:dyDescent="0.35">
      <c r="L135" s="10">
        <v>1025815</v>
      </c>
      <c r="O135" s="197">
        <v>3</v>
      </c>
      <c r="P135" s="190">
        <v>745573</v>
      </c>
      <c r="Q135" s="190">
        <v>45</v>
      </c>
      <c r="R135" s="190"/>
      <c r="S135" s="190">
        <v>12.25</v>
      </c>
      <c r="T135" s="190" t="s">
        <v>745</v>
      </c>
      <c r="U135" s="190">
        <v>952533</v>
      </c>
      <c r="V135" s="171" t="s">
        <v>89</v>
      </c>
      <c r="W135" s="191">
        <v>2</v>
      </c>
      <c r="X135" s="173">
        <v>3</v>
      </c>
      <c r="Y135" s="173">
        <v>3</v>
      </c>
      <c r="Z135" s="173">
        <v>3</v>
      </c>
      <c r="AA135" s="173">
        <v>3</v>
      </c>
      <c r="AB135" s="173">
        <v>3</v>
      </c>
      <c r="AC135" s="173">
        <v>3</v>
      </c>
      <c r="AD135" s="173">
        <v>3</v>
      </c>
      <c r="AE135" s="173">
        <v>1</v>
      </c>
      <c r="AF135" s="173">
        <v>1</v>
      </c>
      <c r="AG135" s="177"/>
      <c r="AH135" s="188"/>
      <c r="AI135" s="217">
        <v>4</v>
      </c>
      <c r="AJ135" s="188"/>
      <c r="AK135" s="188"/>
      <c r="AL135" s="188"/>
      <c r="AM135" s="188"/>
      <c r="AN135" s="188"/>
      <c r="AO135" s="188"/>
      <c r="AP135" s="188"/>
      <c r="AQ135" s="188"/>
      <c r="AR135" s="188"/>
      <c r="AS135" s="188"/>
      <c r="AT135" s="188"/>
      <c r="AU135" s="188"/>
      <c r="AV135" s="188"/>
      <c r="AW135" s="188"/>
      <c r="AX135" s="188"/>
      <c r="AY135" s="188"/>
      <c r="AZ135" s="188"/>
      <c r="BA135" s="188"/>
      <c r="BB135" s="188"/>
      <c r="BC135" s="188"/>
      <c r="BD135" s="188"/>
      <c r="BF135">
        <f>ROWS($U$46:U135)</f>
        <v>90</v>
      </c>
      <c r="BG135" t="str">
        <f t="shared" si="91"/>
        <v/>
      </c>
      <c r="DB135" s="10">
        <v>179793</v>
      </c>
      <c r="DE135" s="10">
        <v>138561</v>
      </c>
      <c r="DF135" t="s">
        <v>1234</v>
      </c>
      <c r="DG135" s="10" t="s">
        <v>1234</v>
      </c>
      <c r="DH135" s="10">
        <v>16</v>
      </c>
      <c r="DI135" s="10">
        <v>1613</v>
      </c>
      <c r="DJ135" s="10" t="s">
        <v>254</v>
      </c>
      <c r="DK135" s="10" t="s">
        <v>1260</v>
      </c>
      <c r="DL135" s="10" t="s">
        <v>240</v>
      </c>
      <c r="DO135" s="555">
        <v>497</v>
      </c>
      <c r="DR135" s="37" t="str">
        <f t="shared" si="92"/>
        <v>1613 CT70 TBO</v>
      </c>
      <c r="DS135" s="37">
        <f t="shared" si="89"/>
        <v>0</v>
      </c>
      <c r="DV135" s="10" t="s">
        <v>49</v>
      </c>
      <c r="DW135" t="s">
        <v>1590</v>
      </c>
      <c r="DX135">
        <v>30</v>
      </c>
      <c r="DY135" t="s">
        <v>1673</v>
      </c>
      <c r="DZ135" t="s">
        <v>1668</v>
      </c>
      <c r="EA135">
        <v>1</v>
      </c>
      <c r="EB135" t="s">
        <v>1513</v>
      </c>
      <c r="EC135" s="10">
        <v>662</v>
      </c>
      <c r="ED135" s="10" t="s">
        <v>1736</v>
      </c>
      <c r="EE135" s="813">
        <f t="shared" si="71"/>
        <v>0</v>
      </c>
      <c r="EF135">
        <f>ROWS($DE$2:DE135)</f>
        <v>134</v>
      </c>
      <c r="EG135" t="str">
        <f t="shared" si="72"/>
        <v/>
      </c>
      <c r="EJ135" t="str">
        <f t="shared" si="73"/>
        <v/>
      </c>
      <c r="EM135" t="str">
        <f t="shared" si="74"/>
        <v/>
      </c>
      <c r="EP135" t="str">
        <f t="shared" si="75"/>
        <v/>
      </c>
      <c r="ES135" t="str">
        <f t="shared" si="76"/>
        <v/>
      </c>
      <c r="EV135" t="str">
        <f t="shared" si="77"/>
        <v/>
      </c>
      <c r="EY135" t="str">
        <f t="shared" si="78"/>
        <v/>
      </c>
      <c r="FB135" t="str">
        <f t="shared" si="79"/>
        <v/>
      </c>
      <c r="FE135" t="str">
        <f t="shared" si="80"/>
        <v/>
      </c>
      <c r="FH135" t="str">
        <f t="shared" si="81"/>
        <v/>
      </c>
      <c r="FK135" t="str">
        <f t="shared" si="82"/>
        <v/>
      </c>
      <c r="FN135" t="str">
        <f t="shared" si="83"/>
        <v/>
      </c>
      <c r="FQ135" t="str">
        <f t="shared" si="84"/>
        <v/>
      </c>
      <c r="FT135" t="str">
        <f t="shared" si="85"/>
        <v/>
      </c>
      <c r="FW135" t="str">
        <f t="shared" si="86"/>
        <v/>
      </c>
      <c r="FZ135" t="str">
        <f t="shared" si="87"/>
        <v/>
      </c>
      <c r="GC135" t="str">
        <f t="shared" si="88"/>
        <v/>
      </c>
      <c r="GE135" s="155"/>
    </row>
    <row r="136" spans="1:187" ht="15" customHeight="1" x14ac:dyDescent="0.35">
      <c r="L136" s="10">
        <v>1026622</v>
      </c>
      <c r="O136" s="199">
        <v>4</v>
      </c>
      <c r="P136" s="200">
        <v>621152</v>
      </c>
      <c r="Q136" s="200">
        <v>7</v>
      </c>
      <c r="R136" s="200"/>
      <c r="S136" s="190">
        <v>12.25</v>
      </c>
      <c r="T136" s="190" t="s">
        <v>745</v>
      </c>
      <c r="U136" s="190">
        <v>952533</v>
      </c>
      <c r="V136" s="171" t="s">
        <v>90</v>
      </c>
      <c r="W136" s="191">
        <v>3</v>
      </c>
      <c r="X136" s="173">
        <v>3</v>
      </c>
      <c r="Y136" s="173">
        <v>3</v>
      </c>
      <c r="Z136" s="173">
        <v>3</v>
      </c>
      <c r="AA136" s="173">
        <v>3</v>
      </c>
      <c r="AB136" s="173">
        <v>1</v>
      </c>
      <c r="AC136" s="173">
        <v>1</v>
      </c>
      <c r="AD136" s="171"/>
      <c r="AE136" s="172"/>
      <c r="AF136" s="172"/>
      <c r="AG136" s="178"/>
      <c r="AH136" s="188"/>
      <c r="AI136" s="217">
        <v>4</v>
      </c>
      <c r="AJ136" s="188"/>
      <c r="AK136" s="188"/>
      <c r="AL136" s="188"/>
      <c r="AM136" s="188"/>
      <c r="AN136" s="188"/>
      <c r="AO136" s="188"/>
      <c r="AP136" s="188"/>
      <c r="AQ136" s="188"/>
      <c r="AR136" s="188"/>
      <c r="AS136" s="188"/>
      <c r="AT136" s="188"/>
      <c r="AU136" s="188"/>
      <c r="AV136" s="188"/>
      <c r="AW136" s="188"/>
      <c r="AX136" s="188"/>
      <c r="AY136" s="188"/>
      <c r="AZ136" s="188"/>
      <c r="BA136" s="188"/>
      <c r="BB136" s="188"/>
      <c r="BC136" s="188"/>
      <c r="BD136" s="188"/>
      <c r="BF136">
        <f>ROWS($U$46:U136)</f>
        <v>91</v>
      </c>
      <c r="BG136" t="str">
        <f t="shared" si="91"/>
        <v/>
      </c>
      <c r="DB136" s="10">
        <v>1130219</v>
      </c>
      <c r="DE136" s="10">
        <v>179692</v>
      </c>
      <c r="DF136" t="s">
        <v>1243</v>
      </c>
      <c r="DG136" s="10" t="s">
        <v>1243</v>
      </c>
      <c r="DH136" s="10">
        <v>13</v>
      </c>
      <c r="DI136" s="10">
        <v>1313</v>
      </c>
      <c r="DK136" s="10" t="s">
        <v>1259</v>
      </c>
      <c r="DL136" s="10" t="s">
        <v>240</v>
      </c>
      <c r="DO136" s="555">
        <v>360</v>
      </c>
      <c r="DR136" s="37" t="str">
        <f t="shared" si="92"/>
        <v>1313  ELITE RC</v>
      </c>
      <c r="DS136" s="37">
        <f t="shared" si="89"/>
        <v>121.004</v>
      </c>
      <c r="DT136" s="10">
        <v>93.08</v>
      </c>
      <c r="DV136" s="10" t="s">
        <v>1754</v>
      </c>
      <c r="DW136" t="s">
        <v>1589</v>
      </c>
      <c r="DX136">
        <v>40</v>
      </c>
      <c r="DY136" t="s">
        <v>1801</v>
      </c>
      <c r="DZ136" t="s">
        <v>1670</v>
      </c>
      <c r="EA136">
        <v>1</v>
      </c>
      <c r="EB136" t="s">
        <v>1513</v>
      </c>
      <c r="EC136" s="10">
        <v>333</v>
      </c>
      <c r="ED136" s="10" t="s">
        <v>1802</v>
      </c>
      <c r="EE136" s="813">
        <f t="shared" si="71"/>
        <v>0</v>
      </c>
      <c r="EF136">
        <f>ROWS($DE$2:DE136)</f>
        <v>135</v>
      </c>
      <c r="EG136" t="str">
        <f t="shared" si="72"/>
        <v/>
      </c>
      <c r="EJ136" t="str">
        <f t="shared" si="73"/>
        <v/>
      </c>
      <c r="EM136" t="str">
        <f t="shared" si="74"/>
        <v/>
      </c>
      <c r="EP136" t="str">
        <f t="shared" si="75"/>
        <v/>
      </c>
      <c r="ES136" t="str">
        <f t="shared" si="76"/>
        <v/>
      </c>
      <c r="EV136" t="str">
        <f t="shared" si="77"/>
        <v/>
      </c>
      <c r="EY136" t="str">
        <f t="shared" si="78"/>
        <v/>
      </c>
      <c r="FB136" t="str">
        <f t="shared" si="79"/>
        <v/>
      </c>
      <c r="FE136" t="str">
        <f t="shared" si="80"/>
        <v/>
      </c>
      <c r="FH136" t="str">
        <f t="shared" si="81"/>
        <v/>
      </c>
      <c r="FK136" t="str">
        <f t="shared" si="82"/>
        <v/>
      </c>
      <c r="FN136" t="str">
        <f t="shared" si="83"/>
        <v/>
      </c>
      <c r="FQ136" t="str">
        <f t="shared" si="84"/>
        <v/>
      </c>
      <c r="FT136" t="str">
        <f t="shared" si="85"/>
        <v/>
      </c>
      <c r="FW136" t="str">
        <f t="shared" si="86"/>
        <v/>
      </c>
      <c r="FZ136" t="str">
        <f t="shared" si="87"/>
        <v/>
      </c>
      <c r="GC136" t="str">
        <f t="shared" si="88"/>
        <v/>
      </c>
      <c r="GE136" s="155"/>
    </row>
    <row r="137" spans="1:187" ht="15" customHeight="1" x14ac:dyDescent="0.35">
      <c r="L137" s="10">
        <v>1029800</v>
      </c>
      <c r="O137" s="202"/>
      <c r="P137" s="203"/>
      <c r="Q137" s="203"/>
      <c r="R137" s="204"/>
      <c r="S137" s="201">
        <v>12.25</v>
      </c>
      <c r="T137" s="190" t="s">
        <v>745</v>
      </c>
      <c r="U137" s="190">
        <v>952533</v>
      </c>
      <c r="V137" s="171" t="s">
        <v>91</v>
      </c>
      <c r="W137" s="191">
        <v>2</v>
      </c>
      <c r="X137" s="173">
        <v>3</v>
      </c>
      <c r="Y137" s="173">
        <v>3</v>
      </c>
      <c r="Z137" s="173">
        <v>3</v>
      </c>
      <c r="AA137" s="173">
        <v>3</v>
      </c>
      <c r="AB137" s="173">
        <v>3</v>
      </c>
      <c r="AC137" s="173">
        <v>3</v>
      </c>
      <c r="AD137" s="173">
        <v>3</v>
      </c>
      <c r="AE137" s="173">
        <v>3</v>
      </c>
      <c r="AF137" s="173">
        <v>1</v>
      </c>
      <c r="AG137" s="40">
        <v>1</v>
      </c>
      <c r="AH137" s="188"/>
      <c r="AI137" s="217">
        <v>4</v>
      </c>
      <c r="AJ137" s="188"/>
      <c r="AK137" s="188"/>
      <c r="AL137" s="188"/>
      <c r="AM137" s="188"/>
      <c r="AN137" s="188"/>
      <c r="AO137" s="188"/>
      <c r="AP137" s="188"/>
      <c r="AQ137" s="188"/>
      <c r="AR137" s="188"/>
      <c r="AS137" s="188"/>
      <c r="AT137" s="188"/>
      <c r="AU137" s="188"/>
      <c r="AV137" s="188"/>
      <c r="AW137" s="188"/>
      <c r="AX137" s="188"/>
      <c r="AY137" s="188"/>
      <c r="AZ137" s="188"/>
      <c r="BA137" s="188"/>
      <c r="BB137" s="188"/>
      <c r="BC137" s="188"/>
      <c r="BD137" s="188"/>
      <c r="BF137">
        <f>ROWS($U$46:U137)</f>
        <v>92</v>
      </c>
      <c r="BG137" t="str">
        <f t="shared" si="91"/>
        <v/>
      </c>
      <c r="DB137" s="10">
        <v>1130221</v>
      </c>
      <c r="DE137" s="10">
        <v>1100696</v>
      </c>
      <c r="DF137" t="s">
        <v>1270</v>
      </c>
      <c r="DG137" s="10" t="s">
        <v>1270</v>
      </c>
      <c r="DH137" s="10">
        <v>13</v>
      </c>
      <c r="DI137" s="10">
        <v>1313</v>
      </c>
      <c r="DJ137" s="10" t="s">
        <v>1231</v>
      </c>
      <c r="DL137" s="10" t="s">
        <v>239</v>
      </c>
      <c r="DO137" s="10">
        <v>360</v>
      </c>
      <c r="DR137" s="37" t="str">
        <f t="shared" si="92"/>
        <v xml:space="preserve">1313 CT418 </v>
      </c>
      <c r="DS137" s="37">
        <f t="shared" si="89"/>
        <v>0</v>
      </c>
      <c r="DV137" s="10" t="s">
        <v>49</v>
      </c>
      <c r="DW137" t="s">
        <v>1589</v>
      </c>
      <c r="DX137">
        <v>30</v>
      </c>
      <c r="DY137" t="s">
        <v>1677</v>
      </c>
      <c r="DZ137" t="s">
        <v>1670</v>
      </c>
      <c r="EA137">
        <v>1</v>
      </c>
      <c r="EB137" t="s">
        <v>1513</v>
      </c>
      <c r="EC137" s="10">
        <v>480</v>
      </c>
      <c r="ED137" s="10" t="s">
        <v>1740</v>
      </c>
      <c r="EE137" s="813">
        <f t="shared" si="71"/>
        <v>0</v>
      </c>
      <c r="EF137">
        <f>ROWS($DE$2:DE137)</f>
        <v>136</v>
      </c>
      <c r="EG137" t="str">
        <f t="shared" si="72"/>
        <v/>
      </c>
      <c r="EJ137" t="str">
        <f t="shared" si="73"/>
        <v/>
      </c>
      <c r="EM137" t="str">
        <f t="shared" si="74"/>
        <v/>
      </c>
      <c r="EP137" t="str">
        <f t="shared" si="75"/>
        <v/>
      </c>
      <c r="ES137" t="str">
        <f t="shared" si="76"/>
        <v/>
      </c>
      <c r="EV137" t="str">
        <f t="shared" si="77"/>
        <v/>
      </c>
      <c r="EY137" t="str">
        <f t="shared" si="78"/>
        <v/>
      </c>
      <c r="FB137" t="str">
        <f t="shared" si="79"/>
        <v/>
      </c>
      <c r="FE137" t="str">
        <f t="shared" si="80"/>
        <v/>
      </c>
      <c r="FH137" t="str">
        <f t="shared" si="81"/>
        <v/>
      </c>
      <c r="FK137" t="str">
        <f t="shared" si="82"/>
        <v/>
      </c>
      <c r="FN137" t="str">
        <f t="shared" si="83"/>
        <v/>
      </c>
      <c r="FQ137" t="str">
        <f t="shared" si="84"/>
        <v/>
      </c>
      <c r="FT137" t="str">
        <f t="shared" si="85"/>
        <v/>
      </c>
      <c r="FW137" t="str">
        <f t="shared" si="86"/>
        <v/>
      </c>
      <c r="FZ137" t="str">
        <f t="shared" si="87"/>
        <v/>
      </c>
      <c r="GC137" t="str">
        <f t="shared" si="88"/>
        <v/>
      </c>
      <c r="GE137" s="155"/>
    </row>
    <row r="138" spans="1:187" ht="15" customHeight="1" x14ac:dyDescent="0.35">
      <c r="B138"/>
      <c r="L138" s="10">
        <v>1029802</v>
      </c>
      <c r="O138" s="205"/>
      <c r="P138" s="193"/>
      <c r="Q138" s="193"/>
      <c r="R138" s="206"/>
      <c r="S138" s="201">
        <v>12.25</v>
      </c>
      <c r="T138" s="190" t="s">
        <v>745</v>
      </c>
      <c r="U138" s="190">
        <v>952533</v>
      </c>
      <c r="V138" s="171" t="s">
        <v>92</v>
      </c>
      <c r="W138" s="191">
        <v>3</v>
      </c>
      <c r="X138" s="173">
        <v>3</v>
      </c>
      <c r="Y138" s="173">
        <v>3</v>
      </c>
      <c r="Z138" s="173">
        <v>3</v>
      </c>
      <c r="AA138" s="173">
        <v>3</v>
      </c>
      <c r="AB138" s="173">
        <v>3</v>
      </c>
      <c r="AC138" s="173">
        <v>1</v>
      </c>
      <c r="AD138" s="173">
        <v>1</v>
      </c>
      <c r="AE138" s="180"/>
      <c r="AF138" s="175"/>
      <c r="AG138" s="175"/>
      <c r="AH138" s="188"/>
      <c r="AI138" s="217">
        <v>4</v>
      </c>
      <c r="AJ138" s="188"/>
      <c r="AK138" s="188"/>
      <c r="AL138" s="188"/>
      <c r="AM138" s="188"/>
      <c r="AN138" s="188"/>
      <c r="AO138" s="188"/>
      <c r="AP138" s="188"/>
      <c r="AQ138" s="188"/>
      <c r="AR138" s="188"/>
      <c r="AS138" s="188"/>
      <c r="AT138" s="188"/>
      <c r="AU138" s="188"/>
      <c r="AV138" s="188"/>
      <c r="AW138" s="188"/>
      <c r="AX138" s="188"/>
      <c r="AY138" s="188"/>
      <c r="AZ138" s="188"/>
      <c r="BA138" s="188"/>
      <c r="BB138" s="188"/>
      <c r="BC138" s="188"/>
      <c r="BD138" s="188"/>
      <c r="BF138">
        <f>ROWS($U$46:U138)</f>
        <v>93</v>
      </c>
      <c r="BG138" t="str">
        <f t="shared" si="91"/>
        <v/>
      </c>
      <c r="DB138" s="10">
        <v>1050703</v>
      </c>
      <c r="DE138" s="10">
        <v>649901</v>
      </c>
      <c r="DF138" t="s">
        <v>1289</v>
      </c>
      <c r="DG138" s="10" t="s">
        <v>1289</v>
      </c>
      <c r="DH138" s="583" t="s">
        <v>927</v>
      </c>
      <c r="DI138" s="583" t="s">
        <v>927</v>
      </c>
      <c r="DK138" s="10" t="s">
        <v>1290</v>
      </c>
      <c r="DO138" s="10">
        <v>272</v>
      </c>
      <c r="DR138" s="37" t="str">
        <f t="shared" si="92"/>
        <v>08  Carbide Impact Arestor</v>
      </c>
      <c r="DS138" s="37">
        <f t="shared" si="89"/>
        <v>0</v>
      </c>
      <c r="DV138" s="10" t="s">
        <v>1753</v>
      </c>
      <c r="DW138" t="s">
        <v>1587</v>
      </c>
      <c r="DX138">
        <v>60</v>
      </c>
      <c r="DY138" t="s">
        <v>1803</v>
      </c>
      <c r="DZ138" t="s">
        <v>1672</v>
      </c>
      <c r="EA138">
        <v>1</v>
      </c>
      <c r="EB138" t="s">
        <v>1513</v>
      </c>
      <c r="EC138" s="10">
        <v>135</v>
      </c>
      <c r="ED138" s="10" t="s">
        <v>1804</v>
      </c>
      <c r="EE138" s="813">
        <f t="shared" ref="EE138:EE202" si="93">SUMIF($G$12:$G$21,$DE138,$E$12:$E$21)</f>
        <v>0</v>
      </c>
      <c r="EF138">
        <f>ROWS($DE$2:DE138)</f>
        <v>137</v>
      </c>
      <c r="EG138" t="str">
        <f t="shared" si="72"/>
        <v/>
      </c>
      <c r="EJ138" t="str">
        <f t="shared" si="73"/>
        <v/>
      </c>
      <c r="EM138" t="str">
        <f t="shared" si="74"/>
        <v/>
      </c>
      <c r="EP138" t="str">
        <f t="shared" si="75"/>
        <v/>
      </c>
      <c r="ES138" t="str">
        <f t="shared" si="76"/>
        <v/>
      </c>
      <c r="EV138" t="str">
        <f t="shared" si="77"/>
        <v/>
      </c>
      <c r="EY138" t="str">
        <f t="shared" si="78"/>
        <v/>
      </c>
      <c r="FB138" t="str">
        <f t="shared" si="79"/>
        <v/>
      </c>
      <c r="FE138" t="str">
        <f t="shared" si="80"/>
        <v/>
      </c>
      <c r="FH138" t="str">
        <f t="shared" si="81"/>
        <v/>
      </c>
      <c r="FK138" t="str">
        <f t="shared" si="82"/>
        <v/>
      </c>
      <c r="FN138" t="str">
        <f t="shared" si="83"/>
        <v/>
      </c>
      <c r="FQ138" t="str">
        <f t="shared" si="84"/>
        <v/>
      </c>
      <c r="FT138" t="str">
        <f t="shared" si="85"/>
        <v/>
      </c>
      <c r="FW138" t="str">
        <f t="shared" si="86"/>
        <v/>
      </c>
      <c r="FZ138" t="str">
        <f t="shared" si="87"/>
        <v/>
      </c>
      <c r="GC138" t="str">
        <f t="shared" si="88"/>
        <v/>
      </c>
      <c r="GE138" s="155"/>
    </row>
    <row r="139" spans="1:187" ht="15" customHeight="1" thickBot="1" x14ac:dyDescent="0.4">
      <c r="B139"/>
      <c r="L139" s="10">
        <v>1032643</v>
      </c>
      <c r="O139" s="207"/>
      <c r="P139" s="208"/>
      <c r="Q139" s="208"/>
      <c r="R139" s="209"/>
      <c r="S139" s="210">
        <v>12.25</v>
      </c>
      <c r="T139" s="194" t="s">
        <v>745</v>
      </c>
      <c r="U139" s="194">
        <v>952533</v>
      </c>
      <c r="V139" s="195" t="s">
        <v>111</v>
      </c>
      <c r="W139" s="191">
        <v>3</v>
      </c>
      <c r="X139" s="173">
        <v>3</v>
      </c>
      <c r="Y139" s="173">
        <v>3</v>
      </c>
      <c r="Z139" s="173">
        <v>3</v>
      </c>
      <c r="AA139" s="173">
        <v>3</v>
      </c>
      <c r="AB139" s="173">
        <v>1</v>
      </c>
      <c r="AC139" s="173">
        <v>1</v>
      </c>
      <c r="AD139" s="195"/>
      <c r="AE139" s="218"/>
      <c r="AF139" s="218"/>
      <c r="AG139" s="65"/>
      <c r="AH139" s="188"/>
      <c r="AI139" s="217">
        <v>4</v>
      </c>
      <c r="AJ139" s="188"/>
      <c r="AK139" s="188"/>
      <c r="AL139" s="188"/>
      <c r="AM139" s="188"/>
      <c r="AN139" s="188"/>
      <c r="AO139" s="188"/>
      <c r="AP139" s="188"/>
      <c r="AQ139" s="188"/>
      <c r="AR139" s="188"/>
      <c r="AS139" s="188"/>
      <c r="AT139" s="188"/>
      <c r="AU139" s="188"/>
      <c r="AV139" s="188"/>
      <c r="AW139" s="188"/>
      <c r="AX139" s="188"/>
      <c r="AY139" s="188"/>
      <c r="AZ139" s="188"/>
      <c r="BA139" s="188"/>
      <c r="BB139" s="188"/>
      <c r="BC139" s="188"/>
      <c r="BD139" s="188"/>
      <c r="BF139">
        <f>ROWS($U$46:U139)</f>
        <v>94</v>
      </c>
      <c r="BG139" t="str">
        <f t="shared" si="91"/>
        <v/>
      </c>
      <c r="DB139" s="10">
        <v>745174</v>
      </c>
      <c r="DE139" s="10">
        <v>752554</v>
      </c>
      <c r="DF139" t="s">
        <v>1286</v>
      </c>
      <c r="DG139" s="10" t="s">
        <v>1286</v>
      </c>
      <c r="DH139" s="10">
        <v>13</v>
      </c>
      <c r="DI139" s="10">
        <v>1313</v>
      </c>
      <c r="DJ139" s="10" t="s">
        <v>261</v>
      </c>
      <c r="DL139" s="10" t="s">
        <v>239</v>
      </c>
      <c r="DO139" s="555">
        <v>360</v>
      </c>
      <c r="DR139" s="37" t="str">
        <f t="shared" si="92"/>
        <v xml:space="preserve">1313 CT81 </v>
      </c>
      <c r="DS139" s="37">
        <f t="shared" si="89"/>
        <v>0</v>
      </c>
      <c r="DV139" s="10" t="s">
        <v>732</v>
      </c>
      <c r="DW139" t="s">
        <v>1589</v>
      </c>
      <c r="DX139">
        <v>20</v>
      </c>
      <c r="DY139" t="s">
        <v>1679</v>
      </c>
      <c r="DZ139" t="s">
        <v>1670</v>
      </c>
      <c r="EA139">
        <v>1</v>
      </c>
      <c r="EB139" t="s">
        <v>1513</v>
      </c>
      <c r="EC139" s="10">
        <v>413</v>
      </c>
      <c r="ED139" s="10" t="s">
        <v>1742</v>
      </c>
      <c r="EE139" s="813">
        <f t="shared" si="93"/>
        <v>0</v>
      </c>
      <c r="EF139">
        <f>ROWS($DE$2:DE139)</f>
        <v>138</v>
      </c>
      <c r="EG139" t="str">
        <f t="shared" si="72"/>
        <v/>
      </c>
      <c r="EJ139" t="str">
        <f t="shared" si="73"/>
        <v/>
      </c>
      <c r="EM139" t="str">
        <f t="shared" si="74"/>
        <v/>
      </c>
      <c r="EP139" t="str">
        <f t="shared" si="75"/>
        <v/>
      </c>
      <c r="ES139" t="str">
        <f t="shared" si="76"/>
        <v/>
      </c>
      <c r="EV139" t="str">
        <f t="shared" si="77"/>
        <v/>
      </c>
      <c r="EY139" t="str">
        <f t="shared" si="78"/>
        <v/>
      </c>
      <c r="FB139" t="str">
        <f t="shared" si="79"/>
        <v/>
      </c>
      <c r="FE139" t="str">
        <f t="shared" si="80"/>
        <v/>
      </c>
      <c r="FH139" t="str">
        <f t="shared" si="81"/>
        <v/>
      </c>
      <c r="FK139" t="str">
        <f t="shared" si="82"/>
        <v/>
      </c>
      <c r="FN139" t="str">
        <f t="shared" si="83"/>
        <v/>
      </c>
      <c r="FQ139" t="str">
        <f t="shared" si="84"/>
        <v/>
      </c>
      <c r="FT139" t="str">
        <f t="shared" si="85"/>
        <v/>
      </c>
      <c r="FW139" t="str">
        <f t="shared" si="86"/>
        <v/>
      </c>
      <c r="FZ139" t="str">
        <f t="shared" si="87"/>
        <v/>
      </c>
      <c r="GC139" t="str">
        <f t="shared" si="88"/>
        <v/>
      </c>
      <c r="GE139" s="155"/>
    </row>
    <row r="140" spans="1:187" ht="15.75" customHeight="1" x14ac:dyDescent="0.35">
      <c r="B140"/>
      <c r="L140" s="10">
        <v>1032847</v>
      </c>
      <c r="O140" s="211">
        <v>1</v>
      </c>
      <c r="P140" s="212">
        <v>418525</v>
      </c>
      <c r="Q140" s="212">
        <v>9</v>
      </c>
      <c r="R140" s="212"/>
      <c r="S140" s="182">
        <v>12.25</v>
      </c>
      <c r="T140" s="182" t="s">
        <v>747</v>
      </c>
      <c r="U140" s="182">
        <v>870474</v>
      </c>
      <c r="V140" s="183" t="s">
        <v>87</v>
      </c>
      <c r="W140" s="219">
        <v>3</v>
      </c>
      <c r="X140" s="219">
        <v>3</v>
      </c>
      <c r="Y140" s="219">
        <v>3</v>
      </c>
      <c r="Z140" s="219">
        <v>4</v>
      </c>
      <c r="AA140" s="219">
        <v>4</v>
      </c>
      <c r="AB140" s="219">
        <v>4</v>
      </c>
      <c r="AC140" s="219">
        <v>5</v>
      </c>
      <c r="AD140" s="219">
        <v>5</v>
      </c>
      <c r="AE140" s="219">
        <v>5</v>
      </c>
      <c r="AF140" s="219">
        <v>1</v>
      </c>
      <c r="AG140" s="219">
        <v>1</v>
      </c>
      <c r="AH140" s="188"/>
      <c r="AI140" s="188"/>
      <c r="AJ140" s="188"/>
      <c r="AK140" s="188"/>
      <c r="AL140" s="188"/>
      <c r="AM140" s="188"/>
      <c r="AN140" s="188"/>
      <c r="AO140" s="188"/>
      <c r="AP140" s="188"/>
      <c r="AQ140" s="188"/>
      <c r="AR140" s="188"/>
      <c r="AS140" s="188"/>
      <c r="AT140" s="188"/>
      <c r="AU140" s="188"/>
      <c r="AV140" s="188"/>
      <c r="AW140" s="188"/>
      <c r="AX140" s="188"/>
      <c r="AY140" s="188"/>
      <c r="AZ140" s="188"/>
      <c r="BA140" s="188"/>
      <c r="BB140" s="188"/>
      <c r="BC140" s="188"/>
      <c r="BD140" s="188"/>
      <c r="BF140">
        <f>ROWS($U$46:U140)</f>
        <v>95</v>
      </c>
      <c r="BG140" t="str">
        <f t="shared" si="91"/>
        <v/>
      </c>
      <c r="DB140" s="10">
        <v>933119</v>
      </c>
      <c r="DE140" s="10">
        <v>752556</v>
      </c>
      <c r="DF140" t="s">
        <v>1287</v>
      </c>
      <c r="DG140" s="10" t="s">
        <v>1287</v>
      </c>
      <c r="DH140" s="10">
        <v>16</v>
      </c>
      <c r="DI140" s="10">
        <v>1613</v>
      </c>
      <c r="DJ140" s="10" t="s">
        <v>261</v>
      </c>
      <c r="DL140" s="10" t="s">
        <v>239</v>
      </c>
      <c r="DO140" s="555">
        <v>497</v>
      </c>
      <c r="DR140" s="37" t="str">
        <f t="shared" si="92"/>
        <v xml:space="preserve">1613 CT81 </v>
      </c>
      <c r="DS140" s="37">
        <f t="shared" si="89"/>
        <v>0</v>
      </c>
      <c r="DV140" s="10" t="s">
        <v>732</v>
      </c>
      <c r="DW140" t="s">
        <v>1590</v>
      </c>
      <c r="DX140">
        <v>20</v>
      </c>
      <c r="DY140" t="s">
        <v>1680</v>
      </c>
      <c r="DZ140" t="s">
        <v>1668</v>
      </c>
      <c r="EA140">
        <v>1</v>
      </c>
      <c r="EB140" t="s">
        <v>1513</v>
      </c>
      <c r="EC140" s="10">
        <v>545</v>
      </c>
      <c r="ED140" s="10" t="s">
        <v>1743</v>
      </c>
      <c r="EE140" s="813">
        <f t="shared" si="93"/>
        <v>0</v>
      </c>
      <c r="EF140">
        <f>ROWS($DE$2:DE140)</f>
        <v>139</v>
      </c>
      <c r="EG140" t="str">
        <f t="shared" ref="EG140:EG203" si="94">IF($CY$60&lt;&gt;0,IF($CY$60=DE140,EF140,""),"")</f>
        <v/>
      </c>
      <c r="EJ140" t="str">
        <f t="shared" ref="EJ140:EJ203" si="95">IF($CY$61&lt;&gt;0,IF($CY$61=DE140,EF140,""),"")</f>
        <v/>
      </c>
      <c r="EM140" t="str">
        <f t="shared" ref="EM140:EM203" si="96">IF($CY$62&lt;&gt;0,IF($CY$62=DE140,EF140,""),"")</f>
        <v/>
      </c>
      <c r="EP140" t="str">
        <f t="shared" ref="EP140:EP203" si="97">IF($CY$63&lt;&gt;0,IF($CY$63=DE140,EF140,""),"")</f>
        <v/>
      </c>
      <c r="ES140" t="str">
        <f t="shared" ref="ES140:ES203" si="98">IF($CY$64&lt;&gt;0,IF($CY$64=DE140,EF140,""),"")</f>
        <v/>
      </c>
      <c r="EV140" t="str">
        <f t="shared" ref="EV140:EV203" si="99">IF($CY$65&lt;&gt;0,IF($CY$65=DE140,EF140,""),"")</f>
        <v/>
      </c>
      <c r="EY140" t="str">
        <f t="shared" ref="EY140:EY203" si="100">IF($CY$66&lt;&gt;0,IF($CY$66=DE140,EF140,""),"")</f>
        <v/>
      </c>
      <c r="FB140" t="str">
        <f t="shared" ref="FB140:FB203" si="101">IF($CY$67&lt;&gt;0,IF($CY$67=DE140,EF140,""),"")</f>
        <v/>
      </c>
      <c r="FE140" t="str">
        <f t="shared" ref="FE140:FE203" si="102">IF($CY$68&lt;&gt;0,IF($CY$68=DE140,EF140,""),"")</f>
        <v/>
      </c>
      <c r="FH140" t="str">
        <f t="shared" ref="FH140:FH203" si="103">IF($CY$69&lt;&gt;0,IF($CY$69=DE140,EF140,""),"")</f>
        <v/>
      </c>
      <c r="FK140" t="str">
        <f t="shared" ref="FK140:FK203" si="104">IF($CY$70&lt;&gt;0, IF($CY$70=DE140, EF140, ""), "")</f>
        <v/>
      </c>
      <c r="FN140" t="str">
        <f t="shared" ref="FN140:FN203" si="105">IF($CY$71&lt;&gt;0, IF($CY$71=DE140, EF140, ""), "")</f>
        <v/>
      </c>
      <c r="FQ140" t="str">
        <f t="shared" ref="FQ140:FQ203" si="106">IF($CY$72&lt;&gt;0, IF($CY$72=DE140, EF140, ""), "")</f>
        <v/>
      </c>
      <c r="FT140" t="str">
        <f t="shared" ref="FT140:FT203" si="107">IF($CY$73&lt;&gt;0, IF($CY$73=DE140, EF140, ""), "")</f>
        <v/>
      </c>
      <c r="FW140" t="str">
        <f t="shared" ref="FW140:FW203" si="108">IF($CY$74&lt;&gt;0, IF($CY$74=DE140, EF140, ""), "")</f>
        <v/>
      </c>
      <c r="FZ140" t="str">
        <f t="shared" ref="FZ140:FZ203" si="109">IF($CY$75&lt;&gt;0, IF($CY$75=DE140, EF140, ""), "")</f>
        <v/>
      </c>
      <c r="GC140" t="str">
        <f t="shared" ref="GC140:GC203" si="110">IF($CY$76&lt;&gt;0, IF($CY$76=DE140, EF140, ""), "")</f>
        <v/>
      </c>
      <c r="GE140" s="155"/>
    </row>
    <row r="141" spans="1:187" ht="15" customHeight="1" x14ac:dyDescent="0.35">
      <c r="B141"/>
      <c r="L141" s="10">
        <v>1033011</v>
      </c>
      <c r="O141" s="197">
        <v>2</v>
      </c>
      <c r="P141" s="190">
        <v>871781</v>
      </c>
      <c r="Q141" s="190">
        <v>3</v>
      </c>
      <c r="R141" s="190"/>
      <c r="S141" s="190">
        <v>12.25</v>
      </c>
      <c r="T141" s="190" t="s">
        <v>747</v>
      </c>
      <c r="U141" s="190">
        <v>870474</v>
      </c>
      <c r="V141" s="171" t="s">
        <v>88</v>
      </c>
      <c r="W141" s="217">
        <v>3</v>
      </c>
      <c r="X141" s="217">
        <v>4</v>
      </c>
      <c r="Y141" s="217">
        <v>4</v>
      </c>
      <c r="Z141" s="217">
        <v>4</v>
      </c>
      <c r="AA141" s="217">
        <v>5</v>
      </c>
      <c r="AB141" s="217">
        <v>5</v>
      </c>
      <c r="AC141" s="217">
        <v>1</v>
      </c>
      <c r="AD141" s="217">
        <v>2</v>
      </c>
      <c r="AE141" s="220"/>
      <c r="AF141" s="221"/>
      <c r="AG141" s="222"/>
      <c r="AH141" s="188"/>
      <c r="AI141" s="188"/>
      <c r="AJ141" s="188"/>
      <c r="AK141" s="188"/>
      <c r="AL141" s="188"/>
      <c r="AM141" s="188"/>
      <c r="AN141" s="188"/>
      <c r="AO141" s="188"/>
      <c r="AP141" s="188"/>
      <c r="AQ141" s="188"/>
      <c r="AR141" s="188"/>
      <c r="AS141" s="188"/>
      <c r="AT141" s="188"/>
      <c r="AU141" s="188"/>
      <c r="AV141" s="188"/>
      <c r="AW141" s="188"/>
      <c r="AX141" s="188"/>
      <c r="AY141" s="188"/>
      <c r="AZ141" s="188"/>
      <c r="BA141" s="188"/>
      <c r="BB141" s="188"/>
      <c r="BC141" s="188"/>
      <c r="BD141" s="188"/>
      <c r="BF141">
        <f>ROWS($U$46:U141)</f>
        <v>96</v>
      </c>
      <c r="BG141" t="str">
        <f t="shared" si="91"/>
        <v/>
      </c>
      <c r="DB141" s="10">
        <v>733670</v>
      </c>
      <c r="DE141" s="10">
        <v>179793</v>
      </c>
      <c r="DF141" t="s">
        <v>1292</v>
      </c>
      <c r="DG141" s="10" t="s">
        <v>1292</v>
      </c>
      <c r="DH141" s="10">
        <v>16</v>
      </c>
      <c r="DI141" s="10">
        <v>16</v>
      </c>
      <c r="DK141" s="10" t="s">
        <v>1309</v>
      </c>
      <c r="DL141" s="10" t="s">
        <v>240</v>
      </c>
      <c r="DO141" s="555">
        <v>497</v>
      </c>
      <c r="DR141" s="37" t="str">
        <f t="shared" si="92"/>
        <v>16  Long BLT ELITE RC</v>
      </c>
      <c r="DS141" s="37">
        <f t="shared" si="89"/>
        <v>0</v>
      </c>
      <c r="DV141" s="10" t="s">
        <v>146</v>
      </c>
      <c r="DW141" t="s">
        <v>1590</v>
      </c>
      <c r="DX141">
        <v>10</v>
      </c>
      <c r="DY141" t="s">
        <v>1805</v>
      </c>
      <c r="DZ141" t="s">
        <v>1668</v>
      </c>
      <c r="EA141">
        <v>1</v>
      </c>
      <c r="EB141" t="s">
        <v>1513</v>
      </c>
      <c r="EC141" s="10">
        <v>490</v>
      </c>
      <c r="ED141" s="10" t="s">
        <v>1744</v>
      </c>
      <c r="EE141" s="813">
        <f t="shared" si="93"/>
        <v>0</v>
      </c>
      <c r="EF141">
        <f>ROWS($DE$2:DE141)</f>
        <v>140</v>
      </c>
      <c r="EG141" t="str">
        <f t="shared" si="94"/>
        <v/>
      </c>
      <c r="EJ141" t="str">
        <f t="shared" si="95"/>
        <v/>
      </c>
      <c r="EM141" t="str">
        <f t="shared" si="96"/>
        <v/>
      </c>
      <c r="EP141" t="str">
        <f t="shared" si="97"/>
        <v/>
      </c>
      <c r="ES141" t="str">
        <f t="shared" si="98"/>
        <v/>
      </c>
      <c r="EV141" t="str">
        <f t="shared" si="99"/>
        <v/>
      </c>
      <c r="EY141" t="str">
        <f t="shared" si="100"/>
        <v/>
      </c>
      <c r="FB141" t="str">
        <f t="shared" si="101"/>
        <v/>
      </c>
      <c r="FE141" t="str">
        <f t="shared" si="102"/>
        <v/>
      </c>
      <c r="FH141" t="str">
        <f t="shared" si="103"/>
        <v/>
      </c>
      <c r="FK141" t="str">
        <f t="shared" si="104"/>
        <v/>
      </c>
      <c r="FN141" t="str">
        <f t="shared" si="105"/>
        <v/>
      </c>
      <c r="FQ141" t="str">
        <f t="shared" si="106"/>
        <v/>
      </c>
      <c r="FT141" t="str">
        <f t="shared" si="107"/>
        <v/>
      </c>
      <c r="FW141" t="str">
        <f t="shared" si="108"/>
        <v/>
      </c>
      <c r="FZ141" t="str">
        <f t="shared" si="109"/>
        <v/>
      </c>
      <c r="GC141" t="str">
        <f t="shared" si="110"/>
        <v/>
      </c>
      <c r="GE141" s="155"/>
    </row>
    <row r="142" spans="1:187" ht="15" customHeight="1" x14ac:dyDescent="0.35">
      <c r="B142"/>
      <c r="L142" s="10">
        <v>1033499</v>
      </c>
      <c r="O142" s="197">
        <v>3</v>
      </c>
      <c r="P142" s="190">
        <v>770451</v>
      </c>
      <c r="Q142" s="190">
        <v>10</v>
      </c>
      <c r="R142" s="190"/>
      <c r="S142" s="190">
        <v>12.25</v>
      </c>
      <c r="T142" s="190" t="s">
        <v>747</v>
      </c>
      <c r="U142" s="190">
        <v>870474</v>
      </c>
      <c r="V142" s="171" t="s">
        <v>89</v>
      </c>
      <c r="W142" s="217">
        <v>3</v>
      </c>
      <c r="X142" s="217">
        <v>3</v>
      </c>
      <c r="Y142" s="217">
        <v>3</v>
      </c>
      <c r="Z142" s="217">
        <v>4</v>
      </c>
      <c r="AA142" s="217">
        <v>4</v>
      </c>
      <c r="AB142" s="217">
        <v>4</v>
      </c>
      <c r="AC142" s="217">
        <v>5</v>
      </c>
      <c r="AD142" s="217">
        <v>5</v>
      </c>
      <c r="AE142" s="217">
        <v>1</v>
      </c>
      <c r="AF142" s="223">
        <v>1</v>
      </c>
      <c r="AG142" s="187"/>
      <c r="AH142" s="188"/>
      <c r="AI142" s="188"/>
      <c r="AJ142" s="188"/>
      <c r="AK142" s="188"/>
      <c r="AL142" s="188"/>
      <c r="AM142" s="188"/>
      <c r="AN142" s="188"/>
      <c r="AO142" s="188"/>
      <c r="AP142" s="188"/>
      <c r="AQ142" s="188"/>
      <c r="AR142" s="188"/>
      <c r="AS142" s="188"/>
      <c r="AT142" s="188"/>
      <c r="AU142" s="188"/>
      <c r="AV142" s="188"/>
      <c r="AW142" s="188"/>
      <c r="AX142" s="188"/>
      <c r="AY142" s="188"/>
      <c r="AZ142" s="188"/>
      <c r="BA142" s="188"/>
      <c r="BB142" s="188"/>
      <c r="BC142" s="188"/>
      <c r="BD142" s="188"/>
      <c r="BF142">
        <f>ROWS($U$46:U142)</f>
        <v>97</v>
      </c>
      <c r="BG142" t="str">
        <f t="shared" si="91"/>
        <v/>
      </c>
      <c r="DB142" s="10">
        <v>513509</v>
      </c>
      <c r="DE142" s="10">
        <v>1130219</v>
      </c>
      <c r="DF142" t="s">
        <v>1295</v>
      </c>
      <c r="DG142" s="10" t="s">
        <v>1295</v>
      </c>
      <c r="DH142" s="10">
        <v>13</v>
      </c>
      <c r="DI142" s="10">
        <v>1313</v>
      </c>
      <c r="DJ142" s="10" t="s">
        <v>1232</v>
      </c>
      <c r="DL142" s="10" t="s">
        <v>239</v>
      </c>
      <c r="DO142" s="555">
        <v>360</v>
      </c>
      <c r="DR142" s="37" t="str">
        <f t="shared" si="92"/>
        <v xml:space="preserve">1313 CT182 </v>
      </c>
      <c r="DS142" s="37">
        <f t="shared" ref="DS142:DS205" si="111">DT142*1.3</f>
        <v>163.08500000000001</v>
      </c>
      <c r="DT142" s="10">
        <v>125.45</v>
      </c>
      <c r="DV142" s="10" t="s">
        <v>49</v>
      </c>
      <c r="DW142" t="s">
        <v>1589</v>
      </c>
      <c r="DX142">
        <v>30</v>
      </c>
      <c r="DY142" t="s">
        <v>1677</v>
      </c>
      <c r="DZ142" t="s">
        <v>1670</v>
      </c>
      <c r="EA142">
        <v>1</v>
      </c>
      <c r="EB142" t="s">
        <v>1513</v>
      </c>
      <c r="EC142" s="10">
        <v>480</v>
      </c>
      <c r="ED142" s="10" t="s">
        <v>1740</v>
      </c>
      <c r="EE142" s="813">
        <f t="shared" si="93"/>
        <v>0</v>
      </c>
      <c r="EF142">
        <f>ROWS($DE$2:DE142)</f>
        <v>141</v>
      </c>
      <c r="EG142" t="str">
        <f t="shared" si="94"/>
        <v/>
      </c>
      <c r="EJ142" t="str">
        <f t="shared" si="95"/>
        <v/>
      </c>
      <c r="EM142" t="str">
        <f t="shared" si="96"/>
        <v/>
      </c>
      <c r="EP142" t="str">
        <f t="shared" si="97"/>
        <v/>
      </c>
      <c r="ES142" t="str">
        <f t="shared" si="98"/>
        <v/>
      </c>
      <c r="EV142" t="str">
        <f t="shared" si="99"/>
        <v/>
      </c>
      <c r="EY142" t="str">
        <f t="shared" si="100"/>
        <v/>
      </c>
      <c r="FB142" t="str">
        <f t="shared" si="101"/>
        <v/>
      </c>
      <c r="FE142" t="str">
        <f t="shared" si="102"/>
        <v/>
      </c>
      <c r="FH142" t="str">
        <f t="shared" si="103"/>
        <v/>
      </c>
      <c r="FK142" t="str">
        <f t="shared" si="104"/>
        <v/>
      </c>
      <c r="FN142" t="str">
        <f t="shared" si="105"/>
        <v/>
      </c>
      <c r="FQ142" t="str">
        <f t="shared" si="106"/>
        <v/>
      </c>
      <c r="FT142" t="str">
        <f t="shared" si="107"/>
        <v/>
      </c>
      <c r="FW142" t="str">
        <f t="shared" si="108"/>
        <v/>
      </c>
      <c r="FZ142" t="str">
        <f t="shared" si="109"/>
        <v/>
      </c>
      <c r="GC142" t="str">
        <f t="shared" si="110"/>
        <v/>
      </c>
      <c r="GE142" s="155"/>
    </row>
    <row r="143" spans="1:187" ht="15" customHeight="1" x14ac:dyDescent="0.35">
      <c r="B143"/>
      <c r="L143" s="10">
        <v>1034022</v>
      </c>
      <c r="O143" s="197">
        <v>4</v>
      </c>
      <c r="P143" s="190">
        <v>755975</v>
      </c>
      <c r="Q143" s="190">
        <v>20</v>
      </c>
      <c r="R143" s="190"/>
      <c r="S143" s="190">
        <v>12.25</v>
      </c>
      <c r="T143" s="190" t="s">
        <v>747</v>
      </c>
      <c r="U143" s="190">
        <v>870474</v>
      </c>
      <c r="V143" s="171" t="s">
        <v>90</v>
      </c>
      <c r="W143" s="217">
        <v>4</v>
      </c>
      <c r="X143" s="217">
        <v>4</v>
      </c>
      <c r="Y143" s="217">
        <v>4</v>
      </c>
      <c r="Z143" s="217">
        <v>4</v>
      </c>
      <c r="AA143" s="217">
        <v>5</v>
      </c>
      <c r="AB143" s="217">
        <v>5</v>
      </c>
      <c r="AC143" s="217">
        <v>1</v>
      </c>
      <c r="AD143" s="217">
        <v>2</v>
      </c>
      <c r="AE143" s="220"/>
      <c r="AF143" s="221"/>
      <c r="AG143" s="196"/>
      <c r="AH143" s="188"/>
      <c r="AI143" s="188"/>
      <c r="AJ143" s="188"/>
      <c r="AK143" s="188"/>
      <c r="AL143" s="188"/>
      <c r="AM143" s="188"/>
      <c r="AN143" s="188"/>
      <c r="AO143" s="188"/>
      <c r="AP143" s="188"/>
      <c r="AQ143" s="188"/>
      <c r="AR143" s="188"/>
      <c r="AS143" s="188"/>
      <c r="AT143" s="188"/>
      <c r="AU143" s="188"/>
      <c r="AV143" s="188"/>
      <c r="AW143" s="188"/>
      <c r="AX143" s="188"/>
      <c r="AY143" s="188"/>
      <c r="AZ143" s="188"/>
      <c r="BA143" s="188"/>
      <c r="BB143" s="188"/>
      <c r="BC143" s="188"/>
      <c r="BD143" s="188"/>
      <c r="BF143">
        <f>ROWS($U$46:U143)</f>
        <v>98</v>
      </c>
      <c r="BG143" t="str">
        <f t="shared" si="91"/>
        <v/>
      </c>
      <c r="DB143" s="10">
        <v>1144821</v>
      </c>
      <c r="DE143" s="10">
        <v>1130221</v>
      </c>
      <c r="DF143" t="s">
        <v>1296</v>
      </c>
      <c r="DG143" s="10" t="s">
        <v>1296</v>
      </c>
      <c r="DH143" s="10">
        <v>16</v>
      </c>
      <c r="DI143" s="10">
        <v>1613</v>
      </c>
      <c r="DJ143" s="10" t="s">
        <v>1232</v>
      </c>
      <c r="DL143" s="10" t="s">
        <v>239</v>
      </c>
      <c r="DO143" s="555">
        <v>497</v>
      </c>
      <c r="DR143" s="37" t="str">
        <f t="shared" si="92"/>
        <v xml:space="preserve">1613 CT182 </v>
      </c>
      <c r="DS143" s="37">
        <f t="shared" si="111"/>
        <v>212.84899999999999</v>
      </c>
      <c r="DT143" s="10">
        <v>163.72999999999999</v>
      </c>
      <c r="DV143" s="10" t="s">
        <v>49</v>
      </c>
      <c r="DW143" t="s">
        <v>1590</v>
      </c>
      <c r="DX143">
        <v>30</v>
      </c>
      <c r="DY143" t="s">
        <v>1673</v>
      </c>
      <c r="DZ143" t="s">
        <v>1668</v>
      </c>
      <c r="EA143">
        <v>1</v>
      </c>
      <c r="EB143" t="s">
        <v>1513</v>
      </c>
      <c r="EC143" s="10">
        <v>662</v>
      </c>
      <c r="ED143" s="10" t="s">
        <v>1736</v>
      </c>
      <c r="EE143" s="813">
        <f t="shared" si="93"/>
        <v>0</v>
      </c>
      <c r="EF143">
        <f>ROWS($DE$2:DE143)</f>
        <v>142</v>
      </c>
      <c r="EG143" t="str">
        <f t="shared" si="94"/>
        <v/>
      </c>
      <c r="EJ143" t="str">
        <f t="shared" si="95"/>
        <v/>
      </c>
      <c r="EM143" t="str">
        <f t="shared" si="96"/>
        <v/>
      </c>
      <c r="EP143" t="str">
        <f t="shared" si="97"/>
        <v/>
      </c>
      <c r="ES143" t="str">
        <f t="shared" si="98"/>
        <v/>
      </c>
      <c r="EV143" t="str">
        <f t="shared" si="99"/>
        <v/>
      </c>
      <c r="EY143" t="str">
        <f t="shared" si="100"/>
        <v/>
      </c>
      <c r="FB143" t="str">
        <f t="shared" si="101"/>
        <v/>
      </c>
      <c r="FE143" t="str">
        <f t="shared" si="102"/>
        <v/>
      </c>
      <c r="FH143" t="str">
        <f t="shared" si="103"/>
        <v/>
      </c>
      <c r="FK143" t="str">
        <f t="shared" si="104"/>
        <v/>
      </c>
      <c r="FN143" t="str">
        <f t="shared" si="105"/>
        <v/>
      </c>
      <c r="FQ143" t="str">
        <f t="shared" si="106"/>
        <v/>
      </c>
      <c r="FT143" t="str">
        <f t="shared" si="107"/>
        <v/>
      </c>
      <c r="FW143" t="str">
        <f t="shared" si="108"/>
        <v/>
      </c>
      <c r="FZ143" t="str">
        <f t="shared" si="109"/>
        <v/>
      </c>
      <c r="GC143" t="str">
        <f t="shared" si="110"/>
        <v/>
      </c>
      <c r="GE143" s="155"/>
    </row>
    <row r="144" spans="1:187" ht="15" customHeight="1" x14ac:dyDescent="0.35">
      <c r="B144"/>
      <c r="L144" s="10">
        <v>1034046</v>
      </c>
      <c r="O144" s="199">
        <v>5</v>
      </c>
      <c r="P144" s="200">
        <v>745338</v>
      </c>
      <c r="Q144" s="200">
        <v>14</v>
      </c>
      <c r="R144" s="200"/>
      <c r="S144" s="190">
        <v>12.25</v>
      </c>
      <c r="T144" s="190" t="s">
        <v>747</v>
      </c>
      <c r="U144" s="190">
        <v>870474</v>
      </c>
      <c r="V144" s="171" t="s">
        <v>91</v>
      </c>
      <c r="W144" s="217">
        <v>3</v>
      </c>
      <c r="X144" s="217">
        <v>3</v>
      </c>
      <c r="Y144" s="217">
        <v>3</v>
      </c>
      <c r="Z144" s="217">
        <v>4</v>
      </c>
      <c r="AA144" s="217">
        <v>4</v>
      </c>
      <c r="AB144" s="217">
        <v>4</v>
      </c>
      <c r="AC144" s="217">
        <v>5</v>
      </c>
      <c r="AD144" s="217">
        <v>5</v>
      </c>
      <c r="AE144" s="223">
        <v>5</v>
      </c>
      <c r="AF144" s="223">
        <v>1</v>
      </c>
      <c r="AG144" s="217">
        <v>1</v>
      </c>
      <c r="AH144" s="188"/>
      <c r="AI144" s="188"/>
      <c r="AJ144" s="188"/>
      <c r="AK144" s="188"/>
      <c r="AL144" s="188"/>
      <c r="AM144" s="188"/>
      <c r="AN144" s="188"/>
      <c r="AO144" s="188"/>
      <c r="AP144" s="188"/>
      <c r="AQ144" s="188"/>
      <c r="AR144" s="188"/>
      <c r="AS144" s="188"/>
      <c r="AT144" s="188"/>
      <c r="AU144" s="188"/>
      <c r="AV144" s="188"/>
      <c r="AW144" s="188"/>
      <c r="AX144" s="188"/>
      <c r="AY144" s="188"/>
      <c r="AZ144" s="188"/>
      <c r="BA144" s="188"/>
      <c r="BB144" s="188"/>
      <c r="BC144" s="188"/>
      <c r="BD144" s="188"/>
      <c r="BF144">
        <f>ROWS($U$46:U144)</f>
        <v>99</v>
      </c>
      <c r="BG144" t="str">
        <f t="shared" si="91"/>
        <v/>
      </c>
      <c r="DB144" s="10">
        <v>1104083</v>
      </c>
      <c r="DE144" s="10">
        <v>1050703</v>
      </c>
      <c r="DF144" t="s">
        <v>1317</v>
      </c>
      <c r="DG144" s="10" t="s">
        <v>1317</v>
      </c>
      <c r="DH144" s="10">
        <v>13</v>
      </c>
      <c r="DI144" s="10">
        <v>1318</v>
      </c>
      <c r="DJ144" s="10" t="s">
        <v>1310</v>
      </c>
      <c r="DK144" s="10" t="s">
        <v>1311</v>
      </c>
      <c r="DO144" s="555">
        <v>360</v>
      </c>
      <c r="DR144" s="37" t="str">
        <f t="shared" si="92"/>
        <v>1318 CT221 R1</v>
      </c>
      <c r="DS144" s="37">
        <f t="shared" si="111"/>
        <v>0</v>
      </c>
      <c r="DV144" s="10" t="s">
        <v>1752</v>
      </c>
      <c r="DW144" t="s">
        <v>1589</v>
      </c>
      <c r="DX144">
        <v>50</v>
      </c>
      <c r="DY144" t="s">
        <v>1797</v>
      </c>
      <c r="DZ144" t="s">
        <v>1670</v>
      </c>
      <c r="EA144">
        <v>1</v>
      </c>
      <c r="EB144" t="s">
        <v>1513</v>
      </c>
      <c r="EC144" s="10">
        <v>202</v>
      </c>
      <c r="ED144" s="10" t="s">
        <v>1798</v>
      </c>
      <c r="EE144" s="813">
        <f t="shared" si="93"/>
        <v>0</v>
      </c>
      <c r="EF144">
        <f>ROWS($DE$2:DE144)</f>
        <v>143</v>
      </c>
      <c r="EG144" t="str">
        <f t="shared" si="94"/>
        <v/>
      </c>
      <c r="EJ144" t="str">
        <f t="shared" si="95"/>
        <v/>
      </c>
      <c r="EM144" t="str">
        <f t="shared" si="96"/>
        <v/>
      </c>
      <c r="EP144" t="str">
        <f t="shared" si="97"/>
        <v/>
      </c>
      <c r="ES144" t="str">
        <f t="shared" si="98"/>
        <v/>
      </c>
      <c r="EV144" t="str">
        <f t="shared" si="99"/>
        <v/>
      </c>
      <c r="EY144" t="str">
        <f t="shared" si="100"/>
        <v/>
      </c>
      <c r="FB144" t="str">
        <f t="shared" si="101"/>
        <v/>
      </c>
      <c r="FE144" t="str">
        <f t="shared" si="102"/>
        <v/>
      </c>
      <c r="FH144" t="str">
        <f t="shared" si="103"/>
        <v/>
      </c>
      <c r="FK144" t="str">
        <f t="shared" si="104"/>
        <v/>
      </c>
      <c r="FN144" t="str">
        <f t="shared" si="105"/>
        <v/>
      </c>
      <c r="FQ144" t="str">
        <f t="shared" si="106"/>
        <v/>
      </c>
      <c r="FT144" t="str">
        <f t="shared" si="107"/>
        <v/>
      </c>
      <c r="FW144" t="str">
        <f t="shared" si="108"/>
        <v/>
      </c>
      <c r="FZ144" t="str">
        <f t="shared" si="109"/>
        <v/>
      </c>
      <c r="GC144" t="str">
        <f t="shared" si="110"/>
        <v/>
      </c>
      <c r="GE144" s="155"/>
    </row>
    <row r="145" spans="1:187" ht="15.75" customHeight="1" thickBot="1" x14ac:dyDescent="0.4">
      <c r="B145"/>
      <c r="L145" s="10">
        <v>1038108</v>
      </c>
      <c r="O145" s="213"/>
      <c r="P145" s="214"/>
      <c r="Q145" s="214"/>
      <c r="R145" s="201"/>
      <c r="S145" s="210">
        <v>12.25</v>
      </c>
      <c r="T145" s="194" t="s">
        <v>747</v>
      </c>
      <c r="U145" s="194">
        <v>870474</v>
      </c>
      <c r="V145" s="195" t="s">
        <v>92</v>
      </c>
      <c r="W145" s="223">
        <v>4</v>
      </c>
      <c r="X145" s="223">
        <v>4</v>
      </c>
      <c r="Y145" s="223">
        <v>4</v>
      </c>
      <c r="Z145" s="223">
        <v>4</v>
      </c>
      <c r="AA145" s="223">
        <v>5</v>
      </c>
      <c r="AB145" s="223">
        <v>5</v>
      </c>
      <c r="AC145" s="223">
        <v>1</v>
      </c>
      <c r="AD145" s="223">
        <v>2</v>
      </c>
      <c r="AE145" s="224"/>
      <c r="AF145" s="222"/>
      <c r="AG145" s="222"/>
      <c r="AH145" s="188"/>
      <c r="AI145" s="188"/>
      <c r="AJ145" s="188"/>
      <c r="AK145" s="188"/>
      <c r="AL145" s="188"/>
      <c r="AM145" s="188"/>
      <c r="AN145" s="188"/>
      <c r="AO145" s="188"/>
      <c r="AP145" s="188"/>
      <c r="AQ145" s="188"/>
      <c r="AR145" s="188"/>
      <c r="AS145" s="188"/>
      <c r="AT145" s="188"/>
      <c r="AU145" s="188"/>
      <c r="AV145" s="188"/>
      <c r="AW145" s="188"/>
      <c r="AX145" s="188"/>
      <c r="AY145" s="188"/>
      <c r="AZ145" s="188"/>
      <c r="BA145" s="188"/>
      <c r="BB145" s="188"/>
      <c r="BC145" s="188"/>
      <c r="BD145" s="188"/>
      <c r="BF145">
        <f>ROWS($U$46:U145)</f>
        <v>100</v>
      </c>
      <c r="BG145" t="str">
        <f t="shared" si="91"/>
        <v/>
      </c>
      <c r="DB145" s="10">
        <v>1136984</v>
      </c>
      <c r="DE145" s="10">
        <v>745174</v>
      </c>
      <c r="DF145" t="s">
        <v>1297</v>
      </c>
      <c r="DG145" s="10" t="s">
        <v>1297</v>
      </c>
      <c r="DH145" s="10">
        <v>13</v>
      </c>
      <c r="DI145" s="10">
        <v>1313</v>
      </c>
      <c r="DJ145" s="10" t="s">
        <v>262</v>
      </c>
      <c r="DL145" s="10" t="s">
        <v>1312</v>
      </c>
      <c r="DO145" s="555">
        <v>360</v>
      </c>
      <c r="DR145" s="37" t="str">
        <f t="shared" si="92"/>
        <v xml:space="preserve">1313 CT80 </v>
      </c>
      <c r="DS145" s="37">
        <f t="shared" si="111"/>
        <v>0</v>
      </c>
      <c r="DV145" s="10" t="s">
        <v>146</v>
      </c>
      <c r="DW145" t="s">
        <v>1589</v>
      </c>
      <c r="DX145">
        <v>10</v>
      </c>
      <c r="DY145" t="s">
        <v>1675</v>
      </c>
      <c r="DZ145" t="s">
        <v>1670</v>
      </c>
      <c r="EA145">
        <v>1</v>
      </c>
      <c r="EB145" t="s">
        <v>1513</v>
      </c>
      <c r="EC145" s="10">
        <v>345</v>
      </c>
      <c r="ED145" s="10" t="s">
        <v>1738</v>
      </c>
      <c r="EE145" s="813">
        <f t="shared" si="93"/>
        <v>0</v>
      </c>
      <c r="EF145">
        <f>ROWS($DE$2:DE145)</f>
        <v>144</v>
      </c>
      <c r="EG145" t="str">
        <f t="shared" si="94"/>
        <v/>
      </c>
      <c r="EJ145" t="str">
        <f t="shared" si="95"/>
        <v/>
      </c>
      <c r="EM145" t="str">
        <f t="shared" si="96"/>
        <v/>
      </c>
      <c r="EP145" t="str">
        <f t="shared" si="97"/>
        <v/>
      </c>
      <c r="ES145" t="str">
        <f t="shared" si="98"/>
        <v/>
      </c>
      <c r="EV145" t="str">
        <f t="shared" si="99"/>
        <v/>
      </c>
      <c r="EY145" t="str">
        <f t="shared" si="100"/>
        <v/>
      </c>
      <c r="FB145" t="str">
        <f t="shared" si="101"/>
        <v/>
      </c>
      <c r="FE145" t="str">
        <f t="shared" si="102"/>
        <v/>
      </c>
      <c r="FH145" t="str">
        <f t="shared" si="103"/>
        <v/>
      </c>
      <c r="FK145" t="str">
        <f t="shared" si="104"/>
        <v/>
      </c>
      <c r="FN145" t="str">
        <f t="shared" si="105"/>
        <v/>
      </c>
      <c r="FQ145" t="str">
        <f t="shared" si="106"/>
        <v/>
      </c>
      <c r="FT145" t="str">
        <f t="shared" si="107"/>
        <v/>
      </c>
      <c r="FW145" t="str">
        <f t="shared" si="108"/>
        <v/>
      </c>
      <c r="FZ145" t="str">
        <f t="shared" si="109"/>
        <v/>
      </c>
      <c r="GC145" t="str">
        <f t="shared" si="110"/>
        <v/>
      </c>
      <c r="GE145" s="155"/>
    </row>
    <row r="146" spans="1:187" ht="15" customHeight="1" x14ac:dyDescent="0.35">
      <c r="B146"/>
      <c r="L146" s="10">
        <v>1040699</v>
      </c>
      <c r="O146" s="211">
        <v>1</v>
      </c>
      <c r="P146" s="212">
        <v>907609</v>
      </c>
      <c r="Q146" s="212">
        <v>20</v>
      </c>
      <c r="R146" s="212"/>
      <c r="S146" s="182">
        <v>6.125</v>
      </c>
      <c r="T146" s="198" t="s">
        <v>73</v>
      </c>
      <c r="U146" s="198">
        <v>1061431</v>
      </c>
      <c r="V146" s="183" t="s">
        <v>87</v>
      </c>
      <c r="W146" s="184">
        <v>2</v>
      </c>
      <c r="X146" s="185">
        <v>1</v>
      </c>
      <c r="Y146" s="185">
        <v>1</v>
      </c>
      <c r="Z146" s="185">
        <v>1</v>
      </c>
      <c r="AA146" s="185">
        <v>1</v>
      </c>
      <c r="AB146" s="185">
        <v>1</v>
      </c>
      <c r="AC146" s="185">
        <v>3</v>
      </c>
      <c r="AD146" s="185">
        <v>3</v>
      </c>
      <c r="AE146" s="177"/>
      <c r="AF146" s="188"/>
      <c r="AG146" s="188"/>
      <c r="AH146" s="188"/>
      <c r="AI146" s="188"/>
      <c r="AJ146" s="188"/>
      <c r="AK146" s="188"/>
      <c r="AL146" s="188"/>
      <c r="AM146" s="188"/>
      <c r="AN146" s="188"/>
      <c r="AO146" s="188"/>
      <c r="AP146" s="188"/>
      <c r="AQ146" s="188"/>
      <c r="AR146" s="188"/>
      <c r="AS146" s="188"/>
      <c r="AT146" s="188"/>
      <c r="AU146" s="188"/>
      <c r="AV146" s="188"/>
      <c r="AW146" s="188"/>
      <c r="AX146" s="188"/>
      <c r="AY146" s="188"/>
      <c r="AZ146" s="188"/>
      <c r="BA146" s="188"/>
      <c r="BB146" s="188"/>
      <c r="BC146" s="188"/>
      <c r="BD146" s="188"/>
      <c r="BF146">
        <f>ROWS($U$46:U146)</f>
        <v>101</v>
      </c>
      <c r="BG146" t="str">
        <f t="shared" si="91"/>
        <v/>
      </c>
      <c r="DB146" s="10">
        <v>1101509</v>
      </c>
      <c r="DE146" s="10">
        <v>933119</v>
      </c>
      <c r="DF146" t="s">
        <v>1299</v>
      </c>
      <c r="DG146" s="10" t="s">
        <v>1299</v>
      </c>
      <c r="DH146" s="10">
        <v>16</v>
      </c>
      <c r="DI146" s="10">
        <v>1613</v>
      </c>
      <c r="DJ146" s="10" t="s">
        <v>266</v>
      </c>
      <c r="DK146" s="10" t="s">
        <v>272</v>
      </c>
      <c r="DL146" s="10" t="s">
        <v>239</v>
      </c>
      <c r="DO146" s="555">
        <v>497</v>
      </c>
      <c r="DR146" s="37" t="str">
        <f t="shared" si="92"/>
        <v>1613 CT405 GEDB</v>
      </c>
      <c r="DS146" s="37">
        <f t="shared" si="111"/>
        <v>0</v>
      </c>
      <c r="DV146" s="10" t="s">
        <v>732</v>
      </c>
      <c r="DW146" t="s">
        <v>1590</v>
      </c>
      <c r="DX146">
        <v>20</v>
      </c>
      <c r="DY146" t="s">
        <v>1680</v>
      </c>
      <c r="DZ146" t="s">
        <v>1668</v>
      </c>
      <c r="EA146">
        <v>1</v>
      </c>
      <c r="EB146" t="s">
        <v>1513</v>
      </c>
      <c r="EC146" s="10">
        <v>545</v>
      </c>
      <c r="ED146" s="10" t="s">
        <v>1743</v>
      </c>
      <c r="EE146" s="813">
        <f t="shared" si="93"/>
        <v>0</v>
      </c>
      <c r="EF146">
        <f>ROWS($DE$2:DE146)</f>
        <v>145</v>
      </c>
      <c r="EG146" t="str">
        <f t="shared" si="94"/>
        <v/>
      </c>
      <c r="EJ146" t="str">
        <f t="shared" si="95"/>
        <v/>
      </c>
      <c r="EM146" t="str">
        <f t="shared" si="96"/>
        <v/>
      </c>
      <c r="EP146" t="str">
        <f t="shared" si="97"/>
        <v/>
      </c>
      <c r="ES146" t="str">
        <f t="shared" si="98"/>
        <v/>
      </c>
      <c r="EV146" t="str">
        <f t="shared" si="99"/>
        <v/>
      </c>
      <c r="EY146" t="str">
        <f t="shared" si="100"/>
        <v/>
      </c>
      <c r="FB146" t="str">
        <f t="shared" si="101"/>
        <v/>
      </c>
      <c r="FE146" t="str">
        <f t="shared" si="102"/>
        <v/>
      </c>
      <c r="FH146" t="str">
        <f t="shared" si="103"/>
        <v/>
      </c>
      <c r="FK146" t="str">
        <f t="shared" si="104"/>
        <v/>
      </c>
      <c r="FN146" t="str">
        <f t="shared" si="105"/>
        <v/>
      </c>
      <c r="FQ146" t="str">
        <f t="shared" si="106"/>
        <v/>
      </c>
      <c r="FT146" t="str">
        <f t="shared" si="107"/>
        <v/>
      </c>
      <c r="FW146" t="str">
        <f t="shared" si="108"/>
        <v/>
      </c>
      <c r="FZ146" t="str">
        <f t="shared" si="109"/>
        <v/>
      </c>
      <c r="GC146" t="str">
        <f t="shared" si="110"/>
        <v/>
      </c>
      <c r="GE146" s="155"/>
    </row>
    <row r="147" spans="1:187" ht="15" customHeight="1" x14ac:dyDescent="0.35">
      <c r="B147"/>
      <c r="L147" s="10">
        <v>1041191</v>
      </c>
      <c r="O147" s="197">
        <v>2</v>
      </c>
      <c r="P147" s="190">
        <v>703670</v>
      </c>
      <c r="Q147" s="190">
        <v>3</v>
      </c>
      <c r="R147" s="190" t="s">
        <v>1113</v>
      </c>
      <c r="S147" s="190">
        <v>6.125</v>
      </c>
      <c r="T147" s="201" t="s">
        <v>73</v>
      </c>
      <c r="U147" s="201">
        <v>1061431</v>
      </c>
      <c r="V147" s="171" t="s">
        <v>88</v>
      </c>
      <c r="W147" s="191">
        <v>1</v>
      </c>
      <c r="X147" s="173">
        <v>1</v>
      </c>
      <c r="Y147" s="173">
        <v>1</v>
      </c>
      <c r="Z147" s="173">
        <v>3</v>
      </c>
      <c r="AA147" s="173">
        <v>3</v>
      </c>
      <c r="AB147" s="171"/>
      <c r="AC147" s="172"/>
      <c r="AD147" s="175"/>
      <c r="AE147" s="65"/>
      <c r="AF147" s="188"/>
      <c r="AG147" s="188"/>
      <c r="AH147" s="188"/>
      <c r="AI147" s="188"/>
      <c r="AJ147" s="188"/>
      <c r="AK147" s="188"/>
      <c r="AL147" s="188"/>
      <c r="AM147" s="188"/>
      <c r="AN147" s="188"/>
      <c r="AO147" s="188"/>
      <c r="AP147" s="188"/>
      <c r="AQ147" s="188"/>
      <c r="AR147" s="188"/>
      <c r="AS147" s="188"/>
      <c r="AT147" s="188"/>
      <c r="AU147" s="188"/>
      <c r="AV147" s="188"/>
      <c r="AW147" s="188"/>
      <c r="AX147" s="188"/>
      <c r="AY147" s="188"/>
      <c r="AZ147" s="188"/>
      <c r="BA147" s="188"/>
      <c r="BB147" s="188"/>
      <c r="BC147" s="188"/>
      <c r="BD147" s="188"/>
      <c r="BF147">
        <f>ROWS($U$46:U147)</f>
        <v>102</v>
      </c>
      <c r="BG147" t="str">
        <f t="shared" si="91"/>
        <v/>
      </c>
      <c r="DB147" s="10">
        <v>745337</v>
      </c>
      <c r="DE147" s="10">
        <v>733670</v>
      </c>
      <c r="DF147" t="s">
        <v>187</v>
      </c>
      <c r="DG147" s="10" t="s">
        <v>187</v>
      </c>
      <c r="DH147" s="10">
        <v>13</v>
      </c>
      <c r="DI147" s="10">
        <v>1313</v>
      </c>
      <c r="DJ147" s="10" t="s">
        <v>101</v>
      </c>
      <c r="DL147" s="10" t="s">
        <v>239</v>
      </c>
      <c r="DO147" s="555">
        <v>360</v>
      </c>
      <c r="DR147" s="37" t="str">
        <f t="shared" si="92"/>
        <v xml:space="preserve">1313 CT200 </v>
      </c>
      <c r="DS147" s="37">
        <f t="shared" si="111"/>
        <v>0</v>
      </c>
      <c r="DV147" s="10" t="s">
        <v>146</v>
      </c>
      <c r="DW147" t="s">
        <v>1589</v>
      </c>
      <c r="DX147">
        <v>10</v>
      </c>
      <c r="DY147" t="s">
        <v>1675</v>
      </c>
      <c r="DZ147" t="s">
        <v>1670</v>
      </c>
      <c r="EA147">
        <v>1</v>
      </c>
      <c r="EB147" t="s">
        <v>1513</v>
      </c>
      <c r="EC147" s="10">
        <v>345</v>
      </c>
      <c r="ED147" s="10" t="s">
        <v>1738</v>
      </c>
      <c r="EE147" s="813">
        <f t="shared" si="93"/>
        <v>0</v>
      </c>
      <c r="EF147">
        <f>ROWS($DE$2:DE147)</f>
        <v>146</v>
      </c>
      <c r="EG147" t="str">
        <f t="shared" si="94"/>
        <v/>
      </c>
      <c r="EJ147" t="str">
        <f t="shared" si="95"/>
        <v/>
      </c>
      <c r="EM147" t="str">
        <f t="shared" si="96"/>
        <v/>
      </c>
      <c r="EP147" t="str">
        <f t="shared" si="97"/>
        <v/>
      </c>
      <c r="ES147" t="str">
        <f t="shared" si="98"/>
        <v/>
      </c>
      <c r="EV147" t="str">
        <f t="shared" si="99"/>
        <v/>
      </c>
      <c r="EY147" t="str">
        <f t="shared" si="100"/>
        <v/>
      </c>
      <c r="FB147" t="str">
        <f t="shared" si="101"/>
        <v/>
      </c>
      <c r="FE147" t="str">
        <f t="shared" si="102"/>
        <v/>
      </c>
      <c r="FH147" t="str">
        <f t="shared" si="103"/>
        <v/>
      </c>
      <c r="FK147" t="str">
        <f t="shared" si="104"/>
        <v/>
      </c>
      <c r="FN147" t="str">
        <f t="shared" si="105"/>
        <v/>
      </c>
      <c r="FQ147" t="str">
        <f t="shared" si="106"/>
        <v/>
      </c>
      <c r="FT147" t="str">
        <f t="shared" si="107"/>
        <v/>
      </c>
      <c r="FW147" t="str">
        <f t="shared" si="108"/>
        <v/>
      </c>
      <c r="FZ147" t="str">
        <f t="shared" si="109"/>
        <v/>
      </c>
      <c r="GC147" t="str">
        <f t="shared" si="110"/>
        <v/>
      </c>
      <c r="GE147" s="155"/>
    </row>
    <row r="148" spans="1:187" ht="15" customHeight="1" x14ac:dyDescent="0.35">
      <c r="B148"/>
      <c r="L148" s="10">
        <v>1041673</v>
      </c>
      <c r="O148" s="199">
        <v>3</v>
      </c>
      <c r="P148" s="200">
        <v>418525</v>
      </c>
      <c r="Q148" s="200">
        <v>10</v>
      </c>
      <c r="R148" s="200"/>
      <c r="S148" s="190">
        <v>6.125</v>
      </c>
      <c r="T148" s="201" t="s">
        <v>73</v>
      </c>
      <c r="U148" s="201">
        <v>1061431</v>
      </c>
      <c r="V148" s="171" t="s">
        <v>89</v>
      </c>
      <c r="W148" s="191">
        <v>2</v>
      </c>
      <c r="X148" s="173">
        <v>1</v>
      </c>
      <c r="Y148" s="173">
        <v>1</v>
      </c>
      <c r="Z148" s="173">
        <v>1</v>
      </c>
      <c r="AA148" s="173">
        <v>1</v>
      </c>
      <c r="AB148" s="173">
        <v>3</v>
      </c>
      <c r="AC148" s="173">
        <v>3</v>
      </c>
      <c r="AD148" s="192"/>
      <c r="AE148" s="65"/>
      <c r="AF148" s="188"/>
      <c r="AG148" s="188"/>
      <c r="AH148" s="188"/>
      <c r="AI148" s="188"/>
      <c r="AJ148" s="188"/>
      <c r="AK148" s="188"/>
      <c r="AL148" s="188"/>
      <c r="AM148" s="188"/>
      <c r="AN148" s="188"/>
      <c r="AO148" s="188"/>
      <c r="AP148" s="188"/>
      <c r="AQ148" s="188"/>
      <c r="AR148" s="188"/>
      <c r="AS148" s="188"/>
      <c r="AT148" s="188"/>
      <c r="AU148" s="188"/>
      <c r="AV148" s="188"/>
      <c r="AW148" s="188"/>
      <c r="AX148" s="188"/>
      <c r="AY148" s="188"/>
      <c r="AZ148" s="188"/>
      <c r="BA148" s="188"/>
      <c r="BB148" s="188"/>
      <c r="BC148" s="188"/>
      <c r="BD148" s="188"/>
      <c r="BF148">
        <f>ROWS($U$46:U148)</f>
        <v>103</v>
      </c>
      <c r="BG148" t="str">
        <f t="shared" si="91"/>
        <v/>
      </c>
      <c r="DB148" s="10">
        <v>1037276</v>
      </c>
      <c r="DE148" s="10">
        <v>513509</v>
      </c>
      <c r="DF148" t="s">
        <v>1300</v>
      </c>
      <c r="DG148" s="10" t="s">
        <v>1300</v>
      </c>
      <c r="DH148" s="10">
        <v>13</v>
      </c>
      <c r="DI148" s="10">
        <v>1308</v>
      </c>
      <c r="DJ148" s="10" t="s">
        <v>1313</v>
      </c>
      <c r="DK148" s="10" t="s">
        <v>1314</v>
      </c>
      <c r="DO148" s="555">
        <v>360</v>
      </c>
      <c r="DR148" s="37" t="str">
        <f t="shared" si="92"/>
        <v>1308 CT23-4X DROP-IN</v>
      </c>
      <c r="DS148" s="37">
        <f t="shared" si="111"/>
        <v>0</v>
      </c>
      <c r="DV148" s="10" t="s">
        <v>146</v>
      </c>
      <c r="DW148" t="s">
        <v>1589</v>
      </c>
      <c r="DX148">
        <v>10</v>
      </c>
      <c r="DY148" t="s">
        <v>1806</v>
      </c>
      <c r="DZ148" t="s">
        <v>1670</v>
      </c>
      <c r="EA148">
        <v>1</v>
      </c>
      <c r="EB148" t="s">
        <v>1513</v>
      </c>
      <c r="EC148" s="10">
        <v>345</v>
      </c>
      <c r="ED148" s="10" t="s">
        <v>1738</v>
      </c>
      <c r="EE148" s="813">
        <f t="shared" si="93"/>
        <v>0</v>
      </c>
      <c r="EF148">
        <f>ROWS($DE$2:DE148)</f>
        <v>147</v>
      </c>
      <c r="EG148" t="str">
        <f t="shared" si="94"/>
        <v/>
      </c>
      <c r="EJ148" t="str">
        <f t="shared" si="95"/>
        <v/>
      </c>
      <c r="EM148" t="str">
        <f t="shared" si="96"/>
        <v/>
      </c>
      <c r="EP148" t="str">
        <f t="shared" si="97"/>
        <v/>
      </c>
      <c r="ES148" t="str">
        <f t="shared" si="98"/>
        <v/>
      </c>
      <c r="EV148" t="str">
        <f t="shared" si="99"/>
        <v/>
      </c>
      <c r="EY148" t="str">
        <f t="shared" si="100"/>
        <v/>
      </c>
      <c r="FB148" t="str">
        <f t="shared" si="101"/>
        <v/>
      </c>
      <c r="FE148" t="str">
        <f t="shared" si="102"/>
        <v/>
      </c>
      <c r="FH148" t="str">
        <f t="shared" si="103"/>
        <v/>
      </c>
      <c r="FK148" t="str">
        <f t="shared" si="104"/>
        <v/>
      </c>
      <c r="FN148" t="str">
        <f t="shared" si="105"/>
        <v/>
      </c>
      <c r="FQ148" t="str">
        <f t="shared" si="106"/>
        <v/>
      </c>
      <c r="FT148" t="str">
        <f t="shared" si="107"/>
        <v/>
      </c>
      <c r="FW148" t="str">
        <f t="shared" si="108"/>
        <v/>
      </c>
      <c r="FZ148" t="str">
        <f t="shared" si="109"/>
        <v/>
      </c>
      <c r="GC148" t="str">
        <f t="shared" si="110"/>
        <v/>
      </c>
      <c r="GE148" s="155"/>
    </row>
    <row r="149" spans="1:187" ht="15" customHeight="1" x14ac:dyDescent="0.35">
      <c r="B149"/>
      <c r="L149" s="10">
        <v>1053617</v>
      </c>
      <c r="O149" s="202"/>
      <c r="P149" s="203"/>
      <c r="Q149" s="203"/>
      <c r="R149" s="204"/>
      <c r="S149" s="201">
        <v>6.125</v>
      </c>
      <c r="T149" s="201" t="s">
        <v>73</v>
      </c>
      <c r="U149" s="201">
        <v>1061431</v>
      </c>
      <c r="V149" s="171" t="s">
        <v>90</v>
      </c>
      <c r="W149" s="191">
        <v>2</v>
      </c>
      <c r="X149" s="173">
        <v>1</v>
      </c>
      <c r="Y149" s="173">
        <v>1</v>
      </c>
      <c r="Z149" s="173">
        <v>1</v>
      </c>
      <c r="AA149" s="173">
        <v>1</v>
      </c>
      <c r="AB149" s="173">
        <v>1</v>
      </c>
      <c r="AC149" s="173">
        <v>3</v>
      </c>
      <c r="AD149" s="173">
        <v>3</v>
      </c>
      <c r="AE149" s="177"/>
      <c r="AF149" s="188"/>
      <c r="AG149" s="188"/>
      <c r="AH149" s="188"/>
      <c r="AI149" s="188"/>
      <c r="AJ149" s="188"/>
      <c r="AK149" s="188"/>
      <c r="AL149" s="188"/>
      <c r="AM149" s="188"/>
      <c r="AN149" s="188"/>
      <c r="AO149" s="188"/>
      <c r="AP149" s="188"/>
      <c r="AQ149" s="188"/>
      <c r="AR149" s="188"/>
      <c r="AS149" s="188"/>
      <c r="AT149" s="188"/>
      <c r="AU149" s="188"/>
      <c r="AV149" s="188"/>
      <c r="AW149" s="188"/>
      <c r="AX149" s="188"/>
      <c r="AY149" s="188"/>
      <c r="AZ149" s="188"/>
      <c r="BA149" s="188"/>
      <c r="BB149" s="188"/>
      <c r="BC149" s="188"/>
      <c r="BD149" s="188"/>
      <c r="BF149">
        <f>ROWS($U$46:U149)</f>
        <v>104</v>
      </c>
      <c r="BG149" t="str">
        <f t="shared" si="91"/>
        <v/>
      </c>
      <c r="DB149" s="10">
        <v>948669</v>
      </c>
      <c r="DE149" s="10">
        <v>1144821</v>
      </c>
      <c r="DF149" t="s">
        <v>1363</v>
      </c>
      <c r="DG149" t="s">
        <v>1363</v>
      </c>
      <c r="DH149" s="10">
        <v>16</v>
      </c>
      <c r="DI149" s="10">
        <v>1613</v>
      </c>
      <c r="DJ149" s="10" t="s">
        <v>1223</v>
      </c>
      <c r="DL149" s="10" t="s">
        <v>240</v>
      </c>
      <c r="DO149" s="555">
        <v>497</v>
      </c>
      <c r="DR149" s="37" t="str">
        <f t="shared" si="92"/>
        <v xml:space="preserve">1613 CR42 </v>
      </c>
      <c r="DS149" s="37">
        <f t="shared" si="111"/>
        <v>0</v>
      </c>
      <c r="DV149" s="555" t="s">
        <v>1543</v>
      </c>
      <c r="DW149" t="s">
        <v>1543</v>
      </c>
      <c r="DX149" t="s">
        <v>1543</v>
      </c>
      <c r="DY149" t="s">
        <v>1543</v>
      </c>
      <c r="DZ149" t="s">
        <v>1543</v>
      </c>
      <c r="EA149" t="s">
        <v>1543</v>
      </c>
      <c r="EB149" t="s">
        <v>1543</v>
      </c>
      <c r="EC149" s="10" t="s">
        <v>1543</v>
      </c>
      <c r="ED149" s="10" t="s">
        <v>1543</v>
      </c>
      <c r="EE149" s="813">
        <f t="shared" si="93"/>
        <v>0</v>
      </c>
      <c r="EF149">
        <f>ROWS($DE$2:DE149)</f>
        <v>148</v>
      </c>
      <c r="EG149" t="str">
        <f t="shared" si="94"/>
        <v/>
      </c>
      <c r="EJ149" t="str">
        <f t="shared" si="95"/>
        <v/>
      </c>
      <c r="EM149" t="str">
        <f t="shared" si="96"/>
        <v/>
      </c>
      <c r="EP149" t="str">
        <f t="shared" si="97"/>
        <v/>
      </c>
      <c r="ES149" t="str">
        <f t="shared" si="98"/>
        <v/>
      </c>
      <c r="EV149" t="str">
        <f t="shared" si="99"/>
        <v/>
      </c>
      <c r="EY149" t="str">
        <f t="shared" si="100"/>
        <v/>
      </c>
      <c r="FB149" t="str">
        <f t="shared" si="101"/>
        <v/>
      </c>
      <c r="FE149" t="str">
        <f t="shared" si="102"/>
        <v/>
      </c>
      <c r="FH149" t="str">
        <f t="shared" si="103"/>
        <v/>
      </c>
      <c r="FK149" t="str">
        <f t="shared" si="104"/>
        <v/>
      </c>
      <c r="FN149" t="str">
        <f t="shared" si="105"/>
        <v/>
      </c>
      <c r="FQ149" t="str">
        <f t="shared" si="106"/>
        <v/>
      </c>
      <c r="FT149" t="str">
        <f t="shared" si="107"/>
        <v/>
      </c>
      <c r="FW149" t="str">
        <f t="shared" si="108"/>
        <v/>
      </c>
      <c r="FZ149" t="str">
        <f t="shared" si="109"/>
        <v/>
      </c>
      <c r="GC149" t="str">
        <f t="shared" si="110"/>
        <v/>
      </c>
      <c r="GE149" s="155"/>
    </row>
    <row r="150" spans="1:187" ht="15" customHeight="1" thickBot="1" x14ac:dyDescent="0.4">
      <c r="B150"/>
      <c r="L150" s="10">
        <v>1054398</v>
      </c>
      <c r="O150" s="207"/>
      <c r="P150" s="208"/>
      <c r="Q150" s="208"/>
      <c r="R150" s="209"/>
      <c r="S150" s="210">
        <v>6.125</v>
      </c>
      <c r="T150" s="210" t="s">
        <v>73</v>
      </c>
      <c r="U150" s="210">
        <v>1061431</v>
      </c>
      <c r="V150" s="195" t="s">
        <v>91</v>
      </c>
      <c r="W150" s="191">
        <v>1</v>
      </c>
      <c r="X150" s="173">
        <v>1</v>
      </c>
      <c r="Y150" s="173">
        <v>1</v>
      </c>
      <c r="Z150" s="173">
        <v>3</v>
      </c>
      <c r="AA150" s="173">
        <v>3</v>
      </c>
      <c r="AB150" s="195"/>
      <c r="AC150" s="216"/>
      <c r="AD150" s="216"/>
      <c r="AE150" s="218"/>
      <c r="AF150" s="225"/>
      <c r="AG150" s="188"/>
      <c r="AH150" s="188"/>
      <c r="AI150" s="188"/>
      <c r="AJ150" s="188"/>
      <c r="AK150" s="188"/>
      <c r="AL150" s="188"/>
      <c r="AM150" s="188"/>
      <c r="AN150" s="188"/>
      <c r="AO150" s="188"/>
      <c r="AP150" s="188"/>
      <c r="AQ150" s="188"/>
      <c r="AR150" s="188"/>
      <c r="AS150" s="188"/>
      <c r="AT150" s="188"/>
      <c r="AU150" s="188"/>
      <c r="AV150" s="188"/>
      <c r="AW150" s="188"/>
      <c r="AX150" s="188"/>
      <c r="AY150" s="188"/>
      <c r="AZ150" s="188"/>
      <c r="BA150" s="188"/>
      <c r="BB150" s="188"/>
      <c r="BC150" s="188"/>
      <c r="BD150" s="188"/>
      <c r="BF150">
        <f>ROWS($U$46:U150)</f>
        <v>105</v>
      </c>
      <c r="BG150" t="str">
        <f t="shared" si="91"/>
        <v/>
      </c>
      <c r="DB150" s="10">
        <v>177790</v>
      </c>
      <c r="DE150" s="10">
        <v>1104083</v>
      </c>
      <c r="DF150" t="s">
        <v>1365</v>
      </c>
      <c r="DG150" s="10" t="s">
        <v>1365</v>
      </c>
      <c r="DH150" s="10">
        <v>13</v>
      </c>
      <c r="DI150" s="10">
        <v>1313</v>
      </c>
      <c r="DJ150" s="10" t="s">
        <v>1368</v>
      </c>
      <c r="DL150" s="10" t="s">
        <v>239</v>
      </c>
      <c r="DO150" s="555">
        <v>360</v>
      </c>
      <c r="DR150" s="37" t="str">
        <f t="shared" si="92"/>
        <v xml:space="preserve">1313 2- SEAM CT145 </v>
      </c>
      <c r="DS150" s="37">
        <f t="shared" si="111"/>
        <v>0</v>
      </c>
      <c r="DV150" s="10" t="s">
        <v>49</v>
      </c>
      <c r="DW150" t="s">
        <v>1589</v>
      </c>
      <c r="DX150">
        <v>30</v>
      </c>
      <c r="DY150" t="s">
        <v>1799</v>
      </c>
      <c r="DZ150" t="s">
        <v>1670</v>
      </c>
      <c r="EA150">
        <v>1</v>
      </c>
      <c r="EB150" t="s">
        <v>1513</v>
      </c>
      <c r="EC150" s="10">
        <v>480</v>
      </c>
      <c r="ED150" s="10" t="s">
        <v>1740</v>
      </c>
      <c r="EE150" s="813">
        <f t="shared" si="93"/>
        <v>0</v>
      </c>
      <c r="EF150">
        <f>ROWS($DE$2:DE150)</f>
        <v>149</v>
      </c>
      <c r="EG150" t="str">
        <f t="shared" si="94"/>
        <v/>
      </c>
      <c r="EJ150" t="str">
        <f t="shared" si="95"/>
        <v/>
      </c>
      <c r="EM150" t="str">
        <f t="shared" si="96"/>
        <v/>
      </c>
      <c r="EP150" t="str">
        <f t="shared" si="97"/>
        <v/>
      </c>
      <c r="ES150" t="str">
        <f t="shared" si="98"/>
        <v/>
      </c>
      <c r="EV150" t="str">
        <f t="shared" si="99"/>
        <v/>
      </c>
      <c r="EY150" t="str">
        <f t="shared" si="100"/>
        <v/>
      </c>
      <c r="FB150" t="str">
        <f t="shared" si="101"/>
        <v/>
      </c>
      <c r="FE150" t="str">
        <f t="shared" si="102"/>
        <v/>
      </c>
      <c r="FH150" t="str">
        <f t="shared" si="103"/>
        <v/>
      </c>
      <c r="FK150" t="str">
        <f t="shared" si="104"/>
        <v/>
      </c>
      <c r="FN150" t="str">
        <f t="shared" si="105"/>
        <v/>
      </c>
      <c r="FQ150" t="str">
        <f t="shared" si="106"/>
        <v/>
      </c>
      <c r="FT150" t="str">
        <f t="shared" si="107"/>
        <v/>
      </c>
      <c r="FW150" t="str">
        <f t="shared" si="108"/>
        <v/>
      </c>
      <c r="FZ150" t="str">
        <f t="shared" si="109"/>
        <v/>
      </c>
      <c r="GC150" t="str">
        <f t="shared" si="110"/>
        <v/>
      </c>
      <c r="GE150" s="155"/>
    </row>
    <row r="151" spans="1:187" ht="15" customHeight="1" x14ac:dyDescent="0.35">
      <c r="B151"/>
      <c r="L151" s="10">
        <v>1055117</v>
      </c>
      <c r="O151" s="211"/>
      <c r="P151" s="212"/>
      <c r="Q151" s="212"/>
      <c r="R151" s="212"/>
      <c r="S151" s="182"/>
      <c r="T151" s="198"/>
      <c r="U151" s="198"/>
      <c r="V151" s="183"/>
      <c r="W151" s="184"/>
      <c r="X151" s="185"/>
      <c r="Y151" s="185"/>
      <c r="Z151" s="185"/>
      <c r="AA151" s="185"/>
      <c r="AB151" s="185"/>
      <c r="AC151" s="185"/>
      <c r="AD151" s="185"/>
      <c r="AE151" s="185"/>
      <c r="AF151" s="185"/>
      <c r="AG151" s="185"/>
      <c r="AH151" s="188"/>
      <c r="AI151" s="188"/>
      <c r="AJ151" s="188"/>
      <c r="AK151" s="188"/>
      <c r="AL151" s="188"/>
      <c r="AM151" s="188"/>
      <c r="AN151" s="188"/>
      <c r="AO151" s="188"/>
      <c r="AP151" s="188"/>
      <c r="AQ151" s="188"/>
      <c r="AR151" s="188"/>
      <c r="AS151" s="188"/>
      <c r="AT151" s="188"/>
      <c r="AU151" s="188"/>
      <c r="AV151" s="188"/>
      <c r="AW151" s="188"/>
      <c r="AX151" s="188"/>
      <c r="AY151" s="188"/>
      <c r="AZ151" s="188"/>
      <c r="BA151" s="188"/>
      <c r="BB151" s="188"/>
      <c r="BC151" s="188"/>
      <c r="BD151" s="188"/>
      <c r="BF151">
        <f>ROWS($U$46:U151)</f>
        <v>106</v>
      </c>
      <c r="BG151" t="str">
        <f t="shared" si="91"/>
        <v/>
      </c>
      <c r="DB151" s="10">
        <v>361965</v>
      </c>
      <c r="DE151" s="10">
        <v>1136984</v>
      </c>
      <c r="DF151" t="s">
        <v>1366</v>
      </c>
      <c r="DG151" s="10" t="s">
        <v>1366</v>
      </c>
      <c r="DH151" s="10">
        <v>13</v>
      </c>
      <c r="DI151" s="10">
        <v>1313</v>
      </c>
      <c r="DJ151" s="10" t="s">
        <v>1369</v>
      </c>
      <c r="DL151" s="10" t="s">
        <v>239</v>
      </c>
      <c r="DO151" s="555">
        <v>360</v>
      </c>
      <c r="DR151" s="37" t="str">
        <f t="shared" si="92"/>
        <v xml:space="preserve">1313 DBLCHT CT142 </v>
      </c>
      <c r="DS151" s="37">
        <f t="shared" si="111"/>
        <v>0</v>
      </c>
      <c r="DV151" s="555" t="s">
        <v>1543</v>
      </c>
      <c r="DW151" t="s">
        <v>1543</v>
      </c>
      <c r="DX151" t="s">
        <v>1543</v>
      </c>
      <c r="DY151" t="s">
        <v>1543</v>
      </c>
      <c r="DZ151" t="s">
        <v>1543</v>
      </c>
      <c r="EA151" t="s">
        <v>1543</v>
      </c>
      <c r="EB151" t="s">
        <v>1543</v>
      </c>
      <c r="EC151" s="10" t="s">
        <v>1543</v>
      </c>
      <c r="ED151" s="10" t="s">
        <v>1543</v>
      </c>
      <c r="EE151" s="813">
        <f t="shared" si="93"/>
        <v>0</v>
      </c>
      <c r="EF151">
        <f>ROWS($DE$2:DE151)</f>
        <v>150</v>
      </c>
      <c r="EG151" t="str">
        <f t="shared" si="94"/>
        <v/>
      </c>
      <c r="EJ151" t="str">
        <f t="shared" si="95"/>
        <v/>
      </c>
      <c r="EM151" t="str">
        <f t="shared" si="96"/>
        <v/>
      </c>
      <c r="EP151" t="str">
        <f t="shared" si="97"/>
        <v/>
      </c>
      <c r="ES151" t="str">
        <f t="shared" si="98"/>
        <v/>
      </c>
      <c r="EV151" t="str">
        <f t="shared" si="99"/>
        <v/>
      </c>
      <c r="EY151" t="str">
        <f t="shared" si="100"/>
        <v/>
      </c>
      <c r="FB151" t="str">
        <f t="shared" si="101"/>
        <v/>
      </c>
      <c r="FE151" t="str">
        <f t="shared" si="102"/>
        <v/>
      </c>
      <c r="FH151" t="str">
        <f t="shared" si="103"/>
        <v/>
      </c>
      <c r="FK151" t="str">
        <f t="shared" si="104"/>
        <v/>
      </c>
      <c r="FN151" t="str">
        <f t="shared" si="105"/>
        <v/>
      </c>
      <c r="FQ151" t="str">
        <f t="shared" si="106"/>
        <v/>
      </c>
      <c r="FT151" t="str">
        <f t="shared" si="107"/>
        <v/>
      </c>
      <c r="FW151" t="str">
        <f t="shared" si="108"/>
        <v/>
      </c>
      <c r="FZ151" t="str">
        <f t="shared" si="109"/>
        <v/>
      </c>
      <c r="GC151" t="str">
        <f t="shared" si="110"/>
        <v/>
      </c>
      <c r="GE151" s="155"/>
    </row>
    <row r="152" spans="1:187" ht="15" customHeight="1" x14ac:dyDescent="0.35">
      <c r="B152"/>
      <c r="L152" s="10">
        <v>1056029</v>
      </c>
      <c r="O152" s="197"/>
      <c r="P152" s="190"/>
      <c r="Q152" s="190"/>
      <c r="R152" s="190"/>
      <c r="S152" s="190"/>
      <c r="T152" s="201"/>
      <c r="U152" s="201"/>
      <c r="V152" s="171"/>
      <c r="W152" s="191"/>
      <c r="X152" s="173"/>
      <c r="Y152" s="173"/>
      <c r="Z152" s="173"/>
      <c r="AA152" s="173"/>
      <c r="AB152" s="173"/>
      <c r="AC152" s="173"/>
      <c r="AD152" s="171"/>
      <c r="AE152" s="172"/>
      <c r="AF152" s="172"/>
      <c r="AG152" s="175"/>
      <c r="AH152" s="188"/>
      <c r="AI152" s="188"/>
      <c r="AJ152" s="188"/>
      <c r="AK152" s="188"/>
      <c r="AL152" s="188"/>
      <c r="AM152" s="188"/>
      <c r="AN152" s="188"/>
      <c r="AO152" s="188"/>
      <c r="AP152" s="188"/>
      <c r="AQ152" s="188"/>
      <c r="AR152" s="188"/>
      <c r="AS152" s="188"/>
      <c r="AT152" s="188"/>
      <c r="AU152" s="188"/>
      <c r="AV152" s="188"/>
      <c r="AW152" s="188"/>
      <c r="AX152" s="188"/>
      <c r="AY152" s="188"/>
      <c r="AZ152" s="188"/>
      <c r="BA152" s="188"/>
      <c r="BB152" s="188"/>
      <c r="BC152" s="188"/>
      <c r="BD152" s="188"/>
      <c r="BF152">
        <f>ROWS($U$46:U152)</f>
        <v>107</v>
      </c>
      <c r="BG152" t="str">
        <f t="shared" si="91"/>
        <v/>
      </c>
      <c r="DB152" s="10">
        <v>1144689</v>
      </c>
      <c r="DE152" s="10">
        <v>1101509</v>
      </c>
      <c r="DF152" t="s">
        <v>1367</v>
      </c>
      <c r="DG152" s="10" t="s">
        <v>1367</v>
      </c>
      <c r="DH152" s="10" t="s">
        <v>927</v>
      </c>
      <c r="DI152" s="10" t="s">
        <v>927</v>
      </c>
      <c r="DK152" s="10" t="s">
        <v>1370</v>
      </c>
      <c r="DO152" s="555">
        <v>272</v>
      </c>
      <c r="DR152" s="37" t="str">
        <f t="shared" si="92"/>
        <v>08  Short Soft Carbide Impact Arestor</v>
      </c>
      <c r="DS152" s="37">
        <f t="shared" si="111"/>
        <v>0</v>
      </c>
      <c r="DV152" s="10" t="s">
        <v>1753</v>
      </c>
      <c r="DW152" t="s">
        <v>1587</v>
      </c>
      <c r="DX152">
        <v>10</v>
      </c>
      <c r="DY152" t="s">
        <v>1685</v>
      </c>
      <c r="DZ152" t="s">
        <v>1672</v>
      </c>
      <c r="EA152">
        <v>1</v>
      </c>
      <c r="EB152" t="s">
        <v>1513</v>
      </c>
      <c r="EC152" s="10">
        <v>196</v>
      </c>
      <c r="ED152" s="10" t="s">
        <v>1748</v>
      </c>
      <c r="EE152" s="813">
        <f t="shared" si="93"/>
        <v>0</v>
      </c>
      <c r="EF152">
        <f>ROWS($DE$2:DE152)</f>
        <v>151</v>
      </c>
      <c r="EG152" t="str">
        <f t="shared" si="94"/>
        <v/>
      </c>
      <c r="EJ152" t="str">
        <f t="shared" si="95"/>
        <v/>
      </c>
      <c r="EM152" t="str">
        <f t="shared" si="96"/>
        <v/>
      </c>
      <c r="EP152" t="str">
        <f t="shared" si="97"/>
        <v/>
      </c>
      <c r="ES152" t="str">
        <f t="shared" si="98"/>
        <v/>
      </c>
      <c r="EV152" t="str">
        <f t="shared" si="99"/>
        <v/>
      </c>
      <c r="EY152" t="str">
        <f t="shared" si="100"/>
        <v/>
      </c>
      <c r="FB152" t="str">
        <f t="shared" si="101"/>
        <v/>
      </c>
      <c r="FE152" t="str">
        <f t="shared" si="102"/>
        <v/>
      </c>
      <c r="FH152" t="str">
        <f t="shared" si="103"/>
        <v/>
      </c>
      <c r="FK152" t="str">
        <f t="shared" si="104"/>
        <v/>
      </c>
      <c r="FN152" t="str">
        <f t="shared" si="105"/>
        <v/>
      </c>
      <c r="FQ152" t="str">
        <f t="shared" si="106"/>
        <v/>
      </c>
      <c r="FT152" t="str">
        <f t="shared" si="107"/>
        <v/>
      </c>
      <c r="FW152" t="str">
        <f t="shared" si="108"/>
        <v/>
      </c>
      <c r="FZ152" t="str">
        <f t="shared" si="109"/>
        <v/>
      </c>
      <c r="GC152" t="str">
        <f t="shared" si="110"/>
        <v/>
      </c>
      <c r="GE152" s="155"/>
    </row>
    <row r="153" spans="1:187" ht="15" customHeight="1" x14ac:dyDescent="0.35">
      <c r="B153"/>
      <c r="L153" s="10">
        <v>1056359</v>
      </c>
      <c r="O153" s="197"/>
      <c r="P153" s="190"/>
      <c r="Q153" s="190"/>
      <c r="R153" s="190"/>
      <c r="S153" s="190"/>
      <c r="T153" s="201"/>
      <c r="U153" s="201"/>
      <c r="V153" s="171"/>
      <c r="W153" s="191"/>
      <c r="X153" s="173"/>
      <c r="Y153" s="173"/>
      <c r="Z153" s="173"/>
      <c r="AA153" s="173"/>
      <c r="AB153" s="173"/>
      <c r="AC153" s="173"/>
      <c r="AD153" s="173"/>
      <c r="AE153" s="173"/>
      <c r="AF153" s="173"/>
      <c r="AG153" s="177"/>
      <c r="AH153" s="188"/>
      <c r="AI153" s="188"/>
      <c r="AJ153" s="188"/>
      <c r="AK153" s="188"/>
      <c r="AL153" s="188"/>
      <c r="AM153" s="188"/>
      <c r="AN153" s="188"/>
      <c r="AO153" s="188"/>
      <c r="AP153" s="188"/>
      <c r="AQ153" s="188"/>
      <c r="AR153" s="188"/>
      <c r="AS153" s="188"/>
      <c r="AT153" s="188"/>
      <c r="AU153" s="188"/>
      <c r="AV153" s="188"/>
      <c r="AW153" s="188"/>
      <c r="AX153" s="188"/>
      <c r="AY153" s="188"/>
      <c r="AZ153" s="188"/>
      <c r="BA153" s="188"/>
      <c r="BB153" s="188"/>
      <c r="BC153" s="188"/>
      <c r="BD153" s="188"/>
      <c r="BF153">
        <f>ROWS($U$46:U153)</f>
        <v>108</v>
      </c>
      <c r="BG153" t="str">
        <f t="shared" si="91"/>
        <v/>
      </c>
      <c r="DB153" s="10">
        <v>1104743</v>
      </c>
      <c r="DE153" s="10">
        <v>745337</v>
      </c>
      <c r="DF153" t="s">
        <v>1375</v>
      </c>
      <c r="DG153" s="10" t="s">
        <v>1375</v>
      </c>
      <c r="DH153" s="10">
        <v>16</v>
      </c>
      <c r="DI153" s="10">
        <v>1613</v>
      </c>
      <c r="DJ153" s="10" t="s">
        <v>262</v>
      </c>
      <c r="DL153" s="10" t="s">
        <v>239</v>
      </c>
      <c r="DO153" s="555">
        <v>497</v>
      </c>
      <c r="DR153" s="37" t="str">
        <f t="shared" si="92"/>
        <v xml:space="preserve">1613 CT80 </v>
      </c>
      <c r="DS153" s="37">
        <f t="shared" si="111"/>
        <v>227.68199999999999</v>
      </c>
      <c r="DT153" s="10">
        <v>175.14</v>
      </c>
      <c r="DV153" s="10" t="s">
        <v>146</v>
      </c>
      <c r="DW153" t="s">
        <v>1590</v>
      </c>
      <c r="DX153">
        <v>10</v>
      </c>
      <c r="DY153" t="s">
        <v>1681</v>
      </c>
      <c r="DZ153" t="s">
        <v>1668</v>
      </c>
      <c r="EA153">
        <v>1</v>
      </c>
      <c r="EB153" t="s">
        <v>1513</v>
      </c>
      <c r="EC153" s="10">
        <v>490</v>
      </c>
      <c r="ED153" s="10" t="s">
        <v>1744</v>
      </c>
      <c r="EE153" s="813">
        <f t="shared" si="93"/>
        <v>0</v>
      </c>
      <c r="EF153">
        <f>ROWS($DE$2:DE153)</f>
        <v>152</v>
      </c>
      <c r="EG153" t="str">
        <f t="shared" si="94"/>
        <v/>
      </c>
      <c r="EJ153" t="str">
        <f t="shared" si="95"/>
        <v/>
      </c>
      <c r="EM153" t="str">
        <f t="shared" si="96"/>
        <v/>
      </c>
      <c r="EP153" t="str">
        <f t="shared" si="97"/>
        <v/>
      </c>
      <c r="ES153" t="str">
        <f t="shared" si="98"/>
        <v/>
      </c>
      <c r="EV153" t="str">
        <f t="shared" si="99"/>
        <v/>
      </c>
      <c r="EY153" t="str">
        <f t="shared" si="100"/>
        <v/>
      </c>
      <c r="FB153" t="str">
        <f t="shared" si="101"/>
        <v/>
      </c>
      <c r="FE153" t="str">
        <f t="shared" si="102"/>
        <v/>
      </c>
      <c r="FH153" t="str">
        <f t="shared" si="103"/>
        <v/>
      </c>
      <c r="FK153" t="str">
        <f t="shared" si="104"/>
        <v/>
      </c>
      <c r="FN153" t="str">
        <f t="shared" si="105"/>
        <v/>
      </c>
      <c r="FQ153" t="str">
        <f t="shared" si="106"/>
        <v/>
      </c>
      <c r="FT153" t="str">
        <f t="shared" si="107"/>
        <v/>
      </c>
      <c r="FW153" t="str">
        <f t="shared" si="108"/>
        <v/>
      </c>
      <c r="FZ153" t="str">
        <f t="shared" si="109"/>
        <v/>
      </c>
      <c r="GC153" t="str">
        <f t="shared" si="110"/>
        <v/>
      </c>
      <c r="GE153" s="155"/>
    </row>
    <row r="154" spans="1:187" ht="15.75" customHeight="1" x14ac:dyDescent="0.35">
      <c r="B154"/>
      <c r="L154" s="10">
        <v>1058252</v>
      </c>
      <c r="O154" s="197"/>
      <c r="P154" s="190"/>
      <c r="Q154" s="190"/>
      <c r="R154" s="190"/>
      <c r="S154" s="190"/>
      <c r="T154" s="201"/>
      <c r="U154" s="201"/>
      <c r="V154" s="171"/>
      <c r="W154" s="191"/>
      <c r="X154" s="173"/>
      <c r="Y154" s="173"/>
      <c r="Z154" s="173"/>
      <c r="AA154" s="173"/>
      <c r="AB154" s="173"/>
      <c r="AC154" s="173"/>
      <c r="AD154" s="171"/>
      <c r="AE154" s="172"/>
      <c r="AF154" s="172"/>
      <c r="AG154" s="65"/>
      <c r="AH154" s="188"/>
      <c r="AI154" s="188"/>
      <c r="AJ154" s="188"/>
      <c r="AK154" s="188"/>
      <c r="AL154" s="188"/>
      <c r="AM154" s="188"/>
      <c r="AN154" s="188"/>
      <c r="AO154" s="188"/>
      <c r="AP154" s="188"/>
      <c r="AQ154" s="188"/>
      <c r="AR154" s="188"/>
      <c r="AS154" s="188"/>
      <c r="AT154" s="188"/>
      <c r="AU154" s="188"/>
      <c r="AV154" s="188"/>
      <c r="AW154" s="188"/>
      <c r="AX154" s="188"/>
      <c r="AY154" s="188"/>
      <c r="AZ154" s="188"/>
      <c r="BA154" s="188"/>
      <c r="BB154" s="188"/>
      <c r="BC154" s="188"/>
      <c r="BD154" s="188"/>
      <c r="BF154">
        <f>ROWS($U$46:U154)</f>
        <v>109</v>
      </c>
      <c r="BG154" t="str">
        <f t="shared" si="91"/>
        <v/>
      </c>
      <c r="DB154" s="10">
        <v>1039033</v>
      </c>
      <c r="DE154" s="10">
        <v>1037276</v>
      </c>
      <c r="DF154" t="s">
        <v>1377</v>
      </c>
      <c r="DG154" s="10" t="s">
        <v>1377</v>
      </c>
      <c r="DH154" s="10">
        <v>13</v>
      </c>
      <c r="DI154" s="10">
        <v>1318</v>
      </c>
      <c r="DJ154" s="10" t="s">
        <v>1384</v>
      </c>
      <c r="DO154" s="555">
        <v>360</v>
      </c>
      <c r="DR154" s="37" t="str">
        <f t="shared" si="92"/>
        <v xml:space="preserve">1318 M2 CT220 </v>
      </c>
      <c r="DS154" s="37">
        <f t="shared" si="111"/>
        <v>60.696999999999996</v>
      </c>
      <c r="DT154" s="10">
        <v>46.69</v>
      </c>
      <c r="DV154" s="10" t="s">
        <v>1753</v>
      </c>
      <c r="DW154" t="s">
        <v>1589</v>
      </c>
      <c r="DX154">
        <v>60</v>
      </c>
      <c r="DY154" t="s">
        <v>1807</v>
      </c>
      <c r="DZ154" t="s">
        <v>1670</v>
      </c>
      <c r="EA154">
        <v>1</v>
      </c>
      <c r="EB154" t="s">
        <v>1513</v>
      </c>
      <c r="EC154" s="10">
        <v>135</v>
      </c>
      <c r="ED154" s="10" t="s">
        <v>1808</v>
      </c>
      <c r="EE154" s="813">
        <f t="shared" si="93"/>
        <v>0</v>
      </c>
      <c r="EF154">
        <f>ROWS($DE$2:DE154)</f>
        <v>153</v>
      </c>
      <c r="EG154" t="str">
        <f t="shared" si="94"/>
        <v/>
      </c>
      <c r="EJ154" t="str">
        <f t="shared" si="95"/>
        <v/>
      </c>
      <c r="EM154" t="str">
        <f t="shared" si="96"/>
        <v/>
      </c>
      <c r="EP154" t="str">
        <f t="shared" si="97"/>
        <v/>
      </c>
      <c r="ES154" t="str">
        <f t="shared" si="98"/>
        <v/>
      </c>
      <c r="EV154" t="str">
        <f t="shared" si="99"/>
        <v/>
      </c>
      <c r="EY154" t="str">
        <f t="shared" si="100"/>
        <v/>
      </c>
      <c r="FB154" t="str">
        <f t="shared" si="101"/>
        <v/>
      </c>
      <c r="FE154" t="str">
        <f t="shared" si="102"/>
        <v/>
      </c>
      <c r="FH154" t="str">
        <f t="shared" si="103"/>
        <v/>
      </c>
      <c r="FK154" t="str">
        <f t="shared" si="104"/>
        <v/>
      </c>
      <c r="FN154" t="str">
        <f t="shared" si="105"/>
        <v/>
      </c>
      <c r="FQ154" t="str">
        <f t="shared" si="106"/>
        <v/>
      </c>
      <c r="FT154" t="str">
        <f t="shared" si="107"/>
        <v/>
      </c>
      <c r="FW154" t="str">
        <f t="shared" si="108"/>
        <v/>
      </c>
      <c r="FZ154" t="str">
        <f t="shared" si="109"/>
        <v/>
      </c>
      <c r="GC154" t="str">
        <f t="shared" si="110"/>
        <v/>
      </c>
      <c r="GE154" s="155"/>
    </row>
    <row r="155" spans="1:187" ht="15" customHeight="1" x14ac:dyDescent="0.35">
      <c r="B155"/>
      <c r="L155" s="10">
        <v>1059102</v>
      </c>
      <c r="O155" s="199"/>
      <c r="P155" s="200"/>
      <c r="Q155" s="200"/>
      <c r="R155" s="200"/>
      <c r="S155" s="190"/>
      <c r="T155" s="201"/>
      <c r="U155" s="201"/>
      <c r="V155" s="171"/>
      <c r="W155" s="191"/>
      <c r="X155" s="173"/>
      <c r="Y155" s="173"/>
      <c r="Z155" s="173"/>
      <c r="AA155" s="173"/>
      <c r="AB155" s="173"/>
      <c r="AC155" s="173"/>
      <c r="AD155" s="173"/>
      <c r="AE155" s="173"/>
      <c r="AF155" s="173"/>
      <c r="AG155" s="177"/>
      <c r="AH155" s="188"/>
      <c r="AI155" s="188"/>
      <c r="AJ155" s="188"/>
      <c r="AK155" s="188"/>
      <c r="AL155" s="188"/>
      <c r="AM155" s="188"/>
      <c r="AN155" s="188"/>
      <c r="AO155" s="188"/>
      <c r="AP155" s="188"/>
      <c r="AQ155" s="188"/>
      <c r="AR155" s="188"/>
      <c r="AS155" s="188"/>
      <c r="AT155" s="188"/>
      <c r="AU155" s="188"/>
      <c r="AV155" s="188"/>
      <c r="AW155" s="188"/>
      <c r="AX155" s="188"/>
      <c r="AY155" s="188"/>
      <c r="AZ155" s="188"/>
      <c r="BA155" s="188"/>
      <c r="BB155" s="188"/>
      <c r="BC155" s="188"/>
      <c r="BD155" s="188"/>
      <c r="BF155">
        <f>ROWS($U$46:U155)</f>
        <v>110</v>
      </c>
      <c r="BG155" t="str">
        <f t="shared" si="91"/>
        <v/>
      </c>
      <c r="DB155" s="10">
        <v>1100741</v>
      </c>
      <c r="DE155" s="10">
        <v>948669</v>
      </c>
      <c r="DF155" t="s">
        <v>1383</v>
      </c>
      <c r="DG155" s="10" t="s">
        <v>1383</v>
      </c>
      <c r="DH155" s="10">
        <v>13</v>
      </c>
      <c r="DI155" s="10">
        <v>1313</v>
      </c>
      <c r="DJ155" s="10" t="s">
        <v>1385</v>
      </c>
      <c r="DK155" s="10" t="s">
        <v>1260</v>
      </c>
      <c r="DL155" s="10" t="s">
        <v>239</v>
      </c>
      <c r="DO155" s="555">
        <v>360</v>
      </c>
      <c r="DR155" s="37" t="str">
        <f t="shared" si="92"/>
        <v>1313 CT211 TBO</v>
      </c>
      <c r="DS155" s="37">
        <f t="shared" si="111"/>
        <v>95.822999999999993</v>
      </c>
      <c r="DT155" s="10">
        <v>73.709999999999994</v>
      </c>
      <c r="DV155" s="555" t="s">
        <v>1543</v>
      </c>
      <c r="DW155" t="s">
        <v>1543</v>
      </c>
      <c r="DX155" t="s">
        <v>1543</v>
      </c>
      <c r="DY155" t="s">
        <v>1543</v>
      </c>
      <c r="DZ155" t="s">
        <v>1543</v>
      </c>
      <c r="EA155" t="s">
        <v>1543</v>
      </c>
      <c r="EB155" t="s">
        <v>1543</v>
      </c>
      <c r="EC155" s="10" t="s">
        <v>1543</v>
      </c>
      <c r="ED155" s="10" t="s">
        <v>1543</v>
      </c>
      <c r="EE155" s="813">
        <f t="shared" si="93"/>
        <v>0</v>
      </c>
      <c r="EF155">
        <f>ROWS($DE$2:DE155)</f>
        <v>154</v>
      </c>
      <c r="EG155" t="str">
        <f t="shared" si="94"/>
        <v/>
      </c>
      <c r="EJ155" t="str">
        <f t="shared" si="95"/>
        <v/>
      </c>
      <c r="EM155" t="str">
        <f t="shared" si="96"/>
        <v/>
      </c>
      <c r="EP155" t="str">
        <f t="shared" si="97"/>
        <v/>
      </c>
      <c r="ES155" t="str">
        <f t="shared" si="98"/>
        <v/>
      </c>
      <c r="EV155" t="str">
        <f t="shared" si="99"/>
        <v/>
      </c>
      <c r="EY155" t="str">
        <f t="shared" si="100"/>
        <v/>
      </c>
      <c r="FB155" t="str">
        <f t="shared" si="101"/>
        <v/>
      </c>
      <c r="FE155" t="str">
        <f t="shared" si="102"/>
        <v/>
      </c>
      <c r="FH155" t="str">
        <f t="shared" si="103"/>
        <v/>
      </c>
      <c r="FK155" t="str">
        <f t="shared" si="104"/>
        <v/>
      </c>
      <c r="FN155" t="str">
        <f t="shared" si="105"/>
        <v/>
      </c>
      <c r="FQ155" t="str">
        <f t="shared" si="106"/>
        <v/>
      </c>
      <c r="FT155" t="str">
        <f t="shared" si="107"/>
        <v/>
      </c>
      <c r="FW155" t="str">
        <f t="shared" si="108"/>
        <v/>
      </c>
      <c r="FZ155" t="str">
        <f t="shared" si="109"/>
        <v/>
      </c>
      <c r="GC155" t="str">
        <f t="shared" si="110"/>
        <v/>
      </c>
      <c r="GE155" s="155"/>
    </row>
    <row r="156" spans="1:187" ht="15" customHeight="1" x14ac:dyDescent="0.35">
      <c r="A156" t="s">
        <v>1751</v>
      </c>
      <c r="B156"/>
      <c r="L156" s="10">
        <v>1059146</v>
      </c>
      <c r="O156" s="202"/>
      <c r="P156" s="203"/>
      <c r="Q156" s="203"/>
      <c r="R156" s="204"/>
      <c r="S156" s="201"/>
      <c r="T156" s="201"/>
      <c r="U156" s="201"/>
      <c r="V156" s="171"/>
      <c r="W156" s="191"/>
      <c r="X156" s="173"/>
      <c r="Y156" s="173"/>
      <c r="Z156" s="173"/>
      <c r="AA156" s="173"/>
      <c r="AB156" s="173"/>
      <c r="AC156" s="173"/>
      <c r="AD156" s="173"/>
      <c r="AE156" s="180"/>
      <c r="AF156" s="175"/>
      <c r="AG156" s="65"/>
      <c r="AH156" s="188"/>
      <c r="AI156" s="188"/>
      <c r="AJ156" s="188"/>
      <c r="AK156" s="188"/>
      <c r="AL156" s="188"/>
      <c r="AM156" s="188"/>
      <c r="AN156" s="188"/>
      <c r="AO156" s="188"/>
      <c r="AP156" s="188"/>
      <c r="AQ156" s="188"/>
      <c r="AR156" s="188"/>
      <c r="AS156" s="188"/>
      <c r="AT156" s="188"/>
      <c r="AU156" s="188"/>
      <c r="AV156" s="188"/>
      <c r="AW156" s="188"/>
      <c r="AX156" s="188"/>
      <c r="AY156" s="188"/>
      <c r="AZ156" s="188"/>
      <c r="BA156" s="188"/>
      <c r="BB156" s="188"/>
      <c r="BC156" s="188"/>
      <c r="BD156" s="188"/>
      <c r="BF156">
        <f>ROWS($U$46:U156)</f>
        <v>111</v>
      </c>
      <c r="BG156" t="str">
        <f t="shared" si="91"/>
        <v/>
      </c>
      <c r="DB156" s="10">
        <v>1123317</v>
      </c>
      <c r="DE156" s="10">
        <v>177790</v>
      </c>
      <c r="DF156" t="s">
        <v>1405</v>
      </c>
      <c r="DG156" s="10" t="s">
        <v>1405</v>
      </c>
      <c r="DH156" s="10">
        <v>13</v>
      </c>
      <c r="DI156" s="10">
        <v>1305</v>
      </c>
      <c r="DJ156" s="10" t="s">
        <v>1406</v>
      </c>
      <c r="DL156" s="10" t="s">
        <v>239</v>
      </c>
      <c r="DO156" s="555">
        <v>360</v>
      </c>
      <c r="DR156" s="37" t="str">
        <f t="shared" si="92"/>
        <v xml:space="preserve">1305 PDC 1 FACE CUT CLAW </v>
      </c>
      <c r="DS156" s="37">
        <f t="shared" si="111"/>
        <v>0</v>
      </c>
      <c r="DV156" s="10" t="s">
        <v>146</v>
      </c>
      <c r="DW156" t="s">
        <v>1589</v>
      </c>
      <c r="DX156">
        <v>10</v>
      </c>
      <c r="DY156" t="s">
        <v>1806</v>
      </c>
      <c r="DZ156" t="s">
        <v>1670</v>
      </c>
      <c r="EA156">
        <v>1</v>
      </c>
      <c r="EB156" t="s">
        <v>1513</v>
      </c>
      <c r="EC156" s="10">
        <v>345</v>
      </c>
      <c r="ED156" s="10" t="s">
        <v>1738</v>
      </c>
      <c r="EE156" s="813">
        <f t="shared" si="93"/>
        <v>0</v>
      </c>
      <c r="EF156">
        <f>ROWS($DE$2:DE156)</f>
        <v>155</v>
      </c>
      <c r="EG156" t="str">
        <f t="shared" si="94"/>
        <v/>
      </c>
      <c r="EJ156" t="str">
        <f t="shared" si="95"/>
        <v/>
      </c>
      <c r="EM156" t="str">
        <f t="shared" si="96"/>
        <v/>
      </c>
      <c r="EP156" t="str">
        <f t="shared" si="97"/>
        <v/>
      </c>
      <c r="ES156" t="str">
        <f t="shared" si="98"/>
        <v/>
      </c>
      <c r="EV156" t="str">
        <f t="shared" si="99"/>
        <v/>
      </c>
      <c r="EY156" t="str">
        <f t="shared" si="100"/>
        <v/>
      </c>
      <c r="FB156" t="str">
        <f t="shared" si="101"/>
        <v/>
      </c>
      <c r="FE156" t="str">
        <f t="shared" si="102"/>
        <v/>
      </c>
      <c r="FH156" t="str">
        <f t="shared" si="103"/>
        <v/>
      </c>
      <c r="FK156" t="str">
        <f t="shared" si="104"/>
        <v/>
      </c>
      <c r="FN156" t="str">
        <f t="shared" si="105"/>
        <v/>
      </c>
      <c r="FQ156" t="str">
        <f t="shared" si="106"/>
        <v/>
      </c>
      <c r="FT156" t="str">
        <f t="shared" si="107"/>
        <v/>
      </c>
      <c r="FW156" t="str">
        <f t="shared" si="108"/>
        <v/>
      </c>
      <c r="FZ156" t="str">
        <f t="shared" si="109"/>
        <v/>
      </c>
      <c r="GC156" t="str">
        <f t="shared" si="110"/>
        <v/>
      </c>
      <c r="GE156" s="155"/>
    </row>
    <row r="157" spans="1:187" ht="15" customHeight="1" thickBot="1" x14ac:dyDescent="0.4">
      <c r="B157"/>
      <c r="L157" s="10">
        <v>1059290</v>
      </c>
      <c r="O157" s="207"/>
      <c r="P157" s="208"/>
      <c r="Q157" s="208"/>
      <c r="R157" s="209"/>
      <c r="S157" s="210"/>
      <c r="T157" s="210"/>
      <c r="U157" s="210"/>
      <c r="V157" s="195"/>
      <c r="W157" s="191"/>
      <c r="X157" s="173"/>
      <c r="Y157" s="173"/>
      <c r="Z157" s="173"/>
      <c r="AA157" s="173"/>
      <c r="AB157" s="173"/>
      <c r="AC157" s="173"/>
      <c r="AD157" s="180"/>
      <c r="AE157" s="188"/>
      <c r="AF157" s="188"/>
      <c r="AG157" s="10"/>
      <c r="AH157" s="188"/>
      <c r="AI157" s="188"/>
      <c r="AJ157" s="188"/>
      <c r="AK157" s="188"/>
      <c r="AL157" s="188"/>
      <c r="AM157" s="188"/>
      <c r="AN157" s="188"/>
      <c r="AO157" s="188"/>
      <c r="AP157" s="188"/>
      <c r="AQ157" s="188"/>
      <c r="AR157" s="188"/>
      <c r="AS157" s="188"/>
      <c r="AT157" s="188"/>
      <c r="AU157" s="188"/>
      <c r="AV157" s="188"/>
      <c r="AW157" s="188"/>
      <c r="AX157" s="188"/>
      <c r="AY157" s="188"/>
      <c r="AZ157" s="188"/>
      <c r="BA157" s="188"/>
      <c r="BB157" s="188"/>
      <c r="BC157" s="188"/>
      <c r="BD157" s="188"/>
      <c r="BF157">
        <f>ROWS($U$46:U157)</f>
        <v>112</v>
      </c>
      <c r="BG157" t="str">
        <f t="shared" si="91"/>
        <v/>
      </c>
      <c r="DB157" s="10">
        <v>1039029</v>
      </c>
      <c r="DE157" s="10">
        <v>361965</v>
      </c>
      <c r="DF157" t="s">
        <v>1403</v>
      </c>
      <c r="DG157" s="10" t="s">
        <v>1403</v>
      </c>
      <c r="DH157" s="10">
        <v>13</v>
      </c>
      <c r="DI157" s="10">
        <v>1308</v>
      </c>
      <c r="DJ157" s="10" t="s">
        <v>1407</v>
      </c>
      <c r="DL157" s="10" t="s">
        <v>239</v>
      </c>
      <c r="DO157" s="555">
        <v>360</v>
      </c>
      <c r="DR157" s="37" t="str">
        <f t="shared" si="92"/>
        <v xml:space="preserve">1308 OBS PDC ROUND CRC </v>
      </c>
      <c r="DS157" s="37">
        <f t="shared" si="111"/>
        <v>0</v>
      </c>
      <c r="DV157" s="10" t="s">
        <v>146</v>
      </c>
      <c r="DW157" t="s">
        <v>1589</v>
      </c>
      <c r="DX157">
        <v>10</v>
      </c>
      <c r="DY157" t="s">
        <v>1806</v>
      </c>
      <c r="DZ157" t="s">
        <v>1670</v>
      </c>
      <c r="EA157">
        <v>1</v>
      </c>
      <c r="EB157" t="s">
        <v>1513</v>
      </c>
      <c r="EC157" s="10">
        <v>345</v>
      </c>
      <c r="ED157" s="10" t="s">
        <v>1738</v>
      </c>
      <c r="EE157" s="813">
        <f t="shared" si="93"/>
        <v>0</v>
      </c>
      <c r="EF157">
        <f>ROWS($DE$2:DE157)</f>
        <v>156</v>
      </c>
      <c r="EG157" t="str">
        <f t="shared" si="94"/>
        <v/>
      </c>
      <c r="EJ157" t="str">
        <f t="shared" si="95"/>
        <v/>
      </c>
      <c r="EM157" t="str">
        <f t="shared" si="96"/>
        <v/>
      </c>
      <c r="EP157" t="str">
        <f t="shared" si="97"/>
        <v/>
      </c>
      <c r="ES157" t="str">
        <f t="shared" si="98"/>
        <v/>
      </c>
      <c r="EV157" t="str">
        <f t="shared" si="99"/>
        <v/>
      </c>
      <c r="EY157" t="str">
        <f t="shared" si="100"/>
        <v/>
      </c>
      <c r="FB157" t="str">
        <f t="shared" si="101"/>
        <v/>
      </c>
      <c r="FE157" t="str">
        <f t="shared" si="102"/>
        <v/>
      </c>
      <c r="FH157" t="str">
        <f t="shared" si="103"/>
        <v/>
      </c>
      <c r="FK157" t="str">
        <f t="shared" si="104"/>
        <v/>
      </c>
      <c r="FN157" t="str">
        <f t="shared" si="105"/>
        <v/>
      </c>
      <c r="FQ157" t="str">
        <f t="shared" si="106"/>
        <v/>
      </c>
      <c r="FT157" t="str">
        <f t="shared" si="107"/>
        <v/>
      </c>
      <c r="FW157" t="str">
        <f t="shared" si="108"/>
        <v/>
      </c>
      <c r="FZ157" t="str">
        <f t="shared" si="109"/>
        <v/>
      </c>
      <c r="GC157" t="str">
        <f t="shared" si="110"/>
        <v/>
      </c>
      <c r="GE157" s="155"/>
    </row>
    <row r="158" spans="1:187" ht="15" customHeight="1" x14ac:dyDescent="0.35">
      <c r="B158"/>
      <c r="L158" s="10">
        <v>1060889</v>
      </c>
      <c r="O158" s="226">
        <v>1</v>
      </c>
      <c r="P158" s="227">
        <v>971055</v>
      </c>
      <c r="Q158" s="227">
        <v>19</v>
      </c>
      <c r="R158" s="227"/>
      <c r="S158" s="182">
        <v>3.875</v>
      </c>
      <c r="T158" s="198" t="s">
        <v>737</v>
      </c>
      <c r="U158" s="198">
        <v>1059290</v>
      </c>
      <c r="V158" s="183" t="s">
        <v>87</v>
      </c>
      <c r="W158" s="184">
        <v>1</v>
      </c>
      <c r="X158" s="185">
        <v>1</v>
      </c>
      <c r="Y158" s="185">
        <v>1</v>
      </c>
      <c r="Z158" s="185">
        <v>1</v>
      </c>
      <c r="AA158" s="185">
        <v>1</v>
      </c>
      <c r="AB158" s="10"/>
      <c r="AC158" s="10"/>
      <c r="AD158" s="10"/>
      <c r="AE158" s="188"/>
      <c r="AF158" s="188"/>
      <c r="AG158" s="188"/>
      <c r="AH158" s="188"/>
      <c r="AI158" s="188"/>
      <c r="AJ158" s="188"/>
      <c r="AK158" s="188"/>
      <c r="AL158" s="188"/>
      <c r="AM158" s="188"/>
      <c r="AN158" s="188"/>
      <c r="AO158" s="188"/>
      <c r="AP158" s="188"/>
      <c r="AQ158" s="188"/>
      <c r="AR158" s="188"/>
      <c r="AS158" s="188"/>
      <c r="AT158" s="188"/>
      <c r="AU158" s="188"/>
      <c r="AV158" s="188"/>
      <c r="AW158" s="188"/>
      <c r="AX158" s="188"/>
      <c r="AY158" s="188"/>
      <c r="AZ158" s="188"/>
      <c r="BA158" s="188"/>
      <c r="BB158" s="188"/>
      <c r="BC158" s="188"/>
      <c r="BD158" s="188"/>
      <c r="BF158">
        <f>ROWS($U$46:U158)</f>
        <v>113</v>
      </c>
      <c r="BG158" t="str">
        <f t="shared" si="91"/>
        <v/>
      </c>
      <c r="DB158" s="10">
        <v>1050785</v>
      </c>
      <c r="DE158" s="10">
        <v>1144689</v>
      </c>
      <c r="DF158" t="s">
        <v>1408</v>
      </c>
      <c r="DG158" s="10" t="s">
        <v>1408</v>
      </c>
      <c r="DH158" s="10">
        <v>13</v>
      </c>
      <c r="DI158" s="10">
        <v>1308</v>
      </c>
      <c r="DJ158" s="10" t="s">
        <v>1411</v>
      </c>
      <c r="DL158" s="10" t="s">
        <v>239</v>
      </c>
      <c r="DO158" s="555">
        <v>360</v>
      </c>
      <c r="DR158" s="37" t="str">
        <f t="shared" si="92"/>
        <v xml:space="preserve">1308 CT153 </v>
      </c>
      <c r="DS158" s="37">
        <f t="shared" si="111"/>
        <v>0</v>
      </c>
      <c r="DV158" s="555" t="s">
        <v>1543</v>
      </c>
      <c r="DW158" t="s">
        <v>1543</v>
      </c>
      <c r="DX158" t="s">
        <v>1543</v>
      </c>
      <c r="DY158" t="s">
        <v>1543</v>
      </c>
      <c r="DZ158" t="s">
        <v>1543</v>
      </c>
      <c r="EA158" t="s">
        <v>1543</v>
      </c>
      <c r="EB158" t="s">
        <v>1543</v>
      </c>
      <c r="EC158" s="10" t="s">
        <v>1543</v>
      </c>
      <c r="ED158" s="10" t="s">
        <v>1543</v>
      </c>
      <c r="EE158" s="813">
        <f t="shared" si="93"/>
        <v>0</v>
      </c>
      <c r="EF158">
        <f>ROWS($DE$2:DE158)</f>
        <v>157</v>
      </c>
      <c r="EG158" t="str">
        <f t="shared" si="94"/>
        <v/>
      </c>
      <c r="EJ158" t="str">
        <f t="shared" si="95"/>
        <v/>
      </c>
      <c r="EM158" t="str">
        <f t="shared" si="96"/>
        <v/>
      </c>
      <c r="EP158" t="str">
        <f t="shared" si="97"/>
        <v/>
      </c>
      <c r="ES158" t="str">
        <f t="shared" si="98"/>
        <v/>
      </c>
      <c r="EV158" t="str">
        <f t="shared" si="99"/>
        <v/>
      </c>
      <c r="EY158" t="str">
        <f t="shared" si="100"/>
        <v/>
      </c>
      <c r="FB158" t="str">
        <f t="shared" si="101"/>
        <v/>
      </c>
      <c r="FE158" t="str">
        <f t="shared" si="102"/>
        <v/>
      </c>
      <c r="FH158" t="str">
        <f t="shared" si="103"/>
        <v/>
      </c>
      <c r="FK158" t="str">
        <f t="shared" si="104"/>
        <v/>
      </c>
      <c r="FN158" t="str">
        <f t="shared" si="105"/>
        <v/>
      </c>
      <c r="FQ158" t="str">
        <f t="shared" si="106"/>
        <v/>
      </c>
      <c r="FT158" t="str">
        <f t="shared" si="107"/>
        <v/>
      </c>
      <c r="FW158" t="str">
        <f t="shared" si="108"/>
        <v/>
      </c>
      <c r="FZ158" t="str">
        <f t="shared" si="109"/>
        <v/>
      </c>
      <c r="GC158" t="str">
        <f t="shared" si="110"/>
        <v/>
      </c>
      <c r="GE158" s="155"/>
    </row>
    <row r="159" spans="1:187" ht="15" customHeight="1" x14ac:dyDescent="0.35">
      <c r="B159"/>
      <c r="L159" s="10">
        <v>1061407</v>
      </c>
      <c r="O159" s="202"/>
      <c r="P159" s="203"/>
      <c r="Q159" s="203"/>
      <c r="R159" s="204"/>
      <c r="S159" s="201">
        <v>3.875</v>
      </c>
      <c r="T159" s="201" t="s">
        <v>737</v>
      </c>
      <c r="U159" s="201">
        <v>1059290</v>
      </c>
      <c r="V159" s="171" t="s">
        <v>88</v>
      </c>
      <c r="W159" s="191">
        <v>1</v>
      </c>
      <c r="X159" s="173">
        <v>1</v>
      </c>
      <c r="Y159" s="173">
        <v>1</v>
      </c>
      <c r="Z159" s="171"/>
      <c r="AA159" s="175"/>
      <c r="AB159" s="10"/>
      <c r="AC159" s="10"/>
      <c r="AD159" s="10"/>
      <c r="AE159" s="188"/>
      <c r="AF159" s="188"/>
      <c r="AG159" s="188"/>
      <c r="AH159" s="188"/>
      <c r="AI159" s="188"/>
      <c r="AJ159" s="188"/>
      <c r="AK159" s="188"/>
      <c r="AL159" s="188"/>
      <c r="AM159" s="188"/>
      <c r="AN159" s="188"/>
      <c r="AO159" s="188"/>
      <c r="AP159" s="188"/>
      <c r="AQ159" s="188"/>
      <c r="AR159" s="188"/>
      <c r="AS159" s="188"/>
      <c r="AT159" s="188"/>
      <c r="AU159" s="188"/>
      <c r="AV159" s="188"/>
      <c r="AW159" s="188"/>
      <c r="AX159" s="188"/>
      <c r="AY159" s="188"/>
      <c r="AZ159" s="188"/>
      <c r="BA159" s="188"/>
      <c r="BB159" s="188"/>
      <c r="BC159" s="188"/>
      <c r="BD159" s="188"/>
      <c r="BF159">
        <f>ROWS($U$46:U159)</f>
        <v>114</v>
      </c>
      <c r="BG159" t="str">
        <f t="shared" si="91"/>
        <v/>
      </c>
      <c r="DB159" s="10">
        <v>179790</v>
      </c>
      <c r="DE159">
        <v>1104743</v>
      </c>
      <c r="DF159" t="s">
        <v>1409</v>
      </c>
      <c r="DG159" t="s">
        <v>1409</v>
      </c>
      <c r="DH159" s="10">
        <v>13</v>
      </c>
      <c r="DI159" s="10">
        <v>1308</v>
      </c>
      <c r="DJ159" s="10" t="s">
        <v>1412</v>
      </c>
      <c r="DL159" s="10" t="s">
        <v>239</v>
      </c>
      <c r="DO159" s="555">
        <v>360</v>
      </c>
      <c r="DR159" s="37" t="str">
        <f t="shared" ref="DR159:DR213" si="112">DI159 &amp; " " &amp; DJ159 &amp; " " &amp; DK159</f>
        <v xml:space="preserve">1308 CR45 </v>
      </c>
      <c r="DS159" s="37">
        <f t="shared" si="111"/>
        <v>0</v>
      </c>
      <c r="DV159" s="555" t="s">
        <v>1543</v>
      </c>
      <c r="DW159" t="s">
        <v>1543</v>
      </c>
      <c r="DX159" t="s">
        <v>1543</v>
      </c>
      <c r="DY159" t="s">
        <v>1543</v>
      </c>
      <c r="DZ159" t="s">
        <v>1543</v>
      </c>
      <c r="EA159" t="s">
        <v>1543</v>
      </c>
      <c r="EB159" t="s">
        <v>1543</v>
      </c>
      <c r="EC159" s="10" t="s">
        <v>1543</v>
      </c>
      <c r="ED159" s="10" t="s">
        <v>1543</v>
      </c>
      <c r="EE159" s="813">
        <f t="shared" si="93"/>
        <v>0</v>
      </c>
      <c r="EF159">
        <f>ROWS($DE$2:DE159)</f>
        <v>158</v>
      </c>
      <c r="EG159" t="str">
        <f t="shared" si="94"/>
        <v/>
      </c>
      <c r="EJ159" t="str">
        <f t="shared" si="95"/>
        <v/>
      </c>
      <c r="EM159" t="str">
        <f t="shared" si="96"/>
        <v/>
      </c>
      <c r="EP159" t="str">
        <f t="shared" si="97"/>
        <v/>
      </c>
      <c r="ES159" t="str">
        <f t="shared" si="98"/>
        <v/>
      </c>
      <c r="EV159" t="str">
        <f t="shared" si="99"/>
        <v/>
      </c>
      <c r="EY159" t="str">
        <f t="shared" si="100"/>
        <v/>
      </c>
      <c r="FB159" t="str">
        <f t="shared" si="101"/>
        <v/>
      </c>
      <c r="FE159" t="str">
        <f t="shared" si="102"/>
        <v/>
      </c>
      <c r="FH159" t="str">
        <f t="shared" si="103"/>
        <v/>
      </c>
      <c r="FK159" t="str">
        <f t="shared" si="104"/>
        <v/>
      </c>
      <c r="FN159" t="str">
        <f t="shared" si="105"/>
        <v/>
      </c>
      <c r="FQ159" t="str">
        <f t="shared" si="106"/>
        <v/>
      </c>
      <c r="FT159" t="str">
        <f t="shared" si="107"/>
        <v/>
      </c>
      <c r="FW159" t="str">
        <f t="shared" si="108"/>
        <v/>
      </c>
      <c r="FZ159" t="str">
        <f t="shared" si="109"/>
        <v/>
      </c>
      <c r="GC159" t="str">
        <f t="shared" si="110"/>
        <v/>
      </c>
      <c r="GE159" s="155"/>
    </row>
    <row r="160" spans="1:187" ht="15" customHeight="1" x14ac:dyDescent="0.35">
      <c r="B160"/>
      <c r="L160" s="10">
        <v>1061431</v>
      </c>
      <c r="O160" s="205"/>
      <c r="P160" s="193"/>
      <c r="Q160" s="193"/>
      <c r="R160" s="206"/>
      <c r="S160" s="201">
        <v>3.875</v>
      </c>
      <c r="T160" s="201" t="s">
        <v>737</v>
      </c>
      <c r="U160" s="201">
        <v>1059290</v>
      </c>
      <c r="V160" s="171" t="s">
        <v>89</v>
      </c>
      <c r="W160" s="191">
        <v>1</v>
      </c>
      <c r="X160" s="173">
        <v>1</v>
      </c>
      <c r="Y160" s="173">
        <v>1</v>
      </c>
      <c r="Z160" s="173">
        <v>1</v>
      </c>
      <c r="AA160" s="177"/>
      <c r="AB160" s="10"/>
      <c r="AC160" s="10"/>
      <c r="AD160" s="10"/>
      <c r="AE160" s="188"/>
      <c r="AF160" s="188"/>
      <c r="AG160" s="188"/>
      <c r="AH160" s="188"/>
      <c r="AI160" s="188"/>
      <c r="AJ160" s="188"/>
      <c r="AK160" s="188"/>
      <c r="AL160" s="188"/>
      <c r="AM160" s="188"/>
      <c r="AN160" s="188"/>
      <c r="AO160" s="188"/>
      <c r="AP160" s="188"/>
      <c r="AQ160" s="188"/>
      <c r="AR160" s="188"/>
      <c r="AS160" s="188"/>
      <c r="AT160" s="188"/>
      <c r="AU160" s="188"/>
      <c r="AV160" s="188"/>
      <c r="AW160" s="188"/>
      <c r="AX160" s="188"/>
      <c r="AY160" s="188"/>
      <c r="AZ160" s="188"/>
      <c r="BA160" s="188"/>
      <c r="BB160" s="188"/>
      <c r="BC160" s="188"/>
      <c r="BD160" s="188"/>
      <c r="BF160">
        <f>ROWS($U$46:U160)</f>
        <v>115</v>
      </c>
      <c r="BG160" t="str">
        <f t="shared" si="91"/>
        <v/>
      </c>
      <c r="DB160" s="10">
        <v>1130197</v>
      </c>
      <c r="DE160">
        <v>1039033</v>
      </c>
      <c r="DF160" t="s">
        <v>1410</v>
      </c>
      <c r="DG160" t="s">
        <v>1410</v>
      </c>
      <c r="DH160" s="10">
        <v>13</v>
      </c>
      <c r="DI160" s="10">
        <v>1308</v>
      </c>
      <c r="DJ160" s="10" t="s">
        <v>249</v>
      </c>
      <c r="DL160" s="10" t="s">
        <v>239</v>
      </c>
      <c r="DO160" s="555">
        <v>360</v>
      </c>
      <c r="DR160" s="37" t="str">
        <f t="shared" si="112"/>
        <v xml:space="preserve">1308 CT138 </v>
      </c>
      <c r="DS160" s="37">
        <f t="shared" si="111"/>
        <v>0</v>
      </c>
      <c r="DV160" s="10" t="s">
        <v>49</v>
      </c>
      <c r="DW160" t="s">
        <v>1589</v>
      </c>
      <c r="DX160">
        <v>30</v>
      </c>
      <c r="DY160" t="s">
        <v>1677</v>
      </c>
      <c r="DZ160" t="s">
        <v>1670</v>
      </c>
      <c r="EA160">
        <v>1</v>
      </c>
      <c r="EB160" t="s">
        <v>1513</v>
      </c>
      <c r="EC160" s="10">
        <v>480</v>
      </c>
      <c r="ED160" s="10" t="s">
        <v>1740</v>
      </c>
      <c r="EE160" s="813">
        <f t="shared" si="93"/>
        <v>0</v>
      </c>
      <c r="EF160">
        <f>ROWS($DE$2:DE160)</f>
        <v>159</v>
      </c>
      <c r="EG160" t="str">
        <f t="shared" si="94"/>
        <v/>
      </c>
      <c r="EJ160" t="str">
        <f t="shared" si="95"/>
        <v/>
      </c>
      <c r="EM160" t="str">
        <f t="shared" si="96"/>
        <v/>
      </c>
      <c r="EP160" t="str">
        <f t="shared" si="97"/>
        <v/>
      </c>
      <c r="ES160" t="str">
        <f t="shared" si="98"/>
        <v/>
      </c>
      <c r="EV160" t="str">
        <f t="shared" si="99"/>
        <v/>
      </c>
      <c r="EY160" t="str">
        <f t="shared" si="100"/>
        <v/>
      </c>
      <c r="FB160" t="str">
        <f t="shared" si="101"/>
        <v/>
      </c>
      <c r="FE160" t="str">
        <f t="shared" si="102"/>
        <v/>
      </c>
      <c r="FH160" t="str">
        <f t="shared" si="103"/>
        <v/>
      </c>
      <c r="FK160" t="str">
        <f t="shared" si="104"/>
        <v/>
      </c>
      <c r="FN160" t="str">
        <f t="shared" si="105"/>
        <v/>
      </c>
      <c r="FQ160" t="str">
        <f t="shared" si="106"/>
        <v/>
      </c>
      <c r="FT160" t="str">
        <f t="shared" si="107"/>
        <v/>
      </c>
      <c r="FW160" t="str">
        <f t="shared" si="108"/>
        <v/>
      </c>
      <c r="FZ160" t="str">
        <f t="shared" si="109"/>
        <v/>
      </c>
      <c r="GC160" t="str">
        <f t="shared" si="110"/>
        <v/>
      </c>
      <c r="GE160" s="155"/>
    </row>
    <row r="161" spans="1:187" ht="15" customHeight="1" x14ac:dyDescent="0.35">
      <c r="B161"/>
      <c r="L161" s="10">
        <v>1067911</v>
      </c>
      <c r="O161" s="205"/>
      <c r="P161" s="193"/>
      <c r="Q161" s="193"/>
      <c r="R161" s="206"/>
      <c r="S161" s="201">
        <v>3.875</v>
      </c>
      <c r="T161" s="201" t="s">
        <v>737</v>
      </c>
      <c r="U161" s="201">
        <v>1059290</v>
      </c>
      <c r="V161" s="171" t="s">
        <v>90</v>
      </c>
      <c r="W161" s="191">
        <v>1</v>
      </c>
      <c r="X161" s="173">
        <v>1</v>
      </c>
      <c r="Y161" s="173">
        <v>1</v>
      </c>
      <c r="Z161" s="173">
        <v>1</v>
      </c>
      <c r="AA161" s="177"/>
      <c r="AB161" s="10"/>
      <c r="AC161" s="10"/>
      <c r="AD161" s="10"/>
      <c r="AE161" s="188"/>
      <c r="AF161" s="188"/>
      <c r="AG161" s="188"/>
      <c r="AH161" s="188"/>
      <c r="AI161" s="188"/>
      <c r="AJ161" s="188"/>
      <c r="AK161" s="188"/>
      <c r="AL161" s="188"/>
      <c r="AM161" s="188"/>
      <c r="AN161" s="188"/>
      <c r="AO161" s="188"/>
      <c r="AP161" s="188"/>
      <c r="AQ161" s="188"/>
      <c r="AR161" s="188"/>
      <c r="AS161" s="188"/>
      <c r="AT161" s="188"/>
      <c r="AU161" s="188"/>
      <c r="AV161" s="188"/>
      <c r="AW161" s="188"/>
      <c r="AX161" s="188"/>
      <c r="AY161" s="188"/>
      <c r="AZ161" s="188"/>
      <c r="BA161" s="188"/>
      <c r="BB161" s="188"/>
      <c r="BC161" s="188"/>
      <c r="BD161" s="188"/>
      <c r="BF161">
        <f>ROWS($U$46:U161)</f>
        <v>116</v>
      </c>
      <c r="BG161" t="str">
        <f t="shared" si="91"/>
        <v/>
      </c>
      <c r="DB161" s="10">
        <v>409593</v>
      </c>
      <c r="DD161"/>
      <c r="DE161">
        <v>1100741</v>
      </c>
      <c r="DF161" t="s">
        <v>1417</v>
      </c>
      <c r="DG161" t="s">
        <v>1417</v>
      </c>
      <c r="DH161" s="10">
        <v>16</v>
      </c>
      <c r="DI161" s="10">
        <v>1613</v>
      </c>
      <c r="DJ161" s="10" t="s">
        <v>1231</v>
      </c>
      <c r="DL161" s="10" t="s">
        <v>240</v>
      </c>
      <c r="DO161" s="10">
        <v>497</v>
      </c>
      <c r="DR161" s="37" t="str">
        <f t="shared" si="112"/>
        <v xml:space="preserve">1613 CT418 </v>
      </c>
      <c r="DS161" s="37">
        <f t="shared" si="111"/>
        <v>229.51500000000001</v>
      </c>
      <c r="DT161" s="10">
        <v>176.55</v>
      </c>
      <c r="DV161" s="10" t="s">
        <v>49</v>
      </c>
      <c r="DW161" t="s">
        <v>1590</v>
      </c>
      <c r="DX161">
        <v>30</v>
      </c>
      <c r="DY161" t="s">
        <v>1673</v>
      </c>
      <c r="DZ161" t="s">
        <v>1668</v>
      </c>
      <c r="EA161">
        <v>1</v>
      </c>
      <c r="EB161" t="s">
        <v>1513</v>
      </c>
      <c r="EC161" s="10">
        <v>662</v>
      </c>
      <c r="ED161" s="10" t="s">
        <v>1736</v>
      </c>
      <c r="EE161" s="813">
        <f t="shared" si="93"/>
        <v>0</v>
      </c>
      <c r="EF161">
        <f>ROWS($DE$2:DE161)</f>
        <v>160</v>
      </c>
      <c r="EG161" t="str">
        <f t="shared" si="94"/>
        <v/>
      </c>
      <c r="EJ161" t="str">
        <f t="shared" si="95"/>
        <v/>
      </c>
      <c r="EM161" t="str">
        <f t="shared" si="96"/>
        <v/>
      </c>
      <c r="EP161" t="str">
        <f t="shared" si="97"/>
        <v/>
      </c>
      <c r="ES161" t="str">
        <f t="shared" si="98"/>
        <v/>
      </c>
      <c r="EV161" t="str">
        <f t="shared" si="99"/>
        <v/>
      </c>
      <c r="EY161" t="str">
        <f t="shared" si="100"/>
        <v/>
      </c>
      <c r="FB161" t="str">
        <f t="shared" si="101"/>
        <v/>
      </c>
      <c r="FE161" t="str">
        <f t="shared" si="102"/>
        <v/>
      </c>
      <c r="FH161" t="str">
        <f t="shared" si="103"/>
        <v/>
      </c>
      <c r="FK161" t="str">
        <f t="shared" si="104"/>
        <v/>
      </c>
      <c r="FN161" t="str">
        <f t="shared" si="105"/>
        <v/>
      </c>
      <c r="FQ161" t="str">
        <f t="shared" si="106"/>
        <v/>
      </c>
      <c r="FT161" t="str">
        <f t="shared" si="107"/>
        <v/>
      </c>
      <c r="FW161" t="str">
        <f t="shared" si="108"/>
        <v/>
      </c>
      <c r="FZ161" t="str">
        <f t="shared" si="109"/>
        <v/>
      </c>
      <c r="GC161" t="str">
        <f t="shared" si="110"/>
        <v/>
      </c>
      <c r="GE161" s="155"/>
    </row>
    <row r="162" spans="1:187" ht="15" customHeight="1" thickBot="1" x14ac:dyDescent="0.4">
      <c r="B162"/>
      <c r="L162" s="10">
        <v>1068137</v>
      </c>
      <c r="O162" s="207"/>
      <c r="P162" s="208"/>
      <c r="Q162" s="208"/>
      <c r="R162" s="209"/>
      <c r="S162" s="204">
        <v>3.875</v>
      </c>
      <c r="T162" s="204" t="s">
        <v>737</v>
      </c>
      <c r="U162" s="204">
        <v>1059290</v>
      </c>
      <c r="V162" s="195" t="s">
        <v>91</v>
      </c>
      <c r="W162" s="228">
        <v>1</v>
      </c>
      <c r="X162" s="229">
        <v>1</v>
      </c>
      <c r="Y162" s="229">
        <v>1</v>
      </c>
      <c r="Z162" s="195"/>
      <c r="AA162" s="218"/>
      <c r="AB162" s="10"/>
      <c r="AC162" s="10"/>
      <c r="AD162" s="10"/>
      <c r="AE162" s="188"/>
      <c r="AF162" s="188"/>
      <c r="AG162" s="188"/>
      <c r="AH162" s="188"/>
      <c r="AI162" s="188"/>
      <c r="AJ162" s="188"/>
      <c r="AK162" s="188"/>
      <c r="AL162" s="188"/>
      <c r="AM162" s="188"/>
      <c r="AN162" s="188"/>
      <c r="AO162" s="188"/>
      <c r="AP162" s="188"/>
      <c r="AQ162" s="188"/>
      <c r="AR162" s="188"/>
      <c r="AS162" s="188"/>
      <c r="AT162" s="188"/>
      <c r="AU162" s="188"/>
      <c r="AV162" s="188"/>
      <c r="AW162" s="188"/>
      <c r="AX162" s="188"/>
      <c r="AY162" s="188"/>
      <c r="AZ162" s="188"/>
      <c r="BA162" s="188"/>
      <c r="BB162" s="188"/>
      <c r="BC162" s="188"/>
      <c r="BD162" s="188"/>
      <c r="BF162">
        <f>ROWS($U$46:U162)</f>
        <v>117</v>
      </c>
      <c r="BG162" t="str">
        <f t="shared" si="91"/>
        <v/>
      </c>
      <c r="DB162" s="10">
        <v>397470</v>
      </c>
      <c r="DD162"/>
      <c r="DE162">
        <v>1123317</v>
      </c>
      <c r="DF162" t="s">
        <v>1418</v>
      </c>
      <c r="DG162" t="s">
        <v>1418</v>
      </c>
      <c r="DH162" s="10">
        <v>16</v>
      </c>
      <c r="DI162" s="10">
        <v>1613</v>
      </c>
      <c r="DJ162" s="10" t="s">
        <v>1419</v>
      </c>
      <c r="DL162" s="10" t="s">
        <v>240</v>
      </c>
      <c r="DO162" s="10">
        <v>497</v>
      </c>
      <c r="DR162" s="37" t="str">
        <f t="shared" si="112"/>
        <v xml:space="preserve">1613 CT144 </v>
      </c>
      <c r="DS162" s="37">
        <f t="shared" si="111"/>
        <v>0</v>
      </c>
      <c r="DV162" s="555" t="s">
        <v>1543</v>
      </c>
      <c r="DW162" t="s">
        <v>1543</v>
      </c>
      <c r="DX162" t="s">
        <v>1543</v>
      </c>
      <c r="DY162" t="s">
        <v>1543</v>
      </c>
      <c r="DZ162" t="s">
        <v>1543</v>
      </c>
      <c r="EA162" t="s">
        <v>1543</v>
      </c>
      <c r="EB162" t="s">
        <v>1543</v>
      </c>
      <c r="EC162" s="10" t="s">
        <v>1543</v>
      </c>
      <c r="ED162" s="10" t="s">
        <v>1543</v>
      </c>
      <c r="EE162" s="813">
        <f t="shared" si="93"/>
        <v>0</v>
      </c>
      <c r="EF162">
        <f>ROWS($DE$2:DE162)</f>
        <v>161</v>
      </c>
      <c r="EG162" t="str">
        <f t="shared" si="94"/>
        <v/>
      </c>
      <c r="EJ162" t="str">
        <f t="shared" si="95"/>
        <v/>
      </c>
      <c r="EM162" t="str">
        <f t="shared" si="96"/>
        <v/>
      </c>
      <c r="EP162" t="str">
        <f t="shared" si="97"/>
        <v/>
      </c>
      <c r="ES162" t="str">
        <f t="shared" si="98"/>
        <v/>
      </c>
      <c r="EV162" t="str">
        <f t="shared" si="99"/>
        <v/>
      </c>
      <c r="EY162" t="str">
        <f t="shared" si="100"/>
        <v/>
      </c>
      <c r="FB162" t="str">
        <f t="shared" si="101"/>
        <v/>
      </c>
      <c r="FE162" t="str">
        <f t="shared" si="102"/>
        <v/>
      </c>
      <c r="FH162" t="str">
        <f t="shared" si="103"/>
        <v/>
      </c>
      <c r="FK162" t="str">
        <f t="shared" si="104"/>
        <v/>
      </c>
      <c r="FN162" t="str">
        <f t="shared" si="105"/>
        <v/>
      </c>
      <c r="FQ162" t="str">
        <f t="shared" si="106"/>
        <v/>
      </c>
      <c r="FT162" t="str">
        <f t="shared" si="107"/>
        <v/>
      </c>
      <c r="FW162" t="str">
        <f t="shared" si="108"/>
        <v/>
      </c>
      <c r="FZ162" t="str">
        <f t="shared" si="109"/>
        <v/>
      </c>
      <c r="GC162" t="str">
        <f t="shared" si="110"/>
        <v/>
      </c>
      <c r="GE162" s="155"/>
    </row>
    <row r="163" spans="1:187" ht="15.75" customHeight="1" x14ac:dyDescent="0.35">
      <c r="B163"/>
      <c r="L163" s="10">
        <v>1070175</v>
      </c>
      <c r="O163" s="230">
        <v>1</v>
      </c>
      <c r="P163" s="231">
        <v>768848</v>
      </c>
      <c r="Q163" s="231">
        <v>3</v>
      </c>
      <c r="R163" s="231" t="s">
        <v>1114</v>
      </c>
      <c r="S163" s="167" t="s">
        <v>1396</v>
      </c>
      <c r="T163" s="167" t="s">
        <v>750</v>
      </c>
      <c r="U163" s="167">
        <v>899327</v>
      </c>
      <c r="V163" s="192" t="s">
        <v>87</v>
      </c>
      <c r="W163" s="232">
        <v>2</v>
      </c>
      <c r="X163" s="232">
        <v>2</v>
      </c>
      <c r="Y163" s="232">
        <v>2</v>
      </c>
      <c r="Z163" s="232">
        <v>2</v>
      </c>
      <c r="AA163" s="232">
        <v>3</v>
      </c>
      <c r="AB163" s="184">
        <v>4</v>
      </c>
      <c r="AC163" s="10" t="s">
        <v>304</v>
      </c>
      <c r="AD163" s="10"/>
      <c r="AE163" s="10"/>
      <c r="AF163" s="188"/>
      <c r="AG163" s="188"/>
      <c r="AH163" s="188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F163">
        <f>ROWS($U$46:U163)</f>
        <v>118</v>
      </c>
      <c r="BG163" t="str">
        <f t="shared" si="91"/>
        <v/>
      </c>
      <c r="DB163" s="10">
        <v>971088</v>
      </c>
      <c r="DD163"/>
      <c r="DE163">
        <v>1039029</v>
      </c>
      <c r="DF163" t="s">
        <v>1423</v>
      </c>
      <c r="DG163" t="s">
        <v>1423</v>
      </c>
      <c r="DH163" s="10">
        <v>10</v>
      </c>
      <c r="DI163" s="10">
        <v>1010</v>
      </c>
      <c r="DJ163" s="10" t="s">
        <v>249</v>
      </c>
      <c r="DL163" s="10" t="s">
        <v>239</v>
      </c>
      <c r="DO163" s="10">
        <v>272</v>
      </c>
      <c r="DR163" s="37" t="str">
        <f t="shared" si="112"/>
        <v xml:space="preserve">1010 CT138 </v>
      </c>
      <c r="DS163" s="37">
        <f t="shared" si="111"/>
        <v>0</v>
      </c>
      <c r="DV163" s="10" t="s">
        <v>49</v>
      </c>
      <c r="DW163" t="s">
        <v>1588</v>
      </c>
      <c r="DX163">
        <v>30</v>
      </c>
      <c r="DY163" t="s">
        <v>1683</v>
      </c>
      <c r="DZ163" t="s">
        <v>1671</v>
      </c>
      <c r="EA163">
        <v>1</v>
      </c>
      <c r="EB163" t="s">
        <v>1513</v>
      </c>
      <c r="EC163" s="10">
        <v>419</v>
      </c>
      <c r="ED163" s="10" t="s">
        <v>1746</v>
      </c>
      <c r="EE163" s="813">
        <f t="shared" si="93"/>
        <v>0</v>
      </c>
      <c r="EF163">
        <f>ROWS($DE$2:DE163)</f>
        <v>162</v>
      </c>
      <c r="EG163" t="str">
        <f t="shared" si="94"/>
        <v/>
      </c>
      <c r="EJ163" t="str">
        <f t="shared" si="95"/>
        <v/>
      </c>
      <c r="EM163" t="str">
        <f t="shared" si="96"/>
        <v/>
      </c>
      <c r="EP163" t="str">
        <f t="shared" si="97"/>
        <v/>
      </c>
      <c r="ES163" t="str">
        <f t="shared" si="98"/>
        <v/>
      </c>
      <c r="EV163" t="str">
        <f t="shared" si="99"/>
        <v/>
      </c>
      <c r="EY163" t="str">
        <f t="shared" si="100"/>
        <v/>
      </c>
      <c r="FB163" t="str">
        <f t="shared" si="101"/>
        <v/>
      </c>
      <c r="FE163" t="str">
        <f t="shared" si="102"/>
        <v/>
      </c>
      <c r="FH163" t="str">
        <f t="shared" si="103"/>
        <v/>
      </c>
      <c r="FK163" t="str">
        <f t="shared" si="104"/>
        <v/>
      </c>
      <c r="FN163" t="str">
        <f t="shared" si="105"/>
        <v/>
      </c>
      <c r="FQ163" t="str">
        <f t="shared" si="106"/>
        <v/>
      </c>
      <c r="FT163" t="str">
        <f t="shared" si="107"/>
        <v/>
      </c>
      <c r="FW163" t="str">
        <f t="shared" si="108"/>
        <v/>
      </c>
      <c r="FZ163" t="str">
        <f t="shared" si="109"/>
        <v/>
      </c>
      <c r="GC163" t="str">
        <f t="shared" si="110"/>
        <v/>
      </c>
      <c r="GE163" s="155"/>
    </row>
    <row r="164" spans="1:187" ht="15" customHeight="1" x14ac:dyDescent="0.35">
      <c r="B164"/>
      <c r="L164" s="10">
        <v>1079481</v>
      </c>
      <c r="O164" s="233">
        <v>2</v>
      </c>
      <c r="P164" s="167">
        <v>729434</v>
      </c>
      <c r="Q164" s="167">
        <v>33</v>
      </c>
      <c r="R164" s="167"/>
      <c r="S164" s="167" t="s">
        <v>1396</v>
      </c>
      <c r="T164" s="167" t="s">
        <v>750</v>
      </c>
      <c r="U164" s="167">
        <v>899327</v>
      </c>
      <c r="V164" s="171" t="s">
        <v>88</v>
      </c>
      <c r="W164" s="234">
        <v>2</v>
      </c>
      <c r="X164" s="234">
        <v>2</v>
      </c>
      <c r="Y164" s="234">
        <v>2</v>
      </c>
      <c r="Z164" s="234">
        <v>2</v>
      </c>
      <c r="AA164" s="234">
        <v>3</v>
      </c>
      <c r="AB164" s="234">
        <v>4</v>
      </c>
      <c r="AC164" s="10" t="s">
        <v>304</v>
      </c>
      <c r="AD164" s="10"/>
      <c r="AE164" s="10"/>
      <c r="AF164" s="188"/>
      <c r="AG164" s="188"/>
      <c r="AH164" s="188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F164">
        <f>ROWS($U$46:U164)</f>
        <v>119</v>
      </c>
      <c r="BG164" t="str">
        <f t="shared" si="91"/>
        <v/>
      </c>
      <c r="DB164" s="10">
        <v>1130204</v>
      </c>
      <c r="DD164"/>
      <c r="DE164">
        <v>1050785</v>
      </c>
      <c r="DF164" t="s">
        <v>1424</v>
      </c>
      <c r="DG164" t="s">
        <v>1424</v>
      </c>
      <c r="DH164" s="10">
        <v>10</v>
      </c>
      <c r="DI164" s="10">
        <v>1005</v>
      </c>
      <c r="DJ164" s="10" t="s">
        <v>249</v>
      </c>
      <c r="DL164" s="10" t="s">
        <v>239</v>
      </c>
      <c r="DO164" s="10">
        <v>272</v>
      </c>
      <c r="DR164" s="37" t="str">
        <f t="shared" si="112"/>
        <v xml:space="preserve">1005 CT138 </v>
      </c>
      <c r="DS164" s="37">
        <f t="shared" si="111"/>
        <v>0</v>
      </c>
      <c r="DV164" s="10" t="s">
        <v>49</v>
      </c>
      <c r="DW164" t="s">
        <v>1588</v>
      </c>
      <c r="DX164">
        <v>30</v>
      </c>
      <c r="DY164" t="s">
        <v>1683</v>
      </c>
      <c r="DZ164" t="s">
        <v>1671</v>
      </c>
      <c r="EA164">
        <v>1</v>
      </c>
      <c r="EB164" t="s">
        <v>1513</v>
      </c>
      <c r="EC164" s="10">
        <v>419</v>
      </c>
      <c r="ED164" s="10" t="s">
        <v>1746</v>
      </c>
      <c r="EE164" s="813">
        <f t="shared" si="93"/>
        <v>0</v>
      </c>
      <c r="EF164">
        <f>ROWS($DE$2:DE164)</f>
        <v>163</v>
      </c>
      <c r="EG164" t="str">
        <f t="shared" si="94"/>
        <v/>
      </c>
      <c r="EJ164" t="str">
        <f t="shared" si="95"/>
        <v/>
      </c>
      <c r="EM164" t="str">
        <f t="shared" si="96"/>
        <v/>
      </c>
      <c r="EP164" t="str">
        <f t="shared" si="97"/>
        <v/>
      </c>
      <c r="ES164" t="str">
        <f t="shared" si="98"/>
        <v/>
      </c>
      <c r="EV164" t="str">
        <f t="shared" si="99"/>
        <v/>
      </c>
      <c r="EY164" t="str">
        <f t="shared" si="100"/>
        <v/>
      </c>
      <c r="FB164" t="str">
        <f t="shared" si="101"/>
        <v/>
      </c>
      <c r="FE164" t="str">
        <f t="shared" si="102"/>
        <v/>
      </c>
      <c r="FH164" t="str">
        <f t="shared" si="103"/>
        <v/>
      </c>
      <c r="FK164" t="str">
        <f t="shared" si="104"/>
        <v/>
      </c>
      <c r="FN164" t="str">
        <f t="shared" si="105"/>
        <v/>
      </c>
      <c r="FQ164" t="str">
        <f t="shared" si="106"/>
        <v/>
      </c>
      <c r="FT164" t="str">
        <f t="shared" si="107"/>
        <v/>
      </c>
      <c r="FW164" t="str">
        <f t="shared" si="108"/>
        <v/>
      </c>
      <c r="FZ164" t="str">
        <f t="shared" si="109"/>
        <v/>
      </c>
      <c r="GC164" t="str">
        <f t="shared" si="110"/>
        <v/>
      </c>
      <c r="GE164" s="155"/>
    </row>
    <row r="165" spans="1:187" ht="15" customHeight="1" x14ac:dyDescent="0.35">
      <c r="B165"/>
      <c r="L165" s="10">
        <v>1080537</v>
      </c>
      <c r="O165" s="233">
        <v>3</v>
      </c>
      <c r="P165" s="167">
        <v>717749</v>
      </c>
      <c r="Q165" s="167">
        <v>9</v>
      </c>
      <c r="R165" s="167" t="s">
        <v>751</v>
      </c>
      <c r="S165" s="167" t="s">
        <v>1396</v>
      </c>
      <c r="T165" s="167" t="s">
        <v>750</v>
      </c>
      <c r="U165" s="167">
        <v>899327</v>
      </c>
      <c r="V165" s="171" t="s">
        <v>89</v>
      </c>
      <c r="W165" s="234">
        <v>1</v>
      </c>
      <c r="X165" s="234">
        <v>2</v>
      </c>
      <c r="Y165" s="234">
        <v>2</v>
      </c>
      <c r="Z165" s="234">
        <v>2</v>
      </c>
      <c r="AA165" s="234">
        <v>3</v>
      </c>
      <c r="AB165" s="234">
        <v>4</v>
      </c>
      <c r="AC165" s="10" t="s">
        <v>304</v>
      </c>
      <c r="AD165" s="10"/>
      <c r="AE165" s="10"/>
      <c r="AF165" s="188"/>
      <c r="AG165" s="188"/>
      <c r="AH165" s="188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F165">
        <f>ROWS($U$46:U165)</f>
        <v>120</v>
      </c>
      <c r="BG165" t="str">
        <f t="shared" si="91"/>
        <v/>
      </c>
      <c r="DB165" s="10">
        <v>1145493</v>
      </c>
      <c r="DD165"/>
      <c r="DE165">
        <v>1130197</v>
      </c>
      <c r="DF165" t="s">
        <v>1426</v>
      </c>
      <c r="DG165" t="s">
        <v>1426</v>
      </c>
      <c r="DH165" s="10">
        <v>16</v>
      </c>
      <c r="DI165" s="10">
        <v>1608</v>
      </c>
      <c r="DJ165" s="10" t="s">
        <v>1232</v>
      </c>
      <c r="DL165" s="10">
        <v>1.7999999999999999E-2</v>
      </c>
      <c r="DO165" s="10">
        <v>497</v>
      </c>
      <c r="DR165" s="37" t="str">
        <f t="shared" si="112"/>
        <v xml:space="preserve">1608 CT182 </v>
      </c>
      <c r="DS165" s="37">
        <f t="shared" si="111"/>
        <v>0</v>
      </c>
      <c r="DV165" s="10" t="s">
        <v>49</v>
      </c>
      <c r="DW165" t="s">
        <v>1590</v>
      </c>
      <c r="DX165">
        <v>30</v>
      </c>
      <c r="DY165" t="s">
        <v>1673</v>
      </c>
      <c r="DZ165" t="s">
        <v>1668</v>
      </c>
      <c r="EA165">
        <v>1</v>
      </c>
      <c r="EB165" t="s">
        <v>1513</v>
      </c>
      <c r="EC165" s="10">
        <v>662</v>
      </c>
      <c r="ED165" s="10" t="s">
        <v>1736</v>
      </c>
      <c r="EE165" s="813">
        <f t="shared" si="93"/>
        <v>0</v>
      </c>
      <c r="EF165">
        <f>ROWS($DE$2:DE165)</f>
        <v>164</v>
      </c>
      <c r="EG165" t="str">
        <f t="shared" si="94"/>
        <v/>
      </c>
      <c r="EJ165">
        <f t="shared" si="95"/>
        <v>164</v>
      </c>
      <c r="EM165" t="str">
        <f t="shared" si="96"/>
        <v/>
      </c>
      <c r="EP165" t="str">
        <f t="shared" si="97"/>
        <v/>
      </c>
      <c r="ES165" t="str">
        <f t="shared" si="98"/>
        <v/>
      </c>
      <c r="EV165" t="str">
        <f t="shared" si="99"/>
        <v/>
      </c>
      <c r="EY165" t="str">
        <f t="shared" si="100"/>
        <v/>
      </c>
      <c r="FB165" t="str">
        <f t="shared" si="101"/>
        <v/>
      </c>
      <c r="FE165" t="str">
        <f t="shared" si="102"/>
        <v/>
      </c>
      <c r="FH165" t="str">
        <f t="shared" si="103"/>
        <v/>
      </c>
      <c r="FK165" t="str">
        <f t="shared" si="104"/>
        <v/>
      </c>
      <c r="FN165" t="str">
        <f t="shared" si="105"/>
        <v/>
      </c>
      <c r="FQ165" t="str">
        <f t="shared" si="106"/>
        <v/>
      </c>
      <c r="FT165" t="str">
        <f t="shared" si="107"/>
        <v/>
      </c>
      <c r="FW165" t="str">
        <f t="shared" si="108"/>
        <v/>
      </c>
      <c r="FZ165" t="str">
        <f t="shared" si="109"/>
        <v/>
      </c>
      <c r="GC165" t="str">
        <f t="shared" si="110"/>
        <v/>
      </c>
      <c r="GE165" s="155"/>
    </row>
    <row r="166" spans="1:187" ht="15" customHeight="1" x14ac:dyDescent="0.35">
      <c r="B166"/>
      <c r="L166" s="10">
        <v>1083403</v>
      </c>
      <c r="O166" s="235">
        <v>4</v>
      </c>
      <c r="P166" s="179">
        <v>418525</v>
      </c>
      <c r="Q166" s="179">
        <v>9</v>
      </c>
      <c r="R166" s="179"/>
      <c r="S166" s="167" t="s">
        <v>1396</v>
      </c>
      <c r="T166" s="167" t="s">
        <v>750</v>
      </c>
      <c r="U166" s="167">
        <v>899327</v>
      </c>
      <c r="V166" s="180" t="s">
        <v>90</v>
      </c>
      <c r="W166" s="234">
        <v>2</v>
      </c>
      <c r="X166" s="234">
        <v>2</v>
      </c>
      <c r="Y166" s="234">
        <v>2</v>
      </c>
      <c r="Z166" s="234">
        <v>2</v>
      </c>
      <c r="AA166" s="234">
        <v>3</v>
      </c>
      <c r="AB166" s="234">
        <v>4</v>
      </c>
      <c r="AC166" s="10" t="s">
        <v>304</v>
      </c>
      <c r="AD166" s="10"/>
      <c r="AE166" s="10"/>
      <c r="AF166" s="188"/>
      <c r="AG166" s="188"/>
      <c r="AH166" s="188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F166">
        <f>ROWS($U$46:U166)</f>
        <v>121</v>
      </c>
      <c r="BG166" t="str">
        <f t="shared" si="91"/>
        <v/>
      </c>
      <c r="DB166" s="10">
        <v>1100755</v>
      </c>
      <c r="DE166">
        <v>179790</v>
      </c>
      <c r="DF166" t="s">
        <v>1429</v>
      </c>
      <c r="DG166" t="s">
        <v>1429</v>
      </c>
      <c r="DH166" s="10">
        <v>16</v>
      </c>
      <c r="DI166" s="10">
        <v>1613</v>
      </c>
      <c r="DJ166" t="s">
        <v>1431</v>
      </c>
      <c r="DL166" s="10" t="s">
        <v>240</v>
      </c>
      <c r="DO166" s="10">
        <v>497</v>
      </c>
      <c r="DR166" s="37" t="str">
        <f t="shared" si="112"/>
        <v xml:space="preserve">1613 OBS ELITE RC </v>
      </c>
      <c r="DS166" s="37">
        <f t="shared" si="111"/>
        <v>0</v>
      </c>
      <c r="DV166" s="10" t="s">
        <v>1754</v>
      </c>
      <c r="DW166" t="s">
        <v>1590</v>
      </c>
      <c r="DX166">
        <v>40</v>
      </c>
      <c r="DY166" t="s">
        <v>1809</v>
      </c>
      <c r="DZ166" t="s">
        <v>1668</v>
      </c>
      <c r="EA166">
        <v>1</v>
      </c>
      <c r="EB166" t="s">
        <v>1513</v>
      </c>
      <c r="EC166" s="10">
        <v>333</v>
      </c>
      <c r="ED166" s="10" t="s">
        <v>1810</v>
      </c>
      <c r="EE166" s="813">
        <f t="shared" si="93"/>
        <v>0</v>
      </c>
      <c r="EF166">
        <f>ROWS($DE$2:DE166)</f>
        <v>165</v>
      </c>
      <c r="EG166" t="str">
        <f t="shared" si="94"/>
        <v/>
      </c>
      <c r="EJ166" t="str">
        <f t="shared" si="95"/>
        <v/>
      </c>
      <c r="EM166" t="str">
        <f t="shared" si="96"/>
        <v/>
      </c>
      <c r="EP166" t="str">
        <f t="shared" si="97"/>
        <v/>
      </c>
      <c r="ES166" t="str">
        <f t="shared" si="98"/>
        <v/>
      </c>
      <c r="EV166" t="str">
        <f t="shared" si="99"/>
        <v/>
      </c>
      <c r="EY166" t="str">
        <f t="shared" si="100"/>
        <v/>
      </c>
      <c r="FB166" t="str">
        <f t="shared" si="101"/>
        <v/>
      </c>
      <c r="FE166" t="str">
        <f t="shared" si="102"/>
        <v/>
      </c>
      <c r="FH166" t="str">
        <f t="shared" si="103"/>
        <v/>
      </c>
      <c r="FK166" t="str">
        <f t="shared" si="104"/>
        <v/>
      </c>
      <c r="FN166" t="str">
        <f t="shared" si="105"/>
        <v/>
      </c>
      <c r="FQ166" t="str">
        <f t="shared" si="106"/>
        <v/>
      </c>
      <c r="FT166" t="str">
        <f t="shared" si="107"/>
        <v/>
      </c>
      <c r="FW166" t="str">
        <f t="shared" si="108"/>
        <v/>
      </c>
      <c r="FZ166" t="str">
        <f t="shared" si="109"/>
        <v/>
      </c>
      <c r="GC166" t="str">
        <f t="shared" si="110"/>
        <v/>
      </c>
      <c r="GE166" s="155"/>
    </row>
    <row r="167" spans="1:187" ht="15" customHeight="1" x14ac:dyDescent="0.35">
      <c r="B167"/>
      <c r="L167" s="10">
        <v>1083564</v>
      </c>
      <c r="O167" s="236"/>
      <c r="P167" s="237"/>
      <c r="Q167" s="237"/>
      <c r="R167" s="238"/>
      <c r="S167" s="167" t="s">
        <v>1396</v>
      </c>
      <c r="T167" s="167" t="s">
        <v>750</v>
      </c>
      <c r="U167" s="167">
        <v>899327</v>
      </c>
      <c r="V167" s="40" t="s">
        <v>91</v>
      </c>
      <c r="W167" s="234">
        <v>2</v>
      </c>
      <c r="X167" s="234">
        <v>2</v>
      </c>
      <c r="Y167" s="234">
        <v>2</v>
      </c>
      <c r="Z167" s="234">
        <v>2</v>
      </c>
      <c r="AA167" s="234">
        <v>3</v>
      </c>
      <c r="AB167" s="234">
        <v>4</v>
      </c>
      <c r="AC167" s="10" t="s">
        <v>304</v>
      </c>
      <c r="AD167" s="10"/>
      <c r="AE167" s="10"/>
      <c r="AF167" s="188"/>
      <c r="AG167" s="188"/>
      <c r="AH167" s="188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F167">
        <f>ROWS($U$46:U167)</f>
        <v>122</v>
      </c>
      <c r="BG167" t="str">
        <f t="shared" si="91"/>
        <v/>
      </c>
      <c r="DB167" s="10">
        <v>1146740</v>
      </c>
      <c r="DE167">
        <v>409593</v>
      </c>
      <c r="DF167" t="s">
        <v>1448</v>
      </c>
      <c r="DG167" t="s">
        <v>1448</v>
      </c>
      <c r="DH167" s="10">
        <v>16</v>
      </c>
      <c r="DI167" s="10">
        <v>1608</v>
      </c>
      <c r="DJ167" s="10" t="s">
        <v>1449</v>
      </c>
      <c r="DL167" s="10" t="s">
        <v>239</v>
      </c>
      <c r="DO167" s="10">
        <v>497</v>
      </c>
      <c r="DR167" s="37" t="str">
        <f t="shared" si="112"/>
        <v xml:space="preserve">1608 OBS CT27 </v>
      </c>
      <c r="DS167" s="37">
        <f t="shared" si="111"/>
        <v>0</v>
      </c>
      <c r="DV167" s="10" t="s">
        <v>732</v>
      </c>
      <c r="DW167" t="s">
        <v>1590</v>
      </c>
      <c r="DX167">
        <v>20</v>
      </c>
      <c r="DY167" t="s">
        <v>1680</v>
      </c>
      <c r="DZ167" t="s">
        <v>1668</v>
      </c>
      <c r="EA167">
        <v>1</v>
      </c>
      <c r="EB167" t="s">
        <v>1513</v>
      </c>
      <c r="EC167" s="10">
        <v>545</v>
      </c>
      <c r="ED167" s="10" t="s">
        <v>1743</v>
      </c>
      <c r="EE167" s="10">
        <f t="shared" si="93"/>
        <v>0</v>
      </c>
      <c r="EF167">
        <f>ROWS($DE$2:DE167)</f>
        <v>166</v>
      </c>
      <c r="EG167" t="str">
        <f t="shared" si="94"/>
        <v/>
      </c>
      <c r="EJ167" t="str">
        <f t="shared" si="95"/>
        <v/>
      </c>
      <c r="EM167" t="str">
        <f t="shared" si="96"/>
        <v/>
      </c>
      <c r="EP167" t="str">
        <f t="shared" si="97"/>
        <v/>
      </c>
      <c r="ES167" t="str">
        <f t="shared" si="98"/>
        <v/>
      </c>
      <c r="EV167" t="str">
        <f t="shared" si="99"/>
        <v/>
      </c>
      <c r="EY167" t="str">
        <f t="shared" si="100"/>
        <v/>
      </c>
      <c r="FB167" t="str">
        <f t="shared" si="101"/>
        <v/>
      </c>
      <c r="FE167" t="str">
        <f t="shared" si="102"/>
        <v/>
      </c>
      <c r="FH167" t="str">
        <f t="shared" si="103"/>
        <v/>
      </c>
      <c r="FK167" t="str">
        <f t="shared" si="104"/>
        <v/>
      </c>
      <c r="FN167" t="str">
        <f t="shared" si="105"/>
        <v/>
      </c>
      <c r="FQ167" t="str">
        <f t="shared" si="106"/>
        <v/>
      </c>
      <c r="FT167" t="str">
        <f t="shared" si="107"/>
        <v/>
      </c>
      <c r="FW167" t="str">
        <f t="shared" si="108"/>
        <v/>
      </c>
      <c r="FZ167" t="str">
        <f t="shared" si="109"/>
        <v/>
      </c>
      <c r="GC167" t="str">
        <f t="shared" si="110"/>
        <v/>
      </c>
      <c r="GE167" s="155"/>
    </row>
    <row r="168" spans="1:187" ht="15" customHeight="1" x14ac:dyDescent="0.35">
      <c r="B168"/>
      <c r="L168" s="10">
        <v>1083599</v>
      </c>
      <c r="O168" s="239"/>
      <c r="P168" s="240"/>
      <c r="Q168" s="240"/>
      <c r="R168" s="241"/>
      <c r="S168" s="167" t="s">
        <v>1396</v>
      </c>
      <c r="T168" s="167" t="s">
        <v>750</v>
      </c>
      <c r="U168" s="167">
        <v>899327</v>
      </c>
      <c r="V168" s="40" t="s">
        <v>92</v>
      </c>
      <c r="W168" s="234">
        <v>1</v>
      </c>
      <c r="X168" s="234">
        <v>2</v>
      </c>
      <c r="Y168" s="234">
        <v>2</v>
      </c>
      <c r="Z168" s="234">
        <v>2</v>
      </c>
      <c r="AA168" s="234">
        <v>3</v>
      </c>
      <c r="AB168" s="234">
        <v>4</v>
      </c>
      <c r="AC168" s="10" t="s">
        <v>304</v>
      </c>
      <c r="AD168" s="10"/>
      <c r="AE168" s="10"/>
      <c r="AF168" s="188"/>
      <c r="AG168" s="188"/>
      <c r="AH168" s="188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F168">
        <f>ROWS($U$46:U168)</f>
        <v>123</v>
      </c>
      <c r="BG168" t="str">
        <f t="shared" si="91"/>
        <v/>
      </c>
      <c r="DB168" s="10">
        <v>887499</v>
      </c>
      <c r="DE168">
        <v>397470</v>
      </c>
      <c r="DF168" t="s">
        <v>1450</v>
      </c>
      <c r="DG168" t="s">
        <v>1450</v>
      </c>
      <c r="DH168" s="10">
        <v>16</v>
      </c>
      <c r="DI168" s="10">
        <v>1608</v>
      </c>
      <c r="DJ168" s="10" t="s">
        <v>1259</v>
      </c>
      <c r="DL168" s="10" t="s">
        <v>239</v>
      </c>
      <c r="DO168" s="10">
        <v>497</v>
      </c>
      <c r="DR168" s="37" t="str">
        <f t="shared" si="112"/>
        <v xml:space="preserve">1608 ELITE RC </v>
      </c>
      <c r="DS168" s="37">
        <f t="shared" si="111"/>
        <v>0</v>
      </c>
      <c r="DV168" s="10" t="s">
        <v>1754</v>
      </c>
      <c r="DW168" t="s">
        <v>1590</v>
      </c>
      <c r="DX168">
        <v>40</v>
      </c>
      <c r="DY168" t="s">
        <v>1809</v>
      </c>
      <c r="DZ168" t="s">
        <v>1668</v>
      </c>
      <c r="EA168">
        <v>1</v>
      </c>
      <c r="EB168" t="s">
        <v>1513</v>
      </c>
      <c r="EC168" s="10">
        <v>333</v>
      </c>
      <c r="ED168" s="10" t="s">
        <v>1810</v>
      </c>
      <c r="EE168" s="10">
        <f t="shared" si="93"/>
        <v>0</v>
      </c>
      <c r="EF168">
        <f>ROWS($DE$2:DE168)</f>
        <v>167</v>
      </c>
      <c r="EG168" t="str">
        <f t="shared" si="94"/>
        <v/>
      </c>
      <c r="EJ168" t="str">
        <f t="shared" si="95"/>
        <v/>
      </c>
      <c r="EM168" t="str">
        <f t="shared" si="96"/>
        <v/>
      </c>
      <c r="EP168" t="str">
        <f t="shared" si="97"/>
        <v/>
      </c>
      <c r="ES168" t="str">
        <f t="shared" si="98"/>
        <v/>
      </c>
      <c r="EV168" t="str">
        <f t="shared" si="99"/>
        <v/>
      </c>
      <c r="EY168" t="str">
        <f t="shared" si="100"/>
        <v/>
      </c>
      <c r="FB168" t="str">
        <f t="shared" si="101"/>
        <v/>
      </c>
      <c r="FE168" t="str">
        <f t="shared" si="102"/>
        <v/>
      </c>
      <c r="FH168" t="str">
        <f t="shared" si="103"/>
        <v/>
      </c>
      <c r="FK168" t="str">
        <f t="shared" si="104"/>
        <v/>
      </c>
      <c r="FN168" t="str">
        <f t="shared" si="105"/>
        <v/>
      </c>
      <c r="FQ168" t="str">
        <f t="shared" si="106"/>
        <v/>
      </c>
      <c r="FT168" t="str">
        <f t="shared" si="107"/>
        <v/>
      </c>
      <c r="FW168" t="str">
        <f t="shared" si="108"/>
        <v/>
      </c>
      <c r="FZ168" t="str">
        <f t="shared" si="109"/>
        <v/>
      </c>
      <c r="GC168" t="str">
        <f t="shared" si="110"/>
        <v/>
      </c>
      <c r="GE168" s="155"/>
    </row>
    <row r="169" spans="1:187" ht="15" customHeight="1" thickBot="1" x14ac:dyDescent="0.4">
      <c r="B169"/>
      <c r="L169" s="10">
        <v>1083976</v>
      </c>
      <c r="O169" s="239"/>
      <c r="P169" s="240"/>
      <c r="Q169" s="240"/>
      <c r="R169" s="241"/>
      <c r="S169" s="167" t="s">
        <v>1396</v>
      </c>
      <c r="T169" s="167" t="s">
        <v>750</v>
      </c>
      <c r="U169" s="167">
        <v>899327</v>
      </c>
      <c r="V169" s="40" t="s">
        <v>111</v>
      </c>
      <c r="W169" s="234">
        <v>2</v>
      </c>
      <c r="X169" s="234">
        <v>2</v>
      </c>
      <c r="Y169" s="234">
        <v>2</v>
      </c>
      <c r="Z169" s="234">
        <v>2</v>
      </c>
      <c r="AA169" s="234">
        <v>3</v>
      </c>
      <c r="AB169" s="234">
        <v>4</v>
      </c>
      <c r="AC169" s="10" t="s">
        <v>304</v>
      </c>
      <c r="AD169" s="10"/>
      <c r="AE169" s="10"/>
      <c r="AF169" s="188"/>
      <c r="AG169" s="188"/>
      <c r="AH169" s="188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F169">
        <f>ROWS($U$46:U169)</f>
        <v>124</v>
      </c>
      <c r="BG169" t="str">
        <f t="shared" si="91"/>
        <v/>
      </c>
      <c r="DB169" s="10">
        <v>1130193</v>
      </c>
      <c r="DD169"/>
      <c r="DE169">
        <v>971088</v>
      </c>
      <c r="DF169" t="s">
        <v>1453</v>
      </c>
      <c r="DG169" t="s">
        <v>1453</v>
      </c>
      <c r="DH169" s="10">
        <v>13</v>
      </c>
      <c r="DI169" s="10">
        <v>13</v>
      </c>
      <c r="DJ169" t="s">
        <v>264</v>
      </c>
      <c r="DK169" s="10" t="s">
        <v>1456</v>
      </c>
      <c r="DL169" s="10" t="s">
        <v>240</v>
      </c>
      <c r="DO169" s="10">
        <v>360</v>
      </c>
      <c r="DR169" s="37" t="str">
        <f t="shared" si="112"/>
        <v>13 CT217 SHORT BLT</v>
      </c>
      <c r="DS169" s="37">
        <f t="shared" si="111"/>
        <v>0</v>
      </c>
      <c r="DV169" s="10" t="s">
        <v>146</v>
      </c>
      <c r="DW169" t="s">
        <v>1589</v>
      </c>
      <c r="DX169">
        <v>10</v>
      </c>
      <c r="DY169" t="s">
        <v>1675</v>
      </c>
      <c r="DZ169" t="s">
        <v>1670</v>
      </c>
      <c r="EA169">
        <v>1</v>
      </c>
      <c r="EB169" t="s">
        <v>1513</v>
      </c>
      <c r="EC169" s="10">
        <v>345</v>
      </c>
      <c r="ED169" s="10" t="s">
        <v>1738</v>
      </c>
      <c r="EE169" s="10">
        <f t="shared" si="93"/>
        <v>0</v>
      </c>
      <c r="EF169">
        <f>ROWS($DE$2:DE169)</f>
        <v>168</v>
      </c>
      <c r="EG169" t="str">
        <f t="shared" si="94"/>
        <v/>
      </c>
      <c r="EJ169" t="str">
        <f t="shared" si="95"/>
        <v/>
      </c>
      <c r="EM169" t="str">
        <f t="shared" si="96"/>
        <v/>
      </c>
      <c r="EP169" t="str">
        <f t="shared" si="97"/>
        <v/>
      </c>
      <c r="ES169" t="str">
        <f t="shared" si="98"/>
        <v/>
      </c>
      <c r="EV169" t="str">
        <f t="shared" si="99"/>
        <v/>
      </c>
      <c r="EY169" t="str">
        <f t="shared" si="100"/>
        <v/>
      </c>
      <c r="FB169" t="str">
        <f t="shared" si="101"/>
        <v/>
      </c>
      <c r="FE169" t="str">
        <f t="shared" si="102"/>
        <v/>
      </c>
      <c r="FH169" t="str">
        <f t="shared" si="103"/>
        <v/>
      </c>
      <c r="FK169" t="str">
        <f t="shared" si="104"/>
        <v/>
      </c>
      <c r="FN169" t="str">
        <f t="shared" si="105"/>
        <v/>
      </c>
      <c r="FQ169" t="str">
        <f t="shared" si="106"/>
        <v/>
      </c>
      <c r="FT169" t="str">
        <f t="shared" si="107"/>
        <v/>
      </c>
      <c r="FW169" t="str">
        <f t="shared" si="108"/>
        <v/>
      </c>
      <c r="FZ169" t="str">
        <f t="shared" si="109"/>
        <v/>
      </c>
      <c r="GC169" t="str">
        <f t="shared" si="110"/>
        <v/>
      </c>
      <c r="GE169" s="155"/>
    </row>
    <row r="170" spans="1:187" ht="15.75" customHeight="1" thickBot="1" x14ac:dyDescent="0.4">
      <c r="A170" s="626" t="s">
        <v>15</v>
      </c>
      <c r="B170" s="36" t="s">
        <v>1526</v>
      </c>
      <c r="C170" s="36" t="s">
        <v>1527</v>
      </c>
      <c r="D170" s="36" t="s">
        <v>1528</v>
      </c>
      <c r="E170" s="36" t="s">
        <v>1529</v>
      </c>
      <c r="F170" s="36" t="s">
        <v>1530</v>
      </c>
      <c r="G170" s="36" t="s">
        <v>1531</v>
      </c>
      <c r="H170" s="36" t="s">
        <v>1532</v>
      </c>
      <c r="L170" s="10">
        <v>1084180</v>
      </c>
      <c r="O170" s="239"/>
      <c r="P170" s="240"/>
      <c r="Q170" s="240"/>
      <c r="R170" s="241"/>
      <c r="S170" s="167" t="s">
        <v>1396</v>
      </c>
      <c r="T170" s="167" t="s">
        <v>750</v>
      </c>
      <c r="U170" s="167">
        <v>899327</v>
      </c>
      <c r="V170" s="40" t="s">
        <v>112</v>
      </c>
      <c r="W170" s="234">
        <v>2</v>
      </c>
      <c r="X170" s="234">
        <v>2</v>
      </c>
      <c r="Y170" s="234">
        <v>2</v>
      </c>
      <c r="Z170" s="234">
        <v>2</v>
      </c>
      <c r="AA170" s="234">
        <v>3</v>
      </c>
      <c r="AB170" s="234">
        <v>4</v>
      </c>
      <c r="AC170" s="10" t="s">
        <v>304</v>
      </c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F170">
        <f>ROWS($U$46:U170)</f>
        <v>125</v>
      </c>
      <c r="BG170" t="str">
        <f t="shared" si="91"/>
        <v/>
      </c>
      <c r="DB170" s="10">
        <v>1130206</v>
      </c>
      <c r="DD170"/>
      <c r="DE170">
        <v>1130204</v>
      </c>
      <c r="DF170" t="s">
        <v>1454</v>
      </c>
      <c r="DG170" t="s">
        <v>1454</v>
      </c>
      <c r="DH170" s="10">
        <v>16</v>
      </c>
      <c r="DI170" s="10">
        <v>16</v>
      </c>
      <c r="DJ170" t="s">
        <v>1232</v>
      </c>
      <c r="DK170" s="10" t="s">
        <v>1457</v>
      </c>
      <c r="DL170" s="10" t="s">
        <v>240</v>
      </c>
      <c r="DO170" s="10">
        <v>497</v>
      </c>
      <c r="DR170" s="37" t="str">
        <f t="shared" si="112"/>
        <v>16 CT182 TBO SHORT</v>
      </c>
      <c r="DS170" s="37">
        <f t="shared" si="111"/>
        <v>0</v>
      </c>
      <c r="DV170" s="10" t="s">
        <v>49</v>
      </c>
      <c r="DW170" t="s">
        <v>1590</v>
      </c>
      <c r="DX170">
        <v>30</v>
      </c>
      <c r="DY170" t="s">
        <v>1673</v>
      </c>
      <c r="DZ170" t="s">
        <v>1668</v>
      </c>
      <c r="EA170">
        <v>1</v>
      </c>
      <c r="EB170" t="s">
        <v>1513</v>
      </c>
      <c r="EC170" s="10">
        <v>662</v>
      </c>
      <c r="ED170" s="10" t="s">
        <v>1736</v>
      </c>
      <c r="EE170" s="10">
        <f t="shared" si="93"/>
        <v>0</v>
      </c>
      <c r="EF170">
        <f>ROWS($DE$2:DE170)</f>
        <v>169</v>
      </c>
      <c r="EG170" t="str">
        <f t="shared" si="94"/>
        <v/>
      </c>
      <c r="EJ170" t="str">
        <f t="shared" si="95"/>
        <v/>
      </c>
      <c r="EM170" t="str">
        <f t="shared" si="96"/>
        <v/>
      </c>
      <c r="EP170" t="str">
        <f t="shared" si="97"/>
        <v/>
      </c>
      <c r="ES170" t="str">
        <f t="shared" si="98"/>
        <v/>
      </c>
      <c r="EV170" t="str">
        <f t="shared" si="99"/>
        <v/>
      </c>
      <c r="EY170" t="str">
        <f t="shared" si="100"/>
        <v/>
      </c>
      <c r="FB170" t="str">
        <f t="shared" si="101"/>
        <v/>
      </c>
      <c r="FE170" t="str">
        <f t="shared" si="102"/>
        <v/>
      </c>
      <c r="FH170" t="str">
        <f t="shared" si="103"/>
        <v/>
      </c>
      <c r="FK170" t="str">
        <f t="shared" si="104"/>
        <v/>
      </c>
      <c r="FN170" t="str">
        <f t="shared" si="105"/>
        <v/>
      </c>
      <c r="FQ170" t="str">
        <f t="shared" si="106"/>
        <v/>
      </c>
      <c r="FT170" t="str">
        <f t="shared" si="107"/>
        <v/>
      </c>
      <c r="FW170" t="str">
        <f t="shared" si="108"/>
        <v/>
      </c>
      <c r="FZ170" t="str">
        <f t="shared" si="109"/>
        <v/>
      </c>
      <c r="GC170" t="str">
        <f t="shared" si="110"/>
        <v/>
      </c>
      <c r="GE170" s="155"/>
    </row>
    <row r="171" spans="1:187" ht="15" customHeight="1" thickBot="1" x14ac:dyDescent="0.4">
      <c r="D171">
        <v>179835</v>
      </c>
      <c r="E171" s="980">
        <v>1111111</v>
      </c>
      <c r="L171" s="10">
        <v>1084341</v>
      </c>
      <c r="O171" s="242"/>
      <c r="P171" s="243"/>
      <c r="Q171" s="243"/>
      <c r="R171" s="244"/>
      <c r="S171" s="167" t="s">
        <v>1396</v>
      </c>
      <c r="T171" s="167" t="s">
        <v>750</v>
      </c>
      <c r="U171" s="167">
        <v>899327</v>
      </c>
      <c r="V171" s="192" t="s">
        <v>113</v>
      </c>
      <c r="W171" s="234">
        <v>1</v>
      </c>
      <c r="X171" s="234">
        <v>2</v>
      </c>
      <c r="Y171" s="234">
        <v>2</v>
      </c>
      <c r="Z171" s="234">
        <v>2</v>
      </c>
      <c r="AA171" s="234">
        <v>3</v>
      </c>
      <c r="AB171" s="234">
        <v>4</v>
      </c>
      <c r="AC171" s="10" t="s">
        <v>304</v>
      </c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F171">
        <f>ROWS($U$46:U171)</f>
        <v>126</v>
      </c>
      <c r="BG171" t="str">
        <f t="shared" si="91"/>
        <v/>
      </c>
      <c r="DB171" s="10">
        <v>1130194</v>
      </c>
      <c r="DD171"/>
      <c r="DE171">
        <v>1145493</v>
      </c>
      <c r="DF171" t="s">
        <v>1465</v>
      </c>
      <c r="DG171" t="s">
        <v>1465</v>
      </c>
      <c r="DH171" s="10">
        <v>13</v>
      </c>
      <c r="DI171" s="10">
        <v>1313</v>
      </c>
      <c r="DJ171" t="s">
        <v>1466</v>
      </c>
      <c r="DL171" s="10" t="s">
        <v>239</v>
      </c>
      <c r="DO171" s="10">
        <v>360</v>
      </c>
      <c r="DR171" s="37" t="str">
        <f t="shared" si="112"/>
        <v xml:space="preserve">1313 CT427 </v>
      </c>
      <c r="DS171" s="37">
        <f t="shared" si="111"/>
        <v>0</v>
      </c>
      <c r="DV171" s="10" t="s">
        <v>49</v>
      </c>
      <c r="DW171" t="s">
        <v>1589</v>
      </c>
      <c r="DX171">
        <v>30</v>
      </c>
      <c r="DY171" t="s">
        <v>1677</v>
      </c>
      <c r="DZ171" t="s">
        <v>1670</v>
      </c>
      <c r="EA171">
        <v>1</v>
      </c>
      <c r="EB171" t="s">
        <v>1513</v>
      </c>
      <c r="EC171" s="10">
        <v>480</v>
      </c>
      <c r="ED171" s="10" t="s">
        <v>1740</v>
      </c>
      <c r="EE171" s="10">
        <f t="shared" si="93"/>
        <v>0</v>
      </c>
      <c r="EF171">
        <f>ROWS($DE$2:DE171)</f>
        <v>170</v>
      </c>
      <c r="EG171" t="str">
        <f t="shared" si="94"/>
        <v/>
      </c>
      <c r="EJ171" t="str">
        <f t="shared" si="95"/>
        <v/>
      </c>
      <c r="EM171" t="str">
        <f t="shared" si="96"/>
        <v/>
      </c>
      <c r="EP171" t="str">
        <f t="shared" si="97"/>
        <v/>
      </c>
      <c r="ES171" t="str">
        <f t="shared" si="98"/>
        <v/>
      </c>
      <c r="EV171" t="str">
        <f t="shared" si="99"/>
        <v/>
      </c>
      <c r="EY171" t="str">
        <f t="shared" si="100"/>
        <v/>
      </c>
      <c r="FB171" t="str">
        <f t="shared" si="101"/>
        <v/>
      </c>
      <c r="FE171" t="str">
        <f t="shared" si="102"/>
        <v/>
      </c>
      <c r="FH171" t="str">
        <f t="shared" si="103"/>
        <v/>
      </c>
      <c r="FK171" t="str">
        <f t="shared" si="104"/>
        <v/>
      </c>
      <c r="FN171" t="str">
        <f t="shared" si="105"/>
        <v/>
      </c>
      <c r="FQ171" t="str">
        <f t="shared" si="106"/>
        <v/>
      </c>
      <c r="FT171" t="str">
        <f t="shared" si="107"/>
        <v/>
      </c>
      <c r="FW171" t="str">
        <f t="shared" si="108"/>
        <v/>
      </c>
      <c r="FZ171" t="str">
        <f t="shared" si="109"/>
        <v/>
      </c>
      <c r="GC171" t="str">
        <f t="shared" si="110"/>
        <v/>
      </c>
      <c r="GE171" s="155"/>
    </row>
    <row r="172" spans="1:187" ht="15" customHeight="1" x14ac:dyDescent="0.35">
      <c r="D172">
        <v>99999</v>
      </c>
      <c r="E172">
        <v>22222</v>
      </c>
      <c r="L172" s="10">
        <v>1085745</v>
      </c>
      <c r="O172" s="230">
        <v>1</v>
      </c>
      <c r="P172" s="231">
        <v>717747</v>
      </c>
      <c r="Q172" s="231">
        <v>54</v>
      </c>
      <c r="R172" s="242"/>
      <c r="S172" s="230" t="s">
        <v>1396</v>
      </c>
      <c r="T172" s="231" t="s">
        <v>752</v>
      </c>
      <c r="U172" s="245">
        <v>792414</v>
      </c>
      <c r="V172" s="246" t="s">
        <v>87</v>
      </c>
      <c r="W172" s="184">
        <v>1</v>
      </c>
      <c r="X172" s="184">
        <v>1</v>
      </c>
      <c r="Y172" s="184">
        <v>1</v>
      </c>
      <c r="Z172" s="184">
        <v>1</v>
      </c>
      <c r="AA172" s="184">
        <v>1</v>
      </c>
      <c r="AB172" s="184">
        <v>1</v>
      </c>
      <c r="AC172" s="184">
        <v>2</v>
      </c>
      <c r="AD172" s="184">
        <v>3</v>
      </c>
      <c r="AE172" s="192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F172">
        <f>ROWS($U$46:U172)</f>
        <v>127</v>
      </c>
      <c r="BG172" t="str">
        <f t="shared" si="91"/>
        <v/>
      </c>
      <c r="DB172" s="10">
        <v>1078371</v>
      </c>
      <c r="DD172"/>
      <c r="DE172">
        <v>1100755</v>
      </c>
      <c r="DF172" t="s">
        <v>1487</v>
      </c>
      <c r="DG172" t="s">
        <v>1487</v>
      </c>
      <c r="DH172" s="10">
        <v>16</v>
      </c>
      <c r="DI172" s="10">
        <v>1613</v>
      </c>
      <c r="DJ172" s="10" t="s">
        <v>1488</v>
      </c>
      <c r="DK172"/>
      <c r="DL172" s="10" t="s">
        <v>240</v>
      </c>
      <c r="DO172" s="10">
        <v>497</v>
      </c>
      <c r="DR172" s="37" t="str">
        <f t="shared" si="112"/>
        <v xml:space="preserve">1613 CT421 </v>
      </c>
      <c r="DS172" s="37">
        <f t="shared" si="111"/>
        <v>0</v>
      </c>
      <c r="DV172" s="10" t="s">
        <v>49</v>
      </c>
      <c r="DW172" t="s">
        <v>1590</v>
      </c>
      <c r="DX172">
        <v>30</v>
      </c>
      <c r="DY172" t="s">
        <v>1673</v>
      </c>
      <c r="DZ172" t="s">
        <v>1668</v>
      </c>
      <c r="EA172">
        <v>1</v>
      </c>
      <c r="EB172" t="s">
        <v>1513</v>
      </c>
      <c r="EC172" s="10">
        <v>662</v>
      </c>
      <c r="ED172" s="10" t="s">
        <v>1736</v>
      </c>
      <c r="EE172" s="10">
        <f t="shared" si="93"/>
        <v>0</v>
      </c>
      <c r="EF172">
        <f>ROWS($DE$2:DE172)</f>
        <v>171</v>
      </c>
      <c r="EG172" t="str">
        <f t="shared" si="94"/>
        <v/>
      </c>
      <c r="EJ172" t="str">
        <f t="shared" si="95"/>
        <v/>
      </c>
      <c r="EM172" t="str">
        <f t="shared" si="96"/>
        <v/>
      </c>
      <c r="EP172" t="str">
        <f t="shared" si="97"/>
        <v/>
      </c>
      <c r="ES172" t="str">
        <f t="shared" si="98"/>
        <v/>
      </c>
      <c r="EV172" t="str">
        <f t="shared" si="99"/>
        <v/>
      </c>
      <c r="EY172" t="str">
        <f t="shared" si="100"/>
        <v/>
      </c>
      <c r="FB172" t="str">
        <f t="shared" si="101"/>
        <v/>
      </c>
      <c r="FE172" t="str">
        <f t="shared" si="102"/>
        <v/>
      </c>
      <c r="FH172" t="str">
        <f t="shared" si="103"/>
        <v/>
      </c>
      <c r="FK172" t="str">
        <f t="shared" si="104"/>
        <v/>
      </c>
      <c r="FN172" t="str">
        <f t="shared" si="105"/>
        <v/>
      </c>
      <c r="FQ172" t="str">
        <f t="shared" si="106"/>
        <v/>
      </c>
      <c r="FT172" t="str">
        <f t="shared" si="107"/>
        <v/>
      </c>
      <c r="FW172" t="str">
        <f t="shared" si="108"/>
        <v/>
      </c>
      <c r="FZ172" t="str">
        <f t="shared" si="109"/>
        <v/>
      </c>
      <c r="GC172" t="str">
        <f t="shared" si="110"/>
        <v/>
      </c>
      <c r="GE172" s="155"/>
    </row>
    <row r="173" spans="1:187" ht="15" customHeight="1" x14ac:dyDescent="0.35">
      <c r="D173">
        <v>8888</v>
      </c>
      <c r="E173">
        <v>33333</v>
      </c>
      <c r="L173" s="10">
        <v>1086630</v>
      </c>
      <c r="O173" s="233">
        <v>2</v>
      </c>
      <c r="P173" s="167">
        <v>703670</v>
      </c>
      <c r="Q173" s="167">
        <v>12</v>
      </c>
      <c r="R173" s="247"/>
      <c r="S173" s="233" t="s">
        <v>1396</v>
      </c>
      <c r="T173" s="167" t="s">
        <v>752</v>
      </c>
      <c r="U173" s="248">
        <v>792414</v>
      </c>
      <c r="V173" s="172" t="s">
        <v>88</v>
      </c>
      <c r="W173" s="115">
        <v>1</v>
      </c>
      <c r="X173" s="115">
        <v>1</v>
      </c>
      <c r="Y173" s="115">
        <v>1</v>
      </c>
      <c r="Z173" s="115">
        <v>1</v>
      </c>
      <c r="AA173" s="115">
        <v>1</v>
      </c>
      <c r="AB173" s="115">
        <v>1</v>
      </c>
      <c r="AC173" s="115">
        <v>2</v>
      </c>
      <c r="AD173" s="115">
        <v>2</v>
      </c>
      <c r="AE173" s="173">
        <v>3</v>
      </c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F173">
        <f>ROWS($U$46:U173)</f>
        <v>128</v>
      </c>
      <c r="BG173" t="str">
        <f t="shared" si="91"/>
        <v/>
      </c>
      <c r="DB173" s="10">
        <v>1130217</v>
      </c>
      <c r="DD173"/>
      <c r="DE173">
        <v>1146740</v>
      </c>
      <c r="DF173" t="s">
        <v>1489</v>
      </c>
      <c r="DG173" t="s">
        <v>1489</v>
      </c>
      <c r="DH173" s="10">
        <v>13</v>
      </c>
      <c r="DI173" s="10">
        <v>1313</v>
      </c>
      <c r="DJ173" s="10" t="s">
        <v>1490</v>
      </c>
      <c r="DK173"/>
      <c r="DL173" s="10" t="s">
        <v>239</v>
      </c>
      <c r="DO173" s="10">
        <v>360</v>
      </c>
      <c r="DR173" s="37" t="str">
        <f t="shared" si="112"/>
        <v xml:space="preserve">1313 60deg </v>
      </c>
      <c r="DS173" s="37">
        <f t="shared" si="111"/>
        <v>0</v>
      </c>
      <c r="DV173" s="10" t="s">
        <v>49</v>
      </c>
      <c r="DW173" t="s">
        <v>1589</v>
      </c>
      <c r="DX173">
        <v>30</v>
      </c>
      <c r="DY173" t="s">
        <v>1677</v>
      </c>
      <c r="DZ173" t="s">
        <v>1670</v>
      </c>
      <c r="EA173">
        <v>1</v>
      </c>
      <c r="EB173" t="s">
        <v>1513</v>
      </c>
      <c r="EC173" s="10">
        <v>480</v>
      </c>
      <c r="ED173" s="10" t="s">
        <v>1740</v>
      </c>
      <c r="EE173" s="10">
        <f t="shared" si="93"/>
        <v>0</v>
      </c>
      <c r="EF173">
        <f>ROWS($DE$2:DE173)</f>
        <v>172</v>
      </c>
      <c r="EG173" t="str">
        <f t="shared" si="94"/>
        <v/>
      </c>
      <c r="EJ173" t="str">
        <f t="shared" si="95"/>
        <v/>
      </c>
      <c r="EM173" t="str">
        <f t="shared" si="96"/>
        <v/>
      </c>
      <c r="EP173" t="str">
        <f t="shared" si="97"/>
        <v/>
      </c>
      <c r="ES173" t="str">
        <f t="shared" si="98"/>
        <v/>
      </c>
      <c r="EV173" t="str">
        <f t="shared" si="99"/>
        <v/>
      </c>
      <c r="EY173" t="str">
        <f t="shared" si="100"/>
        <v/>
      </c>
      <c r="FB173" t="str">
        <f t="shared" si="101"/>
        <v/>
      </c>
      <c r="FE173" t="str">
        <f t="shared" si="102"/>
        <v/>
      </c>
      <c r="FH173" t="str">
        <f t="shared" si="103"/>
        <v/>
      </c>
      <c r="FK173" t="str">
        <f t="shared" si="104"/>
        <v/>
      </c>
      <c r="FN173" t="str">
        <f t="shared" si="105"/>
        <v/>
      </c>
      <c r="FQ173" t="str">
        <f t="shared" si="106"/>
        <v/>
      </c>
      <c r="FT173" t="str">
        <f t="shared" si="107"/>
        <v/>
      </c>
      <c r="FW173" t="str">
        <f t="shared" si="108"/>
        <v/>
      </c>
      <c r="FZ173" t="str">
        <f t="shared" si="109"/>
        <v/>
      </c>
      <c r="GC173" t="str">
        <f t="shared" si="110"/>
        <v/>
      </c>
      <c r="GE173" s="155"/>
    </row>
    <row r="174" spans="1:187" ht="15" customHeight="1" x14ac:dyDescent="0.35">
      <c r="L174" s="10">
        <v>1088287</v>
      </c>
      <c r="O174" s="235">
        <v>3</v>
      </c>
      <c r="P174" s="179">
        <v>418525</v>
      </c>
      <c r="Q174" s="179">
        <v>9</v>
      </c>
      <c r="R174" s="236"/>
      <c r="S174" s="233" t="s">
        <v>1396</v>
      </c>
      <c r="T174" s="167" t="s">
        <v>752</v>
      </c>
      <c r="U174" s="248">
        <v>792414</v>
      </c>
      <c r="V174" s="172" t="s">
        <v>89</v>
      </c>
      <c r="W174" s="115">
        <v>1</v>
      </c>
      <c r="X174" s="115">
        <v>1</v>
      </c>
      <c r="Y174" s="115">
        <v>1</v>
      </c>
      <c r="Z174" s="115">
        <v>1</v>
      </c>
      <c r="AA174" s="115">
        <v>1</v>
      </c>
      <c r="AB174" s="115">
        <v>1</v>
      </c>
      <c r="AC174" s="115">
        <v>2</v>
      </c>
      <c r="AD174" s="115">
        <v>3</v>
      </c>
      <c r="AE174" s="18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F174">
        <f>ROWS($U$46:U174)</f>
        <v>129</v>
      </c>
      <c r="BG174" t="str">
        <f t="shared" si="91"/>
        <v/>
      </c>
      <c r="DB174" s="10">
        <v>1129936</v>
      </c>
      <c r="DE174">
        <v>887499</v>
      </c>
      <c r="DF174" t="s">
        <v>1549</v>
      </c>
      <c r="DG174" t="s">
        <v>1549</v>
      </c>
      <c r="DH174" s="10">
        <v>16</v>
      </c>
      <c r="DI174" s="10">
        <v>1608</v>
      </c>
      <c r="DJ174" t="s">
        <v>102</v>
      </c>
      <c r="DK174" s="10" t="s">
        <v>1567</v>
      </c>
      <c r="DL174" s="10" t="s">
        <v>240</v>
      </c>
      <c r="DO174" s="10">
        <v>497</v>
      </c>
      <c r="DR174" s="37" t="str">
        <f t="shared" si="112"/>
        <v>1608 CT125 TBO GEDB</v>
      </c>
      <c r="DS174" s="37">
        <f t="shared" si="111"/>
        <v>0</v>
      </c>
      <c r="DV174" s="10" t="s">
        <v>49</v>
      </c>
      <c r="DW174" t="s">
        <v>1590</v>
      </c>
      <c r="DX174">
        <v>30</v>
      </c>
      <c r="DY174" t="s">
        <v>1673</v>
      </c>
      <c r="DZ174" t="s">
        <v>1668</v>
      </c>
      <c r="EA174">
        <v>1</v>
      </c>
      <c r="EB174" t="s">
        <v>1513</v>
      </c>
      <c r="EC174" s="10">
        <v>662</v>
      </c>
      <c r="ED174" s="10" t="s">
        <v>1736</v>
      </c>
      <c r="EE174" s="10">
        <f t="shared" si="93"/>
        <v>0</v>
      </c>
      <c r="EF174">
        <f>ROWS($DE$2:DE174)</f>
        <v>173</v>
      </c>
      <c r="EG174" t="str">
        <f t="shared" si="94"/>
        <v/>
      </c>
      <c r="EJ174" t="str">
        <f t="shared" si="95"/>
        <v/>
      </c>
      <c r="EM174" t="str">
        <f t="shared" si="96"/>
        <v/>
      </c>
      <c r="EP174" t="str">
        <f t="shared" si="97"/>
        <v/>
      </c>
      <c r="ES174" t="str">
        <f t="shared" si="98"/>
        <v/>
      </c>
      <c r="EV174" t="str">
        <f t="shared" si="99"/>
        <v/>
      </c>
      <c r="EY174" t="str">
        <f t="shared" si="100"/>
        <v/>
      </c>
      <c r="FB174" t="str">
        <f t="shared" si="101"/>
        <v/>
      </c>
      <c r="FE174" t="str">
        <f t="shared" si="102"/>
        <v/>
      </c>
      <c r="FH174" t="str">
        <f t="shared" si="103"/>
        <v/>
      </c>
      <c r="FK174" t="str">
        <f t="shared" si="104"/>
        <v/>
      </c>
      <c r="FN174" t="str">
        <f t="shared" si="105"/>
        <v/>
      </c>
      <c r="FQ174" t="str">
        <f t="shared" si="106"/>
        <v/>
      </c>
      <c r="FT174" t="str">
        <f t="shared" si="107"/>
        <v/>
      </c>
      <c r="FW174" t="str">
        <f t="shared" si="108"/>
        <v/>
      </c>
      <c r="FZ174" t="str">
        <f t="shared" si="109"/>
        <v/>
      </c>
      <c r="GC174" t="str">
        <f t="shared" si="110"/>
        <v/>
      </c>
      <c r="GE174" s="155"/>
    </row>
    <row r="175" spans="1:187" ht="15" customHeight="1" x14ac:dyDescent="0.35">
      <c r="L175" s="10">
        <v>1090676</v>
      </c>
      <c r="O175" s="236"/>
      <c r="P175" s="237"/>
      <c r="Q175" s="237"/>
      <c r="R175" s="237"/>
      <c r="S175" s="233" t="s">
        <v>1396</v>
      </c>
      <c r="T175" s="167" t="s">
        <v>752</v>
      </c>
      <c r="U175" s="248">
        <v>792414</v>
      </c>
      <c r="V175" s="172" t="s">
        <v>90</v>
      </c>
      <c r="W175" s="115">
        <v>1</v>
      </c>
      <c r="X175" s="115">
        <v>1</v>
      </c>
      <c r="Y175" s="115">
        <v>1</v>
      </c>
      <c r="Z175" s="115">
        <v>1</v>
      </c>
      <c r="AA175" s="115">
        <v>1</v>
      </c>
      <c r="AB175" s="115">
        <v>1</v>
      </c>
      <c r="AC175" s="115">
        <v>2</v>
      </c>
      <c r="AD175" s="115">
        <v>3</v>
      </c>
      <c r="AE175" s="192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F175">
        <f>ROWS($U$46:U175)</f>
        <v>130</v>
      </c>
      <c r="BG175" t="str">
        <f t="shared" ref="BG175:BG238" si="113">IF(VALUE(SUBSTITUTE($B$5,"M",""))=U175,BF175,"")</f>
        <v/>
      </c>
      <c r="DB175" s="10">
        <v>1130223</v>
      </c>
      <c r="DE175">
        <v>1130193</v>
      </c>
      <c r="DF175" t="s">
        <v>1551</v>
      </c>
      <c r="DG175" t="s">
        <v>1551</v>
      </c>
      <c r="DH175" s="10">
        <v>10</v>
      </c>
      <c r="DI175" s="10">
        <v>1005</v>
      </c>
      <c r="DJ175" t="s">
        <v>1232</v>
      </c>
      <c r="DL175" s="10" t="s">
        <v>240</v>
      </c>
      <c r="DO175" s="10">
        <v>272</v>
      </c>
      <c r="DR175" s="37" t="str">
        <f t="shared" si="112"/>
        <v xml:space="preserve">1005 CT182 </v>
      </c>
      <c r="DS175" s="37">
        <f t="shared" si="111"/>
        <v>0</v>
      </c>
      <c r="DV175" s="10" t="s">
        <v>49</v>
      </c>
      <c r="DW175" t="s">
        <v>1588</v>
      </c>
      <c r="DX175">
        <v>30</v>
      </c>
      <c r="DY175" t="s">
        <v>1683</v>
      </c>
      <c r="DZ175" t="s">
        <v>1671</v>
      </c>
      <c r="EA175">
        <v>1</v>
      </c>
      <c r="EB175" t="s">
        <v>1513</v>
      </c>
      <c r="EC175" s="10">
        <v>419</v>
      </c>
      <c r="ED175" s="10" t="s">
        <v>1746</v>
      </c>
      <c r="EE175" s="10">
        <f t="shared" si="93"/>
        <v>0</v>
      </c>
      <c r="EF175">
        <f>ROWS($DE$2:DE175)</f>
        <v>174</v>
      </c>
      <c r="EG175" t="str">
        <f t="shared" si="94"/>
        <v/>
      </c>
      <c r="EJ175" t="str">
        <f t="shared" si="95"/>
        <v/>
      </c>
      <c r="EM175" t="str">
        <f t="shared" si="96"/>
        <v/>
      </c>
      <c r="EP175" t="str">
        <f t="shared" si="97"/>
        <v/>
      </c>
      <c r="ES175" t="str">
        <f t="shared" si="98"/>
        <v/>
      </c>
      <c r="EV175" t="str">
        <f t="shared" si="99"/>
        <v/>
      </c>
      <c r="EY175" t="str">
        <f t="shared" si="100"/>
        <v/>
      </c>
      <c r="FB175" t="str">
        <f t="shared" si="101"/>
        <v/>
      </c>
      <c r="FE175" t="str">
        <f t="shared" si="102"/>
        <v/>
      </c>
      <c r="FH175" t="str">
        <f t="shared" si="103"/>
        <v/>
      </c>
      <c r="FK175" t="str">
        <f t="shared" si="104"/>
        <v/>
      </c>
      <c r="FN175" t="str">
        <f t="shared" si="105"/>
        <v/>
      </c>
      <c r="FQ175" t="str">
        <f t="shared" si="106"/>
        <v/>
      </c>
      <c r="FT175" t="str">
        <f t="shared" si="107"/>
        <v/>
      </c>
      <c r="FW175" t="str">
        <f t="shared" si="108"/>
        <v/>
      </c>
      <c r="FZ175" t="str">
        <f t="shared" si="109"/>
        <v/>
      </c>
      <c r="GC175" t="str">
        <f t="shared" si="110"/>
        <v/>
      </c>
      <c r="GE175" s="155"/>
    </row>
    <row r="176" spans="1:187" ht="15" customHeight="1" x14ac:dyDescent="0.35">
      <c r="L176" s="10">
        <v>1092722</v>
      </c>
      <c r="O176" s="239"/>
      <c r="P176" s="240"/>
      <c r="Q176" s="240"/>
      <c r="R176" s="240"/>
      <c r="S176" s="233" t="s">
        <v>1396</v>
      </c>
      <c r="T176" s="167" t="s">
        <v>752</v>
      </c>
      <c r="U176" s="248">
        <v>792414</v>
      </c>
      <c r="V176" s="172" t="s">
        <v>91</v>
      </c>
      <c r="W176" s="115">
        <v>1</v>
      </c>
      <c r="X176" s="115">
        <v>1</v>
      </c>
      <c r="Y176" s="115">
        <v>1</v>
      </c>
      <c r="Z176" s="115">
        <v>1</v>
      </c>
      <c r="AA176" s="115">
        <v>1</v>
      </c>
      <c r="AB176" s="115">
        <v>1</v>
      </c>
      <c r="AC176" s="115">
        <v>2</v>
      </c>
      <c r="AD176" s="115">
        <v>2</v>
      </c>
      <c r="AE176" s="173">
        <v>3</v>
      </c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F176">
        <f>ROWS($U$46:U176)</f>
        <v>131</v>
      </c>
      <c r="BG176" t="str">
        <f t="shared" si="113"/>
        <v/>
      </c>
      <c r="DB176" s="10">
        <v>976360</v>
      </c>
      <c r="DE176">
        <v>1130206</v>
      </c>
      <c r="DF176" t="s">
        <v>1555</v>
      </c>
      <c r="DG176" t="s">
        <v>1555</v>
      </c>
      <c r="DH176" s="10">
        <v>19</v>
      </c>
      <c r="DI176" s="10">
        <v>19</v>
      </c>
      <c r="DJ176" t="s">
        <v>1232</v>
      </c>
      <c r="DK176" s="10" t="s">
        <v>1566</v>
      </c>
      <c r="DL176" s="10" t="s">
        <v>240</v>
      </c>
      <c r="DO176" s="10">
        <v>660</v>
      </c>
      <c r="DR176" s="37" t="str">
        <f t="shared" si="112"/>
        <v xml:space="preserve">19 CT182 TBO SHORT </v>
      </c>
      <c r="DS176" s="37">
        <f t="shared" si="111"/>
        <v>0</v>
      </c>
      <c r="DV176" s="10" t="s">
        <v>49</v>
      </c>
      <c r="DW176" t="s">
        <v>1591</v>
      </c>
      <c r="DX176">
        <v>30</v>
      </c>
      <c r="DY176" t="s">
        <v>1674</v>
      </c>
      <c r="DZ176" t="s">
        <v>1669</v>
      </c>
      <c r="EA176">
        <v>1</v>
      </c>
      <c r="EB176" t="s">
        <v>1513</v>
      </c>
      <c r="EC176" s="10">
        <v>836</v>
      </c>
      <c r="ED176" s="10" t="s">
        <v>1737</v>
      </c>
      <c r="EE176" s="10">
        <f t="shared" si="93"/>
        <v>0</v>
      </c>
      <c r="EF176">
        <f>ROWS($DE$2:DE176)</f>
        <v>175</v>
      </c>
      <c r="EG176" t="str">
        <f t="shared" si="94"/>
        <v/>
      </c>
      <c r="EJ176" t="str">
        <f t="shared" si="95"/>
        <v/>
      </c>
      <c r="EM176" t="str">
        <f t="shared" si="96"/>
        <v/>
      </c>
      <c r="EP176" t="str">
        <f t="shared" si="97"/>
        <v/>
      </c>
      <c r="ES176" t="str">
        <f t="shared" si="98"/>
        <v/>
      </c>
      <c r="EV176" t="str">
        <f t="shared" si="99"/>
        <v/>
      </c>
      <c r="EY176" t="str">
        <f t="shared" si="100"/>
        <v/>
      </c>
      <c r="FB176" t="str">
        <f t="shared" si="101"/>
        <v/>
      </c>
      <c r="FE176" t="str">
        <f t="shared" si="102"/>
        <v/>
      </c>
      <c r="FH176" t="str">
        <f t="shared" si="103"/>
        <v/>
      </c>
      <c r="FK176" t="str">
        <f t="shared" si="104"/>
        <v/>
      </c>
      <c r="FN176" t="str">
        <f t="shared" si="105"/>
        <v/>
      </c>
      <c r="FQ176" t="str">
        <f t="shared" si="106"/>
        <v/>
      </c>
      <c r="FT176" t="str">
        <f t="shared" si="107"/>
        <v/>
      </c>
      <c r="FW176" t="str">
        <f t="shared" si="108"/>
        <v/>
      </c>
      <c r="FZ176" t="str">
        <f t="shared" si="109"/>
        <v/>
      </c>
      <c r="GC176" t="str">
        <f t="shared" si="110"/>
        <v/>
      </c>
      <c r="GE176" s="155"/>
    </row>
    <row r="177" spans="2:187" ht="15" customHeight="1" x14ac:dyDescent="0.35">
      <c r="L177" s="10">
        <v>1092978</v>
      </c>
      <c r="O177" s="239"/>
      <c r="P177" s="240"/>
      <c r="Q177" s="240"/>
      <c r="R177" s="240"/>
      <c r="S177" s="233" t="s">
        <v>1396</v>
      </c>
      <c r="T177" s="167" t="s">
        <v>752</v>
      </c>
      <c r="U177" s="248">
        <v>792414</v>
      </c>
      <c r="V177" s="172" t="s">
        <v>92</v>
      </c>
      <c r="W177" s="40">
        <v>1</v>
      </c>
      <c r="X177" s="115">
        <v>1</v>
      </c>
      <c r="Y177" s="115">
        <v>1</v>
      </c>
      <c r="Z177" s="115">
        <v>1</v>
      </c>
      <c r="AA177" s="115">
        <v>1</v>
      </c>
      <c r="AB177" s="115">
        <v>1</v>
      </c>
      <c r="AC177" s="115">
        <v>2</v>
      </c>
      <c r="AD177" s="115">
        <v>3</v>
      </c>
      <c r="AE177" s="18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F177">
        <f>ROWS($U$46:U177)</f>
        <v>132</v>
      </c>
      <c r="BG177" t="str">
        <f t="shared" si="113"/>
        <v/>
      </c>
      <c r="DB177" s="10">
        <v>179694</v>
      </c>
      <c r="DE177">
        <v>1130194</v>
      </c>
      <c r="DF177" t="s">
        <v>1550</v>
      </c>
      <c r="DG177" t="s">
        <v>1550</v>
      </c>
      <c r="DH177">
        <v>10</v>
      </c>
      <c r="DI177">
        <v>1010</v>
      </c>
      <c r="DJ177" t="s">
        <v>1232</v>
      </c>
      <c r="DK177"/>
      <c r="DL177" s="10" t="s">
        <v>240</v>
      </c>
      <c r="DM177"/>
      <c r="DO177" s="10">
        <v>272</v>
      </c>
      <c r="DR177" s="37" t="str">
        <f t="shared" si="112"/>
        <v xml:space="preserve">1010 CT182 </v>
      </c>
      <c r="DS177" s="37">
        <f t="shared" si="111"/>
        <v>0</v>
      </c>
      <c r="DV177" s="10" t="s">
        <v>49</v>
      </c>
      <c r="DW177" t="s">
        <v>1588</v>
      </c>
      <c r="DX177">
        <v>30</v>
      </c>
      <c r="DY177" t="s">
        <v>1683</v>
      </c>
      <c r="DZ177" t="s">
        <v>1671</v>
      </c>
      <c r="EA177">
        <v>1</v>
      </c>
      <c r="EB177" t="s">
        <v>1513</v>
      </c>
      <c r="EC177" s="10">
        <v>419</v>
      </c>
      <c r="ED177" s="10" t="s">
        <v>1746</v>
      </c>
      <c r="EE177" s="10">
        <f t="shared" si="93"/>
        <v>0</v>
      </c>
      <c r="EF177">
        <f>ROWS($DE$2:DE177)</f>
        <v>176</v>
      </c>
      <c r="EG177" t="str">
        <f t="shared" si="94"/>
        <v/>
      </c>
      <c r="EJ177" t="str">
        <f t="shared" si="95"/>
        <v/>
      </c>
      <c r="EM177" t="str">
        <f t="shared" si="96"/>
        <v/>
      </c>
      <c r="EP177" t="str">
        <f t="shared" si="97"/>
        <v/>
      </c>
      <c r="ES177" t="str">
        <f t="shared" si="98"/>
        <v/>
      </c>
      <c r="EV177" t="str">
        <f t="shared" si="99"/>
        <v/>
      </c>
      <c r="EY177" t="str">
        <f t="shared" si="100"/>
        <v/>
      </c>
      <c r="FB177" t="str">
        <f t="shared" si="101"/>
        <v/>
      </c>
      <c r="FE177" t="str">
        <f t="shared" si="102"/>
        <v/>
      </c>
      <c r="FH177" t="str">
        <f t="shared" si="103"/>
        <v/>
      </c>
      <c r="FK177" t="str">
        <f t="shared" si="104"/>
        <v/>
      </c>
      <c r="FN177" t="str">
        <f t="shared" si="105"/>
        <v/>
      </c>
      <c r="FQ177" t="str">
        <f t="shared" si="106"/>
        <v/>
      </c>
      <c r="FT177" t="str">
        <f t="shared" si="107"/>
        <v/>
      </c>
      <c r="FW177" t="str">
        <f t="shared" si="108"/>
        <v/>
      </c>
      <c r="FZ177" t="str">
        <f t="shared" si="109"/>
        <v/>
      </c>
      <c r="GC177" t="str">
        <f t="shared" si="110"/>
        <v/>
      </c>
      <c r="GE177" s="155"/>
    </row>
    <row r="178" spans="2:187" ht="15" customHeight="1" x14ac:dyDescent="0.35">
      <c r="L178" s="10">
        <v>1092981</v>
      </c>
      <c r="O178" s="239"/>
      <c r="P178" s="240"/>
      <c r="Q178" s="240"/>
      <c r="R178" s="240"/>
      <c r="S178" s="233" t="s">
        <v>1396</v>
      </c>
      <c r="T178" s="167" t="s">
        <v>752</v>
      </c>
      <c r="U178" s="248">
        <v>792414</v>
      </c>
      <c r="V178" s="172" t="s">
        <v>111</v>
      </c>
      <c r="W178" s="115">
        <v>1</v>
      </c>
      <c r="X178" s="115">
        <v>1</v>
      </c>
      <c r="Y178" s="115">
        <v>1</v>
      </c>
      <c r="Z178" s="115">
        <v>1</v>
      </c>
      <c r="AA178" s="115">
        <v>1</v>
      </c>
      <c r="AB178" s="115">
        <v>1</v>
      </c>
      <c r="AC178" s="115">
        <v>2</v>
      </c>
      <c r="AD178" s="115">
        <v>3</v>
      </c>
      <c r="AE178" s="192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F178">
        <f>ROWS($U$46:U178)</f>
        <v>133</v>
      </c>
      <c r="BG178" t="str">
        <f t="shared" si="113"/>
        <v/>
      </c>
      <c r="DB178" s="10">
        <v>583447</v>
      </c>
      <c r="DE178">
        <v>1078371</v>
      </c>
      <c r="DF178" t="s">
        <v>1840</v>
      </c>
      <c r="DG178" t="s">
        <v>1840</v>
      </c>
      <c r="DH178" s="10">
        <v>13</v>
      </c>
      <c r="DI178" s="10">
        <v>13</v>
      </c>
      <c r="DJ178" t="s">
        <v>1841</v>
      </c>
      <c r="DK178"/>
      <c r="DM178"/>
      <c r="DO178" s="10">
        <v>360</v>
      </c>
      <c r="DR178" s="37" t="str">
        <f t="shared" si="112"/>
        <v xml:space="preserve">13 CT143 </v>
      </c>
      <c r="DS178" s="37">
        <f t="shared" si="111"/>
        <v>0</v>
      </c>
      <c r="DT178" s="555"/>
      <c r="DU178" s="555"/>
      <c r="DV178" s="555"/>
      <c r="DW178" s="555"/>
      <c r="DX178" s="555"/>
      <c r="DY178" s="555"/>
      <c r="DZ178" s="555"/>
      <c r="EA178" s="555"/>
      <c r="EB178" s="555"/>
      <c r="EC178" s="555"/>
      <c r="ED178" s="555"/>
      <c r="EE178" s="10">
        <f t="shared" si="93"/>
        <v>0</v>
      </c>
      <c r="EF178">
        <f>ROWS($DE$2:DE178)</f>
        <v>177</v>
      </c>
      <c r="EG178" t="str">
        <f t="shared" si="94"/>
        <v/>
      </c>
      <c r="EJ178" t="str">
        <f t="shared" si="95"/>
        <v/>
      </c>
      <c r="EM178" t="str">
        <f t="shared" si="96"/>
        <v/>
      </c>
      <c r="EP178" t="str">
        <f t="shared" si="97"/>
        <v/>
      </c>
      <c r="ES178" t="str">
        <f t="shared" si="98"/>
        <v/>
      </c>
      <c r="EV178" t="str">
        <f t="shared" si="99"/>
        <v/>
      </c>
      <c r="EY178" t="str">
        <f t="shared" si="100"/>
        <v/>
      </c>
      <c r="FB178" t="str">
        <f t="shared" si="101"/>
        <v/>
      </c>
      <c r="FE178" t="str">
        <f t="shared" si="102"/>
        <v/>
      </c>
      <c r="FH178" t="str">
        <f t="shared" si="103"/>
        <v/>
      </c>
      <c r="FK178" t="str">
        <f t="shared" si="104"/>
        <v/>
      </c>
      <c r="FN178" t="str">
        <f t="shared" si="105"/>
        <v/>
      </c>
      <c r="FQ178" t="str">
        <f t="shared" si="106"/>
        <v/>
      </c>
      <c r="FT178" t="str">
        <f t="shared" si="107"/>
        <v/>
      </c>
      <c r="FW178" t="str">
        <f t="shared" si="108"/>
        <v/>
      </c>
      <c r="FZ178" t="str">
        <f t="shared" si="109"/>
        <v/>
      </c>
      <c r="GC178" t="str">
        <f t="shared" si="110"/>
        <v/>
      </c>
      <c r="GE178" s="155"/>
    </row>
    <row r="179" spans="2:187" ht="15.75" customHeight="1" x14ac:dyDescent="0.35">
      <c r="L179" s="10">
        <v>1093690</v>
      </c>
      <c r="O179" s="239"/>
      <c r="P179" s="240"/>
      <c r="Q179" s="240"/>
      <c r="R179" s="240"/>
      <c r="S179" s="233" t="s">
        <v>1396</v>
      </c>
      <c r="T179" s="167" t="s">
        <v>752</v>
      </c>
      <c r="U179" s="248">
        <v>792414</v>
      </c>
      <c r="V179" s="172" t="s">
        <v>112</v>
      </c>
      <c r="W179" s="40">
        <v>1</v>
      </c>
      <c r="X179" s="115">
        <v>1</v>
      </c>
      <c r="Y179" s="115">
        <v>1</v>
      </c>
      <c r="Z179" s="115">
        <v>1</v>
      </c>
      <c r="AA179" s="115">
        <v>1</v>
      </c>
      <c r="AB179" s="115">
        <v>1</v>
      </c>
      <c r="AC179" s="115">
        <v>2</v>
      </c>
      <c r="AD179" s="115">
        <v>2</v>
      </c>
      <c r="AE179" s="173">
        <v>3</v>
      </c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F179">
        <f>ROWS($U$46:U179)</f>
        <v>134</v>
      </c>
      <c r="BG179" t="str">
        <f t="shared" si="113"/>
        <v/>
      </c>
      <c r="DB179" s="10">
        <v>1144818</v>
      </c>
      <c r="DE179">
        <v>1130217</v>
      </c>
      <c r="DF179" t="s">
        <v>1848</v>
      </c>
      <c r="DG179" t="s">
        <v>1848</v>
      </c>
      <c r="DH179" s="10">
        <v>10</v>
      </c>
      <c r="DI179" s="10">
        <v>1010</v>
      </c>
      <c r="DJ179" t="s">
        <v>1232</v>
      </c>
      <c r="DK179"/>
      <c r="DL179" s="10" t="s">
        <v>239</v>
      </c>
      <c r="DM179"/>
      <c r="DO179" s="10">
        <v>272</v>
      </c>
      <c r="DR179" s="37" t="str">
        <f t="shared" si="112"/>
        <v xml:space="preserve">1010 CT182 </v>
      </c>
      <c r="DS179" s="37">
        <f t="shared" si="111"/>
        <v>0</v>
      </c>
      <c r="DV179" s="10" t="s">
        <v>49</v>
      </c>
      <c r="DW179" s="10" t="s">
        <v>1588</v>
      </c>
      <c r="DX179" s="10">
        <v>30</v>
      </c>
      <c r="DY179" s="10" t="s">
        <v>1683</v>
      </c>
      <c r="DZ179" s="10" t="s">
        <v>1671</v>
      </c>
      <c r="EA179" s="10">
        <v>1</v>
      </c>
      <c r="EB179" s="10" t="s">
        <v>1513</v>
      </c>
      <c r="EC179" s="10">
        <v>419</v>
      </c>
      <c r="ED179" s="10" t="s">
        <v>1746</v>
      </c>
      <c r="EE179" s="10">
        <f t="shared" si="93"/>
        <v>0</v>
      </c>
      <c r="EF179">
        <f>ROWS($DE$2:DE179)</f>
        <v>178</v>
      </c>
      <c r="EG179" t="str">
        <f t="shared" si="94"/>
        <v/>
      </c>
      <c r="EJ179" t="str">
        <f t="shared" si="95"/>
        <v/>
      </c>
      <c r="EM179" t="str">
        <f t="shared" si="96"/>
        <v/>
      </c>
      <c r="EP179" t="str">
        <f t="shared" si="97"/>
        <v/>
      </c>
      <c r="ES179" t="str">
        <f t="shared" si="98"/>
        <v/>
      </c>
      <c r="EV179" t="str">
        <f t="shared" si="99"/>
        <v/>
      </c>
      <c r="EY179" t="str">
        <f t="shared" si="100"/>
        <v/>
      </c>
      <c r="FB179" t="str">
        <f t="shared" si="101"/>
        <v/>
      </c>
      <c r="FE179" t="str">
        <f t="shared" si="102"/>
        <v/>
      </c>
      <c r="FH179" t="str">
        <f t="shared" si="103"/>
        <v/>
      </c>
      <c r="FK179" t="str">
        <f t="shared" si="104"/>
        <v/>
      </c>
      <c r="FN179" t="str">
        <f t="shared" si="105"/>
        <v/>
      </c>
      <c r="FQ179" t="str">
        <f t="shared" si="106"/>
        <v/>
      </c>
      <c r="FT179" t="str">
        <f t="shared" si="107"/>
        <v/>
      </c>
      <c r="FW179" t="str">
        <f t="shared" si="108"/>
        <v/>
      </c>
      <c r="FZ179" t="str">
        <f t="shared" si="109"/>
        <v/>
      </c>
      <c r="GC179" t="str">
        <f t="shared" si="110"/>
        <v/>
      </c>
      <c r="GE179" s="155"/>
    </row>
    <row r="180" spans="2:187" ht="15" customHeight="1" thickBot="1" x14ac:dyDescent="0.4">
      <c r="B180"/>
      <c r="L180" s="10">
        <v>1093745</v>
      </c>
      <c r="O180" s="242"/>
      <c r="P180" s="243"/>
      <c r="Q180" s="243"/>
      <c r="R180" s="243"/>
      <c r="S180" s="249" t="s">
        <v>1396</v>
      </c>
      <c r="T180" s="250" t="s">
        <v>752</v>
      </c>
      <c r="U180" s="251">
        <v>792414</v>
      </c>
      <c r="V180" s="175" t="s">
        <v>113</v>
      </c>
      <c r="W180" s="252">
        <v>1</v>
      </c>
      <c r="X180" s="252">
        <v>1</v>
      </c>
      <c r="Y180" s="252">
        <v>1</v>
      </c>
      <c r="Z180" s="252">
        <v>1</v>
      </c>
      <c r="AA180" s="252">
        <v>1</v>
      </c>
      <c r="AB180" s="253">
        <v>1</v>
      </c>
      <c r="AC180" s="253">
        <v>2</v>
      </c>
      <c r="AD180" s="253">
        <v>3</v>
      </c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F180">
        <f>ROWS($U$46:U180)</f>
        <v>135</v>
      </c>
      <c r="BG180" t="str">
        <f t="shared" si="113"/>
        <v/>
      </c>
      <c r="DB180" s="10">
        <v>1181761</v>
      </c>
      <c r="DE180">
        <v>1129936</v>
      </c>
      <c r="DF180" t="s">
        <v>1849</v>
      </c>
      <c r="DG180" t="s">
        <v>1849</v>
      </c>
      <c r="DH180" s="10">
        <v>1005</v>
      </c>
      <c r="DI180" s="10">
        <v>1005</v>
      </c>
      <c r="DJ180" t="s">
        <v>1232</v>
      </c>
      <c r="DK180"/>
      <c r="DL180" s="10" t="s">
        <v>239</v>
      </c>
      <c r="DM180"/>
      <c r="DO180" s="10">
        <v>272</v>
      </c>
      <c r="DR180" s="37" t="str">
        <f t="shared" si="112"/>
        <v xml:space="preserve">1005 CT182 </v>
      </c>
      <c r="DS180" s="37">
        <f t="shared" si="111"/>
        <v>0</v>
      </c>
      <c r="DV180" s="10" t="s">
        <v>49</v>
      </c>
      <c r="DW180" s="10" t="s">
        <v>1588</v>
      </c>
      <c r="DX180" s="10">
        <v>30</v>
      </c>
      <c r="DY180" s="10" t="s">
        <v>1683</v>
      </c>
      <c r="DZ180" s="10" t="s">
        <v>1671</v>
      </c>
      <c r="EA180" s="10">
        <v>1</v>
      </c>
      <c r="EB180" s="10" t="s">
        <v>1513</v>
      </c>
      <c r="EC180" s="10">
        <v>419</v>
      </c>
      <c r="ED180" s="10" t="s">
        <v>1746</v>
      </c>
      <c r="EE180" s="10">
        <f t="shared" si="93"/>
        <v>0</v>
      </c>
      <c r="EF180">
        <f>ROWS($DE$2:DE180)</f>
        <v>179</v>
      </c>
      <c r="EG180" t="str">
        <f t="shared" si="94"/>
        <v/>
      </c>
      <c r="EJ180" t="str">
        <f t="shared" si="95"/>
        <v/>
      </c>
      <c r="EM180" t="str">
        <f t="shared" si="96"/>
        <v/>
      </c>
      <c r="EP180" t="str">
        <f t="shared" si="97"/>
        <v/>
      </c>
      <c r="ES180" t="str">
        <f t="shared" si="98"/>
        <v/>
      </c>
      <c r="EV180" t="str">
        <f t="shared" si="99"/>
        <v/>
      </c>
      <c r="EY180" t="str">
        <f t="shared" si="100"/>
        <v/>
      </c>
      <c r="FB180" t="str">
        <f t="shared" si="101"/>
        <v/>
      </c>
      <c r="FE180" t="str">
        <f t="shared" si="102"/>
        <v/>
      </c>
      <c r="FH180" t="str">
        <f t="shared" si="103"/>
        <v/>
      </c>
      <c r="FK180" t="str">
        <f t="shared" si="104"/>
        <v/>
      </c>
      <c r="FN180" t="str">
        <f t="shared" si="105"/>
        <v/>
      </c>
      <c r="FQ180" t="str">
        <f t="shared" si="106"/>
        <v/>
      </c>
      <c r="FT180" t="str">
        <f t="shared" si="107"/>
        <v/>
      </c>
      <c r="FW180" t="str">
        <f t="shared" si="108"/>
        <v/>
      </c>
      <c r="FZ180" t="str">
        <f t="shared" si="109"/>
        <v/>
      </c>
      <c r="GC180" t="str">
        <f t="shared" si="110"/>
        <v/>
      </c>
      <c r="GE180" s="155"/>
    </row>
    <row r="181" spans="2:187" ht="15" customHeight="1" x14ac:dyDescent="0.35">
      <c r="B181"/>
      <c r="L181" s="10">
        <v>1093763</v>
      </c>
      <c r="O181" s="254">
        <v>1</v>
      </c>
      <c r="P181" s="255">
        <v>717749</v>
      </c>
      <c r="Q181" s="255">
        <v>31</v>
      </c>
      <c r="R181" s="255"/>
      <c r="S181" s="231" t="s">
        <v>1396</v>
      </c>
      <c r="T181" s="231" t="s">
        <v>753</v>
      </c>
      <c r="U181" s="231">
        <v>509477</v>
      </c>
      <c r="V181" s="246" t="s">
        <v>87</v>
      </c>
      <c r="W181" s="232">
        <v>1</v>
      </c>
      <c r="X181" s="232">
        <v>1</v>
      </c>
      <c r="Y181" s="232">
        <v>1</v>
      </c>
      <c r="Z181" s="232">
        <v>1</v>
      </c>
      <c r="AA181" s="232">
        <v>1</v>
      </c>
      <c r="AB181" s="256"/>
      <c r="AC181" s="256"/>
      <c r="AD181" s="256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F181">
        <f>ROWS($U$46:U181)</f>
        <v>136</v>
      </c>
      <c r="BG181" t="str">
        <f t="shared" si="113"/>
        <v/>
      </c>
      <c r="DB181" s="10">
        <v>1176639</v>
      </c>
      <c r="DE181">
        <v>1130223</v>
      </c>
      <c r="DF181" t="s">
        <v>1857</v>
      </c>
      <c r="DG181" t="s">
        <v>1857</v>
      </c>
      <c r="DH181" s="10">
        <v>19</v>
      </c>
      <c r="DI181" s="10">
        <v>1913</v>
      </c>
      <c r="DJ181" t="s">
        <v>1232</v>
      </c>
      <c r="DK181"/>
      <c r="DL181" s="10" t="s">
        <v>239</v>
      </c>
      <c r="DM181"/>
      <c r="DO181" s="10">
        <v>660</v>
      </c>
      <c r="DR181" s="37" t="str">
        <f t="shared" si="112"/>
        <v xml:space="preserve">1913 CT182 </v>
      </c>
      <c r="DS181" s="37">
        <f t="shared" si="111"/>
        <v>0</v>
      </c>
      <c r="DV181" s="10" t="s">
        <v>49</v>
      </c>
      <c r="DW181" s="10" t="s">
        <v>1591</v>
      </c>
      <c r="DX181" s="10">
        <v>30</v>
      </c>
      <c r="DY181" s="10" t="s">
        <v>1674</v>
      </c>
      <c r="DZ181" s="10" t="s">
        <v>1669</v>
      </c>
      <c r="EA181" s="10">
        <v>1</v>
      </c>
      <c r="EB181" s="10" t="s">
        <v>1513</v>
      </c>
      <c r="EC181" s="10">
        <v>836</v>
      </c>
      <c r="ED181" s="10" t="s">
        <v>1737</v>
      </c>
      <c r="EE181" s="10">
        <f t="shared" si="93"/>
        <v>0</v>
      </c>
      <c r="EF181">
        <f>ROWS($DE$2:DE181)</f>
        <v>180</v>
      </c>
      <c r="EG181" t="str">
        <f t="shared" si="94"/>
        <v/>
      </c>
      <c r="EJ181" t="str">
        <f t="shared" si="95"/>
        <v/>
      </c>
      <c r="EM181" t="str">
        <f t="shared" si="96"/>
        <v/>
      </c>
      <c r="EP181" t="str">
        <f t="shared" si="97"/>
        <v/>
      </c>
      <c r="ES181" t="str">
        <f t="shared" si="98"/>
        <v/>
      </c>
      <c r="EV181" t="str">
        <f t="shared" si="99"/>
        <v/>
      </c>
      <c r="EY181" t="str">
        <f t="shared" si="100"/>
        <v/>
      </c>
      <c r="FB181" t="str">
        <f t="shared" si="101"/>
        <v/>
      </c>
      <c r="FE181" t="str">
        <f t="shared" si="102"/>
        <v/>
      </c>
      <c r="FH181" t="str">
        <f t="shared" si="103"/>
        <v/>
      </c>
      <c r="FK181" t="str">
        <f t="shared" si="104"/>
        <v/>
      </c>
      <c r="FN181" t="str">
        <f t="shared" si="105"/>
        <v/>
      </c>
      <c r="FQ181" t="str">
        <f t="shared" si="106"/>
        <v/>
      </c>
      <c r="FT181" t="str">
        <f t="shared" si="107"/>
        <v/>
      </c>
      <c r="FW181" t="str">
        <f t="shared" si="108"/>
        <v/>
      </c>
      <c r="FZ181" t="str">
        <f t="shared" si="109"/>
        <v/>
      </c>
      <c r="GC181" t="str">
        <f t="shared" si="110"/>
        <v/>
      </c>
      <c r="GE181" s="155"/>
    </row>
    <row r="182" spans="2:187" ht="15" customHeight="1" x14ac:dyDescent="0.35">
      <c r="B182"/>
      <c r="L182" s="10">
        <v>1093876</v>
      </c>
      <c r="O182" s="236"/>
      <c r="P182" s="237"/>
      <c r="Q182" s="237"/>
      <c r="R182" s="238"/>
      <c r="S182" s="244" t="s">
        <v>1396</v>
      </c>
      <c r="T182" s="231" t="s">
        <v>753</v>
      </c>
      <c r="U182" s="231">
        <v>509477</v>
      </c>
      <c r="V182" s="172" t="s">
        <v>88</v>
      </c>
      <c r="W182" s="37">
        <v>1</v>
      </c>
      <c r="X182" s="37">
        <v>1</v>
      </c>
      <c r="Y182" s="37">
        <v>1</v>
      </c>
      <c r="Z182" s="37">
        <v>1</v>
      </c>
      <c r="AA182" s="37">
        <v>1</v>
      </c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F182">
        <f>ROWS($U$46:U182)</f>
        <v>137</v>
      </c>
      <c r="BG182" t="str">
        <f t="shared" si="113"/>
        <v/>
      </c>
      <c r="DB182" s="10">
        <v>1039057</v>
      </c>
      <c r="DE182">
        <v>976360</v>
      </c>
      <c r="DF182" t="s">
        <v>1859</v>
      </c>
      <c r="DG182" t="s">
        <v>1859</v>
      </c>
      <c r="DH182" s="10">
        <v>16</v>
      </c>
      <c r="DI182" s="10">
        <v>1608</v>
      </c>
      <c r="DJ182"/>
      <c r="DK182" t="s">
        <v>1870</v>
      </c>
      <c r="DL182" s="10" t="s">
        <v>239</v>
      </c>
      <c r="DM182"/>
      <c r="DO182" s="10">
        <v>497</v>
      </c>
      <c r="DR182" s="37" t="str">
        <f t="shared" si="112"/>
        <v>1608  TEST USS DL</v>
      </c>
      <c r="DS182" s="37">
        <f t="shared" si="111"/>
        <v>0</v>
      </c>
      <c r="DT182" s="555"/>
      <c r="DU182" s="555"/>
      <c r="DV182" s="555"/>
      <c r="DW182" s="555"/>
      <c r="DX182" s="555"/>
      <c r="DY182" s="555"/>
      <c r="DZ182" s="555"/>
      <c r="EA182" s="555"/>
      <c r="EB182" s="555"/>
      <c r="EC182" s="555"/>
      <c r="ED182" s="555"/>
      <c r="EE182" s="10">
        <f t="shared" si="93"/>
        <v>0</v>
      </c>
      <c r="EF182">
        <f>ROWS($DE$2:DE182)</f>
        <v>181</v>
      </c>
      <c r="EG182" t="str">
        <f t="shared" si="94"/>
        <v/>
      </c>
      <c r="EJ182" t="str">
        <f t="shared" si="95"/>
        <v/>
      </c>
      <c r="EM182" t="str">
        <f t="shared" si="96"/>
        <v/>
      </c>
      <c r="EP182" t="str">
        <f t="shared" si="97"/>
        <v/>
      </c>
      <c r="ES182" t="str">
        <f t="shared" si="98"/>
        <v/>
      </c>
      <c r="EV182" t="str">
        <f t="shared" si="99"/>
        <v/>
      </c>
      <c r="EY182" t="str">
        <f t="shared" si="100"/>
        <v/>
      </c>
      <c r="FB182" t="str">
        <f t="shared" si="101"/>
        <v/>
      </c>
      <c r="FE182" t="str">
        <f t="shared" si="102"/>
        <v/>
      </c>
      <c r="FH182" t="str">
        <f t="shared" si="103"/>
        <v/>
      </c>
      <c r="FK182" t="str">
        <f t="shared" si="104"/>
        <v/>
      </c>
      <c r="FN182" t="str">
        <f t="shared" si="105"/>
        <v/>
      </c>
      <c r="FQ182" t="str">
        <f t="shared" si="106"/>
        <v/>
      </c>
      <c r="FT182" t="str">
        <f t="shared" si="107"/>
        <v/>
      </c>
      <c r="FW182" t="str">
        <f t="shared" si="108"/>
        <v/>
      </c>
      <c r="FZ182" t="str">
        <f t="shared" si="109"/>
        <v/>
      </c>
      <c r="GC182" t="str">
        <f t="shared" si="110"/>
        <v/>
      </c>
      <c r="GE182" s="155"/>
    </row>
    <row r="183" spans="2:187" ht="15" customHeight="1" x14ac:dyDescent="0.35">
      <c r="B183"/>
      <c r="L183" s="10">
        <v>1094728</v>
      </c>
      <c r="O183" s="239"/>
      <c r="P183" s="240"/>
      <c r="Q183" s="240"/>
      <c r="R183" s="241"/>
      <c r="S183" s="244" t="s">
        <v>1396</v>
      </c>
      <c r="T183" s="231" t="s">
        <v>753</v>
      </c>
      <c r="U183" s="231">
        <v>509477</v>
      </c>
      <c r="V183" s="172" t="s">
        <v>89</v>
      </c>
      <c r="W183" s="37">
        <v>1</v>
      </c>
      <c r="X183" s="37">
        <v>1</v>
      </c>
      <c r="Y183" s="37">
        <v>1</v>
      </c>
      <c r="Z183" s="37">
        <v>1</v>
      </c>
      <c r="AA183" s="257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F183">
        <f>ROWS($U$46:U183)</f>
        <v>138</v>
      </c>
      <c r="BG183" t="str">
        <f t="shared" si="113"/>
        <v/>
      </c>
      <c r="DB183" s="10">
        <v>1134751</v>
      </c>
      <c r="DD183"/>
      <c r="DE183">
        <v>179694</v>
      </c>
      <c r="DF183" t="s">
        <v>1855</v>
      </c>
      <c r="DG183" t="s">
        <v>1855</v>
      </c>
      <c r="DH183" s="10">
        <v>13</v>
      </c>
      <c r="DI183" s="10">
        <v>1308</v>
      </c>
      <c r="DJ183"/>
      <c r="DK183" t="s">
        <v>1871</v>
      </c>
      <c r="DL183" s="10" t="s">
        <v>240</v>
      </c>
      <c r="DM183"/>
      <c r="DO183" s="10">
        <v>360</v>
      </c>
      <c r="DR183" s="37" t="str">
        <f t="shared" si="112"/>
        <v>1308  TBO ELITE RC</v>
      </c>
      <c r="DS183" s="37">
        <f t="shared" si="111"/>
        <v>0</v>
      </c>
      <c r="DV183" s="10" t="s">
        <v>1754</v>
      </c>
      <c r="DW183" s="10" t="s">
        <v>1589</v>
      </c>
      <c r="DX183" s="10">
        <v>40</v>
      </c>
      <c r="DY183" s="10" t="s">
        <v>1801</v>
      </c>
      <c r="DZ183" s="10" t="s">
        <v>1670</v>
      </c>
      <c r="EA183" s="10">
        <v>1</v>
      </c>
      <c r="EB183" s="10" t="s">
        <v>1513</v>
      </c>
      <c r="EC183" s="10">
        <v>333</v>
      </c>
      <c r="ED183" s="10" t="s">
        <v>1802</v>
      </c>
      <c r="EE183" s="10">
        <f t="shared" si="93"/>
        <v>0</v>
      </c>
      <c r="EF183">
        <f>ROWS($DE$2:DE183)</f>
        <v>182</v>
      </c>
      <c r="EG183" t="str">
        <f t="shared" si="94"/>
        <v/>
      </c>
      <c r="EJ183" t="str">
        <f t="shared" si="95"/>
        <v/>
      </c>
      <c r="EM183" t="str">
        <f t="shared" si="96"/>
        <v/>
      </c>
      <c r="EP183" t="str">
        <f t="shared" si="97"/>
        <v/>
      </c>
      <c r="ES183" t="str">
        <f t="shared" si="98"/>
        <v/>
      </c>
      <c r="EV183" t="str">
        <f t="shared" si="99"/>
        <v/>
      </c>
      <c r="EY183" t="str">
        <f t="shared" si="100"/>
        <v/>
      </c>
      <c r="FB183" t="str">
        <f t="shared" si="101"/>
        <v/>
      </c>
      <c r="FE183" t="str">
        <f t="shared" si="102"/>
        <v/>
      </c>
      <c r="FH183" t="str">
        <f t="shared" si="103"/>
        <v/>
      </c>
      <c r="FK183" t="str">
        <f t="shared" si="104"/>
        <v/>
      </c>
      <c r="FN183" t="str">
        <f t="shared" si="105"/>
        <v/>
      </c>
      <c r="FQ183" t="str">
        <f t="shared" si="106"/>
        <v/>
      </c>
      <c r="FT183" t="str">
        <f t="shared" si="107"/>
        <v/>
      </c>
      <c r="FW183" t="str">
        <f t="shared" si="108"/>
        <v/>
      </c>
      <c r="FZ183" t="str">
        <f t="shared" si="109"/>
        <v/>
      </c>
      <c r="GC183" t="str">
        <f t="shared" si="110"/>
        <v/>
      </c>
      <c r="GE183" s="155"/>
    </row>
    <row r="184" spans="2:187" ht="15" customHeight="1" x14ac:dyDescent="0.35">
      <c r="L184" s="10">
        <v>1094991</v>
      </c>
      <c r="O184" s="239"/>
      <c r="P184" s="240"/>
      <c r="Q184" s="240"/>
      <c r="R184" s="241"/>
      <c r="S184" s="244" t="s">
        <v>1396</v>
      </c>
      <c r="T184" s="231" t="s">
        <v>753</v>
      </c>
      <c r="U184" s="231">
        <v>509477</v>
      </c>
      <c r="V184" s="172" t="s">
        <v>90</v>
      </c>
      <c r="W184" s="37">
        <v>1</v>
      </c>
      <c r="X184" s="37">
        <v>1</v>
      </c>
      <c r="Y184" s="37">
        <v>1</v>
      </c>
      <c r="Z184" s="37">
        <v>1</v>
      </c>
      <c r="AA184" s="258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F184">
        <f>ROWS($U$46:U184)</f>
        <v>139</v>
      </c>
      <c r="BG184" t="str">
        <f t="shared" si="113"/>
        <v/>
      </c>
      <c r="DB184" s="10">
        <v>562195</v>
      </c>
      <c r="DD184"/>
      <c r="DE184" s="10">
        <v>583447</v>
      </c>
      <c r="DF184" t="s">
        <v>1872</v>
      </c>
      <c r="DG184" t="s">
        <v>1872</v>
      </c>
      <c r="DH184" s="10">
        <v>13</v>
      </c>
      <c r="DI184" s="10">
        <v>1308</v>
      </c>
      <c r="DJ184" t="s">
        <v>252</v>
      </c>
      <c r="DK184" t="s">
        <v>1873</v>
      </c>
      <c r="DL184" s="10" t="s">
        <v>239</v>
      </c>
      <c r="DM184"/>
      <c r="DO184" s="10">
        <v>360</v>
      </c>
      <c r="DR184" s="37" t="str">
        <f t="shared" si="112"/>
        <v>1308 CT61 OBS</v>
      </c>
      <c r="DS184" s="37">
        <f t="shared" si="111"/>
        <v>0</v>
      </c>
      <c r="DV184" s="10" t="s">
        <v>146</v>
      </c>
      <c r="DW184" s="10" t="s">
        <v>1589</v>
      </c>
      <c r="DX184" s="10">
        <v>10</v>
      </c>
      <c r="DY184" s="10" t="s">
        <v>1806</v>
      </c>
      <c r="DZ184" s="10" t="s">
        <v>1670</v>
      </c>
      <c r="EA184" s="10">
        <v>1</v>
      </c>
      <c r="EB184" s="10" t="s">
        <v>1513</v>
      </c>
      <c r="EC184" s="10">
        <v>345</v>
      </c>
      <c r="ED184" s="10" t="s">
        <v>1738</v>
      </c>
      <c r="EE184" s="10">
        <f t="shared" si="93"/>
        <v>0</v>
      </c>
      <c r="EF184">
        <f>ROWS($DE$2:DE184)</f>
        <v>183</v>
      </c>
      <c r="EG184" t="str">
        <f t="shared" si="94"/>
        <v/>
      </c>
      <c r="EJ184" t="str">
        <f t="shared" si="95"/>
        <v/>
      </c>
      <c r="EM184" t="str">
        <f t="shared" si="96"/>
        <v/>
      </c>
      <c r="EP184" t="str">
        <f t="shared" si="97"/>
        <v/>
      </c>
      <c r="ES184" t="str">
        <f t="shared" si="98"/>
        <v/>
      </c>
      <c r="EV184" t="str">
        <f t="shared" si="99"/>
        <v/>
      </c>
      <c r="EY184" t="str">
        <f t="shared" si="100"/>
        <v/>
      </c>
      <c r="FB184" t="str">
        <f t="shared" si="101"/>
        <v/>
      </c>
      <c r="FE184" t="str">
        <f t="shared" si="102"/>
        <v/>
      </c>
      <c r="FH184" t="str">
        <f t="shared" si="103"/>
        <v/>
      </c>
      <c r="FK184" t="str">
        <f t="shared" si="104"/>
        <v/>
      </c>
      <c r="FN184" t="str">
        <f t="shared" si="105"/>
        <v/>
      </c>
      <c r="FQ184" t="str">
        <f t="shared" si="106"/>
        <v/>
      </c>
      <c r="FT184" t="str">
        <f t="shared" si="107"/>
        <v/>
      </c>
      <c r="FW184" t="str">
        <f t="shared" si="108"/>
        <v/>
      </c>
      <c r="FZ184" t="str">
        <f t="shared" si="109"/>
        <v/>
      </c>
      <c r="GC184" t="str">
        <f t="shared" si="110"/>
        <v/>
      </c>
      <c r="GE184" s="155"/>
    </row>
    <row r="185" spans="2:187" ht="15.75" customHeight="1" x14ac:dyDescent="0.35">
      <c r="L185" s="10">
        <v>1095217</v>
      </c>
      <c r="O185" s="239"/>
      <c r="P185" s="240"/>
      <c r="Q185" s="240"/>
      <c r="R185" s="241"/>
      <c r="S185" s="244" t="s">
        <v>1396</v>
      </c>
      <c r="T185" s="231" t="s">
        <v>753</v>
      </c>
      <c r="U185" s="231">
        <v>509477</v>
      </c>
      <c r="V185" s="172" t="s">
        <v>91</v>
      </c>
      <c r="W185" s="37">
        <v>1</v>
      </c>
      <c r="X185" s="37">
        <v>1</v>
      </c>
      <c r="Y185" s="37">
        <v>1</v>
      </c>
      <c r="Z185" s="37">
        <v>1</v>
      </c>
      <c r="AA185" s="259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F185">
        <f>ROWS($U$46:U185)</f>
        <v>140</v>
      </c>
      <c r="BG185" t="str">
        <f t="shared" si="113"/>
        <v/>
      </c>
      <c r="DB185" s="10">
        <v>1022971</v>
      </c>
      <c r="DD185"/>
      <c r="DE185" s="10">
        <v>1144818</v>
      </c>
      <c r="DF185" t="s">
        <v>1917</v>
      </c>
      <c r="DG185" t="s">
        <v>1917</v>
      </c>
      <c r="DH185" s="10">
        <v>13</v>
      </c>
      <c r="DI185" s="10">
        <v>1308</v>
      </c>
      <c r="DJ185" t="s">
        <v>1223</v>
      </c>
      <c r="DK185"/>
      <c r="DL185" s="10" t="s">
        <v>240</v>
      </c>
      <c r="DM185"/>
      <c r="DO185" s="10">
        <v>360</v>
      </c>
      <c r="DR185" s="37" t="str">
        <f t="shared" si="112"/>
        <v xml:space="preserve">1308 CR42 </v>
      </c>
      <c r="DS185" s="37">
        <v>0</v>
      </c>
      <c r="DT185" s="932"/>
      <c r="DU185" s="932"/>
      <c r="DV185" s="932"/>
      <c r="DW185" s="932"/>
      <c r="DX185" s="932"/>
      <c r="DY185" s="932"/>
      <c r="DZ185" s="932"/>
      <c r="EA185" s="932"/>
      <c r="EB185" s="932"/>
      <c r="EC185" s="932"/>
      <c r="ED185" s="932"/>
      <c r="EE185" s="10">
        <f t="shared" si="93"/>
        <v>0</v>
      </c>
      <c r="EF185">
        <f>ROWS($DE$2:DE185)</f>
        <v>184</v>
      </c>
      <c r="EG185" t="str">
        <f t="shared" si="94"/>
        <v/>
      </c>
      <c r="EJ185" t="str">
        <f t="shared" si="95"/>
        <v/>
      </c>
      <c r="EM185" t="str">
        <f t="shared" si="96"/>
        <v/>
      </c>
      <c r="EP185" t="str">
        <f t="shared" si="97"/>
        <v/>
      </c>
      <c r="ES185" t="str">
        <f t="shared" si="98"/>
        <v/>
      </c>
      <c r="EV185" t="str">
        <f t="shared" si="99"/>
        <v/>
      </c>
      <c r="EY185" t="str">
        <f t="shared" si="100"/>
        <v/>
      </c>
      <c r="FB185" t="str">
        <f t="shared" si="101"/>
        <v/>
      </c>
      <c r="FE185" t="str">
        <f t="shared" si="102"/>
        <v/>
      </c>
      <c r="FH185" t="str">
        <f t="shared" si="103"/>
        <v/>
      </c>
      <c r="FK185" t="str">
        <f t="shared" si="104"/>
        <v/>
      </c>
      <c r="FN185" t="str">
        <f t="shared" si="105"/>
        <v/>
      </c>
      <c r="FQ185" t="str">
        <f t="shared" si="106"/>
        <v/>
      </c>
      <c r="FT185" t="str">
        <f t="shared" si="107"/>
        <v/>
      </c>
      <c r="FW185" t="str">
        <f t="shared" si="108"/>
        <v/>
      </c>
      <c r="FZ185" t="str">
        <f t="shared" si="109"/>
        <v/>
      </c>
      <c r="GC185" t="str">
        <f t="shared" si="110"/>
        <v/>
      </c>
      <c r="GE185" s="155"/>
    </row>
    <row r="186" spans="2:187" ht="15" customHeight="1" x14ac:dyDescent="0.35">
      <c r="L186" s="10">
        <v>1096183</v>
      </c>
      <c r="O186" s="239"/>
      <c r="P186" s="240"/>
      <c r="Q186" s="240"/>
      <c r="R186" s="241"/>
      <c r="S186" s="244" t="s">
        <v>1396</v>
      </c>
      <c r="T186" s="231" t="s">
        <v>753</v>
      </c>
      <c r="U186" s="231">
        <v>509477</v>
      </c>
      <c r="V186" s="40" t="s">
        <v>92</v>
      </c>
      <c r="W186" s="37">
        <v>1</v>
      </c>
      <c r="X186" s="37">
        <v>1</v>
      </c>
      <c r="Y186" s="37">
        <v>1</v>
      </c>
      <c r="Z186" s="37">
        <v>1</v>
      </c>
      <c r="AA186" s="37">
        <v>1</v>
      </c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F186">
        <f>ROWS($U$46:U186)</f>
        <v>141</v>
      </c>
      <c r="BG186" t="str">
        <f t="shared" si="113"/>
        <v/>
      </c>
      <c r="DB186" s="10">
        <v>1104086</v>
      </c>
      <c r="DD186"/>
      <c r="DE186" s="10">
        <v>1181761</v>
      </c>
      <c r="DF186" t="s">
        <v>1992</v>
      </c>
      <c r="DG186" t="s">
        <v>1992</v>
      </c>
      <c r="DH186" s="10">
        <v>16</v>
      </c>
      <c r="DI186" s="10">
        <v>1608</v>
      </c>
      <c r="DJ186" t="s">
        <v>1983</v>
      </c>
      <c r="DK186"/>
      <c r="DL186" s="10" t="s">
        <v>240</v>
      </c>
      <c r="DM186"/>
      <c r="DO186" s="10">
        <v>497</v>
      </c>
      <c r="DR186" s="37" t="str">
        <f t="shared" si="112"/>
        <v xml:space="preserve">1608 CT155 </v>
      </c>
      <c r="DS186" s="37">
        <v>0</v>
      </c>
      <c r="DT186" s="932"/>
      <c r="DU186" s="932"/>
      <c r="DV186" s="932"/>
      <c r="DW186" s="932"/>
      <c r="DX186" s="932"/>
      <c r="DY186" s="932"/>
      <c r="DZ186" s="932"/>
      <c r="EA186" s="932"/>
      <c r="EB186" s="932"/>
      <c r="EC186" s="932"/>
      <c r="ED186" s="932"/>
      <c r="EE186" s="10">
        <f t="shared" si="93"/>
        <v>0</v>
      </c>
      <c r="EF186">
        <f>ROWS($DE$2:DE186)</f>
        <v>185</v>
      </c>
      <c r="EG186" t="str">
        <f t="shared" si="94"/>
        <v/>
      </c>
      <c r="EJ186" t="str">
        <f t="shared" si="95"/>
        <v/>
      </c>
      <c r="EM186" t="str">
        <f t="shared" si="96"/>
        <v/>
      </c>
      <c r="EP186" t="str">
        <f t="shared" si="97"/>
        <v/>
      </c>
      <c r="ES186" t="str">
        <f t="shared" si="98"/>
        <v/>
      </c>
      <c r="EV186" t="str">
        <f t="shared" si="99"/>
        <v/>
      </c>
      <c r="EY186" t="str">
        <f t="shared" si="100"/>
        <v/>
      </c>
      <c r="FB186" t="str">
        <f t="shared" si="101"/>
        <v/>
      </c>
      <c r="FE186" t="str">
        <f t="shared" si="102"/>
        <v/>
      </c>
      <c r="FH186" t="str">
        <f t="shared" si="103"/>
        <v/>
      </c>
      <c r="FK186" t="str">
        <f t="shared" si="104"/>
        <v/>
      </c>
      <c r="FN186" t="str">
        <f t="shared" si="105"/>
        <v/>
      </c>
      <c r="FQ186" t="str">
        <f t="shared" si="106"/>
        <v/>
      </c>
      <c r="FT186" t="str">
        <f t="shared" si="107"/>
        <v/>
      </c>
      <c r="FW186" t="str">
        <f t="shared" si="108"/>
        <v/>
      </c>
      <c r="FZ186" t="str">
        <f t="shared" si="109"/>
        <v/>
      </c>
      <c r="GC186" t="str">
        <f t="shared" si="110"/>
        <v/>
      </c>
      <c r="GE186" s="155"/>
    </row>
    <row r="187" spans="2:187" ht="15" customHeight="1" thickBot="1" x14ac:dyDescent="0.4">
      <c r="L187" s="10">
        <v>1096422</v>
      </c>
      <c r="O187" s="242"/>
      <c r="P187" s="243"/>
      <c r="Q187" s="243"/>
      <c r="R187" s="244"/>
      <c r="S187" s="241" t="s">
        <v>1396</v>
      </c>
      <c r="T187" s="255" t="s">
        <v>753</v>
      </c>
      <c r="U187" s="255">
        <v>509477</v>
      </c>
      <c r="V187" s="172" t="s">
        <v>111</v>
      </c>
      <c r="W187" s="37">
        <v>1</v>
      </c>
      <c r="X187" s="37">
        <v>1</v>
      </c>
      <c r="Y187" s="37">
        <v>1</v>
      </c>
      <c r="Z187" s="37">
        <v>1</v>
      </c>
      <c r="AA187" s="26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F187">
        <f>ROWS($U$46:U187)</f>
        <v>142</v>
      </c>
      <c r="BG187" t="str">
        <f t="shared" si="113"/>
        <v/>
      </c>
      <c r="DB187" s="10">
        <v>1161587</v>
      </c>
      <c r="DD187"/>
      <c r="DE187" s="10">
        <v>1176639</v>
      </c>
      <c r="DF187" t="s">
        <v>1993</v>
      </c>
      <c r="DG187" t="s">
        <v>1993</v>
      </c>
      <c r="DH187" s="10">
        <v>13</v>
      </c>
      <c r="DI187" s="10">
        <v>1308</v>
      </c>
      <c r="DJ187" t="s">
        <v>1983</v>
      </c>
      <c r="DK187"/>
      <c r="DL187" s="10" t="s">
        <v>240</v>
      </c>
      <c r="DM187"/>
      <c r="DO187" s="10">
        <v>360</v>
      </c>
      <c r="DR187" s="37" t="str">
        <f t="shared" si="112"/>
        <v xml:space="preserve">1308 CT155 </v>
      </c>
      <c r="DS187" s="37">
        <v>0</v>
      </c>
      <c r="DT187" s="932"/>
      <c r="DU187" s="932"/>
      <c r="DV187" s="932"/>
      <c r="DW187" s="932"/>
      <c r="DX187" s="932"/>
      <c r="DY187" s="932"/>
      <c r="DZ187" s="932"/>
      <c r="EA187" s="932"/>
      <c r="EB187" s="932"/>
      <c r="EC187" s="932"/>
      <c r="ED187" s="932"/>
      <c r="EE187" s="10">
        <f t="shared" si="93"/>
        <v>0</v>
      </c>
      <c r="EF187">
        <f>ROWS($DE$2:DE187)</f>
        <v>186</v>
      </c>
      <c r="EG187" t="str">
        <f t="shared" si="94"/>
        <v/>
      </c>
      <c r="EJ187" t="str">
        <f t="shared" si="95"/>
        <v/>
      </c>
      <c r="EM187" t="str">
        <f t="shared" si="96"/>
        <v/>
      </c>
      <c r="EP187" t="str">
        <f t="shared" si="97"/>
        <v/>
      </c>
      <c r="ES187" t="str">
        <f t="shared" si="98"/>
        <v/>
      </c>
      <c r="EV187" t="str">
        <f t="shared" si="99"/>
        <v/>
      </c>
      <c r="EY187" t="str">
        <f t="shared" si="100"/>
        <v/>
      </c>
      <c r="FB187" t="str">
        <f t="shared" si="101"/>
        <v/>
      </c>
      <c r="FE187" t="str">
        <f t="shared" si="102"/>
        <v/>
      </c>
      <c r="FH187" t="str">
        <f t="shared" si="103"/>
        <v/>
      </c>
      <c r="FK187" t="str">
        <f t="shared" si="104"/>
        <v/>
      </c>
      <c r="FN187" t="str">
        <f t="shared" si="105"/>
        <v/>
      </c>
      <c r="FQ187" t="str">
        <f t="shared" si="106"/>
        <v/>
      </c>
      <c r="FT187" t="str">
        <f t="shared" si="107"/>
        <v/>
      </c>
      <c r="FW187" t="str">
        <f t="shared" si="108"/>
        <v/>
      </c>
      <c r="FZ187" t="str">
        <f t="shared" si="109"/>
        <v/>
      </c>
      <c r="GC187" t="str">
        <f t="shared" si="110"/>
        <v/>
      </c>
      <c r="GE187" s="155"/>
    </row>
    <row r="188" spans="2:187" ht="15" customHeight="1" x14ac:dyDescent="0.35">
      <c r="L188" s="10">
        <v>1097591</v>
      </c>
      <c r="O188" s="230">
        <v>1</v>
      </c>
      <c r="P188" s="231">
        <v>780654</v>
      </c>
      <c r="Q188" s="231">
        <v>42</v>
      </c>
      <c r="R188" s="242"/>
      <c r="S188" s="261" t="s">
        <v>1191</v>
      </c>
      <c r="T188" s="262" t="s">
        <v>754</v>
      </c>
      <c r="U188" s="263">
        <v>671133</v>
      </c>
      <c r="V188" s="178" t="s">
        <v>87</v>
      </c>
      <c r="W188" s="264">
        <v>1</v>
      </c>
      <c r="X188" s="264">
        <v>1</v>
      </c>
      <c r="Y188" s="264">
        <v>1</v>
      </c>
      <c r="Z188" s="264">
        <v>1</v>
      </c>
      <c r="AA188" s="264">
        <v>1</v>
      </c>
      <c r="AB188" s="149">
        <v>2</v>
      </c>
      <c r="AC188" s="149">
        <v>2</v>
      </c>
      <c r="AD188" s="149">
        <v>3</v>
      </c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F188">
        <f>ROWS($U$46:U188)</f>
        <v>143</v>
      </c>
      <c r="BG188" t="str">
        <f t="shared" si="113"/>
        <v/>
      </c>
      <c r="DB188" s="10">
        <v>1078377</v>
      </c>
      <c r="DD188"/>
      <c r="DE188" s="10">
        <v>1039057</v>
      </c>
      <c r="DF188" t="s">
        <v>1918</v>
      </c>
      <c r="DG188" t="s">
        <v>1918</v>
      </c>
      <c r="DH188" s="10">
        <v>16</v>
      </c>
      <c r="DI188" s="10">
        <v>1608</v>
      </c>
      <c r="DJ188" t="s">
        <v>249</v>
      </c>
      <c r="DK188"/>
      <c r="DL188" s="10" t="s">
        <v>239</v>
      </c>
      <c r="DM188"/>
      <c r="DO188" s="10">
        <v>497</v>
      </c>
      <c r="DR188" s="37" t="str">
        <f t="shared" si="112"/>
        <v xml:space="preserve">1608 CT138 </v>
      </c>
      <c r="DS188" s="37">
        <v>0</v>
      </c>
      <c r="DT188" s="555"/>
      <c r="DU188" s="555"/>
      <c r="DV188" s="555"/>
      <c r="DW188" s="555"/>
      <c r="DX188" s="555"/>
      <c r="DY188" s="555"/>
      <c r="DZ188" s="555"/>
      <c r="EA188" s="555"/>
      <c r="EB188" s="555"/>
      <c r="EC188" s="555"/>
      <c r="ED188" s="555"/>
      <c r="EE188" s="10">
        <f t="shared" si="93"/>
        <v>0</v>
      </c>
      <c r="EF188">
        <f>ROWS($DE$2:DE188)</f>
        <v>187</v>
      </c>
      <c r="EG188" t="str">
        <f t="shared" si="94"/>
        <v/>
      </c>
      <c r="EJ188" t="str">
        <f t="shared" si="95"/>
        <v/>
      </c>
      <c r="EM188" t="str">
        <f t="shared" si="96"/>
        <v/>
      </c>
      <c r="EP188" t="str">
        <f t="shared" si="97"/>
        <v/>
      </c>
      <c r="ES188" t="str">
        <f t="shared" si="98"/>
        <v/>
      </c>
      <c r="EV188" t="str">
        <f t="shared" si="99"/>
        <v/>
      </c>
      <c r="EY188" t="str">
        <f t="shared" si="100"/>
        <v/>
      </c>
      <c r="FB188" t="str">
        <f t="shared" si="101"/>
        <v/>
      </c>
      <c r="FE188" t="str">
        <f t="shared" si="102"/>
        <v/>
      </c>
      <c r="FH188" t="str">
        <f t="shared" si="103"/>
        <v/>
      </c>
      <c r="FK188" t="str">
        <f t="shared" si="104"/>
        <v/>
      </c>
      <c r="FN188" t="str">
        <f t="shared" si="105"/>
        <v/>
      </c>
      <c r="FQ188" t="str">
        <f t="shared" si="106"/>
        <v/>
      </c>
      <c r="FT188" t="str">
        <f t="shared" si="107"/>
        <v/>
      </c>
      <c r="FW188" t="str">
        <f t="shared" si="108"/>
        <v/>
      </c>
      <c r="FZ188" t="str">
        <f t="shared" si="109"/>
        <v/>
      </c>
      <c r="GC188" t="str">
        <f t="shared" si="110"/>
        <v/>
      </c>
      <c r="GE188" s="155"/>
    </row>
    <row r="189" spans="2:187" ht="15" customHeight="1" x14ac:dyDescent="0.35">
      <c r="L189" s="10">
        <v>1098918</v>
      </c>
      <c r="O189" s="233">
        <v>2</v>
      </c>
      <c r="P189" s="167">
        <v>717747</v>
      </c>
      <c r="Q189" s="167">
        <v>18</v>
      </c>
      <c r="R189" s="247"/>
      <c r="S189" s="233" t="s">
        <v>1191</v>
      </c>
      <c r="T189" s="167" t="s">
        <v>754</v>
      </c>
      <c r="U189" s="248">
        <v>671133</v>
      </c>
      <c r="V189" s="172" t="s">
        <v>88</v>
      </c>
      <c r="W189" s="149">
        <v>1</v>
      </c>
      <c r="X189" s="149">
        <v>1</v>
      </c>
      <c r="Y189" s="149">
        <v>1</v>
      </c>
      <c r="Z189" s="149">
        <v>1</v>
      </c>
      <c r="AA189" s="149">
        <v>2</v>
      </c>
      <c r="AB189" s="149">
        <v>2</v>
      </c>
      <c r="AC189" s="149">
        <v>3</v>
      </c>
      <c r="AD189" s="265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F189">
        <f>ROWS($U$46:U189)</f>
        <v>144</v>
      </c>
      <c r="BG189" t="str">
        <f t="shared" si="113"/>
        <v/>
      </c>
      <c r="DB189" s="10">
        <v>1165769</v>
      </c>
      <c r="DD189"/>
      <c r="DE189" s="10">
        <v>1134751</v>
      </c>
      <c r="DF189" t="s">
        <v>1935</v>
      </c>
      <c r="DG189" t="s">
        <v>1935</v>
      </c>
      <c r="DH189" s="10">
        <v>13</v>
      </c>
      <c r="DI189" s="10">
        <v>1308</v>
      </c>
      <c r="DJ189" t="s">
        <v>1232</v>
      </c>
      <c r="DK189"/>
      <c r="DL189" s="10" t="s">
        <v>239</v>
      </c>
      <c r="DM189"/>
      <c r="DO189" s="10">
        <v>360</v>
      </c>
      <c r="DR189" s="37" t="str">
        <f t="shared" si="112"/>
        <v xml:space="preserve">1308 CT182 </v>
      </c>
      <c r="DS189" s="37">
        <f t="shared" si="111"/>
        <v>0</v>
      </c>
      <c r="DV189" s="10" t="s">
        <v>49</v>
      </c>
      <c r="DW189" s="10" t="s">
        <v>1589</v>
      </c>
      <c r="DX189" s="10">
        <v>30</v>
      </c>
      <c r="DY189" s="10" t="s">
        <v>1677</v>
      </c>
      <c r="DZ189" s="10" t="s">
        <v>1670</v>
      </c>
      <c r="EA189" s="10">
        <v>1</v>
      </c>
      <c r="EB189" s="10" t="s">
        <v>1513</v>
      </c>
      <c r="EC189" s="10">
        <v>480</v>
      </c>
      <c r="ED189" s="10" t="s">
        <v>1740</v>
      </c>
      <c r="EE189" s="10">
        <f t="shared" si="93"/>
        <v>0</v>
      </c>
      <c r="EF189">
        <f>ROWS($DE$2:DE189)</f>
        <v>188</v>
      </c>
      <c r="EG189" t="str">
        <f t="shared" si="94"/>
        <v/>
      </c>
      <c r="EJ189" t="str">
        <f t="shared" si="95"/>
        <v/>
      </c>
      <c r="EM189" t="str">
        <f t="shared" si="96"/>
        <v/>
      </c>
      <c r="EP189" t="str">
        <f t="shared" si="97"/>
        <v/>
      </c>
      <c r="ES189" t="str">
        <f t="shared" si="98"/>
        <v/>
      </c>
      <c r="EV189" t="str">
        <f t="shared" si="99"/>
        <v/>
      </c>
      <c r="EY189" t="str">
        <f t="shared" si="100"/>
        <v/>
      </c>
      <c r="FB189" t="str">
        <f t="shared" si="101"/>
        <v/>
      </c>
      <c r="FE189" t="str">
        <f t="shared" si="102"/>
        <v/>
      </c>
      <c r="FH189" t="str">
        <f t="shared" si="103"/>
        <v/>
      </c>
      <c r="FK189" t="str">
        <f t="shared" si="104"/>
        <v/>
      </c>
      <c r="FN189" t="str">
        <f t="shared" si="105"/>
        <v/>
      </c>
      <c r="FQ189" t="str">
        <f t="shared" si="106"/>
        <v/>
      </c>
      <c r="FT189" t="str">
        <f t="shared" si="107"/>
        <v/>
      </c>
      <c r="FW189" t="str">
        <f t="shared" si="108"/>
        <v/>
      </c>
      <c r="FZ189" t="str">
        <f t="shared" si="109"/>
        <v/>
      </c>
      <c r="GC189" t="str">
        <f t="shared" si="110"/>
        <v/>
      </c>
      <c r="GE189" s="155"/>
    </row>
    <row r="190" spans="2:187" ht="15" customHeight="1" x14ac:dyDescent="0.35">
      <c r="L190" s="10">
        <v>1100518</v>
      </c>
      <c r="O190" s="235">
        <v>3</v>
      </c>
      <c r="P190" s="179">
        <v>418525</v>
      </c>
      <c r="Q190" s="179">
        <v>9</v>
      </c>
      <c r="R190" s="236"/>
      <c r="S190" s="233" t="s">
        <v>1191</v>
      </c>
      <c r="T190" s="167" t="s">
        <v>754</v>
      </c>
      <c r="U190" s="248">
        <v>671133</v>
      </c>
      <c r="V190" s="172" t="s">
        <v>89</v>
      </c>
      <c r="W190" s="149">
        <v>1</v>
      </c>
      <c r="X190" s="149">
        <v>1</v>
      </c>
      <c r="Y190" s="149">
        <v>1</v>
      </c>
      <c r="Z190" s="149">
        <v>1</v>
      </c>
      <c r="AA190" s="149">
        <v>1</v>
      </c>
      <c r="AB190" s="149">
        <v>2</v>
      </c>
      <c r="AC190" s="149">
        <v>2</v>
      </c>
      <c r="AD190" s="149">
        <v>3</v>
      </c>
      <c r="AE190" s="258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F190">
        <f>ROWS($U$46:U190)</f>
        <v>145</v>
      </c>
      <c r="BG190" t="str">
        <f t="shared" si="113"/>
        <v/>
      </c>
      <c r="DB190" s="10">
        <v>1039035</v>
      </c>
      <c r="DD190"/>
      <c r="DE190" s="10">
        <v>562195</v>
      </c>
      <c r="DF190" t="s">
        <v>1942</v>
      </c>
      <c r="DG190" t="s">
        <v>1942</v>
      </c>
      <c r="DH190" s="10">
        <v>13</v>
      </c>
      <c r="DI190" s="10">
        <v>13</v>
      </c>
      <c r="DJ190"/>
      <c r="DK190" t="s">
        <v>1311</v>
      </c>
      <c r="DL190"/>
      <c r="DM190"/>
      <c r="DO190" s="10">
        <v>360</v>
      </c>
      <c r="DR190" s="37" t="str">
        <f t="shared" si="112"/>
        <v>13  R1</v>
      </c>
      <c r="DS190" s="37">
        <f t="shared" si="111"/>
        <v>0</v>
      </c>
      <c r="DV190" s="10" t="s">
        <v>1754</v>
      </c>
      <c r="DW190" s="10" t="s">
        <v>1589</v>
      </c>
      <c r="DX190" s="10">
        <v>40</v>
      </c>
      <c r="DY190" s="10" t="s">
        <v>1801</v>
      </c>
      <c r="DZ190" s="10" t="s">
        <v>1670</v>
      </c>
      <c r="EA190" s="10">
        <v>1</v>
      </c>
      <c r="EB190" s="10" t="s">
        <v>1513</v>
      </c>
      <c r="EC190" s="10">
        <v>333</v>
      </c>
      <c r="ED190" s="10" t="s">
        <v>1802</v>
      </c>
      <c r="EE190" s="10">
        <f t="shared" si="93"/>
        <v>0</v>
      </c>
      <c r="EF190">
        <f>ROWS($DE$2:DE190)</f>
        <v>189</v>
      </c>
      <c r="EG190" t="str">
        <f t="shared" si="94"/>
        <v/>
      </c>
      <c r="EJ190" t="str">
        <f t="shared" si="95"/>
        <v/>
      </c>
      <c r="EM190" t="str">
        <f t="shared" si="96"/>
        <v/>
      </c>
      <c r="EP190" t="str">
        <f t="shared" si="97"/>
        <v/>
      </c>
      <c r="ES190" t="str">
        <f t="shared" si="98"/>
        <v/>
      </c>
      <c r="EV190" t="str">
        <f t="shared" si="99"/>
        <v/>
      </c>
      <c r="EY190" t="str">
        <f t="shared" si="100"/>
        <v/>
      </c>
      <c r="FB190" t="str">
        <f t="shared" si="101"/>
        <v/>
      </c>
      <c r="FE190" t="str">
        <f t="shared" si="102"/>
        <v/>
      </c>
      <c r="FH190" t="str">
        <f t="shared" si="103"/>
        <v/>
      </c>
      <c r="FK190" t="str">
        <f t="shared" si="104"/>
        <v/>
      </c>
      <c r="FN190" t="str">
        <f t="shared" si="105"/>
        <v/>
      </c>
      <c r="FQ190" t="str">
        <f t="shared" si="106"/>
        <v/>
      </c>
      <c r="FT190" t="str">
        <f t="shared" si="107"/>
        <v/>
      </c>
      <c r="FW190" t="str">
        <f t="shared" si="108"/>
        <v/>
      </c>
      <c r="FZ190" t="str">
        <f t="shared" si="109"/>
        <v/>
      </c>
      <c r="GC190" t="str">
        <f t="shared" si="110"/>
        <v/>
      </c>
      <c r="GE190" s="155"/>
    </row>
    <row r="191" spans="2:187" ht="15" customHeight="1" x14ac:dyDescent="0.35">
      <c r="L191" s="10">
        <v>1102426</v>
      </c>
      <c r="O191" s="236"/>
      <c r="P191" s="237"/>
      <c r="Q191" s="237"/>
      <c r="R191" s="237"/>
      <c r="S191" s="233" t="s">
        <v>1191</v>
      </c>
      <c r="T191" s="167" t="s">
        <v>754</v>
      </c>
      <c r="U191" s="248">
        <v>671133</v>
      </c>
      <c r="V191" s="172" t="s">
        <v>90</v>
      </c>
      <c r="W191" s="149">
        <v>1</v>
      </c>
      <c r="X191" s="149">
        <v>1</v>
      </c>
      <c r="Y191" s="149">
        <v>1</v>
      </c>
      <c r="Z191" s="149">
        <v>1</v>
      </c>
      <c r="AA191" s="149">
        <v>1</v>
      </c>
      <c r="AB191" s="149">
        <v>2</v>
      </c>
      <c r="AC191" s="149">
        <v>2</v>
      </c>
      <c r="AD191" s="149">
        <v>3</v>
      </c>
      <c r="AE191" s="258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F191">
        <f>ROWS($U$46:U191)</f>
        <v>146</v>
      </c>
      <c r="BG191" t="str">
        <f t="shared" si="113"/>
        <v/>
      </c>
      <c r="DB191" s="10">
        <v>1176641</v>
      </c>
      <c r="DD191"/>
      <c r="DE191" s="10">
        <v>1022971</v>
      </c>
      <c r="DF191" t="s">
        <v>1943</v>
      </c>
      <c r="DG191" t="s">
        <v>1943</v>
      </c>
      <c r="DH191" s="10">
        <v>16</v>
      </c>
      <c r="DI191" s="10">
        <v>1613</v>
      </c>
      <c r="DJ191" t="s">
        <v>1950</v>
      </c>
      <c r="DK191"/>
      <c r="DL191"/>
      <c r="DM191"/>
      <c r="DO191" s="10">
        <v>497</v>
      </c>
      <c r="DR191" s="37" t="str">
        <f t="shared" si="112"/>
        <v xml:space="preserve">1613 CT182M </v>
      </c>
      <c r="DS191" s="37">
        <f t="shared" si="111"/>
        <v>0</v>
      </c>
      <c r="DV191" s="10" t="s">
        <v>49</v>
      </c>
      <c r="DW191" s="10" t="s">
        <v>1590</v>
      </c>
      <c r="DX191" s="10">
        <v>30</v>
      </c>
      <c r="DY191" s="10" t="s">
        <v>1673</v>
      </c>
      <c r="DZ191" s="10" t="s">
        <v>1668</v>
      </c>
      <c r="EA191" s="10">
        <v>1</v>
      </c>
      <c r="EB191" s="10" t="s">
        <v>1513</v>
      </c>
      <c r="EC191" s="10">
        <v>662</v>
      </c>
      <c r="ED191" s="10" t="s">
        <v>1736</v>
      </c>
      <c r="EE191" s="10">
        <f t="shared" si="93"/>
        <v>0</v>
      </c>
      <c r="EF191">
        <f>ROWS($DE$2:DE191)</f>
        <v>190</v>
      </c>
      <c r="EG191" t="str">
        <f t="shared" si="94"/>
        <v/>
      </c>
      <c r="EJ191" t="str">
        <f t="shared" si="95"/>
        <v/>
      </c>
      <c r="EM191" t="str">
        <f t="shared" si="96"/>
        <v/>
      </c>
      <c r="EP191" t="str">
        <f t="shared" si="97"/>
        <v/>
      </c>
      <c r="ES191" t="str">
        <f t="shared" si="98"/>
        <v/>
      </c>
      <c r="EV191" t="str">
        <f t="shared" si="99"/>
        <v/>
      </c>
      <c r="EY191" t="str">
        <f t="shared" si="100"/>
        <v/>
      </c>
      <c r="FB191" t="str">
        <f t="shared" si="101"/>
        <v/>
      </c>
      <c r="FE191" t="str">
        <f t="shared" si="102"/>
        <v/>
      </c>
      <c r="FH191" t="str">
        <f t="shared" si="103"/>
        <v/>
      </c>
      <c r="FK191" t="str">
        <f t="shared" si="104"/>
        <v/>
      </c>
      <c r="FN191" t="str">
        <f t="shared" si="105"/>
        <v/>
      </c>
      <c r="FQ191" t="str">
        <f t="shared" si="106"/>
        <v/>
      </c>
      <c r="FT191" t="str">
        <f t="shared" si="107"/>
        <v/>
      </c>
      <c r="FW191" t="str">
        <f t="shared" si="108"/>
        <v/>
      </c>
      <c r="FZ191" t="str">
        <f t="shared" si="109"/>
        <v/>
      </c>
      <c r="GC191" t="str">
        <f t="shared" si="110"/>
        <v/>
      </c>
      <c r="GE191" s="155"/>
    </row>
    <row r="192" spans="2:187" ht="15" customHeight="1" x14ac:dyDescent="0.35">
      <c r="L192" s="10">
        <v>1102437</v>
      </c>
      <c r="O192" s="239"/>
      <c r="P192" s="240"/>
      <c r="Q192" s="240"/>
      <c r="R192" s="240"/>
      <c r="S192" s="233" t="s">
        <v>1191</v>
      </c>
      <c r="T192" s="167" t="s">
        <v>754</v>
      </c>
      <c r="U192" s="248">
        <v>671133</v>
      </c>
      <c r="V192" s="172" t="s">
        <v>91</v>
      </c>
      <c r="W192" s="149">
        <v>1</v>
      </c>
      <c r="X192" s="149">
        <v>1</v>
      </c>
      <c r="Y192" s="149">
        <v>1</v>
      </c>
      <c r="Z192" s="149">
        <v>1</v>
      </c>
      <c r="AA192" s="149">
        <v>2</v>
      </c>
      <c r="AB192" s="149">
        <v>2</v>
      </c>
      <c r="AC192" s="149">
        <v>3</v>
      </c>
      <c r="AD192" s="265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F192">
        <f>ROWS($U$46:U192)</f>
        <v>147</v>
      </c>
      <c r="BG192" t="str">
        <f t="shared" si="113"/>
        <v/>
      </c>
      <c r="DB192" s="10">
        <v>1104744</v>
      </c>
      <c r="DD192"/>
      <c r="DE192" s="10">
        <v>1104086</v>
      </c>
      <c r="DF192" t="s">
        <v>1945</v>
      </c>
      <c r="DG192" t="s">
        <v>1945</v>
      </c>
      <c r="DH192" s="10">
        <v>16</v>
      </c>
      <c r="DI192" s="10">
        <v>1613</v>
      </c>
      <c r="DJ192" t="s">
        <v>1951</v>
      </c>
      <c r="DK192"/>
      <c r="DL192" s="10" t="s">
        <v>240</v>
      </c>
      <c r="DM192"/>
      <c r="DO192" s="10">
        <v>497</v>
      </c>
      <c r="DR192" s="37" t="str">
        <f t="shared" si="112"/>
        <v xml:space="preserve">1613 CT144H </v>
      </c>
      <c r="DS192" s="37">
        <f t="shared" si="111"/>
        <v>0</v>
      </c>
      <c r="DV192" s="10" t="s">
        <v>49</v>
      </c>
      <c r="DW192" s="10" t="s">
        <v>1590</v>
      </c>
      <c r="DX192" s="10">
        <v>30</v>
      </c>
      <c r="DY192" s="10" t="s">
        <v>1673</v>
      </c>
      <c r="DZ192" s="10" t="s">
        <v>1668</v>
      </c>
      <c r="EA192" s="10">
        <v>1</v>
      </c>
      <c r="EB192" s="10" t="s">
        <v>1513</v>
      </c>
      <c r="EC192" s="10">
        <v>662</v>
      </c>
      <c r="ED192" s="10" t="s">
        <v>1736</v>
      </c>
      <c r="EE192" s="10">
        <f t="shared" si="93"/>
        <v>0</v>
      </c>
      <c r="EF192">
        <f>ROWS($DE$2:DE192)</f>
        <v>191</v>
      </c>
      <c r="EG192" t="str">
        <f t="shared" si="94"/>
        <v/>
      </c>
      <c r="EJ192" t="str">
        <f t="shared" si="95"/>
        <v/>
      </c>
      <c r="EM192" t="str">
        <f t="shared" si="96"/>
        <v/>
      </c>
      <c r="EP192" t="str">
        <f t="shared" si="97"/>
        <v/>
      </c>
      <c r="ES192" t="str">
        <f t="shared" si="98"/>
        <v/>
      </c>
      <c r="EV192" t="str">
        <f t="shared" si="99"/>
        <v/>
      </c>
      <c r="EY192" t="str">
        <f t="shared" si="100"/>
        <v/>
      </c>
      <c r="FB192" t="str">
        <f t="shared" si="101"/>
        <v/>
      </c>
      <c r="FE192" t="str">
        <f t="shared" si="102"/>
        <v/>
      </c>
      <c r="FH192" t="str">
        <f t="shared" si="103"/>
        <v/>
      </c>
      <c r="FK192" t="str">
        <f t="shared" si="104"/>
        <v/>
      </c>
      <c r="FN192" t="str">
        <f t="shared" si="105"/>
        <v/>
      </c>
      <c r="FQ192" t="str">
        <f t="shared" si="106"/>
        <v/>
      </c>
      <c r="FT192" t="str">
        <f t="shared" si="107"/>
        <v/>
      </c>
      <c r="FW192" t="str">
        <f t="shared" si="108"/>
        <v/>
      </c>
      <c r="FZ192" t="str">
        <f t="shared" si="109"/>
        <v/>
      </c>
      <c r="GC192" t="str">
        <f t="shared" si="110"/>
        <v/>
      </c>
      <c r="GE192" s="155"/>
    </row>
    <row r="193" spans="1:188" ht="15.75" customHeight="1" x14ac:dyDescent="0.35">
      <c r="B193"/>
      <c r="L193" s="10">
        <v>1103149</v>
      </c>
      <c r="O193" s="239"/>
      <c r="P193" s="240"/>
      <c r="Q193" s="240"/>
      <c r="R193" s="240"/>
      <c r="S193" s="233" t="s">
        <v>1191</v>
      </c>
      <c r="T193" s="167" t="s">
        <v>754</v>
      </c>
      <c r="U193" s="248">
        <v>671133</v>
      </c>
      <c r="V193" s="172" t="s">
        <v>92</v>
      </c>
      <c r="W193" s="149">
        <v>1</v>
      </c>
      <c r="X193" s="149">
        <v>1</v>
      </c>
      <c r="Y193" s="149">
        <v>1</v>
      </c>
      <c r="Z193" s="149">
        <v>1</v>
      </c>
      <c r="AA193" s="149">
        <v>1</v>
      </c>
      <c r="AB193" s="149">
        <v>2</v>
      </c>
      <c r="AC193" s="149">
        <v>2</v>
      </c>
      <c r="AD193" s="149">
        <v>3</v>
      </c>
      <c r="AE193" s="258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F193">
        <f>ROWS($U$46:U193)</f>
        <v>148</v>
      </c>
      <c r="BG193" t="str">
        <f t="shared" si="113"/>
        <v/>
      </c>
      <c r="DB193" s="10">
        <v>1144820</v>
      </c>
      <c r="DD193"/>
      <c r="DE193" s="10">
        <v>643738</v>
      </c>
      <c r="DF193" t="s">
        <v>1952</v>
      </c>
      <c r="DG193" t="s">
        <v>1952</v>
      </c>
      <c r="DH193" s="10">
        <v>16</v>
      </c>
      <c r="DI193" s="10">
        <v>1608</v>
      </c>
      <c r="DJ193" t="s">
        <v>254</v>
      </c>
      <c r="DK193"/>
      <c r="DL193" s="10" t="s">
        <v>240</v>
      </c>
      <c r="DM193"/>
      <c r="DO193" s="10">
        <v>497</v>
      </c>
      <c r="DR193" s="37" t="str">
        <f t="shared" si="112"/>
        <v xml:space="preserve">1608 CT70 </v>
      </c>
      <c r="DS193" s="37">
        <f t="shared" si="111"/>
        <v>0</v>
      </c>
      <c r="DV193" s="10" t="s">
        <v>49</v>
      </c>
      <c r="DW193" s="10" t="s">
        <v>1590</v>
      </c>
      <c r="DX193" s="10">
        <v>30</v>
      </c>
      <c r="DY193" s="10" t="s">
        <v>1673</v>
      </c>
      <c r="DZ193" s="10" t="s">
        <v>1668</v>
      </c>
      <c r="EA193" s="10">
        <v>1</v>
      </c>
      <c r="EB193" s="10" t="s">
        <v>1513</v>
      </c>
      <c r="EC193" s="10">
        <v>662</v>
      </c>
      <c r="ED193" s="10" t="s">
        <v>1736</v>
      </c>
      <c r="EE193" s="10">
        <f t="shared" si="93"/>
        <v>6</v>
      </c>
      <c r="EF193">
        <f>ROWS($DE$2:DE193)</f>
        <v>192</v>
      </c>
      <c r="EG193" t="str">
        <f t="shared" si="94"/>
        <v/>
      </c>
      <c r="EJ193" t="str">
        <f t="shared" si="95"/>
        <v/>
      </c>
      <c r="EM193" t="str">
        <f t="shared" si="96"/>
        <v/>
      </c>
      <c r="EP193">
        <f t="shared" si="97"/>
        <v>192</v>
      </c>
      <c r="ES193" t="str">
        <f t="shared" si="98"/>
        <v/>
      </c>
      <c r="EV193" t="str">
        <f t="shared" si="99"/>
        <v/>
      </c>
      <c r="EY193" t="str">
        <f t="shared" si="100"/>
        <v/>
      </c>
      <c r="FB193" t="str">
        <f t="shared" si="101"/>
        <v/>
      </c>
      <c r="FE193" t="str">
        <f t="shared" si="102"/>
        <v/>
      </c>
      <c r="FH193" t="str">
        <f t="shared" si="103"/>
        <v/>
      </c>
      <c r="FK193" t="str">
        <f t="shared" si="104"/>
        <v/>
      </c>
      <c r="FN193" t="str">
        <f t="shared" si="105"/>
        <v/>
      </c>
      <c r="FQ193" t="str">
        <f t="shared" si="106"/>
        <v/>
      </c>
      <c r="FT193" t="str">
        <f t="shared" si="107"/>
        <v/>
      </c>
      <c r="FW193" t="str">
        <f t="shared" si="108"/>
        <v/>
      </c>
      <c r="FZ193" t="str">
        <f t="shared" si="109"/>
        <v/>
      </c>
      <c r="GC193" t="str">
        <f t="shared" si="110"/>
        <v/>
      </c>
      <c r="GE193" s="155"/>
    </row>
    <row r="194" spans="1:188" ht="15" customHeight="1" x14ac:dyDescent="0.35">
      <c r="B194"/>
      <c r="L194" s="10">
        <v>1103307</v>
      </c>
      <c r="O194" s="239"/>
      <c r="P194" s="240"/>
      <c r="Q194" s="240"/>
      <c r="R194" s="240"/>
      <c r="S194" s="233" t="s">
        <v>1191</v>
      </c>
      <c r="T194" s="167" t="s">
        <v>754</v>
      </c>
      <c r="U194" s="248">
        <v>671133</v>
      </c>
      <c r="V194" s="172" t="s">
        <v>111</v>
      </c>
      <c r="W194" s="149">
        <v>1</v>
      </c>
      <c r="X194" s="149">
        <v>1</v>
      </c>
      <c r="Y194" s="149">
        <v>1</v>
      </c>
      <c r="Z194" s="149">
        <v>1</v>
      </c>
      <c r="AA194" s="149">
        <v>1</v>
      </c>
      <c r="AB194" s="149">
        <v>2</v>
      </c>
      <c r="AC194" s="149">
        <v>2</v>
      </c>
      <c r="AD194" s="149">
        <v>3</v>
      </c>
      <c r="AE194" s="258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F194">
        <f>ROWS($U$46:U194)</f>
        <v>149</v>
      </c>
      <c r="BG194" t="str">
        <f t="shared" si="113"/>
        <v/>
      </c>
      <c r="DB194" s="10">
        <v>1100759</v>
      </c>
      <c r="DD194"/>
      <c r="DE194" s="10">
        <v>1161587</v>
      </c>
      <c r="DF194" t="s">
        <v>1964</v>
      </c>
      <c r="DG194" t="s">
        <v>1965</v>
      </c>
      <c r="DH194" s="10">
        <v>13</v>
      </c>
      <c r="DI194" s="10">
        <v>13</v>
      </c>
      <c r="DJ194" t="s">
        <v>1966</v>
      </c>
      <c r="DK194"/>
      <c r="DL194"/>
      <c r="DM194"/>
      <c r="DO194" s="10">
        <v>360</v>
      </c>
      <c r="DR194" s="37" t="str">
        <f t="shared" si="112"/>
        <v xml:space="preserve">13 CT228 </v>
      </c>
      <c r="DS194" s="37">
        <f t="shared" si="111"/>
        <v>0</v>
      </c>
      <c r="DV194" s="10" t="s">
        <v>1752</v>
      </c>
      <c r="DW194" s="10" t="s">
        <v>1589</v>
      </c>
      <c r="DX194" s="10">
        <v>50</v>
      </c>
      <c r="DY194" s="10" t="s">
        <v>1801</v>
      </c>
      <c r="DZ194" s="10" t="s">
        <v>1670</v>
      </c>
      <c r="EA194" s="10">
        <v>1</v>
      </c>
      <c r="EB194" s="10" t="s">
        <v>1513</v>
      </c>
      <c r="EC194" s="10">
        <v>202</v>
      </c>
      <c r="ED194" s="10" t="s">
        <v>1798</v>
      </c>
      <c r="EE194" s="10">
        <f t="shared" si="93"/>
        <v>0</v>
      </c>
      <c r="EF194">
        <f>ROWS($DE$2:DE194)</f>
        <v>193</v>
      </c>
      <c r="EG194" t="str">
        <f t="shared" si="94"/>
        <v/>
      </c>
      <c r="EJ194" t="str">
        <f t="shared" si="95"/>
        <v/>
      </c>
      <c r="EM194" t="str">
        <f t="shared" si="96"/>
        <v/>
      </c>
      <c r="EP194" t="str">
        <f t="shared" si="97"/>
        <v/>
      </c>
      <c r="ES194" t="str">
        <f t="shared" si="98"/>
        <v/>
      </c>
      <c r="EV194" t="str">
        <f t="shared" si="99"/>
        <v/>
      </c>
      <c r="EY194" t="str">
        <f t="shared" si="100"/>
        <v/>
      </c>
      <c r="FB194" t="str">
        <f t="shared" si="101"/>
        <v/>
      </c>
      <c r="FE194" t="str">
        <f t="shared" si="102"/>
        <v/>
      </c>
      <c r="FH194" t="str">
        <f t="shared" si="103"/>
        <v/>
      </c>
      <c r="FK194" t="str">
        <f t="shared" si="104"/>
        <v/>
      </c>
      <c r="FN194" t="str">
        <f t="shared" si="105"/>
        <v/>
      </c>
      <c r="FQ194" t="str">
        <f t="shared" si="106"/>
        <v/>
      </c>
      <c r="FT194" t="str">
        <f t="shared" si="107"/>
        <v/>
      </c>
      <c r="FW194" t="str">
        <f t="shared" si="108"/>
        <v/>
      </c>
      <c r="FZ194" t="str">
        <f t="shared" si="109"/>
        <v/>
      </c>
      <c r="GC194" t="str">
        <f t="shared" si="110"/>
        <v/>
      </c>
      <c r="GE194" s="155"/>
    </row>
    <row r="195" spans="1:188" ht="15" customHeight="1" x14ac:dyDescent="0.35">
      <c r="B195"/>
      <c r="L195" s="10">
        <v>1104950</v>
      </c>
      <c r="O195" s="239"/>
      <c r="P195" s="240"/>
      <c r="Q195" s="240"/>
      <c r="R195" s="240"/>
      <c r="S195" s="233" t="s">
        <v>1191</v>
      </c>
      <c r="T195" s="167" t="s">
        <v>754</v>
      </c>
      <c r="U195" s="248">
        <v>671133</v>
      </c>
      <c r="V195" s="172" t="s">
        <v>112</v>
      </c>
      <c r="W195" s="149">
        <v>1</v>
      </c>
      <c r="X195" s="149">
        <v>1</v>
      </c>
      <c r="Y195" s="149">
        <v>1</v>
      </c>
      <c r="Z195" s="149">
        <v>1</v>
      </c>
      <c r="AA195" s="149">
        <v>2</v>
      </c>
      <c r="AB195" s="149">
        <v>2</v>
      </c>
      <c r="AC195" s="149">
        <v>3</v>
      </c>
      <c r="AD195" s="265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F195">
        <f>ROWS($U$46:U195)</f>
        <v>150</v>
      </c>
      <c r="BG195" t="str">
        <f t="shared" si="113"/>
        <v/>
      </c>
      <c r="DB195" s="10">
        <v>1162508</v>
      </c>
      <c r="DD195"/>
      <c r="DE195" s="10">
        <v>1078377</v>
      </c>
      <c r="DF195" t="s">
        <v>1967</v>
      </c>
      <c r="DG195" t="s">
        <v>1968</v>
      </c>
      <c r="DH195" s="10">
        <v>13</v>
      </c>
      <c r="DI195" s="10">
        <v>13</v>
      </c>
      <c r="DJ195" t="s">
        <v>1310</v>
      </c>
      <c r="DK195" t="s">
        <v>1311</v>
      </c>
      <c r="DL195"/>
      <c r="DM195"/>
      <c r="DO195" s="10">
        <v>360</v>
      </c>
      <c r="DR195" s="37" t="str">
        <f t="shared" si="112"/>
        <v>13 CT221 R1</v>
      </c>
      <c r="DS195" s="37">
        <f t="shared" si="111"/>
        <v>0</v>
      </c>
      <c r="DV195" s="10" t="s">
        <v>1752</v>
      </c>
      <c r="DW195" s="10" t="s">
        <v>1589</v>
      </c>
      <c r="DX195" s="10">
        <v>50</v>
      </c>
      <c r="DY195" s="10" t="s">
        <v>1801</v>
      </c>
      <c r="DZ195" s="10" t="s">
        <v>1670</v>
      </c>
      <c r="EA195" s="10">
        <v>1</v>
      </c>
      <c r="EB195" s="10" t="s">
        <v>1513</v>
      </c>
      <c r="EC195" s="10">
        <v>202</v>
      </c>
      <c r="ED195" s="10" t="s">
        <v>1798</v>
      </c>
      <c r="EE195" s="10">
        <f t="shared" si="93"/>
        <v>0</v>
      </c>
      <c r="EF195">
        <f>ROWS($DE$2:DE195)</f>
        <v>194</v>
      </c>
      <c r="EG195" t="str">
        <f t="shared" si="94"/>
        <v/>
      </c>
      <c r="EJ195" t="str">
        <f t="shared" si="95"/>
        <v/>
      </c>
      <c r="EM195" t="str">
        <f t="shared" si="96"/>
        <v/>
      </c>
      <c r="EP195" t="str">
        <f t="shared" si="97"/>
        <v/>
      </c>
      <c r="ES195" t="str">
        <f t="shared" si="98"/>
        <v/>
      </c>
      <c r="EV195" t="str">
        <f t="shared" si="99"/>
        <v/>
      </c>
      <c r="EY195" t="str">
        <f t="shared" si="100"/>
        <v/>
      </c>
      <c r="FB195" t="str">
        <f t="shared" si="101"/>
        <v/>
      </c>
      <c r="FE195" t="str">
        <f t="shared" si="102"/>
        <v/>
      </c>
      <c r="FH195" t="str">
        <f t="shared" si="103"/>
        <v/>
      </c>
      <c r="FK195" t="str">
        <f t="shared" si="104"/>
        <v/>
      </c>
      <c r="FN195" t="str">
        <f t="shared" si="105"/>
        <v/>
      </c>
      <c r="FQ195" t="str">
        <f t="shared" si="106"/>
        <v/>
      </c>
      <c r="FT195" t="str">
        <f t="shared" si="107"/>
        <v/>
      </c>
      <c r="FW195" t="str">
        <f t="shared" si="108"/>
        <v/>
      </c>
      <c r="FZ195" t="str">
        <f t="shared" si="109"/>
        <v/>
      </c>
      <c r="GC195" t="str">
        <f t="shared" si="110"/>
        <v/>
      </c>
      <c r="GE195" s="155"/>
    </row>
    <row r="196" spans="1:188" ht="15" customHeight="1" thickBot="1" x14ac:dyDescent="0.4">
      <c r="B196"/>
      <c r="L196" s="10">
        <v>1107565</v>
      </c>
      <c r="O196" s="242"/>
      <c r="P196" s="243"/>
      <c r="Q196" s="243"/>
      <c r="R196" s="243"/>
      <c r="S196" s="249" t="s">
        <v>1191</v>
      </c>
      <c r="T196" s="250" t="s">
        <v>754</v>
      </c>
      <c r="U196" s="251">
        <v>671133</v>
      </c>
      <c r="V196" s="172" t="s">
        <v>113</v>
      </c>
      <c r="W196" s="122">
        <v>1</v>
      </c>
      <c r="X196" s="122">
        <v>1</v>
      </c>
      <c r="Y196" s="122">
        <v>1</v>
      </c>
      <c r="Z196" s="122">
        <v>1</v>
      </c>
      <c r="AA196" s="122">
        <v>1</v>
      </c>
      <c r="AB196" s="122">
        <v>2</v>
      </c>
      <c r="AC196" s="122">
        <v>2</v>
      </c>
      <c r="AD196" s="122">
        <v>3</v>
      </c>
      <c r="AE196" s="266"/>
      <c r="AF196" s="267"/>
      <c r="AG196" s="267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F196">
        <f>ROWS($U$46:U196)</f>
        <v>151</v>
      </c>
      <c r="BG196" t="str">
        <f t="shared" si="113"/>
        <v/>
      </c>
      <c r="DB196" s="10">
        <v>1162510</v>
      </c>
      <c r="DD196"/>
      <c r="DE196" s="10">
        <v>1165769</v>
      </c>
      <c r="DF196" t="s">
        <v>1974</v>
      </c>
      <c r="DG196" t="s">
        <v>1975</v>
      </c>
      <c r="DH196" s="10">
        <v>13</v>
      </c>
      <c r="DI196" s="10">
        <v>1308</v>
      </c>
      <c r="DJ196" t="s">
        <v>1976</v>
      </c>
      <c r="DK196"/>
      <c r="DL196" t="s">
        <v>239</v>
      </c>
      <c r="DM196"/>
      <c r="DO196" s="10">
        <v>360</v>
      </c>
      <c r="DR196" s="37" t="str">
        <f t="shared" si="112"/>
        <v xml:space="preserve">1308 Perf MT </v>
      </c>
      <c r="DS196" s="37">
        <f t="shared" si="111"/>
        <v>0</v>
      </c>
      <c r="EE196" s="10">
        <f t="shared" si="93"/>
        <v>0</v>
      </c>
      <c r="EF196">
        <f>ROWS($DE$2:DE196)</f>
        <v>195</v>
      </c>
      <c r="EG196" t="str">
        <f t="shared" si="94"/>
        <v/>
      </c>
      <c r="EJ196" t="str">
        <f t="shared" si="95"/>
        <v/>
      </c>
      <c r="EM196" t="str">
        <f t="shared" si="96"/>
        <v/>
      </c>
      <c r="EP196" t="str">
        <f t="shared" si="97"/>
        <v/>
      </c>
      <c r="ES196" t="str">
        <f t="shared" si="98"/>
        <v/>
      </c>
      <c r="EV196" t="str">
        <f t="shared" si="99"/>
        <v/>
      </c>
      <c r="EY196" t="str">
        <f t="shared" si="100"/>
        <v/>
      </c>
      <c r="FB196" t="str">
        <f t="shared" si="101"/>
        <v/>
      </c>
      <c r="FE196" t="str">
        <f t="shared" si="102"/>
        <v/>
      </c>
      <c r="FH196" t="str">
        <f t="shared" si="103"/>
        <v/>
      </c>
      <c r="FK196" t="str">
        <f t="shared" si="104"/>
        <v/>
      </c>
      <c r="FN196" t="str">
        <f t="shared" si="105"/>
        <v/>
      </c>
      <c r="FQ196" t="str">
        <f t="shared" si="106"/>
        <v/>
      </c>
      <c r="FT196" t="str">
        <f t="shared" si="107"/>
        <v/>
      </c>
      <c r="FW196" t="str">
        <f t="shared" si="108"/>
        <v/>
      </c>
      <c r="FZ196" t="str">
        <f t="shared" si="109"/>
        <v/>
      </c>
      <c r="GC196" t="str">
        <f t="shared" si="110"/>
        <v/>
      </c>
      <c r="GE196" s="155"/>
      <c r="GF196" t="s">
        <v>1977</v>
      </c>
    </row>
    <row r="197" spans="1:188" ht="15" customHeight="1" x14ac:dyDescent="0.35">
      <c r="D197" s="670"/>
      <c r="L197" s="10">
        <v>1108037</v>
      </c>
      <c r="O197" s="268">
        <v>1</v>
      </c>
      <c r="P197" s="212">
        <v>703671</v>
      </c>
      <c r="Q197" s="212">
        <v>6</v>
      </c>
      <c r="R197" s="223" t="s">
        <v>756</v>
      </c>
      <c r="S197" s="223">
        <v>12.25</v>
      </c>
      <c r="T197" s="212" t="s">
        <v>755</v>
      </c>
      <c r="U197" s="223">
        <v>1034046</v>
      </c>
      <c r="V197" s="183" t="s">
        <v>87</v>
      </c>
      <c r="W197" s="269">
        <v>1</v>
      </c>
      <c r="X197" s="269">
        <v>1</v>
      </c>
      <c r="Y197" s="269">
        <v>2</v>
      </c>
      <c r="Z197" s="269">
        <v>2</v>
      </c>
      <c r="AA197" s="269">
        <v>2</v>
      </c>
      <c r="AB197" s="269">
        <v>2</v>
      </c>
      <c r="AC197" s="269">
        <v>2</v>
      </c>
      <c r="AD197" s="270">
        <v>2</v>
      </c>
      <c r="AE197" s="269">
        <v>2</v>
      </c>
      <c r="AF197" s="270">
        <v>3</v>
      </c>
      <c r="AG197" s="269">
        <v>5</v>
      </c>
      <c r="AH197" s="271">
        <v>4</v>
      </c>
      <c r="AI197" s="187"/>
      <c r="AJ197" s="217">
        <v>6</v>
      </c>
      <c r="AK197" s="217">
        <v>6</v>
      </c>
      <c r="AL197" s="217">
        <v>6</v>
      </c>
      <c r="AM197" s="188"/>
      <c r="AN197" s="188"/>
      <c r="AO197" s="188"/>
      <c r="AP197" s="188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F197">
        <f>ROWS($U$46:U197)</f>
        <v>152</v>
      </c>
      <c r="BG197" t="str">
        <f t="shared" si="113"/>
        <v/>
      </c>
      <c r="DB197" s="10">
        <v>1163813</v>
      </c>
      <c r="DD197"/>
      <c r="DE197" s="10">
        <v>1039035</v>
      </c>
      <c r="DF197" t="s">
        <v>1978</v>
      </c>
      <c r="DG197" t="s">
        <v>1978</v>
      </c>
      <c r="DH197" s="10">
        <v>13</v>
      </c>
      <c r="DI197" s="10">
        <v>1313</v>
      </c>
      <c r="DJ197" t="s">
        <v>249</v>
      </c>
      <c r="DK197"/>
      <c r="DL197" s="10" t="s">
        <v>239</v>
      </c>
      <c r="DM197"/>
      <c r="DO197" s="10">
        <v>360</v>
      </c>
      <c r="DR197" s="37" t="str">
        <f t="shared" si="112"/>
        <v xml:space="preserve">1313 CT138 </v>
      </c>
      <c r="DS197" s="37">
        <f t="shared" si="111"/>
        <v>0</v>
      </c>
      <c r="DV197" s="10" t="s">
        <v>49</v>
      </c>
      <c r="DW197" s="10" t="s">
        <v>1589</v>
      </c>
      <c r="DX197" s="10">
        <v>30</v>
      </c>
      <c r="DY197" s="10" t="s">
        <v>1677</v>
      </c>
      <c r="DZ197" s="10" t="s">
        <v>1670</v>
      </c>
      <c r="EA197" s="10">
        <v>1</v>
      </c>
      <c r="EB197" s="10" t="s">
        <v>1513</v>
      </c>
      <c r="EC197" s="10">
        <v>480</v>
      </c>
      <c r="ED197" s="10" t="s">
        <v>1740</v>
      </c>
      <c r="EE197" s="10">
        <f t="shared" si="93"/>
        <v>0</v>
      </c>
      <c r="EF197">
        <f>ROWS($DE$2:DE197)</f>
        <v>196</v>
      </c>
      <c r="EG197" t="str">
        <f t="shared" si="94"/>
        <v/>
      </c>
      <c r="EJ197" t="str">
        <f t="shared" si="95"/>
        <v/>
      </c>
      <c r="EM197" t="str">
        <f t="shared" si="96"/>
        <v/>
      </c>
      <c r="EP197" t="str">
        <f t="shared" si="97"/>
        <v/>
      </c>
      <c r="ES197" t="str">
        <f t="shared" si="98"/>
        <v/>
      </c>
      <c r="EV197" t="str">
        <f t="shared" si="99"/>
        <v/>
      </c>
      <c r="EY197" t="str">
        <f t="shared" si="100"/>
        <v/>
      </c>
      <c r="FB197" t="str">
        <f t="shared" si="101"/>
        <v/>
      </c>
      <c r="FE197" t="str">
        <f t="shared" si="102"/>
        <v/>
      </c>
      <c r="FH197" t="str">
        <f t="shared" si="103"/>
        <v/>
      </c>
      <c r="FK197" t="str">
        <f t="shared" si="104"/>
        <v/>
      </c>
      <c r="FN197" t="str">
        <f t="shared" si="105"/>
        <v/>
      </c>
      <c r="FQ197" t="str">
        <f t="shared" si="106"/>
        <v/>
      </c>
      <c r="FT197" t="str">
        <f t="shared" si="107"/>
        <v/>
      </c>
      <c r="FW197" t="str">
        <f t="shared" si="108"/>
        <v/>
      </c>
      <c r="FZ197" t="str">
        <f t="shared" si="109"/>
        <v/>
      </c>
      <c r="GC197" t="str">
        <f t="shared" si="110"/>
        <v/>
      </c>
      <c r="GE197" s="155"/>
    </row>
    <row r="198" spans="1:188" ht="15" customHeight="1" x14ac:dyDescent="0.35">
      <c r="D198" s="670"/>
      <c r="L198" s="10">
        <v>1108207</v>
      </c>
      <c r="O198" s="272">
        <v>2</v>
      </c>
      <c r="P198" s="190">
        <v>932811</v>
      </c>
      <c r="Q198" s="190">
        <v>36</v>
      </c>
      <c r="R198" s="217"/>
      <c r="S198" s="217">
        <v>12.25</v>
      </c>
      <c r="T198" s="217" t="s">
        <v>755</v>
      </c>
      <c r="U198" s="217">
        <v>1034046</v>
      </c>
      <c r="V198" s="171" t="s">
        <v>88</v>
      </c>
      <c r="W198" s="273">
        <v>2</v>
      </c>
      <c r="X198" s="274">
        <v>2</v>
      </c>
      <c r="Y198" s="274">
        <v>2</v>
      </c>
      <c r="Z198" s="274">
        <v>2</v>
      </c>
      <c r="AA198" s="274">
        <v>2</v>
      </c>
      <c r="AB198" s="274">
        <v>3</v>
      </c>
      <c r="AC198" s="274">
        <v>5</v>
      </c>
      <c r="AD198" s="275">
        <v>4</v>
      </c>
      <c r="AE198" s="276"/>
      <c r="AF198" s="275"/>
      <c r="AG198" s="275"/>
      <c r="AH198" s="275"/>
      <c r="AI198" s="188"/>
      <c r="AJ198" s="217">
        <v>6</v>
      </c>
      <c r="AK198" s="188"/>
      <c r="AL198" s="188"/>
      <c r="AM198" s="188"/>
      <c r="AN198" s="188"/>
      <c r="AO198" s="188"/>
      <c r="AP198" s="188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F198">
        <f>ROWS($U$46:U198)</f>
        <v>153</v>
      </c>
      <c r="BG198" t="str">
        <f t="shared" si="113"/>
        <v/>
      </c>
      <c r="DB198" s="10">
        <v>1086351</v>
      </c>
      <c r="DD198"/>
      <c r="DE198" s="10">
        <v>1176641</v>
      </c>
      <c r="DF198" t="s">
        <v>1982</v>
      </c>
      <c r="DG198" t="s">
        <v>1982</v>
      </c>
      <c r="DH198" s="10">
        <v>16</v>
      </c>
      <c r="DI198" s="10">
        <v>1613</v>
      </c>
      <c r="DJ198" t="s">
        <v>1983</v>
      </c>
      <c r="DK198"/>
      <c r="DL198" t="s">
        <v>240</v>
      </c>
      <c r="DM198"/>
      <c r="DO198" s="10">
        <v>497</v>
      </c>
      <c r="DR198" s="37" t="str">
        <f t="shared" si="112"/>
        <v xml:space="preserve">1613 CT155 </v>
      </c>
      <c r="DS198" s="37">
        <f t="shared" si="111"/>
        <v>0</v>
      </c>
      <c r="DV198" s="10" t="s">
        <v>49</v>
      </c>
      <c r="DW198" s="10" t="s">
        <v>1590</v>
      </c>
      <c r="DX198" s="10">
        <v>30</v>
      </c>
      <c r="DY198" s="10" t="s">
        <v>1673</v>
      </c>
      <c r="DZ198" s="10" t="s">
        <v>1668</v>
      </c>
      <c r="EA198" s="10">
        <v>1</v>
      </c>
      <c r="EB198" s="10" t="s">
        <v>1513</v>
      </c>
      <c r="EC198" s="10">
        <v>662</v>
      </c>
      <c r="ED198" s="10" t="s">
        <v>1736</v>
      </c>
      <c r="EE198" s="10">
        <f t="shared" si="93"/>
        <v>0</v>
      </c>
      <c r="EF198">
        <f>ROWS($DE$2:DE198)</f>
        <v>197</v>
      </c>
      <c r="EG198" t="str">
        <f t="shared" si="94"/>
        <v/>
      </c>
      <c r="EJ198" t="str">
        <f t="shared" si="95"/>
        <v/>
      </c>
      <c r="EM198" t="str">
        <f t="shared" si="96"/>
        <v/>
      </c>
      <c r="EP198" t="str">
        <f t="shared" si="97"/>
        <v/>
      </c>
      <c r="ES198" t="str">
        <f t="shared" si="98"/>
        <v/>
      </c>
      <c r="EV198" t="str">
        <f t="shared" si="99"/>
        <v/>
      </c>
      <c r="EY198" t="str">
        <f t="shared" si="100"/>
        <v/>
      </c>
      <c r="FB198" t="str">
        <f t="shared" si="101"/>
        <v/>
      </c>
      <c r="FE198" t="str">
        <f t="shared" si="102"/>
        <v/>
      </c>
      <c r="FH198" t="str">
        <f t="shared" si="103"/>
        <v/>
      </c>
      <c r="FK198" t="str">
        <f t="shared" si="104"/>
        <v/>
      </c>
      <c r="FN198" t="str">
        <f t="shared" si="105"/>
        <v/>
      </c>
      <c r="FQ198" t="str">
        <f t="shared" si="106"/>
        <v/>
      </c>
      <c r="FT198" t="str">
        <f t="shared" si="107"/>
        <v/>
      </c>
      <c r="FW198" t="str">
        <f t="shared" si="108"/>
        <v/>
      </c>
      <c r="FZ198" t="str">
        <f t="shared" si="109"/>
        <v/>
      </c>
      <c r="GC198" t="str">
        <f t="shared" si="110"/>
        <v/>
      </c>
      <c r="GE198" s="155"/>
    </row>
    <row r="199" spans="1:188" ht="15.75" customHeight="1" x14ac:dyDescent="0.35">
      <c r="D199" s="670"/>
      <c r="L199" s="10">
        <v>1109015</v>
      </c>
      <c r="O199" s="272">
        <v>3</v>
      </c>
      <c r="P199" s="190">
        <v>932807</v>
      </c>
      <c r="Q199" s="190">
        <v>6</v>
      </c>
      <c r="R199" s="217"/>
      <c r="S199" s="217">
        <v>12.25</v>
      </c>
      <c r="T199" s="217" t="s">
        <v>755</v>
      </c>
      <c r="U199" s="217">
        <v>1034046</v>
      </c>
      <c r="V199" s="171" t="s">
        <v>89</v>
      </c>
      <c r="W199" s="274">
        <v>1</v>
      </c>
      <c r="X199" s="274">
        <v>1</v>
      </c>
      <c r="Y199" s="274">
        <v>2</v>
      </c>
      <c r="Z199" s="274">
        <v>2</v>
      </c>
      <c r="AA199" s="274">
        <v>2</v>
      </c>
      <c r="AB199" s="274">
        <v>2</v>
      </c>
      <c r="AC199" s="274">
        <v>2</v>
      </c>
      <c r="AD199" s="275">
        <v>2</v>
      </c>
      <c r="AE199" s="274">
        <v>2</v>
      </c>
      <c r="AF199" s="275">
        <v>3</v>
      </c>
      <c r="AG199" s="274">
        <v>5</v>
      </c>
      <c r="AH199" s="277">
        <v>4</v>
      </c>
      <c r="AI199" s="187"/>
      <c r="AJ199" s="217">
        <v>6</v>
      </c>
      <c r="AK199" s="217">
        <v>6</v>
      </c>
      <c r="AL199" s="217">
        <v>6</v>
      </c>
      <c r="AM199" s="188"/>
      <c r="AN199" s="188"/>
      <c r="AO199" s="188"/>
      <c r="AP199" s="188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F199">
        <f>ROWS($U$46:U199)</f>
        <v>154</v>
      </c>
      <c r="BG199" t="str">
        <f t="shared" si="113"/>
        <v/>
      </c>
      <c r="DB199" s="10">
        <v>1133896</v>
      </c>
      <c r="DD199"/>
      <c r="DE199" s="10">
        <v>1104744</v>
      </c>
      <c r="DF199" t="s">
        <v>1984</v>
      </c>
      <c r="DG199" t="s">
        <v>1984</v>
      </c>
      <c r="DH199" s="10">
        <v>16</v>
      </c>
      <c r="DI199" s="10">
        <v>1608</v>
      </c>
      <c r="DJ199" t="s">
        <v>1983</v>
      </c>
      <c r="DK199"/>
      <c r="DL199" t="s">
        <v>1985</v>
      </c>
      <c r="DM199"/>
      <c r="DO199" s="10">
        <v>497</v>
      </c>
      <c r="DR199" s="37" t="str">
        <f t="shared" si="112"/>
        <v xml:space="preserve">1608 CT155 </v>
      </c>
      <c r="DS199" s="37">
        <f t="shared" si="111"/>
        <v>0</v>
      </c>
      <c r="DV199" s="10" t="s">
        <v>49</v>
      </c>
      <c r="DW199" s="10" t="s">
        <v>1590</v>
      </c>
      <c r="DX199" s="10">
        <v>30</v>
      </c>
      <c r="DY199" s="10" t="s">
        <v>1673</v>
      </c>
      <c r="DZ199" s="10" t="s">
        <v>1668</v>
      </c>
      <c r="EA199" s="10">
        <v>1</v>
      </c>
      <c r="EB199" s="10" t="s">
        <v>1513</v>
      </c>
      <c r="EC199" s="10">
        <v>662</v>
      </c>
      <c r="ED199" s="10" t="s">
        <v>1736</v>
      </c>
      <c r="EE199" s="10">
        <f t="shared" si="93"/>
        <v>0</v>
      </c>
      <c r="EF199">
        <f>ROWS($DE$2:DE199)</f>
        <v>198</v>
      </c>
      <c r="EG199" t="str">
        <f t="shared" si="94"/>
        <v/>
      </c>
      <c r="EJ199" t="str">
        <f t="shared" si="95"/>
        <v/>
      </c>
      <c r="EM199" t="str">
        <f t="shared" si="96"/>
        <v/>
      </c>
      <c r="EP199" t="str">
        <f t="shared" si="97"/>
        <v/>
      </c>
      <c r="ES199" t="str">
        <f t="shared" si="98"/>
        <v/>
      </c>
      <c r="EV199" t="str">
        <f t="shared" si="99"/>
        <v/>
      </c>
      <c r="EY199" t="str">
        <f t="shared" si="100"/>
        <v/>
      </c>
      <c r="FB199" t="str">
        <f t="shared" si="101"/>
        <v/>
      </c>
      <c r="FE199" t="str">
        <f t="shared" si="102"/>
        <v/>
      </c>
      <c r="FH199" t="str">
        <f t="shared" si="103"/>
        <v/>
      </c>
      <c r="FK199" t="str">
        <f t="shared" si="104"/>
        <v/>
      </c>
      <c r="FN199" t="str">
        <f t="shared" si="105"/>
        <v/>
      </c>
      <c r="FQ199" t="str">
        <f t="shared" si="106"/>
        <v/>
      </c>
      <c r="FT199" t="str">
        <f t="shared" si="107"/>
        <v/>
      </c>
      <c r="FW199" t="str">
        <f t="shared" si="108"/>
        <v/>
      </c>
      <c r="FZ199" t="str">
        <f t="shared" si="109"/>
        <v/>
      </c>
      <c r="GC199" t="str">
        <f t="shared" si="110"/>
        <v/>
      </c>
      <c r="GE199" s="155"/>
    </row>
    <row r="200" spans="1:188" ht="15" customHeight="1" x14ac:dyDescent="0.35">
      <c r="L200" s="10">
        <v>1109628</v>
      </c>
      <c r="O200" s="272">
        <v>4</v>
      </c>
      <c r="P200" s="190">
        <v>703670</v>
      </c>
      <c r="Q200" s="190">
        <v>6</v>
      </c>
      <c r="R200" s="217"/>
      <c r="S200" s="217">
        <v>12.25</v>
      </c>
      <c r="T200" s="217" t="s">
        <v>755</v>
      </c>
      <c r="U200" s="217">
        <v>1034046</v>
      </c>
      <c r="V200" s="171" t="s">
        <v>90</v>
      </c>
      <c r="W200" s="274">
        <v>2</v>
      </c>
      <c r="X200" s="274">
        <v>2</v>
      </c>
      <c r="Y200" s="274">
        <v>2</v>
      </c>
      <c r="Z200" s="274">
        <v>2</v>
      </c>
      <c r="AA200" s="274">
        <v>2</v>
      </c>
      <c r="AB200" s="274">
        <v>3</v>
      </c>
      <c r="AC200" s="274">
        <v>5</v>
      </c>
      <c r="AD200" s="275">
        <v>4</v>
      </c>
      <c r="AE200" s="276"/>
      <c r="AF200" s="275"/>
      <c r="AG200" s="275"/>
      <c r="AH200" s="275"/>
      <c r="AI200" s="188"/>
      <c r="AJ200" s="217">
        <v>6</v>
      </c>
      <c r="AK200" s="188"/>
      <c r="AL200" s="188"/>
      <c r="AM200" s="188"/>
      <c r="AN200" s="188"/>
      <c r="AO200" s="188"/>
      <c r="AP200" s="188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F200">
        <f>ROWS($U$46:U200)</f>
        <v>155</v>
      </c>
      <c r="BG200" t="str">
        <f t="shared" si="113"/>
        <v/>
      </c>
      <c r="DB200" s="10">
        <v>1165796</v>
      </c>
      <c r="DD200"/>
      <c r="DE200" s="10">
        <v>1144820</v>
      </c>
      <c r="DF200" t="s">
        <v>1986</v>
      </c>
      <c r="DG200" t="s">
        <v>1986</v>
      </c>
      <c r="DH200" s="10">
        <v>16</v>
      </c>
      <c r="DI200" s="10">
        <v>1608</v>
      </c>
      <c r="DJ200" t="s">
        <v>1223</v>
      </c>
      <c r="DK200"/>
      <c r="DL200" t="s">
        <v>240</v>
      </c>
      <c r="DM200"/>
      <c r="DO200" s="10">
        <v>497</v>
      </c>
      <c r="DR200" s="37" t="str">
        <f t="shared" si="112"/>
        <v xml:space="preserve">1608 CR42 </v>
      </c>
      <c r="DS200" s="37">
        <f t="shared" si="111"/>
        <v>0</v>
      </c>
      <c r="DV200" s="10" t="s">
        <v>49</v>
      </c>
      <c r="DW200" s="10" t="s">
        <v>1590</v>
      </c>
      <c r="DX200" s="10">
        <v>30</v>
      </c>
      <c r="DY200" s="10" t="s">
        <v>1673</v>
      </c>
      <c r="DZ200" s="10" t="s">
        <v>1668</v>
      </c>
      <c r="EA200" s="10">
        <v>1</v>
      </c>
      <c r="EB200" s="10" t="s">
        <v>1513</v>
      </c>
      <c r="EC200" s="10">
        <v>662</v>
      </c>
      <c r="ED200" s="10" t="s">
        <v>1736</v>
      </c>
      <c r="EE200" s="10">
        <f t="shared" si="93"/>
        <v>0</v>
      </c>
      <c r="EF200">
        <f>ROWS($DE$2:DE200)</f>
        <v>199</v>
      </c>
      <c r="EG200" t="str">
        <f t="shared" si="94"/>
        <v/>
      </c>
      <c r="EJ200" t="str">
        <f t="shared" si="95"/>
        <v/>
      </c>
      <c r="EM200" t="str">
        <f t="shared" si="96"/>
        <v/>
      </c>
      <c r="EP200" t="str">
        <f t="shared" si="97"/>
        <v/>
      </c>
      <c r="ES200" t="str">
        <f t="shared" si="98"/>
        <v/>
      </c>
      <c r="EV200" t="str">
        <f t="shared" si="99"/>
        <v/>
      </c>
      <c r="EY200" t="str">
        <f t="shared" si="100"/>
        <v/>
      </c>
      <c r="FB200" t="str">
        <f t="shared" si="101"/>
        <v/>
      </c>
      <c r="FE200" t="str">
        <f t="shared" si="102"/>
        <v/>
      </c>
      <c r="FH200" t="str">
        <f t="shared" si="103"/>
        <v/>
      </c>
      <c r="FK200" t="str">
        <f t="shared" si="104"/>
        <v/>
      </c>
      <c r="FN200" t="str">
        <f t="shared" si="105"/>
        <v/>
      </c>
      <c r="FQ200" t="str">
        <f t="shared" si="106"/>
        <v/>
      </c>
      <c r="FT200" t="str">
        <f t="shared" si="107"/>
        <v/>
      </c>
      <c r="FW200" t="str">
        <f t="shared" si="108"/>
        <v/>
      </c>
      <c r="FZ200" t="str">
        <f t="shared" si="109"/>
        <v/>
      </c>
      <c r="GC200" t="str">
        <f t="shared" si="110"/>
        <v/>
      </c>
      <c r="GE200" s="155"/>
    </row>
    <row r="201" spans="1:188" ht="15" customHeight="1" x14ac:dyDescent="0.35">
      <c r="L201" s="10">
        <v>1109629</v>
      </c>
      <c r="O201" s="272">
        <v>5</v>
      </c>
      <c r="P201" s="190">
        <v>418525</v>
      </c>
      <c r="Q201" s="190">
        <v>6</v>
      </c>
      <c r="R201" s="217"/>
      <c r="S201" s="217">
        <v>12.25</v>
      </c>
      <c r="T201" s="217" t="s">
        <v>755</v>
      </c>
      <c r="U201" s="217">
        <v>1034046</v>
      </c>
      <c r="V201" s="171" t="s">
        <v>91</v>
      </c>
      <c r="W201" s="269">
        <v>1</v>
      </c>
      <c r="X201" s="269">
        <v>1</v>
      </c>
      <c r="Y201" s="269">
        <v>2</v>
      </c>
      <c r="Z201" s="269">
        <v>2</v>
      </c>
      <c r="AA201" s="269">
        <v>2</v>
      </c>
      <c r="AB201" s="269">
        <v>2</v>
      </c>
      <c r="AC201" s="269">
        <v>2</v>
      </c>
      <c r="AD201" s="270">
        <v>2</v>
      </c>
      <c r="AE201" s="269">
        <v>2</v>
      </c>
      <c r="AF201" s="270">
        <v>3</v>
      </c>
      <c r="AG201" s="269">
        <v>5</v>
      </c>
      <c r="AH201" s="278">
        <v>4</v>
      </c>
      <c r="AI201" s="187"/>
      <c r="AJ201" s="217">
        <v>6</v>
      </c>
      <c r="AK201" s="217">
        <v>6</v>
      </c>
      <c r="AL201" s="217">
        <v>6</v>
      </c>
      <c r="AM201" s="188"/>
      <c r="AN201" s="188"/>
      <c r="AO201" s="188"/>
      <c r="AP201" s="188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F201">
        <f>ROWS($U$46:U201)</f>
        <v>156</v>
      </c>
      <c r="BG201" t="str">
        <f t="shared" si="113"/>
        <v/>
      </c>
      <c r="DB201" s="10">
        <v>1165884</v>
      </c>
      <c r="DD201"/>
      <c r="DE201" s="10">
        <v>1100759</v>
      </c>
      <c r="DF201" t="s">
        <v>1987</v>
      </c>
      <c r="DG201" t="s">
        <v>1987</v>
      </c>
      <c r="DH201" s="10">
        <v>19</v>
      </c>
      <c r="DI201" s="10">
        <v>1913</v>
      </c>
      <c r="DJ201" t="s">
        <v>1488</v>
      </c>
      <c r="DK201"/>
      <c r="DL201" t="s">
        <v>240</v>
      </c>
      <c r="DM201"/>
      <c r="DO201" s="10">
        <v>660</v>
      </c>
      <c r="DR201" s="37" t="str">
        <f t="shared" si="112"/>
        <v xml:space="preserve">1913 CT421 </v>
      </c>
      <c r="DS201" s="37">
        <f t="shared" si="111"/>
        <v>0</v>
      </c>
      <c r="DV201" s="10" t="s">
        <v>49</v>
      </c>
      <c r="DW201" t="s">
        <v>1591</v>
      </c>
      <c r="DX201">
        <v>30</v>
      </c>
      <c r="DY201" t="s">
        <v>1674</v>
      </c>
      <c r="DZ201" t="s">
        <v>1669</v>
      </c>
      <c r="EA201">
        <v>1</v>
      </c>
      <c r="EB201" t="s">
        <v>1513</v>
      </c>
      <c r="EC201" s="10">
        <v>836</v>
      </c>
      <c r="ED201" s="10" t="s">
        <v>1737</v>
      </c>
      <c r="EE201" s="10">
        <f t="shared" si="93"/>
        <v>0</v>
      </c>
      <c r="EF201">
        <f>ROWS($DE$2:DE201)</f>
        <v>200</v>
      </c>
      <c r="EG201" t="str">
        <f t="shared" si="94"/>
        <v/>
      </c>
      <c r="EJ201" t="str">
        <f t="shared" si="95"/>
        <v/>
      </c>
      <c r="EM201" t="str">
        <f t="shared" si="96"/>
        <v/>
      </c>
      <c r="EP201" t="str">
        <f t="shared" si="97"/>
        <v/>
      </c>
      <c r="ES201" t="str">
        <f t="shared" si="98"/>
        <v/>
      </c>
      <c r="EV201" t="str">
        <f t="shared" si="99"/>
        <v/>
      </c>
      <c r="EY201" t="str">
        <f t="shared" si="100"/>
        <v/>
      </c>
      <c r="FB201" t="str">
        <f t="shared" si="101"/>
        <v/>
      </c>
      <c r="FE201" t="str">
        <f t="shared" si="102"/>
        <v/>
      </c>
      <c r="FH201" t="str">
        <f t="shared" si="103"/>
        <v/>
      </c>
      <c r="FK201" t="str">
        <f t="shared" si="104"/>
        <v/>
      </c>
      <c r="FN201" t="str">
        <f t="shared" si="105"/>
        <v/>
      </c>
      <c r="FQ201" t="str">
        <f t="shared" si="106"/>
        <v/>
      </c>
      <c r="FT201" t="str">
        <f t="shared" si="107"/>
        <v/>
      </c>
      <c r="FW201" t="str">
        <f t="shared" si="108"/>
        <v/>
      </c>
      <c r="FZ201" t="str">
        <f t="shared" si="109"/>
        <v/>
      </c>
      <c r="GC201" t="str">
        <f t="shared" si="110"/>
        <v/>
      </c>
      <c r="GE201" s="155"/>
    </row>
    <row r="202" spans="1:188" ht="15" customHeight="1" thickBot="1" x14ac:dyDescent="0.4">
      <c r="L202" s="10">
        <v>1111265</v>
      </c>
      <c r="O202" s="279">
        <v>6</v>
      </c>
      <c r="P202" s="194">
        <v>410851</v>
      </c>
      <c r="Q202" s="194">
        <v>12</v>
      </c>
      <c r="R202" s="280"/>
      <c r="S202" s="280">
        <v>12.25</v>
      </c>
      <c r="T202" s="280" t="s">
        <v>755</v>
      </c>
      <c r="U202" s="280">
        <v>1034046</v>
      </c>
      <c r="V202" s="195" t="s">
        <v>92</v>
      </c>
      <c r="W202" s="281">
        <v>2</v>
      </c>
      <c r="X202" s="282">
        <v>2</v>
      </c>
      <c r="Y202" s="282">
        <v>2</v>
      </c>
      <c r="Z202" s="282">
        <v>2</v>
      </c>
      <c r="AA202" s="282">
        <v>2</v>
      </c>
      <c r="AB202" s="282">
        <v>3</v>
      </c>
      <c r="AC202" s="278">
        <v>5</v>
      </c>
      <c r="AD202" s="281">
        <v>4</v>
      </c>
      <c r="AE202" s="283"/>
      <c r="AF202" s="284"/>
      <c r="AG202" s="284"/>
      <c r="AH202" s="284"/>
      <c r="AI202" s="188"/>
      <c r="AJ202" s="217">
        <v>6</v>
      </c>
      <c r="AK202" s="188"/>
      <c r="AL202" s="188"/>
      <c r="AM202" s="188"/>
      <c r="AN202" s="188"/>
      <c r="AO202" s="188"/>
      <c r="AP202" s="188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F202">
        <f>ROWS($U$46:U202)</f>
        <v>157</v>
      </c>
      <c r="BG202" t="str">
        <f t="shared" si="113"/>
        <v/>
      </c>
      <c r="DB202" s="10">
        <v>1165882</v>
      </c>
      <c r="DE202" s="10">
        <v>1162508</v>
      </c>
      <c r="DF202" t="s">
        <v>1988</v>
      </c>
      <c r="DG202" t="s">
        <v>1988</v>
      </c>
      <c r="DH202" s="10">
        <v>13</v>
      </c>
      <c r="DI202" s="10">
        <v>1308</v>
      </c>
      <c r="DJ202" t="s">
        <v>1990</v>
      </c>
      <c r="DK202"/>
      <c r="DL202" t="s">
        <v>240</v>
      </c>
      <c r="DM202"/>
      <c r="DO202" s="10">
        <v>360</v>
      </c>
      <c r="DR202" s="37" t="str">
        <f t="shared" si="112"/>
        <v xml:space="preserve">1308 CT154 </v>
      </c>
      <c r="DS202" s="37">
        <f t="shared" si="111"/>
        <v>0</v>
      </c>
      <c r="DV202" s="10" t="s">
        <v>49</v>
      </c>
      <c r="DW202" s="10" t="s">
        <v>1589</v>
      </c>
      <c r="DX202" s="10">
        <v>30</v>
      </c>
      <c r="DY202" s="10" t="s">
        <v>1677</v>
      </c>
      <c r="DZ202" s="10" t="s">
        <v>1670</v>
      </c>
      <c r="EA202" s="10">
        <v>1</v>
      </c>
      <c r="EB202" s="10" t="s">
        <v>1513</v>
      </c>
      <c r="EC202" s="10">
        <v>480</v>
      </c>
      <c r="ED202" s="10" t="s">
        <v>1740</v>
      </c>
      <c r="EE202" s="10">
        <f t="shared" si="93"/>
        <v>0</v>
      </c>
      <c r="EF202">
        <f>ROWS($DE$2:DE202)</f>
        <v>201</v>
      </c>
      <c r="EG202" t="str">
        <f t="shared" si="94"/>
        <v/>
      </c>
      <c r="EJ202" t="str">
        <f t="shared" si="95"/>
        <v/>
      </c>
      <c r="EM202" t="str">
        <f t="shared" si="96"/>
        <v/>
      </c>
      <c r="EP202" t="str">
        <f t="shared" si="97"/>
        <v/>
      </c>
      <c r="ES202" t="str">
        <f t="shared" si="98"/>
        <v/>
      </c>
      <c r="EV202" t="str">
        <f t="shared" si="99"/>
        <v/>
      </c>
      <c r="EY202" t="str">
        <f t="shared" si="100"/>
        <v/>
      </c>
      <c r="FB202" t="str">
        <f t="shared" si="101"/>
        <v/>
      </c>
      <c r="FE202" t="str">
        <f t="shared" si="102"/>
        <v/>
      </c>
      <c r="FH202" t="str">
        <f t="shared" si="103"/>
        <v/>
      </c>
      <c r="FK202" t="str">
        <f t="shared" si="104"/>
        <v/>
      </c>
      <c r="FN202" t="str">
        <f t="shared" si="105"/>
        <v/>
      </c>
      <c r="FQ202" t="str">
        <f t="shared" si="106"/>
        <v/>
      </c>
      <c r="FT202" t="str">
        <f t="shared" si="107"/>
        <v/>
      </c>
      <c r="FW202" t="str">
        <f t="shared" si="108"/>
        <v/>
      </c>
      <c r="FZ202" t="str">
        <f t="shared" si="109"/>
        <v/>
      </c>
      <c r="GC202" t="str">
        <f t="shared" si="110"/>
        <v/>
      </c>
      <c r="GE202" s="155"/>
    </row>
    <row r="203" spans="1:188" ht="15" customHeight="1" x14ac:dyDescent="0.35">
      <c r="L203" s="10">
        <v>1112857</v>
      </c>
      <c r="O203" s="285">
        <v>1</v>
      </c>
      <c r="P203" s="182">
        <v>418525</v>
      </c>
      <c r="Q203" s="182">
        <v>10</v>
      </c>
      <c r="R203" s="219"/>
      <c r="S203" s="219">
        <v>8.5</v>
      </c>
      <c r="T203" s="219" t="s">
        <v>757</v>
      </c>
      <c r="U203" s="219">
        <v>888856</v>
      </c>
      <c r="V203" s="183" t="s">
        <v>87</v>
      </c>
      <c r="W203" s="286">
        <v>3</v>
      </c>
      <c r="X203" s="271">
        <v>3</v>
      </c>
      <c r="Y203" s="271">
        <v>2</v>
      </c>
      <c r="Z203" s="271">
        <v>5</v>
      </c>
      <c r="AA203" s="271">
        <v>5</v>
      </c>
      <c r="AB203" s="271">
        <v>7</v>
      </c>
      <c r="AC203" s="271">
        <v>1</v>
      </c>
      <c r="AD203" s="271">
        <v>1</v>
      </c>
      <c r="AE203" s="287"/>
      <c r="AF203" s="217">
        <v>8</v>
      </c>
      <c r="AG203" s="217">
        <v>8</v>
      </c>
      <c r="AH203" s="188"/>
      <c r="AI203" s="188"/>
      <c r="AJ203" s="188"/>
      <c r="AK203" s="188"/>
      <c r="AL203" s="188"/>
      <c r="AM203" s="188"/>
      <c r="AN203" s="188"/>
      <c r="AO203" s="188"/>
      <c r="AP203" s="188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F203">
        <f>ROWS($U$46:U203)</f>
        <v>158</v>
      </c>
      <c r="BG203" t="str">
        <f t="shared" si="113"/>
        <v/>
      </c>
      <c r="DB203" s="10">
        <v>1165842</v>
      </c>
      <c r="DE203" s="10">
        <v>1162510</v>
      </c>
      <c r="DF203" t="s">
        <v>1989</v>
      </c>
      <c r="DG203" t="s">
        <v>1989</v>
      </c>
      <c r="DH203" s="10">
        <v>16</v>
      </c>
      <c r="DI203" s="10">
        <v>1608</v>
      </c>
      <c r="DJ203" t="s">
        <v>1990</v>
      </c>
      <c r="DK203"/>
      <c r="DL203" t="s">
        <v>240</v>
      </c>
      <c r="DM203"/>
      <c r="DO203" s="10">
        <v>497</v>
      </c>
      <c r="DR203" s="37" t="str">
        <f t="shared" si="112"/>
        <v xml:space="preserve">1608 CT154 </v>
      </c>
      <c r="DS203" s="37">
        <f t="shared" si="111"/>
        <v>0</v>
      </c>
      <c r="DV203" s="10" t="s">
        <v>49</v>
      </c>
      <c r="DW203" s="10" t="s">
        <v>1590</v>
      </c>
      <c r="DX203" s="10">
        <v>30</v>
      </c>
      <c r="DY203" s="10" t="s">
        <v>1673</v>
      </c>
      <c r="DZ203" s="10" t="s">
        <v>1668</v>
      </c>
      <c r="EA203" s="10">
        <v>1</v>
      </c>
      <c r="EB203" s="10" t="s">
        <v>1513</v>
      </c>
      <c r="EC203" s="10">
        <v>662</v>
      </c>
      <c r="ED203" s="10" t="s">
        <v>1736</v>
      </c>
      <c r="EE203" s="10">
        <f t="shared" ref="EE203:EE228" si="114">SUMIF($G$12:$G$21,$DE203,$E$12:$E$21)</f>
        <v>0</v>
      </c>
      <c r="EF203">
        <f>ROWS($DE$2:DE203)</f>
        <v>202</v>
      </c>
      <c r="EG203" t="str">
        <f t="shared" si="94"/>
        <v/>
      </c>
      <c r="EJ203" t="str">
        <f t="shared" si="95"/>
        <v/>
      </c>
      <c r="EM203" t="str">
        <f t="shared" si="96"/>
        <v/>
      </c>
      <c r="EP203" t="str">
        <f t="shared" si="97"/>
        <v/>
      </c>
      <c r="ES203" t="str">
        <f t="shared" si="98"/>
        <v/>
      </c>
      <c r="EV203" t="str">
        <f t="shared" si="99"/>
        <v/>
      </c>
      <c r="EY203" t="str">
        <f t="shared" si="100"/>
        <v/>
      </c>
      <c r="FB203" t="str">
        <f t="shared" si="101"/>
        <v/>
      </c>
      <c r="FE203" t="str">
        <f t="shared" si="102"/>
        <v/>
      </c>
      <c r="FH203" t="str">
        <f t="shared" si="103"/>
        <v/>
      </c>
      <c r="FK203" t="str">
        <f t="shared" si="104"/>
        <v/>
      </c>
      <c r="FN203" t="str">
        <f t="shared" si="105"/>
        <v/>
      </c>
      <c r="FQ203" t="str">
        <f t="shared" si="106"/>
        <v/>
      </c>
      <c r="FT203" t="str">
        <f t="shared" si="107"/>
        <v/>
      </c>
      <c r="FW203" t="str">
        <f t="shared" si="108"/>
        <v/>
      </c>
      <c r="FZ203" t="str">
        <f t="shared" si="109"/>
        <v/>
      </c>
      <c r="GC203" t="str">
        <f t="shared" si="110"/>
        <v/>
      </c>
      <c r="GE203" s="155"/>
    </row>
    <row r="204" spans="1:188" ht="15" customHeight="1" x14ac:dyDescent="0.35">
      <c r="D204" s="670"/>
      <c r="L204" s="10">
        <v>1115680</v>
      </c>
      <c r="O204" s="272">
        <v>2</v>
      </c>
      <c r="P204" s="190">
        <v>755957</v>
      </c>
      <c r="Q204" s="190">
        <v>1</v>
      </c>
      <c r="R204" s="217"/>
      <c r="S204" s="217">
        <v>8.5</v>
      </c>
      <c r="T204" s="217" t="s">
        <v>757</v>
      </c>
      <c r="U204" s="217">
        <v>888856</v>
      </c>
      <c r="V204" s="171" t="s">
        <v>88</v>
      </c>
      <c r="W204" s="281">
        <v>5</v>
      </c>
      <c r="X204" s="269">
        <v>5</v>
      </c>
      <c r="Y204" s="269">
        <v>6</v>
      </c>
      <c r="Z204" s="269">
        <v>7</v>
      </c>
      <c r="AA204" s="269">
        <v>1</v>
      </c>
      <c r="AB204" s="269">
        <v>1</v>
      </c>
      <c r="AC204" s="276"/>
      <c r="AD204" s="284"/>
      <c r="AE204" s="288"/>
      <c r="AF204" s="217">
        <v>8</v>
      </c>
      <c r="AG204" s="217">
        <v>8</v>
      </c>
      <c r="AH204" s="188"/>
      <c r="AI204" s="188"/>
      <c r="AJ204" s="188"/>
      <c r="AK204" s="188"/>
      <c r="AL204" s="188"/>
      <c r="AM204" s="188"/>
      <c r="AN204" s="188"/>
      <c r="AO204" s="188"/>
      <c r="AP204" s="188"/>
      <c r="AQ204" s="188"/>
      <c r="AR204" s="188"/>
      <c r="AS204" s="188"/>
      <c r="AT204" s="188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F204">
        <f>ROWS($U$46:U204)</f>
        <v>159</v>
      </c>
      <c r="BG204" t="str">
        <f t="shared" si="113"/>
        <v/>
      </c>
      <c r="DB204" s="10">
        <v>1165770</v>
      </c>
      <c r="DE204" s="10">
        <v>1163813</v>
      </c>
      <c r="DF204" t="s">
        <v>1999</v>
      </c>
      <c r="DG204" t="s">
        <v>1999</v>
      </c>
      <c r="DH204" s="10">
        <v>16</v>
      </c>
      <c r="DI204">
        <v>1613</v>
      </c>
      <c r="DJ204" t="s">
        <v>1994</v>
      </c>
      <c r="DK204"/>
      <c r="DL204" t="s">
        <v>1985</v>
      </c>
      <c r="DM204"/>
      <c r="DO204" s="10">
        <v>497</v>
      </c>
      <c r="DR204" s="37" t="str">
        <f t="shared" si="112"/>
        <v xml:space="preserve">1613 CT156 </v>
      </c>
      <c r="DS204" s="37">
        <f t="shared" si="111"/>
        <v>0</v>
      </c>
      <c r="DV204" s="555"/>
      <c r="DW204" s="555"/>
      <c r="DX204" s="555"/>
      <c r="DY204" s="555"/>
      <c r="DZ204" s="555"/>
      <c r="EA204" s="555"/>
      <c r="EB204" s="555"/>
      <c r="EC204" s="555"/>
      <c r="ED204" s="555"/>
      <c r="EE204" s="10">
        <f t="shared" si="114"/>
        <v>0</v>
      </c>
      <c r="EF204">
        <f>ROWS($DE$2:DE204)</f>
        <v>203</v>
      </c>
      <c r="EG204" t="str">
        <f t="shared" ref="EG204:EG267" si="115">IF($CY$60&lt;&gt;0,IF($CY$60=DE204,EF204,""),"")</f>
        <v/>
      </c>
      <c r="EJ204" t="str">
        <f t="shared" ref="EJ204:EJ267" si="116">IF($CY$61&lt;&gt;0,IF($CY$61=DE204,EF204,""),"")</f>
        <v/>
      </c>
      <c r="EM204" t="str">
        <f t="shared" ref="EM204:EM267" si="117">IF($CY$62&lt;&gt;0,IF($CY$62=DE204,EF204,""),"")</f>
        <v/>
      </c>
      <c r="EP204" t="str">
        <f t="shared" ref="EP204:EP267" si="118">IF($CY$63&lt;&gt;0,IF($CY$63=DE204,EF204,""),"")</f>
        <v/>
      </c>
      <c r="ES204" t="str">
        <f t="shared" ref="ES204:ES267" si="119">IF($CY$64&lt;&gt;0,IF($CY$64=DE204,EF204,""),"")</f>
        <v/>
      </c>
      <c r="EV204" t="str">
        <f t="shared" ref="EV204:EV267" si="120">IF($CY$65&lt;&gt;0,IF($CY$65=DE204,EF204,""),"")</f>
        <v/>
      </c>
      <c r="EY204" t="str">
        <f t="shared" ref="EY204:EY267" si="121">IF($CY$66&lt;&gt;0,IF($CY$66=DE204,EF204,""),"")</f>
        <v/>
      </c>
      <c r="FB204" t="str">
        <f t="shared" ref="FB204:FB267" si="122">IF($CY$67&lt;&gt;0,IF($CY$67=DE204,EF204,""),"")</f>
        <v/>
      </c>
      <c r="FE204" t="str">
        <f t="shared" ref="FE204:FE267" si="123">IF($CY$68&lt;&gt;0,IF($CY$68=DE204,EF204,""),"")</f>
        <v/>
      </c>
      <c r="FH204" t="str">
        <f t="shared" ref="FH204:FH267" si="124">IF($CY$69&lt;&gt;0,IF($CY$69=DE204,EF204,""),"")</f>
        <v/>
      </c>
      <c r="FK204" t="str">
        <f t="shared" ref="FK204:FK267" si="125">IF($CY$70&lt;&gt;0, IF($CY$70=DE204, EF204, ""), "")</f>
        <v/>
      </c>
      <c r="FN204" t="str">
        <f t="shared" ref="FN204:FN267" si="126">IF($CY$71&lt;&gt;0, IF($CY$71=DE204, EF204, ""), "")</f>
        <v/>
      </c>
      <c r="FQ204" t="str">
        <f t="shared" ref="FQ204:FQ267" si="127">IF($CY$72&lt;&gt;0, IF($CY$72=DE204, EF204, ""), "")</f>
        <v/>
      </c>
      <c r="FT204" t="str">
        <f t="shared" ref="FT204:FT267" si="128">IF($CY$73&lt;&gt;0, IF($CY$73=DE204, EF204, ""), "")</f>
        <v/>
      </c>
      <c r="FW204" t="str">
        <f t="shared" ref="FW204:FW267" si="129">IF($CY$74&lt;&gt;0, IF($CY$74=DE204, EF204, ""), "")</f>
        <v/>
      </c>
      <c r="FZ204" t="str">
        <f t="shared" ref="FZ204:FZ267" si="130">IF($CY$75&lt;&gt;0, IF($CY$75=DE204, EF204, ""), "")</f>
        <v/>
      </c>
      <c r="GC204" t="str">
        <f t="shared" ref="GC204:GC267" si="131">IF($CY$76&lt;&gt;0, IF($CY$76=DE204, EF204, ""), "")</f>
        <v/>
      </c>
      <c r="GE204" s="155"/>
    </row>
    <row r="205" spans="1:188" ht="15" customHeight="1" x14ac:dyDescent="0.35">
      <c r="D205" s="670"/>
      <c r="L205" s="10">
        <v>1121983</v>
      </c>
      <c r="O205" s="272">
        <v>3</v>
      </c>
      <c r="P205" s="190">
        <v>763844</v>
      </c>
      <c r="Q205" s="190">
        <v>4</v>
      </c>
      <c r="R205" s="217"/>
      <c r="S205" s="217">
        <v>8.5</v>
      </c>
      <c r="T205" s="217" t="s">
        <v>757</v>
      </c>
      <c r="U205" s="217">
        <v>888856</v>
      </c>
      <c r="V205" s="171" t="s">
        <v>89</v>
      </c>
      <c r="W205" s="281">
        <v>4</v>
      </c>
      <c r="X205" s="269">
        <v>5</v>
      </c>
      <c r="Y205" s="269">
        <v>5</v>
      </c>
      <c r="Z205" s="269">
        <v>5</v>
      </c>
      <c r="AA205" s="269">
        <v>7</v>
      </c>
      <c r="AB205" s="269">
        <v>1</v>
      </c>
      <c r="AC205" s="269">
        <v>1</v>
      </c>
      <c r="AD205" s="289"/>
      <c r="AE205" s="288"/>
      <c r="AF205" s="217">
        <v>8</v>
      </c>
      <c r="AG205" s="217">
        <v>8</v>
      </c>
      <c r="AH205" s="188"/>
      <c r="AI205" s="188"/>
      <c r="AJ205" s="188"/>
      <c r="AK205" s="188"/>
      <c r="AL205" s="188"/>
      <c r="AM205" s="188"/>
      <c r="AN205" s="188"/>
      <c r="AO205" s="188"/>
      <c r="AP205" s="188"/>
      <c r="AQ205" s="188"/>
      <c r="AR205" s="188"/>
      <c r="AS205" s="188"/>
      <c r="AT205" s="188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F205">
        <f>ROWS($U$46:U205)</f>
        <v>160</v>
      </c>
      <c r="BG205" t="str">
        <f t="shared" si="113"/>
        <v/>
      </c>
      <c r="DB205" s="10">
        <v>1209332</v>
      </c>
      <c r="DE205" s="10">
        <v>1086351</v>
      </c>
      <c r="DF205" t="s">
        <v>2000</v>
      </c>
      <c r="DG205" t="s">
        <v>2000</v>
      </c>
      <c r="DH205" s="10">
        <v>13</v>
      </c>
      <c r="DI205" t="s">
        <v>1996</v>
      </c>
      <c r="DJ205" t="s">
        <v>1995</v>
      </c>
      <c r="DK205"/>
      <c r="DL205"/>
      <c r="DM205"/>
      <c r="DO205" s="10">
        <v>360</v>
      </c>
      <c r="DR205" s="37" t="str">
        <f t="shared" si="112"/>
        <v xml:space="preserve">13MMS CT220 </v>
      </c>
      <c r="DS205" s="37">
        <f t="shared" si="111"/>
        <v>64.535466666666665</v>
      </c>
      <c r="DT205" s="10">
        <v>49.642666666666663</v>
      </c>
      <c r="DV205" s="10" t="s">
        <v>1753</v>
      </c>
      <c r="DW205" s="10" t="s">
        <v>1589</v>
      </c>
      <c r="DX205" s="10">
        <v>60</v>
      </c>
      <c r="DY205" s="10" t="s">
        <v>1807</v>
      </c>
      <c r="DZ205" s="10" t="s">
        <v>1670</v>
      </c>
      <c r="EA205" s="10">
        <v>1</v>
      </c>
      <c r="EB205" s="10" t="s">
        <v>1513</v>
      </c>
      <c r="EC205" s="10">
        <v>135</v>
      </c>
      <c r="ED205" s="10" t="s">
        <v>1808</v>
      </c>
      <c r="EE205" s="10">
        <f t="shared" si="114"/>
        <v>0</v>
      </c>
      <c r="EF205">
        <f>ROWS($DE$2:DE205)</f>
        <v>204</v>
      </c>
      <c r="EG205" t="str">
        <f t="shared" si="115"/>
        <v/>
      </c>
      <c r="EJ205" t="str">
        <f t="shared" si="116"/>
        <v/>
      </c>
      <c r="EM205" t="str">
        <f t="shared" si="117"/>
        <v/>
      </c>
      <c r="EP205" t="str">
        <f t="shared" si="118"/>
        <v/>
      </c>
      <c r="ES205" t="str">
        <f t="shared" si="119"/>
        <v/>
      </c>
      <c r="EV205" t="str">
        <f t="shared" si="120"/>
        <v/>
      </c>
      <c r="EY205" t="str">
        <f t="shared" si="121"/>
        <v/>
      </c>
      <c r="FB205" t="str">
        <f t="shared" si="122"/>
        <v/>
      </c>
      <c r="FE205" t="str">
        <f t="shared" si="123"/>
        <v/>
      </c>
      <c r="FH205" t="str">
        <f t="shared" si="124"/>
        <v/>
      </c>
      <c r="FK205" t="str">
        <f t="shared" si="125"/>
        <v/>
      </c>
      <c r="FN205" t="str">
        <f t="shared" si="126"/>
        <v/>
      </c>
      <c r="FQ205" t="str">
        <f t="shared" si="127"/>
        <v/>
      </c>
      <c r="FT205" t="str">
        <f t="shared" si="128"/>
        <v/>
      </c>
      <c r="FW205" t="str">
        <f t="shared" si="129"/>
        <v/>
      </c>
      <c r="FZ205" t="str">
        <f t="shared" si="130"/>
        <v/>
      </c>
      <c r="GC205" t="str">
        <f t="shared" si="131"/>
        <v/>
      </c>
      <c r="GE205" s="155"/>
    </row>
    <row r="206" spans="1:188" ht="15.75" customHeight="1" x14ac:dyDescent="0.35">
      <c r="A206" s="979" t="s">
        <v>1452</v>
      </c>
      <c r="B206" s="979" t="s">
        <v>16</v>
      </c>
      <c r="D206" s="670"/>
      <c r="L206" s="10">
        <v>1126138</v>
      </c>
      <c r="O206" s="272">
        <v>4</v>
      </c>
      <c r="P206" s="190">
        <v>761246</v>
      </c>
      <c r="Q206" s="190">
        <v>1</v>
      </c>
      <c r="R206" s="217"/>
      <c r="S206" s="217">
        <v>8.5</v>
      </c>
      <c r="T206" s="217" t="s">
        <v>757</v>
      </c>
      <c r="U206" s="217">
        <v>888856</v>
      </c>
      <c r="V206" s="171" t="s">
        <v>90</v>
      </c>
      <c r="W206" s="281">
        <v>3</v>
      </c>
      <c r="X206" s="269">
        <v>3</v>
      </c>
      <c r="Y206" s="269">
        <v>5</v>
      </c>
      <c r="Z206" s="269">
        <v>5</v>
      </c>
      <c r="AA206" s="269">
        <v>5</v>
      </c>
      <c r="AB206" s="269">
        <v>7</v>
      </c>
      <c r="AC206" s="269">
        <v>1</v>
      </c>
      <c r="AD206" s="269">
        <v>1</v>
      </c>
      <c r="AE206" s="287"/>
      <c r="AF206" s="217">
        <v>8</v>
      </c>
      <c r="AG206" s="217">
        <v>8</v>
      </c>
      <c r="AH206" s="188"/>
      <c r="AI206" s="188"/>
      <c r="AJ206" s="188"/>
      <c r="AK206" s="188"/>
      <c r="AL206" s="188"/>
      <c r="AM206" s="188"/>
      <c r="AN206" s="188"/>
      <c r="AO206" s="188"/>
      <c r="AP206" s="188"/>
      <c r="AQ206" s="188"/>
      <c r="AR206" s="188"/>
      <c r="AS206" s="188"/>
      <c r="AT206" s="188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F206">
        <f>ROWS($U$46:U206)</f>
        <v>161</v>
      </c>
      <c r="BG206" t="str">
        <f t="shared" si="113"/>
        <v/>
      </c>
      <c r="DB206" s="10">
        <v>1177229</v>
      </c>
      <c r="DE206" s="10">
        <v>1133896</v>
      </c>
      <c r="DF206" t="s">
        <v>2001</v>
      </c>
      <c r="DG206" t="s">
        <v>2001</v>
      </c>
      <c r="DH206" s="10">
        <v>16</v>
      </c>
      <c r="DI206">
        <v>1613</v>
      </c>
      <c r="DJ206" t="s">
        <v>1231</v>
      </c>
      <c r="DK206"/>
      <c r="DL206" t="s">
        <v>1985</v>
      </c>
      <c r="DM206"/>
      <c r="DO206" s="10">
        <v>497</v>
      </c>
      <c r="DR206" s="37" t="str">
        <f t="shared" si="112"/>
        <v xml:space="preserve">1613 CT418 </v>
      </c>
      <c r="DS206" s="37">
        <f t="shared" ref="DS206:DS213" si="132">DT206*1.3</f>
        <v>229.06</v>
      </c>
      <c r="DT206" s="10">
        <v>176.2</v>
      </c>
      <c r="DV206" s="10" t="s">
        <v>49</v>
      </c>
      <c r="DW206" s="10" t="s">
        <v>1590</v>
      </c>
      <c r="DX206" s="10">
        <v>30</v>
      </c>
      <c r="DY206" s="10" t="s">
        <v>1673</v>
      </c>
      <c r="DZ206" s="10" t="s">
        <v>1668</v>
      </c>
      <c r="EA206" s="10">
        <v>1</v>
      </c>
      <c r="EB206" s="10" t="s">
        <v>1513</v>
      </c>
      <c r="EC206" s="10">
        <v>662</v>
      </c>
      <c r="ED206" s="10" t="s">
        <v>1736</v>
      </c>
      <c r="EE206" s="10">
        <f t="shared" si="114"/>
        <v>0</v>
      </c>
      <c r="EF206">
        <f>ROWS($DE$2:DE206)</f>
        <v>205</v>
      </c>
      <c r="EG206" t="str">
        <f t="shared" si="115"/>
        <v/>
      </c>
      <c r="EJ206" t="str">
        <f t="shared" si="116"/>
        <v/>
      </c>
      <c r="EM206" t="str">
        <f t="shared" si="117"/>
        <v/>
      </c>
      <c r="EP206" t="str">
        <f t="shared" si="118"/>
        <v/>
      </c>
      <c r="ES206" t="str">
        <f t="shared" si="119"/>
        <v/>
      </c>
      <c r="EV206" t="str">
        <f t="shared" si="120"/>
        <v/>
      </c>
      <c r="EY206" t="str">
        <f t="shared" si="121"/>
        <v/>
      </c>
      <c r="FB206" t="str">
        <f t="shared" si="122"/>
        <v/>
      </c>
      <c r="FE206" t="str">
        <f t="shared" si="123"/>
        <v/>
      </c>
      <c r="FH206" t="str">
        <f t="shared" si="124"/>
        <v/>
      </c>
      <c r="FK206" t="str">
        <f t="shared" si="125"/>
        <v/>
      </c>
      <c r="FN206" t="str">
        <f t="shared" si="126"/>
        <v/>
      </c>
      <c r="FQ206" t="str">
        <f t="shared" si="127"/>
        <v/>
      </c>
      <c r="FT206" t="str">
        <f t="shared" si="128"/>
        <v/>
      </c>
      <c r="FW206" t="str">
        <f t="shared" si="129"/>
        <v/>
      </c>
      <c r="FZ206" t="str">
        <f t="shared" si="130"/>
        <v/>
      </c>
      <c r="GC206" t="str">
        <f t="shared" si="131"/>
        <v/>
      </c>
      <c r="GE206" s="155"/>
    </row>
    <row r="207" spans="1:188" ht="15" customHeight="1" x14ac:dyDescent="0.35">
      <c r="A207" s="978">
        <v>179835</v>
      </c>
      <c r="B207" s="36">
        <v>585</v>
      </c>
      <c r="D207" s="670"/>
      <c r="L207" s="10">
        <v>1134806</v>
      </c>
      <c r="O207" s="272">
        <v>5</v>
      </c>
      <c r="P207" s="190">
        <v>794672</v>
      </c>
      <c r="Q207" s="190">
        <v>12</v>
      </c>
      <c r="R207" s="217"/>
      <c r="S207" s="217">
        <v>8.5</v>
      </c>
      <c r="T207" s="217" t="s">
        <v>757</v>
      </c>
      <c r="U207" s="217">
        <v>888856</v>
      </c>
      <c r="V207" s="171" t="s">
        <v>91</v>
      </c>
      <c r="W207" s="281">
        <v>5</v>
      </c>
      <c r="X207" s="269">
        <v>5</v>
      </c>
      <c r="Y207" s="269">
        <v>7</v>
      </c>
      <c r="Z207" s="269">
        <v>1</v>
      </c>
      <c r="AA207" s="269">
        <v>1</v>
      </c>
      <c r="AB207" s="283"/>
      <c r="AC207" s="284"/>
      <c r="AD207" s="284"/>
      <c r="AE207" s="288"/>
      <c r="AF207" s="217">
        <v>8</v>
      </c>
      <c r="AG207" s="217">
        <v>8</v>
      </c>
      <c r="AH207" s="188"/>
      <c r="AI207" s="188"/>
      <c r="AJ207" s="188"/>
      <c r="AK207" s="188"/>
      <c r="AL207" s="188"/>
      <c r="AM207" s="188"/>
      <c r="AN207" s="188"/>
      <c r="AO207" s="188"/>
      <c r="AP207" s="188"/>
      <c r="AQ207" s="188"/>
      <c r="AR207" s="188"/>
      <c r="AS207" s="188"/>
      <c r="AT207" s="188"/>
      <c r="AU207" s="188"/>
      <c r="AV207" s="188"/>
      <c r="AW207" s="188"/>
      <c r="AX207" s="188"/>
      <c r="AY207" s="188"/>
      <c r="AZ207" s="188"/>
      <c r="BA207" s="188"/>
      <c r="BB207" s="188"/>
      <c r="BC207" s="188"/>
      <c r="BD207" s="188"/>
      <c r="BF207">
        <f>ROWS($U$46:U207)</f>
        <v>162</v>
      </c>
      <c r="BG207" t="str">
        <f t="shared" si="113"/>
        <v/>
      </c>
      <c r="DB207" s="10">
        <v>1209410</v>
      </c>
      <c r="DE207" s="10">
        <v>1165796</v>
      </c>
      <c r="DF207" t="s">
        <v>2006</v>
      </c>
      <c r="DG207" t="s">
        <v>2006</v>
      </c>
      <c r="DH207" s="10">
        <v>10</v>
      </c>
      <c r="DI207">
        <v>1010</v>
      </c>
      <c r="DJ207" t="s">
        <v>2007</v>
      </c>
      <c r="DK207"/>
      <c r="DL207" t="s">
        <v>1985</v>
      </c>
      <c r="DM207"/>
      <c r="DO207" s="10">
        <v>272</v>
      </c>
      <c r="DR207" s="37" t="str">
        <f t="shared" si="112"/>
        <v xml:space="preserve">1010 FMT </v>
      </c>
      <c r="DS207" s="37">
        <f t="shared" si="132"/>
        <v>0</v>
      </c>
      <c r="DV207" s="555" t="s">
        <v>49</v>
      </c>
      <c r="DW207" s="555" t="s">
        <v>1588</v>
      </c>
      <c r="DX207" s="555">
        <v>30</v>
      </c>
      <c r="DY207" s="555" t="s">
        <v>1683</v>
      </c>
      <c r="DZ207" s="555" t="s">
        <v>1671</v>
      </c>
      <c r="EA207" s="555">
        <v>1</v>
      </c>
      <c r="EB207" s="555" t="s">
        <v>1513</v>
      </c>
      <c r="EC207" s="555">
        <v>419</v>
      </c>
      <c r="ED207" s="555" t="s">
        <v>1746</v>
      </c>
      <c r="EE207" s="10">
        <f t="shared" si="114"/>
        <v>0</v>
      </c>
      <c r="EF207">
        <f>ROWS($DE$2:DE207)</f>
        <v>206</v>
      </c>
      <c r="EG207" t="str">
        <f t="shared" si="115"/>
        <v/>
      </c>
      <c r="EJ207" t="str">
        <f t="shared" si="116"/>
        <v/>
      </c>
      <c r="EM207" t="str">
        <f t="shared" si="117"/>
        <v/>
      </c>
      <c r="EP207" t="str">
        <f t="shared" si="118"/>
        <v/>
      </c>
      <c r="ES207" t="str">
        <f t="shared" si="119"/>
        <v/>
      </c>
      <c r="EV207" t="str">
        <f t="shared" si="120"/>
        <v/>
      </c>
      <c r="EY207" t="str">
        <f t="shared" si="121"/>
        <v/>
      </c>
      <c r="FB207" t="str">
        <f t="shared" si="122"/>
        <v/>
      </c>
      <c r="FE207" t="str">
        <f t="shared" si="123"/>
        <v/>
      </c>
      <c r="FH207" t="str">
        <f t="shared" si="124"/>
        <v/>
      </c>
      <c r="FK207" t="str">
        <f t="shared" si="125"/>
        <v/>
      </c>
      <c r="FN207" t="str">
        <f t="shared" si="126"/>
        <v/>
      </c>
      <c r="FQ207" t="str">
        <f t="shared" si="127"/>
        <v/>
      </c>
      <c r="FT207" t="str">
        <f t="shared" si="128"/>
        <v/>
      </c>
      <c r="FW207" t="str">
        <f t="shared" si="129"/>
        <v/>
      </c>
      <c r="FZ207" t="str">
        <f t="shared" si="130"/>
        <v/>
      </c>
      <c r="GC207" t="str">
        <f t="shared" si="131"/>
        <v/>
      </c>
      <c r="GE207" s="155"/>
    </row>
    <row r="208" spans="1:188" ht="15" customHeight="1" x14ac:dyDescent="0.35">
      <c r="A208" s="36">
        <v>1111111</v>
      </c>
      <c r="B208" s="36">
        <v>11</v>
      </c>
      <c r="D208" s="670"/>
      <c r="L208" s="10">
        <v>1134878</v>
      </c>
      <c r="O208" s="272">
        <v>6</v>
      </c>
      <c r="P208" s="190">
        <v>785003</v>
      </c>
      <c r="Q208" s="190">
        <v>1</v>
      </c>
      <c r="R208" s="217"/>
      <c r="S208" s="217">
        <v>8.5</v>
      </c>
      <c r="T208" s="217" t="s">
        <v>757</v>
      </c>
      <c r="U208" s="217">
        <v>888856</v>
      </c>
      <c r="V208" s="171"/>
      <c r="W208" s="224"/>
      <c r="X208" s="222"/>
      <c r="Y208" s="222"/>
      <c r="Z208" s="222"/>
      <c r="AA208" s="222"/>
      <c r="AB208" s="188"/>
      <c r="AC208" s="188"/>
      <c r="AD208" s="188"/>
      <c r="AE208" s="188"/>
      <c r="AF208" s="188"/>
      <c r="AG208" s="188"/>
      <c r="AH208" s="188"/>
      <c r="AI208" s="188"/>
      <c r="AJ208" s="188"/>
      <c r="AK208" s="188"/>
      <c r="AL208" s="188"/>
      <c r="AM208" s="188"/>
      <c r="AN208" s="188"/>
      <c r="AO208" s="188"/>
      <c r="AP208" s="188"/>
      <c r="AQ208" s="188"/>
      <c r="AR208" s="188"/>
      <c r="AS208" s="188"/>
      <c r="AT208" s="188"/>
      <c r="AU208" s="188"/>
      <c r="AV208" s="188"/>
      <c r="AW208" s="188"/>
      <c r="AX208" s="188"/>
      <c r="AY208" s="188"/>
      <c r="AZ208" s="188"/>
      <c r="BA208" s="188"/>
      <c r="BB208" s="188"/>
      <c r="BC208" s="188"/>
      <c r="BD208" s="188"/>
      <c r="BF208">
        <f>ROWS($U$46:U208)</f>
        <v>163</v>
      </c>
      <c r="BG208" t="str">
        <f t="shared" si="113"/>
        <v/>
      </c>
      <c r="DB208" s="10">
        <v>1165840</v>
      </c>
      <c r="DE208">
        <v>1165884</v>
      </c>
      <c r="DF208" t="s">
        <v>2020</v>
      </c>
      <c r="DG208" t="s">
        <v>2020</v>
      </c>
      <c r="DH208" s="10">
        <v>19</v>
      </c>
      <c r="DI208">
        <v>1913</v>
      </c>
      <c r="DJ208" t="s">
        <v>2016</v>
      </c>
      <c r="DK208"/>
      <c r="DL208" t="s">
        <v>1985</v>
      </c>
      <c r="DM208"/>
      <c r="DO208" s="10">
        <v>660</v>
      </c>
      <c r="DR208" s="37" t="str">
        <f t="shared" si="112"/>
        <v xml:space="preserve">1913 MT NL </v>
      </c>
      <c r="DS208" s="37">
        <f t="shared" si="132"/>
        <v>0</v>
      </c>
      <c r="EE208" s="10">
        <f t="shared" si="114"/>
        <v>0</v>
      </c>
      <c r="EF208">
        <f>ROWS($DE$2:DE208)</f>
        <v>207</v>
      </c>
      <c r="EG208" t="str">
        <f t="shared" si="115"/>
        <v/>
      </c>
      <c r="EJ208" t="str">
        <f t="shared" si="116"/>
        <v/>
      </c>
      <c r="EM208" t="str">
        <f t="shared" si="117"/>
        <v/>
      </c>
      <c r="EP208" t="str">
        <f t="shared" si="118"/>
        <v/>
      </c>
      <c r="ES208" t="str">
        <f t="shared" si="119"/>
        <v/>
      </c>
      <c r="EV208" t="str">
        <f t="shared" si="120"/>
        <v/>
      </c>
      <c r="EY208" t="str">
        <f t="shared" si="121"/>
        <v/>
      </c>
      <c r="FB208" t="str">
        <f t="shared" si="122"/>
        <v/>
      </c>
      <c r="FE208" t="str">
        <f t="shared" si="123"/>
        <v/>
      </c>
      <c r="FH208" t="str">
        <f t="shared" si="124"/>
        <v/>
      </c>
      <c r="FK208" t="str">
        <f t="shared" si="125"/>
        <v/>
      </c>
      <c r="FN208" t="str">
        <f t="shared" si="126"/>
        <v/>
      </c>
      <c r="FQ208" t="str">
        <f t="shared" si="127"/>
        <v/>
      </c>
      <c r="FT208" t="str">
        <f t="shared" si="128"/>
        <v/>
      </c>
      <c r="FW208" t="str">
        <f t="shared" si="129"/>
        <v/>
      </c>
      <c r="FZ208" t="str">
        <f t="shared" si="130"/>
        <v/>
      </c>
      <c r="GC208" t="str">
        <f t="shared" si="131"/>
        <v/>
      </c>
      <c r="GE208" s="155"/>
    </row>
    <row r="209" spans="1:187" ht="15" customHeight="1" x14ac:dyDescent="0.35">
      <c r="A209" s="36">
        <v>99999</v>
      </c>
      <c r="B209" s="36">
        <v>99</v>
      </c>
      <c r="D209" s="670"/>
      <c r="L209" s="10">
        <v>1135183</v>
      </c>
      <c r="O209" s="272">
        <v>7</v>
      </c>
      <c r="P209" s="190">
        <v>785001</v>
      </c>
      <c r="Q209" s="190">
        <v>5</v>
      </c>
      <c r="R209" s="217"/>
      <c r="S209" s="217">
        <v>8.5</v>
      </c>
      <c r="T209" s="217" t="s">
        <v>757</v>
      </c>
      <c r="U209" s="217">
        <v>888856</v>
      </c>
      <c r="V209" s="171"/>
      <c r="W209" s="187"/>
      <c r="X209" s="188"/>
      <c r="Y209" s="188"/>
      <c r="Z209" s="188"/>
      <c r="AA209" s="188"/>
      <c r="AB209" s="188"/>
      <c r="AC209" s="188"/>
      <c r="AD209" s="188"/>
      <c r="AE209" s="188"/>
      <c r="AF209" s="188"/>
      <c r="AG209" s="188"/>
      <c r="AH209" s="188"/>
      <c r="AI209" s="188"/>
      <c r="AJ209" s="188"/>
      <c r="AK209" s="188"/>
      <c r="AL209" s="188"/>
      <c r="AM209" s="188"/>
      <c r="AN209" s="188"/>
      <c r="AO209" s="188"/>
      <c r="AP209" s="188"/>
      <c r="AQ209" s="188"/>
      <c r="AR209" s="188"/>
      <c r="AS209" s="188"/>
      <c r="AT209" s="188"/>
      <c r="AU209" s="188"/>
      <c r="AV209" s="188"/>
      <c r="AW209" s="188"/>
      <c r="AX209" s="188"/>
      <c r="AY209" s="188"/>
      <c r="AZ209" s="188"/>
      <c r="BA209" s="188"/>
      <c r="BB209" s="188"/>
      <c r="BC209" s="188"/>
      <c r="BD209" s="188"/>
      <c r="BF209">
        <f>ROWS($U$46:U209)</f>
        <v>164</v>
      </c>
      <c r="BG209" t="str">
        <f t="shared" si="113"/>
        <v/>
      </c>
      <c r="DB209" s="10">
        <v>1118417</v>
      </c>
      <c r="DE209">
        <v>1165882</v>
      </c>
      <c r="DF209" t="s">
        <v>2021</v>
      </c>
      <c r="DG209" t="s">
        <v>2021</v>
      </c>
      <c r="DH209" s="10">
        <v>16</v>
      </c>
      <c r="DI209">
        <v>1613</v>
      </c>
      <c r="DJ209" t="s">
        <v>2016</v>
      </c>
      <c r="DK209"/>
      <c r="DL209" t="s">
        <v>1985</v>
      </c>
      <c r="DM209"/>
      <c r="DO209" s="10">
        <v>497</v>
      </c>
      <c r="DR209" s="37" t="str">
        <f t="shared" si="112"/>
        <v xml:space="preserve">1613 MT NL </v>
      </c>
      <c r="DS209" s="37">
        <f t="shared" si="132"/>
        <v>0</v>
      </c>
      <c r="EE209" s="10">
        <f t="shared" si="114"/>
        <v>0</v>
      </c>
      <c r="EF209">
        <f>ROWS($DE$2:DE209)</f>
        <v>208</v>
      </c>
      <c r="EG209" t="str">
        <f t="shared" si="115"/>
        <v/>
      </c>
      <c r="EJ209" t="str">
        <f t="shared" si="116"/>
        <v/>
      </c>
      <c r="EM209" t="str">
        <f t="shared" si="117"/>
        <v/>
      </c>
      <c r="EP209" t="str">
        <f t="shared" si="118"/>
        <v/>
      </c>
      <c r="ES209" t="str">
        <f t="shared" si="119"/>
        <v/>
      </c>
      <c r="EV209" t="str">
        <f t="shared" si="120"/>
        <v/>
      </c>
      <c r="EY209" t="str">
        <f t="shared" si="121"/>
        <v/>
      </c>
      <c r="FB209" t="str">
        <f t="shared" si="122"/>
        <v/>
      </c>
      <c r="FE209" t="str">
        <f t="shared" si="123"/>
        <v/>
      </c>
      <c r="FH209" t="str">
        <f t="shared" si="124"/>
        <v/>
      </c>
      <c r="FK209" t="str">
        <f t="shared" si="125"/>
        <v/>
      </c>
      <c r="FN209" t="str">
        <f t="shared" si="126"/>
        <v/>
      </c>
      <c r="FQ209" t="str">
        <f t="shared" si="127"/>
        <v/>
      </c>
      <c r="FT209" t="str">
        <f t="shared" si="128"/>
        <v/>
      </c>
      <c r="FW209" t="str">
        <f t="shared" si="129"/>
        <v/>
      </c>
      <c r="FZ209" t="str">
        <f t="shared" si="130"/>
        <v/>
      </c>
      <c r="GC209" t="str">
        <f t="shared" si="131"/>
        <v/>
      </c>
      <c r="GE209" s="155"/>
    </row>
    <row r="210" spans="1:187" ht="15" customHeight="1" thickBot="1" x14ac:dyDescent="0.4">
      <c r="A210" s="36">
        <v>8888</v>
      </c>
      <c r="B210" s="36">
        <v>88</v>
      </c>
      <c r="D210" s="670"/>
      <c r="L210" s="10">
        <v>1135558</v>
      </c>
      <c r="O210" s="272">
        <v>8</v>
      </c>
      <c r="P210" s="190">
        <v>410851</v>
      </c>
      <c r="Q210" s="190">
        <v>10</v>
      </c>
      <c r="R210" s="217"/>
      <c r="S210" s="217">
        <v>8.5</v>
      </c>
      <c r="T210" s="217" t="s">
        <v>757</v>
      </c>
      <c r="U210" s="217">
        <v>888856</v>
      </c>
      <c r="V210" s="171"/>
      <c r="W210" s="187"/>
      <c r="X210" s="188"/>
      <c r="Y210" s="188"/>
      <c r="Z210" s="188"/>
      <c r="AA210" s="188"/>
      <c r="AB210" s="188"/>
      <c r="AC210" s="188"/>
      <c r="AD210" s="188"/>
      <c r="AE210" s="188"/>
      <c r="AF210" s="188"/>
      <c r="AG210" s="188"/>
      <c r="AH210" s="188"/>
      <c r="AI210" s="188"/>
      <c r="AJ210" s="188"/>
      <c r="AK210" s="188"/>
      <c r="AL210" s="188"/>
      <c r="AM210" s="188"/>
      <c r="AN210" s="188"/>
      <c r="AO210" s="188"/>
      <c r="AP210" s="188"/>
      <c r="AQ210" s="188"/>
      <c r="AR210" s="188"/>
      <c r="AS210" s="188"/>
      <c r="AT210" s="188"/>
      <c r="AU210" s="188"/>
      <c r="AV210" s="188"/>
      <c r="AW210" s="188"/>
      <c r="AX210" s="188"/>
      <c r="AY210" s="188"/>
      <c r="AZ210" s="188"/>
      <c r="BA210" s="188"/>
      <c r="BB210" s="188"/>
      <c r="BC210" s="188"/>
      <c r="BD210" s="188"/>
      <c r="BF210">
        <f>ROWS($U$46:U210)</f>
        <v>165</v>
      </c>
      <c r="BG210" t="str">
        <f t="shared" si="113"/>
        <v/>
      </c>
      <c r="DB210" s="10">
        <v>1142633</v>
      </c>
      <c r="DE210">
        <v>1165842</v>
      </c>
      <c r="DF210" t="s">
        <v>2024</v>
      </c>
      <c r="DG210" t="s">
        <v>2024</v>
      </c>
      <c r="DH210" s="10">
        <v>19</v>
      </c>
      <c r="DI210">
        <v>1913</v>
      </c>
      <c r="DJ210" t="s">
        <v>2025</v>
      </c>
      <c r="DK210"/>
      <c r="DL210" t="s">
        <v>1985</v>
      </c>
      <c r="DM210"/>
      <c r="DO210" s="10">
        <v>660</v>
      </c>
      <c r="DR210" s="37" t="str">
        <f t="shared" si="112"/>
        <v xml:space="preserve">1913 MT </v>
      </c>
      <c r="DS210" s="37">
        <f t="shared" si="132"/>
        <v>0</v>
      </c>
      <c r="EE210" s="10">
        <f t="shared" si="114"/>
        <v>0</v>
      </c>
      <c r="EF210">
        <f>ROWS($DE$2:DE210)</f>
        <v>209</v>
      </c>
      <c r="EG210" t="str">
        <f t="shared" si="115"/>
        <v/>
      </c>
      <c r="EJ210" t="str">
        <f t="shared" si="116"/>
        <v/>
      </c>
      <c r="EM210" t="str">
        <f t="shared" si="117"/>
        <v/>
      </c>
      <c r="EP210" t="str">
        <f t="shared" si="118"/>
        <v/>
      </c>
      <c r="ES210" t="str">
        <f t="shared" si="119"/>
        <v/>
      </c>
      <c r="EV210" t="str">
        <f t="shared" si="120"/>
        <v/>
      </c>
      <c r="EY210" t="str">
        <f t="shared" si="121"/>
        <v/>
      </c>
      <c r="FB210" t="str">
        <f t="shared" si="122"/>
        <v/>
      </c>
      <c r="FE210" t="str">
        <f t="shared" si="123"/>
        <v/>
      </c>
      <c r="FH210" t="str">
        <f t="shared" si="124"/>
        <v/>
      </c>
      <c r="FK210" t="str">
        <f t="shared" si="125"/>
        <v/>
      </c>
      <c r="FN210" t="str">
        <f t="shared" si="126"/>
        <v/>
      </c>
      <c r="FQ210" t="str">
        <f t="shared" si="127"/>
        <v/>
      </c>
      <c r="FT210" t="str">
        <f t="shared" si="128"/>
        <v/>
      </c>
      <c r="FW210" t="str">
        <f t="shared" si="129"/>
        <v/>
      </c>
      <c r="FZ210" t="str">
        <f t="shared" si="130"/>
        <v/>
      </c>
      <c r="GC210" t="str">
        <f t="shared" si="131"/>
        <v/>
      </c>
      <c r="GE210" s="155"/>
    </row>
    <row r="211" spans="1:187" ht="15" customHeight="1" x14ac:dyDescent="0.35">
      <c r="A211" s="36">
        <v>22222</v>
      </c>
      <c r="B211" s="36">
        <v>22</v>
      </c>
      <c r="D211" s="670"/>
      <c r="L211" s="10">
        <v>1137348</v>
      </c>
      <c r="O211" s="290">
        <v>1</v>
      </c>
      <c r="P211" s="262">
        <v>418525</v>
      </c>
      <c r="Q211" s="262">
        <v>12</v>
      </c>
      <c r="R211" s="291"/>
      <c r="S211" s="291">
        <v>17.5</v>
      </c>
      <c r="T211" s="291" t="s">
        <v>758</v>
      </c>
      <c r="U211" s="291">
        <v>969409</v>
      </c>
      <c r="V211" s="183" t="s">
        <v>87</v>
      </c>
      <c r="W211" s="286">
        <v>2</v>
      </c>
      <c r="X211" s="271">
        <v>2</v>
      </c>
      <c r="Y211" s="271">
        <v>2</v>
      </c>
      <c r="Z211" s="271">
        <v>2</v>
      </c>
      <c r="AA211" s="271">
        <v>2</v>
      </c>
      <c r="AB211" s="271">
        <v>3</v>
      </c>
      <c r="AC211" s="271">
        <v>3</v>
      </c>
      <c r="AD211" s="271">
        <v>3</v>
      </c>
      <c r="AE211" s="271">
        <v>3</v>
      </c>
      <c r="AF211" s="271">
        <v>3</v>
      </c>
      <c r="AG211" s="271">
        <v>3</v>
      </c>
      <c r="AH211" s="271">
        <v>3</v>
      </c>
      <c r="AI211" s="271">
        <v>3</v>
      </c>
      <c r="AJ211" s="271">
        <v>3</v>
      </c>
      <c r="AK211" s="271">
        <v>1</v>
      </c>
      <c r="AL211" s="271">
        <v>1</v>
      </c>
      <c r="AM211" s="258"/>
      <c r="AN211" s="37">
        <v>4</v>
      </c>
      <c r="AO211" s="37">
        <v>4</v>
      </c>
      <c r="AP211" s="37">
        <v>4</v>
      </c>
      <c r="AQ211" s="37">
        <v>4</v>
      </c>
      <c r="AR211" s="37">
        <v>4</v>
      </c>
      <c r="AS211" s="37">
        <v>4</v>
      </c>
      <c r="AT211" s="37">
        <v>4</v>
      </c>
      <c r="AU211" s="37">
        <v>5</v>
      </c>
      <c r="AV211" s="37">
        <v>5</v>
      </c>
      <c r="AW211" s="37">
        <v>5</v>
      </c>
      <c r="AX211" s="37">
        <v>5</v>
      </c>
      <c r="AY211" s="188"/>
      <c r="AZ211" s="188"/>
      <c r="BA211" s="188"/>
      <c r="BB211" s="188"/>
      <c r="BC211" s="188"/>
      <c r="BD211" s="188"/>
      <c r="BF211">
        <f>ROWS($U$46:U211)</f>
        <v>166</v>
      </c>
      <c r="BG211" t="str">
        <f t="shared" si="113"/>
        <v/>
      </c>
      <c r="DB211" s="10">
        <v>1141584</v>
      </c>
      <c r="DE211">
        <v>1165770</v>
      </c>
      <c r="DF211" t="s">
        <v>2027</v>
      </c>
      <c r="DG211" t="s">
        <v>2027</v>
      </c>
      <c r="DH211" s="10">
        <v>13</v>
      </c>
      <c r="DI211">
        <v>1313</v>
      </c>
      <c r="DJ211" t="s">
        <v>2007</v>
      </c>
      <c r="DK211"/>
      <c r="DL211" t="s">
        <v>239</v>
      </c>
      <c r="DM211"/>
      <c r="DO211" s="10">
        <v>360</v>
      </c>
      <c r="DR211" s="37" t="str">
        <f t="shared" si="112"/>
        <v xml:space="preserve">1313 FMT </v>
      </c>
      <c r="DS211" s="37">
        <f t="shared" si="132"/>
        <v>0</v>
      </c>
      <c r="EE211" s="10">
        <f t="shared" si="114"/>
        <v>0</v>
      </c>
      <c r="EF211">
        <f>ROWS($DE$2:DE211)</f>
        <v>210</v>
      </c>
      <c r="EG211" t="str">
        <f t="shared" si="115"/>
        <v/>
      </c>
      <c r="EJ211" t="str">
        <f t="shared" si="116"/>
        <v/>
      </c>
      <c r="EM211" t="str">
        <f t="shared" si="117"/>
        <v/>
      </c>
      <c r="EP211" t="str">
        <f t="shared" si="118"/>
        <v/>
      </c>
      <c r="ES211" t="str">
        <f t="shared" si="119"/>
        <v/>
      </c>
      <c r="EV211" t="str">
        <f t="shared" si="120"/>
        <v/>
      </c>
      <c r="EY211" t="str">
        <f t="shared" si="121"/>
        <v/>
      </c>
      <c r="FB211" t="str">
        <f t="shared" si="122"/>
        <v/>
      </c>
      <c r="FE211" t="str">
        <f t="shared" si="123"/>
        <v/>
      </c>
      <c r="FH211" t="str">
        <f t="shared" si="124"/>
        <v/>
      </c>
      <c r="FK211" t="str">
        <f t="shared" si="125"/>
        <v/>
      </c>
      <c r="FN211" t="str">
        <f t="shared" si="126"/>
        <v/>
      </c>
      <c r="FQ211" t="str">
        <f t="shared" si="127"/>
        <v/>
      </c>
      <c r="FT211" t="str">
        <f t="shared" si="128"/>
        <v/>
      </c>
      <c r="FW211" t="str">
        <f t="shared" si="129"/>
        <v/>
      </c>
      <c r="FZ211" t="str">
        <f t="shared" si="130"/>
        <v/>
      </c>
      <c r="GC211" t="str">
        <f t="shared" si="131"/>
        <v/>
      </c>
      <c r="GE211" s="155"/>
    </row>
    <row r="212" spans="1:187" ht="15.75" customHeight="1" x14ac:dyDescent="0.35">
      <c r="A212" s="36">
        <v>33333</v>
      </c>
      <c r="B212" s="36">
        <v>33</v>
      </c>
      <c r="D212" s="670"/>
      <c r="L212" s="10">
        <v>1137349</v>
      </c>
      <c r="O212" s="75">
        <v>2</v>
      </c>
      <c r="P212" s="167">
        <v>755889</v>
      </c>
      <c r="Q212" s="167">
        <v>15</v>
      </c>
      <c r="R212" s="37"/>
      <c r="S212" s="37">
        <v>17.5</v>
      </c>
      <c r="T212" s="37" t="s">
        <v>758</v>
      </c>
      <c r="U212" s="37">
        <v>969409</v>
      </c>
      <c r="V212" s="171" t="s">
        <v>88</v>
      </c>
      <c r="W212" s="281">
        <v>3</v>
      </c>
      <c r="X212" s="269">
        <v>3</v>
      </c>
      <c r="Y212" s="269">
        <v>3</v>
      </c>
      <c r="Z212" s="269">
        <v>3</v>
      </c>
      <c r="AA212" s="269">
        <v>3</v>
      </c>
      <c r="AB212" s="269">
        <v>3</v>
      </c>
      <c r="AC212" s="269">
        <v>3</v>
      </c>
      <c r="AD212" s="269">
        <v>3</v>
      </c>
      <c r="AE212" s="269">
        <v>3</v>
      </c>
      <c r="AF212" s="269">
        <v>3</v>
      </c>
      <c r="AG212" s="269">
        <v>1</v>
      </c>
      <c r="AH212" s="269">
        <v>1</v>
      </c>
      <c r="AI212" s="276"/>
      <c r="AJ212" s="275"/>
      <c r="AK212" s="275"/>
      <c r="AL212" s="275"/>
      <c r="AM212" s="10"/>
      <c r="AN212" s="37">
        <v>4</v>
      </c>
      <c r="AO212" s="37">
        <v>4</v>
      </c>
      <c r="AP212" s="37">
        <v>4</v>
      </c>
      <c r="AQ212" s="10"/>
      <c r="AR212" s="10"/>
      <c r="AS212" s="10"/>
      <c r="AT212" s="10"/>
      <c r="AU212" s="37">
        <v>5</v>
      </c>
      <c r="AV212" s="37">
        <v>5</v>
      </c>
      <c r="AW212" s="37">
        <v>5</v>
      </c>
      <c r="AX212" s="37">
        <v>5</v>
      </c>
      <c r="AY212" s="188"/>
      <c r="AZ212" s="188"/>
      <c r="BA212" s="188"/>
      <c r="BB212" s="188"/>
      <c r="BC212" s="188"/>
      <c r="BD212" s="188"/>
      <c r="BF212">
        <f>ROWS($U$46:U212)</f>
        <v>167</v>
      </c>
      <c r="BG212" t="str">
        <f t="shared" si="113"/>
        <v/>
      </c>
      <c r="DB212" s="10">
        <v>1050854</v>
      </c>
      <c r="DE212">
        <v>1209332</v>
      </c>
      <c r="DF212" t="s">
        <v>2030</v>
      </c>
      <c r="DG212" t="s">
        <v>2030</v>
      </c>
      <c r="DH212" s="10">
        <v>13</v>
      </c>
      <c r="DI212">
        <v>1313</v>
      </c>
      <c r="DJ212" t="s">
        <v>2031</v>
      </c>
      <c r="DK212"/>
      <c r="DL212" t="s">
        <v>1985</v>
      </c>
      <c r="DM212"/>
      <c r="DO212" s="10">
        <v>360</v>
      </c>
      <c r="DR212" s="37" t="str">
        <f t="shared" si="112"/>
        <v xml:space="preserve">1313 CT147G </v>
      </c>
      <c r="DS212" s="37">
        <f t="shared" si="132"/>
        <v>0</v>
      </c>
      <c r="EE212" s="10">
        <f t="shared" si="114"/>
        <v>0</v>
      </c>
      <c r="EF212">
        <f>ROWS($DE$2:DE212)</f>
        <v>211</v>
      </c>
      <c r="EG212" t="str">
        <f t="shared" si="115"/>
        <v/>
      </c>
      <c r="EJ212" t="str">
        <f t="shared" si="116"/>
        <v/>
      </c>
      <c r="EM212" t="str">
        <f t="shared" si="117"/>
        <v/>
      </c>
      <c r="EP212" t="str">
        <f t="shared" si="118"/>
        <v/>
      </c>
      <c r="ES212" t="str">
        <f t="shared" si="119"/>
        <v/>
      </c>
      <c r="EV212" t="str">
        <f t="shared" si="120"/>
        <v/>
      </c>
      <c r="EY212" t="str">
        <f t="shared" si="121"/>
        <v/>
      </c>
      <c r="FB212" t="str">
        <f t="shared" si="122"/>
        <v/>
      </c>
      <c r="FE212" t="str">
        <f t="shared" si="123"/>
        <v/>
      </c>
      <c r="FH212" t="str">
        <f t="shared" si="124"/>
        <v/>
      </c>
      <c r="FK212" t="str">
        <f t="shared" si="125"/>
        <v/>
      </c>
      <c r="FN212" t="str">
        <f t="shared" si="126"/>
        <v/>
      </c>
      <c r="FQ212" t="str">
        <f t="shared" si="127"/>
        <v/>
      </c>
      <c r="FT212" t="str">
        <f t="shared" si="128"/>
        <v/>
      </c>
      <c r="FW212" t="str">
        <f t="shared" si="129"/>
        <v/>
      </c>
      <c r="FZ212" t="str">
        <f t="shared" si="130"/>
        <v/>
      </c>
      <c r="GC212" t="str">
        <f t="shared" si="131"/>
        <v/>
      </c>
      <c r="GE212" s="155"/>
    </row>
    <row r="213" spans="1:187" ht="15.75" customHeight="1" x14ac:dyDescent="0.35">
      <c r="A213" s="36"/>
      <c r="B213" s="36"/>
      <c r="D213" s="670"/>
      <c r="L213" s="10">
        <v>1137355</v>
      </c>
      <c r="O213" s="75">
        <v>3</v>
      </c>
      <c r="P213" s="179">
        <v>802063</v>
      </c>
      <c r="Q213" s="179">
        <v>55</v>
      </c>
      <c r="R213" s="37"/>
      <c r="S213" s="37">
        <v>17.5</v>
      </c>
      <c r="T213" s="37" t="s">
        <v>758</v>
      </c>
      <c r="U213" s="37">
        <v>969409</v>
      </c>
      <c r="V213" s="171" t="s">
        <v>89</v>
      </c>
      <c r="W213" s="281">
        <v>2</v>
      </c>
      <c r="X213" s="269">
        <v>2</v>
      </c>
      <c r="Y213" s="269">
        <v>2</v>
      </c>
      <c r="Z213" s="269">
        <v>2</v>
      </c>
      <c r="AA213" s="269">
        <v>2</v>
      </c>
      <c r="AB213" s="269">
        <v>3</v>
      </c>
      <c r="AC213" s="269">
        <v>3</v>
      </c>
      <c r="AD213" s="269">
        <v>3</v>
      </c>
      <c r="AE213" s="269">
        <v>3</v>
      </c>
      <c r="AF213" s="269">
        <v>3</v>
      </c>
      <c r="AG213" s="269">
        <v>3</v>
      </c>
      <c r="AH213" s="269">
        <v>3</v>
      </c>
      <c r="AI213" s="269">
        <v>3</v>
      </c>
      <c r="AJ213" s="269">
        <v>3</v>
      </c>
      <c r="AK213" s="269">
        <v>1</v>
      </c>
      <c r="AL213" s="269">
        <v>1</v>
      </c>
      <c r="AM213" s="258"/>
      <c r="AN213" s="37">
        <v>4</v>
      </c>
      <c r="AO213" s="37">
        <v>4</v>
      </c>
      <c r="AP213" s="37">
        <v>4</v>
      </c>
      <c r="AQ213" s="37">
        <v>4</v>
      </c>
      <c r="AR213" s="37">
        <v>4</v>
      </c>
      <c r="AS213" s="37">
        <v>4</v>
      </c>
      <c r="AT213" s="37">
        <v>4</v>
      </c>
      <c r="AU213" s="37">
        <v>5</v>
      </c>
      <c r="AV213" s="37">
        <v>5</v>
      </c>
      <c r="AW213" s="37">
        <v>5</v>
      </c>
      <c r="AX213" s="37">
        <v>5</v>
      </c>
      <c r="AY213" s="188"/>
      <c r="AZ213" s="188"/>
      <c r="BA213" s="188"/>
      <c r="BB213" s="188"/>
      <c r="BC213" s="188"/>
      <c r="BD213" s="188"/>
      <c r="BF213">
        <f>ROWS($U$46:U213)</f>
        <v>168</v>
      </c>
      <c r="BG213" t="str">
        <f t="shared" si="113"/>
        <v/>
      </c>
      <c r="DB213" s="10">
        <v>1161228</v>
      </c>
      <c r="DE213">
        <v>1177229</v>
      </c>
      <c r="DF213" t="s">
        <v>2032</v>
      </c>
      <c r="DG213" t="s">
        <v>2032</v>
      </c>
      <c r="DH213" s="10">
        <v>10</v>
      </c>
      <c r="DI213">
        <v>1010</v>
      </c>
      <c r="DJ213" t="s">
        <v>1232</v>
      </c>
      <c r="DK213"/>
      <c r="DL213" t="s">
        <v>1985</v>
      </c>
      <c r="DM213"/>
      <c r="DO213" s="10">
        <v>272</v>
      </c>
      <c r="DR213" s="10" t="str">
        <f t="shared" si="112"/>
        <v xml:space="preserve">1010 CT182 </v>
      </c>
      <c r="DS213" s="37">
        <f t="shared" si="132"/>
        <v>0</v>
      </c>
      <c r="DV213" s="10" t="s">
        <v>49</v>
      </c>
      <c r="DW213" s="10" t="s">
        <v>1588</v>
      </c>
      <c r="DX213" s="10">
        <v>30</v>
      </c>
      <c r="DY213" s="10" t="s">
        <v>1683</v>
      </c>
      <c r="DZ213" s="10" t="s">
        <v>1671</v>
      </c>
      <c r="EA213" s="10">
        <v>1</v>
      </c>
      <c r="EB213" s="10" t="s">
        <v>1513</v>
      </c>
      <c r="EC213" s="10">
        <v>419</v>
      </c>
      <c r="ED213" s="10" t="s">
        <v>1746</v>
      </c>
      <c r="EE213" s="10">
        <f t="shared" si="114"/>
        <v>0</v>
      </c>
      <c r="EF213">
        <f>ROWS($DE$2:DE213)</f>
        <v>212</v>
      </c>
      <c r="EG213" t="str">
        <f t="shared" si="115"/>
        <v/>
      </c>
      <c r="EJ213" t="str">
        <f t="shared" si="116"/>
        <v/>
      </c>
      <c r="EM213" t="str">
        <f t="shared" si="117"/>
        <v/>
      </c>
      <c r="EP213" t="str">
        <f t="shared" si="118"/>
        <v/>
      </c>
      <c r="ES213" t="str">
        <f t="shared" si="119"/>
        <v/>
      </c>
      <c r="EV213" t="str">
        <f t="shared" si="120"/>
        <v/>
      </c>
      <c r="EY213" t="str">
        <f t="shared" si="121"/>
        <v/>
      </c>
      <c r="FB213" t="str">
        <f t="shared" si="122"/>
        <v/>
      </c>
      <c r="FE213" t="str">
        <f t="shared" si="123"/>
        <v/>
      </c>
      <c r="FH213" t="str">
        <f t="shared" si="124"/>
        <v/>
      </c>
      <c r="FK213" t="str">
        <f t="shared" si="125"/>
        <v/>
      </c>
      <c r="FN213" t="str">
        <f t="shared" si="126"/>
        <v/>
      </c>
      <c r="FQ213" t="str">
        <f t="shared" si="127"/>
        <v/>
      </c>
      <c r="FT213" t="str">
        <f t="shared" si="128"/>
        <v/>
      </c>
      <c r="FW213" t="str">
        <f t="shared" si="129"/>
        <v/>
      </c>
      <c r="FZ213" t="str">
        <f t="shared" si="130"/>
        <v/>
      </c>
      <c r="GC213" t="str">
        <f t="shared" si="131"/>
        <v/>
      </c>
      <c r="GE213" s="155"/>
    </row>
    <row r="214" spans="1:187" ht="15.75" customHeight="1" x14ac:dyDescent="0.35">
      <c r="A214" s="36"/>
      <c r="B214" s="36"/>
      <c r="D214" s="670"/>
      <c r="L214" s="10">
        <v>1137408</v>
      </c>
      <c r="O214" s="292">
        <v>4</v>
      </c>
      <c r="P214" s="179">
        <v>179734</v>
      </c>
      <c r="Q214" s="179">
        <v>30</v>
      </c>
      <c r="R214" s="293"/>
      <c r="S214" s="37">
        <v>17.5</v>
      </c>
      <c r="T214" s="37" t="s">
        <v>758</v>
      </c>
      <c r="U214" s="37">
        <v>969409</v>
      </c>
      <c r="V214" s="171" t="s">
        <v>90</v>
      </c>
      <c r="W214" s="281">
        <v>3</v>
      </c>
      <c r="X214" s="269">
        <v>3</v>
      </c>
      <c r="Y214" s="269">
        <v>3</v>
      </c>
      <c r="Z214" s="269">
        <v>3</v>
      </c>
      <c r="AA214" s="269">
        <v>3</v>
      </c>
      <c r="AB214" s="269">
        <v>3</v>
      </c>
      <c r="AC214" s="269">
        <v>3</v>
      </c>
      <c r="AD214" s="269">
        <v>3</v>
      </c>
      <c r="AE214" s="269">
        <v>3</v>
      </c>
      <c r="AF214" s="269">
        <v>1</v>
      </c>
      <c r="AG214" s="269">
        <v>1</v>
      </c>
      <c r="AH214" s="276"/>
      <c r="AI214" s="275"/>
      <c r="AJ214" s="275"/>
      <c r="AK214" s="275"/>
      <c r="AL214" s="275"/>
      <c r="AM214" s="10"/>
      <c r="AN214" s="37">
        <v>4</v>
      </c>
      <c r="AO214" s="37">
        <v>4</v>
      </c>
      <c r="AP214" s="37">
        <v>4</v>
      </c>
      <c r="AQ214" s="10"/>
      <c r="AR214" s="10"/>
      <c r="AS214" s="10"/>
      <c r="AT214" s="10"/>
      <c r="AU214" s="37">
        <v>5</v>
      </c>
      <c r="AV214" s="37">
        <v>5</v>
      </c>
      <c r="AW214" s="37">
        <v>5</v>
      </c>
      <c r="AX214" s="37">
        <v>5</v>
      </c>
      <c r="AY214" s="188"/>
      <c r="AZ214" s="188"/>
      <c r="BA214" s="188"/>
      <c r="BB214" s="188"/>
      <c r="BC214" s="188"/>
      <c r="BD214" s="188"/>
      <c r="BF214">
        <f>ROWS($U$46:U214)</f>
        <v>169</v>
      </c>
      <c r="BG214" t="str">
        <f t="shared" si="113"/>
        <v/>
      </c>
      <c r="DB214" s="10">
        <v>1141583</v>
      </c>
      <c r="DE214">
        <v>1209410</v>
      </c>
      <c r="DF214" t="s">
        <v>2036</v>
      </c>
      <c r="DG214" t="s">
        <v>2036</v>
      </c>
      <c r="DH214" s="10">
        <v>16</v>
      </c>
      <c r="DI214">
        <v>1613</v>
      </c>
      <c r="DJ214" t="s">
        <v>2038</v>
      </c>
      <c r="DK214"/>
      <c r="DL214" t="s">
        <v>1985</v>
      </c>
      <c r="DM214"/>
      <c r="DO214" s="10">
        <v>497</v>
      </c>
      <c r="DR214" s="10" t="str">
        <f t="shared" ref="DR214:DR222" si="133">DI214 &amp; " " &amp; DJ214 &amp; " " &amp; DK214</f>
        <v xml:space="preserve">1613 CT430MV3 </v>
      </c>
      <c r="DS214" s="37">
        <f t="shared" ref="DS214:DS222" si="134">DT214*1.3</f>
        <v>404.69000000000005</v>
      </c>
      <c r="DT214" s="10">
        <v>311.3</v>
      </c>
      <c r="EE214" s="10">
        <f t="shared" si="114"/>
        <v>0</v>
      </c>
      <c r="EF214">
        <f>ROWS($DE$2:DE214)</f>
        <v>213</v>
      </c>
      <c r="EG214" t="str">
        <f t="shared" si="115"/>
        <v/>
      </c>
      <c r="EJ214" t="str">
        <f t="shared" si="116"/>
        <v/>
      </c>
      <c r="EM214" t="str">
        <f t="shared" si="117"/>
        <v/>
      </c>
      <c r="EP214" t="str">
        <f t="shared" si="118"/>
        <v/>
      </c>
      <c r="ES214" t="str">
        <f t="shared" si="119"/>
        <v/>
      </c>
      <c r="EV214" t="str">
        <f t="shared" si="120"/>
        <v/>
      </c>
      <c r="EY214" t="str">
        <f t="shared" si="121"/>
        <v/>
      </c>
      <c r="FB214" t="str">
        <f t="shared" si="122"/>
        <v/>
      </c>
      <c r="FE214" t="str">
        <f t="shared" si="123"/>
        <v/>
      </c>
      <c r="FH214" t="str">
        <f t="shared" si="124"/>
        <v/>
      </c>
      <c r="FK214" t="str">
        <f t="shared" si="125"/>
        <v/>
      </c>
      <c r="FN214" t="str">
        <f t="shared" si="126"/>
        <v/>
      </c>
      <c r="FQ214" t="str">
        <f t="shared" si="127"/>
        <v/>
      </c>
      <c r="FT214" t="str">
        <f t="shared" si="128"/>
        <v/>
      </c>
      <c r="FW214" t="str">
        <f t="shared" si="129"/>
        <v/>
      </c>
      <c r="FZ214" t="str">
        <f t="shared" si="130"/>
        <v/>
      </c>
      <c r="GC214" t="str">
        <f t="shared" si="131"/>
        <v/>
      </c>
      <c r="GE214" s="155"/>
    </row>
    <row r="215" spans="1:187" ht="15.75" customHeight="1" x14ac:dyDescent="0.35">
      <c r="A215" s="36"/>
      <c r="B215" s="36"/>
      <c r="D215" s="671"/>
      <c r="L215" s="10">
        <v>1137431</v>
      </c>
      <c r="O215" s="37">
        <v>5</v>
      </c>
      <c r="P215" s="167">
        <v>410851</v>
      </c>
      <c r="Q215" s="167">
        <v>24</v>
      </c>
      <c r="R215" s="37"/>
      <c r="S215" s="80">
        <v>17.5</v>
      </c>
      <c r="T215" s="37" t="s">
        <v>758</v>
      </c>
      <c r="U215" s="37">
        <v>969409</v>
      </c>
      <c r="V215" s="171" t="s">
        <v>91</v>
      </c>
      <c r="W215" s="281">
        <v>2</v>
      </c>
      <c r="X215" s="269">
        <v>2</v>
      </c>
      <c r="Y215" s="269">
        <v>2</v>
      </c>
      <c r="Z215" s="269">
        <v>2</v>
      </c>
      <c r="AA215" s="269">
        <v>2</v>
      </c>
      <c r="AB215" s="269">
        <v>3</v>
      </c>
      <c r="AC215" s="269">
        <v>3</v>
      </c>
      <c r="AD215" s="269">
        <v>3</v>
      </c>
      <c r="AE215" s="269">
        <v>3</v>
      </c>
      <c r="AF215" s="269">
        <v>3</v>
      </c>
      <c r="AG215" s="269">
        <v>3</v>
      </c>
      <c r="AH215" s="269">
        <v>3</v>
      </c>
      <c r="AI215" s="269">
        <v>3</v>
      </c>
      <c r="AJ215" s="269">
        <v>3</v>
      </c>
      <c r="AK215" s="269">
        <v>1</v>
      </c>
      <c r="AL215" s="269">
        <v>1</v>
      </c>
      <c r="AM215" s="258"/>
      <c r="AN215" s="37">
        <v>4</v>
      </c>
      <c r="AO215" s="37">
        <v>4</v>
      </c>
      <c r="AP215" s="37">
        <v>4</v>
      </c>
      <c r="AQ215" s="37">
        <v>4</v>
      </c>
      <c r="AR215" s="37">
        <v>4</v>
      </c>
      <c r="AS215" s="37">
        <v>4</v>
      </c>
      <c r="AT215" s="37">
        <v>4</v>
      </c>
      <c r="AU215" s="37">
        <v>5</v>
      </c>
      <c r="AV215" s="37">
        <v>5</v>
      </c>
      <c r="AW215" s="37">
        <v>5</v>
      </c>
      <c r="AX215" s="37">
        <v>5</v>
      </c>
      <c r="AY215" s="188"/>
      <c r="AZ215" s="188"/>
      <c r="BA215" s="188"/>
      <c r="BB215" s="188"/>
      <c r="BC215" s="188"/>
      <c r="BD215" s="188"/>
      <c r="BF215">
        <f>ROWS($U$46:U215)</f>
        <v>170</v>
      </c>
      <c r="BG215" t="str">
        <f t="shared" si="113"/>
        <v/>
      </c>
      <c r="DB215" s="10">
        <v>1220334</v>
      </c>
      <c r="DE215">
        <v>1165840</v>
      </c>
      <c r="DF215" t="s">
        <v>2037</v>
      </c>
      <c r="DG215" t="s">
        <v>2037</v>
      </c>
      <c r="DH215" s="10">
        <v>16</v>
      </c>
      <c r="DI215">
        <v>1613</v>
      </c>
      <c r="DJ215" t="s">
        <v>2025</v>
      </c>
      <c r="DK215"/>
      <c r="DL215" t="s">
        <v>1985</v>
      </c>
      <c r="DM215"/>
      <c r="DO215" s="10">
        <v>497</v>
      </c>
      <c r="DR215" s="10" t="str">
        <f t="shared" si="133"/>
        <v xml:space="preserve">1613 MT </v>
      </c>
      <c r="DS215" s="37">
        <f t="shared" si="134"/>
        <v>0</v>
      </c>
      <c r="EE215" s="10">
        <f t="shared" si="114"/>
        <v>0</v>
      </c>
      <c r="EF215">
        <f>ROWS($DE$2:DE215)</f>
        <v>214</v>
      </c>
      <c r="EG215" t="str">
        <f t="shared" si="115"/>
        <v/>
      </c>
      <c r="EJ215" t="str">
        <f t="shared" si="116"/>
        <v/>
      </c>
      <c r="EM215" t="str">
        <f t="shared" si="117"/>
        <v/>
      </c>
      <c r="EP215" t="str">
        <f t="shared" si="118"/>
        <v/>
      </c>
      <c r="ES215" t="str">
        <f t="shared" si="119"/>
        <v/>
      </c>
      <c r="EV215" t="str">
        <f t="shared" si="120"/>
        <v/>
      </c>
      <c r="EY215" t="str">
        <f t="shared" si="121"/>
        <v/>
      </c>
      <c r="FB215" t="str">
        <f t="shared" si="122"/>
        <v/>
      </c>
      <c r="FE215" t="str">
        <f t="shared" si="123"/>
        <v/>
      </c>
      <c r="FH215" t="str">
        <f t="shared" si="124"/>
        <v/>
      </c>
      <c r="FK215" t="str">
        <f t="shared" si="125"/>
        <v/>
      </c>
      <c r="FN215" t="str">
        <f t="shared" si="126"/>
        <v/>
      </c>
      <c r="FQ215" t="str">
        <f t="shared" si="127"/>
        <v/>
      </c>
      <c r="FT215" t="str">
        <f t="shared" si="128"/>
        <v/>
      </c>
      <c r="FW215" t="str">
        <f t="shared" si="129"/>
        <v/>
      </c>
      <c r="FZ215" t="str">
        <f t="shared" si="130"/>
        <v/>
      </c>
      <c r="GC215" t="str">
        <f t="shared" si="131"/>
        <v/>
      </c>
      <c r="GE215" s="155"/>
    </row>
    <row r="216" spans="1:187" ht="15.75" customHeight="1" thickBot="1" x14ac:dyDescent="0.4">
      <c r="A216" s="36"/>
      <c r="B216" s="36"/>
      <c r="D216" s="671"/>
      <c r="L216" s="10">
        <v>1138896</v>
      </c>
      <c r="O216" s="75"/>
      <c r="P216" s="167"/>
      <c r="Q216" s="167"/>
      <c r="R216" s="37"/>
      <c r="S216" s="37">
        <v>17.5</v>
      </c>
      <c r="T216" s="294" t="s">
        <v>758</v>
      </c>
      <c r="U216" s="294">
        <v>969409</v>
      </c>
      <c r="V216" s="195" t="s">
        <v>92</v>
      </c>
      <c r="W216" s="295">
        <v>3</v>
      </c>
      <c r="X216" s="295">
        <v>3</v>
      </c>
      <c r="Y216" s="295">
        <v>3</v>
      </c>
      <c r="Z216" s="295">
        <v>3</v>
      </c>
      <c r="AA216" s="295">
        <v>3</v>
      </c>
      <c r="AB216" s="295">
        <v>3</v>
      </c>
      <c r="AC216" s="295">
        <v>3</v>
      </c>
      <c r="AD216" s="295">
        <v>3</v>
      </c>
      <c r="AE216" s="295">
        <v>3</v>
      </c>
      <c r="AF216" s="295">
        <v>1</v>
      </c>
      <c r="AG216" s="295">
        <v>1</v>
      </c>
      <c r="AH216" s="296"/>
      <c r="AI216" s="297"/>
      <c r="AJ216" s="297"/>
      <c r="AK216" s="297"/>
      <c r="AL216" s="284"/>
      <c r="AM216" s="10"/>
      <c r="AN216" s="293">
        <v>4</v>
      </c>
      <c r="AO216" s="293">
        <v>4</v>
      </c>
      <c r="AP216" s="293">
        <v>4</v>
      </c>
      <c r="AQ216" s="10"/>
      <c r="AR216" s="10"/>
      <c r="AS216" s="10"/>
      <c r="AT216" s="10"/>
      <c r="AU216" s="37">
        <v>5</v>
      </c>
      <c r="AV216" s="37">
        <v>5</v>
      </c>
      <c r="AW216" s="37">
        <v>5</v>
      </c>
      <c r="AX216" s="37">
        <v>5</v>
      </c>
      <c r="AY216" s="188"/>
      <c r="AZ216" s="188"/>
      <c r="BA216" s="188"/>
      <c r="BB216" s="188"/>
      <c r="BC216" s="188"/>
      <c r="BD216" s="188"/>
      <c r="BF216">
        <f>ROWS($U$46:U216)</f>
        <v>171</v>
      </c>
      <c r="BG216" t="str">
        <f t="shared" si="113"/>
        <v/>
      </c>
      <c r="DB216" s="10">
        <v>1217988</v>
      </c>
      <c r="DE216" s="10">
        <v>1118417</v>
      </c>
      <c r="DF216" s="10" t="s">
        <v>2046</v>
      </c>
      <c r="DG216" s="10" t="s">
        <v>2046</v>
      </c>
      <c r="DH216" s="10">
        <v>19</v>
      </c>
      <c r="DI216">
        <v>1913</v>
      </c>
      <c r="DJ216" t="s">
        <v>2040</v>
      </c>
      <c r="DK216"/>
      <c r="DL216"/>
      <c r="DM216"/>
      <c r="DO216" s="10">
        <v>660</v>
      </c>
      <c r="DR216" s="10" t="str">
        <f t="shared" si="133"/>
        <v xml:space="preserve">1913 TESTUSSDL </v>
      </c>
      <c r="DS216" s="37">
        <f t="shared" si="134"/>
        <v>0</v>
      </c>
      <c r="EE216" s="10">
        <f t="shared" si="114"/>
        <v>0</v>
      </c>
      <c r="EF216">
        <f>ROWS($DE$2:DE216)</f>
        <v>215</v>
      </c>
      <c r="EG216" t="str">
        <f t="shared" si="115"/>
        <v/>
      </c>
      <c r="EJ216" t="str">
        <f t="shared" si="116"/>
        <v/>
      </c>
      <c r="EM216" t="str">
        <f t="shared" si="117"/>
        <v/>
      </c>
      <c r="EP216" t="str">
        <f t="shared" si="118"/>
        <v/>
      </c>
      <c r="ES216" t="str">
        <f t="shared" si="119"/>
        <v/>
      </c>
      <c r="EV216" t="str">
        <f t="shared" si="120"/>
        <v/>
      </c>
      <c r="EY216" t="str">
        <f t="shared" si="121"/>
        <v/>
      </c>
      <c r="FB216" t="str">
        <f t="shared" si="122"/>
        <v/>
      </c>
      <c r="FE216" t="str">
        <f t="shared" si="123"/>
        <v/>
      </c>
      <c r="FH216" t="str">
        <f t="shared" si="124"/>
        <v/>
      </c>
      <c r="FK216" t="str">
        <f t="shared" si="125"/>
        <v/>
      </c>
      <c r="FN216" t="str">
        <f t="shared" si="126"/>
        <v/>
      </c>
      <c r="FQ216" t="str">
        <f t="shared" si="127"/>
        <v/>
      </c>
      <c r="FT216" t="str">
        <f t="shared" si="128"/>
        <v/>
      </c>
      <c r="FW216" t="str">
        <f t="shared" si="129"/>
        <v/>
      </c>
      <c r="FZ216" t="str">
        <f t="shared" si="130"/>
        <v/>
      </c>
      <c r="GC216" t="str">
        <f t="shared" si="131"/>
        <v/>
      </c>
      <c r="GE216" s="155"/>
    </row>
    <row r="217" spans="1:187" ht="15.75" customHeight="1" x14ac:dyDescent="0.35">
      <c r="A217" s="36"/>
      <c r="B217" s="36"/>
      <c r="D217" s="671"/>
      <c r="L217" s="10">
        <v>1138943</v>
      </c>
      <c r="O217" s="298">
        <v>1</v>
      </c>
      <c r="P217" s="231">
        <v>418525</v>
      </c>
      <c r="Q217" s="231">
        <v>9</v>
      </c>
      <c r="R217" s="299"/>
      <c r="S217" s="291">
        <v>12.25</v>
      </c>
      <c r="T217" s="291" t="s">
        <v>759</v>
      </c>
      <c r="U217" s="291">
        <v>1007863</v>
      </c>
      <c r="V217" s="183" t="s">
        <v>87</v>
      </c>
      <c r="W217" s="173">
        <v>3</v>
      </c>
      <c r="X217" s="300">
        <v>3</v>
      </c>
      <c r="Y217" s="300">
        <v>3</v>
      </c>
      <c r="Z217" s="300">
        <v>3</v>
      </c>
      <c r="AA217" s="300">
        <v>4</v>
      </c>
      <c r="AB217" s="300">
        <v>4</v>
      </c>
      <c r="AC217" s="300">
        <v>4</v>
      </c>
      <c r="AD217" s="300">
        <v>6</v>
      </c>
      <c r="AE217" s="300">
        <v>6</v>
      </c>
      <c r="AF217" s="300">
        <v>1</v>
      </c>
      <c r="AG217" s="300">
        <v>1</v>
      </c>
      <c r="AH217" s="300">
        <v>5</v>
      </c>
      <c r="AI217" s="185">
        <v>5</v>
      </c>
      <c r="AJ217" s="301">
        <v>5</v>
      </c>
      <c r="AK217" s="301">
        <v>5</v>
      </c>
      <c r="AL217" s="258"/>
      <c r="AM217" s="37">
        <v>7</v>
      </c>
      <c r="AN217" s="37">
        <v>7</v>
      </c>
      <c r="AO217" s="37">
        <v>7</v>
      </c>
      <c r="AP217" s="37">
        <v>7</v>
      </c>
      <c r="AQ217" s="10"/>
      <c r="AR217" s="10"/>
      <c r="AS217" s="10"/>
      <c r="AT217" s="10"/>
      <c r="AU217" s="10"/>
      <c r="AV217" s="10"/>
      <c r="AW217" s="10"/>
      <c r="AX217" s="10"/>
      <c r="AY217" s="188"/>
      <c r="AZ217" s="188"/>
      <c r="BA217" s="188"/>
      <c r="BB217" s="188"/>
      <c r="BC217" s="188"/>
      <c r="BD217" s="188"/>
      <c r="BF217">
        <f>ROWS($U$46:U217)</f>
        <v>172</v>
      </c>
      <c r="BG217" t="str">
        <f t="shared" si="113"/>
        <v/>
      </c>
      <c r="DB217" s="10">
        <v>1165878</v>
      </c>
      <c r="DE217" s="10">
        <v>1142633</v>
      </c>
      <c r="DF217" s="10" t="s">
        <v>2047</v>
      </c>
      <c r="DG217" s="10" t="s">
        <v>2047</v>
      </c>
      <c r="DH217" s="10">
        <v>19</v>
      </c>
      <c r="DI217">
        <v>1913</v>
      </c>
      <c r="DJ217" t="s">
        <v>1231</v>
      </c>
      <c r="DK217"/>
      <c r="DL217" t="s">
        <v>1985</v>
      </c>
      <c r="DM217"/>
      <c r="DO217" s="10">
        <v>660</v>
      </c>
      <c r="DR217" s="10" t="str">
        <f t="shared" si="133"/>
        <v xml:space="preserve">1913 CT418 </v>
      </c>
      <c r="DS217" s="37">
        <f t="shared" si="134"/>
        <v>0</v>
      </c>
      <c r="EE217" s="10">
        <f t="shared" si="114"/>
        <v>0</v>
      </c>
      <c r="EF217">
        <f>ROWS($DE$2:DE217)</f>
        <v>216</v>
      </c>
      <c r="EG217" t="str">
        <f t="shared" si="115"/>
        <v/>
      </c>
      <c r="EJ217" t="str">
        <f t="shared" si="116"/>
        <v/>
      </c>
      <c r="EM217" t="str">
        <f t="shared" si="117"/>
        <v/>
      </c>
      <c r="EP217" t="str">
        <f t="shared" si="118"/>
        <v/>
      </c>
      <c r="ES217" t="str">
        <f t="shared" si="119"/>
        <v/>
      </c>
      <c r="EV217" t="str">
        <f t="shared" si="120"/>
        <v/>
      </c>
      <c r="EY217" t="str">
        <f t="shared" si="121"/>
        <v/>
      </c>
      <c r="FB217" t="str">
        <f t="shared" si="122"/>
        <v/>
      </c>
      <c r="FE217" t="str">
        <f t="shared" si="123"/>
        <v/>
      </c>
      <c r="FH217" t="str">
        <f t="shared" si="124"/>
        <v/>
      </c>
      <c r="FK217" t="str">
        <f t="shared" si="125"/>
        <v/>
      </c>
      <c r="FN217" t="str">
        <f t="shared" si="126"/>
        <v/>
      </c>
      <c r="FQ217" t="str">
        <f t="shared" si="127"/>
        <v/>
      </c>
      <c r="FT217" t="str">
        <f t="shared" si="128"/>
        <v/>
      </c>
      <c r="FW217" t="str">
        <f t="shared" si="129"/>
        <v/>
      </c>
      <c r="FZ217" t="str">
        <f t="shared" si="130"/>
        <v/>
      </c>
      <c r="GC217" t="str">
        <f t="shared" si="131"/>
        <v/>
      </c>
      <c r="GE217" s="155"/>
    </row>
    <row r="218" spans="1:187" ht="15.75" customHeight="1" x14ac:dyDescent="0.35">
      <c r="A218" s="36"/>
      <c r="B218" s="36"/>
      <c r="D218" s="671"/>
      <c r="L218" s="10">
        <v>1140397</v>
      </c>
      <c r="O218" s="75">
        <v>2</v>
      </c>
      <c r="P218" s="167">
        <v>871781</v>
      </c>
      <c r="Q218" s="167">
        <v>3</v>
      </c>
      <c r="R218" s="37"/>
      <c r="S218" s="37">
        <v>12.25</v>
      </c>
      <c r="T218" s="37" t="s">
        <v>759</v>
      </c>
      <c r="U218" s="37">
        <v>1007863</v>
      </c>
      <c r="V218" s="171" t="s">
        <v>88</v>
      </c>
      <c r="W218" s="40">
        <v>3</v>
      </c>
      <c r="X218" s="215">
        <v>4</v>
      </c>
      <c r="Y218" s="215">
        <v>4</v>
      </c>
      <c r="Z218" s="215">
        <v>4</v>
      </c>
      <c r="AA218" s="215">
        <v>6</v>
      </c>
      <c r="AB218" s="215">
        <v>6</v>
      </c>
      <c r="AC218" s="215">
        <v>1</v>
      </c>
      <c r="AD218" s="215">
        <v>2</v>
      </c>
      <c r="AE218" s="215">
        <v>5</v>
      </c>
      <c r="AF218" s="215">
        <v>5</v>
      </c>
      <c r="AG218" s="215">
        <v>5</v>
      </c>
      <c r="AH218" s="215">
        <v>5</v>
      </c>
      <c r="AI218" s="171"/>
      <c r="AJ218" s="172"/>
      <c r="AK218" s="175"/>
      <c r="AL218" s="10"/>
      <c r="AM218" s="37">
        <v>7</v>
      </c>
      <c r="AN218" s="37">
        <v>7</v>
      </c>
      <c r="AO218" s="26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88"/>
      <c r="AZ218" s="188"/>
      <c r="BA218" s="188"/>
      <c r="BB218" s="188"/>
      <c r="BC218" s="188"/>
      <c r="BD218" s="188"/>
      <c r="BF218">
        <f>ROWS($U$46:U218)</f>
        <v>173</v>
      </c>
      <c r="BG218" t="str">
        <f t="shared" si="113"/>
        <v/>
      </c>
      <c r="DB218" s="10">
        <v>1165879</v>
      </c>
      <c r="DE218">
        <v>1141584</v>
      </c>
      <c r="DF218" t="s">
        <v>2048</v>
      </c>
      <c r="DG218" t="s">
        <v>2048</v>
      </c>
      <c r="DH218" s="10">
        <v>19</v>
      </c>
      <c r="DI218">
        <v>1913</v>
      </c>
      <c r="DJ218" t="s">
        <v>2041</v>
      </c>
      <c r="DK218"/>
      <c r="DL218" t="s">
        <v>1985</v>
      </c>
      <c r="DM218"/>
      <c r="DO218" s="10">
        <v>660</v>
      </c>
      <c r="DR218" s="10" t="str">
        <f t="shared" si="133"/>
        <v xml:space="preserve">1913 CT147 </v>
      </c>
      <c r="DS218" s="37">
        <f t="shared" si="134"/>
        <v>0</v>
      </c>
      <c r="EE218" s="10">
        <f t="shared" si="114"/>
        <v>0</v>
      </c>
      <c r="EF218">
        <f>ROWS($DE$2:DE218)</f>
        <v>217</v>
      </c>
      <c r="EG218" t="str">
        <f t="shared" si="115"/>
        <v/>
      </c>
      <c r="EJ218" t="str">
        <f t="shared" si="116"/>
        <v/>
      </c>
      <c r="EM218" t="str">
        <f t="shared" si="117"/>
        <v/>
      </c>
      <c r="EP218" t="str">
        <f t="shared" si="118"/>
        <v/>
      </c>
      <c r="ES218" t="str">
        <f t="shared" si="119"/>
        <v/>
      </c>
      <c r="EV218" t="str">
        <f t="shared" si="120"/>
        <v/>
      </c>
      <c r="EY218" t="str">
        <f t="shared" si="121"/>
        <v/>
      </c>
      <c r="FB218" t="str">
        <f t="shared" si="122"/>
        <v/>
      </c>
      <c r="FE218" t="str">
        <f t="shared" si="123"/>
        <v/>
      </c>
      <c r="FH218" t="str">
        <f t="shared" si="124"/>
        <v/>
      </c>
      <c r="FK218" t="str">
        <f t="shared" si="125"/>
        <v/>
      </c>
      <c r="FN218" t="str">
        <f t="shared" si="126"/>
        <v/>
      </c>
      <c r="FQ218" t="str">
        <f t="shared" si="127"/>
        <v/>
      </c>
      <c r="FT218" t="str">
        <f t="shared" si="128"/>
        <v/>
      </c>
      <c r="FW218" t="str">
        <f t="shared" si="129"/>
        <v/>
      </c>
      <c r="FZ218" t="str">
        <f t="shared" si="130"/>
        <v/>
      </c>
      <c r="GC218" t="str">
        <f t="shared" si="131"/>
        <v/>
      </c>
      <c r="GE218" s="155"/>
    </row>
    <row r="219" spans="1:187" ht="15.75" customHeight="1" x14ac:dyDescent="0.35">
      <c r="A219" s="36"/>
      <c r="B219" s="36"/>
      <c r="D219" s="671"/>
      <c r="L219" s="10">
        <v>1140761</v>
      </c>
      <c r="O219" s="75">
        <v>3</v>
      </c>
      <c r="P219" s="167">
        <v>770451</v>
      </c>
      <c r="Q219" s="167">
        <v>12</v>
      </c>
      <c r="R219" s="37"/>
      <c r="S219" s="37">
        <v>12.25</v>
      </c>
      <c r="T219" s="37" t="s">
        <v>759</v>
      </c>
      <c r="U219" s="37">
        <v>1007863</v>
      </c>
      <c r="V219" s="171" t="s">
        <v>89</v>
      </c>
      <c r="W219" s="40">
        <v>3</v>
      </c>
      <c r="X219" s="215">
        <v>3</v>
      </c>
      <c r="Y219" s="215">
        <v>3</v>
      </c>
      <c r="Z219" s="215">
        <v>4</v>
      </c>
      <c r="AA219" s="215">
        <v>4</v>
      </c>
      <c r="AB219" s="215">
        <v>4</v>
      </c>
      <c r="AC219" s="215">
        <v>6</v>
      </c>
      <c r="AD219" s="215">
        <v>6</v>
      </c>
      <c r="AE219" s="215">
        <v>1</v>
      </c>
      <c r="AF219" s="215">
        <v>1</v>
      </c>
      <c r="AG219" s="215">
        <v>5</v>
      </c>
      <c r="AH219" s="215">
        <v>5</v>
      </c>
      <c r="AI219" s="173">
        <v>5</v>
      </c>
      <c r="AJ219" s="300">
        <v>5</v>
      </c>
      <c r="AK219" s="177"/>
      <c r="AL219" s="10"/>
      <c r="AM219" s="37">
        <v>7</v>
      </c>
      <c r="AN219" s="37">
        <v>7</v>
      </c>
      <c r="AO219" s="37">
        <v>7</v>
      </c>
      <c r="AP219" s="10"/>
      <c r="AQ219" s="10"/>
      <c r="AR219" s="10"/>
      <c r="AS219" s="10"/>
      <c r="AT219" s="10"/>
      <c r="AU219" s="10"/>
      <c r="AV219" s="10"/>
      <c r="AW219" s="10"/>
      <c r="AX219" s="10"/>
      <c r="AY219" s="188"/>
      <c r="AZ219" s="188"/>
      <c r="BA219" s="188"/>
      <c r="BB219" s="188"/>
      <c r="BC219" s="188"/>
      <c r="BD219" s="188"/>
      <c r="BF219">
        <f>ROWS($U$46:U219)</f>
        <v>174</v>
      </c>
      <c r="BG219" t="str">
        <f t="shared" si="113"/>
        <v/>
      </c>
      <c r="DB219" s="10">
        <v>395697</v>
      </c>
      <c r="DE219">
        <v>1050854</v>
      </c>
      <c r="DF219" t="s">
        <v>2049</v>
      </c>
      <c r="DG219" t="s">
        <v>2049</v>
      </c>
      <c r="DH219" s="10">
        <v>8</v>
      </c>
      <c r="DI219" t="s">
        <v>2042</v>
      </c>
      <c r="DJ219" t="s">
        <v>1995</v>
      </c>
      <c r="DK219"/>
      <c r="DL219"/>
      <c r="DM219"/>
      <c r="DO219" s="10">
        <v>272</v>
      </c>
      <c r="DR219" s="10" t="str">
        <f t="shared" si="133"/>
        <v xml:space="preserve">8MM CT220 </v>
      </c>
      <c r="DS219" s="37">
        <f t="shared" si="134"/>
        <v>0</v>
      </c>
      <c r="EE219" s="10">
        <f t="shared" si="114"/>
        <v>0</v>
      </c>
      <c r="EF219">
        <f>ROWS($DE$2:DE219)</f>
        <v>218</v>
      </c>
      <c r="EG219" t="str">
        <f t="shared" si="115"/>
        <v/>
      </c>
      <c r="EJ219" t="str">
        <f t="shared" si="116"/>
        <v/>
      </c>
      <c r="EM219" t="str">
        <f t="shared" si="117"/>
        <v/>
      </c>
      <c r="EP219" t="str">
        <f t="shared" si="118"/>
        <v/>
      </c>
      <c r="ES219" t="str">
        <f t="shared" si="119"/>
        <v/>
      </c>
      <c r="EV219" t="str">
        <f t="shared" si="120"/>
        <v/>
      </c>
      <c r="EY219" t="str">
        <f t="shared" si="121"/>
        <v/>
      </c>
      <c r="FB219" t="str">
        <f t="shared" si="122"/>
        <v/>
      </c>
      <c r="FE219" t="str">
        <f t="shared" si="123"/>
        <v/>
      </c>
      <c r="FH219" t="str">
        <f t="shared" si="124"/>
        <v/>
      </c>
      <c r="FK219" t="str">
        <f t="shared" si="125"/>
        <v/>
      </c>
      <c r="FN219" t="str">
        <f t="shared" si="126"/>
        <v/>
      </c>
      <c r="FQ219" t="str">
        <f t="shared" si="127"/>
        <v/>
      </c>
      <c r="FT219" t="str">
        <f t="shared" si="128"/>
        <v/>
      </c>
      <c r="FW219" t="str">
        <f t="shared" si="129"/>
        <v/>
      </c>
      <c r="FZ219" t="str">
        <f t="shared" si="130"/>
        <v/>
      </c>
      <c r="GC219" t="str">
        <f t="shared" si="131"/>
        <v/>
      </c>
      <c r="GE219" s="155"/>
    </row>
    <row r="220" spans="1:187" ht="15" customHeight="1" x14ac:dyDescent="0.35">
      <c r="D220" s="671"/>
      <c r="L220" s="10">
        <v>1140887</v>
      </c>
      <c r="O220" s="75">
        <v>4</v>
      </c>
      <c r="P220" s="167">
        <v>745576</v>
      </c>
      <c r="Q220" s="167">
        <v>18</v>
      </c>
      <c r="R220" s="37"/>
      <c r="S220" s="37">
        <v>12.25</v>
      </c>
      <c r="T220" s="37" t="s">
        <v>759</v>
      </c>
      <c r="U220" s="37">
        <v>1007863</v>
      </c>
      <c r="V220" s="171" t="s">
        <v>90</v>
      </c>
      <c r="W220" s="173">
        <v>3</v>
      </c>
      <c r="X220" s="300">
        <v>4</v>
      </c>
      <c r="Y220" s="300">
        <v>4</v>
      </c>
      <c r="Z220" s="300">
        <v>6</v>
      </c>
      <c r="AA220" s="300">
        <v>6</v>
      </c>
      <c r="AB220" s="300">
        <v>6</v>
      </c>
      <c r="AC220" s="300">
        <v>1</v>
      </c>
      <c r="AD220" s="300">
        <v>2</v>
      </c>
      <c r="AE220" s="300">
        <v>5</v>
      </c>
      <c r="AF220" s="300">
        <v>5</v>
      </c>
      <c r="AG220" s="300">
        <v>5</v>
      </c>
      <c r="AH220" s="300">
        <v>5</v>
      </c>
      <c r="AI220" s="171"/>
      <c r="AJ220" s="172"/>
      <c r="AK220" s="178"/>
      <c r="AL220" s="10"/>
      <c r="AM220" s="37">
        <v>7</v>
      </c>
      <c r="AN220" s="37">
        <v>7</v>
      </c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88"/>
      <c r="AZ220" s="188"/>
      <c r="BA220" s="188"/>
      <c r="BB220" s="188"/>
      <c r="BC220" s="188"/>
      <c r="BD220" s="188"/>
      <c r="BF220">
        <f>ROWS($U$46:U220)</f>
        <v>175</v>
      </c>
      <c r="BG220" t="str">
        <f t="shared" si="113"/>
        <v/>
      </c>
      <c r="DB220" s="10">
        <v>179702</v>
      </c>
      <c r="DE220">
        <v>1161228</v>
      </c>
      <c r="DF220" t="s">
        <v>2050</v>
      </c>
      <c r="DG220" t="s">
        <v>2050</v>
      </c>
      <c r="DH220" s="10">
        <v>13</v>
      </c>
      <c r="DI220" t="s">
        <v>2043</v>
      </c>
      <c r="DJ220" t="s">
        <v>2044</v>
      </c>
      <c r="DK220"/>
      <c r="DL220"/>
      <c r="DM220"/>
      <c r="DO220" s="10">
        <v>360</v>
      </c>
      <c r="DR220" s="10" t="str">
        <f t="shared" si="133"/>
        <v xml:space="preserve">13MM IMPREG </v>
      </c>
      <c r="DS220" s="37">
        <f t="shared" si="134"/>
        <v>0</v>
      </c>
      <c r="EE220" s="10">
        <f t="shared" si="114"/>
        <v>0</v>
      </c>
      <c r="EF220">
        <f>ROWS($DE$2:DE220)</f>
        <v>219</v>
      </c>
      <c r="EG220" t="str">
        <f t="shared" si="115"/>
        <v/>
      </c>
      <c r="EJ220" t="str">
        <f t="shared" si="116"/>
        <v/>
      </c>
      <c r="EM220" t="str">
        <f t="shared" si="117"/>
        <v/>
      </c>
      <c r="EP220" t="str">
        <f t="shared" si="118"/>
        <v/>
      </c>
      <c r="ES220" t="str">
        <f t="shared" si="119"/>
        <v/>
      </c>
      <c r="EV220" t="str">
        <f t="shared" si="120"/>
        <v/>
      </c>
      <c r="EY220" t="str">
        <f t="shared" si="121"/>
        <v/>
      </c>
      <c r="FB220" t="str">
        <f t="shared" si="122"/>
        <v/>
      </c>
      <c r="FE220" t="str">
        <f t="shared" si="123"/>
        <v/>
      </c>
      <c r="FH220" t="str">
        <f t="shared" si="124"/>
        <v/>
      </c>
      <c r="FK220" t="str">
        <f t="shared" si="125"/>
        <v/>
      </c>
      <c r="FN220" t="str">
        <f t="shared" si="126"/>
        <v/>
      </c>
      <c r="FQ220" t="str">
        <f t="shared" si="127"/>
        <v/>
      </c>
      <c r="FT220" t="str">
        <f t="shared" si="128"/>
        <v/>
      </c>
      <c r="FW220" t="str">
        <f t="shared" si="129"/>
        <v/>
      </c>
      <c r="FZ220" t="str">
        <f t="shared" si="130"/>
        <v/>
      </c>
      <c r="GC220" t="str">
        <f t="shared" si="131"/>
        <v/>
      </c>
      <c r="GE220" s="155"/>
    </row>
    <row r="221" spans="1:187" ht="15" customHeight="1" x14ac:dyDescent="0.35">
      <c r="D221" s="671"/>
      <c r="L221" s="10">
        <v>1141517</v>
      </c>
      <c r="O221" s="75">
        <v>5</v>
      </c>
      <c r="P221" s="167">
        <v>770450</v>
      </c>
      <c r="Q221" s="167">
        <v>24</v>
      </c>
      <c r="R221" s="37"/>
      <c r="S221" s="37">
        <v>12.25</v>
      </c>
      <c r="T221" s="37" t="s">
        <v>759</v>
      </c>
      <c r="U221" s="37">
        <v>1007863</v>
      </c>
      <c r="V221" s="171" t="s">
        <v>91</v>
      </c>
      <c r="W221" s="40">
        <v>3</v>
      </c>
      <c r="X221" s="215">
        <v>3</v>
      </c>
      <c r="Y221" s="215">
        <v>3</v>
      </c>
      <c r="Z221" s="215">
        <v>4</v>
      </c>
      <c r="AA221" s="215">
        <v>4</v>
      </c>
      <c r="AB221" s="215">
        <v>4</v>
      </c>
      <c r="AC221" s="215">
        <v>6</v>
      </c>
      <c r="AD221" s="215">
        <v>6</v>
      </c>
      <c r="AE221" s="215">
        <v>6</v>
      </c>
      <c r="AF221" s="215">
        <v>1</v>
      </c>
      <c r="AG221" s="215">
        <v>1</v>
      </c>
      <c r="AH221" s="215">
        <v>5</v>
      </c>
      <c r="AI221" s="40">
        <v>5</v>
      </c>
      <c r="AJ221" s="173">
        <v>5</v>
      </c>
      <c r="AK221" s="173">
        <v>5</v>
      </c>
      <c r="AL221" s="258"/>
      <c r="AM221" s="37">
        <v>7</v>
      </c>
      <c r="AN221" s="37">
        <v>7</v>
      </c>
      <c r="AO221" s="37">
        <v>7</v>
      </c>
      <c r="AP221" s="37">
        <v>7</v>
      </c>
      <c r="AQ221" s="10"/>
      <c r="AR221" s="10"/>
      <c r="AS221" s="10"/>
      <c r="AT221" s="10"/>
      <c r="AU221" s="10"/>
      <c r="AV221" s="10"/>
      <c r="AW221" s="10"/>
      <c r="AX221" s="10"/>
      <c r="AY221" s="188"/>
      <c r="AZ221" s="188"/>
      <c r="BA221" s="188"/>
      <c r="BB221" s="188"/>
      <c r="BC221" s="188"/>
      <c r="BD221" s="188"/>
      <c r="BF221">
        <f>ROWS($U$46:U221)</f>
        <v>176</v>
      </c>
      <c r="BG221" t="str">
        <f t="shared" si="113"/>
        <v/>
      </c>
      <c r="DB221" s="10">
        <v>179773</v>
      </c>
      <c r="DE221">
        <v>1141583</v>
      </c>
      <c r="DF221" t="s">
        <v>2053</v>
      </c>
      <c r="DG221" t="s">
        <v>2053</v>
      </c>
      <c r="DH221" s="10">
        <v>16</v>
      </c>
      <c r="DI221">
        <v>1613</v>
      </c>
      <c r="DJ221" t="s">
        <v>2041</v>
      </c>
      <c r="DK221"/>
      <c r="DL221" t="s">
        <v>1985</v>
      </c>
      <c r="DM221"/>
      <c r="DO221" s="10">
        <v>497</v>
      </c>
      <c r="DR221" s="10" t="str">
        <f t="shared" si="133"/>
        <v xml:space="preserve">1613 CT147 </v>
      </c>
      <c r="DS221" s="37">
        <f t="shared" si="134"/>
        <v>0</v>
      </c>
      <c r="EE221" s="10">
        <f t="shared" si="114"/>
        <v>0</v>
      </c>
      <c r="EF221">
        <f>ROWS($DE$2:DE221)</f>
        <v>220</v>
      </c>
      <c r="EG221" t="str">
        <f t="shared" si="115"/>
        <v/>
      </c>
      <c r="EJ221" t="str">
        <f t="shared" si="116"/>
        <v/>
      </c>
      <c r="EM221" t="str">
        <f t="shared" si="117"/>
        <v/>
      </c>
      <c r="EP221" t="str">
        <f t="shared" si="118"/>
        <v/>
      </c>
      <c r="ES221" t="str">
        <f t="shared" si="119"/>
        <v/>
      </c>
      <c r="EV221" t="str">
        <f t="shared" si="120"/>
        <v/>
      </c>
      <c r="EY221" t="str">
        <f t="shared" si="121"/>
        <v/>
      </c>
      <c r="FB221" t="str">
        <f t="shared" si="122"/>
        <v/>
      </c>
      <c r="FE221" t="str">
        <f t="shared" si="123"/>
        <v/>
      </c>
      <c r="FH221" t="str">
        <f t="shared" si="124"/>
        <v/>
      </c>
      <c r="FK221" t="str">
        <f t="shared" si="125"/>
        <v/>
      </c>
      <c r="FN221" t="str">
        <f t="shared" si="126"/>
        <v/>
      </c>
      <c r="FQ221" t="str">
        <f t="shared" si="127"/>
        <v/>
      </c>
      <c r="FT221" t="str">
        <f t="shared" si="128"/>
        <v/>
      </c>
      <c r="FW221" t="str">
        <f t="shared" si="129"/>
        <v/>
      </c>
      <c r="FZ221" t="str">
        <f t="shared" si="130"/>
        <v/>
      </c>
      <c r="GC221" t="str">
        <f t="shared" si="131"/>
        <v/>
      </c>
      <c r="GE221" s="155"/>
    </row>
    <row r="222" spans="1:187" ht="15" customHeight="1" x14ac:dyDescent="0.35">
      <c r="D222" s="671"/>
      <c r="L222" s="10">
        <v>1141552</v>
      </c>
      <c r="O222" s="75">
        <v>6</v>
      </c>
      <c r="P222" s="167">
        <v>729691</v>
      </c>
      <c r="Q222" s="167">
        <v>14</v>
      </c>
      <c r="R222" s="37"/>
      <c r="S222" s="37">
        <v>12.25</v>
      </c>
      <c r="T222" s="37" t="s">
        <v>759</v>
      </c>
      <c r="U222" s="37">
        <v>1007863</v>
      </c>
      <c r="V222" s="171" t="s">
        <v>92</v>
      </c>
      <c r="W222" s="40">
        <v>4</v>
      </c>
      <c r="X222" s="215">
        <v>4</v>
      </c>
      <c r="Y222" s="215">
        <v>4</v>
      </c>
      <c r="Z222" s="215">
        <v>4</v>
      </c>
      <c r="AA222" s="215">
        <v>6</v>
      </c>
      <c r="AB222" s="215">
        <v>6</v>
      </c>
      <c r="AC222" s="215">
        <v>1</v>
      </c>
      <c r="AD222" s="215">
        <v>2</v>
      </c>
      <c r="AE222" s="215">
        <v>5</v>
      </c>
      <c r="AF222" s="215">
        <v>5</v>
      </c>
      <c r="AG222" s="215">
        <v>5</v>
      </c>
      <c r="AH222" s="215">
        <v>5</v>
      </c>
      <c r="AI222" s="180"/>
      <c r="AJ222" s="175"/>
      <c r="AK222" s="10"/>
      <c r="AL222" s="10"/>
      <c r="AM222" s="37">
        <v>7</v>
      </c>
      <c r="AN222" s="37">
        <v>7</v>
      </c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88"/>
      <c r="AZ222" s="188"/>
      <c r="BA222" s="188"/>
      <c r="BB222" s="188"/>
      <c r="BC222" s="188"/>
      <c r="BD222" s="188"/>
      <c r="BF222">
        <f>ROWS($U$46:U222)</f>
        <v>177</v>
      </c>
      <c r="BG222" t="str">
        <f t="shared" si="113"/>
        <v/>
      </c>
      <c r="DB222" s="10">
        <v>1162511</v>
      </c>
      <c r="DE222">
        <v>1220334</v>
      </c>
      <c r="DF222" t="s">
        <v>2063</v>
      </c>
      <c r="DG222" t="s">
        <v>2063</v>
      </c>
      <c r="DH222" s="10">
        <v>13</v>
      </c>
      <c r="DI222">
        <v>1313</v>
      </c>
      <c r="DJ222" t="s">
        <v>2062</v>
      </c>
      <c r="DK222"/>
      <c r="DL222" t="s">
        <v>2061</v>
      </c>
      <c r="DM222"/>
      <c r="DO222" s="10">
        <v>360</v>
      </c>
      <c r="DR222" s="10" t="str">
        <f t="shared" si="133"/>
        <v xml:space="preserve">1313 CT158H </v>
      </c>
      <c r="DS222" s="37">
        <f t="shared" si="134"/>
        <v>0</v>
      </c>
      <c r="EE222" s="10">
        <f t="shared" si="114"/>
        <v>0</v>
      </c>
      <c r="EF222">
        <f>ROWS($DE$2:DE222)</f>
        <v>221</v>
      </c>
      <c r="EG222" t="str">
        <f t="shared" si="115"/>
        <v/>
      </c>
      <c r="EJ222" t="str">
        <f t="shared" si="116"/>
        <v/>
      </c>
      <c r="EM222" t="str">
        <f t="shared" si="117"/>
        <v/>
      </c>
      <c r="EP222" t="str">
        <f t="shared" si="118"/>
        <v/>
      </c>
      <c r="ES222" t="str">
        <f t="shared" si="119"/>
        <v/>
      </c>
      <c r="EV222" t="str">
        <f t="shared" si="120"/>
        <v/>
      </c>
      <c r="EY222" t="str">
        <f t="shared" si="121"/>
        <v/>
      </c>
      <c r="FB222" t="str">
        <f t="shared" si="122"/>
        <v/>
      </c>
      <c r="FE222" t="str">
        <f t="shared" si="123"/>
        <v/>
      </c>
      <c r="FH222" t="str">
        <f t="shared" si="124"/>
        <v/>
      </c>
      <c r="FK222" t="str">
        <f t="shared" si="125"/>
        <v/>
      </c>
      <c r="FN222" t="str">
        <f t="shared" si="126"/>
        <v/>
      </c>
      <c r="FQ222" t="str">
        <f t="shared" si="127"/>
        <v/>
      </c>
      <c r="FT222" t="str">
        <f t="shared" si="128"/>
        <v/>
      </c>
      <c r="FW222" t="str">
        <f t="shared" si="129"/>
        <v/>
      </c>
      <c r="FZ222" t="str">
        <f t="shared" si="130"/>
        <v/>
      </c>
      <c r="GC222" t="str">
        <f t="shared" si="131"/>
        <v/>
      </c>
      <c r="GE222" s="155"/>
    </row>
    <row r="223" spans="1:187" ht="15" customHeight="1" thickBot="1" x14ac:dyDescent="0.4">
      <c r="D223" s="671"/>
      <c r="L223" s="10">
        <v>1142907</v>
      </c>
      <c r="O223" s="302">
        <v>7</v>
      </c>
      <c r="P223" s="250">
        <v>179734</v>
      </c>
      <c r="Q223" s="250">
        <v>17</v>
      </c>
      <c r="R223" s="294"/>
      <c r="S223" s="294">
        <v>12.25</v>
      </c>
      <c r="T223" s="294" t="s">
        <v>759</v>
      </c>
      <c r="U223" s="294">
        <v>1007863</v>
      </c>
      <c r="V223" s="171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88"/>
      <c r="AH223" s="188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F223">
        <f>ROWS($U$46:U223)</f>
        <v>178</v>
      </c>
      <c r="BG223" t="str">
        <f t="shared" si="113"/>
        <v/>
      </c>
      <c r="DB223" s="10">
        <v>1209333</v>
      </c>
      <c r="DE223">
        <v>1217988</v>
      </c>
      <c r="DF223" t="s">
        <v>2071</v>
      </c>
      <c r="DG223" t="s">
        <v>2071</v>
      </c>
      <c r="DH223" s="10">
        <v>13</v>
      </c>
      <c r="DI223">
        <v>1313</v>
      </c>
      <c r="DJ223" t="s">
        <v>2067</v>
      </c>
      <c r="DK223"/>
      <c r="DL223" t="s">
        <v>239</v>
      </c>
      <c r="DM223"/>
      <c r="DO223" s="10">
        <v>360</v>
      </c>
      <c r="DR223" s="10" t="str">
        <f t="shared" ref="DR223:DR228" si="135">DI223 &amp; " " &amp; DJ223 &amp; " " &amp; DK223</f>
        <v xml:space="preserve">1313 CT158DM </v>
      </c>
      <c r="DS223" s="37">
        <f t="shared" ref="DS223:DS228" si="136">DT223*1.3</f>
        <v>0</v>
      </c>
      <c r="EE223" s="10">
        <f t="shared" si="114"/>
        <v>0</v>
      </c>
      <c r="EF223">
        <f>ROWS($DE$2:DE223)</f>
        <v>222</v>
      </c>
      <c r="EG223" t="str">
        <f t="shared" si="115"/>
        <v/>
      </c>
      <c r="EJ223" t="str">
        <f t="shared" si="116"/>
        <v/>
      </c>
      <c r="EM223" t="str">
        <f t="shared" si="117"/>
        <v/>
      </c>
      <c r="EP223" t="str">
        <f t="shared" si="118"/>
        <v/>
      </c>
      <c r="ES223" t="str">
        <f t="shared" si="119"/>
        <v/>
      </c>
      <c r="EV223" t="str">
        <f t="shared" si="120"/>
        <v/>
      </c>
      <c r="EY223" t="str">
        <f t="shared" si="121"/>
        <v/>
      </c>
      <c r="FB223" t="str">
        <f t="shared" si="122"/>
        <v/>
      </c>
      <c r="FE223" t="str">
        <f t="shared" si="123"/>
        <v/>
      </c>
      <c r="FH223" t="str">
        <f t="shared" si="124"/>
        <v/>
      </c>
      <c r="FK223" t="str">
        <f t="shared" si="125"/>
        <v/>
      </c>
      <c r="FN223" t="str">
        <f t="shared" si="126"/>
        <v/>
      </c>
      <c r="FQ223" t="str">
        <f t="shared" si="127"/>
        <v/>
      </c>
      <c r="FT223" t="str">
        <f t="shared" si="128"/>
        <v/>
      </c>
      <c r="FW223" t="str">
        <f t="shared" si="129"/>
        <v/>
      </c>
      <c r="FZ223" t="str">
        <f t="shared" si="130"/>
        <v/>
      </c>
      <c r="GC223" t="str">
        <f t="shared" si="131"/>
        <v/>
      </c>
      <c r="GE223" s="155"/>
    </row>
    <row r="224" spans="1:187" ht="15" customHeight="1" x14ac:dyDescent="0.35">
      <c r="D224" s="671"/>
      <c r="L224" s="10">
        <v>1147796</v>
      </c>
      <c r="O224" s="285">
        <v>1</v>
      </c>
      <c r="P224" s="182">
        <v>418525</v>
      </c>
      <c r="Q224" s="182">
        <v>12</v>
      </c>
      <c r="R224" s="219"/>
      <c r="S224" s="219">
        <v>8.5</v>
      </c>
      <c r="T224" s="219" t="s">
        <v>760</v>
      </c>
      <c r="U224" s="219">
        <v>905235</v>
      </c>
      <c r="V224" s="183" t="s">
        <v>87</v>
      </c>
      <c r="W224" s="40">
        <v>2</v>
      </c>
      <c r="X224" s="40">
        <v>2</v>
      </c>
      <c r="Y224" s="40">
        <v>2</v>
      </c>
      <c r="Z224" s="40">
        <v>3</v>
      </c>
      <c r="AA224" s="40">
        <v>3</v>
      </c>
      <c r="AB224" s="40">
        <v>3</v>
      </c>
      <c r="AC224" s="40">
        <v>3</v>
      </c>
      <c r="AD224" s="40">
        <v>3</v>
      </c>
      <c r="AE224" s="40">
        <v>1</v>
      </c>
      <c r="AF224" s="40">
        <v>1</v>
      </c>
      <c r="AG224" s="188"/>
      <c r="AH224" s="217">
        <v>4</v>
      </c>
      <c r="AI224" s="217">
        <v>4</v>
      </c>
      <c r="AJ224" s="217">
        <v>4</v>
      </c>
      <c r="AK224" s="188"/>
      <c r="AL224" s="188"/>
      <c r="AM224" s="188"/>
      <c r="AN224" s="188"/>
      <c r="AO224" s="188"/>
      <c r="AP224" s="188"/>
      <c r="AQ224" s="217"/>
      <c r="AR224" s="217"/>
      <c r="AS224" s="217"/>
      <c r="AT224" s="188"/>
      <c r="AU224" s="188"/>
      <c r="AV224" s="188"/>
      <c r="AW224" s="188"/>
      <c r="AX224" s="188"/>
      <c r="AY224" s="188"/>
      <c r="AZ224" s="188"/>
      <c r="BA224" s="188"/>
      <c r="BB224" s="188"/>
      <c r="BC224" s="188"/>
      <c r="BD224" s="188"/>
      <c r="BF224">
        <f>ROWS($U$46:U224)</f>
        <v>179</v>
      </c>
      <c r="BG224" t="str">
        <f t="shared" si="113"/>
        <v/>
      </c>
      <c r="DB224" s="10">
        <v>1208601</v>
      </c>
      <c r="DE224">
        <v>1165878</v>
      </c>
      <c r="DF224" t="s">
        <v>2081</v>
      </c>
      <c r="DG224" t="s">
        <v>2081</v>
      </c>
      <c r="DH224" s="10">
        <v>10</v>
      </c>
      <c r="DI224">
        <v>1010</v>
      </c>
      <c r="DJ224" t="s">
        <v>2016</v>
      </c>
      <c r="DK224"/>
      <c r="DL224" t="s">
        <v>1985</v>
      </c>
      <c r="DM224"/>
      <c r="DO224" s="10">
        <v>270</v>
      </c>
      <c r="DR224" s="10" t="str">
        <f t="shared" si="135"/>
        <v xml:space="preserve">1010 MT NL </v>
      </c>
      <c r="DS224" s="37">
        <f t="shared" si="136"/>
        <v>85.8</v>
      </c>
      <c r="DT224" s="10">
        <v>66</v>
      </c>
      <c r="EE224" s="10">
        <f t="shared" si="114"/>
        <v>0</v>
      </c>
      <c r="EF224">
        <f>ROWS($DE$2:DE224)</f>
        <v>223</v>
      </c>
      <c r="EG224" t="str">
        <f t="shared" si="115"/>
        <v/>
      </c>
      <c r="EJ224" t="str">
        <f t="shared" si="116"/>
        <v/>
      </c>
      <c r="EM224" t="str">
        <f t="shared" si="117"/>
        <v/>
      </c>
      <c r="EP224" t="str">
        <f t="shared" si="118"/>
        <v/>
      </c>
      <c r="ES224" t="str">
        <f t="shared" si="119"/>
        <v/>
      </c>
      <c r="EV224" t="str">
        <f t="shared" si="120"/>
        <v/>
      </c>
      <c r="EY224" t="str">
        <f t="shared" si="121"/>
        <v/>
      </c>
      <c r="FB224" t="str">
        <f t="shared" si="122"/>
        <v/>
      </c>
      <c r="FE224" t="str">
        <f t="shared" si="123"/>
        <v/>
      </c>
      <c r="FH224" t="str">
        <f t="shared" si="124"/>
        <v/>
      </c>
      <c r="FK224" t="str">
        <f t="shared" si="125"/>
        <v/>
      </c>
      <c r="FN224" t="str">
        <f t="shared" si="126"/>
        <v/>
      </c>
      <c r="FQ224" t="str">
        <f t="shared" si="127"/>
        <v/>
      </c>
      <c r="FT224" t="str">
        <f t="shared" si="128"/>
        <v/>
      </c>
      <c r="FW224" t="str">
        <f t="shared" si="129"/>
        <v/>
      </c>
      <c r="FZ224" t="str">
        <f t="shared" si="130"/>
        <v/>
      </c>
      <c r="GC224" t="str">
        <f t="shared" si="131"/>
        <v/>
      </c>
      <c r="GE224" s="155"/>
    </row>
    <row r="225" spans="4:187" ht="15.75" customHeight="1" x14ac:dyDescent="0.35">
      <c r="D225" s="671"/>
      <c r="L225" s="10">
        <v>1149944</v>
      </c>
      <c r="O225" s="272">
        <v>2</v>
      </c>
      <c r="P225" s="190">
        <v>729435</v>
      </c>
      <c r="Q225" s="190">
        <v>7</v>
      </c>
      <c r="R225" s="217"/>
      <c r="S225" s="217">
        <v>8.5</v>
      </c>
      <c r="T225" s="217" t="s">
        <v>760</v>
      </c>
      <c r="U225" s="217">
        <v>905235</v>
      </c>
      <c r="V225" s="171" t="s">
        <v>88</v>
      </c>
      <c r="W225" s="40">
        <v>3</v>
      </c>
      <c r="X225" s="40">
        <v>3</v>
      </c>
      <c r="Y225" s="40">
        <v>3</v>
      </c>
      <c r="Z225" s="40">
        <v>3</v>
      </c>
      <c r="AA225" s="40">
        <v>1</v>
      </c>
      <c r="AB225" s="40">
        <v>1</v>
      </c>
      <c r="AC225" s="171"/>
      <c r="AD225" s="172"/>
      <c r="AE225" s="172"/>
      <c r="AF225" s="175"/>
      <c r="AG225" s="65"/>
      <c r="AH225" s="217">
        <v>4</v>
      </c>
      <c r="AI225" s="217">
        <v>4</v>
      </c>
      <c r="AJ225" s="217">
        <v>4</v>
      </c>
      <c r="AK225" s="188"/>
      <c r="AL225" s="188"/>
      <c r="AM225" s="188"/>
      <c r="AN225" s="188"/>
      <c r="AO225" s="188"/>
      <c r="AP225" s="188"/>
      <c r="AQ225" s="217"/>
      <c r="AR225" s="217"/>
      <c r="AS225" s="217"/>
      <c r="AT225" s="188"/>
      <c r="AU225" s="188"/>
      <c r="AV225" s="188"/>
      <c r="AW225" s="188"/>
      <c r="AX225" s="188"/>
      <c r="AY225" s="188"/>
      <c r="AZ225" s="188"/>
      <c r="BA225" s="188"/>
      <c r="BB225" s="188"/>
      <c r="BC225" s="188"/>
      <c r="BD225" s="188"/>
      <c r="BF225">
        <f>ROWS($U$46:U225)</f>
        <v>180</v>
      </c>
      <c r="BG225" t="str">
        <f t="shared" si="113"/>
        <v/>
      </c>
      <c r="DB225" s="10">
        <v>1219562</v>
      </c>
      <c r="DE225">
        <v>1165879</v>
      </c>
      <c r="DF225" t="s">
        <v>2082</v>
      </c>
      <c r="DG225" t="s">
        <v>2082</v>
      </c>
      <c r="DH225" s="10">
        <v>13</v>
      </c>
      <c r="DI225">
        <v>1308</v>
      </c>
      <c r="DJ225" t="s">
        <v>2016</v>
      </c>
      <c r="DK225"/>
      <c r="DL225" t="s">
        <v>1985</v>
      </c>
      <c r="DM225"/>
      <c r="DO225" s="10">
        <v>360</v>
      </c>
      <c r="DR225" s="10" t="str">
        <f t="shared" si="135"/>
        <v xml:space="preserve">1308 MT NL </v>
      </c>
      <c r="DS225" s="37">
        <f t="shared" si="136"/>
        <v>120.9</v>
      </c>
      <c r="DT225" s="10">
        <v>93</v>
      </c>
      <c r="EE225" s="10">
        <f t="shared" si="114"/>
        <v>0</v>
      </c>
      <c r="EF225">
        <f>ROWS($DE$2:DE225)</f>
        <v>224</v>
      </c>
      <c r="EG225" t="str">
        <f t="shared" si="115"/>
        <v/>
      </c>
      <c r="EJ225" t="str">
        <f t="shared" si="116"/>
        <v/>
      </c>
      <c r="EM225" t="str">
        <f t="shared" si="117"/>
        <v/>
      </c>
      <c r="EP225" t="str">
        <f t="shared" si="118"/>
        <v/>
      </c>
      <c r="ES225" t="str">
        <f t="shared" si="119"/>
        <v/>
      </c>
      <c r="EV225" t="str">
        <f t="shared" si="120"/>
        <v/>
      </c>
      <c r="EY225" t="str">
        <f t="shared" si="121"/>
        <v/>
      </c>
      <c r="FB225" t="str">
        <f t="shared" si="122"/>
        <v/>
      </c>
      <c r="FE225" t="str">
        <f t="shared" si="123"/>
        <v/>
      </c>
      <c r="FH225" t="str">
        <f t="shared" si="124"/>
        <v/>
      </c>
      <c r="FK225" t="str">
        <f t="shared" si="125"/>
        <v/>
      </c>
      <c r="FN225" t="str">
        <f t="shared" si="126"/>
        <v/>
      </c>
      <c r="FQ225" t="str">
        <f t="shared" si="127"/>
        <v/>
      </c>
      <c r="FT225" t="str">
        <f t="shared" si="128"/>
        <v/>
      </c>
      <c r="FW225" t="str">
        <f t="shared" si="129"/>
        <v/>
      </c>
      <c r="FZ225" t="str">
        <f t="shared" si="130"/>
        <v/>
      </c>
      <c r="GC225" t="str">
        <f t="shared" si="131"/>
        <v/>
      </c>
      <c r="GE225" s="155"/>
    </row>
    <row r="226" spans="4:187" ht="15" customHeight="1" x14ac:dyDescent="0.35">
      <c r="D226" s="671"/>
      <c r="L226" s="10">
        <v>1150007</v>
      </c>
      <c r="O226" s="272">
        <v>3</v>
      </c>
      <c r="P226" s="190">
        <v>729687</v>
      </c>
      <c r="Q226" s="190">
        <v>27</v>
      </c>
      <c r="R226" s="217"/>
      <c r="S226" s="217">
        <v>8.5</v>
      </c>
      <c r="T226" s="217" t="s">
        <v>760</v>
      </c>
      <c r="U226" s="217">
        <v>905235</v>
      </c>
      <c r="V226" s="171" t="s">
        <v>89</v>
      </c>
      <c r="W226" s="40">
        <v>2</v>
      </c>
      <c r="X226" s="40">
        <v>2</v>
      </c>
      <c r="Y226" s="40">
        <v>3</v>
      </c>
      <c r="Z226" s="40">
        <v>3</v>
      </c>
      <c r="AA226" s="40">
        <v>3</v>
      </c>
      <c r="AB226" s="40">
        <v>3</v>
      </c>
      <c r="AC226" s="40">
        <v>3</v>
      </c>
      <c r="AD226" s="40">
        <v>1</v>
      </c>
      <c r="AE226" s="40">
        <v>1</v>
      </c>
      <c r="AF226" s="177"/>
      <c r="AG226" s="65"/>
      <c r="AH226" s="217">
        <v>4</v>
      </c>
      <c r="AI226" s="217">
        <v>4</v>
      </c>
      <c r="AJ226" s="217">
        <v>4</v>
      </c>
      <c r="AK226" s="188"/>
      <c r="AL226" s="188"/>
      <c r="AM226" s="188"/>
      <c r="AN226" s="188"/>
      <c r="AO226" s="188"/>
      <c r="AP226" s="188"/>
      <c r="AQ226" s="217"/>
      <c r="AR226" s="217"/>
      <c r="AS226" s="217"/>
      <c r="AT226" s="188"/>
      <c r="AU226" s="188"/>
      <c r="AV226" s="188"/>
      <c r="AW226" s="188"/>
      <c r="AX226" s="188"/>
      <c r="AY226" s="188"/>
      <c r="AZ226" s="188"/>
      <c r="BA226" s="188"/>
      <c r="BB226" s="188"/>
      <c r="BC226" s="188"/>
      <c r="BD226" s="188"/>
      <c r="BF226">
        <f>ROWS($U$46:U226)</f>
        <v>181</v>
      </c>
      <c r="BG226" t="str">
        <f t="shared" si="113"/>
        <v/>
      </c>
      <c r="DB226" s="10">
        <v>1152018</v>
      </c>
      <c r="DE226">
        <v>395697</v>
      </c>
      <c r="DF226" t="s">
        <v>2085</v>
      </c>
      <c r="DG226" t="s">
        <v>2085</v>
      </c>
      <c r="DH226" s="10">
        <v>13</v>
      </c>
      <c r="DI226">
        <v>1308</v>
      </c>
      <c r="DJ226" t="s">
        <v>250</v>
      </c>
      <c r="DK226"/>
      <c r="DL226" t="s">
        <v>239</v>
      </c>
      <c r="DM226"/>
      <c r="DO226" s="10">
        <v>360</v>
      </c>
      <c r="DR226" s="10" t="str">
        <f t="shared" si="135"/>
        <v xml:space="preserve">1308 CT27 </v>
      </c>
      <c r="DS226" s="37">
        <f t="shared" si="136"/>
        <v>0</v>
      </c>
      <c r="EE226" s="10">
        <f t="shared" si="114"/>
        <v>0</v>
      </c>
      <c r="EF226">
        <f>ROWS($DE$2:DE226)</f>
        <v>225</v>
      </c>
      <c r="EG226" t="str">
        <f t="shared" si="115"/>
        <v/>
      </c>
      <c r="EJ226" t="str">
        <f t="shared" si="116"/>
        <v/>
      </c>
      <c r="EM226" t="str">
        <f t="shared" si="117"/>
        <v/>
      </c>
      <c r="EP226" t="str">
        <f t="shared" si="118"/>
        <v/>
      </c>
      <c r="ES226" t="str">
        <f t="shared" si="119"/>
        <v/>
      </c>
      <c r="EV226" t="str">
        <f t="shared" si="120"/>
        <v/>
      </c>
      <c r="EY226" t="str">
        <f t="shared" si="121"/>
        <v/>
      </c>
      <c r="FB226" t="str">
        <f t="shared" si="122"/>
        <v/>
      </c>
      <c r="FE226" t="str">
        <f t="shared" si="123"/>
        <v/>
      </c>
      <c r="FH226" t="str">
        <f t="shared" si="124"/>
        <v/>
      </c>
      <c r="FK226" t="str">
        <f t="shared" si="125"/>
        <v/>
      </c>
      <c r="FN226" t="str">
        <f t="shared" si="126"/>
        <v/>
      </c>
      <c r="FQ226" t="str">
        <f t="shared" si="127"/>
        <v/>
      </c>
      <c r="FT226" t="str">
        <f t="shared" si="128"/>
        <v/>
      </c>
      <c r="FW226" t="str">
        <f t="shared" si="129"/>
        <v/>
      </c>
      <c r="FZ226" t="str">
        <f t="shared" si="130"/>
        <v/>
      </c>
      <c r="GC226" t="str">
        <f t="shared" si="131"/>
        <v/>
      </c>
      <c r="GE226" s="155"/>
    </row>
    <row r="227" spans="4:187" ht="15" customHeight="1" x14ac:dyDescent="0.35">
      <c r="D227" s="671"/>
      <c r="L227" s="10">
        <v>1152687</v>
      </c>
      <c r="O227" s="303">
        <v>4</v>
      </c>
      <c r="P227" s="200">
        <v>375538</v>
      </c>
      <c r="Q227" s="200">
        <v>18</v>
      </c>
      <c r="R227" s="304"/>
      <c r="S227" s="217">
        <v>8.5</v>
      </c>
      <c r="T227" s="217" t="s">
        <v>760</v>
      </c>
      <c r="U227" s="217">
        <v>905235</v>
      </c>
      <c r="V227" s="171" t="s">
        <v>90</v>
      </c>
      <c r="W227" s="40">
        <v>3</v>
      </c>
      <c r="X227" s="40">
        <v>3</v>
      </c>
      <c r="Y227" s="40">
        <v>3</v>
      </c>
      <c r="Z227" s="40">
        <v>3</v>
      </c>
      <c r="AA227" s="40">
        <v>1</v>
      </c>
      <c r="AB227" s="40">
        <v>1</v>
      </c>
      <c r="AC227" s="171"/>
      <c r="AD227" s="172"/>
      <c r="AE227" s="172"/>
      <c r="AF227" s="65"/>
      <c r="AG227" s="65"/>
      <c r="AH227" s="217">
        <v>4</v>
      </c>
      <c r="AI227" s="217">
        <v>4</v>
      </c>
      <c r="AJ227" s="217">
        <v>4</v>
      </c>
      <c r="AK227" s="188"/>
      <c r="AL227" s="188"/>
      <c r="AM227" s="188"/>
      <c r="AN227" s="188"/>
      <c r="AO227" s="188"/>
      <c r="AP227" s="188"/>
      <c r="AQ227" s="217"/>
      <c r="AR227" s="217"/>
      <c r="AS227" s="217"/>
      <c r="AT227" s="188"/>
      <c r="AU227" s="188"/>
      <c r="AV227" s="188"/>
      <c r="AW227" s="188"/>
      <c r="AX227" s="188"/>
      <c r="AY227" s="188"/>
      <c r="AZ227" s="188"/>
      <c r="BA227" s="188"/>
      <c r="BB227" s="188"/>
      <c r="BC227" s="188"/>
      <c r="BD227" s="188"/>
      <c r="BF227">
        <f>ROWS($U$46:U227)</f>
        <v>182</v>
      </c>
      <c r="BG227" t="str">
        <f t="shared" si="113"/>
        <v/>
      </c>
      <c r="DB227" s="10">
        <v>1235963</v>
      </c>
      <c r="DE227">
        <v>179702</v>
      </c>
      <c r="DF227" t="s">
        <v>2086</v>
      </c>
      <c r="DG227" t="s">
        <v>2086</v>
      </c>
      <c r="DH227" s="10">
        <v>8</v>
      </c>
      <c r="DI227">
        <v>808</v>
      </c>
      <c r="DJ227" t="s">
        <v>2088</v>
      </c>
      <c r="DK227"/>
      <c r="DL227" t="s">
        <v>239</v>
      </c>
      <c r="DM227"/>
      <c r="DO227" s="10">
        <v>270</v>
      </c>
      <c r="DR227" s="10" t="str">
        <f t="shared" si="135"/>
        <v xml:space="preserve">808 CLAW OBS </v>
      </c>
      <c r="DS227" s="37">
        <f t="shared" si="136"/>
        <v>0</v>
      </c>
      <c r="EE227" s="10">
        <f t="shared" si="114"/>
        <v>0</v>
      </c>
      <c r="EF227">
        <f>ROWS($DE$2:DE227)</f>
        <v>226</v>
      </c>
      <c r="EG227" t="str">
        <f t="shared" si="115"/>
        <v/>
      </c>
      <c r="EJ227" t="str">
        <f t="shared" si="116"/>
        <v/>
      </c>
      <c r="EM227" t="str">
        <f t="shared" si="117"/>
        <v/>
      </c>
      <c r="EP227" t="str">
        <f t="shared" si="118"/>
        <v/>
      </c>
      <c r="ES227" t="str">
        <f t="shared" si="119"/>
        <v/>
      </c>
      <c r="EV227" t="str">
        <f t="shared" si="120"/>
        <v/>
      </c>
      <c r="EY227" t="str">
        <f t="shared" si="121"/>
        <v/>
      </c>
      <c r="FB227" t="str">
        <f t="shared" si="122"/>
        <v/>
      </c>
      <c r="FE227" t="str">
        <f t="shared" si="123"/>
        <v/>
      </c>
      <c r="FH227" t="str">
        <f t="shared" si="124"/>
        <v/>
      </c>
      <c r="FK227" t="str">
        <f t="shared" si="125"/>
        <v/>
      </c>
      <c r="FN227" t="str">
        <f t="shared" si="126"/>
        <v/>
      </c>
      <c r="FQ227" t="str">
        <f t="shared" si="127"/>
        <v/>
      </c>
      <c r="FT227" t="str">
        <f t="shared" si="128"/>
        <v/>
      </c>
      <c r="FW227" t="str">
        <f t="shared" si="129"/>
        <v/>
      </c>
      <c r="FZ227" t="str">
        <f t="shared" si="130"/>
        <v/>
      </c>
      <c r="GC227" t="str">
        <f t="shared" si="131"/>
        <v/>
      </c>
      <c r="GE227" s="155"/>
    </row>
    <row r="228" spans="4:187" ht="15" customHeight="1" x14ac:dyDescent="0.35">
      <c r="D228" s="671"/>
      <c r="L228" s="10">
        <v>1159702</v>
      </c>
      <c r="O228" s="224"/>
      <c r="P228" s="203"/>
      <c r="Q228" s="203"/>
      <c r="R228" s="305"/>
      <c r="S228" s="306">
        <v>8.5</v>
      </c>
      <c r="T228" s="217" t="s">
        <v>760</v>
      </c>
      <c r="U228" s="217">
        <v>905235</v>
      </c>
      <c r="V228" s="171" t="s">
        <v>91</v>
      </c>
      <c r="W228" s="40">
        <v>3</v>
      </c>
      <c r="X228" s="40">
        <v>3</v>
      </c>
      <c r="Y228" s="40">
        <v>3</v>
      </c>
      <c r="Z228" s="40">
        <v>3</v>
      </c>
      <c r="AA228" s="40">
        <v>3</v>
      </c>
      <c r="AB228" s="40">
        <v>3</v>
      </c>
      <c r="AC228" s="40">
        <v>3</v>
      </c>
      <c r="AD228" s="40">
        <v>1</v>
      </c>
      <c r="AE228" s="40">
        <v>1</v>
      </c>
      <c r="AF228" s="177"/>
      <c r="AG228" s="65"/>
      <c r="AH228" s="217">
        <v>4</v>
      </c>
      <c r="AI228" s="217">
        <v>4</v>
      </c>
      <c r="AJ228" s="217">
        <v>4</v>
      </c>
      <c r="AK228" s="188"/>
      <c r="AL228" s="188"/>
      <c r="AM228" s="188"/>
      <c r="AN228" s="188"/>
      <c r="AO228" s="188"/>
      <c r="AP228" s="188"/>
      <c r="AQ228" s="217"/>
      <c r="AR228" s="217"/>
      <c r="AS228" s="217"/>
      <c r="AT228" s="188"/>
      <c r="AU228" s="188"/>
      <c r="AV228" s="188"/>
      <c r="AW228" s="188"/>
      <c r="AX228" s="188"/>
      <c r="AY228" s="188"/>
      <c r="AZ228" s="188"/>
      <c r="BA228" s="188"/>
      <c r="BB228" s="188"/>
      <c r="BC228" s="188"/>
      <c r="BD228" s="188"/>
      <c r="BF228">
        <f>ROWS($U$46:U228)</f>
        <v>183</v>
      </c>
      <c r="BG228" t="str">
        <f t="shared" si="113"/>
        <v/>
      </c>
      <c r="DB228" s="10">
        <v>1165786</v>
      </c>
      <c r="DE228">
        <v>179773</v>
      </c>
      <c r="DF228" t="s">
        <v>2087</v>
      </c>
      <c r="DG228" t="s">
        <v>2087</v>
      </c>
      <c r="DH228" s="10">
        <v>13</v>
      </c>
      <c r="DI228">
        <v>1308</v>
      </c>
      <c r="DJ228" t="s">
        <v>2089</v>
      </c>
      <c r="DK228"/>
      <c r="DL228" t="s">
        <v>239</v>
      </c>
      <c r="DM228"/>
      <c r="DO228" s="10">
        <v>360</v>
      </c>
      <c r="DR228" s="10" t="str">
        <f t="shared" si="135"/>
        <v xml:space="preserve">1308 ELITE RC OBS </v>
      </c>
      <c r="DS228" s="37">
        <f t="shared" si="136"/>
        <v>0</v>
      </c>
      <c r="EE228" s="10">
        <f t="shared" si="114"/>
        <v>0</v>
      </c>
      <c r="EF228">
        <f>ROWS($DE$2:DE228)</f>
        <v>227</v>
      </c>
      <c r="EG228" t="str">
        <f t="shared" si="115"/>
        <v/>
      </c>
      <c r="EJ228" t="str">
        <f t="shared" si="116"/>
        <v/>
      </c>
      <c r="EM228" t="str">
        <f t="shared" si="117"/>
        <v/>
      </c>
      <c r="EP228" t="str">
        <f t="shared" si="118"/>
        <v/>
      </c>
      <c r="ES228" t="str">
        <f t="shared" si="119"/>
        <v/>
      </c>
      <c r="EV228" t="str">
        <f t="shared" si="120"/>
        <v/>
      </c>
      <c r="EY228" t="str">
        <f t="shared" si="121"/>
        <v/>
      </c>
      <c r="FB228" t="str">
        <f t="shared" si="122"/>
        <v/>
      </c>
      <c r="FE228" t="str">
        <f t="shared" si="123"/>
        <v/>
      </c>
      <c r="FH228" t="str">
        <f t="shared" si="124"/>
        <v/>
      </c>
      <c r="FK228" t="str">
        <f t="shared" si="125"/>
        <v/>
      </c>
      <c r="FN228" t="str">
        <f t="shared" si="126"/>
        <v/>
      </c>
      <c r="FQ228" t="str">
        <f t="shared" si="127"/>
        <v/>
      </c>
      <c r="FT228" t="str">
        <f t="shared" si="128"/>
        <v/>
      </c>
      <c r="FW228" t="str">
        <f t="shared" si="129"/>
        <v/>
      </c>
      <c r="FZ228" t="str">
        <f t="shared" si="130"/>
        <v/>
      </c>
      <c r="GC228" t="str">
        <f t="shared" si="131"/>
        <v/>
      </c>
      <c r="GE228" s="155"/>
    </row>
    <row r="229" spans="4:187" ht="15" customHeight="1" thickBot="1" x14ac:dyDescent="0.4">
      <c r="D229" s="671"/>
      <c r="L229" s="10">
        <v>1160951</v>
      </c>
      <c r="O229" s="307"/>
      <c r="P229" s="208"/>
      <c r="Q229" s="208"/>
      <c r="R229" s="308"/>
      <c r="S229" s="309">
        <v>8.5</v>
      </c>
      <c r="T229" s="280" t="s">
        <v>760</v>
      </c>
      <c r="U229" s="280">
        <v>905235</v>
      </c>
      <c r="V229" s="195" t="s">
        <v>92</v>
      </c>
      <c r="W229" s="229">
        <v>2</v>
      </c>
      <c r="X229" s="229">
        <v>2</v>
      </c>
      <c r="Y229" s="229">
        <v>3</v>
      </c>
      <c r="Z229" s="229">
        <v>3</v>
      </c>
      <c r="AA229" s="229">
        <v>1</v>
      </c>
      <c r="AB229" s="229">
        <v>1</v>
      </c>
      <c r="AC229" s="195"/>
      <c r="AD229" s="216"/>
      <c r="AE229" s="216"/>
      <c r="AF229" s="218"/>
      <c r="AG229" s="218"/>
      <c r="AH229" s="217">
        <v>4</v>
      </c>
      <c r="AI229" s="217">
        <v>4</v>
      </c>
      <c r="AJ229" s="217">
        <v>4</v>
      </c>
      <c r="AK229" s="188"/>
      <c r="AL229" s="188"/>
      <c r="AM229" s="188"/>
      <c r="AN229" s="188"/>
      <c r="AO229" s="188"/>
      <c r="AP229" s="188"/>
      <c r="AQ229" s="217"/>
      <c r="AR229" s="217"/>
      <c r="AS229" s="217"/>
      <c r="AT229" s="188"/>
      <c r="AU229" s="188"/>
      <c r="AV229" s="188"/>
      <c r="AW229" s="188"/>
      <c r="AX229" s="188"/>
      <c r="AY229" s="188"/>
      <c r="AZ229" s="188"/>
      <c r="BA229" s="188"/>
      <c r="BB229" s="188"/>
      <c r="BC229" s="188"/>
      <c r="BD229" s="188"/>
      <c r="BF229">
        <f>ROWS($U$46:U229)</f>
        <v>184</v>
      </c>
      <c r="BG229" t="str">
        <f t="shared" si="113"/>
        <v/>
      </c>
      <c r="DB229" s="10">
        <v>1187983</v>
      </c>
      <c r="DE229">
        <v>1162511</v>
      </c>
      <c r="DF229" t="s">
        <v>2090</v>
      </c>
      <c r="DG229" t="s">
        <v>2090</v>
      </c>
      <c r="DH229" s="10">
        <v>16</v>
      </c>
      <c r="DI229">
        <v>1613</v>
      </c>
      <c r="DJ229" t="s">
        <v>1412</v>
      </c>
      <c r="DK229"/>
      <c r="DL229" t="s">
        <v>240</v>
      </c>
      <c r="DM229"/>
      <c r="DO229" s="10">
        <v>497</v>
      </c>
      <c r="DR229" s="10" t="str">
        <f t="shared" ref="DR229:DR238" si="137">DI229 &amp; " " &amp; DJ229 &amp; " " &amp; DK229</f>
        <v xml:space="preserve">1613 CR45 </v>
      </c>
      <c r="DS229" s="37">
        <f t="shared" ref="DS229:DS238" si="138">DT229*1.3</f>
        <v>0</v>
      </c>
      <c r="EE229" s="10">
        <f>SUMIF($G$12:$G$21,$DE229,$E$12:$E$21)</f>
        <v>0</v>
      </c>
      <c r="EF229">
        <f>ROWS($DE$2:DE229)</f>
        <v>228</v>
      </c>
      <c r="EG229" t="str">
        <f t="shared" si="115"/>
        <v/>
      </c>
      <c r="EJ229" t="str">
        <f t="shared" si="116"/>
        <v/>
      </c>
      <c r="EM229" t="str">
        <f t="shared" si="117"/>
        <v/>
      </c>
      <c r="EP229" t="str">
        <f t="shared" si="118"/>
        <v/>
      </c>
      <c r="ES229" t="str">
        <f t="shared" si="119"/>
        <v/>
      </c>
      <c r="EV229" t="str">
        <f t="shared" si="120"/>
        <v/>
      </c>
      <c r="EY229" t="str">
        <f t="shared" si="121"/>
        <v/>
      </c>
      <c r="FB229" t="str">
        <f t="shared" si="122"/>
        <v/>
      </c>
      <c r="FE229" t="str">
        <f t="shared" si="123"/>
        <v/>
      </c>
      <c r="FH229" t="str">
        <f t="shared" si="124"/>
        <v/>
      </c>
      <c r="FK229" t="str">
        <f t="shared" si="125"/>
        <v/>
      </c>
      <c r="FN229" t="str">
        <f t="shared" si="126"/>
        <v/>
      </c>
      <c r="FQ229" t="str">
        <f t="shared" si="127"/>
        <v/>
      </c>
      <c r="FT229" t="str">
        <f t="shared" si="128"/>
        <v/>
      </c>
      <c r="FW229" t="str">
        <f t="shared" si="129"/>
        <v/>
      </c>
      <c r="FZ229" t="str">
        <f t="shared" si="130"/>
        <v/>
      </c>
      <c r="GC229" t="str">
        <f t="shared" si="131"/>
        <v/>
      </c>
      <c r="GE229" s="155"/>
    </row>
    <row r="230" spans="4:187" ht="15" customHeight="1" thickBot="1" x14ac:dyDescent="0.4">
      <c r="D230" s="671"/>
      <c r="L230" s="10">
        <v>1162241</v>
      </c>
      <c r="O230" s="298">
        <v>1</v>
      </c>
      <c r="P230" s="299">
        <v>418525</v>
      </c>
      <c r="Q230" s="299">
        <v>14</v>
      </c>
      <c r="R230" s="299"/>
      <c r="S230" s="291">
        <v>12.25</v>
      </c>
      <c r="T230" s="291" t="s">
        <v>745</v>
      </c>
      <c r="U230" s="291">
        <v>1083403</v>
      </c>
      <c r="V230" s="183" t="s">
        <v>87</v>
      </c>
      <c r="W230" s="299">
        <v>3</v>
      </c>
      <c r="X230" s="299">
        <v>2</v>
      </c>
      <c r="Y230" s="299">
        <v>2</v>
      </c>
      <c r="Z230" s="299">
        <v>2</v>
      </c>
      <c r="AA230" s="299">
        <v>2</v>
      </c>
      <c r="AB230" s="299">
        <v>2</v>
      </c>
      <c r="AC230" s="299">
        <v>2</v>
      </c>
      <c r="AD230" s="299">
        <v>3</v>
      </c>
      <c r="AE230" s="299">
        <v>3</v>
      </c>
      <c r="AF230" s="299">
        <v>1</v>
      </c>
      <c r="AG230" s="299">
        <v>1</v>
      </c>
      <c r="AH230" s="10"/>
      <c r="AI230" s="217">
        <v>4</v>
      </c>
      <c r="AJ230" s="188"/>
      <c r="AK230" s="10"/>
      <c r="AL230" s="10"/>
      <c r="AM230" s="10"/>
      <c r="AN230" s="10"/>
      <c r="AO230" s="10"/>
      <c r="AP230" s="10"/>
      <c r="AQ230" s="217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F230">
        <f>ROWS($U$46:U230)</f>
        <v>185</v>
      </c>
      <c r="BG230" t="str">
        <f t="shared" si="113"/>
        <v/>
      </c>
      <c r="DB230" s="10">
        <v>1187984</v>
      </c>
      <c r="DE230">
        <v>1209333</v>
      </c>
      <c r="DF230" t="s">
        <v>2097</v>
      </c>
      <c r="DG230" t="s">
        <v>2097</v>
      </c>
      <c r="DH230" s="10">
        <v>16</v>
      </c>
      <c r="DI230">
        <v>13</v>
      </c>
      <c r="DJ230" t="s">
        <v>2031</v>
      </c>
      <c r="DK230"/>
      <c r="DL230" t="s">
        <v>1985</v>
      </c>
      <c r="DM230"/>
      <c r="DO230" s="10">
        <v>497</v>
      </c>
      <c r="DR230" s="10" t="str">
        <f t="shared" si="137"/>
        <v xml:space="preserve">13 CT147G </v>
      </c>
      <c r="DS230" s="37">
        <f t="shared" si="138"/>
        <v>0</v>
      </c>
      <c r="EE230" s="10">
        <f>SUMIF($G$12:$G$21,$DE230,$E$12:$E$21)</f>
        <v>0</v>
      </c>
      <c r="EF230">
        <f>ROWS($DE$2:DE230)</f>
        <v>229</v>
      </c>
      <c r="EG230" t="str">
        <f t="shared" si="115"/>
        <v/>
      </c>
      <c r="EJ230" t="str">
        <f t="shared" si="116"/>
        <v/>
      </c>
      <c r="EM230" t="str">
        <f t="shared" si="117"/>
        <v/>
      </c>
      <c r="EP230" t="str">
        <f t="shared" si="118"/>
        <v/>
      </c>
      <c r="ES230" t="str">
        <f t="shared" si="119"/>
        <v/>
      </c>
      <c r="EV230" t="str">
        <f t="shared" si="120"/>
        <v/>
      </c>
      <c r="EY230" t="str">
        <f t="shared" si="121"/>
        <v/>
      </c>
      <c r="FB230" t="str">
        <f t="shared" si="122"/>
        <v/>
      </c>
      <c r="FE230" t="str">
        <f t="shared" si="123"/>
        <v/>
      </c>
      <c r="FH230" t="str">
        <f t="shared" si="124"/>
        <v/>
      </c>
      <c r="FK230" t="str">
        <f t="shared" si="125"/>
        <v/>
      </c>
      <c r="FN230" t="str">
        <f t="shared" si="126"/>
        <v/>
      </c>
      <c r="FQ230" t="str">
        <f t="shared" si="127"/>
        <v/>
      </c>
      <c r="FT230" t="str">
        <f t="shared" si="128"/>
        <v/>
      </c>
      <c r="FW230" t="str">
        <f t="shared" si="129"/>
        <v/>
      </c>
      <c r="FZ230" t="str">
        <f t="shared" si="130"/>
        <v/>
      </c>
      <c r="GC230" t="str">
        <f t="shared" si="131"/>
        <v/>
      </c>
      <c r="GE230" s="155"/>
    </row>
    <row r="231" spans="4:187" ht="15" customHeight="1" thickBot="1" x14ac:dyDescent="0.4">
      <c r="D231" s="671"/>
      <c r="L231" s="10">
        <v>1162267</v>
      </c>
      <c r="O231" s="75">
        <v>2</v>
      </c>
      <c r="P231" s="37">
        <v>853552</v>
      </c>
      <c r="Q231" s="37">
        <v>33</v>
      </c>
      <c r="R231" s="37"/>
      <c r="S231" s="37">
        <v>12.25</v>
      </c>
      <c r="T231" s="37" t="s">
        <v>745</v>
      </c>
      <c r="U231" s="37">
        <v>1083403</v>
      </c>
      <c r="V231" s="183" t="s">
        <v>88</v>
      </c>
      <c r="W231" s="310">
        <v>2</v>
      </c>
      <c r="X231" s="310">
        <v>2</v>
      </c>
      <c r="Y231" s="310">
        <v>2</v>
      </c>
      <c r="Z231" s="310">
        <v>2</v>
      </c>
      <c r="AA231" s="310">
        <v>3</v>
      </c>
      <c r="AB231" s="310">
        <v>3</v>
      </c>
      <c r="AC231" s="310">
        <v>1</v>
      </c>
      <c r="AD231" s="310">
        <v>1</v>
      </c>
      <c r="AE231" s="10"/>
      <c r="AF231" s="10"/>
      <c r="AG231" s="10"/>
      <c r="AH231" s="10"/>
      <c r="AI231" s="217">
        <v>4</v>
      </c>
      <c r="AJ231" s="10"/>
      <c r="AK231" s="10"/>
      <c r="AL231" s="10"/>
      <c r="AM231" s="10"/>
      <c r="AN231" s="10"/>
      <c r="AO231" s="10"/>
      <c r="AP231" s="10"/>
      <c r="AQ231" s="217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F231">
        <f>ROWS($U$46:U231)</f>
        <v>186</v>
      </c>
      <c r="BG231" t="str">
        <f t="shared" si="113"/>
        <v/>
      </c>
      <c r="DB231" s="10">
        <v>742474</v>
      </c>
      <c r="DE231">
        <v>1208601</v>
      </c>
      <c r="DF231" t="s">
        <v>2104</v>
      </c>
      <c r="DG231" t="s">
        <v>2104</v>
      </c>
      <c r="DH231" s="10">
        <v>16</v>
      </c>
      <c r="DI231">
        <v>1613</v>
      </c>
      <c r="DJ231" t="s">
        <v>2107</v>
      </c>
      <c r="DK231"/>
      <c r="DL231" t="s">
        <v>1985</v>
      </c>
      <c r="DM231"/>
      <c r="DO231" s="10">
        <v>497</v>
      </c>
      <c r="DR231" s="10" t="str">
        <f t="shared" si="137"/>
        <v xml:space="preserve">1613 CT418 60 deg </v>
      </c>
      <c r="DS231" s="37">
        <f t="shared" si="138"/>
        <v>323.31</v>
      </c>
      <c r="DT231" s="10">
        <v>248.7</v>
      </c>
      <c r="DV231" s="10" t="s">
        <v>49</v>
      </c>
      <c r="DW231" s="10" t="s">
        <v>1590</v>
      </c>
      <c r="DX231" s="10">
        <v>30</v>
      </c>
      <c r="DY231" s="10" t="s">
        <v>1673</v>
      </c>
      <c r="DZ231" s="10" t="s">
        <v>1668</v>
      </c>
      <c r="EA231" s="10">
        <v>1</v>
      </c>
      <c r="EB231" s="10" t="s">
        <v>1513</v>
      </c>
      <c r="EC231" s="10">
        <v>662</v>
      </c>
      <c r="ED231" s="10" t="s">
        <v>1736</v>
      </c>
      <c r="EE231" s="10">
        <f t="shared" ref="EE231:EE302" si="139">SUMIF($G$12:$G$21,$DE231,$E$12:$E$21)</f>
        <v>0</v>
      </c>
      <c r="EF231">
        <f>ROWS($DE$2:DE231)</f>
        <v>230</v>
      </c>
      <c r="EG231" t="str">
        <f t="shared" si="115"/>
        <v/>
      </c>
      <c r="EJ231" t="str">
        <f t="shared" si="116"/>
        <v/>
      </c>
      <c r="EM231" t="str">
        <f t="shared" si="117"/>
        <v/>
      </c>
      <c r="EP231" t="str">
        <f t="shared" si="118"/>
        <v/>
      </c>
      <c r="ES231" t="str">
        <f t="shared" si="119"/>
        <v/>
      </c>
      <c r="EV231" t="str">
        <f t="shared" si="120"/>
        <v/>
      </c>
      <c r="EY231" t="str">
        <f t="shared" si="121"/>
        <v/>
      </c>
      <c r="FB231" t="str">
        <f t="shared" si="122"/>
        <v/>
      </c>
      <c r="FE231" t="str">
        <f t="shared" si="123"/>
        <v/>
      </c>
      <c r="FH231" t="str">
        <f t="shared" si="124"/>
        <v/>
      </c>
      <c r="FK231" t="str">
        <f t="shared" si="125"/>
        <v/>
      </c>
      <c r="FN231" t="str">
        <f t="shared" si="126"/>
        <v/>
      </c>
      <c r="FQ231" t="str">
        <f t="shared" si="127"/>
        <v/>
      </c>
      <c r="FT231" t="str">
        <f t="shared" si="128"/>
        <v/>
      </c>
      <c r="FW231" t="str">
        <f t="shared" si="129"/>
        <v/>
      </c>
      <c r="FZ231" t="str">
        <f t="shared" si="130"/>
        <v/>
      </c>
      <c r="GC231" t="str">
        <f t="shared" si="131"/>
        <v/>
      </c>
      <c r="GE231" s="155"/>
    </row>
    <row r="232" spans="4:187" ht="15" customHeight="1" thickBot="1" x14ac:dyDescent="0.4">
      <c r="D232" s="671"/>
      <c r="L232" s="10">
        <v>1170939</v>
      </c>
      <c r="O232" s="75">
        <v>3</v>
      </c>
      <c r="P232" s="37">
        <v>708306</v>
      </c>
      <c r="Q232" s="37">
        <v>15</v>
      </c>
      <c r="R232" s="37" t="s">
        <v>767</v>
      </c>
      <c r="S232" s="37">
        <v>12.25</v>
      </c>
      <c r="T232" s="37" t="s">
        <v>745</v>
      </c>
      <c r="U232" s="37">
        <v>1083403</v>
      </c>
      <c r="V232" s="183" t="s">
        <v>89</v>
      </c>
      <c r="W232" s="37">
        <v>3</v>
      </c>
      <c r="X232" s="37">
        <v>2</v>
      </c>
      <c r="Y232" s="37">
        <v>2</v>
      </c>
      <c r="Z232" s="37">
        <v>2</v>
      </c>
      <c r="AA232" s="37">
        <v>2</v>
      </c>
      <c r="AB232" s="37">
        <v>2</v>
      </c>
      <c r="AC232" s="37">
        <v>2</v>
      </c>
      <c r="AD232" s="37">
        <v>3</v>
      </c>
      <c r="AE232" s="37">
        <v>1</v>
      </c>
      <c r="AF232" s="37">
        <v>1</v>
      </c>
      <c r="AG232" s="10"/>
      <c r="AH232" s="10"/>
      <c r="AI232" s="217">
        <v>4</v>
      </c>
      <c r="AJ232" s="10"/>
      <c r="AK232" s="10"/>
      <c r="AL232" s="10"/>
      <c r="AM232" s="10"/>
      <c r="AN232" s="10"/>
      <c r="AO232" s="10"/>
      <c r="AP232" s="10"/>
      <c r="AQ232" s="217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F232">
        <f>ROWS($U$46:U232)</f>
        <v>187</v>
      </c>
      <c r="BG232" t="str">
        <f t="shared" si="113"/>
        <v/>
      </c>
      <c r="DB232" s="10">
        <v>1112229</v>
      </c>
      <c r="DE232">
        <v>1219562</v>
      </c>
      <c r="DF232" t="s">
        <v>2105</v>
      </c>
      <c r="DG232" t="s">
        <v>2105</v>
      </c>
      <c r="DH232" s="10">
        <v>16</v>
      </c>
      <c r="DI232">
        <v>1613</v>
      </c>
      <c r="DJ232" t="s">
        <v>2106</v>
      </c>
      <c r="DK232"/>
      <c r="DL232" t="s">
        <v>1985</v>
      </c>
      <c r="DM232"/>
      <c r="DO232" s="10">
        <v>497</v>
      </c>
      <c r="DR232" s="10" t="str">
        <f t="shared" si="137"/>
        <v xml:space="preserve">1613 CT147R </v>
      </c>
      <c r="DS232" s="37">
        <f t="shared" si="138"/>
        <v>410.0130666666667</v>
      </c>
      <c r="DT232" s="10">
        <v>315.39466666666669</v>
      </c>
      <c r="EE232" s="10">
        <f t="shared" si="139"/>
        <v>0</v>
      </c>
      <c r="EF232">
        <f>ROWS($DE$2:DE232)</f>
        <v>231</v>
      </c>
      <c r="EG232" t="str">
        <f t="shared" si="115"/>
        <v/>
      </c>
      <c r="EJ232" t="str">
        <f t="shared" si="116"/>
        <v/>
      </c>
      <c r="EM232" t="str">
        <f t="shared" si="117"/>
        <v/>
      </c>
      <c r="EP232" t="str">
        <f t="shared" si="118"/>
        <v/>
      </c>
      <c r="ES232" t="str">
        <f t="shared" si="119"/>
        <v/>
      </c>
      <c r="EV232" t="str">
        <f t="shared" si="120"/>
        <v/>
      </c>
      <c r="EY232" t="str">
        <f t="shared" si="121"/>
        <v/>
      </c>
      <c r="FB232" t="str">
        <f t="shared" si="122"/>
        <v/>
      </c>
      <c r="FE232" t="str">
        <f t="shared" si="123"/>
        <v/>
      </c>
      <c r="FH232" t="str">
        <f t="shared" si="124"/>
        <v/>
      </c>
      <c r="FK232" t="str">
        <f t="shared" si="125"/>
        <v/>
      </c>
      <c r="FN232" t="str">
        <f t="shared" si="126"/>
        <v/>
      </c>
      <c r="FQ232" t="str">
        <f t="shared" si="127"/>
        <v/>
      </c>
      <c r="FT232" t="str">
        <f t="shared" si="128"/>
        <v/>
      </c>
      <c r="FW232" t="str">
        <f t="shared" si="129"/>
        <v/>
      </c>
      <c r="FZ232" t="str">
        <f t="shared" si="130"/>
        <v/>
      </c>
      <c r="GC232" t="str">
        <f t="shared" si="131"/>
        <v/>
      </c>
      <c r="GE232" s="155"/>
    </row>
    <row r="233" spans="4:187" ht="15" customHeight="1" thickBot="1" x14ac:dyDescent="0.4">
      <c r="D233" s="671"/>
      <c r="L233" s="10">
        <v>1172697</v>
      </c>
      <c r="O233" s="37">
        <v>4</v>
      </c>
      <c r="P233" s="37">
        <v>621152</v>
      </c>
      <c r="Q233" s="37">
        <v>7</v>
      </c>
      <c r="R233" s="260"/>
      <c r="S233" s="37">
        <v>12.25</v>
      </c>
      <c r="T233" s="37" t="s">
        <v>745</v>
      </c>
      <c r="U233" s="37">
        <v>1083403</v>
      </c>
      <c r="V233" s="183" t="s">
        <v>90</v>
      </c>
      <c r="W233" s="293">
        <v>2</v>
      </c>
      <c r="X233" s="293">
        <v>2</v>
      </c>
      <c r="Y233" s="293">
        <v>2</v>
      </c>
      <c r="Z233" s="293">
        <v>2</v>
      </c>
      <c r="AA233" s="293">
        <v>3</v>
      </c>
      <c r="AB233" s="293">
        <v>1</v>
      </c>
      <c r="AC233" s="293">
        <v>1</v>
      </c>
      <c r="AD233" s="10"/>
      <c r="AE233" s="10"/>
      <c r="AF233" s="10"/>
      <c r="AG233" s="10"/>
      <c r="AH233" s="10"/>
      <c r="AI233" s="217">
        <v>4</v>
      </c>
      <c r="AJ233" s="10"/>
      <c r="AK233" s="10"/>
      <c r="AL233" s="10"/>
      <c r="AM233" s="10"/>
      <c r="AN233" s="10"/>
      <c r="AO233" s="10"/>
      <c r="AP233" s="10"/>
      <c r="AQ233" s="217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F233">
        <f>ROWS($U$46:U233)</f>
        <v>188</v>
      </c>
      <c r="BG233" t="str">
        <f t="shared" si="113"/>
        <v/>
      </c>
      <c r="DB233" s="10">
        <v>1238831</v>
      </c>
      <c r="DE233">
        <v>1152018</v>
      </c>
      <c r="DF233" t="s">
        <v>2111</v>
      </c>
      <c r="DG233" t="s">
        <v>2111</v>
      </c>
      <c r="DH233" s="10">
        <v>13</v>
      </c>
      <c r="DI233">
        <v>1313</v>
      </c>
      <c r="DJ233" t="s">
        <v>1231</v>
      </c>
      <c r="DK233"/>
      <c r="DL233" t="s">
        <v>1985</v>
      </c>
      <c r="DM233"/>
      <c r="DO233" s="10">
        <v>360</v>
      </c>
      <c r="DR233" s="10" t="str">
        <f t="shared" si="137"/>
        <v xml:space="preserve">1313 CT418 </v>
      </c>
      <c r="DS233" s="37">
        <f t="shared" si="138"/>
        <v>0</v>
      </c>
      <c r="EE233" s="10">
        <f t="shared" si="139"/>
        <v>0</v>
      </c>
      <c r="EF233">
        <f>ROWS($DE$2:DE233)</f>
        <v>232</v>
      </c>
      <c r="EG233" t="str">
        <f t="shared" si="115"/>
        <v/>
      </c>
      <c r="EJ233" t="str">
        <f t="shared" si="116"/>
        <v/>
      </c>
      <c r="EM233" t="str">
        <f t="shared" si="117"/>
        <v/>
      </c>
      <c r="EP233" t="str">
        <f t="shared" si="118"/>
        <v/>
      </c>
      <c r="ES233" t="str">
        <f t="shared" si="119"/>
        <v/>
      </c>
      <c r="EV233" t="str">
        <f t="shared" si="120"/>
        <v/>
      </c>
      <c r="EY233" t="str">
        <f t="shared" si="121"/>
        <v/>
      </c>
      <c r="FB233" t="str">
        <f t="shared" si="122"/>
        <v/>
      </c>
      <c r="FE233" t="str">
        <f t="shared" si="123"/>
        <v/>
      </c>
      <c r="FH233" t="str">
        <f t="shared" si="124"/>
        <v/>
      </c>
      <c r="FK233" t="str">
        <f t="shared" si="125"/>
        <v/>
      </c>
      <c r="FN233" t="str">
        <f t="shared" si="126"/>
        <v/>
      </c>
      <c r="FQ233" t="str">
        <f t="shared" si="127"/>
        <v/>
      </c>
      <c r="FT233" t="str">
        <f t="shared" si="128"/>
        <v/>
      </c>
      <c r="FW233" t="str">
        <f t="shared" si="129"/>
        <v/>
      </c>
      <c r="FZ233" t="str">
        <f t="shared" si="130"/>
        <v/>
      </c>
      <c r="GC233" t="str">
        <f t="shared" si="131"/>
        <v/>
      </c>
      <c r="GE233" s="155"/>
    </row>
    <row r="234" spans="4:187" ht="15" customHeight="1" thickBot="1" x14ac:dyDescent="0.4">
      <c r="D234" s="671"/>
      <c r="L234" s="10">
        <v>1174282</v>
      </c>
      <c r="O234" s="10"/>
      <c r="P234" s="10"/>
      <c r="Q234" s="10"/>
      <c r="R234" s="10"/>
      <c r="S234" s="37">
        <v>12.25</v>
      </c>
      <c r="T234" s="37" t="s">
        <v>745</v>
      </c>
      <c r="U234" s="37">
        <v>1083403</v>
      </c>
      <c r="V234" s="183" t="s">
        <v>91</v>
      </c>
      <c r="W234" s="37">
        <v>3</v>
      </c>
      <c r="X234" s="37">
        <v>2</v>
      </c>
      <c r="Y234" s="37">
        <v>2</v>
      </c>
      <c r="Z234" s="37">
        <v>2</v>
      </c>
      <c r="AA234" s="37">
        <v>2</v>
      </c>
      <c r="AB234" s="37">
        <v>2</v>
      </c>
      <c r="AC234" s="37">
        <v>2</v>
      </c>
      <c r="AD234" s="37">
        <v>3</v>
      </c>
      <c r="AE234" s="37">
        <v>3</v>
      </c>
      <c r="AF234" s="37">
        <v>1</v>
      </c>
      <c r="AG234" s="37">
        <v>1</v>
      </c>
      <c r="AH234" s="10"/>
      <c r="AI234" s="217">
        <v>4</v>
      </c>
      <c r="AJ234" s="10"/>
      <c r="AK234" s="10"/>
      <c r="AL234" s="10"/>
      <c r="AM234" s="10"/>
      <c r="AN234" s="10"/>
      <c r="AO234" s="10"/>
      <c r="AP234" s="10"/>
      <c r="AQ234" s="217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F234">
        <f>ROWS($U$46:U234)</f>
        <v>189</v>
      </c>
      <c r="BG234" t="str">
        <f t="shared" si="113"/>
        <v/>
      </c>
      <c r="DB234" s="10">
        <v>1238832</v>
      </c>
      <c r="DD234"/>
      <c r="DE234">
        <v>1235963</v>
      </c>
      <c r="DF234" t="s">
        <v>2112</v>
      </c>
      <c r="DG234" t="s">
        <v>2112</v>
      </c>
      <c r="DH234" s="10">
        <v>16</v>
      </c>
      <c r="DI234">
        <v>1613</v>
      </c>
      <c r="DJ234" t="s">
        <v>2113</v>
      </c>
      <c r="DK234"/>
      <c r="DL234" t="s">
        <v>1985</v>
      </c>
      <c r="DM234"/>
      <c r="DO234" s="10">
        <v>497</v>
      </c>
      <c r="DR234" s="10" t="str">
        <f t="shared" si="137"/>
        <v xml:space="preserve">1613 CT162 </v>
      </c>
      <c r="DS234" s="37">
        <f t="shared" si="138"/>
        <v>0</v>
      </c>
      <c r="EE234" s="10">
        <f t="shared" si="139"/>
        <v>0</v>
      </c>
      <c r="EF234">
        <f>ROWS($DE$2:DE234)</f>
        <v>233</v>
      </c>
      <c r="EG234" t="str">
        <f t="shared" si="115"/>
        <v/>
      </c>
      <c r="EJ234" t="str">
        <f t="shared" si="116"/>
        <v/>
      </c>
      <c r="EM234" t="str">
        <f t="shared" si="117"/>
        <v/>
      </c>
      <c r="EP234" t="str">
        <f t="shared" si="118"/>
        <v/>
      </c>
      <c r="ES234" t="str">
        <f t="shared" si="119"/>
        <v/>
      </c>
      <c r="EV234" t="str">
        <f t="shared" si="120"/>
        <v/>
      </c>
      <c r="EY234" t="str">
        <f t="shared" si="121"/>
        <v/>
      </c>
      <c r="FB234" t="str">
        <f t="shared" si="122"/>
        <v/>
      </c>
      <c r="FE234" t="str">
        <f t="shared" si="123"/>
        <v/>
      </c>
      <c r="FH234" t="str">
        <f t="shared" si="124"/>
        <v/>
      </c>
      <c r="FK234" t="str">
        <f t="shared" si="125"/>
        <v/>
      </c>
      <c r="FN234" t="str">
        <f t="shared" si="126"/>
        <v/>
      </c>
      <c r="FQ234" t="str">
        <f t="shared" si="127"/>
        <v/>
      </c>
      <c r="FT234" t="str">
        <f t="shared" si="128"/>
        <v/>
      </c>
      <c r="FW234" t="str">
        <f t="shared" si="129"/>
        <v/>
      </c>
      <c r="FZ234" t="str">
        <f t="shared" si="130"/>
        <v/>
      </c>
      <c r="GC234" t="str">
        <f t="shared" si="131"/>
        <v/>
      </c>
      <c r="GE234" s="155"/>
    </row>
    <row r="235" spans="4:187" ht="15" customHeight="1" thickBot="1" x14ac:dyDescent="0.4">
      <c r="D235" s="671"/>
      <c r="L235" s="10">
        <v>1176225</v>
      </c>
      <c r="O235" s="258"/>
      <c r="P235" s="10"/>
      <c r="Q235" s="10"/>
      <c r="R235" s="311"/>
      <c r="S235" s="80">
        <v>12.25</v>
      </c>
      <c r="T235" s="37" t="s">
        <v>745</v>
      </c>
      <c r="U235" s="37">
        <v>1083403</v>
      </c>
      <c r="V235" s="183" t="s">
        <v>92</v>
      </c>
      <c r="W235" s="37">
        <v>2</v>
      </c>
      <c r="X235" s="37">
        <v>2</v>
      </c>
      <c r="Y235" s="37">
        <v>2</v>
      </c>
      <c r="Z235" s="37">
        <v>2</v>
      </c>
      <c r="AA235" s="37">
        <v>3</v>
      </c>
      <c r="AB235" s="37">
        <v>3</v>
      </c>
      <c r="AC235" s="37">
        <v>1</v>
      </c>
      <c r="AD235" s="37">
        <v>1</v>
      </c>
      <c r="AE235" s="10"/>
      <c r="AF235" s="10"/>
      <c r="AG235" s="10"/>
      <c r="AH235" s="10"/>
      <c r="AI235" s="217">
        <v>4</v>
      </c>
      <c r="AJ235" s="10"/>
      <c r="AK235" s="10"/>
      <c r="AL235" s="10"/>
      <c r="AM235" s="10"/>
      <c r="AN235" s="10"/>
      <c r="AO235" s="10"/>
      <c r="AP235" s="10"/>
      <c r="AQ235" s="217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F235">
        <f>ROWS($U$46:U235)</f>
        <v>190</v>
      </c>
      <c r="BG235" t="str">
        <f t="shared" si="113"/>
        <v/>
      </c>
      <c r="DB235" s="10">
        <v>1261319</v>
      </c>
      <c r="DD235"/>
      <c r="DE235">
        <v>1165786</v>
      </c>
      <c r="DF235" t="s">
        <v>2118</v>
      </c>
      <c r="DG235" t="s">
        <v>2118</v>
      </c>
      <c r="DH235" s="10">
        <v>16</v>
      </c>
      <c r="DI235">
        <v>1613</v>
      </c>
      <c r="DJ235" t="s">
        <v>2119</v>
      </c>
      <c r="DK235"/>
      <c r="DL235" t="s">
        <v>240</v>
      </c>
      <c r="DM235"/>
      <c r="DO235" s="10">
        <v>497</v>
      </c>
      <c r="DR235" s="10" t="str">
        <f t="shared" si="137"/>
        <v xml:space="preserve">1613 PMT </v>
      </c>
      <c r="DS235" s="37">
        <f t="shared" si="138"/>
        <v>0</v>
      </c>
      <c r="EE235" s="10">
        <f t="shared" si="139"/>
        <v>0</v>
      </c>
      <c r="EF235">
        <f>ROWS($DE$2:DE235)</f>
        <v>234</v>
      </c>
      <c r="EG235" t="str">
        <f t="shared" si="115"/>
        <v/>
      </c>
      <c r="EJ235" t="str">
        <f t="shared" si="116"/>
        <v/>
      </c>
      <c r="EM235" t="str">
        <f t="shared" si="117"/>
        <v/>
      </c>
      <c r="EP235" t="str">
        <f t="shared" si="118"/>
        <v/>
      </c>
      <c r="ES235" t="str">
        <f t="shared" si="119"/>
        <v/>
      </c>
      <c r="EV235" t="str">
        <f t="shared" si="120"/>
        <v/>
      </c>
      <c r="EY235" t="str">
        <f t="shared" si="121"/>
        <v/>
      </c>
      <c r="FB235" t="str">
        <f t="shared" si="122"/>
        <v/>
      </c>
      <c r="FE235" t="str">
        <f t="shared" si="123"/>
        <v/>
      </c>
      <c r="FH235" t="str">
        <f t="shared" si="124"/>
        <v/>
      </c>
      <c r="FK235" t="str">
        <f t="shared" si="125"/>
        <v/>
      </c>
      <c r="FN235" t="str">
        <f t="shared" si="126"/>
        <v/>
      </c>
      <c r="FQ235" t="str">
        <f t="shared" si="127"/>
        <v/>
      </c>
      <c r="FT235" t="str">
        <f t="shared" si="128"/>
        <v/>
      </c>
      <c r="FW235" t="str">
        <f t="shared" si="129"/>
        <v/>
      </c>
      <c r="FZ235" t="str">
        <f t="shared" si="130"/>
        <v/>
      </c>
      <c r="GC235" t="str">
        <f t="shared" si="131"/>
        <v/>
      </c>
      <c r="GE235" s="155"/>
    </row>
    <row r="236" spans="4:187" ht="15" customHeight="1" thickBot="1" x14ac:dyDescent="0.4">
      <c r="D236" s="671"/>
      <c r="L236" s="10">
        <v>1176919</v>
      </c>
      <c r="O236" s="259"/>
      <c r="P236" s="312"/>
      <c r="Q236" s="312"/>
      <c r="R236" s="313"/>
      <c r="S236" s="294">
        <v>12.25</v>
      </c>
      <c r="T236" s="294" t="s">
        <v>745</v>
      </c>
      <c r="U236" s="294">
        <v>1083403</v>
      </c>
      <c r="V236" s="584" t="s">
        <v>111</v>
      </c>
      <c r="W236" s="585">
        <v>2</v>
      </c>
      <c r="X236" s="585">
        <v>2</v>
      </c>
      <c r="Y236" s="585">
        <v>2</v>
      </c>
      <c r="Z236" s="585">
        <v>3</v>
      </c>
      <c r="AA236" s="585">
        <v>3</v>
      </c>
      <c r="AB236" s="585">
        <v>1</v>
      </c>
      <c r="AC236" s="585">
        <v>1</v>
      </c>
      <c r="AD236" s="267"/>
      <c r="AE236" s="267"/>
      <c r="AF236" s="267"/>
      <c r="AG236" s="267"/>
      <c r="AH236" s="267"/>
      <c r="AI236" s="280">
        <v>4</v>
      </c>
      <c r="AJ236" s="267"/>
      <c r="AK236" s="267"/>
      <c r="AL236" s="267"/>
      <c r="AM236" s="267"/>
      <c r="AN236" s="267"/>
      <c r="AO236" s="10"/>
      <c r="AP236" s="10"/>
      <c r="AQ236" s="217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F236">
        <f>ROWS($U$46:U236)</f>
        <v>191</v>
      </c>
      <c r="BG236" t="str">
        <f t="shared" si="113"/>
        <v/>
      </c>
      <c r="DB236" s="10">
        <v>1228502</v>
      </c>
      <c r="DD236"/>
      <c r="DE236">
        <v>1187983</v>
      </c>
      <c r="DF236" t="s">
        <v>2121</v>
      </c>
      <c r="DG236" t="s">
        <v>2121</v>
      </c>
      <c r="DH236" s="10">
        <v>16</v>
      </c>
      <c r="DI236">
        <v>1613</v>
      </c>
      <c r="DJ236" t="s">
        <v>2122</v>
      </c>
      <c r="DK236"/>
      <c r="DL236" t="s">
        <v>1985</v>
      </c>
      <c r="DM236"/>
      <c r="DO236" s="10">
        <v>497</v>
      </c>
      <c r="DR236" s="10" t="str">
        <f t="shared" si="137"/>
        <v xml:space="preserve">1613 CT418NL </v>
      </c>
      <c r="DS236" s="37">
        <f t="shared" si="138"/>
        <v>0</v>
      </c>
      <c r="EE236" s="10">
        <f t="shared" si="139"/>
        <v>0</v>
      </c>
      <c r="EF236">
        <f>ROWS($DE$2:DE236)</f>
        <v>235</v>
      </c>
      <c r="EG236" t="str">
        <f t="shared" si="115"/>
        <v/>
      </c>
      <c r="EJ236" t="str">
        <f t="shared" si="116"/>
        <v/>
      </c>
      <c r="EM236" t="str">
        <f t="shared" si="117"/>
        <v/>
      </c>
      <c r="EP236" t="str">
        <f t="shared" si="118"/>
        <v/>
      </c>
      <c r="ES236" t="str">
        <f t="shared" si="119"/>
        <v/>
      </c>
      <c r="EV236" t="str">
        <f t="shared" si="120"/>
        <v/>
      </c>
      <c r="EY236" t="str">
        <f t="shared" si="121"/>
        <v/>
      </c>
      <c r="FB236" t="str">
        <f t="shared" si="122"/>
        <v/>
      </c>
      <c r="FE236" t="str">
        <f t="shared" si="123"/>
        <v/>
      </c>
      <c r="FH236" t="str">
        <f t="shared" si="124"/>
        <v/>
      </c>
      <c r="FK236" t="str">
        <f t="shared" si="125"/>
        <v/>
      </c>
      <c r="FN236" t="str">
        <f t="shared" si="126"/>
        <v/>
      </c>
      <c r="FQ236" t="str">
        <f t="shared" si="127"/>
        <v/>
      </c>
      <c r="FT236" t="str">
        <f t="shared" si="128"/>
        <v/>
      </c>
      <c r="FW236" t="str">
        <f t="shared" si="129"/>
        <v/>
      </c>
      <c r="FZ236" t="str">
        <f t="shared" si="130"/>
        <v/>
      </c>
      <c r="GC236" t="str">
        <f t="shared" si="131"/>
        <v/>
      </c>
      <c r="GE236" s="155"/>
    </row>
    <row r="237" spans="4:187" ht="15" customHeight="1" x14ac:dyDescent="0.35">
      <c r="D237" s="671"/>
      <c r="L237" s="10">
        <v>1186699</v>
      </c>
      <c r="O237" s="268">
        <v>1</v>
      </c>
      <c r="P237" s="223">
        <v>647436</v>
      </c>
      <c r="Q237" s="223">
        <v>12</v>
      </c>
      <c r="R237" s="223" t="s">
        <v>761</v>
      </c>
      <c r="S237" s="223">
        <v>12.25</v>
      </c>
      <c r="T237" s="223" t="s">
        <v>846</v>
      </c>
      <c r="U237" s="223">
        <v>1056359</v>
      </c>
      <c r="V237" s="192" t="s">
        <v>87</v>
      </c>
      <c r="W237" s="173">
        <v>1</v>
      </c>
      <c r="X237" s="173">
        <v>1</v>
      </c>
      <c r="Y237" s="173">
        <v>5</v>
      </c>
      <c r="Z237" s="173">
        <v>5</v>
      </c>
      <c r="AA237" s="173">
        <v>5</v>
      </c>
      <c r="AB237" s="173">
        <v>5</v>
      </c>
      <c r="AC237" s="173">
        <v>5</v>
      </c>
      <c r="AD237" s="173">
        <v>5</v>
      </c>
      <c r="AE237" s="173">
        <v>5</v>
      </c>
      <c r="AF237" s="173">
        <v>5</v>
      </c>
      <c r="AG237" s="173">
        <v>1</v>
      </c>
      <c r="AH237" s="173">
        <v>4</v>
      </c>
      <c r="AI237" s="65"/>
      <c r="AJ237" s="173">
        <v>2</v>
      </c>
      <c r="AK237" s="173">
        <v>2</v>
      </c>
      <c r="AL237" s="173">
        <v>2</v>
      </c>
      <c r="AM237" s="173">
        <v>2</v>
      </c>
      <c r="AN237" s="223">
        <v>2</v>
      </c>
      <c r="AO237" s="188"/>
      <c r="AP237" s="188"/>
      <c r="AQ237" s="188"/>
      <c r="AR237" s="188"/>
      <c r="AS237" s="188"/>
      <c r="AT237" s="188"/>
      <c r="AU237" s="188"/>
      <c r="AV237" s="188"/>
      <c r="AW237" s="188"/>
      <c r="AX237" s="188"/>
      <c r="AY237" s="188"/>
      <c r="AZ237" s="188"/>
      <c r="BA237" s="188"/>
      <c r="BB237" s="188"/>
      <c r="BC237" s="188"/>
      <c r="BD237" s="188"/>
      <c r="BF237">
        <f>ROWS($U$46:U237)</f>
        <v>192</v>
      </c>
      <c r="BG237" t="str">
        <f t="shared" si="113"/>
        <v/>
      </c>
      <c r="DB237" s="10">
        <v>1261320</v>
      </c>
      <c r="DD237"/>
      <c r="DE237">
        <v>1187984</v>
      </c>
      <c r="DF237" t="s">
        <v>2123</v>
      </c>
      <c r="DG237" t="s">
        <v>2123</v>
      </c>
      <c r="DH237" s="10">
        <v>19</v>
      </c>
      <c r="DI237">
        <v>1913</v>
      </c>
      <c r="DJ237" t="s">
        <v>2122</v>
      </c>
      <c r="DK237"/>
      <c r="DL237" t="s">
        <v>1985</v>
      </c>
      <c r="DM237"/>
      <c r="DO237" s="10">
        <v>660</v>
      </c>
      <c r="DR237" s="10" t="str">
        <f t="shared" si="137"/>
        <v xml:space="preserve">1913 CT418NL </v>
      </c>
      <c r="DS237" s="37">
        <f t="shared" si="138"/>
        <v>0</v>
      </c>
      <c r="EE237" s="10">
        <f t="shared" si="139"/>
        <v>0</v>
      </c>
      <c r="EF237">
        <f>ROWS($DE$2:DE237)</f>
        <v>236</v>
      </c>
      <c r="EG237" t="str">
        <f t="shared" si="115"/>
        <v/>
      </c>
      <c r="EJ237" t="str">
        <f t="shared" si="116"/>
        <v/>
      </c>
      <c r="EM237" t="str">
        <f t="shared" si="117"/>
        <v/>
      </c>
      <c r="EP237" t="str">
        <f t="shared" si="118"/>
        <v/>
      </c>
      <c r="ES237" t="str">
        <f t="shared" si="119"/>
        <v/>
      </c>
      <c r="EV237" t="str">
        <f t="shared" si="120"/>
        <v/>
      </c>
      <c r="EY237" t="str">
        <f t="shared" si="121"/>
        <v/>
      </c>
      <c r="FB237" t="str">
        <f t="shared" si="122"/>
        <v/>
      </c>
      <c r="FE237" t="str">
        <f t="shared" si="123"/>
        <v/>
      </c>
      <c r="FH237" t="str">
        <f t="shared" si="124"/>
        <v/>
      </c>
      <c r="FK237" t="str">
        <f t="shared" si="125"/>
        <v/>
      </c>
      <c r="FN237" t="str">
        <f t="shared" si="126"/>
        <v/>
      </c>
      <c r="FQ237" t="str">
        <f t="shared" si="127"/>
        <v/>
      </c>
      <c r="FT237" t="str">
        <f t="shared" si="128"/>
        <v/>
      </c>
      <c r="FW237" t="str">
        <f t="shared" si="129"/>
        <v/>
      </c>
      <c r="FZ237" t="str">
        <f t="shared" si="130"/>
        <v/>
      </c>
      <c r="GC237" t="str">
        <f t="shared" si="131"/>
        <v/>
      </c>
      <c r="GE237" s="155"/>
    </row>
    <row r="238" spans="4:187" ht="15" customHeight="1" x14ac:dyDescent="0.35">
      <c r="D238" s="671"/>
      <c r="L238" s="10">
        <v>1190973</v>
      </c>
      <c r="O238" s="272">
        <v>2</v>
      </c>
      <c r="P238" s="217">
        <v>717751</v>
      </c>
      <c r="Q238" s="217">
        <v>26</v>
      </c>
      <c r="R238" s="217" t="s">
        <v>762</v>
      </c>
      <c r="S238" s="217">
        <v>12.25</v>
      </c>
      <c r="T238" s="217" t="s">
        <v>846</v>
      </c>
      <c r="U238" s="217">
        <v>1056359</v>
      </c>
      <c r="V238" s="171" t="s">
        <v>88</v>
      </c>
      <c r="W238" s="40">
        <v>5</v>
      </c>
      <c r="X238" s="40">
        <v>5</v>
      </c>
      <c r="Y238" s="40">
        <v>5</v>
      </c>
      <c r="Z238" s="40">
        <v>5</v>
      </c>
      <c r="AA238" s="40">
        <v>5</v>
      </c>
      <c r="AB238" s="40">
        <v>5</v>
      </c>
      <c r="AC238" s="40">
        <v>1</v>
      </c>
      <c r="AD238" s="40">
        <v>3</v>
      </c>
      <c r="AE238" s="65"/>
      <c r="AF238" s="65"/>
      <c r="AG238" s="65"/>
      <c r="AH238" s="65"/>
      <c r="AI238" s="65"/>
      <c r="AJ238" s="40">
        <v>2</v>
      </c>
      <c r="AK238" s="40">
        <v>2</v>
      </c>
      <c r="AL238" s="40">
        <v>2</v>
      </c>
      <c r="AM238" s="40">
        <v>2</v>
      </c>
      <c r="AN238" s="217">
        <v>2</v>
      </c>
      <c r="AO238" s="188"/>
      <c r="AP238" s="188"/>
      <c r="AQ238" s="188"/>
      <c r="AR238" s="188"/>
      <c r="AS238" s="188"/>
      <c r="AT238" s="188"/>
      <c r="AU238" s="188"/>
      <c r="AV238" s="188"/>
      <c r="AW238" s="188"/>
      <c r="AX238" s="188"/>
      <c r="AY238" s="188"/>
      <c r="AZ238" s="188"/>
      <c r="BA238" s="188"/>
      <c r="BB238" s="188"/>
      <c r="BC238" s="188"/>
      <c r="BD238" s="188"/>
      <c r="BF238">
        <f>ROWS($U$46:U238)</f>
        <v>193</v>
      </c>
      <c r="BG238" t="str">
        <f t="shared" si="113"/>
        <v/>
      </c>
      <c r="DB238" s="10">
        <v>1261321</v>
      </c>
      <c r="DD238"/>
      <c r="DE238">
        <v>742474</v>
      </c>
      <c r="DF238" t="s">
        <v>2143</v>
      </c>
      <c r="DG238" t="s">
        <v>2143</v>
      </c>
      <c r="DH238" s="10">
        <v>13</v>
      </c>
      <c r="DI238">
        <v>1313</v>
      </c>
      <c r="DJ238" t="s">
        <v>260</v>
      </c>
      <c r="DK238"/>
      <c r="DL238" t="s">
        <v>239</v>
      </c>
      <c r="DM238"/>
      <c r="DO238" s="10">
        <v>360</v>
      </c>
      <c r="DR238" s="10" t="str">
        <f t="shared" si="137"/>
        <v xml:space="preserve">1313 CT91 </v>
      </c>
      <c r="DS238" s="37">
        <f t="shared" si="138"/>
        <v>0</v>
      </c>
      <c r="EE238" s="10">
        <f t="shared" si="139"/>
        <v>0</v>
      </c>
      <c r="EF238">
        <f>ROWS($DE$2:DE238)</f>
        <v>237</v>
      </c>
      <c r="EG238" t="str">
        <f t="shared" si="115"/>
        <v/>
      </c>
      <c r="EJ238" t="str">
        <f t="shared" si="116"/>
        <v/>
      </c>
      <c r="EM238" t="str">
        <f t="shared" si="117"/>
        <v/>
      </c>
      <c r="EP238" t="str">
        <f t="shared" si="118"/>
        <v/>
      </c>
      <c r="ES238" t="str">
        <f t="shared" si="119"/>
        <v/>
      </c>
      <c r="EV238" t="str">
        <f t="shared" si="120"/>
        <v/>
      </c>
      <c r="EY238" t="str">
        <f t="shared" si="121"/>
        <v/>
      </c>
      <c r="FB238" t="str">
        <f t="shared" si="122"/>
        <v/>
      </c>
      <c r="FE238" t="str">
        <f t="shared" si="123"/>
        <v/>
      </c>
      <c r="FH238" t="str">
        <f t="shared" si="124"/>
        <v/>
      </c>
      <c r="FK238" t="str">
        <f t="shared" si="125"/>
        <v/>
      </c>
      <c r="FN238" t="str">
        <f t="shared" si="126"/>
        <v/>
      </c>
      <c r="FQ238" t="str">
        <f t="shared" si="127"/>
        <v/>
      </c>
      <c r="FT238" t="str">
        <f t="shared" si="128"/>
        <v/>
      </c>
      <c r="FW238" t="str">
        <f t="shared" si="129"/>
        <v/>
      </c>
      <c r="FZ238" t="str">
        <f t="shared" si="130"/>
        <v/>
      </c>
      <c r="GC238" t="str">
        <f t="shared" si="131"/>
        <v/>
      </c>
      <c r="GE238" s="155"/>
    </row>
    <row r="239" spans="4:187" ht="15" customHeight="1" x14ac:dyDescent="0.35">
      <c r="D239" s="671"/>
      <c r="L239" s="10">
        <v>1201053</v>
      </c>
      <c r="O239" s="272">
        <v>3</v>
      </c>
      <c r="P239" s="217">
        <v>418525</v>
      </c>
      <c r="Q239" s="217">
        <v>3</v>
      </c>
      <c r="R239" s="217" t="s">
        <v>763</v>
      </c>
      <c r="S239" s="217">
        <v>12.25</v>
      </c>
      <c r="T239" s="217" t="s">
        <v>846</v>
      </c>
      <c r="U239" s="217">
        <v>1056359</v>
      </c>
      <c r="V239" s="171" t="s">
        <v>89</v>
      </c>
      <c r="W239" s="40">
        <v>1</v>
      </c>
      <c r="X239" s="40">
        <v>1</v>
      </c>
      <c r="Y239" s="40">
        <v>5</v>
      </c>
      <c r="Z239" s="40">
        <v>5</v>
      </c>
      <c r="AA239" s="40">
        <v>5</v>
      </c>
      <c r="AB239" s="40">
        <v>5</v>
      </c>
      <c r="AC239" s="40">
        <v>5</v>
      </c>
      <c r="AD239" s="40">
        <v>5</v>
      </c>
      <c r="AE239" s="40">
        <v>5</v>
      </c>
      <c r="AF239" s="40">
        <v>1</v>
      </c>
      <c r="AG239" s="40">
        <v>4</v>
      </c>
      <c r="AH239" s="65"/>
      <c r="AI239" s="65"/>
      <c r="AJ239" s="40">
        <v>2</v>
      </c>
      <c r="AK239" s="40">
        <v>2</v>
      </c>
      <c r="AL239" s="40">
        <v>2</v>
      </c>
      <c r="AM239" s="40">
        <v>2</v>
      </c>
      <c r="AN239" s="188"/>
      <c r="AO239" s="188"/>
      <c r="AP239" s="188"/>
      <c r="AQ239" s="188"/>
      <c r="AR239" s="188"/>
      <c r="AS239" s="188"/>
      <c r="AT239" s="188"/>
      <c r="AU239" s="188"/>
      <c r="AV239" s="188"/>
      <c r="AW239" s="188"/>
      <c r="AX239" s="188"/>
      <c r="AY239" s="188"/>
      <c r="AZ239" s="188"/>
      <c r="BA239" s="188"/>
      <c r="BB239" s="188"/>
      <c r="BC239" s="188"/>
      <c r="BD239" s="188"/>
      <c r="BF239">
        <f>ROWS($U$46:U239)</f>
        <v>194</v>
      </c>
      <c r="BG239" t="str">
        <f t="shared" ref="BG239:BG302" si="140">IF(VALUE(SUBSTITUTE($B$5,"M",""))=U239,BF239,"")</f>
        <v/>
      </c>
      <c r="DB239" s="10">
        <v>1244299</v>
      </c>
      <c r="DD239"/>
      <c r="DE239">
        <v>1112229</v>
      </c>
      <c r="DF239" t="s">
        <v>2148</v>
      </c>
      <c r="DG239" t="s">
        <v>2148</v>
      </c>
      <c r="DH239">
        <v>16</v>
      </c>
      <c r="DI239">
        <v>1613</v>
      </c>
      <c r="DJ239" t="s">
        <v>2041</v>
      </c>
      <c r="DK239"/>
      <c r="DL239" t="s">
        <v>240</v>
      </c>
      <c r="DM239"/>
      <c r="DO239" s="10">
        <v>497</v>
      </c>
      <c r="DR239" s="10" t="str">
        <f>DI239 &amp; " " &amp; DJ239 &amp; " " &amp; DK239</f>
        <v xml:space="preserve">1613 CT147 </v>
      </c>
      <c r="DS239" s="37">
        <f t="shared" ref="DS239:DS270" si="141">DT239*1.3</f>
        <v>358.709</v>
      </c>
      <c r="DT239" s="10">
        <v>275.93</v>
      </c>
      <c r="EE239" s="10">
        <f t="shared" si="139"/>
        <v>0</v>
      </c>
      <c r="EF239">
        <f>ROWS($DE$2:DE239)</f>
        <v>238</v>
      </c>
      <c r="EG239" t="str">
        <f t="shared" si="115"/>
        <v/>
      </c>
      <c r="EJ239" t="str">
        <f t="shared" si="116"/>
        <v/>
      </c>
      <c r="EM239" t="str">
        <f t="shared" si="117"/>
        <v/>
      </c>
      <c r="EP239" t="str">
        <f t="shared" si="118"/>
        <v/>
      </c>
      <c r="ES239" t="str">
        <f t="shared" si="119"/>
        <v/>
      </c>
      <c r="EV239" t="str">
        <f t="shared" si="120"/>
        <v/>
      </c>
      <c r="EY239" t="str">
        <f t="shared" si="121"/>
        <v/>
      </c>
      <c r="FB239" t="str">
        <f t="shared" si="122"/>
        <v/>
      </c>
      <c r="FE239" t="str">
        <f t="shared" si="123"/>
        <v/>
      </c>
      <c r="FH239" t="str">
        <f t="shared" si="124"/>
        <v/>
      </c>
      <c r="FK239" t="str">
        <f t="shared" si="125"/>
        <v/>
      </c>
      <c r="FN239" t="str">
        <f t="shared" si="126"/>
        <v/>
      </c>
      <c r="FQ239" t="str">
        <f t="shared" si="127"/>
        <v/>
      </c>
      <c r="FT239" t="str">
        <f t="shared" si="128"/>
        <v/>
      </c>
      <c r="FW239" t="str">
        <f t="shared" si="129"/>
        <v/>
      </c>
      <c r="FZ239" t="str">
        <f t="shared" si="130"/>
        <v/>
      </c>
      <c r="GC239" t="str">
        <f t="shared" si="131"/>
        <v/>
      </c>
      <c r="GE239" s="155"/>
    </row>
    <row r="240" spans="4:187" ht="15" customHeight="1" x14ac:dyDescent="0.35">
      <c r="D240" s="671"/>
      <c r="L240" s="10">
        <v>1201087</v>
      </c>
      <c r="O240" s="272">
        <v>4</v>
      </c>
      <c r="P240" s="217">
        <v>703670</v>
      </c>
      <c r="Q240" s="217">
        <v>3</v>
      </c>
      <c r="R240" s="217" t="s">
        <v>764</v>
      </c>
      <c r="S240" s="217">
        <v>12.25</v>
      </c>
      <c r="T240" s="217" t="s">
        <v>846</v>
      </c>
      <c r="U240" s="217">
        <v>1056359</v>
      </c>
      <c r="V240" s="171" t="s">
        <v>90</v>
      </c>
      <c r="W240" s="40">
        <v>5</v>
      </c>
      <c r="X240" s="40">
        <v>5</v>
      </c>
      <c r="Y240" s="40">
        <v>5</v>
      </c>
      <c r="Z240" s="40">
        <v>5</v>
      </c>
      <c r="AA240" s="40">
        <v>5</v>
      </c>
      <c r="AB240" s="40">
        <v>5</v>
      </c>
      <c r="AC240" s="40">
        <v>1</v>
      </c>
      <c r="AD240" s="40">
        <v>3</v>
      </c>
      <c r="AE240" s="65"/>
      <c r="AF240" s="65"/>
      <c r="AG240" s="65"/>
      <c r="AH240" s="65"/>
      <c r="AI240" s="65"/>
      <c r="AJ240" s="40">
        <v>2</v>
      </c>
      <c r="AK240" s="40">
        <v>2</v>
      </c>
      <c r="AL240" s="40">
        <v>2</v>
      </c>
      <c r="AM240" s="40">
        <v>2</v>
      </c>
      <c r="AN240" s="188"/>
      <c r="AO240" s="188"/>
      <c r="AP240" s="188"/>
      <c r="AQ240" s="188"/>
      <c r="AR240" s="188"/>
      <c r="AS240" s="188"/>
      <c r="AT240" s="188"/>
      <c r="AU240" s="188"/>
      <c r="AV240" s="188"/>
      <c r="AW240" s="188"/>
      <c r="AX240" s="188"/>
      <c r="AY240" s="188"/>
      <c r="AZ240" s="188"/>
      <c r="BA240" s="188"/>
      <c r="BB240" s="188"/>
      <c r="BC240" s="188"/>
      <c r="BD240" s="188"/>
      <c r="BF240">
        <f>ROWS($U$46:U240)</f>
        <v>195</v>
      </c>
      <c r="BG240" t="str">
        <f t="shared" si="140"/>
        <v/>
      </c>
      <c r="DB240" s="10">
        <v>1175118</v>
      </c>
      <c r="DD240"/>
      <c r="DE240">
        <v>1238831</v>
      </c>
      <c r="DF240" t="s">
        <v>2150</v>
      </c>
      <c r="DG240" t="s">
        <v>2150</v>
      </c>
      <c r="DH240">
        <v>13</v>
      </c>
      <c r="DI240">
        <v>1313</v>
      </c>
      <c r="DJ240" t="s">
        <v>1231</v>
      </c>
      <c r="DK240"/>
      <c r="DL240" t="s">
        <v>2151</v>
      </c>
      <c r="DM240"/>
      <c r="DO240" s="10">
        <v>360</v>
      </c>
      <c r="DR240" s="10" t="str">
        <f>DI240 &amp; " " &amp; DJ240 &amp; " " &amp; DK240</f>
        <v xml:space="preserve">1313 CT418 </v>
      </c>
      <c r="DS240" s="37">
        <f t="shared" si="141"/>
        <v>0</v>
      </c>
      <c r="EE240" s="10">
        <f t="shared" si="139"/>
        <v>0</v>
      </c>
      <c r="EF240">
        <f>ROWS($DE$2:DE240)</f>
        <v>239</v>
      </c>
      <c r="EG240" t="str">
        <f t="shared" si="115"/>
        <v/>
      </c>
      <c r="EJ240" t="str">
        <f t="shared" si="116"/>
        <v/>
      </c>
      <c r="EM240" t="str">
        <f t="shared" si="117"/>
        <v/>
      </c>
      <c r="EP240" t="str">
        <f t="shared" si="118"/>
        <v/>
      </c>
      <c r="ES240" t="str">
        <f t="shared" si="119"/>
        <v/>
      </c>
      <c r="EV240" t="str">
        <f t="shared" si="120"/>
        <v/>
      </c>
      <c r="EY240" t="str">
        <f t="shared" si="121"/>
        <v/>
      </c>
      <c r="FB240" t="str">
        <f t="shared" si="122"/>
        <v/>
      </c>
      <c r="FE240" t="str">
        <f t="shared" si="123"/>
        <v/>
      </c>
      <c r="FH240" t="str">
        <f t="shared" si="124"/>
        <v/>
      </c>
      <c r="FK240" t="str">
        <f t="shared" si="125"/>
        <v/>
      </c>
      <c r="FN240" t="str">
        <f t="shared" si="126"/>
        <v/>
      </c>
      <c r="FQ240" t="str">
        <f t="shared" si="127"/>
        <v/>
      </c>
      <c r="FT240" t="str">
        <f t="shared" si="128"/>
        <v/>
      </c>
      <c r="FW240" t="str">
        <f t="shared" si="129"/>
        <v/>
      </c>
      <c r="FZ240" t="str">
        <f t="shared" si="130"/>
        <v/>
      </c>
      <c r="GC240" t="str">
        <f t="shared" si="131"/>
        <v/>
      </c>
      <c r="GE240" s="155"/>
    </row>
    <row r="241" spans="4:187" ht="15" customHeight="1" x14ac:dyDescent="0.35">
      <c r="D241" s="671"/>
      <c r="L241" s="10">
        <v>1205342</v>
      </c>
      <c r="O241" s="303">
        <v>5</v>
      </c>
      <c r="P241" s="304">
        <v>744015</v>
      </c>
      <c r="Q241" s="304">
        <v>40</v>
      </c>
      <c r="R241" s="304"/>
      <c r="S241" s="217">
        <v>12.25</v>
      </c>
      <c r="T241" s="217" t="s">
        <v>846</v>
      </c>
      <c r="U241" s="217">
        <v>1056359</v>
      </c>
      <c r="V241" s="171" t="s">
        <v>91</v>
      </c>
      <c r="W241" s="40">
        <v>1</v>
      </c>
      <c r="X241" s="40">
        <v>1</v>
      </c>
      <c r="Y241" s="40">
        <v>5</v>
      </c>
      <c r="Z241" s="40">
        <v>5</v>
      </c>
      <c r="AA241" s="40">
        <v>5</v>
      </c>
      <c r="AB241" s="40">
        <v>5</v>
      </c>
      <c r="AC241" s="40">
        <v>5</v>
      </c>
      <c r="AD241" s="40">
        <v>5</v>
      </c>
      <c r="AE241" s="40">
        <v>5</v>
      </c>
      <c r="AF241" s="40">
        <v>1</v>
      </c>
      <c r="AG241" s="40">
        <v>4</v>
      </c>
      <c r="AH241" s="65"/>
      <c r="AI241" s="65"/>
      <c r="AJ241" s="40">
        <v>2</v>
      </c>
      <c r="AK241" s="40">
        <v>2</v>
      </c>
      <c r="AL241" s="40">
        <v>2</v>
      </c>
      <c r="AM241" s="40">
        <v>2</v>
      </c>
      <c r="AN241" s="188"/>
      <c r="AO241" s="188"/>
      <c r="AP241" s="188"/>
      <c r="AQ241" s="188"/>
      <c r="AR241" s="188"/>
      <c r="AS241" s="188"/>
      <c r="AT241" s="188"/>
      <c r="AU241" s="188"/>
      <c r="AV241" s="188"/>
      <c r="AW241" s="188"/>
      <c r="AX241" s="188"/>
      <c r="AY241" s="188"/>
      <c r="AZ241" s="188"/>
      <c r="BA241" s="188"/>
      <c r="BB241" s="188"/>
      <c r="BC241" s="188"/>
      <c r="BD241" s="188"/>
      <c r="BF241">
        <f>ROWS($U$46:U241)</f>
        <v>196</v>
      </c>
      <c r="BG241" t="str">
        <f t="shared" si="140"/>
        <v/>
      </c>
      <c r="DB241" s="10">
        <v>1146737</v>
      </c>
      <c r="DD241"/>
      <c r="DE241">
        <v>1238832</v>
      </c>
      <c r="DF241" t="s">
        <v>2152</v>
      </c>
      <c r="DG241" t="s">
        <v>2152</v>
      </c>
      <c r="DH241">
        <v>16</v>
      </c>
      <c r="DI241">
        <v>1613</v>
      </c>
      <c r="DJ241" t="s">
        <v>1231</v>
      </c>
      <c r="DK241"/>
      <c r="DL241" t="s">
        <v>2151</v>
      </c>
      <c r="DM241"/>
      <c r="DO241" s="10">
        <v>497</v>
      </c>
      <c r="DR241" s="10" t="str">
        <f t="shared" ref="DR241:DR261" si="142">DI241 &amp; " " &amp; DJ241 &amp; " " &amp; DK241</f>
        <v xml:space="preserve">1613 CT418 </v>
      </c>
      <c r="DS241" s="37">
        <f t="shared" si="141"/>
        <v>0</v>
      </c>
      <c r="EE241" s="10">
        <f t="shared" si="139"/>
        <v>0</v>
      </c>
      <c r="EF241">
        <f>ROWS($DE$2:DE241)</f>
        <v>240</v>
      </c>
      <c r="EG241" t="str">
        <f t="shared" si="115"/>
        <v/>
      </c>
      <c r="EJ241" t="str">
        <f t="shared" si="116"/>
        <v/>
      </c>
      <c r="EM241" t="str">
        <f t="shared" si="117"/>
        <v/>
      </c>
      <c r="EP241" t="str">
        <f t="shared" si="118"/>
        <v/>
      </c>
      <c r="ES241" t="str">
        <f t="shared" si="119"/>
        <v/>
      </c>
      <c r="EV241" t="str">
        <f t="shared" si="120"/>
        <v/>
      </c>
      <c r="EY241" t="str">
        <f t="shared" si="121"/>
        <v/>
      </c>
      <c r="FB241" t="str">
        <f t="shared" si="122"/>
        <v/>
      </c>
      <c r="FE241" t="str">
        <f t="shared" si="123"/>
        <v/>
      </c>
      <c r="FH241" t="str">
        <f t="shared" si="124"/>
        <v/>
      </c>
      <c r="FK241" t="str">
        <f t="shared" si="125"/>
        <v/>
      </c>
      <c r="FN241" t="str">
        <f t="shared" si="126"/>
        <v/>
      </c>
      <c r="FQ241" t="str">
        <f t="shared" si="127"/>
        <v/>
      </c>
      <c r="FT241" t="str">
        <f t="shared" si="128"/>
        <v/>
      </c>
      <c r="FW241" t="str">
        <f t="shared" si="129"/>
        <v/>
      </c>
      <c r="FZ241" t="str">
        <f t="shared" si="130"/>
        <v/>
      </c>
      <c r="GC241" t="str">
        <f t="shared" si="131"/>
        <v/>
      </c>
      <c r="GE241" s="155"/>
    </row>
    <row r="242" spans="4:187" ht="15" customHeight="1" thickBot="1" x14ac:dyDescent="0.4">
      <c r="D242" s="671"/>
      <c r="L242" s="10">
        <v>1207425</v>
      </c>
      <c r="O242" s="220"/>
      <c r="P242" s="221"/>
      <c r="Q242" s="221"/>
      <c r="R242" s="306"/>
      <c r="S242" s="309">
        <v>12.25</v>
      </c>
      <c r="T242" s="280" t="s">
        <v>846</v>
      </c>
      <c r="U242" s="280">
        <v>1056359</v>
      </c>
      <c r="V242" s="195" t="s">
        <v>92</v>
      </c>
      <c r="W242" s="40">
        <v>5</v>
      </c>
      <c r="X242" s="40">
        <v>5</v>
      </c>
      <c r="Y242" s="40">
        <v>5</v>
      </c>
      <c r="Z242" s="40">
        <v>5</v>
      </c>
      <c r="AA242" s="40">
        <v>5</v>
      </c>
      <c r="AB242" s="40">
        <v>5</v>
      </c>
      <c r="AC242" s="40">
        <v>1</v>
      </c>
      <c r="AD242" s="40">
        <v>3</v>
      </c>
      <c r="AE242" s="65"/>
      <c r="AF242" s="65"/>
      <c r="AG242" s="65"/>
      <c r="AH242" s="65"/>
      <c r="AI242" s="65"/>
      <c r="AJ242" s="40">
        <v>2</v>
      </c>
      <c r="AK242" s="40">
        <v>2</v>
      </c>
      <c r="AL242" s="40">
        <v>2</v>
      </c>
      <c r="AM242" s="40">
        <v>2</v>
      </c>
      <c r="AN242" s="188"/>
      <c r="AO242" s="188"/>
      <c r="AP242" s="188"/>
      <c r="AQ242" s="188"/>
      <c r="AR242" s="188"/>
      <c r="AS242" s="188"/>
      <c r="AT242" s="188"/>
      <c r="AU242" s="188"/>
      <c r="AV242" s="188"/>
      <c r="AW242" s="188"/>
      <c r="AX242" s="188"/>
      <c r="AY242" s="188"/>
      <c r="AZ242" s="188"/>
      <c r="BA242" s="188"/>
      <c r="BB242" s="188"/>
      <c r="BC242" s="188"/>
      <c r="BD242" s="188"/>
      <c r="BF242">
        <f>ROWS($U$46:U242)</f>
        <v>197</v>
      </c>
      <c r="BG242" t="str">
        <f t="shared" si="140"/>
        <v/>
      </c>
      <c r="DB242" s="10">
        <v>1133977</v>
      </c>
      <c r="DD242"/>
      <c r="DE242">
        <v>1261319</v>
      </c>
      <c r="DF242" t="s">
        <v>2155</v>
      </c>
      <c r="DG242" t="s">
        <v>2155</v>
      </c>
      <c r="DH242">
        <v>13</v>
      </c>
      <c r="DI242">
        <v>1308</v>
      </c>
      <c r="DJ242" t="s">
        <v>1983</v>
      </c>
      <c r="DK242"/>
      <c r="DL242" t="s">
        <v>2159</v>
      </c>
      <c r="DM242"/>
      <c r="DO242" s="10">
        <v>360</v>
      </c>
      <c r="DR242" s="10" t="str">
        <f t="shared" si="142"/>
        <v xml:space="preserve">1308 CT155 </v>
      </c>
      <c r="DS242" s="37">
        <f t="shared" si="141"/>
        <v>0</v>
      </c>
      <c r="EE242" s="10">
        <f t="shared" si="139"/>
        <v>0</v>
      </c>
      <c r="EF242">
        <f>ROWS($DE$2:DE242)</f>
        <v>241</v>
      </c>
      <c r="EG242" t="str">
        <f t="shared" si="115"/>
        <v/>
      </c>
      <c r="EJ242" t="str">
        <f t="shared" si="116"/>
        <v/>
      </c>
      <c r="EM242" t="str">
        <f t="shared" si="117"/>
        <v/>
      </c>
      <c r="EP242" t="str">
        <f t="shared" si="118"/>
        <v/>
      </c>
      <c r="ES242" t="str">
        <f t="shared" si="119"/>
        <v/>
      </c>
      <c r="EV242" t="str">
        <f t="shared" si="120"/>
        <v/>
      </c>
      <c r="EY242" t="str">
        <f t="shared" si="121"/>
        <v/>
      </c>
      <c r="FB242" t="str">
        <f t="shared" si="122"/>
        <v/>
      </c>
      <c r="FE242" t="str">
        <f t="shared" si="123"/>
        <v/>
      </c>
      <c r="FH242" t="str">
        <f t="shared" si="124"/>
        <v/>
      </c>
      <c r="FK242" t="str">
        <f t="shared" si="125"/>
        <v/>
      </c>
      <c r="FN242" t="str">
        <f t="shared" si="126"/>
        <v/>
      </c>
      <c r="FQ242" t="str">
        <f t="shared" si="127"/>
        <v/>
      </c>
      <c r="FT242" t="str">
        <f t="shared" si="128"/>
        <v/>
      </c>
      <c r="FW242" t="str">
        <f t="shared" si="129"/>
        <v/>
      </c>
      <c r="FZ242" t="str">
        <f t="shared" si="130"/>
        <v/>
      </c>
      <c r="GC242" t="str">
        <f t="shared" si="131"/>
        <v/>
      </c>
      <c r="GE242" s="155"/>
    </row>
    <row r="243" spans="4:187" ht="15" customHeight="1" x14ac:dyDescent="0.35">
      <c r="D243" s="671"/>
      <c r="L243" s="10">
        <v>1207508</v>
      </c>
      <c r="O243" s="123">
        <v>1</v>
      </c>
      <c r="P243" s="5"/>
      <c r="Q243" s="5"/>
      <c r="R243" s="5"/>
      <c r="S243" s="5"/>
      <c r="T243" s="5"/>
      <c r="U243" s="124">
        <v>1</v>
      </c>
      <c r="V243" s="314" t="s">
        <v>87</v>
      </c>
      <c r="W243" s="315">
        <v>1</v>
      </c>
      <c r="X243" s="5">
        <v>1</v>
      </c>
      <c r="Y243" s="5">
        <v>1</v>
      </c>
      <c r="Z243" s="5">
        <v>1</v>
      </c>
      <c r="AA243" s="5">
        <v>1</v>
      </c>
      <c r="AB243" s="5">
        <v>1</v>
      </c>
      <c r="AC243" s="5">
        <v>1</v>
      </c>
      <c r="AD243" s="5">
        <v>1</v>
      </c>
      <c r="AE243" s="5">
        <v>1</v>
      </c>
      <c r="AF243" s="5">
        <v>1</v>
      </c>
      <c r="AG243" s="5">
        <v>1</v>
      </c>
      <c r="AH243" s="5">
        <v>1</v>
      </c>
      <c r="AI243" s="5">
        <v>1</v>
      </c>
      <c r="AJ243" s="5">
        <v>1</v>
      </c>
      <c r="AK243" s="5">
        <v>1</v>
      </c>
      <c r="AL243" s="5">
        <v>1</v>
      </c>
      <c r="AM243" s="5">
        <v>1</v>
      </c>
      <c r="AN243" s="5">
        <v>1</v>
      </c>
      <c r="AO243" s="5">
        <v>1</v>
      </c>
      <c r="AP243" s="5">
        <v>1</v>
      </c>
      <c r="AQ243" s="5">
        <v>1</v>
      </c>
      <c r="AR243" s="5">
        <v>1</v>
      </c>
      <c r="AS243" s="5">
        <v>1</v>
      </c>
      <c r="AT243" s="5">
        <v>1</v>
      </c>
      <c r="AU243" s="5">
        <v>1</v>
      </c>
      <c r="AV243" s="5">
        <v>1</v>
      </c>
      <c r="AW243" s="5">
        <v>1</v>
      </c>
      <c r="AX243" s="5">
        <v>1</v>
      </c>
      <c r="AY243" s="5">
        <v>1</v>
      </c>
      <c r="AZ243" s="5">
        <v>1</v>
      </c>
      <c r="BA243" s="5">
        <v>1</v>
      </c>
      <c r="BB243" s="5"/>
      <c r="BC243" s="5"/>
      <c r="BD243" s="5"/>
      <c r="BF243">
        <f>ROWS($U$46:U243)</f>
        <v>198</v>
      </c>
      <c r="BG243" t="str">
        <f t="shared" si="140"/>
        <v/>
      </c>
      <c r="DB243" s="10">
        <v>1146346</v>
      </c>
      <c r="DE243">
        <v>1228502</v>
      </c>
      <c r="DF243" t="s">
        <v>2205</v>
      </c>
      <c r="DG243" t="s">
        <v>2205</v>
      </c>
      <c r="DH243">
        <v>16</v>
      </c>
      <c r="DI243">
        <v>1618</v>
      </c>
      <c r="DJ243" t="s">
        <v>1232</v>
      </c>
      <c r="DK243"/>
      <c r="DL243" t="s">
        <v>2159</v>
      </c>
      <c r="DM243"/>
      <c r="DO243" s="10">
        <v>497</v>
      </c>
      <c r="DR243" s="10" t="str">
        <f t="shared" si="142"/>
        <v xml:space="preserve">1618 CT182 </v>
      </c>
      <c r="DS243" s="37">
        <f t="shared" si="141"/>
        <v>0</v>
      </c>
      <c r="EE243" s="10">
        <f t="shared" si="139"/>
        <v>0</v>
      </c>
      <c r="EF243">
        <f>ROWS($DE$2:DE243)</f>
        <v>242</v>
      </c>
      <c r="EG243" t="str">
        <f t="shared" si="115"/>
        <v/>
      </c>
      <c r="EJ243" t="str">
        <f t="shared" si="116"/>
        <v/>
      </c>
      <c r="EM243" t="str">
        <f t="shared" si="117"/>
        <v/>
      </c>
      <c r="EP243" t="str">
        <f t="shared" si="118"/>
        <v/>
      </c>
      <c r="ES243" t="str">
        <f t="shared" si="119"/>
        <v/>
      </c>
      <c r="EV243" t="str">
        <f t="shared" si="120"/>
        <v/>
      </c>
      <c r="EY243" t="str">
        <f t="shared" si="121"/>
        <v/>
      </c>
      <c r="FB243" t="str">
        <f t="shared" si="122"/>
        <v/>
      </c>
      <c r="FE243" t="str">
        <f t="shared" si="123"/>
        <v/>
      </c>
      <c r="FH243" t="str">
        <f t="shared" si="124"/>
        <v/>
      </c>
      <c r="FK243" t="str">
        <f t="shared" si="125"/>
        <v/>
      </c>
      <c r="FN243" t="str">
        <f t="shared" si="126"/>
        <v/>
      </c>
      <c r="FQ243" t="str">
        <f t="shared" si="127"/>
        <v/>
      </c>
      <c r="FT243" t="str">
        <f t="shared" si="128"/>
        <v/>
      </c>
      <c r="FW243" t="str">
        <f t="shared" si="129"/>
        <v/>
      </c>
      <c r="FZ243" t="str">
        <f t="shared" si="130"/>
        <v/>
      </c>
      <c r="GC243" t="str">
        <f t="shared" si="131"/>
        <v/>
      </c>
      <c r="GE243" s="155"/>
    </row>
    <row r="244" spans="4:187" ht="15" customHeight="1" x14ac:dyDescent="0.35">
      <c r="D244" s="671"/>
      <c r="L244" s="10">
        <v>1208059</v>
      </c>
      <c r="O244" s="123">
        <v>2</v>
      </c>
      <c r="P244" s="5"/>
      <c r="Q244" s="5"/>
      <c r="R244" s="5"/>
      <c r="S244" s="5"/>
      <c r="T244" s="5"/>
      <c r="U244" s="124">
        <v>1</v>
      </c>
      <c r="V244" s="314" t="s">
        <v>88</v>
      </c>
      <c r="W244" s="315">
        <v>1</v>
      </c>
      <c r="X244" s="5">
        <v>1</v>
      </c>
      <c r="Y244" s="5">
        <v>1</v>
      </c>
      <c r="Z244" s="5">
        <v>1</v>
      </c>
      <c r="AA244" s="5">
        <v>1</v>
      </c>
      <c r="AB244" s="5">
        <v>1</v>
      </c>
      <c r="AC244" s="5">
        <v>1</v>
      </c>
      <c r="AD244" s="5">
        <v>1</v>
      </c>
      <c r="AE244" s="5">
        <v>1</v>
      </c>
      <c r="AF244" s="5">
        <v>1</v>
      </c>
      <c r="AG244" s="5">
        <v>1</v>
      </c>
      <c r="AH244" s="5">
        <v>1</v>
      </c>
      <c r="AI244" s="5">
        <v>1</v>
      </c>
      <c r="AJ244" s="5">
        <v>1</v>
      </c>
      <c r="AK244" s="5">
        <v>1</v>
      </c>
      <c r="AL244" s="5">
        <v>1</v>
      </c>
      <c r="AM244" s="5">
        <v>1</v>
      </c>
      <c r="AN244" s="5">
        <v>1</v>
      </c>
      <c r="AO244" s="5">
        <v>1</v>
      </c>
      <c r="AP244" s="5">
        <v>1</v>
      </c>
      <c r="AQ244" s="5">
        <v>1</v>
      </c>
      <c r="AR244" s="5">
        <v>1</v>
      </c>
      <c r="AS244" s="5">
        <v>1</v>
      </c>
      <c r="AT244" s="5">
        <v>1</v>
      </c>
      <c r="AU244" s="5">
        <v>1</v>
      </c>
      <c r="AV244" s="5">
        <v>1</v>
      </c>
      <c r="AW244" s="5">
        <v>1</v>
      </c>
      <c r="AX244" s="5">
        <v>1</v>
      </c>
      <c r="AY244" s="5">
        <v>1</v>
      </c>
      <c r="AZ244" s="5">
        <v>1</v>
      </c>
      <c r="BA244" s="5">
        <v>1</v>
      </c>
      <c r="BB244" s="5"/>
      <c r="BC244" s="5"/>
      <c r="BD244" s="5"/>
      <c r="BF244">
        <f>ROWS($U$46:U244)</f>
        <v>199</v>
      </c>
      <c r="BG244" t="str">
        <f t="shared" si="140"/>
        <v/>
      </c>
      <c r="DB244" s="10">
        <v>1271790</v>
      </c>
      <c r="DE244">
        <v>1261320</v>
      </c>
      <c r="DF244" t="s">
        <v>2156</v>
      </c>
      <c r="DG244" t="s">
        <v>2156</v>
      </c>
      <c r="DH244">
        <v>13</v>
      </c>
      <c r="DI244">
        <v>1313</v>
      </c>
      <c r="DJ244" t="s">
        <v>1983</v>
      </c>
      <c r="DK244"/>
      <c r="DL244" t="s">
        <v>2159</v>
      </c>
      <c r="DM244"/>
      <c r="DO244" s="10">
        <v>360</v>
      </c>
      <c r="DR244" s="10" t="str">
        <f t="shared" si="142"/>
        <v xml:space="preserve">1313 CT155 </v>
      </c>
      <c r="DS244" s="37">
        <f t="shared" si="141"/>
        <v>0</v>
      </c>
      <c r="EE244" s="10">
        <f t="shared" si="139"/>
        <v>0</v>
      </c>
      <c r="EF244">
        <f>ROWS($DE$2:DE244)</f>
        <v>243</v>
      </c>
      <c r="EG244" t="str">
        <f t="shared" si="115"/>
        <v/>
      </c>
      <c r="EJ244" t="str">
        <f t="shared" si="116"/>
        <v/>
      </c>
      <c r="EM244" t="str">
        <f t="shared" si="117"/>
        <v/>
      </c>
      <c r="EP244" t="str">
        <f t="shared" si="118"/>
        <v/>
      </c>
      <c r="ES244" t="str">
        <f t="shared" si="119"/>
        <v/>
      </c>
      <c r="EV244" t="str">
        <f t="shared" si="120"/>
        <v/>
      </c>
      <c r="EY244" t="str">
        <f t="shared" si="121"/>
        <v/>
      </c>
      <c r="FB244" t="str">
        <f t="shared" si="122"/>
        <v/>
      </c>
      <c r="FE244" t="str">
        <f t="shared" si="123"/>
        <v/>
      </c>
      <c r="FH244" t="str">
        <f t="shared" si="124"/>
        <v/>
      </c>
      <c r="FK244" t="str">
        <f t="shared" si="125"/>
        <v/>
      </c>
      <c r="FN244" t="str">
        <f t="shared" si="126"/>
        <v/>
      </c>
      <c r="FQ244" t="str">
        <f t="shared" si="127"/>
        <v/>
      </c>
      <c r="FT244" t="str">
        <f t="shared" si="128"/>
        <v/>
      </c>
      <c r="FW244" t="str">
        <f t="shared" si="129"/>
        <v/>
      </c>
      <c r="FZ244" t="str">
        <f t="shared" si="130"/>
        <v/>
      </c>
      <c r="GC244" t="str">
        <f t="shared" si="131"/>
        <v/>
      </c>
      <c r="GE244" s="155"/>
    </row>
    <row r="245" spans="4:187" ht="15" customHeight="1" x14ac:dyDescent="0.35">
      <c r="D245" s="671"/>
      <c r="L245" s="10">
        <v>1212043</v>
      </c>
      <c r="O245" s="123">
        <v>3</v>
      </c>
      <c r="P245" s="5"/>
      <c r="Q245" s="5"/>
      <c r="R245" s="5"/>
      <c r="S245" s="5"/>
      <c r="T245" s="5"/>
      <c r="U245" s="124">
        <v>1</v>
      </c>
      <c r="V245" s="314" t="s">
        <v>89</v>
      </c>
      <c r="W245" s="315">
        <v>1</v>
      </c>
      <c r="X245" s="5">
        <v>1</v>
      </c>
      <c r="Y245" s="5">
        <v>1</v>
      </c>
      <c r="Z245" s="5">
        <v>1</v>
      </c>
      <c r="AA245" s="5">
        <v>1</v>
      </c>
      <c r="AB245" s="5">
        <v>1</v>
      </c>
      <c r="AC245" s="5">
        <v>1</v>
      </c>
      <c r="AD245" s="5">
        <v>1</v>
      </c>
      <c r="AE245" s="5">
        <v>1</v>
      </c>
      <c r="AF245" s="5">
        <v>1</v>
      </c>
      <c r="AG245" s="5">
        <v>1</v>
      </c>
      <c r="AH245" s="5">
        <v>1</v>
      </c>
      <c r="AI245" s="5">
        <v>1</v>
      </c>
      <c r="AJ245" s="5">
        <v>1</v>
      </c>
      <c r="AK245" s="5">
        <v>1</v>
      </c>
      <c r="AL245" s="5">
        <v>1</v>
      </c>
      <c r="AM245" s="5">
        <v>1</v>
      </c>
      <c r="AN245" s="5">
        <v>1</v>
      </c>
      <c r="AO245" s="5">
        <v>1</v>
      </c>
      <c r="AP245" s="5">
        <v>1</v>
      </c>
      <c r="AQ245" s="5">
        <v>1</v>
      </c>
      <c r="AR245" s="5">
        <v>1</v>
      </c>
      <c r="AS245" s="5">
        <v>1</v>
      </c>
      <c r="AT245" s="5">
        <v>1</v>
      </c>
      <c r="AU245" s="5">
        <v>1</v>
      </c>
      <c r="AV245" s="5">
        <v>1</v>
      </c>
      <c r="AW245" s="5">
        <v>1</v>
      </c>
      <c r="AX245" s="5">
        <v>1</v>
      </c>
      <c r="AY245" s="5">
        <v>1</v>
      </c>
      <c r="AZ245" s="5">
        <v>1</v>
      </c>
      <c r="BA245" s="5">
        <v>1</v>
      </c>
      <c r="BB245" s="5"/>
      <c r="BC245" s="5"/>
      <c r="BD245" s="5"/>
      <c r="BF245">
        <f>ROWS($U$46:U245)</f>
        <v>200</v>
      </c>
      <c r="BG245" t="str">
        <f t="shared" si="140"/>
        <v/>
      </c>
      <c r="DB245" s="10">
        <v>1142711</v>
      </c>
      <c r="DE245">
        <v>1261321</v>
      </c>
      <c r="DF245" t="s">
        <v>2157</v>
      </c>
      <c r="DG245" t="s">
        <v>2157</v>
      </c>
      <c r="DH245">
        <v>16</v>
      </c>
      <c r="DI245">
        <v>1613</v>
      </c>
      <c r="DJ245" t="s">
        <v>1983</v>
      </c>
      <c r="DK245"/>
      <c r="DL245" t="s">
        <v>2159</v>
      </c>
      <c r="DM245"/>
      <c r="DO245" s="10">
        <v>497</v>
      </c>
      <c r="DR245" s="10" t="str">
        <f t="shared" si="142"/>
        <v xml:space="preserve">1613 CT155 </v>
      </c>
      <c r="DS245" s="37">
        <f t="shared" si="141"/>
        <v>0</v>
      </c>
      <c r="EE245" s="10">
        <f t="shared" si="139"/>
        <v>0</v>
      </c>
      <c r="EF245">
        <f>ROWS($DE$2:DE245)</f>
        <v>244</v>
      </c>
      <c r="EG245" t="str">
        <f t="shared" si="115"/>
        <v/>
      </c>
      <c r="EJ245" t="str">
        <f t="shared" si="116"/>
        <v/>
      </c>
      <c r="EM245" t="str">
        <f t="shared" si="117"/>
        <v/>
      </c>
      <c r="EP245" t="str">
        <f t="shared" si="118"/>
        <v/>
      </c>
      <c r="ES245" t="str">
        <f t="shared" si="119"/>
        <v/>
      </c>
      <c r="EV245" t="str">
        <f t="shared" si="120"/>
        <v/>
      </c>
      <c r="EY245" t="str">
        <f t="shared" si="121"/>
        <v/>
      </c>
      <c r="FB245" t="str">
        <f t="shared" si="122"/>
        <v/>
      </c>
      <c r="FE245" t="str">
        <f t="shared" si="123"/>
        <v/>
      </c>
      <c r="FH245" t="str">
        <f t="shared" si="124"/>
        <v/>
      </c>
      <c r="FK245" t="str">
        <f t="shared" si="125"/>
        <v/>
      </c>
      <c r="FN245" t="str">
        <f t="shared" si="126"/>
        <v/>
      </c>
      <c r="FQ245" t="str">
        <f t="shared" si="127"/>
        <v/>
      </c>
      <c r="FT245" t="str">
        <f t="shared" si="128"/>
        <v/>
      </c>
      <c r="FW245" t="str">
        <f t="shared" si="129"/>
        <v/>
      </c>
      <c r="FZ245" t="str">
        <f t="shared" si="130"/>
        <v/>
      </c>
      <c r="GC245" t="str">
        <f t="shared" si="131"/>
        <v/>
      </c>
      <c r="GE245" s="155"/>
    </row>
    <row r="246" spans="4:187" ht="15" customHeight="1" x14ac:dyDescent="0.35">
      <c r="D246" s="671"/>
      <c r="L246" s="10">
        <v>1212207</v>
      </c>
      <c r="O246" s="123">
        <v>4</v>
      </c>
      <c r="P246" s="5"/>
      <c r="Q246" s="5"/>
      <c r="R246" s="5"/>
      <c r="S246" s="5"/>
      <c r="T246" s="5"/>
      <c r="U246" s="124">
        <v>1</v>
      </c>
      <c r="V246" s="314" t="s">
        <v>90</v>
      </c>
      <c r="W246" s="315">
        <v>1</v>
      </c>
      <c r="X246" s="5">
        <v>1</v>
      </c>
      <c r="Y246" s="5">
        <v>1</v>
      </c>
      <c r="Z246" s="5">
        <v>1</v>
      </c>
      <c r="AA246" s="5">
        <v>1</v>
      </c>
      <c r="AB246" s="5">
        <v>1</v>
      </c>
      <c r="AC246" s="5">
        <v>1</v>
      </c>
      <c r="AD246" s="5">
        <v>1</v>
      </c>
      <c r="AE246" s="5">
        <v>1</v>
      </c>
      <c r="AF246" s="5">
        <v>1</v>
      </c>
      <c r="AG246" s="5">
        <v>1</v>
      </c>
      <c r="AH246" s="5">
        <v>1</v>
      </c>
      <c r="AI246" s="5">
        <v>1</v>
      </c>
      <c r="AJ246" s="5">
        <v>1</v>
      </c>
      <c r="AK246" s="5">
        <v>1</v>
      </c>
      <c r="AL246" s="5">
        <v>1</v>
      </c>
      <c r="AM246" s="5">
        <v>1</v>
      </c>
      <c r="AN246" s="5">
        <v>1</v>
      </c>
      <c r="AO246" s="5">
        <v>1</v>
      </c>
      <c r="AP246" s="5">
        <v>1</v>
      </c>
      <c r="AQ246" s="5">
        <v>1</v>
      </c>
      <c r="AR246" s="5">
        <v>1</v>
      </c>
      <c r="AS246" s="5">
        <v>1</v>
      </c>
      <c r="AT246" s="5">
        <v>1</v>
      </c>
      <c r="AU246" s="5">
        <v>1</v>
      </c>
      <c r="AV246" s="5">
        <v>1</v>
      </c>
      <c r="AW246" s="5">
        <v>1</v>
      </c>
      <c r="AX246" s="5">
        <v>1</v>
      </c>
      <c r="AY246" s="5">
        <v>1</v>
      </c>
      <c r="AZ246" s="5">
        <v>1</v>
      </c>
      <c r="BA246" s="5">
        <v>1</v>
      </c>
      <c r="BB246" s="5"/>
      <c r="BC246" s="5"/>
      <c r="BD246" s="5"/>
      <c r="BF246">
        <f>ROWS($U$46:U246)</f>
        <v>201</v>
      </c>
      <c r="BG246" t="str">
        <f t="shared" si="140"/>
        <v/>
      </c>
      <c r="DB246" s="10">
        <v>1200972</v>
      </c>
      <c r="DE246">
        <v>1244299</v>
      </c>
      <c r="DF246" t="s">
        <v>2162</v>
      </c>
      <c r="DG246" t="s">
        <v>2162</v>
      </c>
      <c r="DH246">
        <v>13</v>
      </c>
      <c r="DI246">
        <v>1313</v>
      </c>
      <c r="DJ246" t="s">
        <v>2160</v>
      </c>
      <c r="DK246"/>
      <c r="DL246" t="s">
        <v>1985</v>
      </c>
      <c r="DM246"/>
      <c r="DO246" s="10">
        <v>360</v>
      </c>
      <c r="DR246" s="10" t="str">
        <f t="shared" si="142"/>
        <v xml:space="preserve">1313 CT147GV4 </v>
      </c>
      <c r="DS246" s="37">
        <f t="shared" si="141"/>
        <v>0</v>
      </c>
      <c r="EE246" s="10">
        <f t="shared" si="139"/>
        <v>0</v>
      </c>
      <c r="EF246">
        <f>ROWS($DE$2:DE246)</f>
        <v>245</v>
      </c>
      <c r="EG246" t="str">
        <f t="shared" si="115"/>
        <v/>
      </c>
      <c r="EJ246" t="str">
        <f t="shared" si="116"/>
        <v/>
      </c>
      <c r="EM246" t="str">
        <f t="shared" si="117"/>
        <v/>
      </c>
      <c r="EP246" t="str">
        <f t="shared" si="118"/>
        <v/>
      </c>
      <c r="ES246" t="str">
        <f t="shared" si="119"/>
        <v/>
      </c>
      <c r="EV246" t="str">
        <f t="shared" si="120"/>
        <v/>
      </c>
      <c r="EY246" t="str">
        <f t="shared" si="121"/>
        <v/>
      </c>
      <c r="FB246" t="str">
        <f t="shared" si="122"/>
        <v/>
      </c>
      <c r="FE246" t="str">
        <f t="shared" si="123"/>
        <v/>
      </c>
      <c r="FH246" t="str">
        <f t="shared" si="124"/>
        <v/>
      </c>
      <c r="FK246" t="str">
        <f t="shared" si="125"/>
        <v/>
      </c>
      <c r="FN246" t="str">
        <f t="shared" si="126"/>
        <v/>
      </c>
      <c r="FQ246" t="str">
        <f t="shared" si="127"/>
        <v/>
      </c>
      <c r="FT246" t="str">
        <f t="shared" si="128"/>
        <v/>
      </c>
      <c r="FW246" t="str">
        <f t="shared" si="129"/>
        <v/>
      </c>
      <c r="FZ246" t="str">
        <f t="shared" si="130"/>
        <v/>
      </c>
      <c r="GC246" t="str">
        <f t="shared" si="131"/>
        <v/>
      </c>
      <c r="GE246" s="155"/>
    </row>
    <row r="247" spans="4:187" ht="15" customHeight="1" x14ac:dyDescent="0.35">
      <c r="D247" s="671"/>
      <c r="L247" s="10">
        <v>1212690</v>
      </c>
      <c r="O247" s="123">
        <v>5</v>
      </c>
      <c r="P247" s="5"/>
      <c r="Q247" s="5"/>
      <c r="R247" s="5"/>
      <c r="S247" s="5"/>
      <c r="T247" s="5"/>
      <c r="U247" s="124">
        <v>1</v>
      </c>
      <c r="V247" s="314" t="s">
        <v>91</v>
      </c>
      <c r="W247" s="315">
        <v>1</v>
      </c>
      <c r="X247" s="5">
        <v>1</v>
      </c>
      <c r="Y247" s="5">
        <v>1</v>
      </c>
      <c r="Z247" s="5">
        <v>1</v>
      </c>
      <c r="AA247" s="5">
        <v>1</v>
      </c>
      <c r="AB247" s="5">
        <v>1</v>
      </c>
      <c r="AC247" s="5">
        <v>1</v>
      </c>
      <c r="AD247" s="5">
        <v>1</v>
      </c>
      <c r="AE247" s="5">
        <v>1</v>
      </c>
      <c r="AF247" s="5">
        <v>1</v>
      </c>
      <c r="AG247" s="5">
        <v>1</v>
      </c>
      <c r="AH247" s="5">
        <v>1</v>
      </c>
      <c r="AI247" s="5">
        <v>1</v>
      </c>
      <c r="AJ247" s="5">
        <v>1</v>
      </c>
      <c r="AK247" s="5">
        <v>1</v>
      </c>
      <c r="AL247" s="5">
        <v>1</v>
      </c>
      <c r="AM247" s="5">
        <v>1</v>
      </c>
      <c r="AN247" s="5">
        <v>1</v>
      </c>
      <c r="AO247" s="5">
        <v>1</v>
      </c>
      <c r="AP247" s="5">
        <v>1</v>
      </c>
      <c r="AQ247" s="5">
        <v>1</v>
      </c>
      <c r="AR247" s="5">
        <v>1</v>
      </c>
      <c r="AS247" s="5">
        <v>1</v>
      </c>
      <c r="AT247" s="5">
        <v>1</v>
      </c>
      <c r="AU247" s="5">
        <v>1</v>
      </c>
      <c r="AV247" s="5">
        <v>1</v>
      </c>
      <c r="AW247" s="5">
        <v>1</v>
      </c>
      <c r="AX247" s="5">
        <v>1</v>
      </c>
      <c r="AY247" s="5">
        <v>1</v>
      </c>
      <c r="AZ247" s="5">
        <v>1</v>
      </c>
      <c r="BA247" s="5">
        <v>1</v>
      </c>
      <c r="BB247" s="5"/>
      <c r="BC247" s="5"/>
      <c r="BD247" s="5"/>
      <c r="BF247">
        <f>ROWS($U$46:U247)</f>
        <v>202</v>
      </c>
      <c r="BG247" t="str">
        <f t="shared" si="140"/>
        <v/>
      </c>
      <c r="DB247" s="10">
        <v>1234189</v>
      </c>
      <c r="DE247">
        <v>1175118</v>
      </c>
      <c r="DF247" t="s">
        <v>2164</v>
      </c>
      <c r="DG247" t="s">
        <v>2164</v>
      </c>
      <c r="DH247">
        <v>16</v>
      </c>
      <c r="DI247">
        <v>1613</v>
      </c>
      <c r="DJ247" t="s">
        <v>2041</v>
      </c>
      <c r="DK247"/>
      <c r="DL247" t="s">
        <v>2165</v>
      </c>
      <c r="DM247"/>
      <c r="DO247" s="10">
        <v>497</v>
      </c>
      <c r="DR247" s="10" t="str">
        <f t="shared" si="142"/>
        <v xml:space="preserve">1613 CT147 </v>
      </c>
      <c r="DS247" s="37">
        <f t="shared" si="141"/>
        <v>0</v>
      </c>
      <c r="EE247" s="10">
        <f t="shared" si="139"/>
        <v>0</v>
      </c>
      <c r="EF247">
        <f>ROWS($DE$2:DE247)</f>
        <v>246</v>
      </c>
      <c r="EG247" t="str">
        <f t="shared" si="115"/>
        <v/>
      </c>
      <c r="EJ247" t="str">
        <f t="shared" si="116"/>
        <v/>
      </c>
      <c r="EM247" t="str">
        <f t="shared" si="117"/>
        <v/>
      </c>
      <c r="EP247" t="str">
        <f t="shared" si="118"/>
        <v/>
      </c>
      <c r="ES247" t="str">
        <f t="shared" si="119"/>
        <v/>
      </c>
      <c r="EV247" t="str">
        <f t="shared" si="120"/>
        <v/>
      </c>
      <c r="EY247" t="str">
        <f t="shared" si="121"/>
        <v/>
      </c>
      <c r="FB247" t="str">
        <f t="shared" si="122"/>
        <v/>
      </c>
      <c r="FE247" t="str">
        <f t="shared" si="123"/>
        <v/>
      </c>
      <c r="FH247" t="str">
        <f t="shared" si="124"/>
        <v/>
      </c>
      <c r="FK247" t="str">
        <f t="shared" si="125"/>
        <v/>
      </c>
      <c r="FN247" t="str">
        <f t="shared" si="126"/>
        <v/>
      </c>
      <c r="FQ247" t="str">
        <f t="shared" si="127"/>
        <v/>
      </c>
      <c r="FT247" t="str">
        <f t="shared" si="128"/>
        <v/>
      </c>
      <c r="FW247" t="str">
        <f t="shared" si="129"/>
        <v/>
      </c>
      <c r="FZ247" t="str">
        <f t="shared" si="130"/>
        <v/>
      </c>
      <c r="GC247" t="str">
        <f t="shared" si="131"/>
        <v/>
      </c>
      <c r="GE247" s="155"/>
    </row>
    <row r="248" spans="4:187" ht="15" customHeight="1" x14ac:dyDescent="0.35">
      <c r="D248" s="671"/>
      <c r="L248" s="10">
        <v>1212881</v>
      </c>
      <c r="O248" s="123">
        <v>6</v>
      </c>
      <c r="P248" s="5"/>
      <c r="Q248" s="5"/>
      <c r="R248" s="5"/>
      <c r="S248" s="5"/>
      <c r="T248" s="5"/>
      <c r="U248" s="124">
        <v>1</v>
      </c>
      <c r="V248" s="314" t="s">
        <v>92</v>
      </c>
      <c r="W248" s="315">
        <v>1</v>
      </c>
      <c r="X248" s="5">
        <v>1</v>
      </c>
      <c r="Y248" s="5">
        <v>1</v>
      </c>
      <c r="Z248" s="5">
        <v>1</v>
      </c>
      <c r="AA248" s="5">
        <v>1</v>
      </c>
      <c r="AB248" s="5">
        <v>1</v>
      </c>
      <c r="AC248" s="5">
        <v>1</v>
      </c>
      <c r="AD248" s="5">
        <v>1</v>
      </c>
      <c r="AE248" s="5">
        <v>1</v>
      </c>
      <c r="AF248" s="5">
        <v>1</v>
      </c>
      <c r="AG248" s="5">
        <v>1</v>
      </c>
      <c r="AH248" s="5">
        <v>1</v>
      </c>
      <c r="AI248" s="5">
        <v>1</v>
      </c>
      <c r="AJ248" s="5">
        <v>1</v>
      </c>
      <c r="AK248" s="5">
        <v>1</v>
      </c>
      <c r="AL248" s="5">
        <v>1</v>
      </c>
      <c r="AM248" s="5">
        <v>1</v>
      </c>
      <c r="AN248" s="5">
        <v>1</v>
      </c>
      <c r="AO248" s="5">
        <v>1</v>
      </c>
      <c r="AP248" s="5">
        <v>1</v>
      </c>
      <c r="AQ248" s="5">
        <v>1</v>
      </c>
      <c r="AR248" s="5">
        <v>1</v>
      </c>
      <c r="AS248" s="5">
        <v>1</v>
      </c>
      <c r="AT248" s="5">
        <v>1</v>
      </c>
      <c r="AU248" s="5">
        <v>1</v>
      </c>
      <c r="AV248" s="5">
        <v>1</v>
      </c>
      <c r="AW248" s="5">
        <v>1</v>
      </c>
      <c r="AX248" s="5">
        <v>1</v>
      </c>
      <c r="AY248" s="5">
        <v>1</v>
      </c>
      <c r="AZ248" s="5">
        <v>1</v>
      </c>
      <c r="BA248" s="5">
        <v>1</v>
      </c>
      <c r="BB248" s="5"/>
      <c r="BC248" s="5"/>
      <c r="BD248" s="5"/>
      <c r="BF248">
        <f>ROWS($U$46:U248)</f>
        <v>203</v>
      </c>
      <c r="BG248" t="str">
        <f t="shared" si="140"/>
        <v/>
      </c>
      <c r="DB248" s="10">
        <v>1250971</v>
      </c>
      <c r="DE248">
        <v>1146737</v>
      </c>
      <c r="DF248" t="s">
        <v>2166</v>
      </c>
      <c r="DG248" t="s">
        <v>2166</v>
      </c>
      <c r="DH248">
        <v>16</v>
      </c>
      <c r="DI248">
        <v>1613</v>
      </c>
      <c r="DJ248" t="s">
        <v>1231</v>
      </c>
      <c r="DK248"/>
      <c r="DL248" t="s">
        <v>2165</v>
      </c>
      <c r="DM248"/>
      <c r="DO248" s="10">
        <v>497</v>
      </c>
      <c r="DR248" s="10" t="str">
        <f t="shared" si="142"/>
        <v xml:space="preserve">1613 CT418 </v>
      </c>
      <c r="DS248" s="37">
        <f t="shared" si="141"/>
        <v>250.471</v>
      </c>
      <c r="DT248" s="10">
        <v>192.67</v>
      </c>
      <c r="EE248" s="10">
        <f t="shared" si="139"/>
        <v>0</v>
      </c>
      <c r="EF248">
        <f>ROWS($DE$2:DE248)</f>
        <v>247</v>
      </c>
      <c r="EG248" t="str">
        <f t="shared" si="115"/>
        <v/>
      </c>
      <c r="EJ248" t="str">
        <f t="shared" si="116"/>
        <v/>
      </c>
      <c r="EM248" t="str">
        <f t="shared" si="117"/>
        <v/>
      </c>
      <c r="EP248" t="str">
        <f t="shared" si="118"/>
        <v/>
      </c>
      <c r="ES248" t="str">
        <f t="shared" si="119"/>
        <v/>
      </c>
      <c r="EV248" t="str">
        <f t="shared" si="120"/>
        <v/>
      </c>
      <c r="EY248" t="str">
        <f t="shared" si="121"/>
        <v/>
      </c>
      <c r="FB248" t="str">
        <f t="shared" si="122"/>
        <v/>
      </c>
      <c r="FE248" t="str">
        <f t="shared" si="123"/>
        <v/>
      </c>
      <c r="FH248" t="str">
        <f t="shared" si="124"/>
        <v/>
      </c>
      <c r="FK248" t="str">
        <f t="shared" si="125"/>
        <v/>
      </c>
      <c r="FN248" t="str">
        <f t="shared" si="126"/>
        <v/>
      </c>
      <c r="FQ248" t="str">
        <f t="shared" si="127"/>
        <v/>
      </c>
      <c r="FT248" t="str">
        <f t="shared" si="128"/>
        <v/>
      </c>
      <c r="FW248" t="str">
        <f t="shared" si="129"/>
        <v/>
      </c>
      <c r="FZ248" t="str">
        <f t="shared" si="130"/>
        <v/>
      </c>
      <c r="GC248" t="str">
        <f t="shared" si="131"/>
        <v/>
      </c>
      <c r="GE248" s="155"/>
    </row>
    <row r="249" spans="4:187" ht="15" customHeight="1" x14ac:dyDescent="0.35">
      <c r="D249" s="671"/>
      <c r="L249" s="10">
        <v>1214858</v>
      </c>
      <c r="O249" s="123">
        <v>7</v>
      </c>
      <c r="P249" s="5"/>
      <c r="Q249" s="5"/>
      <c r="R249" s="5"/>
      <c r="S249" s="5"/>
      <c r="T249" s="5"/>
      <c r="U249" s="124">
        <v>1</v>
      </c>
      <c r="V249" s="314" t="s">
        <v>111</v>
      </c>
      <c r="W249" s="315">
        <v>1</v>
      </c>
      <c r="X249" s="5">
        <v>1</v>
      </c>
      <c r="Y249" s="5">
        <v>1</v>
      </c>
      <c r="Z249" s="5">
        <v>1</v>
      </c>
      <c r="AA249" s="5">
        <v>1</v>
      </c>
      <c r="AB249" s="5">
        <v>1</v>
      </c>
      <c r="AC249" s="5">
        <v>1</v>
      </c>
      <c r="AD249" s="5">
        <v>1</v>
      </c>
      <c r="AE249" s="5">
        <v>1</v>
      </c>
      <c r="AF249" s="5">
        <v>1</v>
      </c>
      <c r="AG249" s="5">
        <v>1</v>
      </c>
      <c r="AH249" s="5">
        <v>1</v>
      </c>
      <c r="AI249" s="5">
        <v>1</v>
      </c>
      <c r="AJ249" s="5">
        <v>1</v>
      </c>
      <c r="AK249" s="5">
        <v>1</v>
      </c>
      <c r="AL249" s="5">
        <v>1</v>
      </c>
      <c r="AM249" s="5">
        <v>1</v>
      </c>
      <c r="AN249" s="5">
        <v>1</v>
      </c>
      <c r="AO249" s="5">
        <v>1</v>
      </c>
      <c r="AP249" s="5">
        <v>1</v>
      </c>
      <c r="AQ249" s="5">
        <v>1</v>
      </c>
      <c r="AR249" s="5">
        <v>1</v>
      </c>
      <c r="AS249" s="5">
        <v>1</v>
      </c>
      <c r="AT249" s="5">
        <v>1</v>
      </c>
      <c r="AU249" s="5">
        <v>1</v>
      </c>
      <c r="AV249" s="5">
        <v>1</v>
      </c>
      <c r="AW249" s="5">
        <v>1</v>
      </c>
      <c r="AX249" s="5">
        <v>1</v>
      </c>
      <c r="AY249" s="5">
        <v>1</v>
      </c>
      <c r="AZ249" s="5">
        <v>1</v>
      </c>
      <c r="BA249" s="5">
        <v>1</v>
      </c>
      <c r="BB249" s="5"/>
      <c r="BC249" s="5"/>
      <c r="BD249" s="5"/>
      <c r="BF249">
        <f>ROWS($U$46:U249)</f>
        <v>204</v>
      </c>
      <c r="BG249" t="str">
        <f t="shared" si="140"/>
        <v/>
      </c>
      <c r="DB249" s="10">
        <v>1234679</v>
      </c>
      <c r="DE249">
        <v>1133977</v>
      </c>
      <c r="DF249" t="s">
        <v>2166</v>
      </c>
      <c r="DG249" t="s">
        <v>2166</v>
      </c>
      <c r="DH249">
        <v>16</v>
      </c>
      <c r="DI249">
        <v>1613</v>
      </c>
      <c r="DJ249" t="s">
        <v>1231</v>
      </c>
      <c r="DK249"/>
      <c r="DL249" t="s">
        <v>2165</v>
      </c>
      <c r="DM249"/>
      <c r="DO249" s="10">
        <v>497</v>
      </c>
      <c r="DR249" s="10" t="str">
        <f t="shared" si="142"/>
        <v xml:space="preserve">1613 CT418 </v>
      </c>
      <c r="DS249" s="37">
        <f t="shared" si="141"/>
        <v>0</v>
      </c>
      <c r="EE249" s="10">
        <f t="shared" si="139"/>
        <v>0</v>
      </c>
      <c r="EF249">
        <f>ROWS($DE$2:DE249)</f>
        <v>248</v>
      </c>
      <c r="EG249" t="str">
        <f t="shared" si="115"/>
        <v/>
      </c>
      <c r="EJ249" t="str">
        <f t="shared" si="116"/>
        <v/>
      </c>
      <c r="EM249" t="str">
        <f t="shared" si="117"/>
        <v/>
      </c>
      <c r="EP249" t="str">
        <f t="shared" si="118"/>
        <v/>
      </c>
      <c r="ES249" t="str">
        <f t="shared" si="119"/>
        <v/>
      </c>
      <c r="EV249" t="str">
        <f t="shared" si="120"/>
        <v/>
      </c>
      <c r="EY249" t="str">
        <f t="shared" si="121"/>
        <v/>
      </c>
      <c r="FB249" t="str">
        <f t="shared" si="122"/>
        <v/>
      </c>
      <c r="FE249" t="str">
        <f t="shared" si="123"/>
        <v/>
      </c>
      <c r="FH249" t="str">
        <f t="shared" si="124"/>
        <v/>
      </c>
      <c r="FK249" t="str">
        <f t="shared" si="125"/>
        <v/>
      </c>
      <c r="FN249" t="str">
        <f t="shared" si="126"/>
        <v/>
      </c>
      <c r="FQ249" t="str">
        <f t="shared" si="127"/>
        <v/>
      </c>
      <c r="FT249" t="str">
        <f t="shared" si="128"/>
        <v/>
      </c>
      <c r="FW249" t="str">
        <f t="shared" si="129"/>
        <v/>
      </c>
      <c r="FZ249" t="str">
        <f t="shared" si="130"/>
        <v/>
      </c>
      <c r="GC249" t="str">
        <f t="shared" si="131"/>
        <v/>
      </c>
      <c r="GE249" s="155"/>
    </row>
    <row r="250" spans="4:187" ht="15" customHeight="1" x14ac:dyDescent="0.35">
      <c r="D250" s="671"/>
      <c r="L250" s="10">
        <v>1218052</v>
      </c>
      <c r="O250" s="123">
        <v>8</v>
      </c>
      <c r="P250" s="5"/>
      <c r="Q250" s="5"/>
      <c r="R250" s="5"/>
      <c r="S250" s="5"/>
      <c r="T250" s="5"/>
      <c r="U250" s="124">
        <v>1</v>
      </c>
      <c r="V250" s="314" t="s">
        <v>112</v>
      </c>
      <c r="W250" s="315">
        <v>1</v>
      </c>
      <c r="X250" s="5">
        <v>1</v>
      </c>
      <c r="Y250" s="5">
        <v>1</v>
      </c>
      <c r="Z250" s="5">
        <v>1</v>
      </c>
      <c r="AA250" s="5">
        <v>1</v>
      </c>
      <c r="AB250" s="5">
        <v>1</v>
      </c>
      <c r="AC250" s="5">
        <v>1</v>
      </c>
      <c r="AD250" s="5">
        <v>1</v>
      </c>
      <c r="AE250" s="5">
        <v>1</v>
      </c>
      <c r="AF250" s="5">
        <v>1</v>
      </c>
      <c r="AG250" s="5">
        <v>1</v>
      </c>
      <c r="AH250" s="5">
        <v>1</v>
      </c>
      <c r="AI250" s="5">
        <v>1</v>
      </c>
      <c r="AJ250" s="5">
        <v>1</v>
      </c>
      <c r="AK250" s="5">
        <v>1</v>
      </c>
      <c r="AL250" s="5">
        <v>1</v>
      </c>
      <c r="AM250" s="5">
        <v>1</v>
      </c>
      <c r="AN250" s="5">
        <v>1</v>
      </c>
      <c r="AO250" s="5">
        <v>1</v>
      </c>
      <c r="AP250" s="5">
        <v>1</v>
      </c>
      <c r="AQ250" s="5">
        <v>1</v>
      </c>
      <c r="AR250" s="5">
        <v>1</v>
      </c>
      <c r="AS250" s="5">
        <v>1</v>
      </c>
      <c r="AT250" s="5">
        <v>1</v>
      </c>
      <c r="AU250" s="5">
        <v>1</v>
      </c>
      <c r="AV250" s="5">
        <v>1</v>
      </c>
      <c r="AW250" s="5">
        <v>1</v>
      </c>
      <c r="AX250" s="5">
        <v>1</v>
      </c>
      <c r="AY250" s="5">
        <v>1</v>
      </c>
      <c r="AZ250" s="5">
        <v>1</v>
      </c>
      <c r="BA250" s="5">
        <v>1</v>
      </c>
      <c r="BB250" s="5"/>
      <c r="BC250" s="5"/>
      <c r="BD250" s="5"/>
      <c r="BF250">
        <f>ROWS($U$46:U250)</f>
        <v>205</v>
      </c>
      <c r="BG250" t="str">
        <f t="shared" si="140"/>
        <v/>
      </c>
      <c r="DB250" s="10">
        <v>1244957</v>
      </c>
      <c r="DE250">
        <v>1146346</v>
      </c>
      <c r="DF250" t="s">
        <v>2177</v>
      </c>
      <c r="DG250" t="s">
        <v>2177</v>
      </c>
      <c r="DH250">
        <v>13</v>
      </c>
      <c r="DI250">
        <v>1313</v>
      </c>
      <c r="DJ250" t="s">
        <v>1231</v>
      </c>
      <c r="DK250"/>
      <c r="DL250" t="s">
        <v>2165</v>
      </c>
      <c r="DM250"/>
      <c r="DO250" s="10">
        <v>360</v>
      </c>
      <c r="DR250" s="10" t="str">
        <f t="shared" si="142"/>
        <v xml:space="preserve">1313 CT418 </v>
      </c>
      <c r="DS250" s="37">
        <f t="shared" si="141"/>
        <v>202.66133333333335</v>
      </c>
      <c r="DT250" s="10">
        <v>155.89333333333335</v>
      </c>
      <c r="DV250" s="10" t="s">
        <v>49</v>
      </c>
      <c r="DW250" s="10" t="s">
        <v>1589</v>
      </c>
      <c r="DX250" s="10">
        <v>30</v>
      </c>
      <c r="DY250" s="10" t="s">
        <v>1677</v>
      </c>
      <c r="DZ250" s="10" t="s">
        <v>1670</v>
      </c>
      <c r="EA250" s="10">
        <v>1</v>
      </c>
      <c r="EB250" s="10" t="s">
        <v>1513</v>
      </c>
      <c r="EC250" s="10">
        <v>480</v>
      </c>
      <c r="ED250" s="10" t="s">
        <v>1740</v>
      </c>
      <c r="EE250" s="10">
        <f t="shared" si="139"/>
        <v>0</v>
      </c>
      <c r="EF250">
        <f>ROWS($DE$2:DE250)</f>
        <v>249</v>
      </c>
      <c r="EG250" t="str">
        <f t="shared" si="115"/>
        <v/>
      </c>
      <c r="EJ250" t="str">
        <f t="shared" si="116"/>
        <v/>
      </c>
      <c r="EM250" t="str">
        <f t="shared" si="117"/>
        <v/>
      </c>
      <c r="EP250" t="str">
        <f t="shared" si="118"/>
        <v/>
      </c>
      <c r="ES250" t="str">
        <f t="shared" si="119"/>
        <v/>
      </c>
      <c r="EV250" t="str">
        <f t="shared" si="120"/>
        <v/>
      </c>
      <c r="EY250" t="str">
        <f t="shared" si="121"/>
        <v/>
      </c>
      <c r="FB250" t="str">
        <f t="shared" si="122"/>
        <v/>
      </c>
      <c r="FE250" t="str">
        <f t="shared" si="123"/>
        <v/>
      </c>
      <c r="FH250" t="str">
        <f t="shared" si="124"/>
        <v/>
      </c>
      <c r="FK250" t="str">
        <f t="shared" si="125"/>
        <v/>
      </c>
      <c r="FN250" t="str">
        <f t="shared" si="126"/>
        <v/>
      </c>
      <c r="FQ250" t="str">
        <f t="shared" si="127"/>
        <v/>
      </c>
      <c r="FT250" t="str">
        <f t="shared" si="128"/>
        <v/>
      </c>
      <c r="FW250" t="str">
        <f t="shared" si="129"/>
        <v/>
      </c>
      <c r="FZ250" t="str">
        <f t="shared" si="130"/>
        <v/>
      </c>
      <c r="GC250" t="str">
        <f t="shared" si="131"/>
        <v/>
      </c>
      <c r="GE250" s="155"/>
    </row>
    <row r="251" spans="4:187" ht="15" customHeight="1" x14ac:dyDescent="0.35">
      <c r="D251" s="671"/>
      <c r="L251" s="10">
        <v>1218197</v>
      </c>
      <c r="O251" s="123">
        <v>9</v>
      </c>
      <c r="P251" s="5"/>
      <c r="Q251" s="5"/>
      <c r="R251" s="5"/>
      <c r="S251" s="5"/>
      <c r="T251" s="5"/>
      <c r="U251" s="124">
        <v>1</v>
      </c>
      <c r="V251" s="314" t="s">
        <v>113</v>
      </c>
      <c r="W251" s="315">
        <v>1</v>
      </c>
      <c r="X251" s="5">
        <v>1</v>
      </c>
      <c r="Y251" s="5">
        <v>1</v>
      </c>
      <c r="Z251" s="5">
        <v>1</v>
      </c>
      <c r="AA251" s="5">
        <v>1</v>
      </c>
      <c r="AB251" s="5">
        <v>1</v>
      </c>
      <c r="AC251" s="5">
        <v>1</v>
      </c>
      <c r="AD251" s="5">
        <v>1</v>
      </c>
      <c r="AE251" s="5">
        <v>1</v>
      </c>
      <c r="AF251" s="5">
        <v>1</v>
      </c>
      <c r="AG251" s="5">
        <v>1</v>
      </c>
      <c r="AH251" s="5">
        <v>1</v>
      </c>
      <c r="AI251" s="5">
        <v>1</v>
      </c>
      <c r="AJ251" s="5">
        <v>1</v>
      </c>
      <c r="AK251" s="5">
        <v>1</v>
      </c>
      <c r="AL251" s="5">
        <v>1</v>
      </c>
      <c r="AM251" s="5">
        <v>1</v>
      </c>
      <c r="AN251" s="5">
        <v>1</v>
      </c>
      <c r="AO251" s="5">
        <v>1</v>
      </c>
      <c r="AP251" s="5">
        <v>1</v>
      </c>
      <c r="AQ251" s="5">
        <v>1</v>
      </c>
      <c r="AR251" s="5">
        <v>1</v>
      </c>
      <c r="AS251" s="5">
        <v>1</v>
      </c>
      <c r="AT251" s="5">
        <v>1</v>
      </c>
      <c r="AU251" s="5">
        <v>1</v>
      </c>
      <c r="AV251" s="5">
        <v>1</v>
      </c>
      <c r="AW251" s="5">
        <v>1</v>
      </c>
      <c r="AX251" s="5">
        <v>1</v>
      </c>
      <c r="AY251" s="5">
        <v>1</v>
      </c>
      <c r="AZ251" s="5">
        <v>1</v>
      </c>
      <c r="BA251" s="5">
        <v>1</v>
      </c>
      <c r="BB251" s="5"/>
      <c r="BC251" s="5"/>
      <c r="BD251" s="5"/>
      <c r="BF251">
        <f>ROWS($U$46:U251)</f>
        <v>206</v>
      </c>
      <c r="BG251" t="str">
        <f t="shared" si="140"/>
        <v/>
      </c>
      <c r="DB251" s="10">
        <v>1231982</v>
      </c>
      <c r="DE251">
        <v>1271790</v>
      </c>
      <c r="DF251" t="s">
        <v>2179</v>
      </c>
      <c r="DG251" t="s">
        <v>2179</v>
      </c>
      <c r="DH251">
        <v>16</v>
      </c>
      <c r="DI251">
        <v>1613</v>
      </c>
      <c r="DJ251" t="s">
        <v>2173</v>
      </c>
      <c r="DK251"/>
      <c r="DL251" t="s">
        <v>2165</v>
      </c>
      <c r="DM251"/>
      <c r="DO251" s="10">
        <v>497</v>
      </c>
      <c r="DR251" s="10" t="str">
        <f t="shared" si="142"/>
        <v xml:space="preserve">1613 CT170 </v>
      </c>
      <c r="DS251" s="37">
        <f t="shared" si="141"/>
        <v>399.50300000000004</v>
      </c>
      <c r="DT251" s="10">
        <v>307.31</v>
      </c>
      <c r="DV251" s="10" t="s">
        <v>49</v>
      </c>
      <c r="DW251" s="10" t="s">
        <v>1590</v>
      </c>
      <c r="DX251" s="10">
        <v>30</v>
      </c>
      <c r="DY251" s="10" t="s">
        <v>1673</v>
      </c>
      <c r="DZ251" s="10" t="s">
        <v>1668</v>
      </c>
      <c r="EA251" s="10">
        <v>1</v>
      </c>
      <c r="EB251" s="10" t="s">
        <v>1513</v>
      </c>
      <c r="EC251" s="10">
        <v>662</v>
      </c>
      <c r="ED251" s="10" t="s">
        <v>1736</v>
      </c>
      <c r="EE251" s="10">
        <f t="shared" si="139"/>
        <v>0</v>
      </c>
      <c r="EF251">
        <f>ROWS($DE$2:DE251)</f>
        <v>250</v>
      </c>
      <c r="EG251" t="str">
        <f t="shared" si="115"/>
        <v/>
      </c>
      <c r="EJ251" t="str">
        <f t="shared" si="116"/>
        <v/>
      </c>
      <c r="EM251" t="str">
        <f t="shared" si="117"/>
        <v/>
      </c>
      <c r="EP251" t="str">
        <f t="shared" si="118"/>
        <v/>
      </c>
      <c r="ES251" t="str">
        <f t="shared" si="119"/>
        <v/>
      </c>
      <c r="EV251" t="str">
        <f t="shared" si="120"/>
        <v/>
      </c>
      <c r="EY251" t="str">
        <f t="shared" si="121"/>
        <v/>
      </c>
      <c r="FB251" t="str">
        <f t="shared" si="122"/>
        <v/>
      </c>
      <c r="FE251" t="str">
        <f t="shared" si="123"/>
        <v/>
      </c>
      <c r="FH251" t="str">
        <f t="shared" si="124"/>
        <v/>
      </c>
      <c r="FK251" t="str">
        <f t="shared" si="125"/>
        <v/>
      </c>
      <c r="FN251" t="str">
        <f t="shared" si="126"/>
        <v/>
      </c>
      <c r="FQ251" t="str">
        <f t="shared" si="127"/>
        <v/>
      </c>
      <c r="FT251" t="str">
        <f t="shared" si="128"/>
        <v/>
      </c>
      <c r="FW251" t="str">
        <f t="shared" si="129"/>
        <v/>
      </c>
      <c r="FZ251" t="str">
        <f t="shared" si="130"/>
        <v/>
      </c>
      <c r="GC251" t="str">
        <f t="shared" si="131"/>
        <v/>
      </c>
      <c r="GE251" s="155"/>
    </row>
    <row r="252" spans="4:187" ht="15" customHeight="1" x14ac:dyDescent="0.35">
      <c r="D252" s="671"/>
      <c r="L252" s="10">
        <v>1219697</v>
      </c>
      <c r="O252" s="123">
        <v>10</v>
      </c>
      <c r="P252" s="5"/>
      <c r="Q252" s="5"/>
      <c r="R252" s="5"/>
      <c r="S252" s="5"/>
      <c r="T252" s="5"/>
      <c r="U252" s="124">
        <v>1</v>
      </c>
      <c r="V252" s="314" t="s">
        <v>114</v>
      </c>
      <c r="W252" s="315">
        <v>1</v>
      </c>
      <c r="X252" s="5">
        <v>1</v>
      </c>
      <c r="Y252" s="5">
        <v>1</v>
      </c>
      <c r="Z252" s="5">
        <v>1</v>
      </c>
      <c r="AA252" s="5">
        <v>1</v>
      </c>
      <c r="AB252" s="5">
        <v>1</v>
      </c>
      <c r="AC252" s="5">
        <v>1</v>
      </c>
      <c r="AD252" s="5">
        <v>1</v>
      </c>
      <c r="AE252" s="5">
        <v>1</v>
      </c>
      <c r="AF252" s="5">
        <v>1</v>
      </c>
      <c r="AG252" s="5">
        <v>1</v>
      </c>
      <c r="AH252" s="5">
        <v>1</v>
      </c>
      <c r="AI252" s="5">
        <v>1</v>
      </c>
      <c r="AJ252" s="5">
        <v>1</v>
      </c>
      <c r="AK252" s="5">
        <v>1</v>
      </c>
      <c r="AL252" s="5">
        <v>1</v>
      </c>
      <c r="AM252" s="5">
        <v>1</v>
      </c>
      <c r="AN252" s="5">
        <v>1</v>
      </c>
      <c r="AO252" s="5">
        <v>1</v>
      </c>
      <c r="AP252" s="5">
        <v>1</v>
      </c>
      <c r="AQ252" s="5">
        <v>1</v>
      </c>
      <c r="AR252" s="5">
        <v>1</v>
      </c>
      <c r="AS252" s="5">
        <v>1</v>
      </c>
      <c r="AT252" s="5">
        <v>1</v>
      </c>
      <c r="AU252" s="5">
        <v>1</v>
      </c>
      <c r="AV252" s="5">
        <v>1</v>
      </c>
      <c r="AW252" s="5">
        <v>1</v>
      </c>
      <c r="AX252" s="5">
        <v>1</v>
      </c>
      <c r="AY252" s="5">
        <v>1</v>
      </c>
      <c r="AZ252" s="5">
        <v>1</v>
      </c>
      <c r="BA252" s="5">
        <v>1</v>
      </c>
      <c r="BB252" s="5"/>
      <c r="BC252" s="5"/>
      <c r="BD252" s="5"/>
      <c r="BF252">
        <f>ROWS($U$46:U252)</f>
        <v>207</v>
      </c>
      <c r="BG252" t="str">
        <f t="shared" si="140"/>
        <v/>
      </c>
      <c r="DB252" s="10">
        <v>1100751</v>
      </c>
      <c r="DE252">
        <v>1142711</v>
      </c>
      <c r="DF252" t="s">
        <v>2180</v>
      </c>
      <c r="DG252" t="s">
        <v>2180</v>
      </c>
      <c r="DH252">
        <v>16</v>
      </c>
      <c r="DI252">
        <v>1613</v>
      </c>
      <c r="DJ252" t="s">
        <v>1488</v>
      </c>
      <c r="DK252"/>
      <c r="DL252" t="s">
        <v>1985</v>
      </c>
      <c r="DM252"/>
      <c r="DO252" s="10">
        <v>497</v>
      </c>
      <c r="DR252" s="10" t="str">
        <f t="shared" si="142"/>
        <v xml:space="preserve">1613 CT421 </v>
      </c>
      <c r="DS252" s="37">
        <f t="shared" si="141"/>
        <v>0</v>
      </c>
      <c r="EE252" s="10">
        <f t="shared" si="139"/>
        <v>0</v>
      </c>
      <c r="EF252">
        <f>ROWS($DE$2:DE252)</f>
        <v>251</v>
      </c>
      <c r="EG252" t="str">
        <f t="shared" si="115"/>
        <v/>
      </c>
      <c r="EJ252" t="str">
        <f t="shared" si="116"/>
        <v/>
      </c>
      <c r="EM252" t="str">
        <f t="shared" si="117"/>
        <v/>
      </c>
      <c r="EP252" t="str">
        <f t="shared" si="118"/>
        <v/>
      </c>
      <c r="ES252" t="str">
        <f t="shared" si="119"/>
        <v/>
      </c>
      <c r="EV252" t="str">
        <f t="shared" si="120"/>
        <v/>
      </c>
      <c r="EY252" t="str">
        <f t="shared" si="121"/>
        <v/>
      </c>
      <c r="FB252" t="str">
        <f t="shared" si="122"/>
        <v/>
      </c>
      <c r="FE252" t="str">
        <f t="shared" si="123"/>
        <v/>
      </c>
      <c r="FH252" t="str">
        <f t="shared" si="124"/>
        <v/>
      </c>
      <c r="FK252" t="str">
        <f t="shared" si="125"/>
        <v/>
      </c>
      <c r="FN252" t="str">
        <f t="shared" si="126"/>
        <v/>
      </c>
      <c r="FQ252" t="str">
        <f t="shared" si="127"/>
        <v/>
      </c>
      <c r="FT252" t="str">
        <f t="shared" si="128"/>
        <v/>
      </c>
      <c r="FW252" t="str">
        <f t="shared" si="129"/>
        <v/>
      </c>
      <c r="FZ252" t="str">
        <f t="shared" si="130"/>
        <v/>
      </c>
      <c r="GC252" t="str">
        <f t="shared" si="131"/>
        <v/>
      </c>
      <c r="GE252" s="155"/>
    </row>
    <row r="253" spans="4:187" ht="15" customHeight="1" x14ac:dyDescent="0.35">
      <c r="D253" s="671"/>
      <c r="L253" s="10">
        <v>1219698</v>
      </c>
      <c r="O253" s="123">
        <v>11</v>
      </c>
      <c r="P253" s="5"/>
      <c r="Q253" s="5"/>
      <c r="R253" s="5"/>
      <c r="S253" s="5"/>
      <c r="T253" s="5"/>
      <c r="U253" s="124">
        <v>1</v>
      </c>
      <c r="V253" s="314" t="s">
        <v>115</v>
      </c>
      <c r="W253" s="315">
        <v>1</v>
      </c>
      <c r="X253" s="5">
        <v>1</v>
      </c>
      <c r="Y253" s="5">
        <v>1</v>
      </c>
      <c r="Z253" s="5">
        <v>1</v>
      </c>
      <c r="AA253" s="5">
        <v>1</v>
      </c>
      <c r="AB253" s="5">
        <v>1</v>
      </c>
      <c r="AC253" s="5">
        <v>1</v>
      </c>
      <c r="AD253" s="5">
        <v>1</v>
      </c>
      <c r="AE253" s="5">
        <v>1</v>
      </c>
      <c r="AF253" s="5">
        <v>1</v>
      </c>
      <c r="AG253" s="5">
        <v>1</v>
      </c>
      <c r="AH253" s="5">
        <v>1</v>
      </c>
      <c r="AI253" s="5">
        <v>1</v>
      </c>
      <c r="AJ253" s="5">
        <v>1</v>
      </c>
      <c r="AK253" s="5">
        <v>1</v>
      </c>
      <c r="AL253" s="5">
        <v>1</v>
      </c>
      <c r="AM253" s="5">
        <v>1</v>
      </c>
      <c r="AN253" s="5">
        <v>1</v>
      </c>
      <c r="AO253" s="5">
        <v>1</v>
      </c>
      <c r="AP253" s="5">
        <v>1</v>
      </c>
      <c r="AQ253" s="5">
        <v>1</v>
      </c>
      <c r="AR253" s="5">
        <v>1</v>
      </c>
      <c r="AS253" s="5">
        <v>1</v>
      </c>
      <c r="AT253" s="5">
        <v>1</v>
      </c>
      <c r="AU253" s="5">
        <v>1</v>
      </c>
      <c r="AV253" s="5">
        <v>1</v>
      </c>
      <c r="AW253" s="5">
        <v>1</v>
      </c>
      <c r="AX253" s="5">
        <v>1</v>
      </c>
      <c r="AY253" s="5">
        <v>1</v>
      </c>
      <c r="AZ253" s="5">
        <v>1</v>
      </c>
      <c r="BA253" s="5">
        <v>1</v>
      </c>
      <c r="BB253" s="5"/>
      <c r="BC253" s="5"/>
      <c r="BD253" s="5"/>
      <c r="BF253">
        <f>ROWS($U$46:U253)</f>
        <v>208</v>
      </c>
      <c r="BG253" t="str">
        <f t="shared" si="140"/>
        <v/>
      </c>
      <c r="DB253" s="10">
        <v>1165880</v>
      </c>
      <c r="DE253">
        <v>1200972</v>
      </c>
      <c r="DF253" t="s">
        <v>2181</v>
      </c>
      <c r="DG253" t="s">
        <v>2181</v>
      </c>
      <c r="DH253">
        <v>8</v>
      </c>
      <c r="DI253" t="s">
        <v>2042</v>
      </c>
      <c r="DJ253" t="s">
        <v>2175</v>
      </c>
      <c r="DK253"/>
      <c r="DL253" t="s">
        <v>2061</v>
      </c>
      <c r="DM253"/>
      <c r="DO253" s="10">
        <v>270</v>
      </c>
      <c r="DR253" s="10" t="str">
        <f t="shared" si="142"/>
        <v xml:space="preserve">8MM WC­MAT400 </v>
      </c>
      <c r="DS253" s="37">
        <f t="shared" si="141"/>
        <v>0</v>
      </c>
      <c r="EE253" s="10">
        <f t="shared" si="139"/>
        <v>0</v>
      </c>
      <c r="EF253">
        <f>ROWS($DE$2:DE253)</f>
        <v>252</v>
      </c>
      <c r="EG253" t="str">
        <f t="shared" si="115"/>
        <v/>
      </c>
      <c r="EJ253" t="str">
        <f t="shared" si="116"/>
        <v/>
      </c>
      <c r="EM253" t="str">
        <f t="shared" si="117"/>
        <v/>
      </c>
      <c r="EP253" t="str">
        <f t="shared" si="118"/>
        <v/>
      </c>
      <c r="ES253" t="str">
        <f t="shared" si="119"/>
        <v/>
      </c>
      <c r="EV253" t="str">
        <f t="shared" si="120"/>
        <v/>
      </c>
      <c r="EY253" t="str">
        <f t="shared" si="121"/>
        <v/>
      </c>
      <c r="FB253" t="str">
        <f t="shared" si="122"/>
        <v/>
      </c>
      <c r="FE253" t="str">
        <f t="shared" si="123"/>
        <v/>
      </c>
      <c r="FH253" t="str">
        <f t="shared" si="124"/>
        <v/>
      </c>
      <c r="FK253" t="str">
        <f t="shared" si="125"/>
        <v/>
      </c>
      <c r="FN253" t="str">
        <f t="shared" si="126"/>
        <v/>
      </c>
      <c r="FQ253" t="str">
        <f t="shared" si="127"/>
        <v/>
      </c>
      <c r="FT253" t="str">
        <f t="shared" si="128"/>
        <v/>
      </c>
      <c r="FW253" t="str">
        <f t="shared" si="129"/>
        <v/>
      </c>
      <c r="FZ253" t="str">
        <f t="shared" si="130"/>
        <v/>
      </c>
      <c r="GC253" t="str">
        <f t="shared" si="131"/>
        <v/>
      </c>
      <c r="GE253" s="155"/>
    </row>
    <row r="254" spans="4:187" ht="15" customHeight="1" x14ac:dyDescent="0.35">
      <c r="D254" s="671"/>
      <c r="L254" s="10">
        <v>1219765</v>
      </c>
      <c r="O254" s="123">
        <v>12</v>
      </c>
      <c r="P254" s="5"/>
      <c r="Q254" s="5"/>
      <c r="R254" s="5"/>
      <c r="S254" s="5"/>
      <c r="T254" s="5"/>
      <c r="U254" s="124">
        <v>1</v>
      </c>
      <c r="V254" s="314" t="s">
        <v>736</v>
      </c>
      <c r="W254" s="315">
        <v>1</v>
      </c>
      <c r="X254" s="5">
        <v>1</v>
      </c>
      <c r="Y254" s="5">
        <v>1</v>
      </c>
      <c r="Z254" s="5">
        <v>1</v>
      </c>
      <c r="AA254" s="5">
        <v>1</v>
      </c>
      <c r="AB254" s="5">
        <v>1</v>
      </c>
      <c r="AC254" s="5">
        <v>1</v>
      </c>
      <c r="AD254" s="5">
        <v>1</v>
      </c>
      <c r="AE254" s="5">
        <v>1</v>
      </c>
      <c r="AF254" s="5">
        <v>1</v>
      </c>
      <c r="AG254" s="5">
        <v>1</v>
      </c>
      <c r="AH254" s="5">
        <v>1</v>
      </c>
      <c r="AI254" s="5">
        <v>1</v>
      </c>
      <c r="AJ254" s="5">
        <v>1</v>
      </c>
      <c r="AK254" s="5">
        <v>1</v>
      </c>
      <c r="AL254" s="5">
        <v>1</v>
      </c>
      <c r="AM254" s="5">
        <v>1</v>
      </c>
      <c r="AN254" s="5">
        <v>1</v>
      </c>
      <c r="AO254" s="5">
        <v>1</v>
      </c>
      <c r="AP254" s="5">
        <v>1</v>
      </c>
      <c r="AQ254" s="5">
        <v>1</v>
      </c>
      <c r="AR254" s="5">
        <v>1</v>
      </c>
      <c r="AS254" s="5">
        <v>1</v>
      </c>
      <c r="AT254" s="5">
        <v>1</v>
      </c>
      <c r="AU254" s="5">
        <v>1</v>
      </c>
      <c r="AV254" s="5">
        <v>1</v>
      </c>
      <c r="AW254" s="5">
        <v>1</v>
      </c>
      <c r="AX254" s="5">
        <v>1</v>
      </c>
      <c r="AY254" s="5">
        <v>1</v>
      </c>
      <c r="AZ254" s="5">
        <v>1</v>
      </c>
      <c r="BA254" s="5">
        <v>1</v>
      </c>
      <c r="BB254" s="5"/>
      <c r="BC254" s="5"/>
      <c r="BD254" s="5"/>
      <c r="BF254">
        <f>ROWS($U$46:U254)</f>
        <v>209</v>
      </c>
      <c r="BG254" t="str">
        <f t="shared" si="140"/>
        <v/>
      </c>
      <c r="DB254" s="10">
        <v>1257653</v>
      </c>
      <c r="DE254">
        <v>1234189</v>
      </c>
      <c r="DF254" t="s">
        <v>2182</v>
      </c>
      <c r="DG254" t="s">
        <v>2182</v>
      </c>
      <c r="DH254">
        <v>13</v>
      </c>
      <c r="DI254" t="s">
        <v>2043</v>
      </c>
      <c r="DJ254" t="s">
        <v>2175</v>
      </c>
      <c r="DK254"/>
      <c r="DL254" t="s">
        <v>2061</v>
      </c>
      <c r="DM254"/>
      <c r="DO254" s="10">
        <v>360</v>
      </c>
      <c r="DR254" s="10" t="str">
        <f t="shared" si="142"/>
        <v xml:space="preserve">13MM WC­MAT400 </v>
      </c>
      <c r="DS254" s="37">
        <f t="shared" si="141"/>
        <v>0</v>
      </c>
      <c r="EE254" s="10">
        <f t="shared" si="139"/>
        <v>0</v>
      </c>
      <c r="EF254">
        <f>ROWS($DE$2:DE254)</f>
        <v>253</v>
      </c>
      <c r="EG254" t="str">
        <f t="shared" si="115"/>
        <v/>
      </c>
      <c r="EJ254" t="str">
        <f t="shared" si="116"/>
        <v/>
      </c>
      <c r="EM254" t="str">
        <f t="shared" si="117"/>
        <v/>
      </c>
      <c r="EP254" t="str">
        <f t="shared" si="118"/>
        <v/>
      </c>
      <c r="ES254" t="str">
        <f t="shared" si="119"/>
        <v/>
      </c>
      <c r="EV254" t="str">
        <f t="shared" si="120"/>
        <v/>
      </c>
      <c r="EY254" t="str">
        <f t="shared" si="121"/>
        <v/>
      </c>
      <c r="FB254" t="str">
        <f t="shared" si="122"/>
        <v/>
      </c>
      <c r="FE254" t="str">
        <f t="shared" si="123"/>
        <v/>
      </c>
      <c r="FH254" t="str">
        <f t="shared" si="124"/>
        <v/>
      </c>
      <c r="FK254" t="str">
        <f t="shared" si="125"/>
        <v/>
      </c>
      <c r="FN254" t="str">
        <f t="shared" si="126"/>
        <v/>
      </c>
      <c r="FQ254" t="str">
        <f t="shared" si="127"/>
        <v/>
      </c>
      <c r="FT254" t="str">
        <f t="shared" si="128"/>
        <v/>
      </c>
      <c r="FW254" t="str">
        <f t="shared" si="129"/>
        <v/>
      </c>
      <c r="FZ254" t="str">
        <f t="shared" si="130"/>
        <v/>
      </c>
      <c r="GC254" t="str">
        <f t="shared" si="131"/>
        <v/>
      </c>
      <c r="GE254" s="155"/>
    </row>
    <row r="255" spans="4:187" ht="15" customHeight="1" x14ac:dyDescent="0.35">
      <c r="D255" s="671"/>
      <c r="L255" s="10">
        <v>1220553</v>
      </c>
      <c r="O255" s="5">
        <v>1</v>
      </c>
      <c r="P255" s="5"/>
      <c r="Q255" s="5"/>
      <c r="R255" s="5"/>
      <c r="S255" s="5"/>
      <c r="T255" s="5"/>
      <c r="U255" s="5">
        <v>2</v>
      </c>
      <c r="V255" s="5" t="s">
        <v>87</v>
      </c>
      <c r="W255" s="5">
        <v>2</v>
      </c>
      <c r="X255" s="5">
        <v>2</v>
      </c>
      <c r="Y255" s="5">
        <v>2</v>
      </c>
      <c r="Z255" s="5">
        <v>2</v>
      </c>
      <c r="AA255" s="5">
        <v>2</v>
      </c>
      <c r="AB255" s="5">
        <v>2</v>
      </c>
      <c r="AC255" s="5">
        <v>2</v>
      </c>
      <c r="AD255" s="5">
        <v>2</v>
      </c>
      <c r="AE255" s="5">
        <v>2</v>
      </c>
      <c r="AF255" s="5">
        <v>2</v>
      </c>
      <c r="AG255" s="5">
        <v>2</v>
      </c>
      <c r="AH255" s="5">
        <v>2</v>
      </c>
      <c r="AI255" s="5">
        <v>2</v>
      </c>
      <c r="AJ255" s="5">
        <v>2</v>
      </c>
      <c r="AK255" s="5">
        <v>2</v>
      </c>
      <c r="AL255" s="5">
        <v>2</v>
      </c>
      <c r="AM255" s="5">
        <v>2</v>
      </c>
      <c r="AN255" s="5">
        <v>2</v>
      </c>
      <c r="AO255" s="5">
        <v>2</v>
      </c>
      <c r="AP255" s="5">
        <v>2</v>
      </c>
      <c r="AQ255" s="5">
        <v>2</v>
      </c>
      <c r="AR255" s="5">
        <v>2</v>
      </c>
      <c r="AS255" s="5">
        <v>2</v>
      </c>
      <c r="AT255" s="5">
        <v>2</v>
      </c>
      <c r="AU255" s="5">
        <v>2</v>
      </c>
      <c r="AV255" s="5">
        <v>2</v>
      </c>
      <c r="AW255" s="5">
        <v>2</v>
      </c>
      <c r="AX255" s="5">
        <v>2</v>
      </c>
      <c r="AY255" s="5">
        <v>2</v>
      </c>
      <c r="AZ255" s="5">
        <v>2</v>
      </c>
      <c r="BA255" s="5">
        <v>2</v>
      </c>
      <c r="BB255" s="5"/>
      <c r="BC255" s="5"/>
      <c r="BD255" s="5"/>
      <c r="BF255">
        <f>ROWS($U$46:U255)</f>
        <v>210</v>
      </c>
      <c r="BG255" t="str">
        <f t="shared" si="140"/>
        <v/>
      </c>
      <c r="DB255" s="10">
        <v>1126402</v>
      </c>
      <c r="DE255">
        <v>1250971</v>
      </c>
      <c r="DF255" t="s">
        <v>2190</v>
      </c>
      <c r="DG255" t="s">
        <v>2190</v>
      </c>
      <c r="DH255">
        <v>19</v>
      </c>
      <c r="DI255">
        <v>1913</v>
      </c>
      <c r="DJ255" t="s">
        <v>2191</v>
      </c>
      <c r="DK255"/>
      <c r="DL255" t="s">
        <v>1985</v>
      </c>
      <c r="DM255"/>
      <c r="DO255" s="10">
        <v>660</v>
      </c>
      <c r="DR255" s="10" t="str">
        <f t="shared" si="142"/>
        <v xml:space="preserve">1913 CT164R </v>
      </c>
      <c r="DS255" s="37">
        <f t="shared" si="141"/>
        <v>0</v>
      </c>
      <c r="EE255" s="10">
        <f t="shared" si="139"/>
        <v>0</v>
      </c>
      <c r="EF255">
        <f>ROWS($DE$2:DE255)</f>
        <v>254</v>
      </c>
      <c r="EG255" t="str">
        <f t="shared" si="115"/>
        <v/>
      </c>
      <c r="EJ255" t="str">
        <f t="shared" si="116"/>
        <v/>
      </c>
      <c r="EM255" t="str">
        <f t="shared" si="117"/>
        <v/>
      </c>
      <c r="EP255" t="str">
        <f t="shared" si="118"/>
        <v/>
      </c>
      <c r="ES255" t="str">
        <f t="shared" si="119"/>
        <v/>
      </c>
      <c r="EV255" t="str">
        <f t="shared" si="120"/>
        <v/>
      </c>
      <c r="EY255" t="str">
        <f t="shared" si="121"/>
        <v/>
      </c>
      <c r="FB255" t="str">
        <f t="shared" si="122"/>
        <v/>
      </c>
      <c r="FE255" t="str">
        <f t="shared" si="123"/>
        <v/>
      </c>
      <c r="FH255" t="str">
        <f t="shared" si="124"/>
        <v/>
      </c>
      <c r="FK255" t="str">
        <f t="shared" si="125"/>
        <v/>
      </c>
      <c r="FN255" t="str">
        <f t="shared" si="126"/>
        <v/>
      </c>
      <c r="FQ255" t="str">
        <f t="shared" si="127"/>
        <v/>
      </c>
      <c r="FT255" t="str">
        <f t="shared" si="128"/>
        <v/>
      </c>
      <c r="FW255" t="str">
        <f t="shared" si="129"/>
        <v/>
      </c>
      <c r="FZ255" t="str">
        <f t="shared" si="130"/>
        <v/>
      </c>
      <c r="GC255" t="str">
        <f t="shared" si="131"/>
        <v/>
      </c>
      <c r="GE255" s="155"/>
    </row>
    <row r="256" spans="4:187" ht="15" customHeight="1" x14ac:dyDescent="0.35">
      <c r="D256" s="671"/>
      <c r="L256" s="10">
        <v>1221158</v>
      </c>
      <c r="O256" s="5">
        <v>2</v>
      </c>
      <c r="P256" s="5"/>
      <c r="Q256" s="5"/>
      <c r="R256" s="5"/>
      <c r="S256" s="5"/>
      <c r="T256" s="5"/>
      <c r="U256" s="5">
        <v>2</v>
      </c>
      <c r="V256" s="5" t="s">
        <v>88</v>
      </c>
      <c r="W256" s="5">
        <v>2</v>
      </c>
      <c r="X256" s="5">
        <v>2</v>
      </c>
      <c r="Y256" s="5">
        <v>2</v>
      </c>
      <c r="Z256" s="5">
        <v>2</v>
      </c>
      <c r="AA256" s="5">
        <v>2</v>
      </c>
      <c r="AB256" s="5">
        <v>2</v>
      </c>
      <c r="AC256" s="5">
        <v>2</v>
      </c>
      <c r="AD256" s="5">
        <v>2</v>
      </c>
      <c r="AE256" s="5">
        <v>2</v>
      </c>
      <c r="AF256" s="5">
        <v>2</v>
      </c>
      <c r="AG256" s="5">
        <v>2</v>
      </c>
      <c r="AH256" s="5">
        <v>2</v>
      </c>
      <c r="AI256" s="5">
        <v>2</v>
      </c>
      <c r="AJ256" s="5">
        <v>2</v>
      </c>
      <c r="AK256" s="5">
        <v>2</v>
      </c>
      <c r="AL256" s="5">
        <v>2</v>
      </c>
      <c r="AM256" s="5">
        <v>2</v>
      </c>
      <c r="AN256" s="5">
        <v>2</v>
      </c>
      <c r="AO256" s="5">
        <v>2</v>
      </c>
      <c r="AP256" s="5">
        <v>2</v>
      </c>
      <c r="AQ256" s="5">
        <v>2</v>
      </c>
      <c r="AR256" s="5">
        <v>2</v>
      </c>
      <c r="AS256" s="5">
        <v>2</v>
      </c>
      <c r="AT256" s="5">
        <v>2</v>
      </c>
      <c r="AU256" s="5">
        <v>2</v>
      </c>
      <c r="AV256" s="5">
        <v>2</v>
      </c>
      <c r="AW256" s="5">
        <v>2</v>
      </c>
      <c r="AX256" s="5">
        <v>2</v>
      </c>
      <c r="AY256" s="5">
        <v>2</v>
      </c>
      <c r="AZ256" s="5">
        <v>2</v>
      </c>
      <c r="BA256" s="5">
        <v>2</v>
      </c>
      <c r="BB256" s="5"/>
      <c r="BC256" s="5"/>
      <c r="BD256" s="5"/>
      <c r="BF256">
        <f>ROWS($U$46:U256)</f>
        <v>211</v>
      </c>
      <c r="BG256" t="str">
        <f t="shared" si="140"/>
        <v/>
      </c>
      <c r="DB256" s="10">
        <v>1100753</v>
      </c>
      <c r="DE256">
        <v>1234679</v>
      </c>
      <c r="DF256" t="s">
        <v>2192</v>
      </c>
      <c r="DG256" t="s">
        <v>2192</v>
      </c>
      <c r="DH256">
        <v>16</v>
      </c>
      <c r="DI256">
        <v>1613</v>
      </c>
      <c r="DJ256" t="s">
        <v>2191</v>
      </c>
      <c r="DK256"/>
      <c r="DL256" t="s">
        <v>1985</v>
      </c>
      <c r="DM256"/>
      <c r="DR256" s="10" t="str">
        <f t="shared" si="142"/>
        <v xml:space="preserve">1613 CT164R </v>
      </c>
      <c r="DS256" s="37">
        <f t="shared" si="141"/>
        <v>0</v>
      </c>
      <c r="EE256" s="10">
        <f t="shared" si="139"/>
        <v>0</v>
      </c>
      <c r="EF256">
        <f>ROWS($DE$2:DE256)</f>
        <v>255</v>
      </c>
      <c r="EG256" t="str">
        <f t="shared" si="115"/>
        <v/>
      </c>
      <c r="EJ256" t="str">
        <f t="shared" si="116"/>
        <v/>
      </c>
      <c r="EM256" t="str">
        <f t="shared" si="117"/>
        <v/>
      </c>
      <c r="EP256" t="str">
        <f t="shared" si="118"/>
        <v/>
      </c>
      <c r="ES256" t="str">
        <f t="shared" si="119"/>
        <v/>
      </c>
      <c r="EV256" t="str">
        <f t="shared" si="120"/>
        <v/>
      </c>
      <c r="EY256" t="str">
        <f t="shared" si="121"/>
        <v/>
      </c>
      <c r="FB256" t="str">
        <f t="shared" si="122"/>
        <v/>
      </c>
      <c r="FE256" t="str">
        <f t="shared" si="123"/>
        <v/>
      </c>
      <c r="FH256" t="str">
        <f t="shared" si="124"/>
        <v/>
      </c>
      <c r="FK256" t="str">
        <f t="shared" si="125"/>
        <v/>
      </c>
      <c r="FN256" t="str">
        <f t="shared" si="126"/>
        <v/>
      </c>
      <c r="FQ256" t="str">
        <f t="shared" si="127"/>
        <v/>
      </c>
      <c r="FT256" t="str">
        <f t="shared" si="128"/>
        <v/>
      </c>
      <c r="FW256" t="str">
        <f t="shared" si="129"/>
        <v/>
      </c>
      <c r="FZ256" t="str">
        <f t="shared" si="130"/>
        <v/>
      </c>
      <c r="GC256" t="str">
        <f t="shared" si="131"/>
        <v/>
      </c>
      <c r="GE256" s="155"/>
    </row>
    <row r="257" spans="4:187" ht="15" customHeight="1" x14ac:dyDescent="0.35">
      <c r="D257" s="671"/>
      <c r="L257" s="10">
        <v>1224225</v>
      </c>
      <c r="O257" s="5">
        <v>3</v>
      </c>
      <c r="P257" s="5"/>
      <c r="Q257" s="5"/>
      <c r="R257" s="5"/>
      <c r="S257" s="5"/>
      <c r="T257" s="5"/>
      <c r="U257" s="5">
        <v>2</v>
      </c>
      <c r="V257" s="5" t="s">
        <v>89</v>
      </c>
      <c r="W257" s="5">
        <v>2</v>
      </c>
      <c r="X257" s="5">
        <v>2</v>
      </c>
      <c r="Y257" s="5">
        <v>2</v>
      </c>
      <c r="Z257" s="5">
        <v>2</v>
      </c>
      <c r="AA257" s="5">
        <v>2</v>
      </c>
      <c r="AB257" s="5">
        <v>2</v>
      </c>
      <c r="AC257" s="5">
        <v>2</v>
      </c>
      <c r="AD257" s="5">
        <v>2</v>
      </c>
      <c r="AE257" s="5">
        <v>2</v>
      </c>
      <c r="AF257" s="5">
        <v>2</v>
      </c>
      <c r="AG257" s="5">
        <v>2</v>
      </c>
      <c r="AH257" s="5">
        <v>2</v>
      </c>
      <c r="AI257" s="5">
        <v>2</v>
      </c>
      <c r="AJ257" s="5">
        <v>2</v>
      </c>
      <c r="AK257" s="5">
        <v>2</v>
      </c>
      <c r="AL257" s="5">
        <v>2</v>
      </c>
      <c r="AM257" s="5">
        <v>2</v>
      </c>
      <c r="AN257" s="5">
        <v>2</v>
      </c>
      <c r="AO257" s="5">
        <v>2</v>
      </c>
      <c r="AP257" s="5">
        <v>2</v>
      </c>
      <c r="AQ257" s="5">
        <v>2</v>
      </c>
      <c r="AR257" s="5">
        <v>2</v>
      </c>
      <c r="AS257" s="5">
        <v>2</v>
      </c>
      <c r="AT257" s="5">
        <v>2</v>
      </c>
      <c r="AU257" s="5">
        <v>2</v>
      </c>
      <c r="AV257" s="5">
        <v>2</v>
      </c>
      <c r="AW257" s="5">
        <v>2</v>
      </c>
      <c r="AX257" s="5">
        <v>2</v>
      </c>
      <c r="AY257" s="5">
        <v>2</v>
      </c>
      <c r="AZ257" s="5">
        <v>2</v>
      </c>
      <c r="BA257" s="5">
        <v>2</v>
      </c>
      <c r="BB257" s="5"/>
      <c r="BC257" s="5"/>
      <c r="BD257" s="5"/>
      <c r="BF257">
        <f>ROWS($U$46:U257)</f>
        <v>212</v>
      </c>
      <c r="BG257" t="str">
        <f t="shared" si="140"/>
        <v/>
      </c>
      <c r="DB257" s="10">
        <v>1220688</v>
      </c>
      <c r="DE257">
        <v>1244957</v>
      </c>
      <c r="DF257" t="s">
        <v>2193</v>
      </c>
      <c r="DG257" t="s">
        <v>2193</v>
      </c>
      <c r="DH257" s="805">
        <v>16</v>
      </c>
      <c r="DI257" s="805">
        <v>1613</v>
      </c>
      <c r="DJ257" s="805" t="s">
        <v>1231</v>
      </c>
      <c r="DK257" s="805"/>
      <c r="DL257" s="805" t="s">
        <v>2196</v>
      </c>
      <c r="DM257" s="805"/>
      <c r="DN257" s="805"/>
      <c r="DO257" s="805"/>
      <c r="DP257" s="805"/>
      <c r="DQ257" s="805"/>
      <c r="DR257" s="805" t="str">
        <f t="shared" si="142"/>
        <v xml:space="preserve">1613 CT418 </v>
      </c>
      <c r="DS257" s="37">
        <f t="shared" si="141"/>
        <v>0</v>
      </c>
      <c r="EE257" s="10">
        <f t="shared" si="139"/>
        <v>0</v>
      </c>
      <c r="EF257">
        <f>ROWS($DE$2:DE257)</f>
        <v>256</v>
      </c>
      <c r="EG257" t="str">
        <f t="shared" si="115"/>
        <v/>
      </c>
      <c r="EJ257" t="str">
        <f t="shared" si="116"/>
        <v/>
      </c>
      <c r="EM257" t="str">
        <f t="shared" si="117"/>
        <v/>
      </c>
      <c r="EP257" t="str">
        <f t="shared" si="118"/>
        <v/>
      </c>
      <c r="ES257" t="str">
        <f t="shared" si="119"/>
        <v/>
      </c>
      <c r="EV257" t="str">
        <f t="shared" si="120"/>
        <v/>
      </c>
      <c r="EY257" t="str">
        <f t="shared" si="121"/>
        <v/>
      </c>
      <c r="FB257" t="str">
        <f t="shared" si="122"/>
        <v/>
      </c>
      <c r="FE257" t="str">
        <f t="shared" si="123"/>
        <v/>
      </c>
      <c r="FH257" t="str">
        <f t="shared" si="124"/>
        <v/>
      </c>
      <c r="FK257" t="str">
        <f t="shared" si="125"/>
        <v/>
      </c>
      <c r="FN257" t="str">
        <f t="shared" si="126"/>
        <v/>
      </c>
      <c r="FQ257" t="str">
        <f t="shared" si="127"/>
        <v/>
      </c>
      <c r="FT257" t="str">
        <f t="shared" si="128"/>
        <v/>
      </c>
      <c r="FW257" t="str">
        <f t="shared" si="129"/>
        <v/>
      </c>
      <c r="FZ257" t="str">
        <f t="shared" si="130"/>
        <v/>
      </c>
      <c r="GC257" t="str">
        <f t="shared" si="131"/>
        <v/>
      </c>
      <c r="GE257" s="155"/>
    </row>
    <row r="258" spans="4:187" ht="15" customHeight="1" x14ac:dyDescent="0.35">
      <c r="D258" s="671"/>
      <c r="L258" s="10">
        <v>1224750</v>
      </c>
      <c r="O258" s="5">
        <v>4</v>
      </c>
      <c r="P258" s="5"/>
      <c r="Q258" s="5"/>
      <c r="R258" s="5"/>
      <c r="S258" s="5"/>
      <c r="T258" s="5"/>
      <c r="U258" s="5">
        <v>2</v>
      </c>
      <c r="V258" s="5" t="s">
        <v>90</v>
      </c>
      <c r="W258" s="5">
        <v>2</v>
      </c>
      <c r="X258" s="5">
        <v>2</v>
      </c>
      <c r="Y258" s="5">
        <v>2</v>
      </c>
      <c r="Z258" s="5">
        <v>2</v>
      </c>
      <c r="AA258" s="5">
        <v>2</v>
      </c>
      <c r="AB258" s="5">
        <v>2</v>
      </c>
      <c r="AC258" s="5">
        <v>2</v>
      </c>
      <c r="AD258" s="5">
        <v>2</v>
      </c>
      <c r="AE258" s="5">
        <v>2</v>
      </c>
      <c r="AF258" s="5">
        <v>2</v>
      </c>
      <c r="AG258" s="5">
        <v>2</v>
      </c>
      <c r="AH258" s="5">
        <v>2</v>
      </c>
      <c r="AI258" s="5">
        <v>2</v>
      </c>
      <c r="AJ258" s="5">
        <v>2</v>
      </c>
      <c r="AK258" s="5">
        <v>2</v>
      </c>
      <c r="AL258" s="5">
        <v>2</v>
      </c>
      <c r="AM258" s="5">
        <v>2</v>
      </c>
      <c r="AN258" s="5">
        <v>2</v>
      </c>
      <c r="AO258" s="5">
        <v>2</v>
      </c>
      <c r="AP258" s="5">
        <v>2</v>
      </c>
      <c r="AQ258" s="5">
        <v>2</v>
      </c>
      <c r="AR258" s="5">
        <v>2</v>
      </c>
      <c r="AS258" s="5">
        <v>2</v>
      </c>
      <c r="AT258" s="5">
        <v>2</v>
      </c>
      <c r="AU258" s="5">
        <v>2</v>
      </c>
      <c r="AV258" s="5">
        <v>2</v>
      </c>
      <c r="AW258" s="5">
        <v>2</v>
      </c>
      <c r="AX258" s="5">
        <v>2</v>
      </c>
      <c r="AY258" s="5">
        <v>2</v>
      </c>
      <c r="AZ258" s="5">
        <v>2</v>
      </c>
      <c r="BA258" s="5">
        <v>2</v>
      </c>
      <c r="BB258" s="5"/>
      <c r="BC258" s="5"/>
      <c r="BD258" s="5"/>
      <c r="BF258">
        <f>ROWS($U$46:U258)</f>
        <v>213</v>
      </c>
      <c r="BG258" t="str">
        <f t="shared" si="140"/>
        <v/>
      </c>
      <c r="DB258" s="10">
        <v>1189972</v>
      </c>
      <c r="DE258">
        <v>1231982</v>
      </c>
      <c r="DF258" t="s">
        <v>2194</v>
      </c>
      <c r="DG258" t="s">
        <v>2194</v>
      </c>
      <c r="DH258" s="805">
        <v>16</v>
      </c>
      <c r="DI258" s="805">
        <v>1613</v>
      </c>
      <c r="DJ258" s="805" t="s">
        <v>2195</v>
      </c>
      <c r="DK258" s="805"/>
      <c r="DL258" s="805" t="s">
        <v>1985</v>
      </c>
      <c r="DM258" s="805"/>
      <c r="DN258" s="805"/>
      <c r="DO258" s="805"/>
      <c r="DP258" s="805"/>
      <c r="DQ258" s="805"/>
      <c r="DR258" s="805" t="str">
        <f t="shared" si="142"/>
        <v xml:space="preserve">1613 CT164 </v>
      </c>
      <c r="DS258" s="37">
        <f t="shared" si="141"/>
        <v>0</v>
      </c>
      <c r="EE258" s="10">
        <f t="shared" si="139"/>
        <v>0</v>
      </c>
      <c r="EF258">
        <f>ROWS($DE$2:DE258)</f>
        <v>257</v>
      </c>
      <c r="EG258" t="str">
        <f t="shared" si="115"/>
        <v/>
      </c>
      <c r="EJ258" t="str">
        <f t="shared" si="116"/>
        <v/>
      </c>
      <c r="EM258" t="str">
        <f t="shared" si="117"/>
        <v/>
      </c>
      <c r="EP258" t="str">
        <f t="shared" si="118"/>
        <v/>
      </c>
      <c r="ES258" t="str">
        <f t="shared" si="119"/>
        <v/>
      </c>
      <c r="EV258" t="str">
        <f t="shared" si="120"/>
        <v/>
      </c>
      <c r="EY258" t="str">
        <f t="shared" si="121"/>
        <v/>
      </c>
      <c r="FB258" t="str">
        <f t="shared" si="122"/>
        <v/>
      </c>
      <c r="FE258" t="str">
        <f t="shared" si="123"/>
        <v/>
      </c>
      <c r="FH258" t="str">
        <f t="shared" si="124"/>
        <v/>
      </c>
      <c r="FK258" t="str">
        <f t="shared" si="125"/>
        <v/>
      </c>
      <c r="FN258" t="str">
        <f t="shared" si="126"/>
        <v/>
      </c>
      <c r="FQ258" t="str">
        <f t="shared" si="127"/>
        <v/>
      </c>
      <c r="FT258" t="str">
        <f t="shared" si="128"/>
        <v/>
      </c>
      <c r="FW258" t="str">
        <f t="shared" si="129"/>
        <v/>
      </c>
      <c r="FZ258" t="str">
        <f t="shared" si="130"/>
        <v/>
      </c>
      <c r="GC258" t="str">
        <f t="shared" si="131"/>
        <v/>
      </c>
      <c r="GE258" s="155"/>
    </row>
    <row r="259" spans="4:187" ht="15" customHeight="1" x14ac:dyDescent="0.35">
      <c r="D259" s="671"/>
      <c r="L259" s="10">
        <v>1225753</v>
      </c>
      <c r="O259" s="5">
        <v>5</v>
      </c>
      <c r="P259" s="5"/>
      <c r="Q259" s="5"/>
      <c r="R259" s="5"/>
      <c r="S259" s="5"/>
      <c r="T259" s="5"/>
      <c r="U259" s="5">
        <v>2</v>
      </c>
      <c r="V259" s="5" t="s">
        <v>91</v>
      </c>
      <c r="W259" s="5">
        <v>2</v>
      </c>
      <c r="X259" s="5">
        <v>2</v>
      </c>
      <c r="Y259" s="5">
        <v>2</v>
      </c>
      <c r="Z259" s="5">
        <v>2</v>
      </c>
      <c r="AA259" s="5">
        <v>2</v>
      </c>
      <c r="AB259" s="5">
        <v>2</v>
      </c>
      <c r="AC259" s="5">
        <v>2</v>
      </c>
      <c r="AD259" s="5">
        <v>2</v>
      </c>
      <c r="AE259" s="5">
        <v>2</v>
      </c>
      <c r="AF259" s="5">
        <v>2</v>
      </c>
      <c r="AG259" s="5">
        <v>2</v>
      </c>
      <c r="AH259" s="5">
        <v>2</v>
      </c>
      <c r="AI259" s="5">
        <v>2</v>
      </c>
      <c r="AJ259" s="5">
        <v>2</v>
      </c>
      <c r="AK259" s="5">
        <v>2</v>
      </c>
      <c r="AL259" s="5">
        <v>2</v>
      </c>
      <c r="AM259" s="5">
        <v>2</v>
      </c>
      <c r="AN259" s="5">
        <v>2</v>
      </c>
      <c r="AO259" s="5">
        <v>2</v>
      </c>
      <c r="AP259" s="5">
        <v>2</v>
      </c>
      <c r="AQ259" s="5">
        <v>2</v>
      </c>
      <c r="AR259" s="5">
        <v>2</v>
      </c>
      <c r="AS259" s="5">
        <v>2</v>
      </c>
      <c r="AT259" s="5">
        <v>2</v>
      </c>
      <c r="AU259" s="5">
        <v>2</v>
      </c>
      <c r="AV259" s="5">
        <v>2</v>
      </c>
      <c r="AW259" s="5">
        <v>2</v>
      </c>
      <c r="AX259" s="5">
        <v>2</v>
      </c>
      <c r="AY259" s="5">
        <v>2</v>
      </c>
      <c r="AZ259" s="5">
        <v>2</v>
      </c>
      <c r="BA259" s="5">
        <v>2</v>
      </c>
      <c r="BB259" s="5"/>
      <c r="BC259" s="5"/>
      <c r="BD259" s="5"/>
      <c r="BF259">
        <f>ROWS($U$46:U259)</f>
        <v>214</v>
      </c>
      <c r="BG259" t="str">
        <f t="shared" si="140"/>
        <v/>
      </c>
      <c r="DB259" s="10">
        <v>1228929</v>
      </c>
      <c r="DE259" s="10">
        <v>1100751</v>
      </c>
      <c r="DF259" s="10" t="s">
        <v>2197</v>
      </c>
      <c r="DG259" s="10" t="s">
        <v>2197</v>
      </c>
      <c r="DH259" s="10">
        <v>13</v>
      </c>
      <c r="DI259" s="10">
        <v>1313</v>
      </c>
      <c r="DJ259" s="10" t="s">
        <v>1488</v>
      </c>
      <c r="DL259" s="10" t="s">
        <v>240</v>
      </c>
      <c r="DR259" s="805" t="str">
        <f t="shared" si="142"/>
        <v xml:space="preserve">1313 CT421 </v>
      </c>
      <c r="DS259" s="37">
        <f t="shared" si="141"/>
        <v>0</v>
      </c>
      <c r="EE259" s="10">
        <f t="shared" si="139"/>
        <v>0</v>
      </c>
      <c r="EF259">
        <f>ROWS($DE$2:DE259)</f>
        <v>258</v>
      </c>
      <c r="EG259" t="str">
        <f t="shared" si="115"/>
        <v/>
      </c>
      <c r="EJ259" t="str">
        <f t="shared" si="116"/>
        <v/>
      </c>
      <c r="EM259" t="str">
        <f t="shared" si="117"/>
        <v/>
      </c>
      <c r="EP259" t="str">
        <f t="shared" si="118"/>
        <v/>
      </c>
      <c r="ES259" t="str">
        <f t="shared" si="119"/>
        <v/>
      </c>
      <c r="EV259" t="str">
        <f t="shared" si="120"/>
        <v/>
      </c>
      <c r="EY259" t="str">
        <f t="shared" si="121"/>
        <v/>
      </c>
      <c r="FB259" t="str">
        <f t="shared" si="122"/>
        <v/>
      </c>
      <c r="FE259" t="str">
        <f t="shared" si="123"/>
        <v/>
      </c>
      <c r="FH259" t="str">
        <f t="shared" si="124"/>
        <v/>
      </c>
      <c r="FK259" t="str">
        <f t="shared" si="125"/>
        <v/>
      </c>
      <c r="FN259" t="str">
        <f t="shared" si="126"/>
        <v/>
      </c>
      <c r="FQ259" t="str">
        <f t="shared" si="127"/>
        <v/>
      </c>
      <c r="FT259" t="str">
        <f t="shared" si="128"/>
        <v/>
      </c>
      <c r="FW259" t="str">
        <f t="shared" si="129"/>
        <v/>
      </c>
      <c r="FZ259" t="str">
        <f t="shared" si="130"/>
        <v/>
      </c>
      <c r="GC259" t="str">
        <f t="shared" si="131"/>
        <v/>
      </c>
      <c r="GE259" s="155"/>
    </row>
    <row r="260" spans="4:187" ht="15" customHeight="1" x14ac:dyDescent="0.35">
      <c r="D260" s="671"/>
      <c r="L260" s="10">
        <v>1226210</v>
      </c>
      <c r="O260" s="5">
        <v>6</v>
      </c>
      <c r="P260" s="5"/>
      <c r="Q260" s="5"/>
      <c r="R260" s="5"/>
      <c r="S260" s="5"/>
      <c r="T260" s="5"/>
      <c r="U260" s="5">
        <v>2</v>
      </c>
      <c r="V260" s="5" t="s">
        <v>92</v>
      </c>
      <c r="W260" s="5">
        <v>2</v>
      </c>
      <c r="X260" s="5">
        <v>2</v>
      </c>
      <c r="Y260" s="5">
        <v>2</v>
      </c>
      <c r="Z260" s="5">
        <v>2</v>
      </c>
      <c r="AA260" s="5">
        <v>2</v>
      </c>
      <c r="AB260" s="5">
        <v>2</v>
      </c>
      <c r="AC260" s="5">
        <v>2</v>
      </c>
      <c r="AD260" s="5">
        <v>2</v>
      </c>
      <c r="AE260" s="5">
        <v>2</v>
      </c>
      <c r="AF260" s="5">
        <v>2</v>
      </c>
      <c r="AG260" s="5">
        <v>2</v>
      </c>
      <c r="AH260" s="5">
        <v>2</v>
      </c>
      <c r="AI260" s="5">
        <v>2</v>
      </c>
      <c r="AJ260" s="5">
        <v>2</v>
      </c>
      <c r="AK260" s="5">
        <v>2</v>
      </c>
      <c r="AL260" s="5">
        <v>2</v>
      </c>
      <c r="AM260" s="5">
        <v>2</v>
      </c>
      <c r="AN260" s="5">
        <v>2</v>
      </c>
      <c r="AO260" s="5">
        <v>2</v>
      </c>
      <c r="AP260" s="5">
        <v>2</v>
      </c>
      <c r="AQ260" s="5">
        <v>2</v>
      </c>
      <c r="AR260" s="5">
        <v>2</v>
      </c>
      <c r="AS260" s="5">
        <v>2</v>
      </c>
      <c r="AT260" s="5">
        <v>2</v>
      </c>
      <c r="AU260" s="5">
        <v>2</v>
      </c>
      <c r="AV260" s="5">
        <v>2</v>
      </c>
      <c r="AW260" s="5">
        <v>2</v>
      </c>
      <c r="AX260" s="5">
        <v>2</v>
      </c>
      <c r="AY260" s="5">
        <v>2</v>
      </c>
      <c r="AZ260" s="5">
        <v>2</v>
      </c>
      <c r="BA260" s="5">
        <v>2</v>
      </c>
      <c r="BB260" s="5"/>
      <c r="BC260" s="5"/>
      <c r="BD260" s="5"/>
      <c r="BF260">
        <f>ROWS($U$46:U260)</f>
        <v>215</v>
      </c>
      <c r="BG260" t="str">
        <f t="shared" si="140"/>
        <v/>
      </c>
      <c r="DB260" s="10">
        <v>1165838</v>
      </c>
      <c r="DE260" s="10">
        <v>1165880</v>
      </c>
      <c r="DF260" s="10" t="s">
        <v>2198</v>
      </c>
      <c r="DG260" s="10" t="s">
        <v>2198</v>
      </c>
      <c r="DH260" s="10">
        <v>13</v>
      </c>
      <c r="DI260" s="10">
        <v>1313</v>
      </c>
      <c r="DJ260" s="10" t="s">
        <v>2199</v>
      </c>
      <c r="DL260" s="10" t="s">
        <v>1985</v>
      </c>
      <c r="DO260" s="10">
        <v>360</v>
      </c>
      <c r="DR260" s="805" t="str">
        <f t="shared" si="142"/>
        <v xml:space="preserve">1313 MT NL </v>
      </c>
      <c r="DS260" s="37">
        <f t="shared" si="141"/>
        <v>0</v>
      </c>
      <c r="EE260" s="10">
        <f t="shared" si="139"/>
        <v>0</v>
      </c>
      <c r="EF260">
        <f>ROWS($DE$2:DE260)</f>
        <v>259</v>
      </c>
      <c r="EG260" t="str">
        <f t="shared" si="115"/>
        <v/>
      </c>
      <c r="EJ260" t="str">
        <f t="shared" si="116"/>
        <v/>
      </c>
      <c r="EM260" t="str">
        <f t="shared" si="117"/>
        <v/>
      </c>
      <c r="EP260" t="str">
        <f t="shared" si="118"/>
        <v/>
      </c>
      <c r="ES260" t="str">
        <f t="shared" si="119"/>
        <v/>
      </c>
      <c r="EV260" t="str">
        <f t="shared" si="120"/>
        <v/>
      </c>
      <c r="EY260" t="str">
        <f t="shared" si="121"/>
        <v/>
      </c>
      <c r="FB260" t="str">
        <f t="shared" si="122"/>
        <v/>
      </c>
      <c r="FE260" t="str">
        <f t="shared" si="123"/>
        <v/>
      </c>
      <c r="FH260" t="str">
        <f t="shared" si="124"/>
        <v/>
      </c>
      <c r="FK260" t="str">
        <f t="shared" si="125"/>
        <v/>
      </c>
      <c r="FN260" t="str">
        <f t="shared" si="126"/>
        <v/>
      </c>
      <c r="FQ260" t="str">
        <f t="shared" si="127"/>
        <v/>
      </c>
      <c r="FT260" t="str">
        <f t="shared" si="128"/>
        <v/>
      </c>
      <c r="FW260" t="str">
        <f t="shared" si="129"/>
        <v/>
      </c>
      <c r="FZ260" t="str">
        <f t="shared" si="130"/>
        <v/>
      </c>
      <c r="GC260" t="str">
        <f t="shared" si="131"/>
        <v/>
      </c>
      <c r="GE260" s="155"/>
    </row>
    <row r="261" spans="4:187" ht="15" customHeight="1" x14ac:dyDescent="0.35">
      <c r="D261" s="671"/>
      <c r="L261" s="10">
        <v>1226735</v>
      </c>
      <c r="O261" s="5">
        <v>7</v>
      </c>
      <c r="P261" s="5"/>
      <c r="Q261" s="5"/>
      <c r="R261" s="5"/>
      <c r="S261" s="5"/>
      <c r="T261" s="5"/>
      <c r="U261" s="5">
        <v>2</v>
      </c>
      <c r="V261" s="5" t="s">
        <v>111</v>
      </c>
      <c r="W261" s="5">
        <v>2</v>
      </c>
      <c r="X261" s="5">
        <v>2</v>
      </c>
      <c r="Y261" s="5">
        <v>2</v>
      </c>
      <c r="Z261" s="5">
        <v>2</v>
      </c>
      <c r="AA261" s="5">
        <v>2</v>
      </c>
      <c r="AB261" s="5">
        <v>2</v>
      </c>
      <c r="AC261" s="5">
        <v>2</v>
      </c>
      <c r="AD261" s="5">
        <v>2</v>
      </c>
      <c r="AE261" s="5">
        <v>2</v>
      </c>
      <c r="AF261" s="5">
        <v>2</v>
      </c>
      <c r="AG261" s="5">
        <v>2</v>
      </c>
      <c r="AH261" s="5">
        <v>2</v>
      </c>
      <c r="AI261" s="5">
        <v>2</v>
      </c>
      <c r="AJ261" s="5">
        <v>2</v>
      </c>
      <c r="AK261" s="5">
        <v>2</v>
      </c>
      <c r="AL261" s="5">
        <v>2</v>
      </c>
      <c r="AM261" s="5">
        <v>2</v>
      </c>
      <c r="AN261" s="5">
        <v>2</v>
      </c>
      <c r="AO261" s="5">
        <v>2</v>
      </c>
      <c r="AP261" s="5">
        <v>2</v>
      </c>
      <c r="AQ261" s="5">
        <v>2</v>
      </c>
      <c r="AR261" s="5">
        <v>2</v>
      </c>
      <c r="AS261" s="5">
        <v>2</v>
      </c>
      <c r="AT261" s="5">
        <v>2</v>
      </c>
      <c r="AU261" s="5">
        <v>2</v>
      </c>
      <c r="AV261" s="5">
        <v>2</v>
      </c>
      <c r="AW261" s="5">
        <v>2</v>
      </c>
      <c r="AX261" s="5">
        <v>2</v>
      </c>
      <c r="AY261" s="5">
        <v>2</v>
      </c>
      <c r="AZ261" s="5">
        <v>2</v>
      </c>
      <c r="BA261" s="5">
        <v>2</v>
      </c>
      <c r="BB261" s="5"/>
      <c r="BC261" s="5"/>
      <c r="BD261" s="5"/>
      <c r="BF261">
        <f>ROWS($U$46:U261)</f>
        <v>216</v>
      </c>
      <c r="BG261" t="str">
        <f t="shared" si="140"/>
        <v/>
      </c>
      <c r="DB261" s="10">
        <v>1071262</v>
      </c>
      <c r="DE261" s="10">
        <v>1257653</v>
      </c>
      <c r="DF261" s="10" t="s">
        <v>2204</v>
      </c>
      <c r="DG261" s="10" t="s">
        <v>2204</v>
      </c>
      <c r="DH261" s="10">
        <v>13</v>
      </c>
      <c r="DI261" s="10">
        <v>1313</v>
      </c>
      <c r="DJ261" t="s">
        <v>2122</v>
      </c>
      <c r="DL261" s="10" t="s">
        <v>2159</v>
      </c>
      <c r="DO261" s="10">
        <v>360</v>
      </c>
      <c r="DR261" s="805" t="str">
        <f t="shared" si="142"/>
        <v xml:space="preserve">1313 CT418NL </v>
      </c>
      <c r="DS261" s="37">
        <f t="shared" si="141"/>
        <v>0</v>
      </c>
      <c r="EE261" s="10">
        <f t="shared" si="139"/>
        <v>0</v>
      </c>
      <c r="EF261">
        <f>ROWS($DE$2:DE261)</f>
        <v>260</v>
      </c>
      <c r="EG261" t="str">
        <f t="shared" si="115"/>
        <v/>
      </c>
      <c r="EJ261" t="str">
        <f t="shared" si="116"/>
        <v/>
      </c>
      <c r="EM261" t="str">
        <f t="shared" si="117"/>
        <v/>
      </c>
      <c r="EP261" t="str">
        <f t="shared" si="118"/>
        <v/>
      </c>
      <c r="ES261" t="str">
        <f t="shared" si="119"/>
        <v/>
      </c>
      <c r="EV261" t="str">
        <f t="shared" si="120"/>
        <v/>
      </c>
      <c r="EY261" t="str">
        <f t="shared" si="121"/>
        <v/>
      </c>
      <c r="FB261" t="str">
        <f t="shared" si="122"/>
        <v/>
      </c>
      <c r="FE261" t="str">
        <f t="shared" si="123"/>
        <v/>
      </c>
      <c r="FH261" t="str">
        <f t="shared" si="124"/>
        <v/>
      </c>
      <c r="FK261" t="str">
        <f t="shared" si="125"/>
        <v/>
      </c>
      <c r="FN261" t="str">
        <f t="shared" si="126"/>
        <v/>
      </c>
      <c r="FQ261" t="str">
        <f t="shared" si="127"/>
        <v/>
      </c>
      <c r="FT261" t="str">
        <f t="shared" si="128"/>
        <v/>
      </c>
      <c r="FW261" t="str">
        <f t="shared" si="129"/>
        <v/>
      </c>
      <c r="FZ261" t="str">
        <f t="shared" si="130"/>
        <v/>
      </c>
      <c r="GC261" t="str">
        <f t="shared" si="131"/>
        <v/>
      </c>
      <c r="GE261" s="155"/>
    </row>
    <row r="262" spans="4:187" ht="15" customHeight="1" x14ac:dyDescent="0.35">
      <c r="D262" s="671"/>
      <c r="L262" s="10">
        <v>1226841</v>
      </c>
      <c r="O262" s="5">
        <v>8</v>
      </c>
      <c r="P262" s="5"/>
      <c r="Q262" s="5"/>
      <c r="R262" s="5"/>
      <c r="S262" s="5"/>
      <c r="T262" s="5"/>
      <c r="U262" s="5">
        <v>2</v>
      </c>
      <c r="V262" s="5" t="s">
        <v>112</v>
      </c>
      <c r="W262" s="5">
        <v>2</v>
      </c>
      <c r="X262" s="5">
        <v>2</v>
      </c>
      <c r="Y262" s="5">
        <v>2</v>
      </c>
      <c r="Z262" s="5">
        <v>2</v>
      </c>
      <c r="AA262" s="5">
        <v>2</v>
      </c>
      <c r="AB262" s="5">
        <v>2</v>
      </c>
      <c r="AC262" s="5">
        <v>2</v>
      </c>
      <c r="AD262" s="5">
        <v>2</v>
      </c>
      <c r="AE262" s="5">
        <v>2</v>
      </c>
      <c r="AF262" s="5">
        <v>2</v>
      </c>
      <c r="AG262" s="5">
        <v>2</v>
      </c>
      <c r="AH262" s="5">
        <v>2</v>
      </c>
      <c r="AI262" s="5">
        <v>2</v>
      </c>
      <c r="AJ262" s="5">
        <v>2</v>
      </c>
      <c r="AK262" s="5">
        <v>2</v>
      </c>
      <c r="AL262" s="5">
        <v>2</v>
      </c>
      <c r="AM262" s="5">
        <v>2</v>
      </c>
      <c r="AN262" s="5">
        <v>2</v>
      </c>
      <c r="AO262" s="5">
        <v>2</v>
      </c>
      <c r="AP262" s="5">
        <v>2</v>
      </c>
      <c r="AQ262" s="5">
        <v>2</v>
      </c>
      <c r="AR262" s="5">
        <v>2</v>
      </c>
      <c r="AS262" s="5">
        <v>2</v>
      </c>
      <c r="AT262" s="5">
        <v>2</v>
      </c>
      <c r="AU262" s="5">
        <v>2</v>
      </c>
      <c r="AV262" s="5">
        <v>2</v>
      </c>
      <c r="AW262" s="5">
        <v>2</v>
      </c>
      <c r="AX262" s="5">
        <v>2</v>
      </c>
      <c r="AY262" s="5">
        <v>2</v>
      </c>
      <c r="AZ262" s="5">
        <v>2</v>
      </c>
      <c r="BA262" s="5">
        <v>2</v>
      </c>
      <c r="BB262" s="5"/>
      <c r="BC262" s="5"/>
      <c r="BD262" s="5"/>
      <c r="BF262">
        <f>ROWS($U$46:U262)</f>
        <v>217</v>
      </c>
      <c r="BG262" t="str">
        <f t="shared" si="140"/>
        <v/>
      </c>
      <c r="DB262" s="10">
        <v>1146742</v>
      </c>
      <c r="DE262" s="10">
        <v>1126402</v>
      </c>
      <c r="DF262" s="10" t="s">
        <v>2224</v>
      </c>
      <c r="DG262" s="10" t="s">
        <v>2224</v>
      </c>
      <c r="DH262" s="10">
        <v>16</v>
      </c>
      <c r="DI262" s="10">
        <v>1613</v>
      </c>
      <c r="DJ262" s="10" t="s">
        <v>1488</v>
      </c>
      <c r="DL262" s="10" t="s">
        <v>2225</v>
      </c>
      <c r="DO262" s="10">
        <v>497</v>
      </c>
      <c r="DR262" s="805" t="str">
        <f t="shared" ref="DR262:DR268" si="143">DI262 &amp; " " &amp; DJ262 &amp; " " &amp; DK262</f>
        <v xml:space="preserve">1613 CT421 </v>
      </c>
      <c r="DS262" s="37">
        <f t="shared" si="141"/>
        <v>0</v>
      </c>
      <c r="EE262" s="10">
        <f t="shared" si="139"/>
        <v>21</v>
      </c>
      <c r="EF262">
        <f>ROWS($DE$2:DE262)</f>
        <v>261</v>
      </c>
      <c r="EG262" t="str">
        <f t="shared" si="115"/>
        <v/>
      </c>
      <c r="EJ262" t="str">
        <f t="shared" si="116"/>
        <v/>
      </c>
      <c r="EM262" t="str">
        <f t="shared" si="117"/>
        <v/>
      </c>
      <c r="EP262" t="str">
        <f t="shared" si="118"/>
        <v/>
      </c>
      <c r="ES262">
        <f t="shared" si="119"/>
        <v>261</v>
      </c>
      <c r="EV262" t="str">
        <f t="shared" si="120"/>
        <v/>
      </c>
      <c r="EY262" t="str">
        <f t="shared" si="121"/>
        <v/>
      </c>
      <c r="FB262" t="str">
        <f t="shared" si="122"/>
        <v/>
      </c>
      <c r="FE262" t="str">
        <f t="shared" si="123"/>
        <v/>
      </c>
      <c r="FH262" t="str">
        <f t="shared" si="124"/>
        <v/>
      </c>
      <c r="FK262" t="str">
        <f t="shared" si="125"/>
        <v/>
      </c>
      <c r="FN262" t="str">
        <f t="shared" si="126"/>
        <v/>
      </c>
      <c r="FQ262" t="str">
        <f t="shared" si="127"/>
        <v/>
      </c>
      <c r="FT262" t="str">
        <f t="shared" si="128"/>
        <v/>
      </c>
      <c r="FW262" t="str">
        <f t="shared" si="129"/>
        <v/>
      </c>
      <c r="FZ262" t="str">
        <f t="shared" si="130"/>
        <v/>
      </c>
      <c r="GC262" t="str">
        <f t="shared" si="131"/>
        <v/>
      </c>
      <c r="GE262" s="155"/>
    </row>
    <row r="263" spans="4:187" ht="15" customHeight="1" x14ac:dyDescent="0.35">
      <c r="D263" s="671"/>
      <c r="L263" s="10">
        <v>1261733</v>
      </c>
      <c r="O263" s="5">
        <v>9</v>
      </c>
      <c r="P263" s="5"/>
      <c r="Q263" s="5"/>
      <c r="R263" s="5"/>
      <c r="S263" s="5"/>
      <c r="T263" s="5"/>
      <c r="U263" s="5">
        <v>2</v>
      </c>
      <c r="V263" s="5" t="s">
        <v>113</v>
      </c>
      <c r="W263" s="5">
        <v>2</v>
      </c>
      <c r="X263" s="5">
        <v>2</v>
      </c>
      <c r="Y263" s="5">
        <v>2</v>
      </c>
      <c r="Z263" s="5">
        <v>2</v>
      </c>
      <c r="AA263" s="5">
        <v>2</v>
      </c>
      <c r="AB263" s="5">
        <v>2</v>
      </c>
      <c r="AC263" s="5">
        <v>2</v>
      </c>
      <c r="AD263" s="5">
        <v>2</v>
      </c>
      <c r="AE263" s="5">
        <v>2</v>
      </c>
      <c r="AF263" s="5">
        <v>2</v>
      </c>
      <c r="AG263" s="5">
        <v>2</v>
      </c>
      <c r="AH263" s="5">
        <v>2</v>
      </c>
      <c r="AI263" s="5">
        <v>2</v>
      </c>
      <c r="AJ263" s="5">
        <v>2</v>
      </c>
      <c r="AK263" s="5">
        <v>2</v>
      </c>
      <c r="AL263" s="5">
        <v>2</v>
      </c>
      <c r="AM263" s="5">
        <v>2</v>
      </c>
      <c r="AN263" s="5">
        <v>2</v>
      </c>
      <c r="AO263" s="5">
        <v>2</v>
      </c>
      <c r="AP263" s="5">
        <v>2</v>
      </c>
      <c r="AQ263" s="5">
        <v>2</v>
      </c>
      <c r="AR263" s="5">
        <v>2</v>
      </c>
      <c r="AS263" s="5">
        <v>2</v>
      </c>
      <c r="AT263" s="5">
        <v>2</v>
      </c>
      <c r="AU263" s="5">
        <v>2</v>
      </c>
      <c r="AV263" s="5">
        <v>2</v>
      </c>
      <c r="AW263" s="5">
        <v>2</v>
      </c>
      <c r="AX263" s="5">
        <v>2</v>
      </c>
      <c r="AY263" s="5">
        <v>2</v>
      </c>
      <c r="AZ263" s="5">
        <v>2</v>
      </c>
      <c r="BA263" s="5">
        <v>2</v>
      </c>
      <c r="BB263" s="5"/>
      <c r="BC263" s="5"/>
      <c r="BD263" s="5"/>
      <c r="BF263">
        <f>ROWS($U$46:U263)</f>
        <v>218</v>
      </c>
      <c r="BG263" t="str">
        <f t="shared" si="140"/>
        <v/>
      </c>
      <c r="DB263" s="10">
        <v>1100739</v>
      </c>
      <c r="DE263" s="10">
        <v>1100753</v>
      </c>
      <c r="DF263" s="10" t="s">
        <v>2248</v>
      </c>
      <c r="DG263" s="10" t="s">
        <v>2248</v>
      </c>
      <c r="DH263" s="10">
        <v>16</v>
      </c>
      <c r="DI263" s="10">
        <v>1608</v>
      </c>
      <c r="DJ263" s="10" t="s">
        <v>1488</v>
      </c>
      <c r="DL263" s="10" t="s">
        <v>2072</v>
      </c>
      <c r="DR263" s="10" t="str">
        <f t="shared" si="143"/>
        <v xml:space="preserve">1608 CT421 </v>
      </c>
      <c r="DS263" s="37">
        <f t="shared" si="141"/>
        <v>0</v>
      </c>
      <c r="EE263" s="10">
        <f t="shared" si="139"/>
        <v>0</v>
      </c>
      <c r="EF263">
        <f>ROWS($DE$2:DE263)</f>
        <v>262</v>
      </c>
      <c r="EG263" t="str">
        <f t="shared" si="115"/>
        <v/>
      </c>
      <c r="EJ263" t="str">
        <f t="shared" si="116"/>
        <v/>
      </c>
      <c r="EM263" t="str">
        <f t="shared" si="117"/>
        <v/>
      </c>
      <c r="EP263" t="str">
        <f t="shared" si="118"/>
        <v/>
      </c>
      <c r="ES263" t="str">
        <f t="shared" si="119"/>
        <v/>
      </c>
      <c r="EV263" t="str">
        <f t="shared" si="120"/>
        <v/>
      </c>
      <c r="EY263" t="str">
        <f t="shared" si="121"/>
        <v/>
      </c>
      <c r="FB263" t="str">
        <f t="shared" si="122"/>
        <v/>
      </c>
      <c r="FE263" t="str">
        <f t="shared" si="123"/>
        <v/>
      </c>
      <c r="FH263" t="str">
        <f t="shared" si="124"/>
        <v/>
      </c>
      <c r="FK263" t="str">
        <f t="shared" si="125"/>
        <v/>
      </c>
      <c r="FN263" t="str">
        <f t="shared" si="126"/>
        <v/>
      </c>
      <c r="FQ263" t="str">
        <f t="shared" si="127"/>
        <v/>
      </c>
      <c r="FT263" t="str">
        <f t="shared" si="128"/>
        <v/>
      </c>
      <c r="FW263" t="str">
        <f t="shared" si="129"/>
        <v/>
      </c>
      <c r="FZ263" t="str">
        <f t="shared" si="130"/>
        <v/>
      </c>
      <c r="GC263" t="str">
        <f t="shared" si="131"/>
        <v/>
      </c>
      <c r="GE263" s="155"/>
    </row>
    <row r="264" spans="4:187" ht="15" customHeight="1" x14ac:dyDescent="0.35">
      <c r="D264" s="671"/>
      <c r="L264" s="10">
        <v>1233276</v>
      </c>
      <c r="O264" s="5">
        <v>10</v>
      </c>
      <c r="P264" s="5"/>
      <c r="Q264" s="5"/>
      <c r="R264" s="5"/>
      <c r="S264" s="5"/>
      <c r="T264" s="5"/>
      <c r="U264" s="5">
        <v>2</v>
      </c>
      <c r="V264" s="5" t="s">
        <v>114</v>
      </c>
      <c r="W264" s="5">
        <v>2</v>
      </c>
      <c r="X264" s="5">
        <v>2</v>
      </c>
      <c r="Y264" s="5">
        <v>2</v>
      </c>
      <c r="Z264" s="5">
        <v>2</v>
      </c>
      <c r="AA264" s="5">
        <v>2</v>
      </c>
      <c r="AB264" s="5">
        <v>2</v>
      </c>
      <c r="AC264" s="5">
        <v>2</v>
      </c>
      <c r="AD264" s="5">
        <v>2</v>
      </c>
      <c r="AE264" s="5">
        <v>2</v>
      </c>
      <c r="AF264" s="5">
        <v>2</v>
      </c>
      <c r="AG264" s="5">
        <v>2</v>
      </c>
      <c r="AH264" s="5">
        <v>2</v>
      </c>
      <c r="AI264" s="5">
        <v>2</v>
      </c>
      <c r="AJ264" s="5">
        <v>2</v>
      </c>
      <c r="AK264" s="5">
        <v>2</v>
      </c>
      <c r="AL264" s="5">
        <v>2</v>
      </c>
      <c r="AM264" s="5">
        <v>2</v>
      </c>
      <c r="AN264" s="5">
        <v>2</v>
      </c>
      <c r="AO264" s="5">
        <v>2</v>
      </c>
      <c r="AP264" s="5">
        <v>2</v>
      </c>
      <c r="AQ264" s="5">
        <v>2</v>
      </c>
      <c r="AR264" s="5">
        <v>2</v>
      </c>
      <c r="AS264" s="5">
        <v>2</v>
      </c>
      <c r="AT264" s="5">
        <v>2</v>
      </c>
      <c r="AU264" s="5">
        <v>2</v>
      </c>
      <c r="AV264" s="5">
        <v>2</v>
      </c>
      <c r="AW264" s="5">
        <v>2</v>
      </c>
      <c r="AX264" s="5">
        <v>2</v>
      </c>
      <c r="AY264" s="5">
        <v>2</v>
      </c>
      <c r="AZ264" s="5">
        <v>2</v>
      </c>
      <c r="BA264" s="5">
        <v>2</v>
      </c>
      <c r="BB264" s="5"/>
      <c r="BC264" s="5"/>
      <c r="BD264" s="5"/>
      <c r="BF264">
        <f>ROWS($U$46:U264)</f>
        <v>219</v>
      </c>
      <c r="BG264" t="str">
        <f t="shared" si="140"/>
        <v/>
      </c>
      <c r="DB264" s="10">
        <v>1261615</v>
      </c>
      <c r="DE264" s="10">
        <v>1220688</v>
      </c>
      <c r="DF264" s="10" t="s">
        <v>2251</v>
      </c>
      <c r="DG264" s="10" t="s">
        <v>2251</v>
      </c>
      <c r="DH264" s="10">
        <v>10</v>
      </c>
      <c r="DI264" s="10">
        <v>1005</v>
      </c>
      <c r="DJ264" s="10" t="s">
        <v>1983</v>
      </c>
      <c r="DL264" s="10" t="s">
        <v>2159</v>
      </c>
      <c r="DO264" s="10">
        <v>272</v>
      </c>
      <c r="DR264" s="10" t="str">
        <f t="shared" si="143"/>
        <v xml:space="preserve">1005 CT155 </v>
      </c>
      <c r="DS264" s="37">
        <f t="shared" si="141"/>
        <v>0</v>
      </c>
      <c r="EE264" s="10">
        <f t="shared" si="139"/>
        <v>0</v>
      </c>
      <c r="EF264">
        <f>ROWS($DE$2:DE264)</f>
        <v>263</v>
      </c>
      <c r="EG264" t="str">
        <f t="shared" si="115"/>
        <v/>
      </c>
      <c r="EJ264" t="str">
        <f t="shared" si="116"/>
        <v/>
      </c>
      <c r="EM264" t="str">
        <f t="shared" si="117"/>
        <v/>
      </c>
      <c r="EP264" t="str">
        <f t="shared" si="118"/>
        <v/>
      </c>
      <c r="ES264" t="str">
        <f t="shared" si="119"/>
        <v/>
      </c>
      <c r="EV264" t="str">
        <f t="shared" si="120"/>
        <v/>
      </c>
      <c r="EY264" t="str">
        <f t="shared" si="121"/>
        <v/>
      </c>
      <c r="FB264" t="str">
        <f t="shared" si="122"/>
        <v/>
      </c>
      <c r="FE264" t="str">
        <f t="shared" si="123"/>
        <v/>
      </c>
      <c r="FH264" t="str">
        <f t="shared" si="124"/>
        <v/>
      </c>
      <c r="FK264" t="str">
        <f t="shared" si="125"/>
        <v/>
      </c>
      <c r="FN264" t="str">
        <f t="shared" si="126"/>
        <v/>
      </c>
      <c r="FQ264" t="str">
        <f t="shared" si="127"/>
        <v/>
      </c>
      <c r="FT264" t="str">
        <f t="shared" si="128"/>
        <v/>
      </c>
      <c r="FW264" t="str">
        <f t="shared" si="129"/>
        <v/>
      </c>
      <c r="FZ264" t="str">
        <f t="shared" si="130"/>
        <v/>
      </c>
      <c r="GC264" t="str">
        <f t="shared" si="131"/>
        <v/>
      </c>
      <c r="GE264" s="155"/>
    </row>
    <row r="265" spans="4:187" ht="15" customHeight="1" x14ac:dyDescent="0.35">
      <c r="D265" s="671"/>
      <c r="L265" s="10">
        <v>1238638</v>
      </c>
      <c r="O265" s="5">
        <v>11</v>
      </c>
      <c r="P265" s="5"/>
      <c r="Q265" s="5"/>
      <c r="R265" s="5"/>
      <c r="S265" s="5"/>
      <c r="T265" s="5"/>
      <c r="U265" s="5">
        <v>2</v>
      </c>
      <c r="V265" s="5" t="s">
        <v>115</v>
      </c>
      <c r="W265" s="5">
        <v>2</v>
      </c>
      <c r="X265" s="5">
        <v>2</v>
      </c>
      <c r="Y265" s="5">
        <v>2</v>
      </c>
      <c r="Z265" s="5">
        <v>2</v>
      </c>
      <c r="AA265" s="5">
        <v>2</v>
      </c>
      <c r="AB265" s="5">
        <v>2</v>
      </c>
      <c r="AC265" s="5">
        <v>2</v>
      </c>
      <c r="AD265" s="5">
        <v>2</v>
      </c>
      <c r="AE265" s="5">
        <v>2</v>
      </c>
      <c r="AF265" s="5">
        <v>2</v>
      </c>
      <c r="AG265" s="5">
        <v>2</v>
      </c>
      <c r="AH265" s="5">
        <v>2</v>
      </c>
      <c r="AI265" s="5">
        <v>2</v>
      </c>
      <c r="AJ265" s="5">
        <v>2</v>
      </c>
      <c r="AK265" s="5">
        <v>2</v>
      </c>
      <c r="AL265" s="5">
        <v>2</v>
      </c>
      <c r="AM265" s="5">
        <v>2</v>
      </c>
      <c r="AN265" s="5">
        <v>2</v>
      </c>
      <c r="AO265" s="5">
        <v>2</v>
      </c>
      <c r="AP265" s="5">
        <v>2</v>
      </c>
      <c r="AQ265" s="5">
        <v>2</v>
      </c>
      <c r="AR265" s="5">
        <v>2</v>
      </c>
      <c r="AS265" s="5">
        <v>2</v>
      </c>
      <c r="AT265" s="5">
        <v>2</v>
      </c>
      <c r="AU265" s="5">
        <v>2</v>
      </c>
      <c r="AV265" s="5">
        <v>2</v>
      </c>
      <c r="AW265" s="5">
        <v>2</v>
      </c>
      <c r="AX265" s="5">
        <v>2</v>
      </c>
      <c r="AY265" s="5">
        <v>2</v>
      </c>
      <c r="AZ265" s="5">
        <v>2</v>
      </c>
      <c r="BA265" s="5">
        <v>2</v>
      </c>
      <c r="BB265" s="5"/>
      <c r="BC265" s="5"/>
      <c r="BD265" s="5"/>
      <c r="BF265">
        <f>ROWS($U$46:U265)</f>
        <v>220</v>
      </c>
      <c r="BG265" t="str">
        <f t="shared" si="140"/>
        <v/>
      </c>
      <c r="DB265" s="10">
        <v>1163820</v>
      </c>
      <c r="DE265" s="10">
        <v>1189972</v>
      </c>
      <c r="DF265" s="10" t="s">
        <v>2267</v>
      </c>
      <c r="DG265" s="10" t="s">
        <v>2267</v>
      </c>
      <c r="DH265" s="10">
        <v>12</v>
      </c>
      <c r="DI265" s="10" t="s">
        <v>2268</v>
      </c>
      <c r="DJ265" s="10" t="s">
        <v>2269</v>
      </c>
      <c r="DL265" s="10" t="s">
        <v>2061</v>
      </c>
      <c r="DO265" s="10">
        <v>360</v>
      </c>
      <c r="DR265" s="805" t="str">
        <f t="shared" si="143"/>
        <v xml:space="preserve">12MM CT221NL </v>
      </c>
      <c r="DS265" s="37">
        <f t="shared" si="141"/>
        <v>0</v>
      </c>
      <c r="EE265" s="10">
        <f t="shared" si="139"/>
        <v>0</v>
      </c>
      <c r="EF265">
        <f>ROWS($DE$2:DE265)</f>
        <v>264</v>
      </c>
      <c r="EG265" t="str">
        <f t="shared" si="115"/>
        <v/>
      </c>
      <c r="EJ265" t="str">
        <f t="shared" si="116"/>
        <v/>
      </c>
      <c r="EM265" t="str">
        <f t="shared" si="117"/>
        <v/>
      </c>
      <c r="EP265" t="str">
        <f t="shared" si="118"/>
        <v/>
      </c>
      <c r="ES265" t="str">
        <f t="shared" si="119"/>
        <v/>
      </c>
      <c r="EV265" t="str">
        <f t="shared" si="120"/>
        <v/>
      </c>
      <c r="EY265" t="str">
        <f t="shared" si="121"/>
        <v/>
      </c>
      <c r="FB265" t="str">
        <f t="shared" si="122"/>
        <v/>
      </c>
      <c r="FE265" t="str">
        <f t="shared" si="123"/>
        <v/>
      </c>
      <c r="FH265" t="str">
        <f t="shared" si="124"/>
        <v/>
      </c>
      <c r="FK265" t="str">
        <f t="shared" si="125"/>
        <v/>
      </c>
      <c r="FN265" t="str">
        <f t="shared" si="126"/>
        <v/>
      </c>
      <c r="FQ265" t="str">
        <f t="shared" si="127"/>
        <v/>
      </c>
      <c r="FT265" t="str">
        <f t="shared" si="128"/>
        <v/>
      </c>
      <c r="FW265" t="str">
        <f t="shared" si="129"/>
        <v/>
      </c>
      <c r="FZ265" t="str">
        <f t="shared" si="130"/>
        <v/>
      </c>
      <c r="GC265" t="str">
        <f t="shared" si="131"/>
        <v/>
      </c>
      <c r="GE265" s="155"/>
    </row>
    <row r="266" spans="4:187" ht="15" customHeight="1" x14ac:dyDescent="0.35">
      <c r="D266" s="671"/>
      <c r="L266" s="10">
        <v>1240803</v>
      </c>
      <c r="O266" s="5">
        <v>12</v>
      </c>
      <c r="P266" s="5"/>
      <c r="Q266" s="5"/>
      <c r="R266" s="5"/>
      <c r="S266" s="5"/>
      <c r="T266" s="5"/>
      <c r="U266" s="5">
        <v>2</v>
      </c>
      <c r="V266" s="5" t="s">
        <v>736</v>
      </c>
      <c r="W266" s="5">
        <v>2</v>
      </c>
      <c r="X266" s="5">
        <v>2</v>
      </c>
      <c r="Y266" s="5">
        <v>2</v>
      </c>
      <c r="Z266" s="5">
        <v>2</v>
      </c>
      <c r="AA266" s="5">
        <v>2</v>
      </c>
      <c r="AB266" s="5">
        <v>2</v>
      </c>
      <c r="AC266" s="5">
        <v>2</v>
      </c>
      <c r="AD266" s="5">
        <v>2</v>
      </c>
      <c r="AE266" s="5">
        <v>2</v>
      </c>
      <c r="AF266" s="5">
        <v>2</v>
      </c>
      <c r="AG266" s="5">
        <v>2</v>
      </c>
      <c r="AH266" s="5">
        <v>2</v>
      </c>
      <c r="AI266" s="5">
        <v>2</v>
      </c>
      <c r="AJ266" s="5">
        <v>2</v>
      </c>
      <c r="AK266" s="5">
        <v>2</v>
      </c>
      <c r="AL266" s="5">
        <v>2</v>
      </c>
      <c r="AM266" s="5">
        <v>2</v>
      </c>
      <c r="AN266" s="5">
        <v>2</v>
      </c>
      <c r="AO266" s="5">
        <v>2</v>
      </c>
      <c r="AP266" s="5">
        <v>2</v>
      </c>
      <c r="AQ266" s="5">
        <v>2</v>
      </c>
      <c r="AR266" s="5">
        <v>2</v>
      </c>
      <c r="AS266" s="5">
        <v>2</v>
      </c>
      <c r="AT266" s="5">
        <v>2</v>
      </c>
      <c r="AU266" s="5">
        <v>2</v>
      </c>
      <c r="AV266" s="5">
        <v>2</v>
      </c>
      <c r="AW266" s="5">
        <v>2</v>
      </c>
      <c r="AX266" s="5">
        <v>2</v>
      </c>
      <c r="AY266" s="5">
        <v>2</v>
      </c>
      <c r="AZ266" s="5">
        <v>2</v>
      </c>
      <c r="BA266" s="5">
        <v>2</v>
      </c>
      <c r="BB266" s="5"/>
      <c r="BC266" s="5"/>
      <c r="BD266" s="5"/>
      <c r="BF266">
        <f>ROWS($U$46:U266)</f>
        <v>221</v>
      </c>
      <c r="BG266" t="str">
        <f t="shared" si="140"/>
        <v/>
      </c>
      <c r="DB266" s="10">
        <v>653400</v>
      </c>
      <c r="DE266" s="10">
        <v>1228929</v>
      </c>
      <c r="DF266" s="10" t="s">
        <v>2270</v>
      </c>
      <c r="DG266" s="10" t="s">
        <v>2270</v>
      </c>
      <c r="DH266" s="10">
        <v>13</v>
      </c>
      <c r="DI266" s="10">
        <v>1313</v>
      </c>
      <c r="DJ266" s="10" t="s">
        <v>2271</v>
      </c>
      <c r="DL266" s="10" t="s">
        <v>1985</v>
      </c>
      <c r="DO266" s="10">
        <v>360</v>
      </c>
      <c r="DR266" s="805" t="str">
        <f t="shared" si="143"/>
        <v xml:space="preserve">1313 CT418NLMv3 </v>
      </c>
      <c r="DS266" s="37">
        <f t="shared" si="141"/>
        <v>0</v>
      </c>
      <c r="EE266" s="10">
        <f t="shared" si="139"/>
        <v>0</v>
      </c>
      <c r="EF266">
        <f>ROWS($DE$2:DE266)</f>
        <v>265</v>
      </c>
      <c r="EG266" t="str">
        <f t="shared" si="115"/>
        <v/>
      </c>
      <c r="EJ266" t="str">
        <f t="shared" si="116"/>
        <v/>
      </c>
      <c r="EM266" t="str">
        <f t="shared" si="117"/>
        <v/>
      </c>
      <c r="EP266" t="str">
        <f t="shared" si="118"/>
        <v/>
      </c>
      <c r="ES266" t="str">
        <f t="shared" si="119"/>
        <v/>
      </c>
      <c r="EV266" t="str">
        <f t="shared" si="120"/>
        <v/>
      </c>
      <c r="EY266" t="str">
        <f t="shared" si="121"/>
        <v/>
      </c>
      <c r="FB266" t="str">
        <f t="shared" si="122"/>
        <v/>
      </c>
      <c r="FE266" t="str">
        <f t="shared" si="123"/>
        <v/>
      </c>
      <c r="FH266" t="str">
        <f t="shared" si="124"/>
        <v/>
      </c>
      <c r="FK266" t="str">
        <f t="shared" si="125"/>
        <v/>
      </c>
      <c r="FN266" t="str">
        <f t="shared" si="126"/>
        <v/>
      </c>
      <c r="FQ266" t="str">
        <f t="shared" si="127"/>
        <v/>
      </c>
      <c r="FT266" t="str">
        <f t="shared" si="128"/>
        <v/>
      </c>
      <c r="FW266" t="str">
        <f t="shared" si="129"/>
        <v/>
      </c>
      <c r="FZ266" t="str">
        <f t="shared" si="130"/>
        <v/>
      </c>
      <c r="GC266" t="str">
        <f t="shared" si="131"/>
        <v/>
      </c>
      <c r="GE266" s="155"/>
    </row>
    <row r="267" spans="4:187" ht="15" customHeight="1" x14ac:dyDescent="0.35">
      <c r="D267" s="671"/>
      <c r="L267" s="10">
        <v>1241180</v>
      </c>
      <c r="O267" s="5">
        <v>1</v>
      </c>
      <c r="P267" s="5"/>
      <c r="Q267" s="5"/>
      <c r="R267" s="5"/>
      <c r="S267" s="5"/>
      <c r="T267" s="5"/>
      <c r="U267" s="5">
        <v>3</v>
      </c>
      <c r="V267" s="5" t="s">
        <v>87</v>
      </c>
      <c r="W267" s="5">
        <v>3</v>
      </c>
      <c r="X267" s="5">
        <v>3</v>
      </c>
      <c r="Y267" s="5">
        <v>3</v>
      </c>
      <c r="Z267" s="5">
        <v>3</v>
      </c>
      <c r="AA267" s="5">
        <v>3</v>
      </c>
      <c r="AB267" s="5">
        <v>3</v>
      </c>
      <c r="AC267" s="5">
        <v>3</v>
      </c>
      <c r="AD267" s="5">
        <v>3</v>
      </c>
      <c r="AE267" s="5">
        <v>3</v>
      </c>
      <c r="AF267" s="5">
        <v>3</v>
      </c>
      <c r="AG267" s="5">
        <v>3</v>
      </c>
      <c r="AH267" s="5">
        <v>3</v>
      </c>
      <c r="AI267" s="5">
        <v>3</v>
      </c>
      <c r="AJ267" s="5">
        <v>3</v>
      </c>
      <c r="AK267" s="5">
        <v>3</v>
      </c>
      <c r="AL267" s="5">
        <v>3</v>
      </c>
      <c r="AM267" s="5">
        <v>3</v>
      </c>
      <c r="AN267" s="5">
        <v>3</v>
      </c>
      <c r="AO267" s="5">
        <v>3</v>
      </c>
      <c r="AP267" s="5">
        <v>3</v>
      </c>
      <c r="AQ267" s="5">
        <v>3</v>
      </c>
      <c r="AR267" s="5">
        <v>3</v>
      </c>
      <c r="AS267" s="5">
        <v>3</v>
      </c>
      <c r="AT267" s="5">
        <v>3</v>
      </c>
      <c r="AU267" s="5">
        <v>3</v>
      </c>
      <c r="AV267" s="5">
        <v>3</v>
      </c>
      <c r="AW267" s="5">
        <v>3</v>
      </c>
      <c r="AX267" s="5">
        <v>3</v>
      </c>
      <c r="AY267" s="5">
        <v>3</v>
      </c>
      <c r="AZ267" s="5">
        <v>3</v>
      </c>
      <c r="BA267" s="5">
        <v>3</v>
      </c>
      <c r="BB267" s="5"/>
      <c r="BC267" s="5"/>
      <c r="BD267" s="5"/>
      <c r="BF267">
        <f>ROWS($U$46:U267)</f>
        <v>222</v>
      </c>
      <c r="BG267" t="str">
        <f t="shared" si="140"/>
        <v/>
      </c>
      <c r="DB267" s="10">
        <v>1288721</v>
      </c>
      <c r="DE267" s="10">
        <v>1165838</v>
      </c>
      <c r="DF267" s="10" t="s">
        <v>2272</v>
      </c>
      <c r="DG267" s="10" t="s">
        <v>2272</v>
      </c>
      <c r="DH267" s="10">
        <v>13</v>
      </c>
      <c r="DI267" s="10">
        <v>1313</v>
      </c>
      <c r="DJ267" s="10" t="s">
        <v>2025</v>
      </c>
      <c r="DL267" s="10" t="s">
        <v>1985</v>
      </c>
      <c r="DO267" s="10">
        <v>360</v>
      </c>
      <c r="DR267" s="805" t="str">
        <f t="shared" si="143"/>
        <v xml:space="preserve">1313 MT </v>
      </c>
      <c r="DS267" s="37">
        <f t="shared" si="141"/>
        <v>0</v>
      </c>
      <c r="EE267" s="10">
        <f t="shared" si="139"/>
        <v>0</v>
      </c>
      <c r="EF267">
        <f>ROWS($DE$2:DE267)</f>
        <v>266</v>
      </c>
      <c r="EG267" t="str">
        <f t="shared" si="115"/>
        <v/>
      </c>
      <c r="EJ267" t="str">
        <f t="shared" si="116"/>
        <v/>
      </c>
      <c r="EM267" t="str">
        <f t="shared" si="117"/>
        <v/>
      </c>
      <c r="EP267" t="str">
        <f t="shared" si="118"/>
        <v/>
      </c>
      <c r="ES267" t="str">
        <f t="shared" si="119"/>
        <v/>
      </c>
      <c r="EV267" t="str">
        <f t="shared" si="120"/>
        <v/>
      </c>
      <c r="EY267" t="str">
        <f t="shared" si="121"/>
        <v/>
      </c>
      <c r="FB267" t="str">
        <f t="shared" si="122"/>
        <v/>
      </c>
      <c r="FE267" t="str">
        <f t="shared" si="123"/>
        <v/>
      </c>
      <c r="FH267" t="str">
        <f t="shared" si="124"/>
        <v/>
      </c>
      <c r="FK267" t="str">
        <f t="shared" si="125"/>
        <v/>
      </c>
      <c r="FN267" t="str">
        <f t="shared" si="126"/>
        <v/>
      </c>
      <c r="FQ267" t="str">
        <f t="shared" si="127"/>
        <v/>
      </c>
      <c r="FT267" t="str">
        <f t="shared" si="128"/>
        <v/>
      </c>
      <c r="FW267" t="str">
        <f t="shared" si="129"/>
        <v/>
      </c>
      <c r="FZ267" t="str">
        <f t="shared" si="130"/>
        <v/>
      </c>
      <c r="GC267" t="str">
        <f t="shared" si="131"/>
        <v/>
      </c>
      <c r="GE267" s="155"/>
    </row>
    <row r="268" spans="4:187" ht="15" customHeight="1" x14ac:dyDescent="0.35">
      <c r="D268" s="671"/>
      <c r="L268" s="10">
        <v>1269308</v>
      </c>
      <c r="O268" s="5">
        <v>2</v>
      </c>
      <c r="P268" s="5"/>
      <c r="Q268" s="5"/>
      <c r="R268" s="5"/>
      <c r="S268" s="5"/>
      <c r="T268" s="5"/>
      <c r="U268" s="5">
        <v>3</v>
      </c>
      <c r="V268" s="5" t="s">
        <v>88</v>
      </c>
      <c r="W268" s="5">
        <v>3</v>
      </c>
      <c r="X268" s="5">
        <v>3</v>
      </c>
      <c r="Y268" s="5">
        <v>3</v>
      </c>
      <c r="Z268" s="5">
        <v>3</v>
      </c>
      <c r="AA268" s="5">
        <v>3</v>
      </c>
      <c r="AB268" s="5">
        <v>3</v>
      </c>
      <c r="AC268" s="5">
        <v>3</v>
      </c>
      <c r="AD268" s="5">
        <v>3</v>
      </c>
      <c r="AE268" s="5">
        <v>3</v>
      </c>
      <c r="AF268" s="5">
        <v>3</v>
      </c>
      <c r="AG268" s="5">
        <v>3</v>
      </c>
      <c r="AH268" s="5">
        <v>3</v>
      </c>
      <c r="AI268" s="5">
        <v>3</v>
      </c>
      <c r="AJ268" s="5">
        <v>3</v>
      </c>
      <c r="AK268" s="5">
        <v>3</v>
      </c>
      <c r="AL268" s="5">
        <v>3</v>
      </c>
      <c r="AM268" s="5">
        <v>3</v>
      </c>
      <c r="AN268" s="5">
        <v>3</v>
      </c>
      <c r="AO268" s="5">
        <v>3</v>
      </c>
      <c r="AP268" s="5">
        <v>3</v>
      </c>
      <c r="AQ268" s="5">
        <v>3</v>
      </c>
      <c r="AR268" s="5">
        <v>3</v>
      </c>
      <c r="AS268" s="5">
        <v>3</v>
      </c>
      <c r="AT268" s="5">
        <v>3</v>
      </c>
      <c r="AU268" s="5">
        <v>3</v>
      </c>
      <c r="AV268" s="5">
        <v>3</v>
      </c>
      <c r="AW268" s="5">
        <v>3</v>
      </c>
      <c r="AX268" s="5">
        <v>3</v>
      </c>
      <c r="AY268" s="5">
        <v>3</v>
      </c>
      <c r="AZ268" s="5">
        <v>3</v>
      </c>
      <c r="BA268" s="5">
        <v>3</v>
      </c>
      <c r="BB268" s="5"/>
      <c r="BC268" s="5"/>
      <c r="BD268" s="5"/>
      <c r="BF268">
        <f>ROWS($U$46:U268)</f>
        <v>223</v>
      </c>
      <c r="BG268" t="str">
        <f t="shared" si="140"/>
        <v/>
      </c>
      <c r="DB268" s="10">
        <v>1290837</v>
      </c>
      <c r="DE268" s="10">
        <v>1071262</v>
      </c>
      <c r="DF268" s="10" t="s">
        <v>2273</v>
      </c>
      <c r="DG268" s="10" t="s">
        <v>2273</v>
      </c>
      <c r="DH268" s="10">
        <v>13</v>
      </c>
      <c r="DI268" s="10">
        <v>1308</v>
      </c>
      <c r="DJ268" s="10" t="s">
        <v>2274</v>
      </c>
      <c r="DL268" s="10" t="s">
        <v>2066</v>
      </c>
      <c r="DO268" s="10">
        <v>360</v>
      </c>
      <c r="DR268" s="805" t="str">
        <f t="shared" si="143"/>
        <v xml:space="preserve">1308 CT80NLM </v>
      </c>
      <c r="DS268" s="37">
        <f t="shared" si="141"/>
        <v>0</v>
      </c>
      <c r="EE268" s="10">
        <f t="shared" si="139"/>
        <v>0</v>
      </c>
      <c r="EF268">
        <f>ROWS($DE$2:DE268)</f>
        <v>267</v>
      </c>
      <c r="EG268" t="str">
        <f t="shared" ref="EG268:EG300" si="144">IF($CY$60&lt;&gt;0,IF($CY$60=DE268,EF268,""),"")</f>
        <v/>
      </c>
      <c r="EJ268" t="str">
        <f t="shared" ref="EJ268:EJ300" si="145">IF($CY$61&lt;&gt;0,IF($CY$61=DE268,EF268,""),"")</f>
        <v/>
      </c>
      <c r="EM268" t="str">
        <f t="shared" ref="EM268:EM300" si="146">IF($CY$62&lt;&gt;0,IF($CY$62=DE268,EF268,""),"")</f>
        <v/>
      </c>
      <c r="EP268" t="str">
        <f t="shared" ref="EP268:EP300" si="147">IF($CY$63&lt;&gt;0,IF($CY$63=DE268,EF268,""),"")</f>
        <v/>
      </c>
      <c r="ES268" t="str">
        <f t="shared" ref="ES268:ES300" si="148">IF($CY$64&lt;&gt;0,IF($CY$64=DE268,EF268,""),"")</f>
        <v/>
      </c>
      <c r="EV268" t="str">
        <f t="shared" ref="EV268:EV300" si="149">IF($CY$65&lt;&gt;0,IF($CY$65=DE268,EF268,""),"")</f>
        <v/>
      </c>
      <c r="EY268" t="str">
        <f t="shared" ref="EY268:EY300" si="150">IF($CY$66&lt;&gt;0,IF($CY$66=DE268,EF268,""),"")</f>
        <v/>
      </c>
      <c r="FB268" t="str">
        <f t="shared" ref="FB268:FB300" si="151">IF($CY$67&lt;&gt;0,IF($CY$67=DE268,EF268,""),"")</f>
        <v/>
      </c>
      <c r="FE268" t="str">
        <f t="shared" ref="FE268:FE300" si="152">IF($CY$68&lt;&gt;0,IF($CY$68=DE268,EF268,""),"")</f>
        <v/>
      </c>
      <c r="FH268" t="str">
        <f t="shared" ref="FH268:FH300" si="153">IF($CY$69&lt;&gt;0,IF($CY$69=DE268,EF268,""),"")</f>
        <v/>
      </c>
      <c r="FK268" t="str">
        <f t="shared" ref="FK268:FK300" si="154">IF($CY$70&lt;&gt;0, IF($CY$70=DE268, EF268, ""), "")</f>
        <v/>
      </c>
      <c r="FN268" t="str">
        <f t="shared" ref="FN268:FN300" si="155">IF($CY$71&lt;&gt;0, IF($CY$71=DE268, EF268, ""), "")</f>
        <v/>
      </c>
      <c r="FQ268" t="str">
        <f t="shared" ref="FQ268:FQ300" si="156">IF($CY$72&lt;&gt;0, IF($CY$72=DE268, EF268, ""), "")</f>
        <v/>
      </c>
      <c r="FT268" t="str">
        <f t="shared" ref="FT268:FT300" si="157">IF($CY$73&lt;&gt;0, IF($CY$73=DE268, EF268, ""), "")</f>
        <v/>
      </c>
      <c r="FW268" t="str">
        <f t="shared" ref="FW268:FW300" si="158">IF($CY$74&lt;&gt;0, IF($CY$74=DE268, EF268, ""), "")</f>
        <v/>
      </c>
      <c r="FZ268" t="str">
        <f t="shared" ref="FZ268:FZ300" si="159">IF($CY$75&lt;&gt;0, IF($CY$75=DE268, EF268, ""), "")</f>
        <v/>
      </c>
      <c r="GC268" t="str">
        <f t="shared" ref="GC268:GC300" si="160">IF($CY$76&lt;&gt;0, IF($CY$76=DE268, EF268, ""), "")</f>
        <v/>
      </c>
      <c r="GE268" s="155"/>
    </row>
    <row r="269" spans="4:187" ht="15" customHeight="1" x14ac:dyDescent="0.35">
      <c r="D269" s="671"/>
      <c r="L269" s="10">
        <v>1249569</v>
      </c>
      <c r="O269" s="5">
        <v>3</v>
      </c>
      <c r="P269" s="5"/>
      <c r="Q269" s="5"/>
      <c r="R269" s="5"/>
      <c r="S269" s="5"/>
      <c r="T269" s="5"/>
      <c r="U269" s="5">
        <v>3</v>
      </c>
      <c r="V269" s="5" t="s">
        <v>89</v>
      </c>
      <c r="W269" s="5">
        <v>3</v>
      </c>
      <c r="X269" s="5">
        <v>3</v>
      </c>
      <c r="Y269" s="5">
        <v>3</v>
      </c>
      <c r="Z269" s="5">
        <v>3</v>
      </c>
      <c r="AA269" s="5">
        <v>3</v>
      </c>
      <c r="AB269" s="5">
        <v>3</v>
      </c>
      <c r="AC269" s="5">
        <v>3</v>
      </c>
      <c r="AD269" s="5">
        <v>3</v>
      </c>
      <c r="AE269" s="5">
        <v>3</v>
      </c>
      <c r="AF269" s="5">
        <v>3</v>
      </c>
      <c r="AG269" s="5">
        <v>3</v>
      </c>
      <c r="AH269" s="5">
        <v>3</v>
      </c>
      <c r="AI269" s="5">
        <v>3</v>
      </c>
      <c r="AJ269" s="5">
        <v>3</v>
      </c>
      <c r="AK269" s="5">
        <v>3</v>
      </c>
      <c r="AL269" s="5">
        <v>3</v>
      </c>
      <c r="AM269" s="5">
        <v>3</v>
      </c>
      <c r="AN269" s="5">
        <v>3</v>
      </c>
      <c r="AO269" s="5">
        <v>3</v>
      </c>
      <c r="AP269" s="5">
        <v>3</v>
      </c>
      <c r="AQ269" s="5">
        <v>3</v>
      </c>
      <c r="AR269" s="5">
        <v>3</v>
      </c>
      <c r="AS269" s="5">
        <v>3</v>
      </c>
      <c r="AT269" s="5">
        <v>3</v>
      </c>
      <c r="AU269" s="5">
        <v>3</v>
      </c>
      <c r="AV269" s="5">
        <v>3</v>
      </c>
      <c r="AW269" s="5">
        <v>3</v>
      </c>
      <c r="AX269" s="5">
        <v>3</v>
      </c>
      <c r="AY269" s="5">
        <v>3</v>
      </c>
      <c r="AZ269" s="5">
        <v>3</v>
      </c>
      <c r="BA269" s="5">
        <v>3</v>
      </c>
      <c r="BB269" s="5"/>
      <c r="BC269" s="5"/>
      <c r="BD269" s="5"/>
      <c r="BF269">
        <f>ROWS($U$46:U269)</f>
        <v>224</v>
      </c>
      <c r="BG269" t="str">
        <f t="shared" si="140"/>
        <v/>
      </c>
      <c r="DB269" s="10">
        <v>1263929</v>
      </c>
      <c r="DE269" s="10">
        <v>1146742</v>
      </c>
      <c r="DF269" s="10" t="s">
        <v>2288</v>
      </c>
      <c r="DG269" s="10" t="s">
        <v>2288</v>
      </c>
      <c r="DH269" s="10">
        <v>19</v>
      </c>
      <c r="DI269" s="10">
        <v>1913</v>
      </c>
      <c r="DJ269" s="10" t="s">
        <v>1231</v>
      </c>
      <c r="DL269" s="10" t="s">
        <v>2278</v>
      </c>
      <c r="DO269" s="10">
        <v>660</v>
      </c>
      <c r="DR269" s="805" t="str">
        <f t="shared" ref="DR269:DR278" si="161">DI269 &amp; " " &amp; DJ269 &amp; " " &amp; DK269</f>
        <v xml:space="preserve">1913 CT418 </v>
      </c>
      <c r="DS269" s="37">
        <f t="shared" si="141"/>
        <v>331.2088</v>
      </c>
      <c r="DT269" s="10">
        <v>254.77599999999998</v>
      </c>
      <c r="EE269" s="10">
        <f t="shared" si="139"/>
        <v>0</v>
      </c>
      <c r="EF269">
        <f>ROWS($DE$2:DE269)</f>
        <v>268</v>
      </c>
      <c r="EG269" t="str">
        <f t="shared" si="144"/>
        <v/>
      </c>
      <c r="EJ269" t="str">
        <f t="shared" si="145"/>
        <v/>
      </c>
      <c r="EM269" t="str">
        <f t="shared" si="146"/>
        <v/>
      </c>
      <c r="EP269" t="str">
        <f t="shared" si="147"/>
        <v/>
      </c>
      <c r="ES269" t="str">
        <f t="shared" si="148"/>
        <v/>
      </c>
      <c r="EV269" t="str">
        <f t="shared" si="149"/>
        <v/>
      </c>
      <c r="EY269" t="str">
        <f t="shared" si="150"/>
        <v/>
      </c>
      <c r="FB269" t="str">
        <f t="shared" si="151"/>
        <v/>
      </c>
      <c r="FE269" t="str">
        <f t="shared" si="152"/>
        <v/>
      </c>
      <c r="FH269" t="str">
        <f t="shared" si="153"/>
        <v/>
      </c>
      <c r="FK269" t="str">
        <f t="shared" si="154"/>
        <v/>
      </c>
      <c r="FN269" t="str">
        <f t="shared" si="155"/>
        <v/>
      </c>
      <c r="FQ269" t="str">
        <f t="shared" si="156"/>
        <v/>
      </c>
      <c r="FT269" t="str">
        <f t="shared" si="157"/>
        <v/>
      </c>
      <c r="FW269" t="str">
        <f t="shared" si="158"/>
        <v/>
      </c>
      <c r="FZ269" t="str">
        <f t="shared" si="159"/>
        <v/>
      </c>
      <c r="GC269" t="str">
        <f t="shared" si="160"/>
        <v/>
      </c>
      <c r="GE269" s="155"/>
    </row>
    <row r="270" spans="4:187" ht="15" customHeight="1" x14ac:dyDescent="0.35">
      <c r="D270" s="671"/>
      <c r="L270" s="10">
        <v>1251085</v>
      </c>
      <c r="O270" s="5">
        <v>4</v>
      </c>
      <c r="P270" s="5"/>
      <c r="Q270" s="5"/>
      <c r="R270" s="5"/>
      <c r="S270" s="5"/>
      <c r="T270" s="5"/>
      <c r="U270" s="5">
        <v>3</v>
      </c>
      <c r="V270" s="5" t="s">
        <v>90</v>
      </c>
      <c r="W270" s="5">
        <v>3</v>
      </c>
      <c r="X270" s="5">
        <v>3</v>
      </c>
      <c r="Y270" s="5">
        <v>3</v>
      </c>
      <c r="Z270" s="5">
        <v>3</v>
      </c>
      <c r="AA270" s="5">
        <v>3</v>
      </c>
      <c r="AB270" s="5">
        <v>3</v>
      </c>
      <c r="AC270" s="5">
        <v>3</v>
      </c>
      <c r="AD270" s="5">
        <v>3</v>
      </c>
      <c r="AE270" s="5">
        <v>3</v>
      </c>
      <c r="AF270" s="5">
        <v>3</v>
      </c>
      <c r="AG270" s="5">
        <v>3</v>
      </c>
      <c r="AH270" s="5">
        <v>3</v>
      </c>
      <c r="AI270" s="5">
        <v>3</v>
      </c>
      <c r="AJ270" s="5">
        <v>3</v>
      </c>
      <c r="AK270" s="5">
        <v>3</v>
      </c>
      <c r="AL270" s="5">
        <v>3</v>
      </c>
      <c r="AM270" s="5">
        <v>3</v>
      </c>
      <c r="AN270" s="5">
        <v>3</v>
      </c>
      <c r="AO270" s="5">
        <v>3</v>
      </c>
      <c r="AP270" s="5">
        <v>3</v>
      </c>
      <c r="AQ270" s="5">
        <v>3</v>
      </c>
      <c r="AR270" s="5">
        <v>3</v>
      </c>
      <c r="AS270" s="5">
        <v>3</v>
      </c>
      <c r="AT270" s="5">
        <v>3</v>
      </c>
      <c r="AU270" s="5">
        <v>3</v>
      </c>
      <c r="AV270" s="5">
        <v>3</v>
      </c>
      <c r="AW270" s="5">
        <v>3</v>
      </c>
      <c r="AX270" s="5">
        <v>3</v>
      </c>
      <c r="AY270" s="5">
        <v>3</v>
      </c>
      <c r="AZ270" s="5">
        <v>3</v>
      </c>
      <c r="BA270" s="5">
        <v>3</v>
      </c>
      <c r="BB270" s="5"/>
      <c r="BC270" s="5"/>
      <c r="BD270" s="5"/>
      <c r="BF270">
        <f>ROWS($U$46:U270)</f>
        <v>225</v>
      </c>
      <c r="BG270" t="str">
        <f t="shared" si="140"/>
        <v/>
      </c>
      <c r="DB270" s="10">
        <v>2001060</v>
      </c>
      <c r="DE270" s="10">
        <v>1100739</v>
      </c>
      <c r="DF270" s="10" t="s">
        <v>2290</v>
      </c>
      <c r="DG270" s="10" t="s">
        <v>2290</v>
      </c>
      <c r="DH270" s="10">
        <v>16</v>
      </c>
      <c r="DI270" s="10">
        <v>1608</v>
      </c>
      <c r="DJ270" s="10" t="s">
        <v>1231</v>
      </c>
      <c r="DL270" s="10" t="s">
        <v>2072</v>
      </c>
      <c r="DO270" s="10">
        <v>497</v>
      </c>
      <c r="DR270" s="805" t="str">
        <f t="shared" si="161"/>
        <v xml:space="preserve">1608 CT418 </v>
      </c>
      <c r="DS270" s="37">
        <f t="shared" si="141"/>
        <v>332.50880000000001</v>
      </c>
      <c r="DT270" s="10">
        <v>255.77600000000001</v>
      </c>
      <c r="EE270" s="10">
        <f t="shared" si="139"/>
        <v>0</v>
      </c>
      <c r="EF270">
        <f>ROWS($DE$2:DE270)</f>
        <v>269</v>
      </c>
      <c r="EG270" t="str">
        <f t="shared" si="144"/>
        <v/>
      </c>
      <c r="EJ270" t="str">
        <f t="shared" si="145"/>
        <v/>
      </c>
      <c r="EM270" t="str">
        <f t="shared" si="146"/>
        <v/>
      </c>
      <c r="EP270" t="str">
        <f t="shared" si="147"/>
        <v/>
      </c>
      <c r="ES270" t="str">
        <f t="shared" si="148"/>
        <v/>
      </c>
      <c r="EV270" t="str">
        <f t="shared" si="149"/>
        <v/>
      </c>
      <c r="EY270" t="str">
        <f t="shared" si="150"/>
        <v/>
      </c>
      <c r="FB270" t="str">
        <f t="shared" si="151"/>
        <v/>
      </c>
      <c r="FE270" t="str">
        <f t="shared" si="152"/>
        <v/>
      </c>
      <c r="FH270" t="str">
        <f t="shared" si="153"/>
        <v/>
      </c>
      <c r="FK270" t="str">
        <f t="shared" si="154"/>
        <v/>
      </c>
      <c r="FN270" t="str">
        <f t="shared" si="155"/>
        <v/>
      </c>
      <c r="FQ270" t="str">
        <f t="shared" si="156"/>
        <v/>
      </c>
      <c r="FT270" t="str">
        <f t="shared" si="157"/>
        <v/>
      </c>
      <c r="FW270" t="str">
        <f t="shared" si="158"/>
        <v/>
      </c>
      <c r="FZ270" t="str">
        <f t="shared" si="159"/>
        <v/>
      </c>
      <c r="GC270" t="str">
        <f t="shared" si="160"/>
        <v/>
      </c>
      <c r="GE270" s="155"/>
    </row>
    <row r="271" spans="4:187" ht="15" customHeight="1" x14ac:dyDescent="0.35">
      <c r="D271" s="671"/>
      <c r="L271" s="10">
        <v>1251098</v>
      </c>
      <c r="O271" s="5">
        <v>5</v>
      </c>
      <c r="P271" s="5"/>
      <c r="Q271" s="5"/>
      <c r="R271" s="5"/>
      <c r="S271" s="5"/>
      <c r="T271" s="5"/>
      <c r="U271" s="5">
        <v>3</v>
      </c>
      <c r="V271" s="5" t="s">
        <v>91</v>
      </c>
      <c r="W271" s="5">
        <v>3</v>
      </c>
      <c r="X271" s="5">
        <v>3</v>
      </c>
      <c r="Y271" s="5">
        <v>3</v>
      </c>
      <c r="Z271" s="5">
        <v>3</v>
      </c>
      <c r="AA271" s="5">
        <v>3</v>
      </c>
      <c r="AB271" s="5">
        <v>3</v>
      </c>
      <c r="AC271" s="5">
        <v>3</v>
      </c>
      <c r="AD271" s="5">
        <v>3</v>
      </c>
      <c r="AE271" s="5">
        <v>3</v>
      </c>
      <c r="AF271" s="5">
        <v>3</v>
      </c>
      <c r="AG271" s="5">
        <v>3</v>
      </c>
      <c r="AH271" s="5">
        <v>3</v>
      </c>
      <c r="AI271" s="5">
        <v>3</v>
      </c>
      <c r="AJ271" s="5">
        <v>3</v>
      </c>
      <c r="AK271" s="5">
        <v>3</v>
      </c>
      <c r="AL271" s="5">
        <v>3</v>
      </c>
      <c r="AM271" s="5">
        <v>3</v>
      </c>
      <c r="AN271" s="5">
        <v>3</v>
      </c>
      <c r="AO271" s="5">
        <v>3</v>
      </c>
      <c r="AP271" s="5">
        <v>3</v>
      </c>
      <c r="AQ271" s="5">
        <v>3</v>
      </c>
      <c r="AR271" s="5">
        <v>3</v>
      </c>
      <c r="AS271" s="5">
        <v>3</v>
      </c>
      <c r="AT271" s="5">
        <v>3</v>
      </c>
      <c r="AU271" s="5">
        <v>3</v>
      </c>
      <c r="AV271" s="5">
        <v>3</v>
      </c>
      <c r="AW271" s="5">
        <v>3</v>
      </c>
      <c r="AX271" s="5">
        <v>3</v>
      </c>
      <c r="AY271" s="5">
        <v>3</v>
      </c>
      <c r="AZ271" s="5">
        <v>3</v>
      </c>
      <c r="BA271" s="5">
        <v>3</v>
      </c>
      <c r="BB271" s="5"/>
      <c r="BC271" s="5"/>
      <c r="BD271" s="5"/>
      <c r="BF271">
        <f>ROWS($U$46:U271)</f>
        <v>226</v>
      </c>
      <c r="BG271" t="str">
        <f t="shared" si="140"/>
        <v/>
      </c>
      <c r="DB271" s="10">
        <v>1288783</v>
      </c>
      <c r="DE271" s="10">
        <v>1261615</v>
      </c>
      <c r="DF271" s="10" t="s">
        <v>2293</v>
      </c>
      <c r="DG271" s="10" t="s">
        <v>2293</v>
      </c>
      <c r="DH271" s="10">
        <v>16</v>
      </c>
      <c r="DI271" s="10">
        <v>1613</v>
      </c>
      <c r="DJ271" s="10" t="s">
        <v>2294</v>
      </c>
      <c r="DL271" s="10" t="s">
        <v>1985</v>
      </c>
      <c r="DO271" s="10">
        <v>497</v>
      </c>
      <c r="DR271" s="805" t="str">
        <f t="shared" si="161"/>
        <v xml:space="preserve">1613 CT172R </v>
      </c>
      <c r="DS271" s="37">
        <f t="shared" ref="DS271:DS296" si="162">DT271*1.3</f>
        <v>333.80880000000002</v>
      </c>
      <c r="DT271" s="10">
        <v>256.77600000000001</v>
      </c>
      <c r="EE271" s="10">
        <f t="shared" si="139"/>
        <v>0</v>
      </c>
      <c r="EF271">
        <f>ROWS($DE$2:DE271)</f>
        <v>270</v>
      </c>
      <c r="EG271" t="str">
        <f t="shared" si="144"/>
        <v/>
      </c>
      <c r="EJ271" t="str">
        <f t="shared" si="145"/>
        <v/>
      </c>
      <c r="EM271" t="str">
        <f t="shared" si="146"/>
        <v/>
      </c>
      <c r="EP271" t="str">
        <f t="shared" si="147"/>
        <v/>
      </c>
      <c r="ES271" t="str">
        <f t="shared" si="148"/>
        <v/>
      </c>
      <c r="EV271" t="str">
        <f t="shared" si="149"/>
        <v/>
      </c>
      <c r="EY271" t="str">
        <f t="shared" si="150"/>
        <v/>
      </c>
      <c r="FB271" t="str">
        <f t="shared" si="151"/>
        <v/>
      </c>
      <c r="FE271" t="str">
        <f t="shared" si="152"/>
        <v/>
      </c>
      <c r="FH271" t="str">
        <f t="shared" si="153"/>
        <v/>
      </c>
      <c r="FK271" t="str">
        <f t="shared" si="154"/>
        <v/>
      </c>
      <c r="FN271" t="str">
        <f t="shared" si="155"/>
        <v/>
      </c>
      <c r="FQ271" t="str">
        <f t="shared" si="156"/>
        <v/>
      </c>
      <c r="FT271" t="str">
        <f t="shared" si="157"/>
        <v/>
      </c>
      <c r="FW271" t="str">
        <f t="shared" si="158"/>
        <v/>
      </c>
      <c r="FZ271" t="str">
        <f t="shared" si="159"/>
        <v/>
      </c>
      <c r="GC271" t="str">
        <f t="shared" si="160"/>
        <v/>
      </c>
      <c r="GE271" s="155"/>
    </row>
    <row r="272" spans="4:187" ht="15" customHeight="1" x14ac:dyDescent="0.35">
      <c r="D272" s="671"/>
      <c r="L272" s="10">
        <v>1252149</v>
      </c>
      <c r="O272" s="5">
        <v>6</v>
      </c>
      <c r="P272" s="5"/>
      <c r="Q272" s="5"/>
      <c r="R272" s="5"/>
      <c r="S272" s="5"/>
      <c r="T272" s="5"/>
      <c r="U272" s="5">
        <v>3</v>
      </c>
      <c r="V272" s="5" t="s">
        <v>92</v>
      </c>
      <c r="W272" s="5">
        <v>3</v>
      </c>
      <c r="X272" s="5">
        <v>3</v>
      </c>
      <c r="Y272" s="5">
        <v>3</v>
      </c>
      <c r="Z272" s="5">
        <v>3</v>
      </c>
      <c r="AA272" s="5">
        <v>3</v>
      </c>
      <c r="AB272" s="5">
        <v>3</v>
      </c>
      <c r="AC272" s="5">
        <v>3</v>
      </c>
      <c r="AD272" s="5">
        <v>3</v>
      </c>
      <c r="AE272" s="5">
        <v>3</v>
      </c>
      <c r="AF272" s="5">
        <v>3</v>
      </c>
      <c r="AG272" s="5">
        <v>3</v>
      </c>
      <c r="AH272" s="5">
        <v>3</v>
      </c>
      <c r="AI272" s="5">
        <v>3</v>
      </c>
      <c r="AJ272" s="5">
        <v>3</v>
      </c>
      <c r="AK272" s="5">
        <v>3</v>
      </c>
      <c r="AL272" s="5">
        <v>3</v>
      </c>
      <c r="AM272" s="5">
        <v>3</v>
      </c>
      <c r="AN272" s="5">
        <v>3</v>
      </c>
      <c r="AO272" s="5">
        <v>3</v>
      </c>
      <c r="AP272" s="5">
        <v>3</v>
      </c>
      <c r="AQ272" s="5">
        <v>3</v>
      </c>
      <c r="AR272" s="5">
        <v>3</v>
      </c>
      <c r="AS272" s="5">
        <v>3</v>
      </c>
      <c r="AT272" s="5">
        <v>3</v>
      </c>
      <c r="AU272" s="5">
        <v>3</v>
      </c>
      <c r="AV272" s="5">
        <v>3</v>
      </c>
      <c r="AW272" s="5">
        <v>3</v>
      </c>
      <c r="AX272" s="5">
        <v>3</v>
      </c>
      <c r="AY272" s="5">
        <v>3</v>
      </c>
      <c r="AZ272" s="5">
        <v>3</v>
      </c>
      <c r="BA272" s="5">
        <v>3</v>
      </c>
      <c r="BB272" s="5"/>
      <c r="BC272" s="5"/>
      <c r="BD272" s="5"/>
      <c r="BF272">
        <f>ROWS($U$46:U272)</f>
        <v>227</v>
      </c>
      <c r="BG272" t="str">
        <f t="shared" si="140"/>
        <v/>
      </c>
      <c r="DB272" s="10">
        <v>1282369</v>
      </c>
      <c r="DE272" s="10">
        <v>1163820</v>
      </c>
      <c r="DF272" s="10" t="s">
        <v>2295</v>
      </c>
      <c r="DG272" s="10" t="s">
        <v>2295</v>
      </c>
      <c r="DH272" s="10">
        <v>16</v>
      </c>
      <c r="DI272" s="10">
        <v>1613</v>
      </c>
      <c r="DJ272" s="10" t="s">
        <v>1994</v>
      </c>
      <c r="DL272" s="10" t="s">
        <v>2072</v>
      </c>
      <c r="DO272" s="10">
        <v>497</v>
      </c>
      <c r="DR272" s="805" t="str">
        <f t="shared" si="161"/>
        <v xml:space="preserve">1613 CT156 </v>
      </c>
      <c r="DS272" s="37">
        <f t="shared" si="162"/>
        <v>335.10880000000003</v>
      </c>
      <c r="DT272" s="10">
        <v>257.77600000000001</v>
      </c>
      <c r="EE272" s="10">
        <f t="shared" si="139"/>
        <v>0</v>
      </c>
      <c r="EF272">
        <f>ROWS($DE$2:DE272)</f>
        <v>271</v>
      </c>
      <c r="EG272" t="str">
        <f t="shared" si="144"/>
        <v/>
      </c>
      <c r="EJ272" t="str">
        <f t="shared" si="145"/>
        <v/>
      </c>
      <c r="EM272" t="str">
        <f t="shared" si="146"/>
        <v/>
      </c>
      <c r="EP272" t="str">
        <f t="shared" si="147"/>
        <v/>
      </c>
      <c r="ES272" t="str">
        <f t="shared" si="148"/>
        <v/>
      </c>
      <c r="EV272" t="str">
        <f t="shared" si="149"/>
        <v/>
      </c>
      <c r="EY272" t="str">
        <f t="shared" si="150"/>
        <v/>
      </c>
      <c r="FB272" t="str">
        <f t="shared" si="151"/>
        <v/>
      </c>
      <c r="FE272" t="str">
        <f t="shared" si="152"/>
        <v/>
      </c>
      <c r="FH272" t="str">
        <f t="shared" si="153"/>
        <v/>
      </c>
      <c r="FK272" t="str">
        <f t="shared" si="154"/>
        <v/>
      </c>
      <c r="FN272" t="str">
        <f t="shared" si="155"/>
        <v/>
      </c>
      <c r="FQ272" t="str">
        <f t="shared" si="156"/>
        <v/>
      </c>
      <c r="FT272" t="str">
        <f t="shared" si="157"/>
        <v/>
      </c>
      <c r="FW272" t="str">
        <f t="shared" si="158"/>
        <v/>
      </c>
      <c r="FZ272" t="str">
        <f t="shared" si="159"/>
        <v/>
      </c>
      <c r="GC272" t="str">
        <f t="shared" si="160"/>
        <v/>
      </c>
      <c r="GE272" s="155"/>
    </row>
    <row r="273" spans="4:187" ht="15" customHeight="1" x14ac:dyDescent="0.35">
      <c r="D273" s="671"/>
      <c r="L273" s="10">
        <v>1254482</v>
      </c>
      <c r="O273" s="5">
        <v>7</v>
      </c>
      <c r="P273" s="5"/>
      <c r="Q273" s="5"/>
      <c r="R273" s="5"/>
      <c r="S273" s="5"/>
      <c r="T273" s="5"/>
      <c r="U273" s="5">
        <v>3</v>
      </c>
      <c r="V273" s="5" t="s">
        <v>111</v>
      </c>
      <c r="W273" s="5">
        <v>3</v>
      </c>
      <c r="X273" s="5">
        <v>3</v>
      </c>
      <c r="Y273" s="5">
        <v>3</v>
      </c>
      <c r="Z273" s="5">
        <v>3</v>
      </c>
      <c r="AA273" s="5">
        <v>3</v>
      </c>
      <c r="AB273" s="5">
        <v>3</v>
      </c>
      <c r="AC273" s="5">
        <v>3</v>
      </c>
      <c r="AD273" s="5">
        <v>3</v>
      </c>
      <c r="AE273" s="5">
        <v>3</v>
      </c>
      <c r="AF273" s="5">
        <v>3</v>
      </c>
      <c r="AG273" s="5">
        <v>3</v>
      </c>
      <c r="AH273" s="5">
        <v>3</v>
      </c>
      <c r="AI273" s="5">
        <v>3</v>
      </c>
      <c r="AJ273" s="5">
        <v>3</v>
      </c>
      <c r="AK273" s="5">
        <v>3</v>
      </c>
      <c r="AL273" s="5">
        <v>3</v>
      </c>
      <c r="AM273" s="5">
        <v>3</v>
      </c>
      <c r="AN273" s="5">
        <v>3</v>
      </c>
      <c r="AO273" s="5">
        <v>3</v>
      </c>
      <c r="AP273" s="5">
        <v>3</v>
      </c>
      <c r="AQ273" s="5">
        <v>3</v>
      </c>
      <c r="AR273" s="5">
        <v>3</v>
      </c>
      <c r="AS273" s="5">
        <v>3</v>
      </c>
      <c r="AT273" s="5">
        <v>3</v>
      </c>
      <c r="AU273" s="5">
        <v>3</v>
      </c>
      <c r="AV273" s="5">
        <v>3</v>
      </c>
      <c r="AW273" s="5">
        <v>3</v>
      </c>
      <c r="AX273" s="5">
        <v>3</v>
      </c>
      <c r="AY273" s="5">
        <v>3</v>
      </c>
      <c r="AZ273" s="5">
        <v>3</v>
      </c>
      <c r="BA273" s="5">
        <v>3</v>
      </c>
      <c r="BB273" s="5"/>
      <c r="BC273" s="5"/>
      <c r="BD273" s="5"/>
      <c r="BF273">
        <f>ROWS($U$46:U273)</f>
        <v>228</v>
      </c>
      <c r="BG273" t="str">
        <f t="shared" si="140"/>
        <v/>
      </c>
      <c r="DB273" s="10">
        <v>1186963</v>
      </c>
      <c r="DE273" s="10">
        <v>653400</v>
      </c>
      <c r="DF273" s="10" t="s">
        <v>2304</v>
      </c>
      <c r="DG273" s="10" t="s">
        <v>2304</v>
      </c>
      <c r="DH273" s="10">
        <v>13</v>
      </c>
      <c r="DI273" s="10" t="s">
        <v>2043</v>
      </c>
      <c r="DJ273" s="10" t="s">
        <v>101</v>
      </c>
      <c r="DL273" s="10" t="s">
        <v>2072</v>
      </c>
      <c r="DO273" s="10">
        <v>360</v>
      </c>
      <c r="DR273" s="805" t="str">
        <f t="shared" si="161"/>
        <v xml:space="preserve">13MM CT200 </v>
      </c>
      <c r="DS273" s="37">
        <f t="shared" si="162"/>
        <v>336.40880000000004</v>
      </c>
      <c r="DT273" s="10">
        <v>258.77600000000001</v>
      </c>
      <c r="EE273" s="10">
        <f t="shared" si="139"/>
        <v>0</v>
      </c>
      <c r="EF273">
        <f>ROWS($DE$2:DE273)</f>
        <v>272</v>
      </c>
      <c r="EG273" t="str">
        <f t="shared" si="144"/>
        <v/>
      </c>
      <c r="EJ273" t="str">
        <f t="shared" si="145"/>
        <v/>
      </c>
      <c r="EM273" t="str">
        <f t="shared" si="146"/>
        <v/>
      </c>
      <c r="EP273" t="str">
        <f t="shared" si="147"/>
        <v/>
      </c>
      <c r="ES273" t="str">
        <f t="shared" si="148"/>
        <v/>
      </c>
      <c r="EV273" t="str">
        <f t="shared" si="149"/>
        <v/>
      </c>
      <c r="EY273" t="str">
        <f t="shared" si="150"/>
        <v/>
      </c>
      <c r="FB273" t="str">
        <f t="shared" si="151"/>
        <v/>
      </c>
      <c r="FE273" t="str">
        <f t="shared" si="152"/>
        <v/>
      </c>
      <c r="FH273" t="str">
        <f t="shared" si="153"/>
        <v/>
      </c>
      <c r="FK273" t="str">
        <f t="shared" si="154"/>
        <v/>
      </c>
      <c r="FN273" t="str">
        <f t="shared" si="155"/>
        <v/>
      </c>
      <c r="FQ273" t="str">
        <f t="shared" si="156"/>
        <v/>
      </c>
      <c r="FT273" t="str">
        <f t="shared" si="157"/>
        <v/>
      </c>
      <c r="FW273" t="str">
        <f t="shared" si="158"/>
        <v/>
      </c>
      <c r="FZ273" t="str">
        <f t="shared" si="159"/>
        <v/>
      </c>
      <c r="GC273" t="str">
        <f t="shared" si="160"/>
        <v/>
      </c>
      <c r="GE273" s="155"/>
    </row>
    <row r="274" spans="4:187" ht="15" customHeight="1" x14ac:dyDescent="0.35">
      <c r="D274" s="671"/>
      <c r="L274" s="10" t="s">
        <v>1247</v>
      </c>
      <c r="O274" s="5">
        <v>8</v>
      </c>
      <c r="P274" s="5"/>
      <c r="Q274" s="5"/>
      <c r="R274" s="5"/>
      <c r="S274" s="5"/>
      <c r="T274" s="5"/>
      <c r="U274" s="5">
        <v>3</v>
      </c>
      <c r="V274" s="5" t="s">
        <v>112</v>
      </c>
      <c r="W274" s="5">
        <v>3</v>
      </c>
      <c r="X274" s="5">
        <v>3</v>
      </c>
      <c r="Y274" s="5">
        <v>3</v>
      </c>
      <c r="Z274" s="5">
        <v>3</v>
      </c>
      <c r="AA274" s="5">
        <v>3</v>
      </c>
      <c r="AB274" s="5">
        <v>3</v>
      </c>
      <c r="AC274" s="5">
        <v>3</v>
      </c>
      <c r="AD274" s="5">
        <v>3</v>
      </c>
      <c r="AE274" s="5">
        <v>3</v>
      </c>
      <c r="AF274" s="5">
        <v>3</v>
      </c>
      <c r="AG274" s="5">
        <v>3</v>
      </c>
      <c r="AH274" s="5">
        <v>3</v>
      </c>
      <c r="AI274" s="5">
        <v>3</v>
      </c>
      <c r="AJ274" s="5">
        <v>3</v>
      </c>
      <c r="AK274" s="5">
        <v>3</v>
      </c>
      <c r="AL274" s="5">
        <v>3</v>
      </c>
      <c r="AM274" s="5">
        <v>3</v>
      </c>
      <c r="AN274" s="5">
        <v>3</v>
      </c>
      <c r="AO274" s="5">
        <v>3</v>
      </c>
      <c r="AP274" s="5">
        <v>3</v>
      </c>
      <c r="AQ274" s="5">
        <v>3</v>
      </c>
      <c r="AR274" s="5">
        <v>3</v>
      </c>
      <c r="AS274" s="5">
        <v>3</v>
      </c>
      <c r="AT274" s="5">
        <v>3</v>
      </c>
      <c r="AU274" s="5">
        <v>3</v>
      </c>
      <c r="AV274" s="5">
        <v>3</v>
      </c>
      <c r="AW274" s="5">
        <v>3</v>
      </c>
      <c r="AX274" s="5">
        <v>3</v>
      </c>
      <c r="AY274" s="5">
        <v>3</v>
      </c>
      <c r="AZ274" s="5">
        <v>3</v>
      </c>
      <c r="BA274" s="5">
        <v>3</v>
      </c>
      <c r="BB274" s="5"/>
      <c r="BC274" s="5"/>
      <c r="BD274" s="5"/>
      <c r="BF274">
        <f>ROWS($U$46:U274)</f>
        <v>229</v>
      </c>
      <c r="BG274" t="str">
        <f t="shared" si="140"/>
        <v/>
      </c>
      <c r="DB274" s="10">
        <v>2013726</v>
      </c>
      <c r="DE274" s="10">
        <v>1288721</v>
      </c>
      <c r="DF274" s="10" t="s">
        <v>2313</v>
      </c>
      <c r="DG274" s="10" t="s">
        <v>2313</v>
      </c>
      <c r="DH274" s="10">
        <v>16</v>
      </c>
      <c r="DI274" s="10">
        <v>1613</v>
      </c>
      <c r="DJ274" s="10" t="s">
        <v>2314</v>
      </c>
      <c r="DL274" s="10" t="s">
        <v>2225</v>
      </c>
      <c r="DO274" s="10">
        <v>497</v>
      </c>
      <c r="DR274" s="805" t="str">
        <f t="shared" si="161"/>
        <v xml:space="preserve">1613 CT176 </v>
      </c>
      <c r="DS274" s="37">
        <f t="shared" si="162"/>
        <v>337.70880000000005</v>
      </c>
      <c r="DT274" s="10">
        <v>259.77600000000001</v>
      </c>
      <c r="EE274" s="10">
        <f t="shared" si="139"/>
        <v>0</v>
      </c>
      <c r="EF274">
        <f>ROWS($DE$2:DE274)</f>
        <v>273</v>
      </c>
      <c r="EG274" t="str">
        <f t="shared" si="144"/>
        <v/>
      </c>
      <c r="EJ274" t="str">
        <f t="shared" si="145"/>
        <v/>
      </c>
      <c r="EM274" t="str">
        <f t="shared" si="146"/>
        <v/>
      </c>
      <c r="EP274" t="str">
        <f t="shared" si="147"/>
        <v/>
      </c>
      <c r="ES274" t="str">
        <f t="shared" si="148"/>
        <v/>
      </c>
      <c r="EV274" t="str">
        <f t="shared" si="149"/>
        <v/>
      </c>
      <c r="EY274" t="str">
        <f t="shared" si="150"/>
        <v/>
      </c>
      <c r="FB274" t="str">
        <f t="shared" si="151"/>
        <v/>
      </c>
      <c r="FE274" t="str">
        <f t="shared" si="152"/>
        <v/>
      </c>
      <c r="FH274" t="str">
        <f t="shared" si="153"/>
        <v/>
      </c>
      <c r="FK274" t="str">
        <f t="shared" si="154"/>
        <v/>
      </c>
      <c r="FN274" t="str">
        <f t="shared" si="155"/>
        <v/>
      </c>
      <c r="FQ274" t="str">
        <f t="shared" si="156"/>
        <v/>
      </c>
      <c r="FT274" t="str">
        <f t="shared" si="157"/>
        <v/>
      </c>
      <c r="FW274" t="str">
        <f t="shared" si="158"/>
        <v/>
      </c>
      <c r="FZ274" t="str">
        <f t="shared" si="159"/>
        <v/>
      </c>
      <c r="GC274" t="str">
        <f t="shared" si="160"/>
        <v/>
      </c>
      <c r="GE274" s="155"/>
    </row>
    <row r="275" spans="4:187" ht="15" customHeight="1" x14ac:dyDescent="0.35">
      <c r="D275" s="671"/>
      <c r="L275" s="10" t="s">
        <v>1470</v>
      </c>
      <c r="O275" s="5">
        <v>9</v>
      </c>
      <c r="P275" s="5"/>
      <c r="Q275" s="5"/>
      <c r="R275" s="5"/>
      <c r="S275" s="5"/>
      <c r="T275" s="5"/>
      <c r="U275" s="5">
        <v>3</v>
      </c>
      <c r="V275" s="5" t="s">
        <v>113</v>
      </c>
      <c r="W275" s="5">
        <v>3</v>
      </c>
      <c r="X275" s="5">
        <v>3</v>
      </c>
      <c r="Y275" s="5">
        <v>3</v>
      </c>
      <c r="Z275" s="5">
        <v>3</v>
      </c>
      <c r="AA275" s="5">
        <v>3</v>
      </c>
      <c r="AB275" s="5">
        <v>3</v>
      </c>
      <c r="AC275" s="5">
        <v>3</v>
      </c>
      <c r="AD275" s="5">
        <v>3</v>
      </c>
      <c r="AE275" s="5">
        <v>3</v>
      </c>
      <c r="AF275" s="5">
        <v>3</v>
      </c>
      <c r="AG275" s="5">
        <v>3</v>
      </c>
      <c r="AH275" s="5">
        <v>3</v>
      </c>
      <c r="AI275" s="5">
        <v>3</v>
      </c>
      <c r="AJ275" s="5">
        <v>3</v>
      </c>
      <c r="AK275" s="5">
        <v>3</v>
      </c>
      <c r="AL275" s="5">
        <v>3</v>
      </c>
      <c r="AM275" s="5">
        <v>3</v>
      </c>
      <c r="AN275" s="5">
        <v>3</v>
      </c>
      <c r="AO275" s="5">
        <v>3</v>
      </c>
      <c r="AP275" s="5">
        <v>3</v>
      </c>
      <c r="AQ275" s="5">
        <v>3</v>
      </c>
      <c r="AR275" s="5">
        <v>3</v>
      </c>
      <c r="AS275" s="5">
        <v>3</v>
      </c>
      <c r="AT275" s="5">
        <v>3</v>
      </c>
      <c r="AU275" s="5">
        <v>3</v>
      </c>
      <c r="AV275" s="5">
        <v>3</v>
      </c>
      <c r="AW275" s="5">
        <v>3</v>
      </c>
      <c r="AX275" s="5">
        <v>3</v>
      </c>
      <c r="AY275" s="5">
        <v>3</v>
      </c>
      <c r="AZ275" s="5">
        <v>3</v>
      </c>
      <c r="BA275" s="5">
        <v>3</v>
      </c>
      <c r="BB275" s="5"/>
      <c r="BC275" s="5"/>
      <c r="BD275" s="5"/>
      <c r="BF275">
        <f>ROWS($U$46:U275)</f>
        <v>230</v>
      </c>
      <c r="BG275" t="str">
        <f t="shared" si="140"/>
        <v/>
      </c>
      <c r="DB275" s="10">
        <v>1201518</v>
      </c>
      <c r="DE275" s="10">
        <v>1290837</v>
      </c>
      <c r="DF275" s="10" t="s">
        <v>2318</v>
      </c>
      <c r="DG275" s="10" t="s">
        <v>2318</v>
      </c>
      <c r="DH275" s="10">
        <v>16</v>
      </c>
      <c r="DI275" s="10">
        <v>1613</v>
      </c>
      <c r="DJ275" s="10" t="s">
        <v>2319</v>
      </c>
      <c r="DL275" s="10" t="s">
        <v>1985</v>
      </c>
      <c r="DO275" s="10">
        <v>497</v>
      </c>
      <c r="DR275" s="805" t="str">
        <f t="shared" si="161"/>
        <v xml:space="preserve">1613 CT184R </v>
      </c>
      <c r="DS275" s="37">
        <f t="shared" si="162"/>
        <v>339.00880000000001</v>
      </c>
      <c r="DT275" s="10">
        <v>260.77600000000001</v>
      </c>
      <c r="EE275" s="10">
        <f t="shared" si="139"/>
        <v>0</v>
      </c>
      <c r="EF275">
        <f>ROWS($DE$2:DE275)</f>
        <v>274</v>
      </c>
      <c r="EG275" t="str">
        <f t="shared" si="144"/>
        <v/>
      </c>
      <c r="EJ275" t="str">
        <f t="shared" si="145"/>
        <v/>
      </c>
      <c r="EM275" t="str">
        <f t="shared" si="146"/>
        <v/>
      </c>
      <c r="EP275" t="str">
        <f t="shared" si="147"/>
        <v/>
      </c>
      <c r="ES275" t="str">
        <f t="shared" si="148"/>
        <v/>
      </c>
      <c r="EV275" t="str">
        <f t="shared" si="149"/>
        <v/>
      </c>
      <c r="EY275" t="str">
        <f t="shared" si="150"/>
        <v/>
      </c>
      <c r="FB275" t="str">
        <f t="shared" si="151"/>
        <v/>
      </c>
      <c r="FE275" t="str">
        <f t="shared" si="152"/>
        <v/>
      </c>
      <c r="FH275" t="str">
        <f t="shared" si="153"/>
        <v/>
      </c>
      <c r="FK275" t="str">
        <f t="shared" si="154"/>
        <v/>
      </c>
      <c r="FN275" t="str">
        <f t="shared" si="155"/>
        <v/>
      </c>
      <c r="FQ275" t="str">
        <f t="shared" si="156"/>
        <v/>
      </c>
      <c r="FT275" t="str">
        <f t="shared" si="157"/>
        <v/>
      </c>
      <c r="FW275" t="str">
        <f t="shared" si="158"/>
        <v/>
      </c>
      <c r="FZ275" t="str">
        <f t="shared" si="159"/>
        <v/>
      </c>
      <c r="GC275" t="str">
        <f t="shared" si="160"/>
        <v/>
      </c>
      <c r="GE275" s="155"/>
    </row>
    <row r="276" spans="4:187" ht="15" customHeight="1" x14ac:dyDescent="0.35">
      <c r="D276" s="671"/>
      <c r="L276" s="10" t="s">
        <v>74</v>
      </c>
      <c r="O276" s="5">
        <v>10</v>
      </c>
      <c r="P276" s="5"/>
      <c r="Q276" s="5"/>
      <c r="R276" s="5"/>
      <c r="S276" s="5"/>
      <c r="T276" s="5"/>
      <c r="U276" s="5">
        <v>3</v>
      </c>
      <c r="V276" s="5" t="s">
        <v>114</v>
      </c>
      <c r="W276" s="5">
        <v>3</v>
      </c>
      <c r="X276" s="5">
        <v>3</v>
      </c>
      <c r="Y276" s="5">
        <v>3</v>
      </c>
      <c r="Z276" s="5">
        <v>3</v>
      </c>
      <c r="AA276" s="5">
        <v>3</v>
      </c>
      <c r="AB276" s="5">
        <v>3</v>
      </c>
      <c r="AC276" s="5">
        <v>3</v>
      </c>
      <c r="AD276" s="5">
        <v>3</v>
      </c>
      <c r="AE276" s="5">
        <v>3</v>
      </c>
      <c r="AF276" s="5">
        <v>3</v>
      </c>
      <c r="AG276" s="5">
        <v>3</v>
      </c>
      <c r="AH276" s="5">
        <v>3</v>
      </c>
      <c r="AI276" s="5">
        <v>3</v>
      </c>
      <c r="AJ276" s="5">
        <v>3</v>
      </c>
      <c r="AK276" s="5">
        <v>3</v>
      </c>
      <c r="AL276" s="5">
        <v>3</v>
      </c>
      <c r="AM276" s="5">
        <v>3</v>
      </c>
      <c r="AN276" s="5">
        <v>3</v>
      </c>
      <c r="AO276" s="5">
        <v>3</v>
      </c>
      <c r="AP276" s="5">
        <v>3</v>
      </c>
      <c r="AQ276" s="5">
        <v>3</v>
      </c>
      <c r="AR276" s="5">
        <v>3</v>
      </c>
      <c r="AS276" s="5">
        <v>3</v>
      </c>
      <c r="AT276" s="5">
        <v>3</v>
      </c>
      <c r="AU276" s="5">
        <v>3</v>
      </c>
      <c r="AV276" s="5">
        <v>3</v>
      </c>
      <c r="AW276" s="5">
        <v>3</v>
      </c>
      <c r="AX276" s="5">
        <v>3</v>
      </c>
      <c r="AY276" s="5">
        <v>3</v>
      </c>
      <c r="AZ276" s="5">
        <v>3</v>
      </c>
      <c r="BA276" s="5">
        <v>3</v>
      </c>
      <c r="BB276" s="5"/>
      <c r="BC276" s="5"/>
      <c r="BD276" s="5"/>
      <c r="BF276">
        <f>ROWS($U$46:U276)</f>
        <v>231</v>
      </c>
      <c r="BG276" t="str">
        <f t="shared" si="140"/>
        <v/>
      </c>
      <c r="DB276" s="10">
        <v>1255773</v>
      </c>
      <c r="DE276" s="10">
        <v>1263929</v>
      </c>
      <c r="DF276" s="10" t="s">
        <v>2320</v>
      </c>
      <c r="DG276" s="10" t="s">
        <v>2320</v>
      </c>
      <c r="DH276" s="10">
        <v>16</v>
      </c>
      <c r="DI276" s="10">
        <v>1613</v>
      </c>
      <c r="DJ276" s="10" t="s">
        <v>2321</v>
      </c>
      <c r="DL276" s="10" t="s">
        <v>2225</v>
      </c>
      <c r="DO276" s="10">
        <v>497</v>
      </c>
      <c r="DR276" s="805" t="str">
        <f t="shared" si="161"/>
        <v xml:space="preserve">1613 CT437 </v>
      </c>
      <c r="DS276" s="37">
        <f t="shared" si="162"/>
        <v>340.30880000000002</v>
      </c>
      <c r="DT276" s="10">
        <v>261.77600000000001</v>
      </c>
      <c r="EE276" s="10">
        <f t="shared" si="139"/>
        <v>0</v>
      </c>
      <c r="EF276">
        <f>ROWS($DE$2:DE276)</f>
        <v>275</v>
      </c>
      <c r="EG276" t="str">
        <f t="shared" si="144"/>
        <v/>
      </c>
      <c r="EJ276" t="str">
        <f t="shared" si="145"/>
        <v/>
      </c>
      <c r="EM276" t="str">
        <f t="shared" si="146"/>
        <v/>
      </c>
      <c r="EP276" t="str">
        <f t="shared" si="147"/>
        <v/>
      </c>
      <c r="ES276" t="str">
        <f t="shared" si="148"/>
        <v/>
      </c>
      <c r="EV276" t="str">
        <f t="shared" si="149"/>
        <v/>
      </c>
      <c r="EY276" t="str">
        <f t="shared" si="150"/>
        <v/>
      </c>
      <c r="FB276" t="str">
        <f t="shared" si="151"/>
        <v/>
      </c>
      <c r="FE276" t="str">
        <f t="shared" si="152"/>
        <v/>
      </c>
      <c r="FH276" t="str">
        <f t="shared" si="153"/>
        <v/>
      </c>
      <c r="FK276" t="str">
        <f t="shared" si="154"/>
        <v/>
      </c>
      <c r="FN276" t="str">
        <f t="shared" si="155"/>
        <v/>
      </c>
      <c r="FQ276" t="str">
        <f t="shared" si="156"/>
        <v/>
      </c>
      <c r="FT276" t="str">
        <f t="shared" si="157"/>
        <v/>
      </c>
      <c r="FW276" t="str">
        <f t="shared" si="158"/>
        <v/>
      </c>
      <c r="FZ276" t="str">
        <f t="shared" si="159"/>
        <v/>
      </c>
      <c r="GC276" t="str">
        <f t="shared" si="160"/>
        <v/>
      </c>
      <c r="GE276" s="155"/>
    </row>
    <row r="277" spans="4:187" ht="15" customHeight="1" x14ac:dyDescent="0.35">
      <c r="D277" s="671"/>
      <c r="L277" s="10" t="s">
        <v>1226</v>
      </c>
      <c r="O277" s="5">
        <v>11</v>
      </c>
      <c r="P277" s="5"/>
      <c r="Q277" s="5"/>
      <c r="R277" s="5"/>
      <c r="S277" s="5"/>
      <c r="T277" s="5"/>
      <c r="U277" s="5">
        <v>3</v>
      </c>
      <c r="V277" s="5" t="s">
        <v>115</v>
      </c>
      <c r="W277" s="5">
        <v>3</v>
      </c>
      <c r="X277" s="5">
        <v>3</v>
      </c>
      <c r="Y277" s="5">
        <v>3</v>
      </c>
      <c r="Z277" s="5">
        <v>3</v>
      </c>
      <c r="AA277" s="5">
        <v>3</v>
      </c>
      <c r="AB277" s="5">
        <v>3</v>
      </c>
      <c r="AC277" s="5">
        <v>3</v>
      </c>
      <c r="AD277" s="5">
        <v>3</v>
      </c>
      <c r="AE277" s="5">
        <v>3</v>
      </c>
      <c r="AF277" s="5">
        <v>3</v>
      </c>
      <c r="AG277" s="5">
        <v>3</v>
      </c>
      <c r="AH277" s="5">
        <v>3</v>
      </c>
      <c r="AI277" s="5">
        <v>3</v>
      </c>
      <c r="AJ277" s="5">
        <v>3</v>
      </c>
      <c r="AK277" s="5">
        <v>3</v>
      </c>
      <c r="AL277" s="5">
        <v>3</v>
      </c>
      <c r="AM277" s="5">
        <v>3</v>
      </c>
      <c r="AN277" s="5">
        <v>3</v>
      </c>
      <c r="AO277" s="5">
        <v>3</v>
      </c>
      <c r="AP277" s="5">
        <v>3</v>
      </c>
      <c r="AQ277" s="5">
        <v>3</v>
      </c>
      <c r="AR277" s="5">
        <v>3</v>
      </c>
      <c r="AS277" s="5">
        <v>3</v>
      </c>
      <c r="AT277" s="5">
        <v>3</v>
      </c>
      <c r="AU277" s="5">
        <v>3</v>
      </c>
      <c r="AV277" s="5">
        <v>3</v>
      </c>
      <c r="AW277" s="5">
        <v>3</v>
      </c>
      <c r="AX277" s="5">
        <v>3</v>
      </c>
      <c r="AY277" s="5">
        <v>3</v>
      </c>
      <c r="AZ277" s="5">
        <v>3</v>
      </c>
      <c r="BA277" s="5">
        <v>3</v>
      </c>
      <c r="BB277" s="5"/>
      <c r="BC277" s="5"/>
      <c r="BD277" s="5"/>
      <c r="BF277">
        <f>ROWS($U$46:U277)</f>
        <v>232</v>
      </c>
      <c r="BG277" t="str">
        <f t="shared" si="140"/>
        <v/>
      </c>
      <c r="DB277" s="10">
        <v>1168064</v>
      </c>
      <c r="DE277" s="10">
        <v>2001060</v>
      </c>
      <c r="DF277" s="10" t="s">
        <v>2362</v>
      </c>
      <c r="DG277" s="10" t="s">
        <v>2362</v>
      </c>
      <c r="DH277" s="10">
        <v>16</v>
      </c>
      <c r="DI277" s="10">
        <v>1613</v>
      </c>
      <c r="DJ277" s="10" t="s">
        <v>2341</v>
      </c>
      <c r="DL277" s="10" t="s">
        <v>2159</v>
      </c>
      <c r="DO277" s="10">
        <v>497</v>
      </c>
      <c r="DR277" s="10" t="str">
        <f t="shared" si="161"/>
        <v xml:space="preserve">1613 CT179T </v>
      </c>
      <c r="DS277" s="37">
        <f t="shared" si="162"/>
        <v>341.60880000000003</v>
      </c>
      <c r="DT277" s="10">
        <v>262.77600000000001</v>
      </c>
      <c r="EE277" s="10">
        <f t="shared" si="139"/>
        <v>0</v>
      </c>
      <c r="EF277">
        <f>ROWS($DE$2:DE277)</f>
        <v>276</v>
      </c>
      <c r="EG277" t="str">
        <f t="shared" si="144"/>
        <v/>
      </c>
      <c r="EJ277" t="str">
        <f t="shared" si="145"/>
        <v/>
      </c>
      <c r="EM277" t="str">
        <f t="shared" si="146"/>
        <v/>
      </c>
      <c r="EP277" t="str">
        <f t="shared" si="147"/>
        <v/>
      </c>
      <c r="ES277" t="str">
        <f t="shared" si="148"/>
        <v/>
      </c>
      <c r="EV277" t="str">
        <f t="shared" si="149"/>
        <v/>
      </c>
      <c r="EY277" t="str">
        <f t="shared" si="150"/>
        <v/>
      </c>
      <c r="FB277" t="str">
        <f t="shared" si="151"/>
        <v/>
      </c>
      <c r="FE277" t="str">
        <f t="shared" si="152"/>
        <v/>
      </c>
      <c r="FH277" t="str">
        <f t="shared" si="153"/>
        <v/>
      </c>
      <c r="FK277" t="str">
        <f t="shared" si="154"/>
        <v/>
      </c>
      <c r="FN277" t="str">
        <f t="shared" si="155"/>
        <v/>
      </c>
      <c r="FQ277" t="str">
        <f t="shared" si="156"/>
        <v/>
      </c>
      <c r="FT277" t="str">
        <f t="shared" si="157"/>
        <v/>
      </c>
      <c r="FW277" t="str">
        <f t="shared" si="158"/>
        <v/>
      </c>
      <c r="FZ277" t="str">
        <f t="shared" si="159"/>
        <v/>
      </c>
      <c r="GC277" t="str">
        <f t="shared" si="160"/>
        <v/>
      </c>
      <c r="GE277" s="155"/>
    </row>
    <row r="278" spans="4:187" ht="15" customHeight="1" x14ac:dyDescent="0.35">
      <c r="D278" s="671"/>
      <c r="L278" s="10" t="s">
        <v>1304</v>
      </c>
      <c r="O278" s="5">
        <v>12</v>
      </c>
      <c r="P278" s="5"/>
      <c r="Q278" s="5"/>
      <c r="R278" s="5"/>
      <c r="S278" s="5"/>
      <c r="T278" s="5"/>
      <c r="U278" s="5">
        <v>3</v>
      </c>
      <c r="V278" s="5" t="s">
        <v>736</v>
      </c>
      <c r="W278" s="5">
        <v>3</v>
      </c>
      <c r="X278" s="5">
        <v>3</v>
      </c>
      <c r="Y278" s="5">
        <v>3</v>
      </c>
      <c r="Z278" s="5">
        <v>3</v>
      </c>
      <c r="AA278" s="5">
        <v>3</v>
      </c>
      <c r="AB278" s="5">
        <v>3</v>
      </c>
      <c r="AC278" s="5">
        <v>3</v>
      </c>
      <c r="AD278" s="5">
        <v>3</v>
      </c>
      <c r="AE278" s="5">
        <v>3</v>
      </c>
      <c r="AF278" s="5">
        <v>3</v>
      </c>
      <c r="AG278" s="5">
        <v>3</v>
      </c>
      <c r="AH278" s="5">
        <v>3</v>
      </c>
      <c r="AI278" s="5">
        <v>3</v>
      </c>
      <c r="AJ278" s="5">
        <v>3</v>
      </c>
      <c r="AK278" s="5">
        <v>3</v>
      </c>
      <c r="AL278" s="5">
        <v>3</v>
      </c>
      <c r="AM278" s="5">
        <v>3</v>
      </c>
      <c r="AN278" s="5">
        <v>3</v>
      </c>
      <c r="AO278" s="5">
        <v>3</v>
      </c>
      <c r="AP278" s="5">
        <v>3</v>
      </c>
      <c r="AQ278" s="5">
        <v>3</v>
      </c>
      <c r="AR278" s="5">
        <v>3</v>
      </c>
      <c r="AS278" s="5">
        <v>3</v>
      </c>
      <c r="AT278" s="5">
        <v>3</v>
      </c>
      <c r="AU278" s="5">
        <v>3</v>
      </c>
      <c r="AV278" s="5">
        <v>3</v>
      </c>
      <c r="AW278" s="5">
        <v>3</v>
      </c>
      <c r="AX278" s="5">
        <v>3</v>
      </c>
      <c r="AY278" s="5">
        <v>3</v>
      </c>
      <c r="AZ278" s="5">
        <v>3</v>
      </c>
      <c r="BA278" s="5">
        <v>3</v>
      </c>
      <c r="BB278" s="5"/>
      <c r="BC278" s="5"/>
      <c r="BD278" s="5"/>
      <c r="BF278">
        <f>ROWS($U$46:U278)</f>
        <v>233</v>
      </c>
      <c r="BG278" t="str">
        <f t="shared" si="140"/>
        <v/>
      </c>
      <c r="DB278" s="10">
        <v>1296685</v>
      </c>
      <c r="DE278" s="10">
        <v>1288783</v>
      </c>
      <c r="DF278" s="10" t="s">
        <v>2340</v>
      </c>
      <c r="DG278" s="10" t="s">
        <v>2340</v>
      </c>
      <c r="DH278" s="10">
        <v>16</v>
      </c>
      <c r="DI278" s="10">
        <v>1613</v>
      </c>
      <c r="DJ278" s="10" t="s">
        <v>2342</v>
      </c>
      <c r="DL278" s="10" t="s">
        <v>2165</v>
      </c>
      <c r="DO278" s="10">
        <v>497</v>
      </c>
      <c r="DR278" s="10" t="str">
        <f t="shared" si="161"/>
        <v xml:space="preserve">1613 CT179 </v>
      </c>
      <c r="DS278" s="37">
        <f t="shared" si="162"/>
        <v>342.90880000000004</v>
      </c>
      <c r="DT278" s="10">
        <v>263.77600000000001</v>
      </c>
      <c r="EE278" s="10">
        <f t="shared" si="139"/>
        <v>0</v>
      </c>
      <c r="EF278">
        <f>ROWS($DE$2:DE278)</f>
        <v>277</v>
      </c>
      <c r="EG278" t="str">
        <f t="shared" si="144"/>
        <v/>
      </c>
      <c r="EJ278" t="str">
        <f t="shared" si="145"/>
        <v/>
      </c>
      <c r="EM278" t="str">
        <f t="shared" si="146"/>
        <v/>
      </c>
      <c r="EP278" t="str">
        <f t="shared" si="147"/>
        <v/>
      </c>
      <c r="ES278" t="str">
        <f t="shared" si="148"/>
        <v/>
      </c>
      <c r="EV278" t="str">
        <f t="shared" si="149"/>
        <v/>
      </c>
      <c r="EY278" t="str">
        <f t="shared" si="150"/>
        <v/>
      </c>
      <c r="FB278" t="str">
        <f t="shared" si="151"/>
        <v/>
      </c>
      <c r="FE278" t="str">
        <f t="shared" si="152"/>
        <v/>
      </c>
      <c r="FH278" t="str">
        <f t="shared" si="153"/>
        <v/>
      </c>
      <c r="FK278" t="str">
        <f t="shared" si="154"/>
        <v/>
      </c>
      <c r="FN278" t="str">
        <f t="shared" si="155"/>
        <v/>
      </c>
      <c r="FQ278" t="str">
        <f t="shared" si="156"/>
        <v/>
      </c>
      <c r="FT278" t="str">
        <f t="shared" si="157"/>
        <v/>
      </c>
      <c r="FW278" t="str">
        <f t="shared" si="158"/>
        <v/>
      </c>
      <c r="FZ278" t="str">
        <f t="shared" si="159"/>
        <v/>
      </c>
      <c r="GC278" t="str">
        <f t="shared" si="160"/>
        <v/>
      </c>
      <c r="GE278" s="155"/>
    </row>
    <row r="279" spans="4:187" ht="15" customHeight="1" x14ac:dyDescent="0.35">
      <c r="D279" s="671"/>
      <c r="L279" s="10" t="s">
        <v>1863</v>
      </c>
      <c r="O279" s="5">
        <v>1</v>
      </c>
      <c r="P279" s="5"/>
      <c r="Q279" s="5"/>
      <c r="R279" s="5"/>
      <c r="S279" s="5"/>
      <c r="T279" s="5"/>
      <c r="U279" s="5">
        <v>4</v>
      </c>
      <c r="V279" s="5" t="s">
        <v>87</v>
      </c>
      <c r="W279" s="5">
        <v>4</v>
      </c>
      <c r="X279" s="5">
        <v>4</v>
      </c>
      <c r="Y279" s="5">
        <v>4</v>
      </c>
      <c r="Z279" s="5">
        <v>4</v>
      </c>
      <c r="AA279" s="5">
        <v>4</v>
      </c>
      <c r="AB279" s="5">
        <v>4</v>
      </c>
      <c r="AC279" s="5">
        <v>4</v>
      </c>
      <c r="AD279" s="5">
        <v>4</v>
      </c>
      <c r="AE279" s="5">
        <v>4</v>
      </c>
      <c r="AF279" s="5">
        <v>4</v>
      </c>
      <c r="AG279" s="5">
        <v>4</v>
      </c>
      <c r="AH279" s="5">
        <v>4</v>
      </c>
      <c r="AI279" s="5">
        <v>4</v>
      </c>
      <c r="AJ279" s="5">
        <v>4</v>
      </c>
      <c r="AK279" s="5">
        <v>4</v>
      </c>
      <c r="AL279" s="5">
        <v>4</v>
      </c>
      <c r="AM279" s="5">
        <v>4</v>
      </c>
      <c r="AN279" s="5">
        <v>4</v>
      </c>
      <c r="AO279" s="5">
        <v>4</v>
      </c>
      <c r="AP279" s="5">
        <v>4</v>
      </c>
      <c r="AQ279" s="5">
        <v>4</v>
      </c>
      <c r="AR279" s="5">
        <v>4</v>
      </c>
      <c r="AS279" s="5">
        <v>4</v>
      </c>
      <c r="AT279" s="5">
        <v>4</v>
      </c>
      <c r="AU279" s="5">
        <v>4</v>
      </c>
      <c r="AV279" s="5">
        <v>4</v>
      </c>
      <c r="AW279" s="5">
        <v>4</v>
      </c>
      <c r="AX279" s="5">
        <v>4</v>
      </c>
      <c r="AY279" s="5">
        <v>4</v>
      </c>
      <c r="AZ279" s="5">
        <v>4</v>
      </c>
      <c r="BA279" s="5">
        <v>4</v>
      </c>
      <c r="BB279" s="5"/>
      <c r="BC279" s="5"/>
      <c r="BD279" s="5"/>
      <c r="BF279">
        <f>ROWS($U$46:U279)</f>
        <v>234</v>
      </c>
      <c r="BG279" t="str">
        <f t="shared" si="140"/>
        <v/>
      </c>
      <c r="DB279" s="10">
        <v>2001155</v>
      </c>
      <c r="DE279" s="10">
        <v>1282369</v>
      </c>
      <c r="DF279" s="10" t="s">
        <v>2346</v>
      </c>
      <c r="DG279" s="10" t="s">
        <v>2346</v>
      </c>
      <c r="DH279" s="10">
        <v>13</v>
      </c>
      <c r="DI279" s="10">
        <v>1313</v>
      </c>
      <c r="DJ279" s="10" t="s">
        <v>2347</v>
      </c>
      <c r="DL279" s="10" t="s">
        <v>2159</v>
      </c>
      <c r="DO279" s="10">
        <v>360</v>
      </c>
      <c r="DR279" s="10" t="str">
        <f t="shared" ref="DR279:DR284" si="163">DI279 &amp; " " &amp; DJ279 &amp; " " &amp; DK279</f>
        <v xml:space="preserve">1313 CT436Mv3 </v>
      </c>
      <c r="DS279" s="37">
        <f t="shared" si="162"/>
        <v>344.20880000000005</v>
      </c>
      <c r="DT279" s="10">
        <v>264.77600000000001</v>
      </c>
      <c r="EE279" s="10">
        <f t="shared" si="139"/>
        <v>0</v>
      </c>
      <c r="EF279">
        <f>ROWS($DE$2:DE279)</f>
        <v>278</v>
      </c>
      <c r="EG279" t="str">
        <f t="shared" si="144"/>
        <v/>
      </c>
      <c r="EJ279" t="str">
        <f t="shared" si="145"/>
        <v/>
      </c>
      <c r="EM279" t="str">
        <f t="shared" si="146"/>
        <v/>
      </c>
      <c r="EP279" t="str">
        <f t="shared" si="147"/>
        <v/>
      </c>
      <c r="ES279" t="str">
        <f t="shared" si="148"/>
        <v/>
      </c>
      <c r="EV279" t="str">
        <f t="shared" si="149"/>
        <v/>
      </c>
      <c r="EY279" t="str">
        <f t="shared" si="150"/>
        <v/>
      </c>
      <c r="FB279" t="str">
        <f t="shared" si="151"/>
        <v/>
      </c>
      <c r="FE279" t="str">
        <f t="shared" si="152"/>
        <v/>
      </c>
      <c r="FH279" t="str">
        <f t="shared" si="153"/>
        <v/>
      </c>
      <c r="FK279" t="str">
        <f t="shared" si="154"/>
        <v/>
      </c>
      <c r="FN279" t="str">
        <f t="shared" si="155"/>
        <v/>
      </c>
      <c r="FQ279" t="str">
        <f t="shared" si="156"/>
        <v/>
      </c>
      <c r="FT279" t="str">
        <f t="shared" si="157"/>
        <v/>
      </c>
      <c r="FW279" t="str">
        <f t="shared" si="158"/>
        <v/>
      </c>
      <c r="FZ279" t="str">
        <f t="shared" si="159"/>
        <v/>
      </c>
      <c r="GC279" t="str">
        <f t="shared" si="160"/>
        <v/>
      </c>
      <c r="GE279" s="155"/>
    </row>
    <row r="280" spans="4:187" ht="15" customHeight="1" x14ac:dyDescent="0.35">
      <c r="D280" s="671"/>
      <c r="L280" s="10" t="s">
        <v>1459</v>
      </c>
      <c r="O280" s="5">
        <v>2</v>
      </c>
      <c r="P280" s="5"/>
      <c r="Q280" s="5"/>
      <c r="R280" s="5"/>
      <c r="S280" s="5"/>
      <c r="T280" s="5"/>
      <c r="U280" s="5">
        <v>4</v>
      </c>
      <c r="V280" s="5" t="s">
        <v>88</v>
      </c>
      <c r="W280" s="5">
        <v>4</v>
      </c>
      <c r="X280" s="5">
        <v>4</v>
      </c>
      <c r="Y280" s="5">
        <v>4</v>
      </c>
      <c r="Z280" s="5">
        <v>4</v>
      </c>
      <c r="AA280" s="5">
        <v>4</v>
      </c>
      <c r="AB280" s="5">
        <v>4</v>
      </c>
      <c r="AC280" s="5">
        <v>4</v>
      </c>
      <c r="AD280" s="5">
        <v>4</v>
      </c>
      <c r="AE280" s="5">
        <v>4</v>
      </c>
      <c r="AF280" s="5">
        <v>4</v>
      </c>
      <c r="AG280" s="5">
        <v>4</v>
      </c>
      <c r="AH280" s="5">
        <v>4</v>
      </c>
      <c r="AI280" s="5">
        <v>4</v>
      </c>
      <c r="AJ280" s="5">
        <v>4</v>
      </c>
      <c r="AK280" s="5">
        <v>4</v>
      </c>
      <c r="AL280" s="5">
        <v>4</v>
      </c>
      <c r="AM280" s="5">
        <v>4</v>
      </c>
      <c r="AN280" s="5">
        <v>4</v>
      </c>
      <c r="AO280" s="5">
        <v>4</v>
      </c>
      <c r="AP280" s="5">
        <v>4</v>
      </c>
      <c r="AQ280" s="5">
        <v>4</v>
      </c>
      <c r="AR280" s="5">
        <v>4</v>
      </c>
      <c r="AS280" s="5">
        <v>4</v>
      </c>
      <c r="AT280" s="5">
        <v>4</v>
      </c>
      <c r="AU280" s="5">
        <v>4</v>
      </c>
      <c r="AV280" s="5">
        <v>4</v>
      </c>
      <c r="AW280" s="5">
        <v>4</v>
      </c>
      <c r="AX280" s="5">
        <v>4</v>
      </c>
      <c r="AY280" s="5">
        <v>4</v>
      </c>
      <c r="AZ280" s="5">
        <v>4</v>
      </c>
      <c r="BA280" s="5">
        <v>4</v>
      </c>
      <c r="BB280" s="5"/>
      <c r="BC280" s="5"/>
      <c r="BD280" s="5"/>
      <c r="BF280">
        <f>ROWS($U$46:U280)</f>
        <v>235</v>
      </c>
      <c r="BG280" t="str">
        <f t="shared" si="140"/>
        <v/>
      </c>
      <c r="DB280" s="10">
        <v>1100694</v>
      </c>
      <c r="DE280" s="10">
        <v>1186963</v>
      </c>
      <c r="DF280" s="10" t="s">
        <v>2348</v>
      </c>
      <c r="DG280" s="10" t="s">
        <v>2348</v>
      </c>
      <c r="DH280" s="10">
        <v>13</v>
      </c>
      <c r="DI280" s="10">
        <v>1313</v>
      </c>
      <c r="DJ280" s="10" t="s">
        <v>2349</v>
      </c>
      <c r="DL280" s="10" t="s">
        <v>2350</v>
      </c>
      <c r="DO280" s="10">
        <v>360</v>
      </c>
      <c r="DR280" s="10" t="str">
        <f t="shared" si="163"/>
        <v xml:space="preserve">1313 CT182H </v>
      </c>
      <c r="DS280" s="37">
        <f t="shared" si="162"/>
        <v>345.50880000000001</v>
      </c>
      <c r="DT280" s="10">
        <v>265.77600000000001</v>
      </c>
      <c r="EE280" s="10">
        <f t="shared" si="139"/>
        <v>0</v>
      </c>
      <c r="EF280">
        <f>ROWS($DE$2:DE280)</f>
        <v>279</v>
      </c>
      <c r="EG280" t="str">
        <f t="shared" si="144"/>
        <v/>
      </c>
      <c r="EJ280" t="str">
        <f t="shared" si="145"/>
        <v/>
      </c>
      <c r="EM280" t="str">
        <f t="shared" si="146"/>
        <v/>
      </c>
      <c r="EP280" t="str">
        <f t="shared" si="147"/>
        <v/>
      </c>
      <c r="ES280" t="str">
        <f t="shared" si="148"/>
        <v/>
      </c>
      <c r="EV280" t="str">
        <f t="shared" si="149"/>
        <v/>
      </c>
      <c r="EY280" t="str">
        <f t="shared" si="150"/>
        <v/>
      </c>
      <c r="FB280" t="str">
        <f t="shared" si="151"/>
        <v/>
      </c>
      <c r="FE280" t="str">
        <f t="shared" si="152"/>
        <v/>
      </c>
      <c r="FH280" t="str">
        <f t="shared" si="153"/>
        <v/>
      </c>
      <c r="FK280" t="str">
        <f t="shared" si="154"/>
        <v/>
      </c>
      <c r="FN280" t="str">
        <f t="shared" si="155"/>
        <v/>
      </c>
      <c r="FQ280" t="str">
        <f t="shared" si="156"/>
        <v/>
      </c>
      <c r="FT280" t="str">
        <f t="shared" si="157"/>
        <v/>
      </c>
      <c r="FW280" t="str">
        <f t="shared" si="158"/>
        <v/>
      </c>
      <c r="FZ280" t="str">
        <f t="shared" si="159"/>
        <v/>
      </c>
      <c r="GC280" t="str">
        <f t="shared" si="160"/>
        <v/>
      </c>
      <c r="GE280" s="155"/>
    </row>
    <row r="281" spans="4:187" ht="15" customHeight="1" x14ac:dyDescent="0.35">
      <c r="D281" s="671"/>
      <c r="L281" s="10" t="s">
        <v>1928</v>
      </c>
      <c r="O281" s="5">
        <v>3</v>
      </c>
      <c r="P281" s="5"/>
      <c r="Q281" s="5"/>
      <c r="R281" s="5"/>
      <c r="S281" s="5"/>
      <c r="T281" s="5"/>
      <c r="U281" s="5">
        <v>4</v>
      </c>
      <c r="V281" s="5" t="s">
        <v>89</v>
      </c>
      <c r="W281" s="5">
        <v>4</v>
      </c>
      <c r="X281" s="5">
        <v>4</v>
      </c>
      <c r="Y281" s="5">
        <v>4</v>
      </c>
      <c r="Z281" s="5">
        <v>4</v>
      </c>
      <c r="AA281" s="5">
        <v>4</v>
      </c>
      <c r="AB281" s="5">
        <v>4</v>
      </c>
      <c r="AC281" s="5">
        <v>4</v>
      </c>
      <c r="AD281" s="5">
        <v>4</v>
      </c>
      <c r="AE281" s="5">
        <v>4</v>
      </c>
      <c r="AF281" s="5">
        <v>4</v>
      </c>
      <c r="AG281" s="5">
        <v>4</v>
      </c>
      <c r="AH281" s="5">
        <v>4</v>
      </c>
      <c r="AI281" s="5">
        <v>4</v>
      </c>
      <c r="AJ281" s="5">
        <v>4</v>
      </c>
      <c r="AK281" s="5">
        <v>4</v>
      </c>
      <c r="AL281" s="5">
        <v>4</v>
      </c>
      <c r="AM281" s="5">
        <v>4</v>
      </c>
      <c r="AN281" s="5">
        <v>4</v>
      </c>
      <c r="AO281" s="5">
        <v>4</v>
      </c>
      <c r="AP281" s="5">
        <v>4</v>
      </c>
      <c r="AQ281" s="5">
        <v>4</v>
      </c>
      <c r="AR281" s="5">
        <v>4</v>
      </c>
      <c r="AS281" s="5">
        <v>4</v>
      </c>
      <c r="AT281" s="5">
        <v>4</v>
      </c>
      <c r="AU281" s="5">
        <v>4</v>
      </c>
      <c r="AV281" s="5">
        <v>4</v>
      </c>
      <c r="AW281" s="5">
        <v>4</v>
      </c>
      <c r="AX281" s="5">
        <v>4</v>
      </c>
      <c r="AY281" s="5">
        <v>4</v>
      </c>
      <c r="AZ281" s="5">
        <v>4</v>
      </c>
      <c r="BA281" s="5">
        <v>4</v>
      </c>
      <c r="BB281" s="5"/>
      <c r="BC281" s="5"/>
      <c r="BD281" s="5"/>
      <c r="BF281">
        <f>ROWS($U$46:U281)</f>
        <v>236</v>
      </c>
      <c r="BG281" t="str">
        <f t="shared" si="140"/>
        <v/>
      </c>
      <c r="DB281" s="10">
        <v>1192901</v>
      </c>
      <c r="DE281" s="10">
        <v>2013726</v>
      </c>
      <c r="DF281" s="10" t="s">
        <v>2352</v>
      </c>
      <c r="DG281" s="10" t="s">
        <v>2352</v>
      </c>
      <c r="DH281" s="10">
        <v>19</v>
      </c>
      <c r="DI281" s="10">
        <v>1913</v>
      </c>
      <c r="DJ281" s="10" t="s">
        <v>2173</v>
      </c>
      <c r="DL281" s="10" t="s">
        <v>2225</v>
      </c>
      <c r="DO281" s="10">
        <v>660</v>
      </c>
      <c r="DR281" s="10" t="str">
        <f t="shared" si="163"/>
        <v xml:space="preserve">1913 CT170 </v>
      </c>
      <c r="DS281" s="37">
        <f t="shared" si="162"/>
        <v>346.80880000000002</v>
      </c>
      <c r="DT281" s="10">
        <v>266.77600000000001</v>
      </c>
      <c r="EE281" s="10">
        <f t="shared" si="139"/>
        <v>0</v>
      </c>
      <c r="EF281">
        <f>ROWS($DE$2:DE281)</f>
        <v>280</v>
      </c>
      <c r="EG281" t="str">
        <f t="shared" si="144"/>
        <v/>
      </c>
      <c r="EJ281" t="str">
        <f t="shared" si="145"/>
        <v/>
      </c>
      <c r="EM281" t="str">
        <f t="shared" si="146"/>
        <v/>
      </c>
      <c r="EP281" t="str">
        <f t="shared" si="147"/>
        <v/>
      </c>
      <c r="ES281" t="str">
        <f t="shared" si="148"/>
        <v/>
      </c>
      <c r="EV281" t="str">
        <f t="shared" si="149"/>
        <v/>
      </c>
      <c r="EY281" t="str">
        <f t="shared" si="150"/>
        <v/>
      </c>
      <c r="FB281" t="str">
        <f t="shared" si="151"/>
        <v/>
      </c>
      <c r="FE281" t="str">
        <f t="shared" si="152"/>
        <v/>
      </c>
      <c r="FH281" t="str">
        <f t="shared" si="153"/>
        <v/>
      </c>
      <c r="FK281" t="str">
        <f t="shared" si="154"/>
        <v/>
      </c>
      <c r="FN281" t="str">
        <f t="shared" si="155"/>
        <v/>
      </c>
      <c r="FQ281" t="str">
        <f t="shared" si="156"/>
        <v/>
      </c>
      <c r="FT281" t="str">
        <f t="shared" si="157"/>
        <v/>
      </c>
      <c r="FW281" t="str">
        <f t="shared" si="158"/>
        <v/>
      </c>
      <c r="FZ281" t="str">
        <f t="shared" si="159"/>
        <v/>
      </c>
      <c r="GC281" t="str">
        <f t="shared" si="160"/>
        <v/>
      </c>
      <c r="GE281" s="155"/>
    </row>
    <row r="282" spans="4:187" ht="15" customHeight="1" x14ac:dyDescent="0.35">
      <c r="D282" s="671"/>
      <c r="L282" s="10" t="s">
        <v>1379</v>
      </c>
      <c r="O282" s="5">
        <v>4</v>
      </c>
      <c r="P282" s="5"/>
      <c r="Q282" s="5"/>
      <c r="R282" s="5"/>
      <c r="S282" s="5"/>
      <c r="T282" s="5"/>
      <c r="U282" s="5">
        <v>4</v>
      </c>
      <c r="V282" s="5" t="s">
        <v>90</v>
      </c>
      <c r="W282" s="5">
        <v>4</v>
      </c>
      <c r="X282" s="5">
        <v>4</v>
      </c>
      <c r="Y282" s="5">
        <v>4</v>
      </c>
      <c r="Z282" s="5">
        <v>4</v>
      </c>
      <c r="AA282" s="5">
        <v>4</v>
      </c>
      <c r="AB282" s="5">
        <v>4</v>
      </c>
      <c r="AC282" s="5">
        <v>4</v>
      </c>
      <c r="AD282" s="5">
        <v>4</v>
      </c>
      <c r="AE282" s="5">
        <v>4</v>
      </c>
      <c r="AF282" s="5">
        <v>4</v>
      </c>
      <c r="AG282" s="5">
        <v>4</v>
      </c>
      <c r="AH282" s="5">
        <v>4</v>
      </c>
      <c r="AI282" s="5">
        <v>4</v>
      </c>
      <c r="AJ282" s="5">
        <v>4</v>
      </c>
      <c r="AK282" s="5">
        <v>4</v>
      </c>
      <c r="AL282" s="5">
        <v>4</v>
      </c>
      <c r="AM282" s="5">
        <v>4</v>
      </c>
      <c r="AN282" s="5">
        <v>4</v>
      </c>
      <c r="AO282" s="5">
        <v>4</v>
      </c>
      <c r="AP282" s="5">
        <v>4</v>
      </c>
      <c r="AQ282" s="5">
        <v>4</v>
      </c>
      <c r="AR282" s="5">
        <v>4</v>
      </c>
      <c r="AS282" s="5">
        <v>4</v>
      </c>
      <c r="AT282" s="5">
        <v>4</v>
      </c>
      <c r="AU282" s="5">
        <v>4</v>
      </c>
      <c r="AV282" s="5">
        <v>4</v>
      </c>
      <c r="AW282" s="5">
        <v>4</v>
      </c>
      <c r="AX282" s="5">
        <v>4</v>
      </c>
      <c r="AY282" s="5">
        <v>4</v>
      </c>
      <c r="AZ282" s="5">
        <v>4</v>
      </c>
      <c r="BA282" s="5">
        <v>4</v>
      </c>
      <c r="BB282" s="5"/>
      <c r="BC282" s="5"/>
      <c r="BD282" s="5"/>
      <c r="BF282">
        <f>ROWS($U$46:U282)</f>
        <v>237</v>
      </c>
      <c r="BG282" t="str">
        <f t="shared" si="140"/>
        <v/>
      </c>
      <c r="DB282" s="10">
        <v>1201518</v>
      </c>
      <c r="DE282" s="10">
        <v>1255773</v>
      </c>
      <c r="DF282" s="10" t="s">
        <v>2367</v>
      </c>
      <c r="DG282" s="10" t="s">
        <v>2354</v>
      </c>
      <c r="DH282" s="10">
        <v>16</v>
      </c>
      <c r="DI282" s="10">
        <v>1613</v>
      </c>
      <c r="DJ282" s="10" t="s">
        <v>1990</v>
      </c>
      <c r="DL282" s="10" t="s">
        <v>2355</v>
      </c>
      <c r="DO282" s="10">
        <v>497</v>
      </c>
      <c r="DR282" s="10" t="str">
        <f t="shared" si="163"/>
        <v xml:space="preserve">1613 CT154 </v>
      </c>
      <c r="DS282" s="37">
        <f t="shared" si="162"/>
        <v>348.10880000000003</v>
      </c>
      <c r="DT282" s="10">
        <v>267.77600000000001</v>
      </c>
      <c r="EE282" s="10">
        <f t="shared" si="139"/>
        <v>0</v>
      </c>
      <c r="EF282">
        <f>ROWS($DE$2:DE282)</f>
        <v>281</v>
      </c>
      <c r="EG282" t="str">
        <f t="shared" si="144"/>
        <v/>
      </c>
      <c r="EJ282" t="str">
        <f t="shared" si="145"/>
        <v/>
      </c>
      <c r="EM282" t="str">
        <f t="shared" si="146"/>
        <v/>
      </c>
      <c r="EP282" t="str">
        <f t="shared" si="147"/>
        <v/>
      </c>
      <c r="ES282" t="str">
        <f t="shared" si="148"/>
        <v/>
      </c>
      <c r="EV282" t="str">
        <f t="shared" si="149"/>
        <v/>
      </c>
      <c r="EY282" t="str">
        <f t="shared" si="150"/>
        <v/>
      </c>
      <c r="FB282" t="str">
        <f t="shared" si="151"/>
        <v/>
      </c>
      <c r="FE282" t="str">
        <f t="shared" si="152"/>
        <v/>
      </c>
      <c r="FH282" t="str">
        <f t="shared" si="153"/>
        <v/>
      </c>
      <c r="FK282" t="str">
        <f t="shared" si="154"/>
        <v/>
      </c>
      <c r="FN282" t="str">
        <f t="shared" si="155"/>
        <v/>
      </c>
      <c r="FQ282" t="str">
        <f t="shared" si="156"/>
        <v/>
      </c>
      <c r="FT282" t="str">
        <f t="shared" si="157"/>
        <v/>
      </c>
      <c r="FW282" t="str">
        <f t="shared" si="158"/>
        <v/>
      </c>
      <c r="FZ282" t="str">
        <f t="shared" si="159"/>
        <v/>
      </c>
      <c r="GC282" t="str">
        <f t="shared" si="160"/>
        <v/>
      </c>
      <c r="GE282" s="155"/>
    </row>
    <row r="283" spans="4:187" ht="15" customHeight="1" x14ac:dyDescent="0.35">
      <c r="D283" s="671"/>
      <c r="L283" s="10" t="s">
        <v>863</v>
      </c>
      <c r="O283" s="5">
        <v>5</v>
      </c>
      <c r="P283" s="5"/>
      <c r="Q283" s="5"/>
      <c r="R283" s="5"/>
      <c r="S283" s="5"/>
      <c r="T283" s="5"/>
      <c r="U283" s="5">
        <v>4</v>
      </c>
      <c r="V283" s="5" t="s">
        <v>91</v>
      </c>
      <c r="W283" s="5">
        <v>4</v>
      </c>
      <c r="X283" s="5">
        <v>4</v>
      </c>
      <c r="Y283" s="5">
        <v>4</v>
      </c>
      <c r="Z283" s="5">
        <v>4</v>
      </c>
      <c r="AA283" s="5">
        <v>4</v>
      </c>
      <c r="AB283" s="5">
        <v>4</v>
      </c>
      <c r="AC283" s="5">
        <v>4</v>
      </c>
      <c r="AD283" s="5">
        <v>4</v>
      </c>
      <c r="AE283" s="5">
        <v>4</v>
      </c>
      <c r="AF283" s="5">
        <v>4</v>
      </c>
      <c r="AG283" s="5">
        <v>4</v>
      </c>
      <c r="AH283" s="5">
        <v>4</v>
      </c>
      <c r="AI283" s="5">
        <v>4</v>
      </c>
      <c r="AJ283" s="5">
        <v>4</v>
      </c>
      <c r="AK283" s="5">
        <v>4</v>
      </c>
      <c r="AL283" s="5">
        <v>4</v>
      </c>
      <c r="AM283" s="5">
        <v>4</v>
      </c>
      <c r="AN283" s="5">
        <v>4</v>
      </c>
      <c r="AO283" s="5">
        <v>4</v>
      </c>
      <c r="AP283" s="5">
        <v>4</v>
      </c>
      <c r="AQ283" s="5">
        <v>4</v>
      </c>
      <c r="AR283" s="5">
        <v>4</v>
      </c>
      <c r="AS283" s="5">
        <v>4</v>
      </c>
      <c r="AT283" s="5">
        <v>4</v>
      </c>
      <c r="AU283" s="5">
        <v>4</v>
      </c>
      <c r="AV283" s="5">
        <v>4</v>
      </c>
      <c r="AW283" s="5">
        <v>4</v>
      </c>
      <c r="AX283" s="5">
        <v>4</v>
      </c>
      <c r="AY283" s="5">
        <v>4</v>
      </c>
      <c r="AZ283" s="5">
        <v>4</v>
      </c>
      <c r="BA283" s="5">
        <v>4</v>
      </c>
      <c r="BB283" s="5"/>
      <c r="BC283" s="5"/>
      <c r="BD283" s="5"/>
      <c r="BF283">
        <f>ROWS($U$46:U283)</f>
        <v>238</v>
      </c>
      <c r="BG283" t="str">
        <f t="shared" si="140"/>
        <v/>
      </c>
      <c r="DB283" s="10">
        <v>1274176</v>
      </c>
      <c r="DE283" s="10">
        <v>1168064</v>
      </c>
      <c r="DF283" s="10" t="s">
        <v>2356</v>
      </c>
      <c r="DG283" s="10" t="s">
        <v>2356</v>
      </c>
      <c r="DH283" s="10">
        <v>16</v>
      </c>
      <c r="DI283" s="10">
        <v>1613</v>
      </c>
      <c r="DJ283" s="10" t="s">
        <v>2357</v>
      </c>
      <c r="DL283" s="10" t="s">
        <v>2165</v>
      </c>
      <c r="DO283" s="10">
        <v>497</v>
      </c>
      <c r="DR283" s="10" t="str">
        <f t="shared" si="163"/>
        <v xml:space="preserve">1613 19C-60 PMT </v>
      </c>
      <c r="DS283" s="37">
        <f t="shared" si="162"/>
        <v>349.40880000000004</v>
      </c>
      <c r="DT283" s="10">
        <v>268.77600000000001</v>
      </c>
      <c r="EE283" s="10">
        <f t="shared" si="139"/>
        <v>0</v>
      </c>
      <c r="EF283">
        <f>ROWS($DE$2:DE283)</f>
        <v>282</v>
      </c>
      <c r="EG283" t="str">
        <f t="shared" si="144"/>
        <v/>
      </c>
      <c r="EJ283" t="str">
        <f t="shared" si="145"/>
        <v/>
      </c>
      <c r="EM283" t="str">
        <f t="shared" si="146"/>
        <v/>
      </c>
      <c r="EP283" t="str">
        <f t="shared" si="147"/>
        <v/>
      </c>
      <c r="ES283" t="str">
        <f t="shared" si="148"/>
        <v/>
      </c>
      <c r="EV283" t="str">
        <f t="shared" si="149"/>
        <v/>
      </c>
      <c r="EY283" t="str">
        <f t="shared" si="150"/>
        <v/>
      </c>
      <c r="FB283" t="str">
        <f t="shared" si="151"/>
        <v/>
      </c>
      <c r="FE283" t="str">
        <f t="shared" si="152"/>
        <v/>
      </c>
      <c r="FH283" t="str">
        <f t="shared" si="153"/>
        <v/>
      </c>
      <c r="FK283" t="str">
        <f t="shared" si="154"/>
        <v/>
      </c>
      <c r="FN283" t="str">
        <f t="shared" si="155"/>
        <v/>
      </c>
      <c r="FQ283" t="str">
        <f t="shared" si="156"/>
        <v/>
      </c>
      <c r="FT283" t="str">
        <f t="shared" si="157"/>
        <v/>
      </c>
      <c r="FW283" t="str">
        <f t="shared" si="158"/>
        <v/>
      </c>
      <c r="FZ283" t="str">
        <f t="shared" si="159"/>
        <v/>
      </c>
      <c r="GC283" t="str">
        <f t="shared" si="160"/>
        <v/>
      </c>
      <c r="GE283" s="155"/>
    </row>
    <row r="284" spans="4:187" ht="15" customHeight="1" x14ac:dyDescent="0.35">
      <c r="D284" s="671"/>
      <c r="L284" s="10" t="s">
        <v>864</v>
      </c>
      <c r="O284" s="5">
        <v>6</v>
      </c>
      <c r="P284" s="5"/>
      <c r="Q284" s="5"/>
      <c r="R284" s="5"/>
      <c r="S284" s="5"/>
      <c r="T284" s="5"/>
      <c r="U284" s="5">
        <v>4</v>
      </c>
      <c r="V284" s="5" t="s">
        <v>92</v>
      </c>
      <c r="W284" s="5">
        <v>4</v>
      </c>
      <c r="X284" s="5">
        <v>4</v>
      </c>
      <c r="Y284" s="5">
        <v>4</v>
      </c>
      <c r="Z284" s="5">
        <v>4</v>
      </c>
      <c r="AA284" s="5">
        <v>4</v>
      </c>
      <c r="AB284" s="5">
        <v>4</v>
      </c>
      <c r="AC284" s="5">
        <v>4</v>
      </c>
      <c r="AD284" s="5">
        <v>4</v>
      </c>
      <c r="AE284" s="5">
        <v>4</v>
      </c>
      <c r="AF284" s="5">
        <v>4</v>
      </c>
      <c r="AG284" s="5">
        <v>4</v>
      </c>
      <c r="AH284" s="5">
        <v>4</v>
      </c>
      <c r="AI284" s="5">
        <v>4</v>
      </c>
      <c r="AJ284" s="5">
        <v>4</v>
      </c>
      <c r="AK284" s="5">
        <v>4</v>
      </c>
      <c r="AL284" s="5">
        <v>4</v>
      </c>
      <c r="AM284" s="5">
        <v>4</v>
      </c>
      <c r="AN284" s="5">
        <v>4</v>
      </c>
      <c r="AO284" s="5">
        <v>4</v>
      </c>
      <c r="AP284" s="5">
        <v>4</v>
      </c>
      <c r="AQ284" s="5">
        <v>4</v>
      </c>
      <c r="AR284" s="5">
        <v>4</v>
      </c>
      <c r="AS284" s="5">
        <v>4</v>
      </c>
      <c r="AT284" s="5">
        <v>4</v>
      </c>
      <c r="AU284" s="5">
        <v>4</v>
      </c>
      <c r="AV284" s="5">
        <v>4</v>
      </c>
      <c r="AW284" s="5">
        <v>4</v>
      </c>
      <c r="AX284" s="5">
        <v>4</v>
      </c>
      <c r="AY284" s="5">
        <v>4</v>
      </c>
      <c r="AZ284" s="5">
        <v>4</v>
      </c>
      <c r="BA284" s="5">
        <v>4</v>
      </c>
      <c r="BB284" s="5"/>
      <c r="BC284" s="5"/>
      <c r="BD284" s="5"/>
      <c r="BF284">
        <f>ROWS($U$46:U284)</f>
        <v>239</v>
      </c>
      <c r="BG284" t="str">
        <f t="shared" si="140"/>
        <v/>
      </c>
      <c r="DB284" s="10">
        <v>1272937</v>
      </c>
      <c r="DE284" s="10">
        <v>1201518</v>
      </c>
      <c r="DF284" s="10" t="s">
        <v>2358</v>
      </c>
      <c r="DG284" s="10" t="s">
        <v>2358</v>
      </c>
      <c r="DH284" s="10">
        <v>12</v>
      </c>
      <c r="DI284" s="10">
        <v>12</v>
      </c>
      <c r="DJ284" s="10" t="s">
        <v>2359</v>
      </c>
      <c r="DO284" s="10">
        <v>497</v>
      </c>
      <c r="DR284" s="10" t="str">
        <f t="shared" si="163"/>
        <v xml:space="preserve">12 NA WC MAT404 </v>
      </c>
      <c r="DS284" s="37">
        <f t="shared" si="162"/>
        <v>350.70880000000005</v>
      </c>
      <c r="DT284" s="10">
        <v>269.77600000000001</v>
      </c>
      <c r="EE284" s="10">
        <f t="shared" si="139"/>
        <v>0</v>
      </c>
      <c r="EF284">
        <f>ROWS($DE$2:DE284)</f>
        <v>283</v>
      </c>
      <c r="EG284" t="str">
        <f t="shared" si="144"/>
        <v/>
      </c>
      <c r="EJ284" t="str">
        <f t="shared" si="145"/>
        <v/>
      </c>
      <c r="EM284" t="str">
        <f t="shared" si="146"/>
        <v/>
      </c>
      <c r="EP284" t="str">
        <f t="shared" si="147"/>
        <v/>
      </c>
      <c r="ES284" t="str">
        <f t="shared" si="148"/>
        <v/>
      </c>
      <c r="EV284" t="str">
        <f t="shared" si="149"/>
        <v/>
      </c>
      <c r="EY284" t="str">
        <f t="shared" si="150"/>
        <v/>
      </c>
      <c r="FB284" t="str">
        <f t="shared" si="151"/>
        <v/>
      </c>
      <c r="FE284" t="str">
        <f t="shared" si="152"/>
        <v/>
      </c>
      <c r="FH284" t="str">
        <f t="shared" si="153"/>
        <v/>
      </c>
      <c r="FK284" t="str">
        <f t="shared" si="154"/>
        <v/>
      </c>
      <c r="FN284" t="str">
        <f t="shared" si="155"/>
        <v/>
      </c>
      <c r="FQ284" t="str">
        <f t="shared" si="156"/>
        <v/>
      </c>
      <c r="FT284" t="str">
        <f t="shared" si="157"/>
        <v/>
      </c>
      <c r="FW284" t="str">
        <f t="shared" si="158"/>
        <v/>
      </c>
      <c r="FZ284" t="str">
        <f t="shared" si="159"/>
        <v/>
      </c>
      <c r="GC284" t="str">
        <f t="shared" si="160"/>
        <v/>
      </c>
      <c r="GE284" s="155"/>
    </row>
    <row r="285" spans="4:187" ht="15" customHeight="1" x14ac:dyDescent="0.35">
      <c r="D285" s="671"/>
      <c r="L285" s="10" t="s">
        <v>2074</v>
      </c>
      <c r="O285" s="5">
        <v>7</v>
      </c>
      <c r="P285" s="5"/>
      <c r="Q285" s="5"/>
      <c r="R285" s="5"/>
      <c r="S285" s="5"/>
      <c r="T285" s="5"/>
      <c r="U285" s="5">
        <v>4</v>
      </c>
      <c r="V285" s="5" t="s">
        <v>111</v>
      </c>
      <c r="W285" s="5">
        <v>4</v>
      </c>
      <c r="X285" s="5">
        <v>4</v>
      </c>
      <c r="Y285" s="5">
        <v>4</v>
      </c>
      <c r="Z285" s="5">
        <v>4</v>
      </c>
      <c r="AA285" s="5">
        <v>4</v>
      </c>
      <c r="AB285" s="5">
        <v>4</v>
      </c>
      <c r="AC285" s="5">
        <v>4</v>
      </c>
      <c r="AD285" s="5">
        <v>4</v>
      </c>
      <c r="AE285" s="5">
        <v>4</v>
      </c>
      <c r="AF285" s="5">
        <v>4</v>
      </c>
      <c r="AG285" s="5">
        <v>4</v>
      </c>
      <c r="AH285" s="5">
        <v>4</v>
      </c>
      <c r="AI285" s="5">
        <v>4</v>
      </c>
      <c r="AJ285" s="5">
        <v>4</v>
      </c>
      <c r="AK285" s="5">
        <v>4</v>
      </c>
      <c r="AL285" s="5">
        <v>4</v>
      </c>
      <c r="AM285" s="5">
        <v>4</v>
      </c>
      <c r="AN285" s="5">
        <v>4</v>
      </c>
      <c r="AO285" s="5">
        <v>4</v>
      </c>
      <c r="AP285" s="5">
        <v>4</v>
      </c>
      <c r="AQ285" s="5">
        <v>4</v>
      </c>
      <c r="AR285" s="5">
        <v>4</v>
      </c>
      <c r="AS285" s="5">
        <v>4</v>
      </c>
      <c r="AT285" s="5">
        <v>4</v>
      </c>
      <c r="AU285" s="5">
        <v>4</v>
      </c>
      <c r="AV285" s="5">
        <v>4</v>
      </c>
      <c r="AW285" s="5">
        <v>4</v>
      </c>
      <c r="AX285" s="5">
        <v>4</v>
      </c>
      <c r="AY285" s="5">
        <v>4</v>
      </c>
      <c r="AZ285" s="5">
        <v>4</v>
      </c>
      <c r="BA285" s="5">
        <v>4</v>
      </c>
      <c r="BB285" s="5"/>
      <c r="BC285" s="5"/>
      <c r="BD285" s="5"/>
      <c r="BF285">
        <f>ROWS($U$46:U285)</f>
        <v>240</v>
      </c>
      <c r="BG285" t="str">
        <f t="shared" si="140"/>
        <v/>
      </c>
      <c r="DB285" s="10">
        <v>1282370</v>
      </c>
      <c r="DE285" s="10">
        <v>1296685</v>
      </c>
      <c r="DF285" s="10" t="s">
        <v>2366</v>
      </c>
      <c r="DG285" s="10" t="s">
        <v>2360</v>
      </c>
      <c r="DH285" s="10">
        <v>16</v>
      </c>
      <c r="DI285" s="10">
        <v>1613</v>
      </c>
      <c r="DJ285" s="10" t="s">
        <v>2361</v>
      </c>
      <c r="DL285" s="10" t="s">
        <v>1985</v>
      </c>
      <c r="DO285" s="10">
        <v>497</v>
      </c>
      <c r="DR285" s="10" t="str">
        <f t="shared" ref="DR285:DR298" si="164">DI285 &amp; " " &amp; DJ285 &amp; " " &amp; DK285</f>
        <v xml:space="preserve">1613 CT179R </v>
      </c>
      <c r="DS285" s="37">
        <f t="shared" si="162"/>
        <v>352.00880000000001</v>
      </c>
      <c r="DT285" s="10">
        <v>270.77600000000001</v>
      </c>
      <c r="EE285" s="10">
        <f t="shared" si="139"/>
        <v>0</v>
      </c>
      <c r="EF285">
        <f>ROWS($DE$2:DE285)</f>
        <v>284</v>
      </c>
      <c r="EG285" t="str">
        <f t="shared" si="144"/>
        <v/>
      </c>
      <c r="EJ285" t="str">
        <f t="shared" si="145"/>
        <v/>
      </c>
      <c r="EM285" t="str">
        <f t="shared" si="146"/>
        <v/>
      </c>
      <c r="EP285" t="str">
        <f t="shared" si="147"/>
        <v/>
      </c>
      <c r="ES285" t="str">
        <f t="shared" si="148"/>
        <v/>
      </c>
      <c r="EV285" t="str">
        <f t="shared" si="149"/>
        <v/>
      </c>
      <c r="EY285" t="str">
        <f t="shared" si="150"/>
        <v/>
      </c>
      <c r="FB285" t="str">
        <f t="shared" si="151"/>
        <v/>
      </c>
      <c r="FE285" t="str">
        <f t="shared" si="152"/>
        <v/>
      </c>
      <c r="FH285" t="str">
        <f t="shared" si="153"/>
        <v/>
      </c>
      <c r="FK285" t="str">
        <f t="shared" si="154"/>
        <v/>
      </c>
      <c r="FN285" t="str">
        <f t="shared" si="155"/>
        <v/>
      </c>
      <c r="FQ285" t="str">
        <f t="shared" si="156"/>
        <v/>
      </c>
      <c r="FT285" t="str">
        <f t="shared" si="157"/>
        <v/>
      </c>
      <c r="FW285" t="str">
        <f t="shared" si="158"/>
        <v/>
      </c>
      <c r="FZ285" t="str">
        <f t="shared" si="159"/>
        <v/>
      </c>
      <c r="GC285" t="str">
        <f t="shared" si="160"/>
        <v/>
      </c>
      <c r="GE285" s="155"/>
    </row>
    <row r="286" spans="4:187" ht="15" customHeight="1" x14ac:dyDescent="0.35">
      <c r="D286" s="671"/>
      <c r="L286" s="10" t="s">
        <v>1929</v>
      </c>
      <c r="O286" s="5">
        <v>8</v>
      </c>
      <c r="P286" s="5"/>
      <c r="Q286" s="5"/>
      <c r="R286" s="5"/>
      <c r="S286" s="5"/>
      <c r="T286" s="5"/>
      <c r="U286" s="5">
        <v>4</v>
      </c>
      <c r="V286" s="5" t="s">
        <v>112</v>
      </c>
      <c r="W286" s="5">
        <v>4</v>
      </c>
      <c r="X286" s="5">
        <v>4</v>
      </c>
      <c r="Y286" s="5">
        <v>4</v>
      </c>
      <c r="Z286" s="5">
        <v>4</v>
      </c>
      <c r="AA286" s="5">
        <v>4</v>
      </c>
      <c r="AB286" s="5">
        <v>4</v>
      </c>
      <c r="AC286" s="5">
        <v>4</v>
      </c>
      <c r="AD286" s="5">
        <v>4</v>
      </c>
      <c r="AE286" s="5">
        <v>4</v>
      </c>
      <c r="AF286" s="5">
        <v>4</v>
      </c>
      <c r="AG286" s="5">
        <v>4</v>
      </c>
      <c r="AH286" s="5">
        <v>4</v>
      </c>
      <c r="AI286" s="5">
        <v>4</v>
      </c>
      <c r="AJ286" s="5">
        <v>4</v>
      </c>
      <c r="AK286" s="5">
        <v>4</v>
      </c>
      <c r="AL286" s="5">
        <v>4</v>
      </c>
      <c r="AM286" s="5">
        <v>4</v>
      </c>
      <c r="AN286" s="5">
        <v>4</v>
      </c>
      <c r="AO286" s="5">
        <v>4</v>
      </c>
      <c r="AP286" s="5">
        <v>4</v>
      </c>
      <c r="AQ286" s="5">
        <v>4</v>
      </c>
      <c r="AR286" s="5">
        <v>4</v>
      </c>
      <c r="AS286" s="5">
        <v>4</v>
      </c>
      <c r="AT286" s="5">
        <v>4</v>
      </c>
      <c r="AU286" s="5">
        <v>4</v>
      </c>
      <c r="AV286" s="5">
        <v>4</v>
      </c>
      <c r="AW286" s="5">
        <v>4</v>
      </c>
      <c r="AX286" s="5">
        <v>4</v>
      </c>
      <c r="AY286" s="5">
        <v>4</v>
      </c>
      <c r="AZ286" s="5">
        <v>4</v>
      </c>
      <c r="BA286" s="5">
        <v>4</v>
      </c>
      <c r="BB286" s="5"/>
      <c r="BC286" s="5"/>
      <c r="BD286" s="5"/>
      <c r="BF286">
        <f>ROWS($U$46:U286)</f>
        <v>241</v>
      </c>
      <c r="BG286" t="str">
        <f t="shared" si="140"/>
        <v/>
      </c>
      <c r="DB286" s="10">
        <v>2002243</v>
      </c>
      <c r="DE286" s="10">
        <v>2001155</v>
      </c>
      <c r="DF286" s="10" t="s">
        <v>2368</v>
      </c>
      <c r="DG286" s="10" t="s">
        <v>2368</v>
      </c>
      <c r="DH286" s="10">
        <v>13</v>
      </c>
      <c r="DI286" s="10">
        <v>1313</v>
      </c>
      <c r="DJ286" s="10" t="s">
        <v>2341</v>
      </c>
      <c r="DL286" s="10" t="s">
        <v>2159</v>
      </c>
      <c r="DO286" s="10">
        <v>360</v>
      </c>
      <c r="DR286" s="10" t="str">
        <f t="shared" si="164"/>
        <v xml:space="preserve">1313 CT179T </v>
      </c>
      <c r="DS286" s="37">
        <f t="shared" si="162"/>
        <v>353.30880000000002</v>
      </c>
      <c r="DT286" s="10">
        <v>271.77600000000001</v>
      </c>
      <c r="EE286" s="10">
        <f t="shared" si="139"/>
        <v>0</v>
      </c>
      <c r="EF286">
        <f>ROWS($DE$2:DE286)</f>
        <v>285</v>
      </c>
      <c r="EG286" t="str">
        <f t="shared" si="144"/>
        <v/>
      </c>
      <c r="EJ286" t="str">
        <f t="shared" si="145"/>
        <v/>
      </c>
      <c r="EM286" t="str">
        <f t="shared" si="146"/>
        <v/>
      </c>
      <c r="EP286" t="str">
        <f t="shared" si="147"/>
        <v/>
      </c>
      <c r="ES286" t="str">
        <f t="shared" si="148"/>
        <v/>
      </c>
      <c r="EV286" t="str">
        <f t="shared" si="149"/>
        <v/>
      </c>
      <c r="EY286" t="str">
        <f t="shared" si="150"/>
        <v/>
      </c>
      <c r="FB286" t="str">
        <f t="shared" si="151"/>
        <v/>
      </c>
      <c r="FE286" t="str">
        <f t="shared" si="152"/>
        <v/>
      </c>
      <c r="FH286" t="str">
        <f t="shared" si="153"/>
        <v/>
      </c>
      <c r="FK286" t="str">
        <f t="shared" si="154"/>
        <v/>
      </c>
      <c r="FN286" t="str">
        <f t="shared" si="155"/>
        <v/>
      </c>
      <c r="FQ286" t="str">
        <f t="shared" si="156"/>
        <v/>
      </c>
      <c r="FT286" t="str">
        <f t="shared" si="157"/>
        <v/>
      </c>
      <c r="FW286" t="str">
        <f t="shared" si="158"/>
        <v/>
      </c>
      <c r="FZ286" t="str">
        <f t="shared" si="159"/>
        <v/>
      </c>
      <c r="GC286" t="str">
        <f t="shared" si="160"/>
        <v/>
      </c>
      <c r="GE286" s="155"/>
    </row>
    <row r="287" spans="4:187" ht="15" customHeight="1" x14ac:dyDescent="0.35">
      <c r="D287" s="671"/>
      <c r="L287" s="10" t="s">
        <v>1461</v>
      </c>
      <c r="O287" s="5">
        <v>9</v>
      </c>
      <c r="P287" s="5"/>
      <c r="Q287" s="5"/>
      <c r="R287" s="5"/>
      <c r="S287" s="5"/>
      <c r="T287" s="5"/>
      <c r="U287" s="5">
        <v>4</v>
      </c>
      <c r="V287" s="5" t="s">
        <v>113</v>
      </c>
      <c r="W287" s="5">
        <v>4</v>
      </c>
      <c r="X287" s="5">
        <v>4</v>
      </c>
      <c r="Y287" s="5">
        <v>4</v>
      </c>
      <c r="Z287" s="5">
        <v>4</v>
      </c>
      <c r="AA287" s="5">
        <v>4</v>
      </c>
      <c r="AB287" s="5">
        <v>4</v>
      </c>
      <c r="AC287" s="5">
        <v>4</v>
      </c>
      <c r="AD287" s="5">
        <v>4</v>
      </c>
      <c r="AE287" s="5">
        <v>4</v>
      </c>
      <c r="AF287" s="5">
        <v>4</v>
      </c>
      <c r="AG287" s="5">
        <v>4</v>
      </c>
      <c r="AH287" s="5">
        <v>4</v>
      </c>
      <c r="AI287" s="5">
        <v>4</v>
      </c>
      <c r="AJ287" s="5">
        <v>4</v>
      </c>
      <c r="AK287" s="5">
        <v>4</v>
      </c>
      <c r="AL287" s="5">
        <v>4</v>
      </c>
      <c r="AM287" s="5">
        <v>4</v>
      </c>
      <c r="AN287" s="5">
        <v>4</v>
      </c>
      <c r="AO287" s="5">
        <v>4</v>
      </c>
      <c r="AP287" s="5">
        <v>4</v>
      </c>
      <c r="AQ287" s="5">
        <v>4</v>
      </c>
      <c r="AR287" s="5">
        <v>4</v>
      </c>
      <c r="AS287" s="5">
        <v>4</v>
      </c>
      <c r="AT287" s="5">
        <v>4</v>
      </c>
      <c r="AU287" s="5">
        <v>4</v>
      </c>
      <c r="AV287" s="5">
        <v>4</v>
      </c>
      <c r="AW287" s="5">
        <v>4</v>
      </c>
      <c r="AX287" s="5">
        <v>4</v>
      </c>
      <c r="AY287" s="5">
        <v>4</v>
      </c>
      <c r="AZ287" s="5">
        <v>4</v>
      </c>
      <c r="BA287" s="5">
        <v>4</v>
      </c>
      <c r="BB287" s="5"/>
      <c r="BC287" s="5"/>
      <c r="BD287" s="5"/>
      <c r="BF287">
        <f>ROWS($U$46:U287)</f>
        <v>242</v>
      </c>
      <c r="BG287" t="str">
        <f t="shared" si="140"/>
        <v/>
      </c>
      <c r="DB287" s="10">
        <v>2004484</v>
      </c>
      <c r="DE287" s="10">
        <v>1100694</v>
      </c>
      <c r="DF287" s="10" t="s">
        <v>2369</v>
      </c>
      <c r="DG287" s="10" t="s">
        <v>2369</v>
      </c>
      <c r="DH287" s="10">
        <v>13</v>
      </c>
      <c r="DI287" s="10">
        <v>1308</v>
      </c>
      <c r="DJ287" s="10" t="s">
        <v>1231</v>
      </c>
      <c r="DL287" s="10" t="s">
        <v>2066</v>
      </c>
      <c r="DO287" s="10">
        <v>360</v>
      </c>
      <c r="DR287" s="10" t="str">
        <f t="shared" si="164"/>
        <v xml:space="preserve">1308 CT418 </v>
      </c>
      <c r="DS287" s="37">
        <f t="shared" si="162"/>
        <v>354.60880000000003</v>
      </c>
      <c r="DT287" s="10">
        <v>272.77600000000001</v>
      </c>
      <c r="EE287" s="10">
        <f t="shared" si="139"/>
        <v>0</v>
      </c>
      <c r="EF287">
        <f>ROWS($DE$2:DE287)</f>
        <v>286</v>
      </c>
      <c r="EG287" t="str">
        <f t="shared" si="144"/>
        <v/>
      </c>
      <c r="EJ287" t="str">
        <f t="shared" si="145"/>
        <v/>
      </c>
      <c r="EM287" t="str">
        <f t="shared" si="146"/>
        <v/>
      </c>
      <c r="EP287" t="str">
        <f t="shared" si="147"/>
        <v/>
      </c>
      <c r="ES287" t="str">
        <f t="shared" si="148"/>
        <v/>
      </c>
      <c r="EV287" t="str">
        <f t="shared" si="149"/>
        <v/>
      </c>
      <c r="EY287" t="str">
        <f t="shared" si="150"/>
        <v/>
      </c>
      <c r="FB287" t="str">
        <f t="shared" si="151"/>
        <v/>
      </c>
      <c r="FE287" t="str">
        <f t="shared" si="152"/>
        <v/>
      </c>
      <c r="FH287" t="str">
        <f t="shared" si="153"/>
        <v/>
      </c>
      <c r="FK287" t="str">
        <f t="shared" si="154"/>
        <v/>
      </c>
      <c r="FN287" t="str">
        <f t="shared" si="155"/>
        <v/>
      </c>
      <c r="FQ287" t="str">
        <f t="shared" si="156"/>
        <v/>
      </c>
      <c r="FT287" t="str">
        <f t="shared" si="157"/>
        <v/>
      </c>
      <c r="FW287" t="str">
        <f t="shared" si="158"/>
        <v/>
      </c>
      <c r="FZ287" t="str">
        <f t="shared" si="159"/>
        <v/>
      </c>
      <c r="GC287" t="str">
        <f t="shared" si="160"/>
        <v/>
      </c>
      <c r="GE287" s="155"/>
    </row>
    <row r="288" spans="4:187" ht="15" customHeight="1" x14ac:dyDescent="0.35">
      <c r="D288" s="671"/>
      <c r="L288" s="10" t="s">
        <v>1864</v>
      </c>
      <c r="O288" s="5">
        <v>10</v>
      </c>
      <c r="P288" s="5"/>
      <c r="Q288" s="5"/>
      <c r="R288" s="5"/>
      <c r="S288" s="5"/>
      <c r="T288" s="5"/>
      <c r="U288" s="5">
        <v>4</v>
      </c>
      <c r="V288" s="5" t="s">
        <v>114</v>
      </c>
      <c r="W288" s="5">
        <v>4</v>
      </c>
      <c r="X288" s="5">
        <v>4</v>
      </c>
      <c r="Y288" s="5">
        <v>4</v>
      </c>
      <c r="Z288" s="5">
        <v>4</v>
      </c>
      <c r="AA288" s="5">
        <v>4</v>
      </c>
      <c r="AB288" s="5">
        <v>4</v>
      </c>
      <c r="AC288" s="5">
        <v>4</v>
      </c>
      <c r="AD288" s="5">
        <v>4</v>
      </c>
      <c r="AE288" s="5">
        <v>4</v>
      </c>
      <c r="AF288" s="5">
        <v>4</v>
      </c>
      <c r="AG288" s="5">
        <v>4</v>
      </c>
      <c r="AH288" s="5">
        <v>4</v>
      </c>
      <c r="AI288" s="5">
        <v>4</v>
      </c>
      <c r="AJ288" s="5">
        <v>4</v>
      </c>
      <c r="AK288" s="5">
        <v>4</v>
      </c>
      <c r="AL288" s="5">
        <v>4</v>
      </c>
      <c r="AM288" s="5">
        <v>4</v>
      </c>
      <c r="AN288" s="5">
        <v>4</v>
      </c>
      <c r="AO288" s="5">
        <v>4</v>
      </c>
      <c r="AP288" s="5">
        <v>4</v>
      </c>
      <c r="AQ288" s="5">
        <v>4</v>
      </c>
      <c r="AR288" s="5">
        <v>4</v>
      </c>
      <c r="AS288" s="5">
        <v>4</v>
      </c>
      <c r="AT288" s="5">
        <v>4</v>
      </c>
      <c r="AU288" s="5">
        <v>4</v>
      </c>
      <c r="AV288" s="5">
        <v>4</v>
      </c>
      <c r="AW288" s="5">
        <v>4</v>
      </c>
      <c r="AX288" s="5">
        <v>4</v>
      </c>
      <c r="AY288" s="5">
        <v>4</v>
      </c>
      <c r="AZ288" s="5">
        <v>4</v>
      </c>
      <c r="BA288" s="5">
        <v>4</v>
      </c>
      <c r="BB288" s="5"/>
      <c r="BC288" s="5"/>
      <c r="BD288" s="5"/>
      <c r="BF288">
        <f>ROWS($U$46:U288)</f>
        <v>243</v>
      </c>
      <c r="BG288" t="str">
        <f t="shared" si="140"/>
        <v/>
      </c>
      <c r="DB288" s="10">
        <v>2002299</v>
      </c>
      <c r="DE288" s="10">
        <v>1272937</v>
      </c>
      <c r="DF288" s="10" t="s">
        <v>2371</v>
      </c>
      <c r="DG288" s="10" t="s">
        <v>2371</v>
      </c>
      <c r="DH288" s="10">
        <v>13</v>
      </c>
      <c r="DI288" s="10">
        <v>1313</v>
      </c>
      <c r="DJ288" s="10" t="s">
        <v>2372</v>
      </c>
      <c r="DL288" s="10" t="s">
        <v>2165</v>
      </c>
      <c r="DO288" s="10">
        <v>360</v>
      </c>
      <c r="DR288" s="10" t="str">
        <f t="shared" si="164"/>
        <v xml:space="preserve">1313 CT436 </v>
      </c>
      <c r="DS288" s="37">
        <f t="shared" si="162"/>
        <v>355.90880000000004</v>
      </c>
      <c r="DT288" s="10">
        <v>273.77600000000001</v>
      </c>
      <c r="EE288" s="10">
        <f t="shared" si="139"/>
        <v>0</v>
      </c>
      <c r="EF288">
        <f>ROWS($DE$2:DE288)</f>
        <v>287</v>
      </c>
      <c r="EG288" t="str">
        <f t="shared" si="144"/>
        <v/>
      </c>
      <c r="EJ288" t="str">
        <f t="shared" si="145"/>
        <v/>
      </c>
      <c r="EM288" t="str">
        <f t="shared" si="146"/>
        <v/>
      </c>
      <c r="EP288" t="str">
        <f t="shared" si="147"/>
        <v/>
      </c>
      <c r="ES288" t="str">
        <f t="shared" si="148"/>
        <v/>
      </c>
      <c r="EV288" t="str">
        <f t="shared" si="149"/>
        <v/>
      </c>
      <c r="EY288" t="str">
        <f t="shared" si="150"/>
        <v/>
      </c>
      <c r="FB288" t="str">
        <f t="shared" si="151"/>
        <v/>
      </c>
      <c r="FE288" t="str">
        <f t="shared" si="152"/>
        <v/>
      </c>
      <c r="FH288" t="str">
        <f t="shared" si="153"/>
        <v/>
      </c>
      <c r="FK288" t="str">
        <f t="shared" si="154"/>
        <v/>
      </c>
      <c r="FN288" t="str">
        <f t="shared" si="155"/>
        <v/>
      </c>
      <c r="FQ288" t="str">
        <f t="shared" si="156"/>
        <v/>
      </c>
      <c r="FT288" t="str">
        <f t="shared" si="157"/>
        <v/>
      </c>
      <c r="FW288" t="str">
        <f t="shared" si="158"/>
        <v/>
      </c>
      <c r="FZ288" t="str">
        <f t="shared" si="159"/>
        <v/>
      </c>
      <c r="GC288" t="str">
        <f t="shared" si="160"/>
        <v/>
      </c>
      <c r="GE288" s="155"/>
    </row>
    <row r="289" spans="4:187" ht="15" customHeight="1" x14ac:dyDescent="0.35">
      <c r="D289" s="671"/>
      <c r="L289" s="10" t="s">
        <v>1303</v>
      </c>
      <c r="O289" s="5">
        <v>11</v>
      </c>
      <c r="P289" s="5"/>
      <c r="Q289" s="5"/>
      <c r="R289" s="5"/>
      <c r="S289" s="5"/>
      <c r="T289" s="5"/>
      <c r="U289" s="5">
        <v>4</v>
      </c>
      <c r="V289" s="5" t="s">
        <v>115</v>
      </c>
      <c r="W289" s="5">
        <v>4</v>
      </c>
      <c r="X289" s="5">
        <v>4</v>
      </c>
      <c r="Y289" s="5">
        <v>4</v>
      </c>
      <c r="Z289" s="5">
        <v>4</v>
      </c>
      <c r="AA289" s="5">
        <v>4</v>
      </c>
      <c r="AB289" s="5">
        <v>4</v>
      </c>
      <c r="AC289" s="5">
        <v>4</v>
      </c>
      <c r="AD289" s="5">
        <v>4</v>
      </c>
      <c r="AE289" s="5">
        <v>4</v>
      </c>
      <c r="AF289" s="5">
        <v>4</v>
      </c>
      <c r="AG289" s="5">
        <v>4</v>
      </c>
      <c r="AH289" s="5">
        <v>4</v>
      </c>
      <c r="AI289" s="5">
        <v>4</v>
      </c>
      <c r="AJ289" s="5">
        <v>4</v>
      </c>
      <c r="AK289" s="5">
        <v>4</v>
      </c>
      <c r="AL289" s="5">
        <v>4</v>
      </c>
      <c r="AM289" s="5">
        <v>4</v>
      </c>
      <c r="AN289" s="5">
        <v>4</v>
      </c>
      <c r="AO289" s="5">
        <v>4</v>
      </c>
      <c r="AP289" s="5">
        <v>4</v>
      </c>
      <c r="AQ289" s="5">
        <v>4</v>
      </c>
      <c r="AR289" s="5">
        <v>4</v>
      </c>
      <c r="AS289" s="5">
        <v>4</v>
      </c>
      <c r="AT289" s="5">
        <v>4</v>
      </c>
      <c r="AU289" s="5">
        <v>4</v>
      </c>
      <c r="AV289" s="5">
        <v>4</v>
      </c>
      <c r="AW289" s="5">
        <v>4</v>
      </c>
      <c r="AX289" s="5">
        <v>4</v>
      </c>
      <c r="AY289" s="5">
        <v>4</v>
      </c>
      <c r="AZ289" s="5">
        <v>4</v>
      </c>
      <c r="BA289" s="5">
        <v>4</v>
      </c>
      <c r="BB289" s="5"/>
      <c r="BC289" s="5"/>
      <c r="BD289" s="5"/>
      <c r="BF289">
        <f>ROWS($U$46:U289)</f>
        <v>244</v>
      </c>
      <c r="BG289" t="str">
        <f t="shared" si="140"/>
        <v/>
      </c>
      <c r="DB289" s="10">
        <v>1282369</v>
      </c>
      <c r="DE289" s="10">
        <v>1274176</v>
      </c>
      <c r="DF289" s="10" t="s">
        <v>2373</v>
      </c>
      <c r="DG289" s="10" t="s">
        <v>2373</v>
      </c>
      <c r="DH289" s="10">
        <v>16</v>
      </c>
      <c r="DI289" s="10">
        <v>1613</v>
      </c>
      <c r="DJ289" s="10" t="s">
        <v>2374</v>
      </c>
      <c r="DL289" s="10" t="s">
        <v>2376</v>
      </c>
      <c r="DO289" s="10">
        <v>497</v>
      </c>
      <c r="DR289" s="10" t="str">
        <f t="shared" si="164"/>
        <v xml:space="preserve">1613 CT172 </v>
      </c>
      <c r="DS289" s="37">
        <f t="shared" si="162"/>
        <v>357.20880000000005</v>
      </c>
      <c r="DT289" s="10">
        <v>274.77600000000001</v>
      </c>
      <c r="EE289" s="10">
        <f t="shared" si="139"/>
        <v>0</v>
      </c>
      <c r="EF289">
        <f>ROWS($DE$2:DE289)</f>
        <v>288</v>
      </c>
      <c r="EG289" t="str">
        <f t="shared" si="144"/>
        <v/>
      </c>
      <c r="EJ289" t="str">
        <f t="shared" si="145"/>
        <v/>
      </c>
      <c r="EM289" t="str">
        <f t="shared" si="146"/>
        <v/>
      </c>
      <c r="EP289" t="str">
        <f t="shared" si="147"/>
        <v/>
      </c>
      <c r="ES289" t="str">
        <f t="shared" si="148"/>
        <v/>
      </c>
      <c r="EV289" t="str">
        <f t="shared" si="149"/>
        <v/>
      </c>
      <c r="EY289" t="str">
        <f t="shared" si="150"/>
        <v/>
      </c>
      <c r="FB289" t="str">
        <f t="shared" si="151"/>
        <v/>
      </c>
      <c r="FE289" t="str">
        <f t="shared" si="152"/>
        <v/>
      </c>
      <c r="FH289" t="str">
        <f t="shared" si="153"/>
        <v/>
      </c>
      <c r="FK289" t="str">
        <f t="shared" si="154"/>
        <v/>
      </c>
      <c r="FN289" t="str">
        <f t="shared" si="155"/>
        <v/>
      </c>
      <c r="FQ289" t="str">
        <f t="shared" si="156"/>
        <v/>
      </c>
      <c r="FT289" t="str">
        <f t="shared" si="157"/>
        <v/>
      </c>
      <c r="FW289" t="str">
        <f t="shared" si="158"/>
        <v/>
      </c>
      <c r="FZ289" t="str">
        <f t="shared" si="159"/>
        <v/>
      </c>
      <c r="GC289" t="str">
        <f t="shared" si="160"/>
        <v/>
      </c>
      <c r="GE289" s="155"/>
    </row>
    <row r="290" spans="4:187" ht="15" customHeight="1" x14ac:dyDescent="0.35">
      <c r="D290" s="671"/>
      <c r="L290" s="10" t="s">
        <v>1560</v>
      </c>
      <c r="O290" s="5">
        <v>12</v>
      </c>
      <c r="P290" s="5"/>
      <c r="Q290" s="5"/>
      <c r="R290" s="5"/>
      <c r="S290" s="5"/>
      <c r="T290" s="5"/>
      <c r="U290" s="5">
        <v>4</v>
      </c>
      <c r="V290" s="5" t="s">
        <v>736</v>
      </c>
      <c r="W290" s="5">
        <v>4</v>
      </c>
      <c r="X290" s="5">
        <v>4</v>
      </c>
      <c r="Y290" s="5">
        <v>4</v>
      </c>
      <c r="Z290" s="5">
        <v>4</v>
      </c>
      <c r="AA290" s="5">
        <v>4</v>
      </c>
      <c r="AB290" s="5">
        <v>4</v>
      </c>
      <c r="AC290" s="5">
        <v>4</v>
      </c>
      <c r="AD290" s="5">
        <v>4</v>
      </c>
      <c r="AE290" s="5">
        <v>4</v>
      </c>
      <c r="AF290" s="5">
        <v>4</v>
      </c>
      <c r="AG290" s="5">
        <v>4</v>
      </c>
      <c r="AH290" s="5">
        <v>4</v>
      </c>
      <c r="AI290" s="5">
        <v>4</v>
      </c>
      <c r="AJ290" s="5">
        <v>4</v>
      </c>
      <c r="AK290" s="5">
        <v>4</v>
      </c>
      <c r="AL290" s="5">
        <v>4</v>
      </c>
      <c r="AM290" s="5">
        <v>4</v>
      </c>
      <c r="AN290" s="5">
        <v>4</v>
      </c>
      <c r="AO290" s="5">
        <v>4</v>
      </c>
      <c r="AP290" s="5">
        <v>4</v>
      </c>
      <c r="AQ290" s="5">
        <v>4</v>
      </c>
      <c r="AR290" s="5">
        <v>4</v>
      </c>
      <c r="AS290" s="5">
        <v>4</v>
      </c>
      <c r="AT290" s="5">
        <v>4</v>
      </c>
      <c r="AU290" s="5">
        <v>4</v>
      </c>
      <c r="AV290" s="5">
        <v>4</v>
      </c>
      <c r="AW290" s="5">
        <v>4</v>
      </c>
      <c r="AX290" s="5">
        <v>4</v>
      </c>
      <c r="AY290" s="5">
        <v>4</v>
      </c>
      <c r="AZ290" s="5">
        <v>4</v>
      </c>
      <c r="BA290" s="5">
        <v>4</v>
      </c>
      <c r="BB290" s="5"/>
      <c r="BC290" s="5"/>
      <c r="BD290" s="5"/>
      <c r="BF290">
        <f>ROWS($U$46:U290)</f>
        <v>245</v>
      </c>
      <c r="BG290" t="str">
        <f t="shared" si="140"/>
        <v/>
      </c>
      <c r="DB290" s="10">
        <v>2002244</v>
      </c>
      <c r="DE290" s="10">
        <v>1192901</v>
      </c>
      <c r="DF290" s="10" t="s">
        <v>2375</v>
      </c>
      <c r="DG290" s="10" t="s">
        <v>2375</v>
      </c>
      <c r="DH290" s="10">
        <v>12</v>
      </c>
      <c r="DI290" s="10" t="s">
        <v>2268</v>
      </c>
      <c r="DJ290" s="10" t="s">
        <v>2175</v>
      </c>
      <c r="DL290" s="10" t="s">
        <v>2061</v>
      </c>
      <c r="DO290" s="10">
        <v>360</v>
      </c>
      <c r="DR290" s="10" t="str">
        <f t="shared" si="164"/>
        <v xml:space="preserve">12MM WC­MAT400 </v>
      </c>
      <c r="DS290" s="37">
        <f t="shared" si="162"/>
        <v>358.50880000000001</v>
      </c>
      <c r="DT290" s="10">
        <v>275.77600000000001</v>
      </c>
      <c r="EE290" s="10">
        <f t="shared" si="139"/>
        <v>0</v>
      </c>
      <c r="EF290">
        <f>ROWS($DE$2:DE290)</f>
        <v>289</v>
      </c>
      <c r="EG290" t="str">
        <f t="shared" si="144"/>
        <v/>
      </c>
      <c r="EJ290" t="str">
        <f t="shared" si="145"/>
        <v/>
      </c>
      <c r="EM290" t="str">
        <f t="shared" si="146"/>
        <v/>
      </c>
      <c r="EP290" t="str">
        <f t="shared" si="147"/>
        <v/>
      </c>
      <c r="ES290" t="str">
        <f t="shared" si="148"/>
        <v/>
      </c>
      <c r="EV290" t="str">
        <f t="shared" si="149"/>
        <v/>
      </c>
      <c r="EY290" t="str">
        <f t="shared" si="150"/>
        <v/>
      </c>
      <c r="FB290" t="str">
        <f t="shared" si="151"/>
        <v/>
      </c>
      <c r="FE290" t="str">
        <f t="shared" si="152"/>
        <v/>
      </c>
      <c r="FH290" t="str">
        <f t="shared" si="153"/>
        <v/>
      </c>
      <c r="FK290" t="str">
        <f t="shared" si="154"/>
        <v/>
      </c>
      <c r="FN290" t="str">
        <f t="shared" si="155"/>
        <v/>
      </c>
      <c r="FQ290" t="str">
        <f t="shared" si="156"/>
        <v/>
      </c>
      <c r="FT290" t="str">
        <f t="shared" si="157"/>
        <v/>
      </c>
      <c r="FW290" t="str">
        <f t="shared" si="158"/>
        <v/>
      </c>
      <c r="FZ290" t="str">
        <f t="shared" si="159"/>
        <v/>
      </c>
      <c r="GC290" t="str">
        <f t="shared" si="160"/>
        <v/>
      </c>
      <c r="GE290" s="155"/>
    </row>
    <row r="291" spans="4:187" ht="15" customHeight="1" x14ac:dyDescent="0.35">
      <c r="D291" s="671"/>
      <c r="L291" s="10" t="s">
        <v>865</v>
      </c>
      <c r="O291" s="5">
        <v>1</v>
      </c>
      <c r="P291" s="5"/>
      <c r="Q291" s="5"/>
      <c r="R291" s="5"/>
      <c r="S291" s="5"/>
      <c r="T291" s="5"/>
      <c r="U291" s="5">
        <v>5</v>
      </c>
      <c r="V291" s="5" t="s">
        <v>87</v>
      </c>
      <c r="W291" s="5">
        <v>5</v>
      </c>
      <c r="X291" s="5">
        <v>5</v>
      </c>
      <c r="Y291" s="5">
        <v>5</v>
      </c>
      <c r="Z291" s="5">
        <v>5</v>
      </c>
      <c r="AA291" s="5">
        <v>5</v>
      </c>
      <c r="AB291" s="5">
        <v>5</v>
      </c>
      <c r="AC291" s="5">
        <v>5</v>
      </c>
      <c r="AD291" s="5">
        <v>5</v>
      </c>
      <c r="AE291" s="5">
        <v>5</v>
      </c>
      <c r="AF291" s="5">
        <v>5</v>
      </c>
      <c r="AG291" s="5">
        <v>5</v>
      </c>
      <c r="AH291" s="5">
        <v>5</v>
      </c>
      <c r="AI291" s="5">
        <v>5</v>
      </c>
      <c r="AJ291" s="5">
        <v>5</v>
      </c>
      <c r="AK291" s="5">
        <v>5</v>
      </c>
      <c r="AL291" s="5">
        <v>5</v>
      </c>
      <c r="AM291" s="5">
        <v>5</v>
      </c>
      <c r="AN291" s="5">
        <v>5</v>
      </c>
      <c r="AO291" s="5">
        <v>5</v>
      </c>
      <c r="AP291" s="5">
        <v>5</v>
      </c>
      <c r="AQ291" s="5">
        <v>5</v>
      </c>
      <c r="AR291" s="5">
        <v>5</v>
      </c>
      <c r="AS291" s="5">
        <v>5</v>
      </c>
      <c r="AT291" s="5">
        <v>5</v>
      </c>
      <c r="AU291" s="5">
        <v>5</v>
      </c>
      <c r="AV291" s="5">
        <v>5</v>
      </c>
      <c r="AW291" s="5">
        <v>5</v>
      </c>
      <c r="AX291" s="5">
        <v>5</v>
      </c>
      <c r="AY291" s="5">
        <v>5</v>
      </c>
      <c r="AZ291" s="5">
        <v>5</v>
      </c>
      <c r="BA291" s="5">
        <v>5</v>
      </c>
      <c r="BB291" s="5"/>
      <c r="BC291" s="5"/>
      <c r="BD291" s="5"/>
      <c r="BF291">
        <f>ROWS($U$46:U291)</f>
        <v>246</v>
      </c>
      <c r="BG291" t="str">
        <f t="shared" si="140"/>
        <v/>
      </c>
      <c r="DB291" s="10">
        <v>1228501</v>
      </c>
      <c r="DE291" s="10">
        <v>1282370</v>
      </c>
      <c r="DF291" s="10" t="s">
        <v>2415</v>
      </c>
      <c r="DG291" s="10" t="s">
        <v>2415</v>
      </c>
      <c r="DH291" s="10">
        <v>16</v>
      </c>
      <c r="DI291" s="10">
        <v>1613</v>
      </c>
      <c r="DJ291" s="10" t="s">
        <v>2416</v>
      </c>
      <c r="DL291" s="10" t="s">
        <v>2159</v>
      </c>
      <c r="DO291" s="10">
        <v>497</v>
      </c>
      <c r="DR291" s="10" t="str">
        <f t="shared" si="164"/>
        <v xml:space="preserve">1613 CT436MV3 </v>
      </c>
      <c r="DS291" s="37">
        <f t="shared" si="162"/>
        <v>359.80880000000002</v>
      </c>
      <c r="DT291" s="10">
        <v>276.77600000000001</v>
      </c>
      <c r="EE291" s="10">
        <f t="shared" si="139"/>
        <v>0</v>
      </c>
      <c r="EF291">
        <f>ROWS($DE$2:DE291)</f>
        <v>290</v>
      </c>
      <c r="EG291" t="str">
        <f t="shared" si="144"/>
        <v/>
      </c>
      <c r="EJ291" t="str">
        <f t="shared" si="145"/>
        <v/>
      </c>
      <c r="EM291" t="str">
        <f t="shared" si="146"/>
        <v/>
      </c>
      <c r="EP291" t="str">
        <f t="shared" si="147"/>
        <v/>
      </c>
      <c r="ES291" t="str">
        <f t="shared" si="148"/>
        <v/>
      </c>
      <c r="EV291" t="str">
        <f t="shared" si="149"/>
        <v/>
      </c>
      <c r="EY291" t="str">
        <f t="shared" si="150"/>
        <v/>
      </c>
      <c r="FB291" t="str">
        <f t="shared" si="151"/>
        <v/>
      </c>
      <c r="FE291" t="str">
        <f t="shared" si="152"/>
        <v/>
      </c>
      <c r="FH291" t="str">
        <f t="shared" si="153"/>
        <v/>
      </c>
      <c r="FK291" t="str">
        <f t="shared" si="154"/>
        <v/>
      </c>
      <c r="FN291" t="str">
        <f t="shared" si="155"/>
        <v/>
      </c>
      <c r="FQ291" t="str">
        <f t="shared" si="156"/>
        <v/>
      </c>
      <c r="FT291" t="str">
        <f t="shared" si="157"/>
        <v/>
      </c>
      <c r="FW291" t="str">
        <f t="shared" si="158"/>
        <v/>
      </c>
      <c r="FZ291" t="str">
        <f t="shared" si="159"/>
        <v/>
      </c>
      <c r="GC291" t="str">
        <f t="shared" si="160"/>
        <v/>
      </c>
      <c r="GE291" s="155"/>
    </row>
    <row r="292" spans="4:187" ht="15" customHeight="1" x14ac:dyDescent="0.35">
      <c r="D292" s="671"/>
      <c r="L292" s="10" t="s">
        <v>893</v>
      </c>
      <c r="O292" s="5">
        <v>2</v>
      </c>
      <c r="P292" s="5"/>
      <c r="Q292" s="5"/>
      <c r="R292" s="5"/>
      <c r="S292" s="5"/>
      <c r="T292" s="5"/>
      <c r="U292" s="5">
        <v>5</v>
      </c>
      <c r="V292" s="5" t="s">
        <v>88</v>
      </c>
      <c r="W292" s="5">
        <v>5</v>
      </c>
      <c r="X292" s="5">
        <v>5</v>
      </c>
      <c r="Y292" s="5">
        <v>5</v>
      </c>
      <c r="Z292" s="5">
        <v>5</v>
      </c>
      <c r="AA292" s="5">
        <v>5</v>
      </c>
      <c r="AB292" s="5">
        <v>5</v>
      </c>
      <c r="AC292" s="5">
        <v>5</v>
      </c>
      <c r="AD292" s="5">
        <v>5</v>
      </c>
      <c r="AE292" s="5">
        <v>5</v>
      </c>
      <c r="AF292" s="5">
        <v>5</v>
      </c>
      <c r="AG292" s="5">
        <v>5</v>
      </c>
      <c r="AH292" s="5">
        <v>5</v>
      </c>
      <c r="AI292" s="5">
        <v>5</v>
      </c>
      <c r="AJ292" s="5">
        <v>5</v>
      </c>
      <c r="AK292" s="5">
        <v>5</v>
      </c>
      <c r="AL292" s="5">
        <v>5</v>
      </c>
      <c r="AM292" s="5">
        <v>5</v>
      </c>
      <c r="AN292" s="5">
        <v>5</v>
      </c>
      <c r="AO292" s="5">
        <v>5</v>
      </c>
      <c r="AP292" s="5">
        <v>5</v>
      </c>
      <c r="AQ292" s="5">
        <v>5</v>
      </c>
      <c r="AR292" s="5">
        <v>5</v>
      </c>
      <c r="AS292" s="5">
        <v>5</v>
      </c>
      <c r="AT292" s="5">
        <v>5</v>
      </c>
      <c r="AU292" s="5">
        <v>5</v>
      </c>
      <c r="AV292" s="5">
        <v>5</v>
      </c>
      <c r="AW292" s="5">
        <v>5</v>
      </c>
      <c r="AX292" s="5">
        <v>5</v>
      </c>
      <c r="AY292" s="5">
        <v>5</v>
      </c>
      <c r="AZ292" s="5">
        <v>5</v>
      </c>
      <c r="BA292" s="5">
        <v>5</v>
      </c>
      <c r="BB292" s="5"/>
      <c r="BC292" s="5"/>
      <c r="BD292" s="5"/>
      <c r="BF292">
        <f>ROWS($U$46:U292)</f>
        <v>247</v>
      </c>
      <c r="BG292" t="str">
        <f t="shared" si="140"/>
        <v/>
      </c>
      <c r="DB292" s="10">
        <v>1199265</v>
      </c>
      <c r="DE292" s="10">
        <v>2002243</v>
      </c>
      <c r="DF292" s="10" t="s">
        <v>2419</v>
      </c>
      <c r="DG292" s="10" t="s">
        <v>2419</v>
      </c>
      <c r="DH292" s="10">
        <v>13</v>
      </c>
      <c r="DI292" s="10">
        <v>1308</v>
      </c>
      <c r="DJ292" s="10" t="s">
        <v>2417</v>
      </c>
      <c r="DL292" s="10" t="s">
        <v>2159</v>
      </c>
      <c r="DO292" s="10">
        <v>360</v>
      </c>
      <c r="DR292" s="10" t="str">
        <f t="shared" si="164"/>
        <v xml:space="preserve">1308 CT188 </v>
      </c>
      <c r="DS292" s="37">
        <f t="shared" si="162"/>
        <v>361.10880000000003</v>
      </c>
      <c r="DT292" s="10">
        <v>277.77600000000001</v>
      </c>
      <c r="EE292" s="10">
        <f t="shared" si="139"/>
        <v>0</v>
      </c>
      <c r="EF292">
        <f>ROWS($DE$2:DE292)</f>
        <v>291</v>
      </c>
      <c r="EG292" t="str">
        <f t="shared" si="144"/>
        <v/>
      </c>
      <c r="EJ292" t="str">
        <f t="shared" si="145"/>
        <v/>
      </c>
      <c r="EM292" t="str">
        <f t="shared" si="146"/>
        <v/>
      </c>
      <c r="EP292" t="str">
        <f t="shared" si="147"/>
        <v/>
      </c>
      <c r="ES292" t="str">
        <f t="shared" si="148"/>
        <v/>
      </c>
      <c r="EV292" t="str">
        <f t="shared" si="149"/>
        <v/>
      </c>
      <c r="EY292" t="str">
        <f t="shared" si="150"/>
        <v/>
      </c>
      <c r="FB292" t="str">
        <f t="shared" si="151"/>
        <v/>
      </c>
      <c r="FE292" t="str">
        <f t="shared" si="152"/>
        <v/>
      </c>
      <c r="FH292" t="str">
        <f t="shared" si="153"/>
        <v/>
      </c>
      <c r="FK292" t="str">
        <f t="shared" si="154"/>
        <v/>
      </c>
      <c r="FN292" t="str">
        <f t="shared" si="155"/>
        <v/>
      </c>
      <c r="FQ292" t="str">
        <f t="shared" si="156"/>
        <v/>
      </c>
      <c r="FT292" t="str">
        <f t="shared" si="157"/>
        <v/>
      </c>
      <c r="FW292" t="str">
        <f t="shared" si="158"/>
        <v/>
      </c>
      <c r="FZ292" t="str">
        <f t="shared" si="159"/>
        <v/>
      </c>
      <c r="GC292" t="str">
        <f t="shared" si="160"/>
        <v/>
      </c>
      <c r="GE292" s="155"/>
    </row>
    <row r="293" spans="4:187" ht="15" customHeight="1" x14ac:dyDescent="0.35">
      <c r="D293" s="671"/>
      <c r="L293" s="10" t="s">
        <v>1930</v>
      </c>
      <c r="O293" s="5">
        <v>3</v>
      </c>
      <c r="P293" s="5"/>
      <c r="Q293" s="5"/>
      <c r="R293" s="5"/>
      <c r="S293" s="5"/>
      <c r="T293" s="5"/>
      <c r="U293" s="5">
        <v>5</v>
      </c>
      <c r="V293" s="5" t="s">
        <v>89</v>
      </c>
      <c r="W293" s="5">
        <v>5</v>
      </c>
      <c r="X293" s="5">
        <v>5</v>
      </c>
      <c r="Y293" s="5">
        <v>5</v>
      </c>
      <c r="Z293" s="5">
        <v>5</v>
      </c>
      <c r="AA293" s="5">
        <v>5</v>
      </c>
      <c r="AB293" s="5">
        <v>5</v>
      </c>
      <c r="AC293" s="5">
        <v>5</v>
      </c>
      <c r="AD293" s="5">
        <v>5</v>
      </c>
      <c r="AE293" s="5">
        <v>5</v>
      </c>
      <c r="AF293" s="5">
        <v>5</v>
      </c>
      <c r="AG293" s="5">
        <v>5</v>
      </c>
      <c r="AH293" s="5">
        <v>5</v>
      </c>
      <c r="AI293" s="5">
        <v>5</v>
      </c>
      <c r="AJ293" s="5">
        <v>5</v>
      </c>
      <c r="AK293" s="5">
        <v>5</v>
      </c>
      <c r="AL293" s="5">
        <v>5</v>
      </c>
      <c r="AM293" s="5">
        <v>5</v>
      </c>
      <c r="AN293" s="5">
        <v>5</v>
      </c>
      <c r="AO293" s="5">
        <v>5</v>
      </c>
      <c r="AP293" s="5">
        <v>5</v>
      </c>
      <c r="AQ293" s="5">
        <v>5</v>
      </c>
      <c r="AR293" s="5">
        <v>5</v>
      </c>
      <c r="AS293" s="5">
        <v>5</v>
      </c>
      <c r="AT293" s="5">
        <v>5</v>
      </c>
      <c r="AU293" s="5">
        <v>5</v>
      </c>
      <c r="AV293" s="5">
        <v>5</v>
      </c>
      <c r="AW293" s="5">
        <v>5</v>
      </c>
      <c r="AX293" s="5">
        <v>5</v>
      </c>
      <c r="AY293" s="5">
        <v>5</v>
      </c>
      <c r="AZ293" s="5">
        <v>5</v>
      </c>
      <c r="BA293" s="5">
        <v>5</v>
      </c>
      <c r="BB293" s="5"/>
      <c r="BC293" s="5"/>
      <c r="BD293" s="5"/>
      <c r="BF293">
        <f>ROWS($U$46:U293)</f>
        <v>248</v>
      </c>
      <c r="BG293" t="str">
        <f t="shared" si="140"/>
        <v/>
      </c>
      <c r="DB293" s="10">
        <v>2002186</v>
      </c>
      <c r="DE293" s="10">
        <v>2004484</v>
      </c>
      <c r="DF293" s="10" t="s">
        <v>2420</v>
      </c>
      <c r="DG293" s="10" t="s">
        <v>2420</v>
      </c>
      <c r="DH293" s="10">
        <v>13</v>
      </c>
      <c r="DI293" s="10">
        <v>1308</v>
      </c>
      <c r="DJ293" s="10" t="s">
        <v>2418</v>
      </c>
      <c r="DL293" s="10" t="s">
        <v>2159</v>
      </c>
      <c r="DO293" s="10">
        <v>360</v>
      </c>
      <c r="DR293" s="10" t="str">
        <f t="shared" si="164"/>
        <v xml:space="preserve">1308 CT187 </v>
      </c>
      <c r="DS293" s="37">
        <f t="shared" si="162"/>
        <v>362.40880000000004</v>
      </c>
      <c r="DT293" s="10">
        <v>278.77600000000001</v>
      </c>
      <c r="EE293" s="10">
        <f t="shared" si="139"/>
        <v>0</v>
      </c>
      <c r="EF293">
        <f>ROWS($DE$2:DE293)</f>
        <v>292</v>
      </c>
      <c r="EG293" t="str">
        <f t="shared" si="144"/>
        <v/>
      </c>
      <c r="EJ293" t="str">
        <f t="shared" si="145"/>
        <v/>
      </c>
      <c r="EM293" t="str">
        <f t="shared" si="146"/>
        <v/>
      </c>
      <c r="EP293" t="str">
        <f t="shared" si="147"/>
        <v/>
      </c>
      <c r="ES293" t="str">
        <f t="shared" si="148"/>
        <v/>
      </c>
      <c r="EV293" t="str">
        <f t="shared" si="149"/>
        <v/>
      </c>
      <c r="EY293" t="str">
        <f t="shared" si="150"/>
        <v/>
      </c>
      <c r="FB293" t="str">
        <f t="shared" si="151"/>
        <v/>
      </c>
      <c r="FE293" t="str">
        <f t="shared" si="152"/>
        <v/>
      </c>
      <c r="FH293" t="str">
        <f t="shared" si="153"/>
        <v/>
      </c>
      <c r="FK293" t="str">
        <f t="shared" si="154"/>
        <v/>
      </c>
      <c r="FN293" t="str">
        <f t="shared" si="155"/>
        <v/>
      </c>
      <c r="FQ293" t="str">
        <f t="shared" si="156"/>
        <v/>
      </c>
      <c r="FT293" t="str">
        <f t="shared" si="157"/>
        <v/>
      </c>
      <c r="FW293" t="str">
        <f t="shared" si="158"/>
        <v/>
      </c>
      <c r="FZ293" t="str">
        <f t="shared" si="159"/>
        <v/>
      </c>
      <c r="GC293" t="str">
        <f t="shared" si="160"/>
        <v/>
      </c>
      <c r="GE293" s="155"/>
    </row>
    <row r="294" spans="4:187" ht="15" customHeight="1" x14ac:dyDescent="0.35">
      <c r="D294" s="671"/>
      <c r="L294" s="10" t="s">
        <v>1865</v>
      </c>
      <c r="O294" s="5">
        <v>4</v>
      </c>
      <c r="P294" s="5"/>
      <c r="Q294" s="5"/>
      <c r="R294" s="5"/>
      <c r="S294" s="5"/>
      <c r="T294" s="5"/>
      <c r="U294" s="5">
        <v>5</v>
      </c>
      <c r="V294" s="5" t="s">
        <v>90</v>
      </c>
      <c r="W294" s="5">
        <v>5</v>
      </c>
      <c r="X294" s="5">
        <v>5</v>
      </c>
      <c r="Y294" s="5">
        <v>5</v>
      </c>
      <c r="Z294" s="5">
        <v>5</v>
      </c>
      <c r="AA294" s="5">
        <v>5</v>
      </c>
      <c r="AB294" s="5">
        <v>5</v>
      </c>
      <c r="AC294" s="5">
        <v>5</v>
      </c>
      <c r="AD294" s="5">
        <v>5</v>
      </c>
      <c r="AE294" s="5">
        <v>5</v>
      </c>
      <c r="AF294" s="5">
        <v>5</v>
      </c>
      <c r="AG294" s="5">
        <v>5</v>
      </c>
      <c r="AH294" s="5">
        <v>5</v>
      </c>
      <c r="AI294" s="5">
        <v>5</v>
      </c>
      <c r="AJ294" s="5">
        <v>5</v>
      </c>
      <c r="AK294" s="5">
        <v>5</v>
      </c>
      <c r="AL294" s="5">
        <v>5</v>
      </c>
      <c r="AM294" s="5">
        <v>5</v>
      </c>
      <c r="AN294" s="5">
        <v>5</v>
      </c>
      <c r="AO294" s="5">
        <v>5</v>
      </c>
      <c r="AP294" s="5">
        <v>5</v>
      </c>
      <c r="AQ294" s="5">
        <v>5</v>
      </c>
      <c r="AR294" s="5">
        <v>5</v>
      </c>
      <c r="AS294" s="5">
        <v>5</v>
      </c>
      <c r="AT294" s="5">
        <v>5</v>
      </c>
      <c r="AU294" s="5">
        <v>5</v>
      </c>
      <c r="AV294" s="5">
        <v>5</v>
      </c>
      <c r="AW294" s="5">
        <v>5</v>
      </c>
      <c r="AX294" s="5">
        <v>5</v>
      </c>
      <c r="AY294" s="5">
        <v>5</v>
      </c>
      <c r="AZ294" s="5">
        <v>5</v>
      </c>
      <c r="BA294" s="5">
        <v>5</v>
      </c>
      <c r="BB294" s="5"/>
      <c r="BC294" s="5"/>
      <c r="BD294" s="5"/>
      <c r="BF294">
        <f>ROWS($U$46:U294)</f>
        <v>249</v>
      </c>
      <c r="BG294" t="str">
        <f t="shared" si="140"/>
        <v/>
      </c>
      <c r="DB294" s="10">
        <v>1172481</v>
      </c>
      <c r="DE294" s="10">
        <v>2002299</v>
      </c>
      <c r="DF294" s="10" t="s">
        <v>2421</v>
      </c>
      <c r="DG294" s="10" t="s">
        <v>2421</v>
      </c>
      <c r="DH294" s="10">
        <v>16</v>
      </c>
      <c r="DI294" s="10">
        <v>1613</v>
      </c>
      <c r="DJ294" s="10" t="s">
        <v>2418</v>
      </c>
      <c r="DL294" s="10" t="s">
        <v>2159</v>
      </c>
      <c r="DO294" s="10">
        <v>497</v>
      </c>
      <c r="DR294" s="10" t="str">
        <f t="shared" si="164"/>
        <v xml:space="preserve">1613 CT187 </v>
      </c>
      <c r="DS294" s="37">
        <f t="shared" si="162"/>
        <v>363.70880000000005</v>
      </c>
      <c r="DT294" s="10">
        <v>279.77600000000001</v>
      </c>
      <c r="EE294" s="10">
        <f t="shared" si="139"/>
        <v>0</v>
      </c>
      <c r="EF294">
        <f>ROWS($DE$2:DE294)</f>
        <v>293</v>
      </c>
      <c r="EG294" t="str">
        <f t="shared" si="144"/>
        <v/>
      </c>
      <c r="EJ294" t="str">
        <f t="shared" si="145"/>
        <v/>
      </c>
      <c r="EM294" t="str">
        <f t="shared" si="146"/>
        <v/>
      </c>
      <c r="EP294" t="str">
        <f t="shared" si="147"/>
        <v/>
      </c>
      <c r="ES294" t="str">
        <f t="shared" si="148"/>
        <v/>
      </c>
      <c r="EV294" t="str">
        <f t="shared" si="149"/>
        <v/>
      </c>
      <c r="EY294" t="str">
        <f t="shared" si="150"/>
        <v/>
      </c>
      <c r="FB294" t="str">
        <f t="shared" si="151"/>
        <v/>
      </c>
      <c r="FE294" t="str">
        <f t="shared" si="152"/>
        <v/>
      </c>
      <c r="FH294" t="str">
        <f t="shared" si="153"/>
        <v/>
      </c>
      <c r="FK294" t="str">
        <f t="shared" si="154"/>
        <v/>
      </c>
      <c r="FN294" t="str">
        <f t="shared" si="155"/>
        <v/>
      </c>
      <c r="FQ294" t="str">
        <f t="shared" si="156"/>
        <v/>
      </c>
      <c r="FT294" t="str">
        <f t="shared" si="157"/>
        <v/>
      </c>
      <c r="FW294" t="str">
        <f t="shared" si="158"/>
        <v/>
      </c>
      <c r="FZ294" t="str">
        <f t="shared" si="159"/>
        <v/>
      </c>
      <c r="GC294" t="str">
        <f t="shared" si="160"/>
        <v/>
      </c>
      <c r="GE294" s="155"/>
    </row>
    <row r="295" spans="4:187" ht="15" customHeight="1" x14ac:dyDescent="0.35">
      <c r="D295" s="671"/>
      <c r="L295" s="10" t="s">
        <v>1931</v>
      </c>
      <c r="O295" s="5">
        <v>5</v>
      </c>
      <c r="P295" s="5"/>
      <c r="Q295" s="5"/>
      <c r="R295" s="5"/>
      <c r="S295" s="5"/>
      <c r="T295" s="5"/>
      <c r="U295" s="5">
        <v>5</v>
      </c>
      <c r="V295" s="5" t="s">
        <v>91</v>
      </c>
      <c r="W295" s="5">
        <v>5</v>
      </c>
      <c r="X295" s="5">
        <v>5</v>
      </c>
      <c r="Y295" s="5">
        <v>5</v>
      </c>
      <c r="Z295" s="5">
        <v>5</v>
      </c>
      <c r="AA295" s="5">
        <v>5</v>
      </c>
      <c r="AB295" s="5">
        <v>5</v>
      </c>
      <c r="AC295" s="5">
        <v>5</v>
      </c>
      <c r="AD295" s="5">
        <v>5</v>
      </c>
      <c r="AE295" s="5">
        <v>5</v>
      </c>
      <c r="AF295" s="5">
        <v>5</v>
      </c>
      <c r="AG295" s="5">
        <v>5</v>
      </c>
      <c r="AH295" s="5">
        <v>5</v>
      </c>
      <c r="AI295" s="5">
        <v>5</v>
      </c>
      <c r="AJ295" s="5">
        <v>5</v>
      </c>
      <c r="AK295" s="5">
        <v>5</v>
      </c>
      <c r="AL295" s="5">
        <v>5</v>
      </c>
      <c r="AM295" s="5">
        <v>5</v>
      </c>
      <c r="AN295" s="5">
        <v>5</v>
      </c>
      <c r="AO295" s="5">
        <v>5</v>
      </c>
      <c r="AP295" s="5">
        <v>5</v>
      </c>
      <c r="AQ295" s="5">
        <v>5</v>
      </c>
      <c r="AR295" s="5">
        <v>5</v>
      </c>
      <c r="AS295" s="5">
        <v>5</v>
      </c>
      <c r="AT295" s="5">
        <v>5</v>
      </c>
      <c r="AU295" s="5">
        <v>5</v>
      </c>
      <c r="AV295" s="5">
        <v>5</v>
      </c>
      <c r="AW295" s="5">
        <v>5</v>
      </c>
      <c r="AX295" s="5">
        <v>5</v>
      </c>
      <c r="AY295" s="5">
        <v>5</v>
      </c>
      <c r="AZ295" s="5">
        <v>5</v>
      </c>
      <c r="BA295" s="5">
        <v>5</v>
      </c>
      <c r="BB295" s="5"/>
      <c r="BC295" s="5"/>
      <c r="BD295" s="5"/>
      <c r="BF295">
        <f>ROWS($U$46:U295)</f>
        <v>250</v>
      </c>
      <c r="BG295" t="str">
        <f t="shared" si="140"/>
        <v/>
      </c>
      <c r="DB295" s="1125">
        <v>1192902</v>
      </c>
      <c r="DE295" s="10">
        <v>2002244</v>
      </c>
      <c r="DF295" s="10" t="s">
        <v>2425</v>
      </c>
      <c r="DG295" s="10" t="s">
        <v>2425</v>
      </c>
      <c r="DH295" s="10">
        <v>13</v>
      </c>
      <c r="DI295" s="10">
        <v>1313</v>
      </c>
      <c r="DJ295" s="10" t="s">
        <v>2417</v>
      </c>
      <c r="DL295" s="10" t="s">
        <v>2159</v>
      </c>
      <c r="DO295" s="10">
        <v>360</v>
      </c>
      <c r="DR295" s="10" t="str">
        <f t="shared" si="164"/>
        <v xml:space="preserve">1313 CT188 </v>
      </c>
      <c r="DS295" s="37">
        <f t="shared" si="162"/>
        <v>365.00880000000001</v>
      </c>
      <c r="DT295" s="10">
        <v>280.77600000000001</v>
      </c>
      <c r="EE295" s="10">
        <f t="shared" si="139"/>
        <v>0</v>
      </c>
      <c r="EF295">
        <f>ROWS($DE$2:DE295)</f>
        <v>294</v>
      </c>
      <c r="EG295" t="str">
        <f t="shared" si="144"/>
        <v/>
      </c>
      <c r="EJ295" t="str">
        <f t="shared" si="145"/>
        <v/>
      </c>
      <c r="EM295" t="str">
        <f t="shared" si="146"/>
        <v/>
      </c>
      <c r="EP295" t="str">
        <f t="shared" si="147"/>
        <v/>
      </c>
      <c r="ES295" t="str">
        <f t="shared" si="148"/>
        <v/>
      </c>
      <c r="EV295" t="str">
        <f t="shared" si="149"/>
        <v/>
      </c>
      <c r="EY295" t="str">
        <f t="shared" si="150"/>
        <v/>
      </c>
      <c r="FB295" t="str">
        <f t="shared" si="151"/>
        <v/>
      </c>
      <c r="FE295" t="str">
        <f t="shared" si="152"/>
        <v/>
      </c>
      <c r="FH295" t="str">
        <f t="shared" si="153"/>
        <v/>
      </c>
      <c r="FK295" t="str">
        <f t="shared" si="154"/>
        <v/>
      </c>
      <c r="FN295" t="str">
        <f t="shared" si="155"/>
        <v/>
      </c>
      <c r="FQ295" t="str">
        <f t="shared" si="156"/>
        <v/>
      </c>
      <c r="FT295" t="str">
        <f t="shared" si="157"/>
        <v/>
      </c>
      <c r="FW295" t="str">
        <f t="shared" si="158"/>
        <v/>
      </c>
      <c r="FZ295" t="str">
        <f t="shared" si="159"/>
        <v/>
      </c>
      <c r="GC295" t="str">
        <f t="shared" si="160"/>
        <v/>
      </c>
      <c r="GE295" s="155"/>
    </row>
    <row r="296" spans="4:187" ht="15" customHeight="1" x14ac:dyDescent="0.35">
      <c r="D296" s="671"/>
      <c r="L296" s="10" t="s">
        <v>75</v>
      </c>
      <c r="O296" s="5">
        <v>6</v>
      </c>
      <c r="P296" s="5"/>
      <c r="Q296" s="5"/>
      <c r="R296" s="5"/>
      <c r="S296" s="5"/>
      <c r="T296" s="5"/>
      <c r="U296" s="5">
        <v>5</v>
      </c>
      <c r="V296" s="5" t="s">
        <v>92</v>
      </c>
      <c r="W296" s="5">
        <v>5</v>
      </c>
      <c r="X296" s="5">
        <v>5</v>
      </c>
      <c r="Y296" s="5">
        <v>5</v>
      </c>
      <c r="Z296" s="5">
        <v>5</v>
      </c>
      <c r="AA296" s="5">
        <v>5</v>
      </c>
      <c r="AB296" s="5">
        <v>5</v>
      </c>
      <c r="AC296" s="5">
        <v>5</v>
      </c>
      <c r="AD296" s="5">
        <v>5</v>
      </c>
      <c r="AE296" s="5">
        <v>5</v>
      </c>
      <c r="AF296" s="5">
        <v>5</v>
      </c>
      <c r="AG296" s="5">
        <v>5</v>
      </c>
      <c r="AH296" s="5">
        <v>5</v>
      </c>
      <c r="AI296" s="5">
        <v>5</v>
      </c>
      <c r="AJ296" s="5">
        <v>5</v>
      </c>
      <c r="AK296" s="5">
        <v>5</v>
      </c>
      <c r="AL296" s="5">
        <v>5</v>
      </c>
      <c r="AM296" s="5">
        <v>5</v>
      </c>
      <c r="AN296" s="5">
        <v>5</v>
      </c>
      <c r="AO296" s="5">
        <v>5</v>
      </c>
      <c r="AP296" s="5">
        <v>5</v>
      </c>
      <c r="AQ296" s="5">
        <v>5</v>
      </c>
      <c r="AR296" s="5">
        <v>5</v>
      </c>
      <c r="AS296" s="5">
        <v>5</v>
      </c>
      <c r="AT296" s="5">
        <v>5</v>
      </c>
      <c r="AU296" s="5">
        <v>5</v>
      </c>
      <c r="AV296" s="5">
        <v>5</v>
      </c>
      <c r="AW296" s="5">
        <v>5</v>
      </c>
      <c r="AX296" s="5">
        <v>5</v>
      </c>
      <c r="AY296" s="5">
        <v>5</v>
      </c>
      <c r="AZ296" s="5">
        <v>5</v>
      </c>
      <c r="BA296" s="5">
        <v>5</v>
      </c>
      <c r="BB296" s="5"/>
      <c r="BC296" s="5"/>
      <c r="BD296" s="5"/>
      <c r="BF296">
        <f>ROWS($U$46:U296)</f>
        <v>251</v>
      </c>
      <c r="BG296" t="str">
        <f t="shared" si="140"/>
        <v/>
      </c>
      <c r="DB296" s="10">
        <v>643738</v>
      </c>
      <c r="DE296" s="10">
        <v>1228501</v>
      </c>
      <c r="DF296" s="10" t="s">
        <v>2427</v>
      </c>
      <c r="DG296" s="10" t="s">
        <v>2427</v>
      </c>
      <c r="DH296" s="10">
        <v>16</v>
      </c>
      <c r="DI296" s="10">
        <v>1618</v>
      </c>
      <c r="DJ296" s="10" t="s">
        <v>1232</v>
      </c>
      <c r="DL296" s="10" t="s">
        <v>2159</v>
      </c>
      <c r="DO296" s="10">
        <v>360</v>
      </c>
      <c r="DR296" s="10" t="str">
        <f t="shared" si="164"/>
        <v xml:space="preserve">1618 CT182 </v>
      </c>
      <c r="DS296" s="37">
        <f t="shared" si="162"/>
        <v>366.30880000000002</v>
      </c>
      <c r="DT296" s="10">
        <v>281.77600000000001</v>
      </c>
      <c r="EE296" s="10">
        <f t="shared" si="139"/>
        <v>0</v>
      </c>
      <c r="EF296">
        <f>ROWS($DE$2:DE296)</f>
        <v>295</v>
      </c>
      <c r="EG296" t="str">
        <f t="shared" si="144"/>
        <v/>
      </c>
      <c r="EJ296" t="str">
        <f t="shared" si="145"/>
        <v/>
      </c>
      <c r="EM296" t="str">
        <f t="shared" si="146"/>
        <v/>
      </c>
      <c r="EP296" t="str">
        <f t="shared" si="147"/>
        <v/>
      </c>
      <c r="ES296" t="str">
        <f t="shared" si="148"/>
        <v/>
      </c>
      <c r="EV296" t="str">
        <f t="shared" si="149"/>
        <v/>
      </c>
      <c r="EY296" t="str">
        <f t="shared" si="150"/>
        <v/>
      </c>
      <c r="FB296" t="str">
        <f t="shared" si="151"/>
        <v/>
      </c>
      <c r="FE296" t="str">
        <f t="shared" si="152"/>
        <v/>
      </c>
      <c r="FH296" t="str">
        <f t="shared" si="153"/>
        <v/>
      </c>
      <c r="FK296" t="str">
        <f t="shared" si="154"/>
        <v/>
      </c>
      <c r="FN296" t="str">
        <f t="shared" si="155"/>
        <v/>
      </c>
      <c r="FQ296" t="str">
        <f t="shared" si="156"/>
        <v/>
      </c>
      <c r="FT296" t="str">
        <f t="shared" si="157"/>
        <v/>
      </c>
      <c r="FW296" t="str">
        <f t="shared" si="158"/>
        <v/>
      </c>
      <c r="FZ296" t="str">
        <f t="shared" si="159"/>
        <v/>
      </c>
      <c r="GC296" t="str">
        <f t="shared" si="160"/>
        <v/>
      </c>
      <c r="GE296" s="155"/>
    </row>
    <row r="297" spans="4:187" ht="15" customHeight="1" x14ac:dyDescent="0.35">
      <c r="D297" s="671"/>
      <c r="L297" s="10" t="s">
        <v>1128</v>
      </c>
      <c r="O297" s="5">
        <v>7</v>
      </c>
      <c r="P297" s="5"/>
      <c r="Q297" s="5"/>
      <c r="R297" s="5"/>
      <c r="S297" s="5"/>
      <c r="T297" s="5"/>
      <c r="U297" s="5">
        <v>5</v>
      </c>
      <c r="V297" s="5" t="s">
        <v>111</v>
      </c>
      <c r="W297" s="5">
        <v>5</v>
      </c>
      <c r="X297" s="5">
        <v>5</v>
      </c>
      <c r="Y297" s="5">
        <v>5</v>
      </c>
      <c r="Z297" s="5">
        <v>5</v>
      </c>
      <c r="AA297" s="5">
        <v>5</v>
      </c>
      <c r="AB297" s="5">
        <v>5</v>
      </c>
      <c r="AC297" s="5">
        <v>5</v>
      </c>
      <c r="AD297" s="5">
        <v>5</v>
      </c>
      <c r="AE297" s="5">
        <v>5</v>
      </c>
      <c r="AF297" s="5">
        <v>5</v>
      </c>
      <c r="AG297" s="5">
        <v>5</v>
      </c>
      <c r="AH297" s="5">
        <v>5</v>
      </c>
      <c r="AI297" s="5">
        <v>5</v>
      </c>
      <c r="AJ297" s="5">
        <v>5</v>
      </c>
      <c r="AK297" s="5">
        <v>5</v>
      </c>
      <c r="AL297" s="5">
        <v>5</v>
      </c>
      <c r="AM297" s="5">
        <v>5</v>
      </c>
      <c r="AN297" s="5">
        <v>5</v>
      </c>
      <c r="AO297" s="5">
        <v>5</v>
      </c>
      <c r="AP297" s="5">
        <v>5</v>
      </c>
      <c r="AQ297" s="5">
        <v>5</v>
      </c>
      <c r="AR297" s="5">
        <v>5</v>
      </c>
      <c r="AS297" s="5">
        <v>5</v>
      </c>
      <c r="AT297" s="5">
        <v>5</v>
      </c>
      <c r="AU297" s="5">
        <v>5</v>
      </c>
      <c r="AV297" s="5">
        <v>5</v>
      </c>
      <c r="AW297" s="5">
        <v>5</v>
      </c>
      <c r="AX297" s="5">
        <v>5</v>
      </c>
      <c r="AY297" s="5">
        <v>5</v>
      </c>
      <c r="AZ297" s="5">
        <v>5</v>
      </c>
      <c r="BA297" s="5">
        <v>5</v>
      </c>
      <c r="BB297" s="5"/>
      <c r="BC297" s="5"/>
      <c r="BD297" s="5"/>
      <c r="BF297">
        <f>ROWS($U$46:U297)</f>
        <v>252</v>
      </c>
      <c r="BG297" t="str">
        <f t="shared" si="140"/>
        <v/>
      </c>
      <c r="DE297" s="10">
        <v>1199265</v>
      </c>
      <c r="DF297" s="10" t="s">
        <v>2515</v>
      </c>
      <c r="DG297" s="10" t="s">
        <v>2515</v>
      </c>
      <c r="DH297" s="10">
        <v>16</v>
      </c>
      <c r="DI297" s="10">
        <v>1613</v>
      </c>
      <c r="DJ297" s="10" t="s">
        <v>2133</v>
      </c>
      <c r="DL297" s="10" t="s">
        <v>2072</v>
      </c>
      <c r="DO297" s="10">
        <v>497</v>
      </c>
      <c r="DR297" s="10" t="str">
        <f t="shared" si="164"/>
        <v xml:space="preserve">1613 CT158 </v>
      </c>
      <c r="DS297" s="37">
        <f t="shared" ref="DS297" si="165">DT297*1.3</f>
        <v>367.60880000000003</v>
      </c>
      <c r="DT297" s="10">
        <v>282.77600000000001</v>
      </c>
      <c r="EE297" s="10">
        <f t="shared" si="139"/>
        <v>0</v>
      </c>
      <c r="EF297">
        <f>ROWS($DE$2:DE297)</f>
        <v>296</v>
      </c>
      <c r="EG297" t="str">
        <f t="shared" si="144"/>
        <v/>
      </c>
      <c r="EJ297" t="str">
        <f t="shared" si="145"/>
        <v/>
      </c>
      <c r="EM297" t="str">
        <f t="shared" si="146"/>
        <v/>
      </c>
      <c r="EP297" t="str">
        <f t="shared" si="147"/>
        <v/>
      </c>
      <c r="ES297" t="str">
        <f t="shared" si="148"/>
        <v/>
      </c>
      <c r="EV297" t="str">
        <f t="shared" si="149"/>
        <v/>
      </c>
      <c r="EY297" t="str">
        <f t="shared" si="150"/>
        <v/>
      </c>
      <c r="FB297" t="str">
        <f t="shared" si="151"/>
        <v/>
      </c>
      <c r="FE297" t="str">
        <f t="shared" si="152"/>
        <v/>
      </c>
      <c r="FH297" t="str">
        <f t="shared" si="153"/>
        <v/>
      </c>
      <c r="FK297" t="str">
        <f t="shared" si="154"/>
        <v/>
      </c>
      <c r="FN297" t="str">
        <f t="shared" si="155"/>
        <v/>
      </c>
      <c r="FQ297" t="str">
        <f t="shared" si="156"/>
        <v/>
      </c>
      <c r="FT297" t="str">
        <f t="shared" si="157"/>
        <v/>
      </c>
      <c r="FW297" t="str">
        <f t="shared" si="158"/>
        <v/>
      </c>
      <c r="FZ297" t="str">
        <f t="shared" si="159"/>
        <v/>
      </c>
      <c r="GC297" t="str">
        <f t="shared" si="160"/>
        <v/>
      </c>
      <c r="GE297" s="155"/>
    </row>
    <row r="298" spans="4:187" ht="15" customHeight="1" x14ac:dyDescent="0.35">
      <c r="L298" s="10" t="s">
        <v>1135</v>
      </c>
      <c r="O298" s="5">
        <v>8</v>
      </c>
      <c r="P298" s="5"/>
      <c r="Q298" s="5"/>
      <c r="R298" s="5"/>
      <c r="S298" s="5"/>
      <c r="T298" s="5"/>
      <c r="U298" s="5">
        <v>5</v>
      </c>
      <c r="V298" s="5" t="s">
        <v>112</v>
      </c>
      <c r="W298" s="5">
        <v>5</v>
      </c>
      <c r="X298" s="5">
        <v>5</v>
      </c>
      <c r="Y298" s="5">
        <v>5</v>
      </c>
      <c r="Z298" s="5">
        <v>5</v>
      </c>
      <c r="AA298" s="5">
        <v>5</v>
      </c>
      <c r="AB298" s="5">
        <v>5</v>
      </c>
      <c r="AC298" s="5">
        <v>5</v>
      </c>
      <c r="AD298" s="5">
        <v>5</v>
      </c>
      <c r="AE298" s="5">
        <v>5</v>
      </c>
      <c r="AF298" s="5">
        <v>5</v>
      </c>
      <c r="AG298" s="5">
        <v>5</v>
      </c>
      <c r="AH298" s="5">
        <v>5</v>
      </c>
      <c r="AI298" s="5">
        <v>5</v>
      </c>
      <c r="AJ298" s="5">
        <v>5</v>
      </c>
      <c r="AK298" s="5">
        <v>5</v>
      </c>
      <c r="AL298" s="5">
        <v>5</v>
      </c>
      <c r="AM298" s="5">
        <v>5</v>
      </c>
      <c r="AN298" s="5">
        <v>5</v>
      </c>
      <c r="AO298" s="5">
        <v>5</v>
      </c>
      <c r="AP298" s="5">
        <v>5</v>
      </c>
      <c r="AQ298" s="5">
        <v>5</v>
      </c>
      <c r="AR298" s="5">
        <v>5</v>
      </c>
      <c r="AS298" s="5">
        <v>5</v>
      </c>
      <c r="AT298" s="5">
        <v>5</v>
      </c>
      <c r="AU298" s="5">
        <v>5</v>
      </c>
      <c r="AV298" s="5">
        <v>5</v>
      </c>
      <c r="AW298" s="5">
        <v>5</v>
      </c>
      <c r="AX298" s="5">
        <v>5</v>
      </c>
      <c r="AY298" s="5">
        <v>5</v>
      </c>
      <c r="AZ298" s="5">
        <v>5</v>
      </c>
      <c r="BA298" s="5">
        <v>5</v>
      </c>
      <c r="BB298" s="5"/>
      <c r="BC298" s="5"/>
      <c r="BD298" s="5"/>
      <c r="BF298">
        <f>ROWS($U$46:U298)</f>
        <v>253</v>
      </c>
      <c r="BG298" t="str">
        <f t="shared" si="140"/>
        <v/>
      </c>
      <c r="DE298" s="10">
        <v>1100740</v>
      </c>
      <c r="DF298" s="10" t="s">
        <v>2516</v>
      </c>
      <c r="DG298" s="10" t="s">
        <v>2516</v>
      </c>
      <c r="DH298" s="10">
        <v>16</v>
      </c>
      <c r="DI298" s="10">
        <v>1613</v>
      </c>
      <c r="DJ298" s="10" t="s">
        <v>1231</v>
      </c>
      <c r="DL298" s="10" t="s">
        <v>2066</v>
      </c>
      <c r="DO298" s="10">
        <v>497</v>
      </c>
      <c r="DR298" s="10" t="str">
        <f t="shared" si="164"/>
        <v xml:space="preserve">1613 CT418 </v>
      </c>
      <c r="DS298" s="37">
        <f t="shared" ref="DS298" si="166">DT298*1.3</f>
        <v>368.90880000000004</v>
      </c>
      <c r="DT298" s="10">
        <v>283.77600000000001</v>
      </c>
      <c r="EE298" s="10">
        <f t="shared" si="139"/>
        <v>0</v>
      </c>
      <c r="EF298">
        <f>ROWS($DE$2:DE298)</f>
        <v>297</v>
      </c>
      <c r="EG298" t="str">
        <f t="shared" si="144"/>
        <v/>
      </c>
      <c r="EJ298" t="str">
        <f t="shared" si="145"/>
        <v/>
      </c>
      <c r="EM298" t="str">
        <f t="shared" si="146"/>
        <v/>
      </c>
      <c r="EP298" t="str">
        <f t="shared" si="147"/>
        <v/>
      </c>
      <c r="ES298" t="str">
        <f t="shared" si="148"/>
        <v/>
      </c>
      <c r="EV298" t="str">
        <f t="shared" si="149"/>
        <v/>
      </c>
      <c r="EY298" t="str">
        <f t="shared" si="150"/>
        <v/>
      </c>
      <c r="FB298" t="str">
        <f t="shared" si="151"/>
        <v/>
      </c>
      <c r="FE298" t="str">
        <f t="shared" si="152"/>
        <v/>
      </c>
      <c r="FH298" t="str">
        <f t="shared" si="153"/>
        <v/>
      </c>
      <c r="FK298" t="str">
        <f t="shared" si="154"/>
        <v/>
      </c>
      <c r="FN298" t="str">
        <f t="shared" si="155"/>
        <v/>
      </c>
      <c r="FQ298" t="str">
        <f t="shared" si="156"/>
        <v/>
      </c>
      <c r="FT298" t="str">
        <f t="shared" si="157"/>
        <v/>
      </c>
      <c r="FW298" t="str">
        <f t="shared" si="158"/>
        <v/>
      </c>
      <c r="FZ298" t="str">
        <f t="shared" si="159"/>
        <v/>
      </c>
      <c r="GC298" t="str">
        <f t="shared" si="160"/>
        <v/>
      </c>
      <c r="GE298" s="155"/>
    </row>
    <row r="299" spans="4:187" ht="15" customHeight="1" x14ac:dyDescent="0.35">
      <c r="L299" s="10" t="s">
        <v>1129</v>
      </c>
      <c r="O299" s="5">
        <v>9</v>
      </c>
      <c r="P299" s="5"/>
      <c r="Q299" s="5"/>
      <c r="R299" s="5"/>
      <c r="S299" s="5"/>
      <c r="T299" s="5"/>
      <c r="U299" s="5">
        <v>5</v>
      </c>
      <c r="V299" s="5" t="s">
        <v>113</v>
      </c>
      <c r="W299" s="5">
        <v>5</v>
      </c>
      <c r="X299" s="5">
        <v>5</v>
      </c>
      <c r="Y299" s="5">
        <v>5</v>
      </c>
      <c r="Z299" s="5">
        <v>5</v>
      </c>
      <c r="AA299" s="5">
        <v>5</v>
      </c>
      <c r="AB299" s="5">
        <v>5</v>
      </c>
      <c r="AC299" s="5">
        <v>5</v>
      </c>
      <c r="AD299" s="5">
        <v>5</v>
      </c>
      <c r="AE299" s="5">
        <v>5</v>
      </c>
      <c r="AF299" s="5">
        <v>5</v>
      </c>
      <c r="AG299" s="5">
        <v>5</v>
      </c>
      <c r="AH299" s="5">
        <v>5</v>
      </c>
      <c r="AI299" s="5">
        <v>5</v>
      </c>
      <c r="AJ299" s="5">
        <v>5</v>
      </c>
      <c r="AK299" s="5">
        <v>5</v>
      </c>
      <c r="AL299" s="5">
        <v>5</v>
      </c>
      <c r="AM299" s="5">
        <v>5</v>
      </c>
      <c r="AN299" s="5">
        <v>5</v>
      </c>
      <c r="AO299" s="5">
        <v>5</v>
      </c>
      <c r="AP299" s="5">
        <v>5</v>
      </c>
      <c r="AQ299" s="5">
        <v>5</v>
      </c>
      <c r="AR299" s="5">
        <v>5</v>
      </c>
      <c r="AS299" s="5">
        <v>5</v>
      </c>
      <c r="AT299" s="5">
        <v>5</v>
      </c>
      <c r="AU299" s="5">
        <v>5</v>
      </c>
      <c r="AV299" s="5">
        <v>5</v>
      </c>
      <c r="AW299" s="5">
        <v>5</v>
      </c>
      <c r="AX299" s="5">
        <v>5</v>
      </c>
      <c r="AY299" s="5">
        <v>5</v>
      </c>
      <c r="AZ299" s="5">
        <v>5</v>
      </c>
      <c r="BA299" s="5">
        <v>5</v>
      </c>
      <c r="BB299" s="5"/>
      <c r="BC299" s="5"/>
      <c r="BD299" s="5"/>
      <c r="BF299">
        <f>ROWS($U$46:U299)</f>
        <v>254</v>
      </c>
      <c r="BG299" t="str">
        <f t="shared" si="140"/>
        <v/>
      </c>
      <c r="DE299" s="10">
        <v>2002186</v>
      </c>
      <c r="DF299" s="10" t="s">
        <v>2518</v>
      </c>
      <c r="DG299" s="10" t="s">
        <v>2518</v>
      </c>
      <c r="DH299" s="10">
        <v>13</v>
      </c>
      <c r="DI299" s="10">
        <v>1313</v>
      </c>
      <c r="DJ299" s="10" t="s">
        <v>2418</v>
      </c>
      <c r="DL299" s="10" t="s">
        <v>2159</v>
      </c>
      <c r="DO299" s="10">
        <v>360</v>
      </c>
      <c r="DR299" s="10" t="str">
        <f t="shared" ref="DR299:DR300" si="167">DI299 &amp; " " &amp; DJ299 &amp; " " &amp; DK299</f>
        <v xml:space="preserve">1313 CT187 </v>
      </c>
      <c r="DS299" s="37">
        <f t="shared" ref="DS299" si="168">DT299*1.3</f>
        <v>370.20880000000005</v>
      </c>
      <c r="DT299" s="10">
        <v>284.77600000000001</v>
      </c>
      <c r="EE299" s="10">
        <f t="shared" si="139"/>
        <v>0</v>
      </c>
      <c r="EF299">
        <f>ROWS($DE$2:DE299)</f>
        <v>298</v>
      </c>
      <c r="EG299" t="str">
        <f t="shared" si="144"/>
        <v/>
      </c>
      <c r="EJ299" t="str">
        <f t="shared" si="145"/>
        <v/>
      </c>
      <c r="EM299" t="str">
        <f t="shared" si="146"/>
        <v/>
      </c>
      <c r="EP299" t="str">
        <f t="shared" si="147"/>
        <v/>
      </c>
      <c r="ES299" t="str">
        <f t="shared" si="148"/>
        <v/>
      </c>
      <c r="EV299" t="str">
        <f t="shared" si="149"/>
        <v/>
      </c>
      <c r="EY299" t="str">
        <f t="shared" si="150"/>
        <v/>
      </c>
      <c r="FB299" t="str">
        <f t="shared" si="151"/>
        <v/>
      </c>
      <c r="FE299" t="str">
        <f t="shared" si="152"/>
        <v/>
      </c>
      <c r="FH299" t="str">
        <f t="shared" si="153"/>
        <v/>
      </c>
      <c r="FK299" t="str">
        <f t="shared" si="154"/>
        <v/>
      </c>
      <c r="FN299" t="str">
        <f t="shared" si="155"/>
        <v/>
      </c>
      <c r="FQ299" t="str">
        <f t="shared" si="156"/>
        <v/>
      </c>
      <c r="FT299" t="str">
        <f t="shared" si="157"/>
        <v/>
      </c>
      <c r="FW299" t="str">
        <f t="shared" si="158"/>
        <v/>
      </c>
      <c r="FZ299" t="str">
        <f t="shared" si="159"/>
        <v/>
      </c>
      <c r="GC299" t="str">
        <f t="shared" si="160"/>
        <v/>
      </c>
      <c r="GE299" s="155"/>
    </row>
    <row r="300" spans="4:187" ht="15" customHeight="1" x14ac:dyDescent="0.35">
      <c r="L300" s="10" t="s">
        <v>866</v>
      </c>
      <c r="O300" s="5">
        <v>10</v>
      </c>
      <c r="P300" s="5"/>
      <c r="Q300" s="5"/>
      <c r="R300" s="5"/>
      <c r="S300" s="5"/>
      <c r="T300" s="5"/>
      <c r="U300" s="5">
        <v>5</v>
      </c>
      <c r="V300" s="5" t="s">
        <v>114</v>
      </c>
      <c r="W300" s="5">
        <v>5</v>
      </c>
      <c r="X300" s="5">
        <v>5</v>
      </c>
      <c r="Y300" s="5">
        <v>5</v>
      </c>
      <c r="Z300" s="5">
        <v>5</v>
      </c>
      <c r="AA300" s="5">
        <v>5</v>
      </c>
      <c r="AB300" s="5">
        <v>5</v>
      </c>
      <c r="AC300" s="5">
        <v>5</v>
      </c>
      <c r="AD300" s="5">
        <v>5</v>
      </c>
      <c r="AE300" s="5">
        <v>5</v>
      </c>
      <c r="AF300" s="5">
        <v>5</v>
      </c>
      <c r="AG300" s="5">
        <v>5</v>
      </c>
      <c r="AH300" s="5">
        <v>5</v>
      </c>
      <c r="AI300" s="5">
        <v>5</v>
      </c>
      <c r="AJ300" s="5">
        <v>5</v>
      </c>
      <c r="AK300" s="5">
        <v>5</v>
      </c>
      <c r="AL300" s="5">
        <v>5</v>
      </c>
      <c r="AM300" s="5">
        <v>5</v>
      </c>
      <c r="AN300" s="5">
        <v>5</v>
      </c>
      <c r="AO300" s="5">
        <v>5</v>
      </c>
      <c r="AP300" s="5">
        <v>5</v>
      </c>
      <c r="AQ300" s="5">
        <v>5</v>
      </c>
      <c r="AR300" s="5">
        <v>5</v>
      </c>
      <c r="AS300" s="5">
        <v>5</v>
      </c>
      <c r="AT300" s="5">
        <v>5</v>
      </c>
      <c r="AU300" s="5">
        <v>5</v>
      </c>
      <c r="AV300" s="5">
        <v>5</v>
      </c>
      <c r="AW300" s="5">
        <v>5</v>
      </c>
      <c r="AX300" s="5">
        <v>5</v>
      </c>
      <c r="AY300" s="5">
        <v>5</v>
      </c>
      <c r="AZ300" s="5">
        <v>5</v>
      </c>
      <c r="BA300" s="5">
        <v>5</v>
      </c>
      <c r="BB300" s="5"/>
      <c r="BC300" s="5"/>
      <c r="BD300" s="5"/>
      <c r="BF300">
        <f>ROWS($U$46:U300)</f>
        <v>255</v>
      </c>
      <c r="BG300" t="str">
        <f t="shared" si="140"/>
        <v/>
      </c>
      <c r="DE300" s="10">
        <v>1172481</v>
      </c>
      <c r="DF300" s="10" t="s">
        <v>2523</v>
      </c>
      <c r="DG300" s="10" t="s">
        <v>2523</v>
      </c>
      <c r="DH300" s="10">
        <v>13</v>
      </c>
      <c r="DI300" s="10">
        <v>13</v>
      </c>
      <c r="DJ300" s="10" t="s">
        <v>2522</v>
      </c>
      <c r="DO300" s="10">
        <v>360</v>
      </c>
      <c r="DR300" s="10" t="str">
        <f t="shared" si="167"/>
        <v xml:space="preserve">13 WCMAT404 </v>
      </c>
      <c r="DS300" s="37">
        <f t="shared" ref="DS300" si="169">DT300*1.3</f>
        <v>371.50880000000001</v>
      </c>
      <c r="DT300" s="10">
        <v>285.77600000000001</v>
      </c>
      <c r="EE300" s="10">
        <f t="shared" si="139"/>
        <v>0</v>
      </c>
      <c r="EF300">
        <f>ROWS($DE$2:DE300)</f>
        <v>299</v>
      </c>
      <c r="EG300" t="str">
        <f t="shared" si="144"/>
        <v/>
      </c>
      <c r="EJ300" t="str">
        <f t="shared" si="145"/>
        <v/>
      </c>
      <c r="EM300" t="str">
        <f t="shared" si="146"/>
        <v/>
      </c>
      <c r="EP300" t="str">
        <f t="shared" si="147"/>
        <v/>
      </c>
      <c r="ES300" t="str">
        <f t="shared" si="148"/>
        <v/>
      </c>
      <c r="EV300" t="str">
        <f t="shared" si="149"/>
        <v/>
      </c>
      <c r="EY300" t="str">
        <f t="shared" si="150"/>
        <v/>
      </c>
      <c r="FB300" t="str">
        <f t="shared" si="151"/>
        <v/>
      </c>
      <c r="FE300" t="str">
        <f t="shared" si="152"/>
        <v/>
      </c>
      <c r="FH300" t="str">
        <f t="shared" si="153"/>
        <v/>
      </c>
      <c r="FK300" t="str">
        <f t="shared" si="154"/>
        <v/>
      </c>
      <c r="FN300" t="str">
        <f t="shared" si="155"/>
        <v/>
      </c>
      <c r="FQ300" t="str">
        <f t="shared" si="156"/>
        <v/>
      </c>
      <c r="FT300" t="str">
        <f t="shared" si="157"/>
        <v/>
      </c>
      <c r="FW300" t="str">
        <f t="shared" si="158"/>
        <v/>
      </c>
      <c r="FZ300" t="str">
        <f t="shared" si="159"/>
        <v/>
      </c>
      <c r="GC300" t="str">
        <f t="shared" si="160"/>
        <v/>
      </c>
      <c r="GE300" s="155"/>
    </row>
    <row r="301" spans="4:187" ht="15" customHeight="1" x14ac:dyDescent="0.35">
      <c r="L301" s="10" t="s">
        <v>1306</v>
      </c>
      <c r="O301" s="5">
        <v>11</v>
      </c>
      <c r="P301" s="5"/>
      <c r="Q301" s="5"/>
      <c r="R301" s="5"/>
      <c r="S301" s="5"/>
      <c r="T301" s="5"/>
      <c r="U301" s="5">
        <v>5</v>
      </c>
      <c r="V301" s="5" t="s">
        <v>115</v>
      </c>
      <c r="W301" s="5">
        <v>5</v>
      </c>
      <c r="X301" s="5">
        <v>5</v>
      </c>
      <c r="Y301" s="5">
        <v>5</v>
      </c>
      <c r="Z301" s="5">
        <v>5</v>
      </c>
      <c r="AA301" s="5">
        <v>5</v>
      </c>
      <c r="AB301" s="5">
        <v>5</v>
      </c>
      <c r="AC301" s="5">
        <v>5</v>
      </c>
      <c r="AD301" s="5">
        <v>5</v>
      </c>
      <c r="AE301" s="5">
        <v>5</v>
      </c>
      <c r="AF301" s="5">
        <v>5</v>
      </c>
      <c r="AG301" s="5">
        <v>5</v>
      </c>
      <c r="AH301" s="5">
        <v>5</v>
      </c>
      <c r="AI301" s="5">
        <v>5</v>
      </c>
      <c r="AJ301" s="5">
        <v>5</v>
      </c>
      <c r="AK301" s="5">
        <v>5</v>
      </c>
      <c r="AL301" s="5">
        <v>5</v>
      </c>
      <c r="AM301" s="5">
        <v>5</v>
      </c>
      <c r="AN301" s="5">
        <v>5</v>
      </c>
      <c r="AO301" s="5">
        <v>5</v>
      </c>
      <c r="AP301" s="5">
        <v>5</v>
      </c>
      <c r="AQ301" s="5">
        <v>5</v>
      </c>
      <c r="AR301" s="5">
        <v>5</v>
      </c>
      <c r="AS301" s="5">
        <v>5</v>
      </c>
      <c r="AT301" s="5">
        <v>5</v>
      </c>
      <c r="AU301" s="5">
        <v>5</v>
      </c>
      <c r="AV301" s="5">
        <v>5</v>
      </c>
      <c r="AW301" s="5">
        <v>5</v>
      </c>
      <c r="AX301" s="5">
        <v>5</v>
      </c>
      <c r="AY301" s="5">
        <v>5</v>
      </c>
      <c r="AZ301" s="5">
        <v>5</v>
      </c>
      <c r="BA301" s="5">
        <v>5</v>
      </c>
      <c r="BB301" s="5"/>
      <c r="BC301" s="5"/>
      <c r="BD301" s="5"/>
      <c r="BF301">
        <f>ROWS($U$46:U301)</f>
        <v>256</v>
      </c>
      <c r="BG301" t="str">
        <f t="shared" si="140"/>
        <v/>
      </c>
      <c r="DE301" s="10">
        <v>1192902</v>
      </c>
      <c r="DF301" s="10" t="s">
        <v>2528</v>
      </c>
      <c r="DG301" s="10" t="s">
        <v>2528</v>
      </c>
      <c r="DH301" s="10">
        <v>12</v>
      </c>
      <c r="DI301" s="10">
        <v>12</v>
      </c>
      <c r="DJ301" s="10" t="s">
        <v>2529</v>
      </c>
      <c r="DO301" s="10">
        <v>360</v>
      </c>
      <c r="DR301" s="10" t="str">
        <f t="shared" ref="DR301:DR302" si="170">DI301 &amp; " " &amp; DJ301 &amp; " " &amp; DK301</f>
        <v xml:space="preserve">12 CT200NL </v>
      </c>
      <c r="DS301" s="37">
        <f t="shared" ref="DS301" si="171">DT301*1.3</f>
        <v>372.80880000000002</v>
      </c>
      <c r="DT301" s="10">
        <v>286.77600000000001</v>
      </c>
      <c r="EE301" s="10">
        <f t="shared" si="139"/>
        <v>0</v>
      </c>
      <c r="EF301">
        <f>ROWS($DE$2:DE301)</f>
        <v>300</v>
      </c>
      <c r="EG301" t="str">
        <f t="shared" ref="EG301" si="172">IF($CY$60&lt;&gt;0,IF($CY$60=DE301,EF301,""),"")</f>
        <v/>
      </c>
      <c r="EJ301" t="str">
        <f t="shared" ref="EJ301" si="173">IF($CY$61&lt;&gt;0,IF($CY$61=DE301,EF301,""),"")</f>
        <v/>
      </c>
      <c r="EM301" t="str">
        <f t="shared" ref="EM301" si="174">IF($CY$62&lt;&gt;0,IF($CY$62=DE301,EF301,""),"")</f>
        <v/>
      </c>
      <c r="EP301" t="str">
        <f t="shared" ref="EP301" si="175">IF($CY$63&lt;&gt;0,IF($CY$63=DE301,EF301,""),"")</f>
        <v/>
      </c>
      <c r="ES301" t="str">
        <f t="shared" ref="ES301" si="176">IF($CY$64&lt;&gt;0,IF($CY$64=DE301,EF301,""),"")</f>
        <v/>
      </c>
      <c r="EV301" t="str">
        <f t="shared" ref="EV301" si="177">IF($CY$65&lt;&gt;0,IF($CY$65=DE301,EF301,""),"")</f>
        <v/>
      </c>
      <c r="EY301" t="str">
        <f t="shared" ref="EY301" si="178">IF($CY$66&lt;&gt;0,IF($CY$66=DE301,EF301,""),"")</f>
        <v/>
      </c>
      <c r="FB301" t="str">
        <f t="shared" ref="FB301" si="179">IF($CY$67&lt;&gt;0,IF($CY$67=DE301,EF301,""),"")</f>
        <v/>
      </c>
      <c r="FE301" t="str">
        <f t="shared" ref="FE301" si="180">IF($CY$68&lt;&gt;0,IF($CY$68=DE301,EF301,""),"")</f>
        <v/>
      </c>
      <c r="FH301" t="str">
        <f t="shared" ref="FH301" si="181">IF($CY$69&lt;&gt;0,IF($CY$69=DE301,EF301,""),"")</f>
        <v/>
      </c>
      <c r="FK301" t="str">
        <f t="shared" ref="FK301" si="182">IF($CY$70&lt;&gt;0, IF($CY$70=DE301, EF301, ""), "")</f>
        <v/>
      </c>
      <c r="FN301" t="str">
        <f t="shared" ref="FN301" si="183">IF($CY$71&lt;&gt;0, IF($CY$71=DE301, EF301, ""), "")</f>
        <v/>
      </c>
      <c r="FQ301" t="str">
        <f t="shared" ref="FQ301" si="184">IF($CY$72&lt;&gt;0, IF($CY$72=DE301, EF301, ""), "")</f>
        <v/>
      </c>
      <c r="FT301" t="str">
        <f t="shared" ref="FT301" si="185">IF($CY$73&lt;&gt;0, IF($CY$73=DE301, EF301, ""), "")</f>
        <v/>
      </c>
      <c r="FW301" t="str">
        <f t="shared" ref="FW301" si="186">IF($CY$74&lt;&gt;0, IF($CY$74=DE301, EF301, ""), "")</f>
        <v/>
      </c>
      <c r="FZ301" t="str">
        <f t="shared" ref="FZ301" si="187">IF($CY$75&lt;&gt;0, IF($CY$75=DE301, EF301, ""), "")</f>
        <v/>
      </c>
      <c r="GC301" t="str">
        <f t="shared" ref="GC301" si="188">IF($CY$76&lt;&gt;0, IF($CY$76=DE301, EF301, ""), "")</f>
        <v/>
      </c>
      <c r="GE301" s="155"/>
    </row>
    <row r="302" spans="4:187" ht="15" customHeight="1" x14ac:dyDescent="0.35">
      <c r="L302" s="10" t="s">
        <v>1932</v>
      </c>
      <c r="O302" s="5">
        <v>12</v>
      </c>
      <c r="P302" s="5"/>
      <c r="Q302" s="5"/>
      <c r="R302" s="5"/>
      <c r="S302" s="5"/>
      <c r="T302" s="5"/>
      <c r="U302" s="5">
        <v>5</v>
      </c>
      <c r="V302" s="5" t="s">
        <v>736</v>
      </c>
      <c r="W302" s="5">
        <v>5</v>
      </c>
      <c r="X302" s="5">
        <v>5</v>
      </c>
      <c r="Y302" s="5">
        <v>5</v>
      </c>
      <c r="Z302" s="5">
        <v>5</v>
      </c>
      <c r="AA302" s="5">
        <v>5</v>
      </c>
      <c r="AB302" s="5">
        <v>5</v>
      </c>
      <c r="AC302" s="5">
        <v>5</v>
      </c>
      <c r="AD302" s="5">
        <v>5</v>
      </c>
      <c r="AE302" s="5">
        <v>5</v>
      </c>
      <c r="AF302" s="5">
        <v>5</v>
      </c>
      <c r="AG302" s="5">
        <v>5</v>
      </c>
      <c r="AH302" s="5">
        <v>5</v>
      </c>
      <c r="AI302" s="5">
        <v>5</v>
      </c>
      <c r="AJ302" s="5">
        <v>5</v>
      </c>
      <c r="AK302" s="5">
        <v>5</v>
      </c>
      <c r="AL302" s="5">
        <v>5</v>
      </c>
      <c r="AM302" s="5">
        <v>5</v>
      </c>
      <c r="AN302" s="5">
        <v>5</v>
      </c>
      <c r="AO302" s="5">
        <v>5</v>
      </c>
      <c r="AP302" s="5">
        <v>5</v>
      </c>
      <c r="AQ302" s="5">
        <v>5</v>
      </c>
      <c r="AR302" s="5">
        <v>5</v>
      </c>
      <c r="AS302" s="5">
        <v>5</v>
      </c>
      <c r="AT302" s="5">
        <v>5</v>
      </c>
      <c r="AU302" s="5">
        <v>5</v>
      </c>
      <c r="AV302" s="5">
        <v>5</v>
      </c>
      <c r="AW302" s="5">
        <v>5</v>
      </c>
      <c r="AX302" s="5">
        <v>5</v>
      </c>
      <c r="AY302" s="5">
        <v>5</v>
      </c>
      <c r="AZ302" s="5">
        <v>5</v>
      </c>
      <c r="BA302" s="5">
        <v>5</v>
      </c>
      <c r="BB302" s="5"/>
      <c r="BC302" s="5"/>
      <c r="BD302" s="5"/>
      <c r="BF302">
        <f>ROWS($U$46:U302)</f>
        <v>257</v>
      </c>
      <c r="BG302" t="str">
        <f t="shared" si="140"/>
        <v/>
      </c>
      <c r="CQ302" s="1050"/>
      <c r="CR302" s="1051"/>
      <c r="CS302" s="1051"/>
      <c r="DE302" s="10">
        <v>1146737</v>
      </c>
      <c r="DF302" s="10" t="s">
        <v>2530</v>
      </c>
      <c r="DG302" s="10" t="s">
        <v>2530</v>
      </c>
      <c r="DH302" s="10">
        <v>16</v>
      </c>
      <c r="DI302" s="10">
        <v>1613</v>
      </c>
      <c r="DJ302" s="10" t="s">
        <v>1231</v>
      </c>
      <c r="DL302" s="10" t="s">
        <v>2225</v>
      </c>
      <c r="DO302" s="10">
        <v>497</v>
      </c>
      <c r="DR302" s="10" t="str">
        <f t="shared" si="170"/>
        <v xml:space="preserve">1613 CT418 </v>
      </c>
      <c r="DS302" s="37">
        <f t="shared" ref="DS302" si="189">DT302*1.3</f>
        <v>374.10880000000003</v>
      </c>
      <c r="DT302" s="10">
        <v>287.77600000000001</v>
      </c>
      <c r="DV302" s="10" t="s">
        <v>49</v>
      </c>
      <c r="DW302" s="10" t="s">
        <v>1590</v>
      </c>
      <c r="DX302" s="10">
        <v>30</v>
      </c>
      <c r="DY302" s="10" t="s">
        <v>1673</v>
      </c>
      <c r="DZ302" s="10" t="s">
        <v>1668</v>
      </c>
      <c r="EA302" s="10">
        <v>1</v>
      </c>
      <c r="EB302" s="10" t="s">
        <v>1513</v>
      </c>
      <c r="EC302" s="10">
        <v>662</v>
      </c>
      <c r="ED302" s="10" t="s">
        <v>1736</v>
      </c>
      <c r="EE302" s="10">
        <f t="shared" si="139"/>
        <v>0</v>
      </c>
      <c r="EF302">
        <f>ROWS($DE$2:DE302)</f>
        <v>301</v>
      </c>
      <c r="EG302" t="str">
        <f t="shared" ref="EG302" si="190">IF($CY$60&lt;&gt;0,IF($CY$60=DE302,EF302,""),"")</f>
        <v/>
      </c>
      <c r="EJ302" t="str">
        <f t="shared" ref="EJ302" si="191">IF($CY$61&lt;&gt;0,IF($CY$61=DE302,EF302,""),"")</f>
        <v/>
      </c>
      <c r="EM302" t="str">
        <f t="shared" ref="EM302" si="192">IF($CY$62&lt;&gt;0,IF($CY$62=DE302,EF302,""),"")</f>
        <v/>
      </c>
      <c r="EP302" t="str">
        <f t="shared" ref="EP302" si="193">IF($CY$63&lt;&gt;0,IF($CY$63=DE302,EF302,""),"")</f>
        <v/>
      </c>
      <c r="ES302" t="str">
        <f t="shared" ref="ES302" si="194">IF($CY$64&lt;&gt;0,IF($CY$64=DE302,EF302,""),"")</f>
        <v/>
      </c>
      <c r="EV302" t="str">
        <f t="shared" ref="EV302" si="195">IF($CY$65&lt;&gt;0,IF($CY$65=DE302,EF302,""),"")</f>
        <v/>
      </c>
      <c r="EY302" t="str">
        <f t="shared" ref="EY302" si="196">IF($CY$66&lt;&gt;0,IF($CY$66=DE302,EF302,""),"")</f>
        <v/>
      </c>
      <c r="FB302" t="str">
        <f t="shared" ref="FB302" si="197">IF($CY$67&lt;&gt;0,IF($CY$67=DE302,EF302,""),"")</f>
        <v/>
      </c>
      <c r="FE302" t="str">
        <f t="shared" ref="FE302" si="198">IF($CY$68&lt;&gt;0,IF($CY$68=DE302,EF302,""),"")</f>
        <v/>
      </c>
      <c r="FH302" t="str">
        <f t="shared" ref="FH302" si="199">IF($CY$69&lt;&gt;0,IF($CY$69=DE302,EF302,""),"")</f>
        <v/>
      </c>
      <c r="FK302" t="str">
        <f t="shared" ref="FK302" si="200">IF($CY$70&lt;&gt;0, IF($CY$70=DE302, EF302, ""), "")</f>
        <v/>
      </c>
      <c r="FN302" t="str">
        <f t="shared" ref="FN302" si="201">IF($CY$71&lt;&gt;0, IF($CY$71=DE302, EF302, ""), "")</f>
        <v/>
      </c>
      <c r="FQ302" t="str">
        <f t="shared" ref="FQ302" si="202">IF($CY$72&lt;&gt;0, IF($CY$72=DE302, EF302, ""), "")</f>
        <v/>
      </c>
      <c r="FT302" t="str">
        <f t="shared" ref="FT302" si="203">IF($CY$73&lt;&gt;0, IF($CY$73=DE302, EF302, ""), "")</f>
        <v/>
      </c>
      <c r="FW302" t="str">
        <f t="shared" ref="FW302" si="204">IF($CY$74&lt;&gt;0, IF($CY$74=DE302, EF302, ""), "")</f>
        <v/>
      </c>
      <c r="FZ302" t="str">
        <f t="shared" ref="FZ302" si="205">IF($CY$75&lt;&gt;0, IF($CY$75=DE302, EF302, ""), "")</f>
        <v/>
      </c>
      <c r="GC302" t="str">
        <f t="shared" ref="GC302" si="206">IF($CY$76&lt;&gt;0, IF($CY$76=DE302, EF302, ""), "")</f>
        <v/>
      </c>
      <c r="GE302" s="155"/>
    </row>
    <row r="303" spans="4:187" ht="15" customHeight="1" x14ac:dyDescent="0.35">
      <c r="L303" s="10" t="s">
        <v>1322</v>
      </c>
      <c r="O303" s="5">
        <v>1</v>
      </c>
      <c r="P303" s="5"/>
      <c r="Q303" s="5"/>
      <c r="R303" s="5"/>
      <c r="S303" s="5"/>
      <c r="T303" s="5"/>
      <c r="U303" s="5">
        <v>6</v>
      </c>
      <c r="V303" s="5" t="s">
        <v>87</v>
      </c>
      <c r="W303" s="5">
        <v>6</v>
      </c>
      <c r="X303" s="5">
        <v>6</v>
      </c>
      <c r="Y303" s="5">
        <v>6</v>
      </c>
      <c r="Z303" s="5">
        <v>6</v>
      </c>
      <c r="AA303" s="5">
        <v>6</v>
      </c>
      <c r="AB303" s="5">
        <v>6</v>
      </c>
      <c r="AC303" s="5">
        <v>6</v>
      </c>
      <c r="AD303" s="5">
        <v>6</v>
      </c>
      <c r="AE303" s="5">
        <v>6</v>
      </c>
      <c r="AF303" s="5">
        <v>6</v>
      </c>
      <c r="AG303" s="5">
        <v>6</v>
      </c>
      <c r="AH303" s="5">
        <v>6</v>
      </c>
      <c r="AI303" s="5">
        <v>6</v>
      </c>
      <c r="AJ303" s="5">
        <v>6</v>
      </c>
      <c r="AK303" s="5">
        <v>6</v>
      </c>
      <c r="AL303" s="5">
        <v>6</v>
      </c>
      <c r="AM303" s="5">
        <v>6</v>
      </c>
      <c r="AN303" s="5">
        <v>6</v>
      </c>
      <c r="AO303" s="5">
        <v>6</v>
      </c>
      <c r="AP303" s="5">
        <v>6</v>
      </c>
      <c r="AQ303" s="5">
        <v>6</v>
      </c>
      <c r="AR303" s="5">
        <v>6</v>
      </c>
      <c r="AS303" s="5">
        <v>6</v>
      </c>
      <c r="AT303" s="5">
        <v>6</v>
      </c>
      <c r="AU303" s="5">
        <v>6</v>
      </c>
      <c r="AV303" s="5">
        <v>6</v>
      </c>
      <c r="AW303" s="5">
        <v>6</v>
      </c>
      <c r="AX303" s="5">
        <v>6</v>
      </c>
      <c r="AY303" s="5">
        <v>6</v>
      </c>
      <c r="AZ303" s="5">
        <v>6</v>
      </c>
      <c r="BA303" s="5">
        <v>6</v>
      </c>
      <c r="BB303" s="5"/>
      <c r="BC303" s="5"/>
      <c r="BD303" s="5"/>
      <c r="BF303">
        <f>ROWS($U$46:U303)</f>
        <v>258</v>
      </c>
      <c r="BG303" t="str">
        <f t="shared" ref="BG303:BG366" si="207">IF(VALUE(SUBSTITUTE($B$5,"M",""))=U303,BF303,"")</f>
        <v/>
      </c>
      <c r="CQ303" s="1049"/>
      <c r="CR303" s="1048"/>
      <c r="CS303" s="1048"/>
    </row>
    <row r="304" spans="4:187" ht="15" customHeight="1" x14ac:dyDescent="0.35">
      <c r="L304" s="10" t="s">
        <v>867</v>
      </c>
      <c r="O304" s="5">
        <v>2</v>
      </c>
      <c r="P304" s="5"/>
      <c r="Q304" s="5"/>
      <c r="R304" s="5"/>
      <c r="S304" s="5"/>
      <c r="T304" s="5"/>
      <c r="U304" s="5">
        <v>6</v>
      </c>
      <c r="V304" s="5" t="s">
        <v>88</v>
      </c>
      <c r="W304" s="5">
        <v>6</v>
      </c>
      <c r="X304" s="5">
        <v>6</v>
      </c>
      <c r="Y304" s="5">
        <v>6</v>
      </c>
      <c r="Z304" s="5">
        <v>6</v>
      </c>
      <c r="AA304" s="5">
        <v>6</v>
      </c>
      <c r="AB304" s="5">
        <v>6</v>
      </c>
      <c r="AC304" s="5">
        <v>6</v>
      </c>
      <c r="AD304" s="5">
        <v>6</v>
      </c>
      <c r="AE304" s="5">
        <v>6</v>
      </c>
      <c r="AF304" s="5">
        <v>6</v>
      </c>
      <c r="AG304" s="5">
        <v>6</v>
      </c>
      <c r="AH304" s="5">
        <v>6</v>
      </c>
      <c r="AI304" s="5">
        <v>6</v>
      </c>
      <c r="AJ304" s="5">
        <v>6</v>
      </c>
      <c r="AK304" s="5">
        <v>6</v>
      </c>
      <c r="AL304" s="5">
        <v>6</v>
      </c>
      <c r="AM304" s="5">
        <v>6</v>
      </c>
      <c r="AN304" s="5">
        <v>6</v>
      </c>
      <c r="AO304" s="5">
        <v>6</v>
      </c>
      <c r="AP304" s="5">
        <v>6</v>
      </c>
      <c r="AQ304" s="5">
        <v>6</v>
      </c>
      <c r="AR304" s="5">
        <v>6</v>
      </c>
      <c r="AS304" s="5">
        <v>6</v>
      </c>
      <c r="AT304" s="5">
        <v>6</v>
      </c>
      <c r="AU304" s="5">
        <v>6</v>
      </c>
      <c r="AV304" s="5">
        <v>6</v>
      </c>
      <c r="AW304" s="5">
        <v>6</v>
      </c>
      <c r="AX304" s="5">
        <v>6</v>
      </c>
      <c r="AY304" s="5">
        <v>6</v>
      </c>
      <c r="AZ304" s="5">
        <v>6</v>
      </c>
      <c r="BA304" s="5">
        <v>6</v>
      </c>
      <c r="BB304" s="5"/>
      <c r="BC304" s="5"/>
      <c r="BD304" s="5"/>
      <c r="BF304">
        <f>ROWS($U$46:U304)</f>
        <v>259</v>
      </c>
      <c r="BG304" t="str">
        <f t="shared" si="207"/>
        <v/>
      </c>
    </row>
    <row r="305" spans="12:105" ht="15" customHeight="1" x14ac:dyDescent="0.35">
      <c r="L305" s="10" t="s">
        <v>1933</v>
      </c>
      <c r="O305" s="5">
        <v>3</v>
      </c>
      <c r="P305" s="5"/>
      <c r="Q305" s="5"/>
      <c r="R305" s="5"/>
      <c r="S305" s="5"/>
      <c r="T305" s="5"/>
      <c r="U305" s="5">
        <v>6</v>
      </c>
      <c r="V305" s="5" t="s">
        <v>89</v>
      </c>
      <c r="W305" s="5">
        <v>6</v>
      </c>
      <c r="X305" s="5">
        <v>6</v>
      </c>
      <c r="Y305" s="5">
        <v>6</v>
      </c>
      <c r="Z305" s="5">
        <v>6</v>
      </c>
      <c r="AA305" s="5">
        <v>6</v>
      </c>
      <c r="AB305" s="5">
        <v>6</v>
      </c>
      <c r="AC305" s="5">
        <v>6</v>
      </c>
      <c r="AD305" s="5">
        <v>6</v>
      </c>
      <c r="AE305" s="5">
        <v>6</v>
      </c>
      <c r="AF305" s="5">
        <v>6</v>
      </c>
      <c r="AG305" s="5">
        <v>6</v>
      </c>
      <c r="AH305" s="5">
        <v>6</v>
      </c>
      <c r="AI305" s="5">
        <v>6</v>
      </c>
      <c r="AJ305" s="5">
        <v>6</v>
      </c>
      <c r="AK305" s="5">
        <v>6</v>
      </c>
      <c r="AL305" s="5">
        <v>6</v>
      </c>
      <c r="AM305" s="5">
        <v>6</v>
      </c>
      <c r="AN305" s="5">
        <v>6</v>
      </c>
      <c r="AO305" s="5">
        <v>6</v>
      </c>
      <c r="AP305" s="5">
        <v>6</v>
      </c>
      <c r="AQ305" s="5">
        <v>6</v>
      </c>
      <c r="AR305" s="5">
        <v>6</v>
      </c>
      <c r="AS305" s="5">
        <v>6</v>
      </c>
      <c r="AT305" s="5">
        <v>6</v>
      </c>
      <c r="AU305" s="5">
        <v>6</v>
      </c>
      <c r="AV305" s="5">
        <v>6</v>
      </c>
      <c r="AW305" s="5">
        <v>6</v>
      </c>
      <c r="AX305" s="5">
        <v>6</v>
      </c>
      <c r="AY305" s="5">
        <v>6</v>
      </c>
      <c r="AZ305" s="5">
        <v>6</v>
      </c>
      <c r="BA305" s="5">
        <v>6</v>
      </c>
      <c r="BB305" s="5"/>
      <c r="BC305" s="5"/>
      <c r="BD305" s="5"/>
      <c r="BF305">
        <f>ROWS($U$46:U305)</f>
        <v>260</v>
      </c>
      <c r="BG305" t="str">
        <f t="shared" si="207"/>
        <v/>
      </c>
      <c r="CZ305" s="1049"/>
      <c r="DA305" s="1048"/>
    </row>
    <row r="306" spans="12:105" ht="15" customHeight="1" x14ac:dyDescent="0.35">
      <c r="L306" s="10" t="s">
        <v>76</v>
      </c>
      <c r="O306" s="5">
        <v>4</v>
      </c>
      <c r="P306" s="5"/>
      <c r="Q306" s="5"/>
      <c r="R306" s="5"/>
      <c r="S306" s="5"/>
      <c r="T306" s="5"/>
      <c r="U306" s="5">
        <v>6</v>
      </c>
      <c r="V306" s="5" t="s">
        <v>90</v>
      </c>
      <c r="W306" s="5">
        <v>6</v>
      </c>
      <c r="X306" s="5">
        <v>6</v>
      </c>
      <c r="Y306" s="5">
        <v>6</v>
      </c>
      <c r="Z306" s="5">
        <v>6</v>
      </c>
      <c r="AA306" s="5">
        <v>6</v>
      </c>
      <c r="AB306" s="5">
        <v>6</v>
      </c>
      <c r="AC306" s="5">
        <v>6</v>
      </c>
      <c r="AD306" s="5">
        <v>6</v>
      </c>
      <c r="AE306" s="5">
        <v>6</v>
      </c>
      <c r="AF306" s="5">
        <v>6</v>
      </c>
      <c r="AG306" s="5">
        <v>6</v>
      </c>
      <c r="AH306" s="5">
        <v>6</v>
      </c>
      <c r="AI306" s="5">
        <v>6</v>
      </c>
      <c r="AJ306" s="5">
        <v>6</v>
      </c>
      <c r="AK306" s="5">
        <v>6</v>
      </c>
      <c r="AL306" s="5">
        <v>6</v>
      </c>
      <c r="AM306" s="5">
        <v>6</v>
      </c>
      <c r="AN306" s="5">
        <v>6</v>
      </c>
      <c r="AO306" s="5">
        <v>6</v>
      </c>
      <c r="AP306" s="5">
        <v>6</v>
      </c>
      <c r="AQ306" s="5">
        <v>6</v>
      </c>
      <c r="AR306" s="5">
        <v>6</v>
      </c>
      <c r="AS306" s="5">
        <v>6</v>
      </c>
      <c r="AT306" s="5">
        <v>6</v>
      </c>
      <c r="AU306" s="5">
        <v>6</v>
      </c>
      <c r="AV306" s="5">
        <v>6</v>
      </c>
      <c r="AW306" s="5">
        <v>6</v>
      </c>
      <c r="AX306" s="5">
        <v>6</v>
      </c>
      <c r="AY306" s="5">
        <v>6</v>
      </c>
      <c r="AZ306" s="5">
        <v>6</v>
      </c>
      <c r="BA306" s="5">
        <v>6</v>
      </c>
      <c r="BB306" s="5"/>
      <c r="BC306" s="5"/>
      <c r="BD306" s="5"/>
      <c r="BF306">
        <f>ROWS($U$46:U306)</f>
        <v>261</v>
      </c>
      <c r="BG306" t="str">
        <f t="shared" si="207"/>
        <v/>
      </c>
    </row>
    <row r="307" spans="12:105" ht="15" customHeight="1" x14ac:dyDescent="0.35">
      <c r="L307" s="10" t="s">
        <v>1175</v>
      </c>
      <c r="O307" s="5">
        <v>5</v>
      </c>
      <c r="P307" s="5"/>
      <c r="Q307" s="5"/>
      <c r="R307" s="5"/>
      <c r="S307" s="5"/>
      <c r="T307" s="5"/>
      <c r="U307" s="5">
        <v>6</v>
      </c>
      <c r="V307" s="5" t="s">
        <v>91</v>
      </c>
      <c r="W307" s="5">
        <v>6</v>
      </c>
      <c r="X307" s="5">
        <v>6</v>
      </c>
      <c r="Y307" s="5">
        <v>6</v>
      </c>
      <c r="Z307" s="5">
        <v>6</v>
      </c>
      <c r="AA307" s="5">
        <v>6</v>
      </c>
      <c r="AB307" s="5">
        <v>6</v>
      </c>
      <c r="AC307" s="5">
        <v>6</v>
      </c>
      <c r="AD307" s="5">
        <v>6</v>
      </c>
      <c r="AE307" s="5">
        <v>6</v>
      </c>
      <c r="AF307" s="5">
        <v>6</v>
      </c>
      <c r="AG307" s="5">
        <v>6</v>
      </c>
      <c r="AH307" s="5">
        <v>6</v>
      </c>
      <c r="AI307" s="5">
        <v>6</v>
      </c>
      <c r="AJ307" s="5">
        <v>6</v>
      </c>
      <c r="AK307" s="5">
        <v>6</v>
      </c>
      <c r="AL307" s="5">
        <v>6</v>
      </c>
      <c r="AM307" s="5">
        <v>6</v>
      </c>
      <c r="AN307" s="5">
        <v>6</v>
      </c>
      <c r="AO307" s="5">
        <v>6</v>
      </c>
      <c r="AP307" s="5">
        <v>6</v>
      </c>
      <c r="AQ307" s="5">
        <v>6</v>
      </c>
      <c r="AR307" s="5">
        <v>6</v>
      </c>
      <c r="AS307" s="5">
        <v>6</v>
      </c>
      <c r="AT307" s="5">
        <v>6</v>
      </c>
      <c r="AU307" s="5">
        <v>6</v>
      </c>
      <c r="AV307" s="5">
        <v>6</v>
      </c>
      <c r="AW307" s="5">
        <v>6</v>
      </c>
      <c r="AX307" s="5">
        <v>6</v>
      </c>
      <c r="AY307" s="5">
        <v>6</v>
      </c>
      <c r="AZ307" s="5">
        <v>6</v>
      </c>
      <c r="BA307" s="5">
        <v>6</v>
      </c>
      <c r="BB307" s="5"/>
      <c r="BC307" s="5"/>
      <c r="BD307" s="5"/>
      <c r="BF307">
        <f>ROWS($U$46:U307)</f>
        <v>262</v>
      </c>
      <c r="BG307" t="str">
        <f t="shared" si="207"/>
        <v/>
      </c>
    </row>
    <row r="308" spans="12:105" ht="15" customHeight="1" x14ac:dyDescent="0.35">
      <c r="L308" s="10" t="s">
        <v>1496</v>
      </c>
      <c r="O308" s="5">
        <v>6</v>
      </c>
      <c r="P308" s="5"/>
      <c r="Q308" s="5"/>
      <c r="R308" s="5"/>
      <c r="S308" s="5"/>
      <c r="T308" s="5"/>
      <c r="U308" s="5">
        <v>6</v>
      </c>
      <c r="V308" s="5" t="s">
        <v>92</v>
      </c>
      <c r="W308" s="5">
        <v>6</v>
      </c>
      <c r="X308" s="5">
        <v>6</v>
      </c>
      <c r="Y308" s="5">
        <v>6</v>
      </c>
      <c r="Z308" s="5">
        <v>6</v>
      </c>
      <c r="AA308" s="5">
        <v>6</v>
      </c>
      <c r="AB308" s="5">
        <v>6</v>
      </c>
      <c r="AC308" s="5">
        <v>6</v>
      </c>
      <c r="AD308" s="5">
        <v>6</v>
      </c>
      <c r="AE308" s="5">
        <v>6</v>
      </c>
      <c r="AF308" s="5">
        <v>6</v>
      </c>
      <c r="AG308" s="5">
        <v>6</v>
      </c>
      <c r="AH308" s="5">
        <v>6</v>
      </c>
      <c r="AI308" s="5">
        <v>6</v>
      </c>
      <c r="AJ308" s="5">
        <v>6</v>
      </c>
      <c r="AK308" s="5">
        <v>6</v>
      </c>
      <c r="AL308" s="5">
        <v>6</v>
      </c>
      <c r="AM308" s="5">
        <v>6</v>
      </c>
      <c r="AN308" s="5">
        <v>6</v>
      </c>
      <c r="AO308" s="5">
        <v>6</v>
      </c>
      <c r="AP308" s="5">
        <v>6</v>
      </c>
      <c r="AQ308" s="5">
        <v>6</v>
      </c>
      <c r="AR308" s="5">
        <v>6</v>
      </c>
      <c r="AS308" s="5">
        <v>6</v>
      </c>
      <c r="AT308" s="5">
        <v>6</v>
      </c>
      <c r="AU308" s="5">
        <v>6</v>
      </c>
      <c r="AV308" s="5">
        <v>6</v>
      </c>
      <c r="AW308" s="5">
        <v>6</v>
      </c>
      <c r="AX308" s="5">
        <v>6</v>
      </c>
      <c r="AY308" s="5">
        <v>6</v>
      </c>
      <c r="AZ308" s="5">
        <v>6</v>
      </c>
      <c r="BA308" s="5">
        <v>6</v>
      </c>
      <c r="BB308" s="5"/>
      <c r="BC308" s="5"/>
      <c r="BD308" s="5"/>
      <c r="BF308">
        <f>ROWS($U$46:U308)</f>
        <v>263</v>
      </c>
      <c r="BG308" t="str">
        <f t="shared" si="207"/>
        <v/>
      </c>
    </row>
    <row r="309" spans="12:105" ht="15.75" customHeight="1" x14ac:dyDescent="0.35">
      <c r="L309" s="10" t="s">
        <v>868</v>
      </c>
      <c r="O309" s="5">
        <v>7</v>
      </c>
      <c r="P309" s="5"/>
      <c r="Q309" s="5"/>
      <c r="R309" s="5"/>
      <c r="S309" s="5"/>
      <c r="T309" s="5"/>
      <c r="U309" s="5">
        <v>6</v>
      </c>
      <c r="V309" s="5" t="s">
        <v>111</v>
      </c>
      <c r="W309" s="5">
        <v>6</v>
      </c>
      <c r="X309" s="5">
        <v>6</v>
      </c>
      <c r="Y309" s="5">
        <v>6</v>
      </c>
      <c r="Z309" s="5">
        <v>6</v>
      </c>
      <c r="AA309" s="5">
        <v>6</v>
      </c>
      <c r="AB309" s="5">
        <v>6</v>
      </c>
      <c r="AC309" s="5">
        <v>6</v>
      </c>
      <c r="AD309" s="5">
        <v>6</v>
      </c>
      <c r="AE309" s="5">
        <v>6</v>
      </c>
      <c r="AF309" s="5">
        <v>6</v>
      </c>
      <c r="AG309" s="5">
        <v>6</v>
      </c>
      <c r="AH309" s="5">
        <v>6</v>
      </c>
      <c r="AI309" s="5">
        <v>6</v>
      </c>
      <c r="AJ309" s="5">
        <v>6</v>
      </c>
      <c r="AK309" s="5">
        <v>6</v>
      </c>
      <c r="AL309" s="5">
        <v>6</v>
      </c>
      <c r="AM309" s="5">
        <v>6</v>
      </c>
      <c r="AN309" s="5">
        <v>6</v>
      </c>
      <c r="AO309" s="5">
        <v>6</v>
      </c>
      <c r="AP309" s="5">
        <v>6</v>
      </c>
      <c r="AQ309" s="5">
        <v>6</v>
      </c>
      <c r="AR309" s="5">
        <v>6</v>
      </c>
      <c r="AS309" s="5">
        <v>6</v>
      </c>
      <c r="AT309" s="5">
        <v>6</v>
      </c>
      <c r="AU309" s="5">
        <v>6</v>
      </c>
      <c r="AV309" s="5">
        <v>6</v>
      </c>
      <c r="AW309" s="5">
        <v>6</v>
      </c>
      <c r="AX309" s="5">
        <v>6</v>
      </c>
      <c r="AY309" s="5">
        <v>6</v>
      </c>
      <c r="AZ309" s="5">
        <v>6</v>
      </c>
      <c r="BA309" s="5">
        <v>6</v>
      </c>
      <c r="BB309" s="5"/>
      <c r="BC309" s="5"/>
      <c r="BD309" s="5"/>
      <c r="BF309">
        <f>ROWS($U$46:U309)</f>
        <v>264</v>
      </c>
      <c r="BG309" t="str">
        <f t="shared" si="207"/>
        <v/>
      </c>
    </row>
    <row r="310" spans="12:105" ht="15" customHeight="1" x14ac:dyDescent="0.35">
      <c r="L310" s="10" t="s">
        <v>1462</v>
      </c>
      <c r="O310" s="5">
        <v>8</v>
      </c>
      <c r="P310" s="5"/>
      <c r="Q310" s="5"/>
      <c r="R310" s="5"/>
      <c r="S310" s="5"/>
      <c r="T310" s="5"/>
      <c r="U310" s="5">
        <v>6</v>
      </c>
      <c r="V310" s="5" t="s">
        <v>112</v>
      </c>
      <c r="W310" s="5">
        <v>6</v>
      </c>
      <c r="X310" s="5">
        <v>6</v>
      </c>
      <c r="Y310" s="5">
        <v>6</v>
      </c>
      <c r="Z310" s="5">
        <v>6</v>
      </c>
      <c r="AA310" s="5">
        <v>6</v>
      </c>
      <c r="AB310" s="5">
        <v>6</v>
      </c>
      <c r="AC310" s="5">
        <v>6</v>
      </c>
      <c r="AD310" s="5">
        <v>6</v>
      </c>
      <c r="AE310" s="5">
        <v>6</v>
      </c>
      <c r="AF310" s="5">
        <v>6</v>
      </c>
      <c r="AG310" s="5">
        <v>6</v>
      </c>
      <c r="AH310" s="5">
        <v>6</v>
      </c>
      <c r="AI310" s="5">
        <v>6</v>
      </c>
      <c r="AJ310" s="5">
        <v>6</v>
      </c>
      <c r="AK310" s="5">
        <v>6</v>
      </c>
      <c r="AL310" s="5">
        <v>6</v>
      </c>
      <c r="AM310" s="5">
        <v>6</v>
      </c>
      <c r="AN310" s="5">
        <v>6</v>
      </c>
      <c r="AO310" s="5">
        <v>6</v>
      </c>
      <c r="AP310" s="5">
        <v>6</v>
      </c>
      <c r="AQ310" s="5">
        <v>6</v>
      </c>
      <c r="AR310" s="5">
        <v>6</v>
      </c>
      <c r="AS310" s="5">
        <v>6</v>
      </c>
      <c r="AT310" s="5">
        <v>6</v>
      </c>
      <c r="AU310" s="5">
        <v>6</v>
      </c>
      <c r="AV310" s="5">
        <v>6</v>
      </c>
      <c r="AW310" s="5">
        <v>6</v>
      </c>
      <c r="AX310" s="5">
        <v>6</v>
      </c>
      <c r="AY310" s="5">
        <v>6</v>
      </c>
      <c r="AZ310" s="5">
        <v>6</v>
      </c>
      <c r="BA310" s="5">
        <v>6</v>
      </c>
      <c r="BB310" s="5"/>
      <c r="BC310" s="5"/>
      <c r="BD310" s="5"/>
      <c r="BF310">
        <f>ROWS($U$46:U310)</f>
        <v>265</v>
      </c>
      <c r="BG310" t="str">
        <f t="shared" si="207"/>
        <v/>
      </c>
    </row>
    <row r="311" spans="12:105" ht="15" customHeight="1" x14ac:dyDescent="0.35">
      <c r="L311" s="10" t="s">
        <v>1281</v>
      </c>
      <c r="O311" s="5">
        <v>9</v>
      </c>
      <c r="P311" s="5"/>
      <c r="Q311" s="5"/>
      <c r="R311" s="5"/>
      <c r="S311" s="5"/>
      <c r="T311" s="5"/>
      <c r="U311" s="5">
        <v>6</v>
      </c>
      <c r="V311" s="5" t="s">
        <v>113</v>
      </c>
      <c r="W311" s="5">
        <v>6</v>
      </c>
      <c r="X311" s="5">
        <v>6</v>
      </c>
      <c r="Y311" s="5">
        <v>6</v>
      </c>
      <c r="Z311" s="5">
        <v>6</v>
      </c>
      <c r="AA311" s="5">
        <v>6</v>
      </c>
      <c r="AB311" s="5">
        <v>6</v>
      </c>
      <c r="AC311" s="5">
        <v>6</v>
      </c>
      <c r="AD311" s="5">
        <v>6</v>
      </c>
      <c r="AE311" s="5">
        <v>6</v>
      </c>
      <c r="AF311" s="5">
        <v>6</v>
      </c>
      <c r="AG311" s="5">
        <v>6</v>
      </c>
      <c r="AH311" s="5">
        <v>6</v>
      </c>
      <c r="AI311" s="5">
        <v>6</v>
      </c>
      <c r="AJ311" s="5">
        <v>6</v>
      </c>
      <c r="AK311" s="5">
        <v>6</v>
      </c>
      <c r="AL311" s="5">
        <v>6</v>
      </c>
      <c r="AM311" s="5">
        <v>6</v>
      </c>
      <c r="AN311" s="5">
        <v>6</v>
      </c>
      <c r="AO311" s="5">
        <v>6</v>
      </c>
      <c r="AP311" s="5">
        <v>6</v>
      </c>
      <c r="AQ311" s="5">
        <v>6</v>
      </c>
      <c r="AR311" s="5">
        <v>6</v>
      </c>
      <c r="AS311" s="5">
        <v>6</v>
      </c>
      <c r="AT311" s="5">
        <v>6</v>
      </c>
      <c r="AU311" s="5">
        <v>6</v>
      </c>
      <c r="AV311" s="5">
        <v>6</v>
      </c>
      <c r="AW311" s="5">
        <v>6</v>
      </c>
      <c r="AX311" s="5">
        <v>6</v>
      </c>
      <c r="AY311" s="5">
        <v>6</v>
      </c>
      <c r="AZ311" s="5">
        <v>6</v>
      </c>
      <c r="BA311" s="5">
        <v>6</v>
      </c>
      <c r="BB311" s="5"/>
      <c r="BC311" s="5"/>
      <c r="BD311" s="5"/>
      <c r="BF311">
        <f>ROWS($U$46:U311)</f>
        <v>266</v>
      </c>
      <c r="BG311" t="str">
        <f t="shared" si="207"/>
        <v/>
      </c>
    </row>
    <row r="312" spans="12:105" ht="15" customHeight="1" x14ac:dyDescent="0.35">
      <c r="L312" s="10" t="s">
        <v>1414</v>
      </c>
      <c r="O312" s="5">
        <v>10</v>
      </c>
      <c r="P312" s="5"/>
      <c r="Q312" s="5"/>
      <c r="R312" s="5"/>
      <c r="S312" s="5"/>
      <c r="T312" s="5"/>
      <c r="U312" s="5">
        <v>6</v>
      </c>
      <c r="V312" s="5" t="s">
        <v>114</v>
      </c>
      <c r="W312" s="5">
        <v>6</v>
      </c>
      <c r="X312" s="5">
        <v>6</v>
      </c>
      <c r="Y312" s="5">
        <v>6</v>
      </c>
      <c r="Z312" s="5">
        <v>6</v>
      </c>
      <c r="AA312" s="5">
        <v>6</v>
      </c>
      <c r="AB312" s="5">
        <v>6</v>
      </c>
      <c r="AC312" s="5">
        <v>6</v>
      </c>
      <c r="AD312" s="5">
        <v>6</v>
      </c>
      <c r="AE312" s="5">
        <v>6</v>
      </c>
      <c r="AF312" s="5">
        <v>6</v>
      </c>
      <c r="AG312" s="5">
        <v>6</v>
      </c>
      <c r="AH312" s="5">
        <v>6</v>
      </c>
      <c r="AI312" s="5">
        <v>6</v>
      </c>
      <c r="AJ312" s="5">
        <v>6</v>
      </c>
      <c r="AK312" s="5">
        <v>6</v>
      </c>
      <c r="AL312" s="5">
        <v>6</v>
      </c>
      <c r="AM312" s="5">
        <v>6</v>
      </c>
      <c r="AN312" s="5">
        <v>6</v>
      </c>
      <c r="AO312" s="5">
        <v>6</v>
      </c>
      <c r="AP312" s="5">
        <v>6</v>
      </c>
      <c r="AQ312" s="5">
        <v>6</v>
      </c>
      <c r="AR312" s="5">
        <v>6</v>
      </c>
      <c r="AS312" s="5">
        <v>6</v>
      </c>
      <c r="AT312" s="5">
        <v>6</v>
      </c>
      <c r="AU312" s="5">
        <v>6</v>
      </c>
      <c r="AV312" s="5">
        <v>6</v>
      </c>
      <c r="AW312" s="5">
        <v>6</v>
      </c>
      <c r="AX312" s="5">
        <v>6</v>
      </c>
      <c r="AY312" s="5">
        <v>6</v>
      </c>
      <c r="AZ312" s="5">
        <v>6</v>
      </c>
      <c r="BA312" s="5">
        <v>6</v>
      </c>
      <c r="BB312" s="5"/>
      <c r="BC312" s="5"/>
      <c r="BD312" s="5"/>
      <c r="BF312">
        <f>ROWS($U$46:U312)</f>
        <v>267</v>
      </c>
      <c r="BG312" t="str">
        <f t="shared" si="207"/>
        <v/>
      </c>
    </row>
    <row r="313" spans="12:105" ht="15" customHeight="1" x14ac:dyDescent="0.35">
      <c r="L313" s="10" t="s">
        <v>869</v>
      </c>
      <c r="O313" s="5">
        <v>11</v>
      </c>
      <c r="P313" s="5"/>
      <c r="Q313" s="5"/>
      <c r="R313" s="5"/>
      <c r="S313" s="5"/>
      <c r="T313" s="5"/>
      <c r="U313" s="5">
        <v>6</v>
      </c>
      <c r="V313" s="5" t="s">
        <v>115</v>
      </c>
      <c r="W313" s="5">
        <v>6</v>
      </c>
      <c r="X313" s="5">
        <v>6</v>
      </c>
      <c r="Y313" s="5">
        <v>6</v>
      </c>
      <c r="Z313" s="5">
        <v>6</v>
      </c>
      <c r="AA313" s="5">
        <v>6</v>
      </c>
      <c r="AB313" s="5">
        <v>6</v>
      </c>
      <c r="AC313" s="5">
        <v>6</v>
      </c>
      <c r="AD313" s="5">
        <v>6</v>
      </c>
      <c r="AE313" s="5">
        <v>6</v>
      </c>
      <c r="AF313" s="5">
        <v>6</v>
      </c>
      <c r="AG313" s="5">
        <v>6</v>
      </c>
      <c r="AH313" s="5">
        <v>6</v>
      </c>
      <c r="AI313" s="5">
        <v>6</v>
      </c>
      <c r="AJ313" s="5">
        <v>6</v>
      </c>
      <c r="AK313" s="5">
        <v>6</v>
      </c>
      <c r="AL313" s="5">
        <v>6</v>
      </c>
      <c r="AM313" s="5">
        <v>6</v>
      </c>
      <c r="AN313" s="5">
        <v>6</v>
      </c>
      <c r="AO313" s="5">
        <v>6</v>
      </c>
      <c r="AP313" s="5">
        <v>6</v>
      </c>
      <c r="AQ313" s="5">
        <v>6</v>
      </c>
      <c r="AR313" s="5">
        <v>6</v>
      </c>
      <c r="AS313" s="5">
        <v>6</v>
      </c>
      <c r="AT313" s="5">
        <v>6</v>
      </c>
      <c r="AU313" s="5">
        <v>6</v>
      </c>
      <c r="AV313" s="5">
        <v>6</v>
      </c>
      <c r="AW313" s="5">
        <v>6</v>
      </c>
      <c r="AX313" s="5">
        <v>6</v>
      </c>
      <c r="AY313" s="5">
        <v>6</v>
      </c>
      <c r="AZ313" s="5">
        <v>6</v>
      </c>
      <c r="BA313" s="5">
        <v>6</v>
      </c>
      <c r="BB313" s="5"/>
      <c r="BC313" s="5"/>
      <c r="BD313" s="5"/>
      <c r="BF313">
        <f>ROWS($U$46:U313)</f>
        <v>268</v>
      </c>
      <c r="BG313" t="str">
        <f t="shared" si="207"/>
        <v/>
      </c>
    </row>
    <row r="314" spans="12:105" ht="15" customHeight="1" x14ac:dyDescent="0.35">
      <c r="L314" s="10" t="s">
        <v>1463</v>
      </c>
      <c r="O314" s="5">
        <v>12</v>
      </c>
      <c r="P314" s="5"/>
      <c r="Q314" s="5"/>
      <c r="R314" s="5"/>
      <c r="S314" s="5"/>
      <c r="T314" s="5"/>
      <c r="U314" s="5">
        <v>6</v>
      </c>
      <c r="V314" s="5" t="s">
        <v>736</v>
      </c>
      <c r="W314" s="5">
        <v>6</v>
      </c>
      <c r="X314" s="5">
        <v>6</v>
      </c>
      <c r="Y314" s="5">
        <v>6</v>
      </c>
      <c r="Z314" s="5">
        <v>6</v>
      </c>
      <c r="AA314" s="5">
        <v>6</v>
      </c>
      <c r="AB314" s="5">
        <v>6</v>
      </c>
      <c r="AC314" s="5">
        <v>6</v>
      </c>
      <c r="AD314" s="5">
        <v>6</v>
      </c>
      <c r="AE314" s="5">
        <v>6</v>
      </c>
      <c r="AF314" s="5">
        <v>6</v>
      </c>
      <c r="AG314" s="5">
        <v>6</v>
      </c>
      <c r="AH314" s="5">
        <v>6</v>
      </c>
      <c r="AI314" s="5">
        <v>6</v>
      </c>
      <c r="AJ314" s="5">
        <v>6</v>
      </c>
      <c r="AK314" s="5">
        <v>6</v>
      </c>
      <c r="AL314" s="5">
        <v>6</v>
      </c>
      <c r="AM314" s="5">
        <v>6</v>
      </c>
      <c r="AN314" s="5">
        <v>6</v>
      </c>
      <c r="AO314" s="5">
        <v>6</v>
      </c>
      <c r="AP314" s="5">
        <v>6</v>
      </c>
      <c r="AQ314" s="5">
        <v>6</v>
      </c>
      <c r="AR314" s="5">
        <v>6</v>
      </c>
      <c r="AS314" s="5">
        <v>6</v>
      </c>
      <c r="AT314" s="5">
        <v>6</v>
      </c>
      <c r="AU314" s="5">
        <v>6</v>
      </c>
      <c r="AV314" s="5">
        <v>6</v>
      </c>
      <c r="AW314" s="5">
        <v>6</v>
      </c>
      <c r="AX314" s="5">
        <v>6</v>
      </c>
      <c r="AY314" s="5">
        <v>6</v>
      </c>
      <c r="AZ314" s="5">
        <v>6</v>
      </c>
      <c r="BA314" s="5">
        <v>6</v>
      </c>
      <c r="BB314" s="5"/>
      <c r="BC314" s="5"/>
      <c r="BD314" s="5"/>
      <c r="BF314">
        <f>ROWS($U$46:U314)</f>
        <v>269</v>
      </c>
      <c r="BG314" t="str">
        <f t="shared" si="207"/>
        <v/>
      </c>
    </row>
    <row r="315" spans="12:105" ht="15" customHeight="1" x14ac:dyDescent="0.35">
      <c r="L315" s="10" t="s">
        <v>1197</v>
      </c>
      <c r="O315" s="5">
        <v>1</v>
      </c>
      <c r="P315" s="5"/>
      <c r="Q315" s="5"/>
      <c r="R315" s="5"/>
      <c r="S315" s="5"/>
      <c r="T315" s="5"/>
      <c r="U315" s="5">
        <v>7</v>
      </c>
      <c r="V315" s="5" t="s">
        <v>87</v>
      </c>
      <c r="W315" s="5">
        <v>7</v>
      </c>
      <c r="X315" s="5">
        <v>7</v>
      </c>
      <c r="Y315" s="5">
        <v>7</v>
      </c>
      <c r="Z315" s="5">
        <v>7</v>
      </c>
      <c r="AA315" s="5">
        <v>7</v>
      </c>
      <c r="AB315" s="5">
        <v>7</v>
      </c>
      <c r="AC315" s="5">
        <v>7</v>
      </c>
      <c r="AD315" s="5">
        <v>7</v>
      </c>
      <c r="AE315" s="5">
        <v>7</v>
      </c>
      <c r="AF315" s="5">
        <v>7</v>
      </c>
      <c r="AG315" s="5">
        <v>7</v>
      </c>
      <c r="AH315" s="5">
        <v>7</v>
      </c>
      <c r="AI315" s="5">
        <v>7</v>
      </c>
      <c r="AJ315" s="5">
        <v>7</v>
      </c>
      <c r="AK315" s="5">
        <v>7</v>
      </c>
      <c r="AL315" s="5">
        <v>7</v>
      </c>
      <c r="AM315" s="5">
        <v>7</v>
      </c>
      <c r="AN315" s="5">
        <v>7</v>
      </c>
      <c r="AO315" s="5">
        <v>7</v>
      </c>
      <c r="AP315" s="5">
        <v>7</v>
      </c>
      <c r="AQ315" s="5">
        <v>7</v>
      </c>
      <c r="AR315" s="5">
        <v>7</v>
      </c>
      <c r="AS315" s="5">
        <v>7</v>
      </c>
      <c r="AT315" s="5">
        <v>7</v>
      </c>
      <c r="AU315" s="5">
        <v>7</v>
      </c>
      <c r="AV315" s="5">
        <v>7</v>
      </c>
      <c r="AW315" s="5">
        <v>7</v>
      </c>
      <c r="AX315" s="5">
        <v>7</v>
      </c>
      <c r="AY315" s="5">
        <v>7</v>
      </c>
      <c r="AZ315" s="5">
        <v>7</v>
      </c>
      <c r="BA315" s="5">
        <v>7</v>
      </c>
      <c r="BB315" s="5"/>
      <c r="BC315" s="5"/>
      <c r="BD315" s="5"/>
      <c r="BF315">
        <f>ROWS($U$46:U315)</f>
        <v>270</v>
      </c>
      <c r="BG315" t="str">
        <f t="shared" si="207"/>
        <v/>
      </c>
    </row>
    <row r="316" spans="12:105" ht="15" customHeight="1" x14ac:dyDescent="0.35">
      <c r="L316" s="10" t="s">
        <v>77</v>
      </c>
      <c r="O316" s="5">
        <v>2</v>
      </c>
      <c r="P316" s="5"/>
      <c r="Q316" s="5"/>
      <c r="R316" s="5"/>
      <c r="S316" s="5"/>
      <c r="T316" s="5"/>
      <c r="U316" s="5">
        <v>7</v>
      </c>
      <c r="V316" s="5" t="s">
        <v>88</v>
      </c>
      <c r="W316" s="5">
        <v>7</v>
      </c>
      <c r="X316" s="5">
        <v>7</v>
      </c>
      <c r="Y316" s="5">
        <v>7</v>
      </c>
      <c r="Z316" s="5">
        <v>7</v>
      </c>
      <c r="AA316" s="5">
        <v>7</v>
      </c>
      <c r="AB316" s="5">
        <v>7</v>
      </c>
      <c r="AC316" s="5">
        <v>7</v>
      </c>
      <c r="AD316" s="5">
        <v>7</v>
      </c>
      <c r="AE316" s="5">
        <v>7</v>
      </c>
      <c r="AF316" s="5">
        <v>7</v>
      </c>
      <c r="AG316" s="5">
        <v>7</v>
      </c>
      <c r="AH316" s="5">
        <v>7</v>
      </c>
      <c r="AI316" s="5">
        <v>7</v>
      </c>
      <c r="AJ316" s="5">
        <v>7</v>
      </c>
      <c r="AK316" s="5">
        <v>7</v>
      </c>
      <c r="AL316" s="5">
        <v>7</v>
      </c>
      <c r="AM316" s="5">
        <v>7</v>
      </c>
      <c r="AN316" s="5">
        <v>7</v>
      </c>
      <c r="AO316" s="5">
        <v>7</v>
      </c>
      <c r="AP316" s="5">
        <v>7</v>
      </c>
      <c r="AQ316" s="5">
        <v>7</v>
      </c>
      <c r="AR316" s="5">
        <v>7</v>
      </c>
      <c r="AS316" s="5">
        <v>7</v>
      </c>
      <c r="AT316" s="5">
        <v>7</v>
      </c>
      <c r="AU316" s="5">
        <v>7</v>
      </c>
      <c r="AV316" s="5">
        <v>7</v>
      </c>
      <c r="AW316" s="5">
        <v>7</v>
      </c>
      <c r="AX316" s="5">
        <v>7</v>
      </c>
      <c r="AY316" s="5">
        <v>7</v>
      </c>
      <c r="AZ316" s="5">
        <v>7</v>
      </c>
      <c r="BA316" s="5">
        <v>7</v>
      </c>
      <c r="BB316" s="5"/>
      <c r="BC316" s="5"/>
      <c r="BD316" s="5"/>
      <c r="BF316">
        <f>ROWS($U$46:U316)</f>
        <v>271</v>
      </c>
      <c r="BG316" t="str">
        <f t="shared" si="207"/>
        <v/>
      </c>
    </row>
    <row r="317" spans="12:105" ht="15.75" customHeight="1" x14ac:dyDescent="0.35">
      <c r="L317" s="10" t="s">
        <v>892</v>
      </c>
      <c r="O317" s="5">
        <v>3</v>
      </c>
      <c r="P317" s="5"/>
      <c r="Q317" s="5"/>
      <c r="R317" s="5"/>
      <c r="S317" s="5"/>
      <c r="T317" s="5"/>
      <c r="U317" s="5">
        <v>7</v>
      </c>
      <c r="V317" s="5" t="s">
        <v>89</v>
      </c>
      <c r="W317" s="5">
        <v>7</v>
      </c>
      <c r="X317" s="5">
        <v>7</v>
      </c>
      <c r="Y317" s="5">
        <v>7</v>
      </c>
      <c r="Z317" s="5">
        <v>7</v>
      </c>
      <c r="AA317" s="5">
        <v>7</v>
      </c>
      <c r="AB317" s="5">
        <v>7</v>
      </c>
      <c r="AC317" s="5">
        <v>7</v>
      </c>
      <c r="AD317" s="5">
        <v>7</v>
      </c>
      <c r="AE317" s="5">
        <v>7</v>
      </c>
      <c r="AF317" s="5">
        <v>7</v>
      </c>
      <c r="AG317" s="5">
        <v>7</v>
      </c>
      <c r="AH317" s="5">
        <v>7</v>
      </c>
      <c r="AI317" s="5">
        <v>7</v>
      </c>
      <c r="AJ317" s="5">
        <v>7</v>
      </c>
      <c r="AK317" s="5">
        <v>7</v>
      </c>
      <c r="AL317" s="5">
        <v>7</v>
      </c>
      <c r="AM317" s="5">
        <v>7</v>
      </c>
      <c r="AN317" s="5">
        <v>7</v>
      </c>
      <c r="AO317" s="5">
        <v>7</v>
      </c>
      <c r="AP317" s="5">
        <v>7</v>
      </c>
      <c r="AQ317" s="5">
        <v>7</v>
      </c>
      <c r="AR317" s="5">
        <v>7</v>
      </c>
      <c r="AS317" s="5">
        <v>7</v>
      </c>
      <c r="AT317" s="5">
        <v>7</v>
      </c>
      <c r="AU317" s="5">
        <v>7</v>
      </c>
      <c r="AV317" s="5">
        <v>7</v>
      </c>
      <c r="AW317" s="5">
        <v>7</v>
      </c>
      <c r="AX317" s="5">
        <v>7</v>
      </c>
      <c r="AY317" s="5">
        <v>7</v>
      </c>
      <c r="AZ317" s="5">
        <v>7</v>
      </c>
      <c r="BA317" s="5">
        <v>7</v>
      </c>
      <c r="BB317" s="5"/>
      <c r="BC317" s="5"/>
      <c r="BD317" s="5"/>
      <c r="BF317">
        <f>ROWS($U$46:U317)</f>
        <v>272</v>
      </c>
      <c r="BG317" t="str">
        <f t="shared" si="207"/>
        <v/>
      </c>
    </row>
    <row r="318" spans="12:105" ht="15" customHeight="1" x14ac:dyDescent="0.35">
      <c r="L318" s="10" t="s">
        <v>1307</v>
      </c>
      <c r="O318" s="5">
        <v>4</v>
      </c>
      <c r="P318" s="5"/>
      <c r="Q318" s="5"/>
      <c r="R318" s="5"/>
      <c r="S318" s="5"/>
      <c r="T318" s="5"/>
      <c r="U318" s="5">
        <v>7</v>
      </c>
      <c r="V318" s="5" t="s">
        <v>90</v>
      </c>
      <c r="W318" s="5">
        <v>7</v>
      </c>
      <c r="X318" s="5">
        <v>7</v>
      </c>
      <c r="Y318" s="5">
        <v>7</v>
      </c>
      <c r="Z318" s="5">
        <v>7</v>
      </c>
      <c r="AA318" s="5">
        <v>7</v>
      </c>
      <c r="AB318" s="5">
        <v>7</v>
      </c>
      <c r="AC318" s="5">
        <v>7</v>
      </c>
      <c r="AD318" s="5">
        <v>7</v>
      </c>
      <c r="AE318" s="5">
        <v>7</v>
      </c>
      <c r="AF318" s="5">
        <v>7</v>
      </c>
      <c r="AG318" s="5">
        <v>7</v>
      </c>
      <c r="AH318" s="5">
        <v>7</v>
      </c>
      <c r="AI318" s="5">
        <v>7</v>
      </c>
      <c r="AJ318" s="5">
        <v>7</v>
      </c>
      <c r="AK318" s="5">
        <v>7</v>
      </c>
      <c r="AL318" s="5">
        <v>7</v>
      </c>
      <c r="AM318" s="5">
        <v>7</v>
      </c>
      <c r="AN318" s="5">
        <v>7</v>
      </c>
      <c r="AO318" s="5">
        <v>7</v>
      </c>
      <c r="AP318" s="5">
        <v>7</v>
      </c>
      <c r="AQ318" s="5">
        <v>7</v>
      </c>
      <c r="AR318" s="5">
        <v>7</v>
      </c>
      <c r="AS318" s="5">
        <v>7</v>
      </c>
      <c r="AT318" s="5">
        <v>7</v>
      </c>
      <c r="AU318" s="5">
        <v>7</v>
      </c>
      <c r="AV318" s="5">
        <v>7</v>
      </c>
      <c r="AW318" s="5">
        <v>7</v>
      </c>
      <c r="AX318" s="5">
        <v>7</v>
      </c>
      <c r="AY318" s="5">
        <v>7</v>
      </c>
      <c r="AZ318" s="5">
        <v>7</v>
      </c>
      <c r="BA318" s="5">
        <v>7</v>
      </c>
      <c r="BB318" s="5"/>
      <c r="BC318" s="5"/>
      <c r="BD318" s="5"/>
      <c r="BF318">
        <f>ROWS($U$46:U318)</f>
        <v>273</v>
      </c>
      <c r="BG318" t="str">
        <f t="shared" si="207"/>
        <v/>
      </c>
    </row>
    <row r="319" spans="12:105" ht="15" customHeight="1" x14ac:dyDescent="0.35">
      <c r="L319" s="10" t="s">
        <v>1860</v>
      </c>
      <c r="O319" s="5">
        <v>5</v>
      </c>
      <c r="P319" s="5"/>
      <c r="Q319" s="5"/>
      <c r="R319" s="5"/>
      <c r="S319" s="5"/>
      <c r="T319" s="5"/>
      <c r="U319" s="5">
        <v>7</v>
      </c>
      <c r="V319" s="5" t="s">
        <v>91</v>
      </c>
      <c r="W319" s="5">
        <v>7</v>
      </c>
      <c r="X319" s="5">
        <v>7</v>
      </c>
      <c r="Y319" s="5">
        <v>7</v>
      </c>
      <c r="Z319" s="5">
        <v>7</v>
      </c>
      <c r="AA319" s="5">
        <v>7</v>
      </c>
      <c r="AB319" s="5">
        <v>7</v>
      </c>
      <c r="AC319" s="5">
        <v>7</v>
      </c>
      <c r="AD319" s="5">
        <v>7</v>
      </c>
      <c r="AE319" s="5">
        <v>7</v>
      </c>
      <c r="AF319" s="5">
        <v>7</v>
      </c>
      <c r="AG319" s="5">
        <v>7</v>
      </c>
      <c r="AH319" s="5">
        <v>7</v>
      </c>
      <c r="AI319" s="5">
        <v>7</v>
      </c>
      <c r="AJ319" s="5">
        <v>7</v>
      </c>
      <c r="AK319" s="5">
        <v>7</v>
      </c>
      <c r="AL319" s="5">
        <v>7</v>
      </c>
      <c r="AM319" s="5">
        <v>7</v>
      </c>
      <c r="AN319" s="5">
        <v>7</v>
      </c>
      <c r="AO319" s="5">
        <v>7</v>
      </c>
      <c r="AP319" s="5">
        <v>7</v>
      </c>
      <c r="AQ319" s="5">
        <v>7</v>
      </c>
      <c r="AR319" s="5">
        <v>7</v>
      </c>
      <c r="AS319" s="5">
        <v>7</v>
      </c>
      <c r="AT319" s="5">
        <v>7</v>
      </c>
      <c r="AU319" s="5">
        <v>7</v>
      </c>
      <c r="AV319" s="5">
        <v>7</v>
      </c>
      <c r="AW319" s="5">
        <v>7</v>
      </c>
      <c r="AX319" s="5">
        <v>7</v>
      </c>
      <c r="AY319" s="5">
        <v>7</v>
      </c>
      <c r="AZ319" s="5">
        <v>7</v>
      </c>
      <c r="BA319" s="5">
        <v>7</v>
      </c>
      <c r="BB319" s="5"/>
      <c r="BC319" s="5"/>
      <c r="BD319" s="5"/>
      <c r="BF319">
        <f>ROWS($U$46:U319)</f>
        <v>274</v>
      </c>
      <c r="BG319" t="str">
        <f t="shared" si="207"/>
        <v/>
      </c>
    </row>
    <row r="320" spans="12:105" ht="15" customHeight="1" x14ac:dyDescent="0.35">
      <c r="L320" s="10" t="s">
        <v>78</v>
      </c>
      <c r="O320" s="5">
        <v>6</v>
      </c>
      <c r="P320" s="5"/>
      <c r="Q320" s="5"/>
      <c r="R320" s="5"/>
      <c r="S320" s="5"/>
      <c r="T320" s="5"/>
      <c r="U320" s="5">
        <v>7</v>
      </c>
      <c r="V320" s="5" t="s">
        <v>92</v>
      </c>
      <c r="W320" s="5">
        <v>7</v>
      </c>
      <c r="X320" s="5">
        <v>7</v>
      </c>
      <c r="Y320" s="5">
        <v>7</v>
      </c>
      <c r="Z320" s="5">
        <v>7</v>
      </c>
      <c r="AA320" s="5">
        <v>7</v>
      </c>
      <c r="AB320" s="5">
        <v>7</v>
      </c>
      <c r="AC320" s="5">
        <v>7</v>
      </c>
      <c r="AD320" s="5">
        <v>7</v>
      </c>
      <c r="AE320" s="5">
        <v>7</v>
      </c>
      <c r="AF320" s="5">
        <v>7</v>
      </c>
      <c r="AG320" s="5">
        <v>7</v>
      </c>
      <c r="AH320" s="5">
        <v>7</v>
      </c>
      <c r="AI320" s="5">
        <v>7</v>
      </c>
      <c r="AJ320" s="5">
        <v>7</v>
      </c>
      <c r="AK320" s="5">
        <v>7</v>
      </c>
      <c r="AL320" s="5">
        <v>7</v>
      </c>
      <c r="AM320" s="5">
        <v>7</v>
      </c>
      <c r="AN320" s="5">
        <v>7</v>
      </c>
      <c r="AO320" s="5">
        <v>7</v>
      </c>
      <c r="AP320" s="5">
        <v>7</v>
      </c>
      <c r="AQ320" s="5">
        <v>7</v>
      </c>
      <c r="AR320" s="5">
        <v>7</v>
      </c>
      <c r="AS320" s="5">
        <v>7</v>
      </c>
      <c r="AT320" s="5">
        <v>7</v>
      </c>
      <c r="AU320" s="5">
        <v>7</v>
      </c>
      <c r="AV320" s="5">
        <v>7</v>
      </c>
      <c r="AW320" s="5">
        <v>7</v>
      </c>
      <c r="AX320" s="5">
        <v>7</v>
      </c>
      <c r="AY320" s="5">
        <v>7</v>
      </c>
      <c r="AZ320" s="5">
        <v>7</v>
      </c>
      <c r="BA320" s="5">
        <v>7</v>
      </c>
      <c r="BB320" s="5"/>
      <c r="BC320" s="5"/>
      <c r="BD320" s="5"/>
      <c r="BF320">
        <f>ROWS($U$46:U320)</f>
        <v>275</v>
      </c>
      <c r="BG320" t="str">
        <f t="shared" si="207"/>
        <v/>
      </c>
    </row>
    <row r="321" spans="12:59" ht="15" customHeight="1" x14ac:dyDescent="0.35">
      <c r="L321" s="10" t="s">
        <v>1323</v>
      </c>
      <c r="O321" s="5">
        <v>7</v>
      </c>
      <c r="P321" s="5"/>
      <c r="Q321" s="5"/>
      <c r="R321" s="5"/>
      <c r="S321" s="5"/>
      <c r="T321" s="5"/>
      <c r="U321" s="5">
        <v>7</v>
      </c>
      <c r="V321" s="5" t="s">
        <v>111</v>
      </c>
      <c r="W321" s="5">
        <v>7</v>
      </c>
      <c r="X321" s="5">
        <v>7</v>
      </c>
      <c r="Y321" s="5">
        <v>7</v>
      </c>
      <c r="Z321" s="5">
        <v>7</v>
      </c>
      <c r="AA321" s="5">
        <v>7</v>
      </c>
      <c r="AB321" s="5">
        <v>7</v>
      </c>
      <c r="AC321" s="5">
        <v>7</v>
      </c>
      <c r="AD321" s="5">
        <v>7</v>
      </c>
      <c r="AE321" s="5">
        <v>7</v>
      </c>
      <c r="AF321" s="5">
        <v>7</v>
      </c>
      <c r="AG321" s="5">
        <v>7</v>
      </c>
      <c r="AH321" s="5">
        <v>7</v>
      </c>
      <c r="AI321" s="5">
        <v>7</v>
      </c>
      <c r="AJ321" s="5">
        <v>7</v>
      </c>
      <c r="AK321" s="5">
        <v>7</v>
      </c>
      <c r="AL321" s="5">
        <v>7</v>
      </c>
      <c r="AM321" s="5">
        <v>7</v>
      </c>
      <c r="AN321" s="5">
        <v>7</v>
      </c>
      <c r="AO321" s="5">
        <v>7</v>
      </c>
      <c r="AP321" s="5">
        <v>7</v>
      </c>
      <c r="AQ321" s="5">
        <v>7</v>
      </c>
      <c r="AR321" s="5">
        <v>7</v>
      </c>
      <c r="AS321" s="5">
        <v>7</v>
      </c>
      <c r="AT321" s="5">
        <v>7</v>
      </c>
      <c r="AU321" s="5">
        <v>7</v>
      </c>
      <c r="AV321" s="5">
        <v>7</v>
      </c>
      <c r="AW321" s="5">
        <v>7</v>
      </c>
      <c r="AX321" s="5">
        <v>7</v>
      </c>
      <c r="AY321" s="5">
        <v>7</v>
      </c>
      <c r="AZ321" s="5">
        <v>7</v>
      </c>
      <c r="BA321" s="5">
        <v>7</v>
      </c>
      <c r="BB321" s="5"/>
      <c r="BC321" s="5"/>
      <c r="BD321" s="5"/>
      <c r="BF321">
        <f>ROWS($U$46:U321)</f>
        <v>276</v>
      </c>
      <c r="BG321" t="str">
        <f t="shared" si="207"/>
        <v/>
      </c>
    </row>
    <row r="322" spans="12:59" ht="15" customHeight="1" x14ac:dyDescent="0.35">
      <c r="L322" s="10" t="s">
        <v>870</v>
      </c>
      <c r="O322" s="5">
        <v>8</v>
      </c>
      <c r="P322" s="5"/>
      <c r="Q322" s="5"/>
      <c r="R322" s="5"/>
      <c r="S322" s="5"/>
      <c r="T322" s="5"/>
      <c r="U322" s="5">
        <v>7</v>
      </c>
      <c r="V322" s="5" t="s">
        <v>112</v>
      </c>
      <c r="W322" s="5">
        <v>7</v>
      </c>
      <c r="X322" s="5">
        <v>7</v>
      </c>
      <c r="Y322" s="5">
        <v>7</v>
      </c>
      <c r="Z322" s="5">
        <v>7</v>
      </c>
      <c r="AA322" s="5">
        <v>7</v>
      </c>
      <c r="AB322" s="5">
        <v>7</v>
      </c>
      <c r="AC322" s="5">
        <v>7</v>
      </c>
      <c r="AD322" s="5">
        <v>7</v>
      </c>
      <c r="AE322" s="5">
        <v>7</v>
      </c>
      <c r="AF322" s="5">
        <v>7</v>
      </c>
      <c r="AG322" s="5">
        <v>7</v>
      </c>
      <c r="AH322" s="5">
        <v>7</v>
      </c>
      <c r="AI322" s="5">
        <v>7</v>
      </c>
      <c r="AJ322" s="5">
        <v>7</v>
      </c>
      <c r="AK322" s="5">
        <v>7</v>
      </c>
      <c r="AL322" s="5">
        <v>7</v>
      </c>
      <c r="AM322" s="5">
        <v>7</v>
      </c>
      <c r="AN322" s="5">
        <v>7</v>
      </c>
      <c r="AO322" s="5">
        <v>7</v>
      </c>
      <c r="AP322" s="5">
        <v>7</v>
      </c>
      <c r="AQ322" s="5">
        <v>7</v>
      </c>
      <c r="AR322" s="5">
        <v>7</v>
      </c>
      <c r="AS322" s="5">
        <v>7</v>
      </c>
      <c r="AT322" s="5">
        <v>7</v>
      </c>
      <c r="AU322" s="5">
        <v>7</v>
      </c>
      <c r="AV322" s="5">
        <v>7</v>
      </c>
      <c r="AW322" s="5">
        <v>7</v>
      </c>
      <c r="AX322" s="5">
        <v>7</v>
      </c>
      <c r="AY322" s="5">
        <v>7</v>
      </c>
      <c r="AZ322" s="5">
        <v>7</v>
      </c>
      <c r="BA322" s="5">
        <v>7</v>
      </c>
      <c r="BB322" s="5"/>
      <c r="BC322" s="5"/>
      <c r="BD322" s="5"/>
      <c r="BF322">
        <f>ROWS($U$46:U322)</f>
        <v>277</v>
      </c>
      <c r="BG322" t="str">
        <f t="shared" si="207"/>
        <v/>
      </c>
    </row>
    <row r="323" spans="12:59" ht="15" customHeight="1" x14ac:dyDescent="0.35">
      <c r="L323" s="10" t="s">
        <v>1222</v>
      </c>
      <c r="O323" s="5">
        <v>9</v>
      </c>
      <c r="P323" s="5"/>
      <c r="Q323" s="5"/>
      <c r="R323" s="5"/>
      <c r="S323" s="5"/>
      <c r="T323" s="5"/>
      <c r="U323" s="5">
        <v>7</v>
      </c>
      <c r="V323" s="5" t="s">
        <v>113</v>
      </c>
      <c r="W323" s="5">
        <v>7</v>
      </c>
      <c r="X323" s="5">
        <v>7</v>
      </c>
      <c r="Y323" s="5">
        <v>7</v>
      </c>
      <c r="Z323" s="5">
        <v>7</v>
      </c>
      <c r="AA323" s="5">
        <v>7</v>
      </c>
      <c r="AB323" s="5">
        <v>7</v>
      </c>
      <c r="AC323" s="5">
        <v>7</v>
      </c>
      <c r="AD323" s="5">
        <v>7</v>
      </c>
      <c r="AE323" s="5">
        <v>7</v>
      </c>
      <c r="AF323" s="5">
        <v>7</v>
      </c>
      <c r="AG323" s="5">
        <v>7</v>
      </c>
      <c r="AH323" s="5">
        <v>7</v>
      </c>
      <c r="AI323" s="5">
        <v>7</v>
      </c>
      <c r="AJ323" s="5">
        <v>7</v>
      </c>
      <c r="AK323" s="5">
        <v>7</v>
      </c>
      <c r="AL323" s="5">
        <v>7</v>
      </c>
      <c r="AM323" s="5">
        <v>7</v>
      </c>
      <c r="AN323" s="5">
        <v>7</v>
      </c>
      <c r="AO323" s="5">
        <v>7</v>
      </c>
      <c r="AP323" s="5">
        <v>7</v>
      </c>
      <c r="AQ323" s="5">
        <v>7</v>
      </c>
      <c r="AR323" s="5">
        <v>7</v>
      </c>
      <c r="AS323" s="5">
        <v>7</v>
      </c>
      <c r="AT323" s="5">
        <v>7</v>
      </c>
      <c r="AU323" s="5">
        <v>7</v>
      </c>
      <c r="AV323" s="5">
        <v>7</v>
      </c>
      <c r="AW323" s="5">
        <v>7</v>
      </c>
      <c r="AX323" s="5">
        <v>7</v>
      </c>
      <c r="AY323" s="5">
        <v>7</v>
      </c>
      <c r="AZ323" s="5">
        <v>7</v>
      </c>
      <c r="BA323" s="5">
        <v>7</v>
      </c>
      <c r="BB323" s="5"/>
      <c r="BC323" s="5"/>
      <c r="BD323" s="5"/>
      <c r="BF323">
        <f>ROWS($U$46:U323)</f>
        <v>278</v>
      </c>
      <c r="BG323" t="str">
        <f t="shared" si="207"/>
        <v/>
      </c>
    </row>
    <row r="324" spans="12:59" ht="15" customHeight="1" x14ac:dyDescent="0.35">
      <c r="L324" s="10" t="s">
        <v>1980</v>
      </c>
      <c r="O324" s="5">
        <v>10</v>
      </c>
      <c r="P324" s="5"/>
      <c r="Q324" s="5"/>
      <c r="R324" s="5"/>
      <c r="S324" s="5"/>
      <c r="T324" s="5"/>
      <c r="U324" s="5">
        <v>7</v>
      </c>
      <c r="V324" s="5" t="s">
        <v>114</v>
      </c>
      <c r="W324" s="5">
        <v>7</v>
      </c>
      <c r="X324" s="5">
        <v>7</v>
      </c>
      <c r="Y324" s="5">
        <v>7</v>
      </c>
      <c r="Z324" s="5">
        <v>7</v>
      </c>
      <c r="AA324" s="5">
        <v>7</v>
      </c>
      <c r="AB324" s="5">
        <v>7</v>
      </c>
      <c r="AC324" s="5">
        <v>7</v>
      </c>
      <c r="AD324" s="5">
        <v>7</v>
      </c>
      <c r="AE324" s="5">
        <v>7</v>
      </c>
      <c r="AF324" s="5">
        <v>7</v>
      </c>
      <c r="AG324" s="5">
        <v>7</v>
      </c>
      <c r="AH324" s="5">
        <v>7</v>
      </c>
      <c r="AI324" s="5">
        <v>7</v>
      </c>
      <c r="AJ324" s="5">
        <v>7</v>
      </c>
      <c r="AK324" s="5">
        <v>7</v>
      </c>
      <c r="AL324" s="5">
        <v>7</v>
      </c>
      <c r="AM324" s="5">
        <v>7</v>
      </c>
      <c r="AN324" s="5">
        <v>7</v>
      </c>
      <c r="AO324" s="5">
        <v>7</v>
      </c>
      <c r="AP324" s="5">
        <v>7</v>
      </c>
      <c r="AQ324" s="5">
        <v>7</v>
      </c>
      <c r="AR324" s="5">
        <v>7</v>
      </c>
      <c r="AS324" s="5">
        <v>7</v>
      </c>
      <c r="AT324" s="5">
        <v>7</v>
      </c>
      <c r="AU324" s="5">
        <v>7</v>
      </c>
      <c r="AV324" s="5">
        <v>7</v>
      </c>
      <c r="AW324" s="5">
        <v>7</v>
      </c>
      <c r="AX324" s="5">
        <v>7</v>
      </c>
      <c r="AY324" s="5">
        <v>7</v>
      </c>
      <c r="AZ324" s="5">
        <v>7</v>
      </c>
      <c r="BA324" s="5">
        <v>7</v>
      </c>
      <c r="BB324" s="5"/>
      <c r="BC324" s="5"/>
      <c r="BD324" s="5"/>
      <c r="BF324">
        <f>ROWS($U$46:U324)</f>
        <v>279</v>
      </c>
      <c r="BG324" t="str">
        <f t="shared" si="207"/>
        <v/>
      </c>
    </row>
    <row r="325" spans="12:59" ht="15.75" customHeight="1" x14ac:dyDescent="0.35">
      <c r="L325" s="10" t="s">
        <v>1561</v>
      </c>
      <c r="O325" s="5">
        <v>11</v>
      </c>
      <c r="P325" s="5"/>
      <c r="Q325" s="5"/>
      <c r="R325" s="5"/>
      <c r="S325" s="5"/>
      <c r="T325" s="5"/>
      <c r="U325" s="5">
        <v>7</v>
      </c>
      <c r="V325" s="5" t="s">
        <v>115</v>
      </c>
      <c r="W325" s="5">
        <v>7</v>
      </c>
      <c r="X325" s="5">
        <v>7</v>
      </c>
      <c r="Y325" s="5">
        <v>7</v>
      </c>
      <c r="Z325" s="5">
        <v>7</v>
      </c>
      <c r="AA325" s="5">
        <v>7</v>
      </c>
      <c r="AB325" s="5">
        <v>7</v>
      </c>
      <c r="AC325" s="5">
        <v>7</v>
      </c>
      <c r="AD325" s="5">
        <v>7</v>
      </c>
      <c r="AE325" s="5">
        <v>7</v>
      </c>
      <c r="AF325" s="5">
        <v>7</v>
      </c>
      <c r="AG325" s="5">
        <v>7</v>
      </c>
      <c r="AH325" s="5">
        <v>7</v>
      </c>
      <c r="AI325" s="5">
        <v>7</v>
      </c>
      <c r="AJ325" s="5">
        <v>7</v>
      </c>
      <c r="AK325" s="5">
        <v>7</v>
      </c>
      <c r="AL325" s="5">
        <v>7</v>
      </c>
      <c r="AM325" s="5">
        <v>7</v>
      </c>
      <c r="AN325" s="5">
        <v>7</v>
      </c>
      <c r="AO325" s="5">
        <v>7</v>
      </c>
      <c r="AP325" s="5">
        <v>7</v>
      </c>
      <c r="AQ325" s="5">
        <v>7</v>
      </c>
      <c r="AR325" s="5">
        <v>7</v>
      </c>
      <c r="AS325" s="5">
        <v>7</v>
      </c>
      <c r="AT325" s="5">
        <v>7</v>
      </c>
      <c r="AU325" s="5">
        <v>7</v>
      </c>
      <c r="AV325" s="5">
        <v>7</v>
      </c>
      <c r="AW325" s="5">
        <v>7</v>
      </c>
      <c r="AX325" s="5">
        <v>7</v>
      </c>
      <c r="AY325" s="5">
        <v>7</v>
      </c>
      <c r="AZ325" s="5">
        <v>7</v>
      </c>
      <c r="BA325" s="5">
        <v>7</v>
      </c>
      <c r="BB325" s="5"/>
      <c r="BC325" s="5"/>
      <c r="BD325" s="5"/>
      <c r="BF325">
        <f>ROWS($U$46:U325)</f>
        <v>280</v>
      </c>
      <c r="BG325" t="str">
        <f t="shared" si="207"/>
        <v/>
      </c>
    </row>
    <row r="326" spans="12:59" ht="15" customHeight="1" thickBot="1" x14ac:dyDescent="0.4">
      <c r="L326" s="10" t="s">
        <v>1288</v>
      </c>
      <c r="O326" s="5">
        <v>12</v>
      </c>
      <c r="P326" s="5"/>
      <c r="Q326" s="5"/>
      <c r="R326" s="5"/>
      <c r="S326" s="5"/>
      <c r="T326" s="5"/>
      <c r="U326" s="5">
        <v>7</v>
      </c>
      <c r="V326" s="5" t="s">
        <v>736</v>
      </c>
      <c r="W326" s="5">
        <v>7</v>
      </c>
      <c r="X326" s="5">
        <v>7</v>
      </c>
      <c r="Y326" s="5">
        <v>7</v>
      </c>
      <c r="Z326" s="5">
        <v>7</v>
      </c>
      <c r="AA326" s="5">
        <v>7</v>
      </c>
      <c r="AB326" s="5">
        <v>7</v>
      </c>
      <c r="AC326" s="5">
        <v>7</v>
      </c>
      <c r="AD326" s="5">
        <v>7</v>
      </c>
      <c r="AE326" s="5">
        <v>7</v>
      </c>
      <c r="AF326" s="5">
        <v>7</v>
      </c>
      <c r="AG326" s="5">
        <v>7</v>
      </c>
      <c r="AH326" s="5">
        <v>7</v>
      </c>
      <c r="AI326" s="5">
        <v>7</v>
      </c>
      <c r="AJ326" s="5">
        <v>7</v>
      </c>
      <c r="AK326" s="5">
        <v>7</v>
      </c>
      <c r="AL326" s="5">
        <v>7</v>
      </c>
      <c r="AM326" s="5">
        <v>7</v>
      </c>
      <c r="AN326" s="5">
        <v>7</v>
      </c>
      <c r="AO326" s="5">
        <v>7</v>
      </c>
      <c r="AP326" s="5">
        <v>7</v>
      </c>
      <c r="AQ326" s="5">
        <v>7</v>
      </c>
      <c r="AR326" s="5">
        <v>7</v>
      </c>
      <c r="AS326" s="5">
        <v>7</v>
      </c>
      <c r="AT326" s="5">
        <v>7</v>
      </c>
      <c r="AU326" s="5">
        <v>7</v>
      </c>
      <c r="AV326" s="5">
        <v>7</v>
      </c>
      <c r="AW326" s="5">
        <v>7</v>
      </c>
      <c r="AX326" s="5">
        <v>7</v>
      </c>
      <c r="AY326" s="5">
        <v>7</v>
      </c>
      <c r="AZ326" s="5">
        <v>7</v>
      </c>
      <c r="BA326" s="5">
        <v>7</v>
      </c>
      <c r="BB326" s="5"/>
      <c r="BC326" s="5"/>
      <c r="BD326" s="5"/>
      <c r="BF326">
        <f>ROWS($U$46:U326)</f>
        <v>281</v>
      </c>
      <c r="BG326" t="str">
        <f t="shared" si="207"/>
        <v/>
      </c>
    </row>
    <row r="327" spans="12:59" ht="15" customHeight="1" x14ac:dyDescent="0.35">
      <c r="L327" s="10" t="s">
        <v>1425</v>
      </c>
      <c r="O327" s="316">
        <v>1</v>
      </c>
      <c r="P327" s="317">
        <v>773383</v>
      </c>
      <c r="Q327" s="317">
        <v>4</v>
      </c>
      <c r="R327" s="317" t="s">
        <v>887</v>
      </c>
      <c r="S327" s="318" t="s">
        <v>872</v>
      </c>
      <c r="T327" s="318" t="s">
        <v>873</v>
      </c>
      <c r="U327" s="317">
        <v>937159</v>
      </c>
      <c r="V327" s="319" t="s">
        <v>87</v>
      </c>
      <c r="W327" s="317">
        <v>2</v>
      </c>
      <c r="X327" s="317">
        <v>2</v>
      </c>
      <c r="Y327" s="320">
        <v>2</v>
      </c>
      <c r="Z327" s="320">
        <v>2</v>
      </c>
      <c r="AA327" s="320">
        <v>3</v>
      </c>
      <c r="AB327" s="320">
        <v>4</v>
      </c>
      <c r="AC327" s="320"/>
      <c r="AD327" s="320"/>
      <c r="AE327" s="320"/>
      <c r="AF327" s="320"/>
      <c r="AG327" s="320"/>
      <c r="AH327" s="320"/>
      <c r="AI327" s="320"/>
      <c r="AJ327" s="320"/>
      <c r="AK327" s="320"/>
      <c r="AL327" s="320"/>
      <c r="AM327" s="320"/>
      <c r="AN327" s="320"/>
      <c r="AO327" s="320"/>
      <c r="AP327" s="320"/>
      <c r="AQ327" s="320"/>
      <c r="AR327" s="320"/>
      <c r="AS327" s="320"/>
      <c r="AT327" s="320"/>
      <c r="AU327" s="119"/>
      <c r="BF327">
        <f>ROWS($U$46:U327)</f>
        <v>282</v>
      </c>
      <c r="BG327" t="str">
        <f t="shared" si="207"/>
        <v/>
      </c>
    </row>
    <row r="328" spans="12:59" ht="15" customHeight="1" x14ac:dyDescent="0.35">
      <c r="L328" s="10" t="s">
        <v>1565</v>
      </c>
      <c r="O328" s="321">
        <v>2</v>
      </c>
      <c r="P328" s="322">
        <v>729434</v>
      </c>
      <c r="Q328" s="322">
        <v>28</v>
      </c>
      <c r="R328" s="322"/>
      <c r="S328" s="323" t="s">
        <v>872</v>
      </c>
      <c r="T328" s="323" t="s">
        <v>873</v>
      </c>
      <c r="U328" s="322">
        <v>937159</v>
      </c>
      <c r="V328" s="165" t="s">
        <v>88</v>
      </c>
      <c r="W328" s="322">
        <v>1</v>
      </c>
      <c r="X328" s="322">
        <v>2</v>
      </c>
      <c r="Y328" s="36">
        <v>2</v>
      </c>
      <c r="Z328" s="36">
        <v>2</v>
      </c>
      <c r="AA328" s="36">
        <v>3</v>
      </c>
      <c r="AB328" s="36">
        <v>4</v>
      </c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27"/>
      <c r="BF328">
        <f>ROWS($U$46:U328)</f>
        <v>283</v>
      </c>
      <c r="BG328" t="str">
        <f t="shared" si="207"/>
        <v/>
      </c>
    </row>
    <row r="329" spans="12:59" ht="15" customHeight="1" x14ac:dyDescent="0.35">
      <c r="L329" s="10" t="s">
        <v>894</v>
      </c>
      <c r="O329" s="321">
        <v>3</v>
      </c>
      <c r="P329" s="322">
        <v>717749</v>
      </c>
      <c r="Q329" s="322">
        <v>8</v>
      </c>
      <c r="R329" s="322" t="s">
        <v>874</v>
      </c>
      <c r="S329" s="323" t="s">
        <v>872</v>
      </c>
      <c r="T329" s="323" t="s">
        <v>873</v>
      </c>
      <c r="U329" s="322">
        <v>937159</v>
      </c>
      <c r="V329" s="165" t="s">
        <v>89</v>
      </c>
      <c r="W329" s="322">
        <v>2</v>
      </c>
      <c r="X329" s="322">
        <v>2</v>
      </c>
      <c r="Y329" s="36">
        <v>2</v>
      </c>
      <c r="Z329" s="36">
        <v>2</v>
      </c>
      <c r="AA329" s="36">
        <v>3</v>
      </c>
      <c r="AB329" s="36">
        <v>4</v>
      </c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27"/>
      <c r="BF329">
        <f>ROWS($U$46:U329)</f>
        <v>284</v>
      </c>
      <c r="BG329" t="str">
        <f t="shared" si="207"/>
        <v/>
      </c>
    </row>
    <row r="330" spans="12:59" ht="15" customHeight="1" x14ac:dyDescent="0.35">
      <c r="L330" s="10" t="s">
        <v>1316</v>
      </c>
      <c r="O330" s="321">
        <v>4</v>
      </c>
      <c r="P330" s="322">
        <v>418525</v>
      </c>
      <c r="Q330" s="322">
        <v>8</v>
      </c>
      <c r="R330" s="322" t="s">
        <v>875</v>
      </c>
      <c r="S330" s="323" t="s">
        <v>872</v>
      </c>
      <c r="T330" s="323" t="s">
        <v>873</v>
      </c>
      <c r="U330" s="322">
        <v>937159</v>
      </c>
      <c r="V330" s="165" t="s">
        <v>90</v>
      </c>
      <c r="W330" s="322">
        <v>1</v>
      </c>
      <c r="X330" s="322">
        <v>2</v>
      </c>
      <c r="Y330" s="36">
        <v>2</v>
      </c>
      <c r="Z330" s="36">
        <v>2</v>
      </c>
      <c r="AA330" s="36">
        <v>3</v>
      </c>
      <c r="AB330" s="36">
        <v>4</v>
      </c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27"/>
      <c r="BF330">
        <f>ROWS($U$46:U330)</f>
        <v>285</v>
      </c>
      <c r="BG330" t="str">
        <f t="shared" si="207"/>
        <v/>
      </c>
    </row>
    <row r="331" spans="12:59" ht="15.75" customHeight="1" x14ac:dyDescent="0.35">
      <c r="L331" s="10" t="s">
        <v>1301</v>
      </c>
      <c r="O331" s="321"/>
      <c r="P331" s="322"/>
      <c r="Q331" s="322"/>
      <c r="R331" s="322"/>
      <c r="S331" s="323" t="s">
        <v>872</v>
      </c>
      <c r="T331" s="323" t="s">
        <v>873</v>
      </c>
      <c r="U331" s="322">
        <v>937159</v>
      </c>
      <c r="V331" s="165" t="s">
        <v>91</v>
      </c>
      <c r="W331" s="322">
        <v>2</v>
      </c>
      <c r="X331" s="322">
        <v>2</v>
      </c>
      <c r="Y331" s="36">
        <v>2</v>
      </c>
      <c r="Z331" s="36">
        <v>2</v>
      </c>
      <c r="AA331" s="36">
        <v>3</v>
      </c>
      <c r="AB331" s="36">
        <v>4</v>
      </c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27"/>
      <c r="BF331">
        <f>ROWS($U$46:U331)</f>
        <v>286</v>
      </c>
      <c r="BG331" t="str">
        <f t="shared" si="207"/>
        <v/>
      </c>
    </row>
    <row r="332" spans="12:59" ht="15" customHeight="1" x14ac:dyDescent="0.35">
      <c r="L332" s="10" t="s">
        <v>2139</v>
      </c>
      <c r="O332" s="321"/>
      <c r="P332" s="322"/>
      <c r="Q332" s="322"/>
      <c r="R332" s="322"/>
      <c r="S332" s="323" t="s">
        <v>872</v>
      </c>
      <c r="T332" s="323" t="s">
        <v>873</v>
      </c>
      <c r="U332" s="322">
        <v>937159</v>
      </c>
      <c r="V332" s="165" t="s">
        <v>92</v>
      </c>
      <c r="W332" s="322">
        <v>1</v>
      </c>
      <c r="X332" s="322">
        <v>2</v>
      </c>
      <c r="Y332" s="36">
        <v>2</v>
      </c>
      <c r="Z332" s="36">
        <v>2</v>
      </c>
      <c r="AA332" s="36">
        <v>3</v>
      </c>
      <c r="AB332" s="36">
        <v>4</v>
      </c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27"/>
      <c r="BF332">
        <f>ROWS($U$46:U332)</f>
        <v>287</v>
      </c>
      <c r="BG332" t="str">
        <f t="shared" si="207"/>
        <v/>
      </c>
    </row>
    <row r="333" spans="12:59" ht="15" customHeight="1" x14ac:dyDescent="0.35">
      <c r="L333" s="10" t="s">
        <v>1132</v>
      </c>
      <c r="O333" s="321"/>
      <c r="P333" s="322"/>
      <c r="Q333" s="322"/>
      <c r="R333" s="322"/>
      <c r="S333" s="323" t="s">
        <v>872</v>
      </c>
      <c r="T333" s="323" t="s">
        <v>873</v>
      </c>
      <c r="U333" s="322">
        <v>937159</v>
      </c>
      <c r="V333" s="165" t="s">
        <v>111</v>
      </c>
      <c r="W333" s="322">
        <v>2</v>
      </c>
      <c r="X333" s="322">
        <v>2</v>
      </c>
      <c r="Y333" s="36">
        <v>2</v>
      </c>
      <c r="Z333" s="36">
        <v>2</v>
      </c>
      <c r="AA333" s="36">
        <v>3</v>
      </c>
      <c r="AB333" s="36">
        <v>4</v>
      </c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27"/>
      <c r="BF333">
        <f>ROWS($U$46:U333)</f>
        <v>288</v>
      </c>
      <c r="BG333" t="str">
        <f t="shared" si="207"/>
        <v/>
      </c>
    </row>
    <row r="334" spans="12:59" ht="15" customHeight="1" thickBot="1" x14ac:dyDescent="0.4">
      <c r="L334" s="10" t="s">
        <v>1325</v>
      </c>
      <c r="O334" s="324"/>
      <c r="P334" s="325"/>
      <c r="Q334" s="325"/>
      <c r="R334" s="325"/>
      <c r="S334" s="326" t="s">
        <v>872</v>
      </c>
      <c r="T334" s="326" t="s">
        <v>873</v>
      </c>
      <c r="U334" s="325">
        <v>937159</v>
      </c>
      <c r="V334" s="327" t="s">
        <v>112</v>
      </c>
      <c r="W334" s="325">
        <v>1</v>
      </c>
      <c r="X334" s="325">
        <v>2</v>
      </c>
      <c r="Y334" s="328">
        <v>2</v>
      </c>
      <c r="Z334" s="328">
        <v>2</v>
      </c>
      <c r="AA334" s="328">
        <v>3</v>
      </c>
      <c r="AB334" s="328">
        <v>4</v>
      </c>
      <c r="AC334" s="328"/>
      <c r="AD334" s="328"/>
      <c r="AE334" s="328"/>
      <c r="AF334" s="328"/>
      <c r="AG334" s="328"/>
      <c r="AH334" s="328"/>
      <c r="AI334" s="328"/>
      <c r="AJ334" s="328"/>
      <c r="AK334" s="328"/>
      <c r="AL334" s="328"/>
      <c r="AM334" s="328"/>
      <c r="AN334" s="328"/>
      <c r="AO334" s="328"/>
      <c r="AP334" s="328"/>
      <c r="AQ334" s="328"/>
      <c r="AR334" s="328"/>
      <c r="AS334" s="328"/>
      <c r="AT334" s="328"/>
      <c r="AU334" s="31"/>
      <c r="BF334">
        <f>ROWS($U$46:U334)</f>
        <v>289</v>
      </c>
      <c r="BG334" t="str">
        <f t="shared" si="207"/>
        <v/>
      </c>
    </row>
    <row r="335" spans="12:59" ht="15" customHeight="1" x14ac:dyDescent="0.35">
      <c r="L335" s="10" t="s">
        <v>2101</v>
      </c>
      <c r="O335" s="329">
        <v>1</v>
      </c>
      <c r="P335" s="320">
        <v>871781</v>
      </c>
      <c r="Q335" s="320">
        <v>3</v>
      </c>
      <c r="R335" s="320" t="s">
        <v>888</v>
      </c>
      <c r="S335" s="320">
        <v>8.5</v>
      </c>
      <c r="T335" s="320" t="s">
        <v>744</v>
      </c>
      <c r="U335" s="320">
        <v>1067911</v>
      </c>
      <c r="V335" s="319" t="s">
        <v>87</v>
      </c>
      <c r="W335" s="320">
        <v>1</v>
      </c>
      <c r="X335" s="320">
        <v>2</v>
      </c>
      <c r="Y335" s="320">
        <v>3</v>
      </c>
      <c r="Z335" s="320">
        <v>3</v>
      </c>
      <c r="AA335" s="320">
        <v>3</v>
      </c>
      <c r="AB335" s="320">
        <v>3</v>
      </c>
      <c r="AC335" s="320">
        <v>3</v>
      </c>
      <c r="AD335" s="320">
        <v>4</v>
      </c>
      <c r="AE335" s="320">
        <v>4</v>
      </c>
      <c r="AF335" s="320"/>
      <c r="AG335" s="320"/>
      <c r="AH335" s="320"/>
      <c r="AI335" s="320"/>
      <c r="AJ335" s="320"/>
      <c r="AK335" s="320"/>
      <c r="AL335" s="320"/>
      <c r="AM335" s="320"/>
      <c r="AN335" s="320"/>
      <c r="AO335" s="320"/>
      <c r="AP335" s="320"/>
      <c r="AQ335" s="320"/>
      <c r="AR335" s="320"/>
      <c r="AS335" s="320"/>
      <c r="AT335" s="320"/>
      <c r="AU335" s="119"/>
      <c r="BF335">
        <f>ROWS($U$46:U335)</f>
        <v>290</v>
      </c>
      <c r="BG335" t="str">
        <f t="shared" si="207"/>
        <v/>
      </c>
    </row>
    <row r="336" spans="12:59" ht="15" customHeight="1" x14ac:dyDescent="0.35">
      <c r="L336" s="10" t="s">
        <v>944</v>
      </c>
      <c r="O336" s="330">
        <v>2</v>
      </c>
      <c r="P336" s="36">
        <v>729689</v>
      </c>
      <c r="Q336" s="36">
        <v>3</v>
      </c>
      <c r="R336" s="36" t="s">
        <v>889</v>
      </c>
      <c r="S336" s="36">
        <v>8.5</v>
      </c>
      <c r="T336" s="36" t="s">
        <v>744</v>
      </c>
      <c r="U336" s="36">
        <v>1067911</v>
      </c>
      <c r="V336" s="165" t="s">
        <v>88</v>
      </c>
      <c r="W336" s="36">
        <v>3</v>
      </c>
      <c r="X336" s="36">
        <v>3</v>
      </c>
      <c r="Y336" s="36">
        <v>3</v>
      </c>
      <c r="Z336" s="36">
        <v>3</v>
      </c>
      <c r="AA336" s="36">
        <v>4</v>
      </c>
      <c r="AB336" s="36">
        <v>4</v>
      </c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27"/>
      <c r="BF336">
        <f>ROWS($U$46:U336)</f>
        <v>291</v>
      </c>
      <c r="BG336" t="str">
        <f t="shared" si="207"/>
        <v/>
      </c>
    </row>
    <row r="337" spans="12:59" ht="15" customHeight="1" x14ac:dyDescent="0.35">
      <c r="L337" s="10" t="s">
        <v>1559</v>
      </c>
      <c r="O337" s="330">
        <v>3</v>
      </c>
      <c r="P337" s="36">
        <v>729691</v>
      </c>
      <c r="Q337" s="36">
        <v>28</v>
      </c>
      <c r="R337" s="36"/>
      <c r="S337" s="36">
        <v>8.5</v>
      </c>
      <c r="T337" s="36" t="s">
        <v>744</v>
      </c>
      <c r="U337" s="36">
        <v>1067911</v>
      </c>
      <c r="V337" s="165" t="s">
        <v>89</v>
      </c>
      <c r="W337" s="36">
        <v>1</v>
      </c>
      <c r="X337" s="36">
        <v>2</v>
      </c>
      <c r="Y337" s="36">
        <v>3</v>
      </c>
      <c r="Z337" s="36">
        <v>3</v>
      </c>
      <c r="AA337" s="36">
        <v>3</v>
      </c>
      <c r="AB337" s="36">
        <v>3</v>
      </c>
      <c r="AC337" s="36">
        <v>3</v>
      </c>
      <c r="AD337" s="36">
        <v>4</v>
      </c>
      <c r="AE337" s="36">
        <v>4</v>
      </c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27"/>
      <c r="BF337">
        <f>ROWS($U$46:U337)</f>
        <v>292</v>
      </c>
      <c r="BG337" t="str">
        <f t="shared" si="207"/>
        <v/>
      </c>
    </row>
    <row r="338" spans="12:59" ht="15.75" customHeight="1" x14ac:dyDescent="0.35">
      <c r="L338" s="10" t="s">
        <v>946</v>
      </c>
      <c r="O338" s="330">
        <v>4</v>
      </c>
      <c r="P338" s="36">
        <v>418525</v>
      </c>
      <c r="Q338" s="36">
        <v>12</v>
      </c>
      <c r="R338" s="36"/>
      <c r="S338" s="36">
        <v>8.5</v>
      </c>
      <c r="T338" s="36" t="s">
        <v>744</v>
      </c>
      <c r="U338" s="36">
        <v>1067911</v>
      </c>
      <c r="V338" s="165" t="s">
        <v>90</v>
      </c>
      <c r="W338" s="36">
        <v>3</v>
      </c>
      <c r="X338" s="36">
        <v>3</v>
      </c>
      <c r="Y338" s="36">
        <v>3</v>
      </c>
      <c r="Z338" s="36">
        <v>3</v>
      </c>
      <c r="AA338" s="36">
        <v>3</v>
      </c>
      <c r="AB338" s="36">
        <v>4</v>
      </c>
      <c r="AC338" s="36">
        <v>4</v>
      </c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27"/>
      <c r="BF338">
        <f>ROWS($U$46:U338)</f>
        <v>293</v>
      </c>
      <c r="BG338" t="str">
        <f t="shared" si="207"/>
        <v/>
      </c>
    </row>
    <row r="339" spans="12:59" ht="15" customHeight="1" x14ac:dyDescent="0.35">
      <c r="L339" s="10" t="s">
        <v>1484</v>
      </c>
      <c r="O339" s="330"/>
      <c r="P339" s="36"/>
      <c r="Q339" s="36"/>
      <c r="R339" s="36"/>
      <c r="S339" s="36">
        <v>8.5</v>
      </c>
      <c r="T339" s="36" t="s">
        <v>744</v>
      </c>
      <c r="U339" s="36">
        <v>1067911</v>
      </c>
      <c r="V339" s="165" t="s">
        <v>91</v>
      </c>
      <c r="W339" s="36">
        <v>1</v>
      </c>
      <c r="X339" s="36">
        <v>2</v>
      </c>
      <c r="Y339" s="36">
        <v>3</v>
      </c>
      <c r="Z339" s="36">
        <v>3</v>
      </c>
      <c r="AA339" s="36">
        <v>3</v>
      </c>
      <c r="AB339" s="36">
        <v>3</v>
      </c>
      <c r="AC339" s="36">
        <v>3</v>
      </c>
      <c r="AD339" s="36">
        <v>4</v>
      </c>
      <c r="AE339" s="36">
        <v>4</v>
      </c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27"/>
      <c r="BF339">
        <f>ROWS($U$46:U339)</f>
        <v>294</v>
      </c>
      <c r="BG339" t="str">
        <f t="shared" si="207"/>
        <v/>
      </c>
    </row>
    <row r="340" spans="12:59" ht="15" customHeight="1" x14ac:dyDescent="0.35">
      <c r="L340" s="10" t="s">
        <v>1563</v>
      </c>
      <c r="O340" s="330"/>
      <c r="P340" s="36"/>
      <c r="Q340" s="36"/>
      <c r="R340" s="36"/>
      <c r="S340" s="36">
        <v>8.5</v>
      </c>
      <c r="T340" s="36" t="s">
        <v>744</v>
      </c>
      <c r="U340" s="36">
        <v>1067911</v>
      </c>
      <c r="V340" s="165" t="s">
        <v>92</v>
      </c>
      <c r="W340" s="36">
        <v>3</v>
      </c>
      <c r="X340" s="36">
        <v>3</v>
      </c>
      <c r="Y340" s="36">
        <v>3</v>
      </c>
      <c r="Z340" s="36">
        <v>3</v>
      </c>
      <c r="AA340" s="36">
        <v>4</v>
      </c>
      <c r="AB340" s="36">
        <v>4</v>
      </c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27"/>
      <c r="BF340">
        <f>ROWS($U$46:U340)</f>
        <v>295</v>
      </c>
      <c r="BG340" t="str">
        <f t="shared" si="207"/>
        <v/>
      </c>
    </row>
    <row r="341" spans="12:59" ht="15" customHeight="1" x14ac:dyDescent="0.35">
      <c r="L341" s="10" t="s">
        <v>1564</v>
      </c>
      <c r="O341" s="330">
        <v>1</v>
      </c>
      <c r="P341" s="36">
        <v>971093</v>
      </c>
      <c r="Q341" s="36">
        <v>3</v>
      </c>
      <c r="R341" s="36" t="s">
        <v>888</v>
      </c>
      <c r="S341" s="36">
        <v>16</v>
      </c>
      <c r="T341" s="36" t="s">
        <v>876</v>
      </c>
      <c r="U341" s="36">
        <v>1026622</v>
      </c>
      <c r="V341" s="165" t="s">
        <v>87</v>
      </c>
      <c r="W341" s="36">
        <v>1</v>
      </c>
      <c r="X341" s="36">
        <v>2</v>
      </c>
      <c r="Y341" s="36">
        <v>2</v>
      </c>
      <c r="Z341" s="36">
        <v>2</v>
      </c>
      <c r="AA341" s="36">
        <v>2</v>
      </c>
      <c r="AB341" s="36">
        <v>2</v>
      </c>
      <c r="AC341" s="36">
        <v>2</v>
      </c>
      <c r="AD341" s="36">
        <v>3</v>
      </c>
      <c r="AE341" s="36">
        <v>3</v>
      </c>
      <c r="AF341" s="36">
        <v>3</v>
      </c>
      <c r="AG341" s="36">
        <v>3</v>
      </c>
      <c r="AH341" s="36">
        <v>3</v>
      </c>
      <c r="AI341" s="36">
        <v>3</v>
      </c>
      <c r="AJ341" s="36">
        <v>3</v>
      </c>
      <c r="AK341" s="36">
        <v>3</v>
      </c>
      <c r="AL341" s="36">
        <v>4</v>
      </c>
      <c r="AM341" s="36"/>
      <c r="AN341" s="36"/>
      <c r="AO341" s="36">
        <v>5</v>
      </c>
      <c r="AP341" s="36">
        <v>5</v>
      </c>
      <c r="AQ341" s="36">
        <v>5</v>
      </c>
      <c r="AR341" s="36">
        <v>5</v>
      </c>
      <c r="AS341" s="36">
        <v>5</v>
      </c>
      <c r="AT341" s="36">
        <v>5</v>
      </c>
      <c r="AU341" s="27">
        <v>5</v>
      </c>
      <c r="BF341">
        <f>ROWS($U$46:U341)</f>
        <v>296</v>
      </c>
      <c r="BG341" t="str">
        <f t="shared" si="207"/>
        <v/>
      </c>
    </row>
    <row r="342" spans="12:59" ht="15" customHeight="1" thickBot="1" x14ac:dyDescent="0.4">
      <c r="L342" s="10" t="s">
        <v>1850</v>
      </c>
      <c r="O342" s="331">
        <v>2</v>
      </c>
      <c r="P342" s="328">
        <v>761246</v>
      </c>
      <c r="Q342" s="328">
        <v>17</v>
      </c>
      <c r="R342" s="328" t="s">
        <v>879</v>
      </c>
      <c r="S342" s="328">
        <v>16</v>
      </c>
      <c r="T342" s="328" t="s">
        <v>876</v>
      </c>
      <c r="U342" s="328">
        <v>1026622</v>
      </c>
      <c r="V342" s="327" t="s">
        <v>88</v>
      </c>
      <c r="W342" s="328">
        <v>3</v>
      </c>
      <c r="X342" s="328">
        <v>3</v>
      </c>
      <c r="Y342" s="328">
        <v>3</v>
      </c>
      <c r="Z342" s="328">
        <v>3</v>
      </c>
      <c r="AA342" s="328">
        <v>3</v>
      </c>
      <c r="AB342" s="328">
        <v>3</v>
      </c>
      <c r="AC342" s="328">
        <v>3</v>
      </c>
      <c r="AD342" s="328">
        <v>3</v>
      </c>
      <c r="AE342" s="328">
        <v>3</v>
      </c>
      <c r="AF342" s="328">
        <v>3</v>
      </c>
      <c r="AG342" s="328">
        <v>4</v>
      </c>
      <c r="AH342" s="328"/>
      <c r="AI342" s="328"/>
      <c r="AJ342" s="328"/>
      <c r="AK342" s="328"/>
      <c r="AL342" s="328"/>
      <c r="AM342" s="328"/>
      <c r="AN342" s="328"/>
      <c r="AO342" s="328">
        <v>5</v>
      </c>
      <c r="AP342" s="328">
        <v>5</v>
      </c>
      <c r="AQ342" s="328">
        <v>5</v>
      </c>
      <c r="AR342" s="328">
        <v>5</v>
      </c>
      <c r="AS342" s="328"/>
      <c r="AT342" s="328"/>
      <c r="AU342" s="31"/>
      <c r="BF342">
        <f>ROWS($U$46:U342)</f>
        <v>297</v>
      </c>
      <c r="BG342" t="str">
        <f t="shared" si="207"/>
        <v/>
      </c>
    </row>
    <row r="343" spans="12:59" ht="15.75" customHeight="1" x14ac:dyDescent="0.35">
      <c r="L343" s="10" t="s">
        <v>1205</v>
      </c>
      <c r="O343" s="329">
        <v>3</v>
      </c>
      <c r="P343" s="320">
        <v>933120</v>
      </c>
      <c r="Q343" s="320">
        <v>62</v>
      </c>
      <c r="R343" s="320"/>
      <c r="S343" s="320">
        <v>16</v>
      </c>
      <c r="T343" s="320" t="s">
        <v>876</v>
      </c>
      <c r="U343" s="320">
        <v>1026622</v>
      </c>
      <c r="V343" s="319" t="s">
        <v>89</v>
      </c>
      <c r="W343" s="320">
        <v>1</v>
      </c>
      <c r="X343" s="320">
        <v>2</v>
      </c>
      <c r="Y343" s="320">
        <v>2</v>
      </c>
      <c r="Z343" s="320">
        <v>2</v>
      </c>
      <c r="AA343" s="320">
        <v>2</v>
      </c>
      <c r="AB343" s="320">
        <v>3</v>
      </c>
      <c r="AC343" s="320">
        <v>3</v>
      </c>
      <c r="AD343" s="320">
        <v>3</v>
      </c>
      <c r="AE343" s="320">
        <v>3</v>
      </c>
      <c r="AF343" s="320">
        <v>3</v>
      </c>
      <c r="AG343" s="320">
        <v>3</v>
      </c>
      <c r="AH343" s="320">
        <v>3</v>
      </c>
      <c r="AI343" s="320">
        <v>3</v>
      </c>
      <c r="AJ343" s="320">
        <v>3</v>
      </c>
      <c r="AK343" s="320">
        <v>4</v>
      </c>
      <c r="AL343" s="320"/>
      <c r="AM343" s="320"/>
      <c r="AN343" s="320"/>
      <c r="AO343" s="320">
        <v>5</v>
      </c>
      <c r="AP343" s="320">
        <v>5</v>
      </c>
      <c r="AQ343" s="320">
        <v>5</v>
      </c>
      <c r="AR343" s="320">
        <v>5</v>
      </c>
      <c r="AS343" s="320">
        <v>5</v>
      </c>
      <c r="AT343" s="320">
        <v>5</v>
      </c>
      <c r="AU343" s="119">
        <v>5</v>
      </c>
      <c r="BF343">
        <f>ROWS($U$46:U343)</f>
        <v>298</v>
      </c>
      <c r="BG343" t="str">
        <f t="shared" si="207"/>
        <v/>
      </c>
    </row>
    <row r="344" spans="12:59" ht="15" customHeight="1" x14ac:dyDescent="0.35">
      <c r="L344" s="10" t="s">
        <v>1557</v>
      </c>
      <c r="O344" s="330">
        <v>4</v>
      </c>
      <c r="P344" s="36">
        <v>871781</v>
      </c>
      <c r="Q344" s="36">
        <v>7</v>
      </c>
      <c r="R344" s="36" t="s">
        <v>877</v>
      </c>
      <c r="S344" s="36">
        <v>16</v>
      </c>
      <c r="T344" s="36" t="s">
        <v>876</v>
      </c>
      <c r="U344" s="36">
        <v>1026622</v>
      </c>
      <c r="V344" s="165" t="s">
        <v>90</v>
      </c>
      <c r="W344" s="36">
        <v>3</v>
      </c>
      <c r="X344" s="36">
        <v>3</v>
      </c>
      <c r="Y344" s="36">
        <v>3</v>
      </c>
      <c r="Z344" s="36">
        <v>3</v>
      </c>
      <c r="AA344" s="36">
        <v>3</v>
      </c>
      <c r="AB344" s="36">
        <v>3</v>
      </c>
      <c r="AC344" s="36">
        <v>3</v>
      </c>
      <c r="AD344" s="36">
        <v>3</v>
      </c>
      <c r="AE344" s="36">
        <v>3</v>
      </c>
      <c r="AF344" s="36">
        <v>4</v>
      </c>
      <c r="AG344" s="36"/>
      <c r="AH344" s="36"/>
      <c r="AI344" s="36"/>
      <c r="AJ344" s="36"/>
      <c r="AK344" s="36"/>
      <c r="AL344" s="36"/>
      <c r="AM344" s="36"/>
      <c r="AN344" s="36"/>
      <c r="AO344" s="36">
        <v>5</v>
      </c>
      <c r="AP344" s="36">
        <v>5</v>
      </c>
      <c r="AQ344" s="36">
        <v>5</v>
      </c>
      <c r="AR344" s="36">
        <v>5</v>
      </c>
      <c r="AS344" s="36"/>
      <c r="AT344" s="36"/>
      <c r="AU344" s="27"/>
      <c r="BF344">
        <f>ROWS($U$46:U344)</f>
        <v>299</v>
      </c>
      <c r="BG344" t="str">
        <f t="shared" si="207"/>
        <v/>
      </c>
    </row>
    <row r="345" spans="12:59" ht="15" customHeight="1" x14ac:dyDescent="0.35">
      <c r="L345" s="10" t="s">
        <v>1558</v>
      </c>
      <c r="O345" s="330">
        <v>5</v>
      </c>
      <c r="P345" s="36">
        <v>983408</v>
      </c>
      <c r="Q345" s="36">
        <v>37</v>
      </c>
      <c r="R345" s="36" t="s">
        <v>878</v>
      </c>
      <c r="S345" s="36">
        <v>16</v>
      </c>
      <c r="T345" s="36" t="s">
        <v>876</v>
      </c>
      <c r="U345" s="36">
        <v>1026622</v>
      </c>
      <c r="V345" s="165" t="s">
        <v>91</v>
      </c>
      <c r="W345" s="36">
        <v>1</v>
      </c>
      <c r="X345" s="36">
        <v>2</v>
      </c>
      <c r="Y345" s="36">
        <v>2</v>
      </c>
      <c r="Z345" s="36">
        <v>2</v>
      </c>
      <c r="AA345" s="36">
        <v>2</v>
      </c>
      <c r="AB345" s="36">
        <v>2</v>
      </c>
      <c r="AC345" s="36">
        <v>3</v>
      </c>
      <c r="AD345" s="36">
        <v>3</v>
      </c>
      <c r="AE345" s="36">
        <v>3</v>
      </c>
      <c r="AF345" s="36">
        <v>3</v>
      </c>
      <c r="AG345" s="36">
        <v>3</v>
      </c>
      <c r="AH345" s="36">
        <v>3</v>
      </c>
      <c r="AI345" s="36">
        <v>3</v>
      </c>
      <c r="AJ345" s="36">
        <v>3</v>
      </c>
      <c r="AK345" s="36">
        <v>3</v>
      </c>
      <c r="AL345" s="36">
        <v>4</v>
      </c>
      <c r="AM345" s="36"/>
      <c r="AN345" s="36"/>
      <c r="AO345" s="36">
        <v>5</v>
      </c>
      <c r="AP345" s="36">
        <v>5</v>
      </c>
      <c r="AQ345" s="36">
        <v>5</v>
      </c>
      <c r="AR345" s="36">
        <v>5</v>
      </c>
      <c r="AS345" s="36">
        <v>5</v>
      </c>
      <c r="AT345" s="36">
        <v>5</v>
      </c>
      <c r="AU345" s="27">
        <v>5</v>
      </c>
      <c r="BF345">
        <f>ROWS($U$46:U345)</f>
        <v>300</v>
      </c>
      <c r="BG345" t="str">
        <f t="shared" si="207"/>
        <v/>
      </c>
    </row>
    <row r="346" spans="12:59" ht="15" customHeight="1" x14ac:dyDescent="0.35">
      <c r="L346" s="10" t="s">
        <v>1302</v>
      </c>
      <c r="O346" s="330"/>
      <c r="P346" s="36"/>
      <c r="Q346" s="36"/>
      <c r="R346" s="36"/>
      <c r="S346" s="36">
        <v>16</v>
      </c>
      <c r="T346" s="36" t="s">
        <v>876</v>
      </c>
      <c r="U346" s="36">
        <v>1026622</v>
      </c>
      <c r="V346" s="165" t="s">
        <v>92</v>
      </c>
      <c r="W346" s="36">
        <v>2</v>
      </c>
      <c r="X346" s="36">
        <v>3</v>
      </c>
      <c r="Y346" s="36">
        <v>3</v>
      </c>
      <c r="Z346" s="36">
        <v>3</v>
      </c>
      <c r="AA346" s="36">
        <v>3</v>
      </c>
      <c r="AB346" s="36">
        <v>3</v>
      </c>
      <c r="AC346" s="36">
        <v>3</v>
      </c>
      <c r="AD346" s="36">
        <v>3</v>
      </c>
      <c r="AE346" s="36">
        <v>3</v>
      </c>
      <c r="AF346" s="36">
        <v>3</v>
      </c>
      <c r="AG346" s="36">
        <v>4</v>
      </c>
      <c r="AH346" s="36"/>
      <c r="AI346" s="36"/>
      <c r="AJ346" s="36"/>
      <c r="AK346" s="36"/>
      <c r="AL346" s="36"/>
      <c r="AM346" s="36"/>
      <c r="AN346" s="36"/>
      <c r="AO346" s="36">
        <v>5</v>
      </c>
      <c r="AP346" s="36">
        <v>5</v>
      </c>
      <c r="AQ346" s="36">
        <v>5</v>
      </c>
      <c r="AR346" s="36">
        <v>5</v>
      </c>
      <c r="AS346" s="36"/>
      <c r="AT346" s="36"/>
      <c r="AU346" s="27"/>
      <c r="BF346">
        <f>ROWS($U$46:U346)</f>
        <v>301</v>
      </c>
      <c r="BG346" t="str">
        <f t="shared" si="207"/>
        <v/>
      </c>
    </row>
    <row r="347" spans="12:59" ht="15" customHeight="1" x14ac:dyDescent="0.35">
      <c r="L347" s="10" t="s">
        <v>1946</v>
      </c>
      <c r="O347" s="330"/>
      <c r="P347" s="36"/>
      <c r="Q347" s="36"/>
      <c r="R347" s="36"/>
      <c r="S347" s="36">
        <v>16</v>
      </c>
      <c r="T347" s="36" t="s">
        <v>876</v>
      </c>
      <c r="U347" s="36">
        <v>1026622</v>
      </c>
      <c r="V347" s="165" t="s">
        <v>111</v>
      </c>
      <c r="W347" s="36">
        <v>2</v>
      </c>
      <c r="X347" s="36">
        <v>3</v>
      </c>
      <c r="Y347" s="36">
        <v>3</v>
      </c>
      <c r="Z347" s="36">
        <v>3</v>
      </c>
      <c r="AA347" s="36">
        <v>3</v>
      </c>
      <c r="AB347" s="36">
        <v>3</v>
      </c>
      <c r="AC347" s="36">
        <v>3</v>
      </c>
      <c r="AD347" s="36">
        <v>3</v>
      </c>
      <c r="AE347" s="36">
        <v>3</v>
      </c>
      <c r="AF347" s="36">
        <v>4</v>
      </c>
      <c r="AG347" s="36"/>
      <c r="AH347" s="36"/>
      <c r="AI347" s="36"/>
      <c r="AJ347" s="36"/>
      <c r="AK347" s="36"/>
      <c r="AL347" s="36"/>
      <c r="AM347" s="36"/>
      <c r="AN347" s="36"/>
      <c r="AO347" s="36">
        <v>5</v>
      </c>
      <c r="AP347" s="36">
        <v>5</v>
      </c>
      <c r="AQ347" s="36">
        <v>5</v>
      </c>
      <c r="AR347" s="36">
        <v>5</v>
      </c>
      <c r="AS347" s="36"/>
      <c r="AT347" s="36"/>
      <c r="AU347" s="27"/>
      <c r="BF347">
        <f>ROWS($U$46:U347)</f>
        <v>302</v>
      </c>
      <c r="BG347" t="str">
        <f t="shared" si="207"/>
        <v/>
      </c>
    </row>
    <row r="348" spans="12:59" ht="15" customHeight="1" thickBot="1" x14ac:dyDescent="0.4">
      <c r="L348" s="10" t="s">
        <v>1178</v>
      </c>
      <c r="O348" s="331">
        <v>1</v>
      </c>
      <c r="P348" s="328">
        <v>871781</v>
      </c>
      <c r="Q348" s="328">
        <v>3</v>
      </c>
      <c r="R348" s="328" t="s">
        <v>888</v>
      </c>
      <c r="S348" s="328">
        <v>8.5</v>
      </c>
      <c r="T348" s="328" t="s">
        <v>880</v>
      </c>
      <c r="U348" s="328">
        <v>1086630</v>
      </c>
      <c r="V348" s="327" t="s">
        <v>87</v>
      </c>
      <c r="W348" s="328">
        <v>1</v>
      </c>
      <c r="X348" s="328">
        <v>2</v>
      </c>
      <c r="Y348" s="328">
        <v>3</v>
      </c>
      <c r="Z348" s="328">
        <v>3</v>
      </c>
      <c r="AA348" s="328">
        <v>3</v>
      </c>
      <c r="AB348" s="328">
        <v>3</v>
      </c>
      <c r="AC348" s="328">
        <v>3</v>
      </c>
      <c r="AD348" s="328">
        <v>4</v>
      </c>
      <c r="AE348" s="328">
        <v>4</v>
      </c>
      <c r="AF348" s="328"/>
      <c r="AG348" s="328"/>
      <c r="AH348" s="328"/>
      <c r="AI348" s="328"/>
      <c r="AJ348" s="328"/>
      <c r="AK348" s="328"/>
      <c r="AL348" s="328"/>
      <c r="AM348" s="328"/>
      <c r="AN348" s="328"/>
      <c r="AO348" s="328"/>
      <c r="AP348" s="328"/>
      <c r="AQ348" s="328"/>
      <c r="AR348" s="328"/>
      <c r="AS348" s="328"/>
      <c r="AT348" s="328"/>
      <c r="AU348" s="31"/>
      <c r="BF348">
        <f>ROWS($U$46:U348)</f>
        <v>303</v>
      </c>
      <c r="BG348" t="str">
        <f t="shared" si="207"/>
        <v/>
      </c>
    </row>
    <row r="349" spans="12:59" ht="15" customHeight="1" x14ac:dyDescent="0.35">
      <c r="L349" s="10" t="s">
        <v>1195</v>
      </c>
      <c r="O349" s="329">
        <v>2</v>
      </c>
      <c r="P349" s="320">
        <v>729689</v>
      </c>
      <c r="Q349" s="320">
        <v>3</v>
      </c>
      <c r="R349" s="320" t="s">
        <v>889</v>
      </c>
      <c r="S349" s="320">
        <v>8.5</v>
      </c>
      <c r="T349" s="320" t="s">
        <v>880</v>
      </c>
      <c r="U349" s="320">
        <v>1086630</v>
      </c>
      <c r="V349" s="319" t="s">
        <v>88</v>
      </c>
      <c r="W349" s="320">
        <v>3</v>
      </c>
      <c r="X349" s="320">
        <v>3</v>
      </c>
      <c r="Y349" s="320">
        <v>3</v>
      </c>
      <c r="Z349" s="320">
        <v>3</v>
      </c>
      <c r="AA349" s="320">
        <v>4</v>
      </c>
      <c r="AB349" s="320">
        <v>4</v>
      </c>
      <c r="AC349" s="320"/>
      <c r="AD349" s="320"/>
      <c r="AE349" s="320"/>
      <c r="AF349" s="320"/>
      <c r="AG349" s="320"/>
      <c r="AH349" s="320"/>
      <c r="AI349" s="320"/>
      <c r="AJ349" s="320"/>
      <c r="AK349" s="320"/>
      <c r="AL349" s="320"/>
      <c r="AM349" s="320"/>
      <c r="AN349" s="320"/>
      <c r="AO349" s="320"/>
      <c r="AP349" s="320"/>
      <c r="AQ349" s="320"/>
      <c r="AR349" s="320"/>
      <c r="AS349" s="320"/>
      <c r="AT349" s="320"/>
      <c r="AU349" s="119"/>
      <c r="BF349">
        <f>ROWS($U$46:U349)</f>
        <v>304</v>
      </c>
      <c r="BG349" t="str">
        <f t="shared" si="207"/>
        <v/>
      </c>
    </row>
    <row r="350" spans="12:59" ht="15" customHeight="1" x14ac:dyDescent="0.35">
      <c r="L350" s="10" t="s">
        <v>1868</v>
      </c>
      <c r="O350" s="330">
        <v>3</v>
      </c>
      <c r="P350" s="36">
        <v>729691</v>
      </c>
      <c r="Q350" s="36">
        <v>28</v>
      </c>
      <c r="R350" s="36"/>
      <c r="S350" s="36">
        <v>8.5</v>
      </c>
      <c r="T350" s="36" t="s">
        <v>880</v>
      </c>
      <c r="U350" s="36">
        <v>1086630</v>
      </c>
      <c r="V350" s="165" t="s">
        <v>89</v>
      </c>
      <c r="W350" s="36">
        <v>1</v>
      </c>
      <c r="X350" s="36">
        <v>2</v>
      </c>
      <c r="Y350" s="36">
        <v>3</v>
      </c>
      <c r="Z350" s="36">
        <v>3</v>
      </c>
      <c r="AA350" s="36">
        <v>3</v>
      </c>
      <c r="AB350" s="36">
        <v>3</v>
      </c>
      <c r="AC350" s="36">
        <v>3</v>
      </c>
      <c r="AD350" s="36">
        <v>4</v>
      </c>
      <c r="AE350" s="36">
        <v>4</v>
      </c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27"/>
      <c r="BF350">
        <f>ROWS($U$46:U350)</f>
        <v>305</v>
      </c>
      <c r="BG350" t="str">
        <f t="shared" si="207"/>
        <v/>
      </c>
    </row>
    <row r="351" spans="12:59" ht="15.75" customHeight="1" x14ac:dyDescent="0.35">
      <c r="L351" s="10" t="s">
        <v>1380</v>
      </c>
      <c r="O351" s="330">
        <v>4</v>
      </c>
      <c r="P351" s="36">
        <v>418525</v>
      </c>
      <c r="Q351" s="36">
        <v>12</v>
      </c>
      <c r="R351" s="36"/>
      <c r="S351" s="36">
        <v>8.5</v>
      </c>
      <c r="T351" s="36" t="s">
        <v>880</v>
      </c>
      <c r="U351" s="36">
        <v>1086630</v>
      </c>
      <c r="V351" s="165" t="s">
        <v>90</v>
      </c>
      <c r="W351" s="36">
        <v>3</v>
      </c>
      <c r="X351" s="36">
        <v>3</v>
      </c>
      <c r="Y351" s="36">
        <v>3</v>
      </c>
      <c r="Z351" s="36">
        <v>3</v>
      </c>
      <c r="AA351" s="36">
        <v>3</v>
      </c>
      <c r="AB351" s="36">
        <v>4</v>
      </c>
      <c r="AC351" s="36">
        <v>4</v>
      </c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27"/>
      <c r="BF351">
        <f>ROWS($U$46:U351)</f>
        <v>306</v>
      </c>
      <c r="BG351" t="str">
        <f t="shared" si="207"/>
        <v/>
      </c>
    </row>
    <row r="352" spans="12:59" ht="15" customHeight="1" x14ac:dyDescent="0.35">
      <c r="L352" s="10" t="s">
        <v>1455</v>
      </c>
      <c r="O352" s="330"/>
      <c r="P352" s="36"/>
      <c r="Q352" s="36"/>
      <c r="R352" s="36"/>
      <c r="S352" s="36">
        <v>8.5</v>
      </c>
      <c r="T352" s="36" t="s">
        <v>880</v>
      </c>
      <c r="U352" s="36">
        <v>1086630</v>
      </c>
      <c r="V352" s="165" t="s">
        <v>91</v>
      </c>
      <c r="W352" s="36">
        <v>1</v>
      </c>
      <c r="X352" s="36">
        <v>2</v>
      </c>
      <c r="Y352" s="36">
        <v>3</v>
      </c>
      <c r="Z352" s="36">
        <v>3</v>
      </c>
      <c r="AA352" s="36">
        <v>3</v>
      </c>
      <c r="AB352" s="36">
        <v>3</v>
      </c>
      <c r="AC352" s="36">
        <v>3</v>
      </c>
      <c r="AD352" s="36">
        <v>4</v>
      </c>
      <c r="AE352" s="36">
        <v>4</v>
      </c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27"/>
      <c r="BF352">
        <f>ROWS($U$46:U352)</f>
        <v>307</v>
      </c>
      <c r="BG352" t="str">
        <f t="shared" si="207"/>
        <v/>
      </c>
    </row>
    <row r="353" spans="12:59" ht="15" customHeight="1" thickBot="1" x14ac:dyDescent="0.4">
      <c r="L353" s="10" t="s">
        <v>1194</v>
      </c>
      <c r="O353" s="485"/>
      <c r="P353" s="486"/>
      <c r="Q353" s="486"/>
      <c r="R353" s="486"/>
      <c r="S353" s="486">
        <v>8.5</v>
      </c>
      <c r="T353" s="486" t="s">
        <v>880</v>
      </c>
      <c r="U353" s="486">
        <v>1086630</v>
      </c>
      <c r="V353" s="487" t="s">
        <v>92</v>
      </c>
      <c r="W353" s="486">
        <v>3</v>
      </c>
      <c r="X353" s="486">
        <v>3</v>
      </c>
      <c r="Y353" s="486">
        <v>3</v>
      </c>
      <c r="Z353" s="486">
        <v>3</v>
      </c>
      <c r="AA353" s="486">
        <v>4</v>
      </c>
      <c r="AB353" s="486">
        <v>4</v>
      </c>
      <c r="AC353" s="486"/>
      <c r="AD353" s="486"/>
      <c r="AE353" s="486"/>
      <c r="AF353" s="486"/>
      <c r="AG353" s="486"/>
      <c r="AH353" s="486"/>
      <c r="AI353" s="486"/>
      <c r="AJ353" s="486"/>
      <c r="AK353" s="486"/>
      <c r="AL353" s="486"/>
      <c r="AM353" s="486"/>
      <c r="AN353" s="486"/>
      <c r="AO353" s="486"/>
      <c r="AP353" s="486"/>
      <c r="AQ353" s="486"/>
      <c r="AR353" s="486"/>
      <c r="AS353" s="486"/>
      <c r="AT353" s="486"/>
      <c r="AU353" s="488"/>
      <c r="BF353">
        <f>ROWS($U$46:U353)</f>
        <v>308</v>
      </c>
      <c r="BG353" t="str">
        <f t="shared" si="207"/>
        <v/>
      </c>
    </row>
    <row r="354" spans="12:59" ht="15" customHeight="1" x14ac:dyDescent="0.35">
      <c r="L354" s="10" t="s">
        <v>1485</v>
      </c>
      <c r="N354">
        <f t="shared" ref="N354:N359" si="208">O354*Q354</f>
        <v>56</v>
      </c>
      <c r="O354" s="329">
        <v>1</v>
      </c>
      <c r="P354" s="320">
        <v>1130198</v>
      </c>
      <c r="Q354" s="320">
        <v>56</v>
      </c>
      <c r="R354" s="320" t="s">
        <v>890</v>
      </c>
      <c r="S354" s="320">
        <v>16</v>
      </c>
      <c r="T354" s="320" t="s">
        <v>881</v>
      </c>
      <c r="U354" s="320">
        <v>903299</v>
      </c>
      <c r="V354" s="319" t="s">
        <v>87</v>
      </c>
      <c r="W354" s="320">
        <v>6</v>
      </c>
      <c r="X354" s="320">
        <v>6</v>
      </c>
      <c r="Y354" s="320">
        <v>6</v>
      </c>
      <c r="Z354" s="320">
        <v>6</v>
      </c>
      <c r="AA354" s="320">
        <v>6</v>
      </c>
      <c r="AB354" s="320">
        <v>1</v>
      </c>
      <c r="AC354" s="320">
        <v>1</v>
      </c>
      <c r="AD354" s="320">
        <v>1</v>
      </c>
      <c r="AE354" s="320">
        <v>1</v>
      </c>
      <c r="AF354" s="320">
        <v>1</v>
      </c>
      <c r="AG354" s="320">
        <v>1</v>
      </c>
      <c r="AH354" s="320">
        <v>1</v>
      </c>
      <c r="AI354" s="320">
        <v>1</v>
      </c>
      <c r="AJ354" s="320">
        <v>5</v>
      </c>
      <c r="AK354" s="320">
        <v>5</v>
      </c>
      <c r="AL354" s="320"/>
      <c r="AM354" s="320">
        <v>4</v>
      </c>
      <c r="AN354" s="320">
        <v>4</v>
      </c>
      <c r="AO354" s="320">
        <v>4</v>
      </c>
      <c r="AP354" s="320">
        <v>4</v>
      </c>
      <c r="AQ354" s="320">
        <v>2</v>
      </c>
      <c r="AR354" s="320">
        <v>2</v>
      </c>
      <c r="AS354" s="320">
        <v>2</v>
      </c>
      <c r="AT354" s="320">
        <v>2</v>
      </c>
      <c r="AU354" s="320">
        <v>2</v>
      </c>
      <c r="AV354" s="320">
        <v>4</v>
      </c>
      <c r="AW354" s="320"/>
      <c r="AX354" s="320">
        <v>3</v>
      </c>
      <c r="AY354" s="320">
        <v>3</v>
      </c>
      <c r="AZ354" s="320">
        <v>3</v>
      </c>
      <c r="BA354" s="320">
        <v>3</v>
      </c>
      <c r="BB354" s="320">
        <v>3</v>
      </c>
      <c r="BC354" s="119">
        <v>3</v>
      </c>
      <c r="BF354">
        <f>ROWS($U$46:U354)</f>
        <v>309</v>
      </c>
      <c r="BG354" t="str">
        <f t="shared" si="207"/>
        <v/>
      </c>
    </row>
    <row r="355" spans="12:59" ht="15" customHeight="1" x14ac:dyDescent="0.35">
      <c r="L355" s="10" t="s">
        <v>1381</v>
      </c>
      <c r="N355">
        <f t="shared" si="208"/>
        <v>78</v>
      </c>
      <c r="O355" s="330">
        <v>2</v>
      </c>
      <c r="P355" s="36">
        <v>717751</v>
      </c>
      <c r="Q355" s="36">
        <v>39</v>
      </c>
      <c r="R355" s="36"/>
      <c r="S355" s="36">
        <v>16</v>
      </c>
      <c r="T355" s="36" t="s">
        <v>881</v>
      </c>
      <c r="U355" s="36">
        <v>903299</v>
      </c>
      <c r="V355" s="165" t="s">
        <v>88</v>
      </c>
      <c r="W355" s="36">
        <v>1</v>
      </c>
      <c r="X355" s="36">
        <v>1</v>
      </c>
      <c r="Y355" s="36">
        <v>1</v>
      </c>
      <c r="Z355" s="36">
        <v>1</v>
      </c>
      <c r="AA355" s="36">
        <v>1</v>
      </c>
      <c r="AB355" s="36">
        <v>1</v>
      </c>
      <c r="AC355" s="36">
        <v>1</v>
      </c>
      <c r="AD355" s="36">
        <v>5</v>
      </c>
      <c r="AE355" s="36">
        <v>5</v>
      </c>
      <c r="AF355" s="36"/>
      <c r="AG355" s="36"/>
      <c r="AH355" s="36"/>
      <c r="AI355" s="36"/>
      <c r="AJ355" s="36"/>
      <c r="AK355" s="36"/>
      <c r="AL355" s="36"/>
      <c r="AM355" s="36">
        <v>4</v>
      </c>
      <c r="AN355" s="36">
        <v>2</v>
      </c>
      <c r="AO355" s="36">
        <v>2</v>
      </c>
      <c r="AP355" s="36">
        <v>2</v>
      </c>
      <c r="AQ355" s="36">
        <v>2</v>
      </c>
      <c r="AR355" s="36">
        <v>2</v>
      </c>
      <c r="AS355" s="36">
        <v>4</v>
      </c>
      <c r="AT355" s="36"/>
      <c r="AU355" s="36"/>
      <c r="AV355" s="36"/>
      <c r="AW355" s="36"/>
      <c r="AX355" s="36">
        <v>3</v>
      </c>
      <c r="AY355" s="36">
        <v>3</v>
      </c>
      <c r="AZ355" s="36">
        <v>3</v>
      </c>
      <c r="BA355" s="36">
        <v>3</v>
      </c>
      <c r="BB355" s="36">
        <v>3</v>
      </c>
      <c r="BC355" s="27">
        <v>3</v>
      </c>
      <c r="BF355">
        <f>ROWS($U$46:U355)</f>
        <v>310</v>
      </c>
      <c r="BG355" t="str">
        <f t="shared" si="207"/>
        <v/>
      </c>
    </row>
    <row r="356" spans="12:59" ht="15" customHeight="1" x14ac:dyDescent="0.35">
      <c r="L356" s="10" t="s">
        <v>1190</v>
      </c>
      <c r="N356">
        <f t="shared" si="208"/>
        <v>126</v>
      </c>
      <c r="O356" s="3">
        <v>3</v>
      </c>
      <c r="P356" s="36">
        <v>410851</v>
      </c>
      <c r="Q356" s="36">
        <v>42</v>
      </c>
      <c r="R356" s="36" t="s">
        <v>883</v>
      </c>
      <c r="S356" s="36">
        <v>16</v>
      </c>
      <c r="T356" s="36" t="s">
        <v>881</v>
      </c>
      <c r="U356" s="36">
        <v>903299</v>
      </c>
      <c r="V356" s="165" t="s">
        <v>89</v>
      </c>
      <c r="W356" s="36">
        <v>6</v>
      </c>
      <c r="X356" s="36">
        <v>6</v>
      </c>
      <c r="Y356" s="36">
        <v>6</v>
      </c>
      <c r="Z356" s="36">
        <v>6</v>
      </c>
      <c r="AA356" s="36">
        <v>1</v>
      </c>
      <c r="AB356" s="36">
        <v>1</v>
      </c>
      <c r="AC356" s="36">
        <v>1</v>
      </c>
      <c r="AD356" s="36">
        <v>1</v>
      </c>
      <c r="AE356" s="36">
        <v>1</v>
      </c>
      <c r="AF356" s="36">
        <v>1</v>
      </c>
      <c r="AG356" s="36">
        <v>1</v>
      </c>
      <c r="AH356" s="36">
        <v>1</v>
      </c>
      <c r="AI356" s="36">
        <v>5</v>
      </c>
      <c r="AJ356" s="36">
        <v>5</v>
      </c>
      <c r="AK356" s="36"/>
      <c r="AL356" s="36"/>
      <c r="AM356" s="36">
        <v>4</v>
      </c>
      <c r="AN356" s="36">
        <v>4</v>
      </c>
      <c r="AO356" s="36">
        <v>4</v>
      </c>
      <c r="AP356" s="36">
        <v>4</v>
      </c>
      <c r="AQ356" s="36">
        <v>2</v>
      </c>
      <c r="AR356" s="36">
        <v>2</v>
      </c>
      <c r="AS356" s="36">
        <v>2</v>
      </c>
      <c r="AT356" s="36">
        <v>2</v>
      </c>
      <c r="AU356" s="36">
        <v>2</v>
      </c>
      <c r="AV356" s="36">
        <v>4</v>
      </c>
      <c r="AW356" s="36"/>
      <c r="AX356" s="36">
        <v>3</v>
      </c>
      <c r="AY356" s="36">
        <v>3</v>
      </c>
      <c r="AZ356" s="36">
        <v>3</v>
      </c>
      <c r="BA356" s="36">
        <v>3</v>
      </c>
      <c r="BB356" s="36">
        <v>3</v>
      </c>
      <c r="BC356" s="27">
        <v>3</v>
      </c>
      <c r="BF356">
        <f>ROWS($U$46:U356)</f>
        <v>311</v>
      </c>
      <c r="BG356" t="str">
        <f t="shared" si="207"/>
        <v/>
      </c>
    </row>
    <row r="357" spans="12:59" ht="15" customHeight="1" x14ac:dyDescent="0.35">
      <c r="L357" s="10" t="s">
        <v>1394</v>
      </c>
      <c r="N357">
        <f t="shared" si="208"/>
        <v>92</v>
      </c>
      <c r="O357" s="3">
        <v>4</v>
      </c>
      <c r="P357" s="36">
        <v>179733</v>
      </c>
      <c r="Q357" s="36">
        <v>23</v>
      </c>
      <c r="R357" s="36" t="s">
        <v>882</v>
      </c>
      <c r="S357" s="36">
        <v>16</v>
      </c>
      <c r="T357" s="36" t="s">
        <v>881</v>
      </c>
      <c r="U357" s="36">
        <v>903299</v>
      </c>
      <c r="V357" s="165" t="s">
        <v>90</v>
      </c>
      <c r="W357" s="36">
        <v>1</v>
      </c>
      <c r="X357" s="36">
        <v>1</v>
      </c>
      <c r="Y357" s="36">
        <v>1</v>
      </c>
      <c r="Z357" s="36">
        <v>1</v>
      </c>
      <c r="AA357" s="36">
        <v>1</v>
      </c>
      <c r="AB357" s="36">
        <v>1</v>
      </c>
      <c r="AC357" s="36">
        <v>1</v>
      </c>
      <c r="AD357" s="36">
        <v>1</v>
      </c>
      <c r="AE357" s="36">
        <v>5</v>
      </c>
      <c r="AF357" s="36">
        <v>5</v>
      </c>
      <c r="AG357" s="36"/>
      <c r="AH357" s="36"/>
      <c r="AI357" s="36"/>
      <c r="AJ357" s="36"/>
      <c r="AK357" s="36"/>
      <c r="AL357" s="36"/>
      <c r="AM357" s="36">
        <v>4</v>
      </c>
      <c r="AN357" s="36">
        <v>2</v>
      </c>
      <c r="AO357" s="36">
        <v>2</v>
      </c>
      <c r="AP357" s="36">
        <v>2</v>
      </c>
      <c r="AQ357" s="36">
        <v>2</v>
      </c>
      <c r="AR357" s="36">
        <v>2</v>
      </c>
      <c r="AS357" s="36">
        <v>2</v>
      </c>
      <c r="AT357" s="36">
        <v>4</v>
      </c>
      <c r="AU357" s="36"/>
      <c r="AV357" s="36"/>
      <c r="AW357" s="36"/>
      <c r="AX357" s="36">
        <v>3</v>
      </c>
      <c r="AY357" s="36">
        <v>3</v>
      </c>
      <c r="AZ357" s="36">
        <v>3</v>
      </c>
      <c r="BA357" s="36">
        <v>3</v>
      </c>
      <c r="BB357" s="36">
        <v>3</v>
      </c>
      <c r="BC357" s="27">
        <v>3</v>
      </c>
      <c r="BF357">
        <f>ROWS($U$46:U357)</f>
        <v>312</v>
      </c>
      <c r="BG357" t="str">
        <f t="shared" si="207"/>
        <v/>
      </c>
    </row>
    <row r="358" spans="12:59" ht="15.75" customHeight="1" x14ac:dyDescent="0.35">
      <c r="L358" s="10" t="s">
        <v>1201</v>
      </c>
      <c r="N358">
        <f t="shared" si="208"/>
        <v>70</v>
      </c>
      <c r="O358" s="3">
        <v>5</v>
      </c>
      <c r="P358" s="36">
        <v>418525</v>
      </c>
      <c r="Q358" s="36">
        <v>14</v>
      </c>
      <c r="R358" s="36" t="s">
        <v>878</v>
      </c>
      <c r="S358" s="36">
        <v>16</v>
      </c>
      <c r="T358" s="36" t="s">
        <v>881</v>
      </c>
      <c r="U358" s="36">
        <v>903299</v>
      </c>
      <c r="V358" s="165" t="s">
        <v>91</v>
      </c>
      <c r="W358" s="36">
        <v>6</v>
      </c>
      <c r="X358" s="36">
        <v>6</v>
      </c>
      <c r="Y358" s="36">
        <v>6</v>
      </c>
      <c r="Z358" s="36">
        <v>6</v>
      </c>
      <c r="AA358" s="36">
        <v>1</v>
      </c>
      <c r="AB358" s="36">
        <v>1</v>
      </c>
      <c r="AC358" s="36">
        <v>1</v>
      </c>
      <c r="AD358" s="36">
        <v>1</v>
      </c>
      <c r="AE358" s="36">
        <v>1</v>
      </c>
      <c r="AF358" s="36">
        <v>1</v>
      </c>
      <c r="AG358" s="36">
        <v>1</v>
      </c>
      <c r="AH358" s="36">
        <v>1</v>
      </c>
      <c r="AI358" s="36">
        <v>1</v>
      </c>
      <c r="AJ358" s="36">
        <v>5</v>
      </c>
      <c r="AK358" s="36">
        <v>5</v>
      </c>
      <c r="AL358" s="36"/>
      <c r="AM358" s="36">
        <v>4</v>
      </c>
      <c r="AN358" s="36">
        <v>4</v>
      </c>
      <c r="AO358" s="36">
        <v>4</v>
      </c>
      <c r="AP358" s="36">
        <v>4</v>
      </c>
      <c r="AQ358" s="36">
        <v>2</v>
      </c>
      <c r="AR358" s="36">
        <v>2</v>
      </c>
      <c r="AS358" s="36">
        <v>2</v>
      </c>
      <c r="AT358" s="36">
        <v>2</v>
      </c>
      <c r="AU358" s="36">
        <v>2</v>
      </c>
      <c r="AV358" s="36">
        <v>2</v>
      </c>
      <c r="AW358" s="36">
        <v>4</v>
      </c>
      <c r="AX358" s="36">
        <v>3</v>
      </c>
      <c r="AY358" s="36">
        <v>3</v>
      </c>
      <c r="AZ358" s="36">
        <v>3</v>
      </c>
      <c r="BA358" s="36">
        <v>3</v>
      </c>
      <c r="BB358" s="36">
        <v>3</v>
      </c>
      <c r="BC358" s="27">
        <v>3</v>
      </c>
      <c r="BF358">
        <f>ROWS($U$46:U358)</f>
        <v>313</v>
      </c>
      <c r="BG358" t="str">
        <f t="shared" si="207"/>
        <v/>
      </c>
    </row>
    <row r="359" spans="12:59" ht="15" customHeight="1" x14ac:dyDescent="0.35">
      <c r="L359" s="10" t="s">
        <v>1208</v>
      </c>
      <c r="N359">
        <f t="shared" si="208"/>
        <v>78</v>
      </c>
      <c r="O359" s="3">
        <v>6</v>
      </c>
      <c r="P359" s="36">
        <v>1130197</v>
      </c>
      <c r="Q359" s="36">
        <v>13</v>
      </c>
      <c r="R359" s="36" t="s">
        <v>884</v>
      </c>
      <c r="S359" s="36">
        <v>16</v>
      </c>
      <c r="T359" s="36" t="s">
        <v>881</v>
      </c>
      <c r="U359" s="36">
        <v>903299</v>
      </c>
      <c r="V359" s="165" t="s">
        <v>92</v>
      </c>
      <c r="W359" s="36">
        <v>1</v>
      </c>
      <c r="X359" s="36">
        <v>1</v>
      </c>
      <c r="Y359" s="36">
        <v>1</v>
      </c>
      <c r="Z359" s="36">
        <v>1</v>
      </c>
      <c r="AA359" s="36">
        <v>1</v>
      </c>
      <c r="AB359" s="36">
        <v>1</v>
      </c>
      <c r="AC359" s="36">
        <v>1</v>
      </c>
      <c r="AD359" s="36">
        <v>1</v>
      </c>
      <c r="AE359" s="36">
        <v>5</v>
      </c>
      <c r="AF359" s="36">
        <v>5</v>
      </c>
      <c r="AG359" s="36"/>
      <c r="AH359" s="36"/>
      <c r="AI359" s="36"/>
      <c r="AJ359" s="36"/>
      <c r="AK359" s="36"/>
      <c r="AL359" s="36"/>
      <c r="AM359" s="36">
        <v>4</v>
      </c>
      <c r="AN359" s="36">
        <v>2</v>
      </c>
      <c r="AO359" s="36">
        <v>2</v>
      </c>
      <c r="AP359" s="36">
        <v>2</v>
      </c>
      <c r="AQ359" s="36">
        <v>2</v>
      </c>
      <c r="AR359" s="36">
        <v>2</v>
      </c>
      <c r="AS359" s="36">
        <v>2</v>
      </c>
      <c r="AT359" s="36">
        <v>4</v>
      </c>
      <c r="AU359" s="36"/>
      <c r="AV359" s="36"/>
      <c r="AW359" s="36"/>
      <c r="AX359" s="36">
        <v>3</v>
      </c>
      <c r="AY359" s="36">
        <v>3</v>
      </c>
      <c r="AZ359" s="36">
        <v>3</v>
      </c>
      <c r="BA359" s="36">
        <v>3</v>
      </c>
      <c r="BB359" s="36">
        <v>3</v>
      </c>
      <c r="BC359" s="27">
        <v>3</v>
      </c>
      <c r="BF359">
        <f>ROWS($U$46:U359)</f>
        <v>314</v>
      </c>
      <c r="BG359" t="str">
        <f t="shared" si="207"/>
        <v/>
      </c>
    </row>
    <row r="360" spans="12:59" ht="15" customHeight="1" thickBot="1" x14ac:dyDescent="0.4">
      <c r="L360" s="10" t="s">
        <v>1962</v>
      </c>
      <c r="O360" s="76"/>
      <c r="P360" s="328"/>
      <c r="Q360" s="328"/>
      <c r="R360" s="328"/>
      <c r="S360" s="328">
        <v>16</v>
      </c>
      <c r="T360" s="328" t="s">
        <v>881</v>
      </c>
      <c r="U360" s="328">
        <v>903299</v>
      </c>
      <c r="V360" s="327" t="s">
        <v>111</v>
      </c>
      <c r="W360" s="328">
        <v>1</v>
      </c>
      <c r="X360" s="328">
        <v>1</v>
      </c>
      <c r="Y360" s="328">
        <v>1</v>
      </c>
      <c r="Z360" s="328">
        <v>1</v>
      </c>
      <c r="AA360" s="328">
        <v>1</v>
      </c>
      <c r="AB360" s="328">
        <v>1</v>
      </c>
      <c r="AC360" s="328">
        <v>1</v>
      </c>
      <c r="AD360" s="328">
        <v>1</v>
      </c>
      <c r="AE360" s="328">
        <v>5</v>
      </c>
      <c r="AF360" s="328">
        <v>5</v>
      </c>
      <c r="AG360" s="328"/>
      <c r="AH360" s="328"/>
      <c r="AI360" s="328"/>
      <c r="AJ360" s="328"/>
      <c r="AK360" s="328"/>
      <c r="AL360" s="328"/>
      <c r="AM360" s="328">
        <v>4</v>
      </c>
      <c r="AN360" s="328">
        <v>2</v>
      </c>
      <c r="AO360" s="328">
        <v>2</v>
      </c>
      <c r="AP360" s="328">
        <v>2</v>
      </c>
      <c r="AQ360" s="328">
        <v>2</v>
      </c>
      <c r="AR360" s="328">
        <v>2</v>
      </c>
      <c r="AS360" s="328">
        <v>2</v>
      </c>
      <c r="AT360" s="328">
        <v>4</v>
      </c>
      <c r="AU360" s="328"/>
      <c r="AV360" s="328"/>
      <c r="AW360" s="328"/>
      <c r="AX360" s="328">
        <v>3</v>
      </c>
      <c r="AY360" s="328">
        <v>3</v>
      </c>
      <c r="AZ360" s="328">
        <v>3</v>
      </c>
      <c r="BA360" s="328">
        <v>3</v>
      </c>
      <c r="BB360" s="328">
        <v>3</v>
      </c>
      <c r="BC360" s="31">
        <v>3</v>
      </c>
      <c r="BF360">
        <f>ROWS($U$46:U360)</f>
        <v>315</v>
      </c>
      <c r="BG360" t="str">
        <f t="shared" si="207"/>
        <v/>
      </c>
    </row>
    <row r="361" spans="12:59" ht="15" customHeight="1" x14ac:dyDescent="0.35">
      <c r="L361" s="10" t="s">
        <v>1947</v>
      </c>
      <c r="O361" s="38">
        <v>1</v>
      </c>
      <c r="P361" s="38">
        <v>418525</v>
      </c>
      <c r="Q361" s="38">
        <v>16</v>
      </c>
      <c r="R361" s="38" t="s">
        <v>886</v>
      </c>
      <c r="S361" s="38">
        <v>16</v>
      </c>
      <c r="T361" s="38" t="s">
        <v>885</v>
      </c>
      <c r="U361" s="38">
        <v>757448</v>
      </c>
      <c r="V361" s="354" t="s">
        <v>87</v>
      </c>
      <c r="W361" s="38">
        <v>2</v>
      </c>
      <c r="X361" s="38">
        <v>2</v>
      </c>
      <c r="Y361" s="38">
        <v>2</v>
      </c>
      <c r="Z361" s="38">
        <v>2</v>
      </c>
      <c r="AA361" s="38">
        <v>2</v>
      </c>
      <c r="AB361" s="38">
        <v>2</v>
      </c>
      <c r="AC361" s="38">
        <v>2</v>
      </c>
      <c r="AD361" s="38">
        <v>2</v>
      </c>
      <c r="AE361" s="38">
        <v>2</v>
      </c>
      <c r="AF361" s="38">
        <v>2</v>
      </c>
      <c r="AG361" s="38">
        <v>2</v>
      </c>
      <c r="AH361" s="38">
        <v>2</v>
      </c>
      <c r="AI361" s="38">
        <v>2</v>
      </c>
      <c r="AJ361" s="38">
        <v>2</v>
      </c>
      <c r="AK361" s="38">
        <v>1</v>
      </c>
      <c r="AL361" s="38">
        <v>1</v>
      </c>
      <c r="AM361" s="38">
        <v>2</v>
      </c>
      <c r="AN361" s="38">
        <v>2</v>
      </c>
      <c r="AO361" s="38">
        <v>2</v>
      </c>
      <c r="AP361" s="38">
        <v>2</v>
      </c>
      <c r="AQ361" s="38">
        <v>2</v>
      </c>
      <c r="AR361" s="38">
        <v>2</v>
      </c>
      <c r="AS361" s="38">
        <v>2</v>
      </c>
      <c r="AT361" s="38"/>
      <c r="AU361" s="38"/>
      <c r="BF361">
        <f>ROWS($U$46:U361)</f>
        <v>316</v>
      </c>
      <c r="BG361" t="str">
        <f t="shared" si="207"/>
        <v/>
      </c>
    </row>
    <row r="362" spans="12:59" ht="15" customHeight="1" x14ac:dyDescent="0.35">
      <c r="L362" s="10" t="s">
        <v>1922</v>
      </c>
      <c r="O362" s="353">
        <v>2</v>
      </c>
      <c r="P362" s="36">
        <v>729691</v>
      </c>
      <c r="Q362" s="36">
        <v>137</v>
      </c>
      <c r="R362" s="36"/>
      <c r="S362" s="36">
        <v>16</v>
      </c>
      <c r="T362" s="36" t="s">
        <v>885</v>
      </c>
      <c r="U362" s="36">
        <v>757448</v>
      </c>
      <c r="V362" s="165" t="s">
        <v>88</v>
      </c>
      <c r="W362" s="36">
        <v>2</v>
      </c>
      <c r="X362" s="36">
        <v>2</v>
      </c>
      <c r="Y362" s="36">
        <v>2</v>
      </c>
      <c r="Z362" s="36">
        <v>2</v>
      </c>
      <c r="AA362" s="36">
        <v>2</v>
      </c>
      <c r="AB362" s="36">
        <v>2</v>
      </c>
      <c r="AC362" s="36">
        <v>2</v>
      </c>
      <c r="AD362" s="36">
        <v>2</v>
      </c>
      <c r="AE362" s="36">
        <v>2</v>
      </c>
      <c r="AF362" s="36">
        <v>1</v>
      </c>
      <c r="AG362" s="36">
        <v>1</v>
      </c>
      <c r="AH362" s="36">
        <v>2</v>
      </c>
      <c r="AI362" s="36">
        <v>2</v>
      </c>
      <c r="AJ362" s="36">
        <v>2</v>
      </c>
      <c r="AK362" s="36">
        <v>2</v>
      </c>
      <c r="AL362" s="36">
        <v>2</v>
      </c>
      <c r="AM362" s="36">
        <v>2</v>
      </c>
      <c r="AN362" s="36">
        <v>2</v>
      </c>
      <c r="AO362" s="36" t="s">
        <v>304</v>
      </c>
      <c r="AP362" s="36" t="s">
        <v>304</v>
      </c>
      <c r="AQ362" s="36" t="s">
        <v>304</v>
      </c>
      <c r="AR362" s="36" t="s">
        <v>304</v>
      </c>
      <c r="AS362" s="36" t="s">
        <v>304</v>
      </c>
      <c r="AT362" s="36"/>
      <c r="AU362" s="36"/>
      <c r="BF362">
        <f>ROWS($U$46:U362)</f>
        <v>317</v>
      </c>
      <c r="BG362" t="str">
        <f t="shared" si="207"/>
        <v/>
      </c>
    </row>
    <row r="363" spans="12:59" ht="15" customHeight="1" x14ac:dyDescent="0.35">
      <c r="L363" s="10" t="s">
        <v>2099</v>
      </c>
      <c r="O363" s="330"/>
      <c r="P363" s="36"/>
      <c r="Q363" s="36"/>
      <c r="R363" s="36"/>
      <c r="S363" s="36">
        <v>16</v>
      </c>
      <c r="T363" s="36" t="s">
        <v>885</v>
      </c>
      <c r="U363" s="36">
        <v>757448</v>
      </c>
      <c r="V363" s="165" t="s">
        <v>89</v>
      </c>
      <c r="W363" s="36">
        <v>2</v>
      </c>
      <c r="X363" s="36">
        <v>2</v>
      </c>
      <c r="Y363" s="36">
        <v>2</v>
      </c>
      <c r="Z363" s="36">
        <v>2</v>
      </c>
      <c r="AA363" s="36">
        <v>2</v>
      </c>
      <c r="AB363" s="36">
        <v>2</v>
      </c>
      <c r="AC363" s="36">
        <v>2</v>
      </c>
      <c r="AD363" s="36">
        <v>2</v>
      </c>
      <c r="AE363" s="36">
        <v>2</v>
      </c>
      <c r="AF363" s="36">
        <v>1</v>
      </c>
      <c r="AG363" s="36">
        <v>1</v>
      </c>
      <c r="AH363" s="36">
        <v>2</v>
      </c>
      <c r="AI363" s="36">
        <v>2</v>
      </c>
      <c r="AJ363" s="36">
        <v>2</v>
      </c>
      <c r="AK363" s="36">
        <v>2</v>
      </c>
      <c r="AL363" s="36">
        <v>2</v>
      </c>
      <c r="AM363" s="36">
        <v>2</v>
      </c>
      <c r="AN363" s="36">
        <v>2</v>
      </c>
      <c r="AO363" s="36" t="s">
        <v>304</v>
      </c>
      <c r="AP363" s="36" t="s">
        <v>304</v>
      </c>
      <c r="AQ363" s="36" t="s">
        <v>304</v>
      </c>
      <c r="AR363" s="36" t="s">
        <v>304</v>
      </c>
      <c r="AS363" s="36" t="s">
        <v>304</v>
      </c>
      <c r="AT363" s="36"/>
      <c r="AU363" s="27"/>
      <c r="BF363">
        <f>ROWS($U$46:U363)</f>
        <v>318</v>
      </c>
      <c r="BG363" t="str">
        <f t="shared" si="207"/>
        <v/>
      </c>
    </row>
    <row r="364" spans="12:59" ht="15.75" customHeight="1" x14ac:dyDescent="0.35">
      <c r="L364" s="10" t="s">
        <v>1949</v>
      </c>
      <c r="O364" s="330"/>
      <c r="P364" s="36"/>
      <c r="Q364" s="36"/>
      <c r="R364" s="36"/>
      <c r="S364" s="36">
        <v>16</v>
      </c>
      <c r="T364" s="36" t="s">
        <v>885</v>
      </c>
      <c r="U364" s="36">
        <v>757448</v>
      </c>
      <c r="V364" s="165" t="s">
        <v>90</v>
      </c>
      <c r="W364" s="36">
        <v>2</v>
      </c>
      <c r="X364" s="36">
        <v>2</v>
      </c>
      <c r="Y364" s="36">
        <v>2</v>
      </c>
      <c r="Z364" s="36">
        <v>2</v>
      </c>
      <c r="AA364" s="36">
        <v>2</v>
      </c>
      <c r="AB364" s="36">
        <v>2</v>
      </c>
      <c r="AC364" s="36">
        <v>2</v>
      </c>
      <c r="AD364" s="36">
        <v>2</v>
      </c>
      <c r="AE364" s="36">
        <v>2</v>
      </c>
      <c r="AF364" s="36">
        <v>2</v>
      </c>
      <c r="AG364" s="36">
        <v>2</v>
      </c>
      <c r="AH364" s="36">
        <v>2</v>
      </c>
      <c r="AI364" s="36">
        <v>2</v>
      </c>
      <c r="AJ364" s="36">
        <v>1</v>
      </c>
      <c r="AK364" s="36">
        <v>1</v>
      </c>
      <c r="AL364" s="36">
        <v>2</v>
      </c>
      <c r="AM364" s="36">
        <v>2</v>
      </c>
      <c r="AN364" s="36">
        <v>2</v>
      </c>
      <c r="AO364" s="36">
        <v>2</v>
      </c>
      <c r="AP364" s="36">
        <v>2</v>
      </c>
      <c r="AQ364" s="36">
        <v>2</v>
      </c>
      <c r="AR364" s="36" t="s">
        <v>304</v>
      </c>
      <c r="AS364" s="36" t="s">
        <v>304</v>
      </c>
      <c r="AT364" s="36"/>
      <c r="AU364" s="27"/>
      <c r="BF364">
        <f>ROWS($U$46:U364)</f>
        <v>319</v>
      </c>
      <c r="BG364" t="str">
        <f t="shared" si="207"/>
        <v/>
      </c>
    </row>
    <row r="365" spans="12:59" ht="15" customHeight="1" x14ac:dyDescent="0.35">
      <c r="L365" s="10" t="s">
        <v>1373</v>
      </c>
      <c r="O365" s="330"/>
      <c r="P365" s="36"/>
      <c r="Q365" s="36"/>
      <c r="R365" s="36"/>
      <c r="S365" s="36">
        <v>16</v>
      </c>
      <c r="T365" s="36" t="s">
        <v>885</v>
      </c>
      <c r="U365" s="36">
        <v>757448</v>
      </c>
      <c r="V365" s="165" t="s">
        <v>91</v>
      </c>
      <c r="W365" s="36">
        <v>2</v>
      </c>
      <c r="X365" s="36">
        <v>2</v>
      </c>
      <c r="Y365" s="36">
        <v>2</v>
      </c>
      <c r="Z365" s="36">
        <v>2</v>
      </c>
      <c r="AA365" s="36">
        <v>2</v>
      </c>
      <c r="AB365" s="36">
        <v>2</v>
      </c>
      <c r="AC365" s="36">
        <v>2</v>
      </c>
      <c r="AD365" s="36">
        <v>2</v>
      </c>
      <c r="AE365" s="36">
        <v>2</v>
      </c>
      <c r="AF365" s="36">
        <v>1</v>
      </c>
      <c r="AG365" s="36">
        <v>1</v>
      </c>
      <c r="AH365" s="36">
        <v>2</v>
      </c>
      <c r="AI365" s="36">
        <v>2</v>
      </c>
      <c r="AJ365" s="36">
        <v>2</v>
      </c>
      <c r="AK365" s="36">
        <v>2</v>
      </c>
      <c r="AL365" s="36">
        <v>2</v>
      </c>
      <c r="AM365" s="36">
        <v>2</v>
      </c>
      <c r="AN365" s="36" t="s">
        <v>304</v>
      </c>
      <c r="AO365" s="36" t="s">
        <v>304</v>
      </c>
      <c r="AP365" s="36" t="s">
        <v>304</v>
      </c>
      <c r="AQ365" s="36" t="s">
        <v>304</v>
      </c>
      <c r="AR365" s="36" t="s">
        <v>304</v>
      </c>
      <c r="AS365" s="36" t="s">
        <v>304</v>
      </c>
      <c r="AT365" s="36"/>
      <c r="AU365" s="27"/>
      <c r="BF365">
        <f>ROWS($U$46:U365)</f>
        <v>320</v>
      </c>
      <c r="BG365" t="str">
        <f t="shared" si="207"/>
        <v/>
      </c>
    </row>
    <row r="366" spans="12:59" ht="15" customHeight="1" x14ac:dyDescent="0.35">
      <c r="L366" s="10" t="s">
        <v>1847</v>
      </c>
      <c r="O366" s="330"/>
      <c r="P366" s="36"/>
      <c r="Q366" s="36"/>
      <c r="R366" s="36"/>
      <c r="S366" s="36">
        <v>16</v>
      </c>
      <c r="T366" s="36" t="s">
        <v>885</v>
      </c>
      <c r="U366" s="36">
        <v>757448</v>
      </c>
      <c r="V366" s="165" t="s">
        <v>92</v>
      </c>
      <c r="W366" s="36">
        <v>2</v>
      </c>
      <c r="X366" s="36">
        <v>2</v>
      </c>
      <c r="Y366" s="36">
        <v>2</v>
      </c>
      <c r="Z366" s="36">
        <v>2</v>
      </c>
      <c r="AA366" s="36">
        <v>2</v>
      </c>
      <c r="AB366" s="36">
        <v>2</v>
      </c>
      <c r="AC366" s="36">
        <v>2</v>
      </c>
      <c r="AD366" s="36">
        <v>2</v>
      </c>
      <c r="AE366" s="36">
        <v>2</v>
      </c>
      <c r="AF366" s="36">
        <v>2</v>
      </c>
      <c r="AG366" s="36">
        <v>2</v>
      </c>
      <c r="AH366" s="36">
        <v>2</v>
      </c>
      <c r="AI366" s="36">
        <v>2</v>
      </c>
      <c r="AJ366" s="36">
        <v>1</v>
      </c>
      <c r="AK366" s="36">
        <v>1</v>
      </c>
      <c r="AL366" s="36">
        <v>2</v>
      </c>
      <c r="AM366" s="36">
        <v>2</v>
      </c>
      <c r="AN366" s="36">
        <v>2</v>
      </c>
      <c r="AO366" s="36">
        <v>2</v>
      </c>
      <c r="AP366" s="36">
        <v>2</v>
      </c>
      <c r="AQ366" s="36">
        <v>2</v>
      </c>
      <c r="AR366" s="36" t="s">
        <v>304</v>
      </c>
      <c r="AS366" s="36" t="s">
        <v>304</v>
      </c>
      <c r="AT366" s="36"/>
      <c r="AU366" s="27"/>
      <c r="BF366">
        <f>ROWS($U$46:U366)</f>
        <v>321</v>
      </c>
      <c r="BG366" t="str">
        <f t="shared" si="207"/>
        <v/>
      </c>
    </row>
    <row r="367" spans="12:59" ht="15" customHeight="1" x14ac:dyDescent="0.35">
      <c r="L367" s="10" t="s">
        <v>1318</v>
      </c>
      <c r="O367" s="330"/>
      <c r="P367" s="36"/>
      <c r="Q367" s="36"/>
      <c r="R367" s="36"/>
      <c r="S367" s="36">
        <v>16</v>
      </c>
      <c r="T367" s="36" t="s">
        <v>885</v>
      </c>
      <c r="U367" s="36">
        <v>757448</v>
      </c>
      <c r="V367" s="165" t="s">
        <v>111</v>
      </c>
      <c r="W367" s="36">
        <v>2</v>
      </c>
      <c r="X367" s="36">
        <v>2</v>
      </c>
      <c r="Y367" s="36">
        <v>2</v>
      </c>
      <c r="Z367" s="36">
        <v>2</v>
      </c>
      <c r="AA367" s="36">
        <v>2</v>
      </c>
      <c r="AB367" s="36">
        <v>2</v>
      </c>
      <c r="AC367" s="36">
        <v>2</v>
      </c>
      <c r="AD367" s="36">
        <v>2</v>
      </c>
      <c r="AE367" s="36">
        <v>2</v>
      </c>
      <c r="AF367" s="36">
        <v>2</v>
      </c>
      <c r="AG367" s="36">
        <v>1</v>
      </c>
      <c r="AH367" s="36">
        <v>1</v>
      </c>
      <c r="AI367" s="36">
        <v>2</v>
      </c>
      <c r="AJ367" s="36">
        <v>2</v>
      </c>
      <c r="AK367" s="36">
        <v>2</v>
      </c>
      <c r="AL367" s="36">
        <v>2</v>
      </c>
      <c r="AM367" s="36">
        <v>2</v>
      </c>
      <c r="AN367" s="36">
        <v>2</v>
      </c>
      <c r="AO367" s="36" t="s">
        <v>304</v>
      </c>
      <c r="AP367" s="36" t="s">
        <v>304</v>
      </c>
      <c r="AQ367" s="36" t="s">
        <v>304</v>
      </c>
      <c r="AR367" s="36" t="s">
        <v>304</v>
      </c>
      <c r="AS367" s="36" t="s">
        <v>304</v>
      </c>
      <c r="AT367" s="36"/>
      <c r="AU367" s="27"/>
      <c r="BF367">
        <f>ROWS($U$46:U367)</f>
        <v>322</v>
      </c>
      <c r="BG367" t="str">
        <f t="shared" ref="BG367:BG430" si="209">IF(VALUE(SUBSTITUTE($B$5,"M",""))=U367,BF367,"")</f>
        <v/>
      </c>
    </row>
    <row r="368" spans="12:59" ht="15" customHeight="1" thickBot="1" x14ac:dyDescent="0.4">
      <c r="L368" s="10" t="s">
        <v>1432</v>
      </c>
      <c r="O368" s="331"/>
      <c r="P368" s="328"/>
      <c r="Q368" s="328"/>
      <c r="R368" s="328"/>
      <c r="S368" s="328">
        <v>16</v>
      </c>
      <c r="T368" s="328" t="s">
        <v>885</v>
      </c>
      <c r="U368" s="328">
        <v>757448</v>
      </c>
      <c r="V368" s="327" t="s">
        <v>112</v>
      </c>
      <c r="W368" s="328">
        <v>2</v>
      </c>
      <c r="X368" s="328">
        <v>2</v>
      </c>
      <c r="Y368" s="328">
        <v>2</v>
      </c>
      <c r="Z368" s="328">
        <v>2</v>
      </c>
      <c r="AA368" s="328">
        <v>2</v>
      </c>
      <c r="AB368" s="328">
        <v>2</v>
      </c>
      <c r="AC368" s="328">
        <v>2</v>
      </c>
      <c r="AD368" s="328">
        <v>2</v>
      </c>
      <c r="AE368" s="328">
        <v>2</v>
      </c>
      <c r="AF368" s="328">
        <v>1</v>
      </c>
      <c r="AG368" s="328">
        <v>1</v>
      </c>
      <c r="AH368" s="328">
        <v>2</v>
      </c>
      <c r="AI368" s="328">
        <v>2</v>
      </c>
      <c r="AJ368" s="328">
        <v>2</v>
      </c>
      <c r="AK368" s="328">
        <v>2</v>
      </c>
      <c r="AL368" s="328">
        <v>2</v>
      </c>
      <c r="AM368" s="328">
        <v>2</v>
      </c>
      <c r="AN368" s="328" t="s">
        <v>304</v>
      </c>
      <c r="AO368" s="328" t="s">
        <v>304</v>
      </c>
      <c r="AP368" s="328" t="s">
        <v>304</v>
      </c>
      <c r="AQ368" s="328" t="s">
        <v>304</v>
      </c>
      <c r="AR368" s="328" t="s">
        <v>304</v>
      </c>
      <c r="AS368" s="328" t="s">
        <v>304</v>
      </c>
      <c r="AT368" s="328"/>
      <c r="AU368" s="31"/>
      <c r="BF368">
        <f>ROWS($U$46:U368)</f>
        <v>323</v>
      </c>
      <c r="BG368" t="str">
        <f t="shared" si="209"/>
        <v/>
      </c>
    </row>
    <row r="369" spans="12:59" ht="15" customHeight="1" x14ac:dyDescent="0.35">
      <c r="L369" s="10" t="s">
        <v>1458</v>
      </c>
      <c r="O369" s="329">
        <v>1</v>
      </c>
      <c r="P369" s="320">
        <v>418525</v>
      </c>
      <c r="Q369" s="320">
        <v>3</v>
      </c>
      <c r="R369" s="320"/>
      <c r="S369" s="320">
        <v>12.25</v>
      </c>
      <c r="T369" s="320" t="s">
        <v>943</v>
      </c>
      <c r="U369" s="320">
        <v>1093745</v>
      </c>
      <c r="V369" s="354" t="s">
        <v>87</v>
      </c>
      <c r="W369" s="320">
        <v>4</v>
      </c>
      <c r="X369" s="320">
        <v>4</v>
      </c>
      <c r="Y369" s="320">
        <v>4</v>
      </c>
      <c r="Z369" s="320">
        <v>3</v>
      </c>
      <c r="AA369" s="320">
        <v>3</v>
      </c>
      <c r="AB369" s="320">
        <v>3</v>
      </c>
      <c r="AC369" s="320">
        <v>3</v>
      </c>
      <c r="AD369" s="320">
        <v>3</v>
      </c>
      <c r="AE369" s="320">
        <v>5</v>
      </c>
      <c r="AF369" s="320">
        <v>5</v>
      </c>
      <c r="AG369" s="320">
        <v>2</v>
      </c>
      <c r="AH369" s="320"/>
      <c r="AI369" s="320"/>
      <c r="AJ369" s="320"/>
      <c r="AK369" s="320"/>
      <c r="AL369" s="320"/>
      <c r="AM369" s="320"/>
      <c r="AN369" s="320"/>
      <c r="AO369" s="320"/>
      <c r="AP369" s="320"/>
      <c r="AQ369" s="320"/>
      <c r="AR369" s="320"/>
      <c r="AS369" s="320"/>
      <c r="AT369" s="320"/>
      <c r="AU369" s="119"/>
      <c r="BF369">
        <f>ROWS($U$46:U369)</f>
        <v>324</v>
      </c>
      <c r="BG369" t="str">
        <f t="shared" si="209"/>
        <v/>
      </c>
    </row>
    <row r="370" spans="12:59" ht="15" customHeight="1" x14ac:dyDescent="0.35">
      <c r="L370" s="10" t="s">
        <v>2023</v>
      </c>
      <c r="O370" s="330">
        <v>2</v>
      </c>
      <c r="P370" s="36">
        <v>871781</v>
      </c>
      <c r="Q370" s="36">
        <v>4</v>
      </c>
      <c r="R370" s="36"/>
      <c r="S370" s="36">
        <v>12.25</v>
      </c>
      <c r="T370" s="36" t="s">
        <v>943</v>
      </c>
      <c r="U370" s="36">
        <v>1093745</v>
      </c>
      <c r="V370" s="165" t="s">
        <v>88</v>
      </c>
      <c r="W370" s="36">
        <v>3</v>
      </c>
      <c r="X370" s="36">
        <v>3</v>
      </c>
      <c r="Y370" s="36">
        <v>3</v>
      </c>
      <c r="Z370" s="36">
        <v>3</v>
      </c>
      <c r="AA370" s="36">
        <v>5</v>
      </c>
      <c r="AB370" s="36">
        <v>5</v>
      </c>
      <c r="AC370" s="36">
        <v>2</v>
      </c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27"/>
      <c r="BF370">
        <f>ROWS($U$46:U370)</f>
        <v>325</v>
      </c>
      <c r="BG370" t="str">
        <f t="shared" si="209"/>
        <v/>
      </c>
    </row>
    <row r="371" spans="12:59" ht="15" customHeight="1" x14ac:dyDescent="0.35">
      <c r="L371" s="10" t="s">
        <v>2135</v>
      </c>
      <c r="O371" s="330">
        <v>3</v>
      </c>
      <c r="P371" s="36">
        <v>983152</v>
      </c>
      <c r="Q371" s="36">
        <v>32</v>
      </c>
      <c r="R371" s="36"/>
      <c r="S371" s="36">
        <v>12.25</v>
      </c>
      <c r="T371" s="36" t="s">
        <v>943</v>
      </c>
      <c r="U371" s="36">
        <v>1093745</v>
      </c>
      <c r="V371" s="165" t="s">
        <v>89</v>
      </c>
      <c r="W371" s="36">
        <v>4</v>
      </c>
      <c r="X371" s="36">
        <v>4</v>
      </c>
      <c r="Y371" s="36">
        <v>4</v>
      </c>
      <c r="Z371" s="36">
        <v>3</v>
      </c>
      <c r="AA371" s="36">
        <v>3</v>
      </c>
      <c r="AB371" s="36">
        <v>3</v>
      </c>
      <c r="AC371" s="36">
        <v>3</v>
      </c>
      <c r="AD371" s="36">
        <v>5</v>
      </c>
      <c r="AE371" s="36">
        <v>5</v>
      </c>
      <c r="AF371" s="36">
        <v>1</v>
      </c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27"/>
      <c r="BF371">
        <f>ROWS($U$46:U371)</f>
        <v>326</v>
      </c>
      <c r="BG371" t="str">
        <f t="shared" si="209"/>
        <v/>
      </c>
    </row>
    <row r="372" spans="12:59" ht="15.75" customHeight="1" x14ac:dyDescent="0.35">
      <c r="L372" s="10" t="s">
        <v>1844</v>
      </c>
      <c r="O372" s="330">
        <v>4</v>
      </c>
      <c r="P372" s="36">
        <v>983150</v>
      </c>
      <c r="Q372" s="36">
        <v>9</v>
      </c>
      <c r="R372" s="36"/>
      <c r="S372" s="36">
        <v>12.25</v>
      </c>
      <c r="T372" s="36" t="s">
        <v>943</v>
      </c>
      <c r="U372" s="36">
        <v>1093745</v>
      </c>
      <c r="V372" s="165" t="s">
        <v>90</v>
      </c>
      <c r="W372" s="36">
        <v>3</v>
      </c>
      <c r="X372" s="36">
        <v>3</v>
      </c>
      <c r="Y372" s="36">
        <v>3</v>
      </c>
      <c r="Z372" s="36">
        <v>3</v>
      </c>
      <c r="AA372" s="36">
        <v>3</v>
      </c>
      <c r="AB372" s="36">
        <v>5</v>
      </c>
      <c r="AC372" s="36">
        <v>2</v>
      </c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27"/>
      <c r="BF372">
        <f>ROWS($U$46:U372)</f>
        <v>327</v>
      </c>
      <c r="BG372" t="str">
        <f t="shared" si="209"/>
        <v/>
      </c>
    </row>
    <row r="373" spans="12:59" ht="15" customHeight="1" x14ac:dyDescent="0.35">
      <c r="L373" s="10" t="s">
        <v>2077</v>
      </c>
      <c r="O373" s="330">
        <v>5</v>
      </c>
      <c r="P373" s="36">
        <v>983096</v>
      </c>
      <c r="Q373" s="36">
        <v>12</v>
      </c>
      <c r="R373" s="36"/>
      <c r="S373" s="36">
        <v>12.25</v>
      </c>
      <c r="T373" s="36" t="s">
        <v>943</v>
      </c>
      <c r="U373" s="36">
        <v>1093745</v>
      </c>
      <c r="V373" s="165" t="s">
        <v>91</v>
      </c>
      <c r="W373" s="36">
        <v>4</v>
      </c>
      <c r="X373" s="36">
        <v>4</v>
      </c>
      <c r="Y373" s="36">
        <v>4</v>
      </c>
      <c r="Z373" s="36">
        <v>3</v>
      </c>
      <c r="AA373" s="36">
        <v>3</v>
      </c>
      <c r="AB373" s="36">
        <v>3</v>
      </c>
      <c r="AC373" s="36">
        <v>3</v>
      </c>
      <c r="AD373" s="36">
        <v>3</v>
      </c>
      <c r="AE373" s="36">
        <v>5</v>
      </c>
      <c r="AF373" s="36">
        <v>1</v>
      </c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27"/>
      <c r="BF373">
        <f>ROWS($U$46:U373)</f>
        <v>328</v>
      </c>
      <c r="BG373" t="str">
        <f t="shared" si="209"/>
        <v/>
      </c>
    </row>
    <row r="374" spans="12:59" ht="15" customHeight="1" x14ac:dyDescent="0.35">
      <c r="L374" s="10" t="s">
        <v>1371</v>
      </c>
      <c r="O374" s="330"/>
      <c r="P374" s="36"/>
      <c r="Q374" s="36"/>
      <c r="R374" s="36"/>
      <c r="S374" s="36">
        <v>12.25</v>
      </c>
      <c r="T374" s="36" t="s">
        <v>943</v>
      </c>
      <c r="U374" s="36">
        <v>1093745</v>
      </c>
      <c r="V374" s="165" t="s">
        <v>92</v>
      </c>
      <c r="W374" s="36">
        <v>3</v>
      </c>
      <c r="X374" s="36">
        <v>3</v>
      </c>
      <c r="Y374" s="36">
        <v>3</v>
      </c>
      <c r="Z374" s="36">
        <v>3</v>
      </c>
      <c r="AA374" s="36">
        <v>3</v>
      </c>
      <c r="AB374" s="36">
        <v>5</v>
      </c>
      <c r="AC374" s="36">
        <v>5</v>
      </c>
      <c r="AD374" s="36">
        <v>2</v>
      </c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27"/>
      <c r="BF374">
        <f>ROWS($U$46:U374)</f>
        <v>329</v>
      </c>
      <c r="BG374" t="str">
        <f t="shared" si="209"/>
        <v/>
      </c>
    </row>
    <row r="375" spans="12:59" ht="15" customHeight="1" thickBot="1" x14ac:dyDescent="0.4">
      <c r="L375" s="10" t="s">
        <v>1420</v>
      </c>
      <c r="O375" s="331"/>
      <c r="P375" s="328"/>
      <c r="Q375" s="328"/>
      <c r="R375" s="328"/>
      <c r="S375" s="328">
        <v>12.25</v>
      </c>
      <c r="T375" s="328" t="s">
        <v>943</v>
      </c>
      <c r="U375" s="328">
        <v>1093745</v>
      </c>
      <c r="V375" s="327" t="s">
        <v>111</v>
      </c>
      <c r="W375" s="328">
        <v>3</v>
      </c>
      <c r="X375" s="328">
        <v>3</v>
      </c>
      <c r="Y375" s="328">
        <v>3</v>
      </c>
      <c r="Z375" s="328">
        <v>3</v>
      </c>
      <c r="AA375" s="328">
        <v>5</v>
      </c>
      <c r="AB375" s="328">
        <v>5</v>
      </c>
      <c r="AC375" s="328">
        <v>1</v>
      </c>
      <c r="AD375" s="328"/>
      <c r="AE375" s="328"/>
      <c r="AF375" s="328"/>
      <c r="AG375" s="328"/>
      <c r="AH375" s="328"/>
      <c r="AI375" s="328"/>
      <c r="AJ375" s="328"/>
      <c r="AK375" s="328"/>
      <c r="AL375" s="328"/>
      <c r="AM375" s="328"/>
      <c r="AN375" s="328"/>
      <c r="AO375" s="328"/>
      <c r="AP375" s="328"/>
      <c r="AQ375" s="328"/>
      <c r="AR375" s="328"/>
      <c r="AS375" s="328"/>
      <c r="AT375" s="328"/>
      <c r="AU375" s="31"/>
      <c r="BF375">
        <f>ROWS($U$46:U375)</f>
        <v>330</v>
      </c>
      <c r="BG375" t="str">
        <f t="shared" si="209"/>
        <v/>
      </c>
    </row>
    <row r="376" spans="12:59" ht="15" customHeight="1" x14ac:dyDescent="0.35">
      <c r="L376" s="10" t="s">
        <v>1382</v>
      </c>
      <c r="O376" s="329">
        <v>1</v>
      </c>
      <c r="P376" s="320">
        <v>418525</v>
      </c>
      <c r="Q376" s="320">
        <v>3</v>
      </c>
      <c r="R376" s="320"/>
      <c r="S376" s="320">
        <v>12.25</v>
      </c>
      <c r="T376" s="320" t="s">
        <v>945</v>
      </c>
      <c r="U376" s="320">
        <v>1093876</v>
      </c>
      <c r="V376" s="354" t="s">
        <v>87</v>
      </c>
      <c r="W376" s="320">
        <v>4</v>
      </c>
      <c r="X376" s="320">
        <v>4</v>
      </c>
      <c r="Y376" s="320">
        <v>3</v>
      </c>
      <c r="Z376" s="320">
        <v>3</v>
      </c>
      <c r="AA376" s="320">
        <v>3</v>
      </c>
      <c r="AB376" s="320">
        <v>3</v>
      </c>
      <c r="AC376" s="320">
        <v>3</v>
      </c>
      <c r="AD376" s="320">
        <v>3</v>
      </c>
      <c r="AE376" s="320">
        <v>3</v>
      </c>
      <c r="AF376" s="320">
        <v>3</v>
      </c>
      <c r="AG376" s="320">
        <v>4</v>
      </c>
      <c r="AH376" s="320">
        <v>2</v>
      </c>
      <c r="AI376" s="320"/>
      <c r="AJ376" s="320">
        <v>5</v>
      </c>
      <c r="AK376" s="320">
        <v>5</v>
      </c>
      <c r="AL376" s="320">
        <v>5</v>
      </c>
      <c r="AM376" s="320">
        <v>5</v>
      </c>
      <c r="AN376" s="320">
        <v>5</v>
      </c>
      <c r="AO376" s="320"/>
      <c r="AP376" s="320"/>
      <c r="AQ376" s="320"/>
      <c r="AR376" s="320"/>
      <c r="AS376" s="320"/>
      <c r="AT376" s="320"/>
      <c r="AU376" s="119"/>
      <c r="BF376">
        <f>ROWS($U$46:U376)</f>
        <v>331</v>
      </c>
      <c r="BG376" t="str">
        <f t="shared" si="209"/>
        <v/>
      </c>
    </row>
    <row r="377" spans="12:59" ht="15" customHeight="1" x14ac:dyDescent="0.35">
      <c r="L377" s="10" t="s">
        <v>1324</v>
      </c>
      <c r="O377" s="330">
        <v>2</v>
      </c>
      <c r="P377" s="36">
        <v>871781</v>
      </c>
      <c r="Q377" s="36">
        <v>3</v>
      </c>
      <c r="R377" s="36"/>
      <c r="S377" s="36">
        <v>12.25</v>
      </c>
      <c r="T377" s="36" t="s">
        <v>945</v>
      </c>
      <c r="U377" s="36">
        <v>1093876</v>
      </c>
      <c r="V377" s="165" t="s">
        <v>88</v>
      </c>
      <c r="W377" s="36">
        <v>3</v>
      </c>
      <c r="X377" s="36">
        <v>3</v>
      </c>
      <c r="Y377" s="36">
        <v>3</v>
      </c>
      <c r="Z377" s="36">
        <v>3</v>
      </c>
      <c r="AA377" s="36">
        <v>3</v>
      </c>
      <c r="AB377" s="36">
        <v>3</v>
      </c>
      <c r="AC377" s="36">
        <v>4</v>
      </c>
      <c r="AD377" s="36">
        <v>1</v>
      </c>
      <c r="AE377" s="36"/>
      <c r="AF377" s="36"/>
      <c r="AG377" s="36"/>
      <c r="AH377" s="36"/>
      <c r="AI377" s="36"/>
      <c r="AJ377" s="36">
        <v>5</v>
      </c>
      <c r="AK377" s="36">
        <v>5</v>
      </c>
      <c r="AL377" s="36">
        <v>5</v>
      </c>
      <c r="AM377" s="36">
        <v>5</v>
      </c>
      <c r="AN377" s="36">
        <v>5</v>
      </c>
      <c r="AO377" s="36"/>
      <c r="AP377" s="36"/>
      <c r="AQ377" s="36"/>
      <c r="AR377" s="36"/>
      <c r="AS377" s="36"/>
      <c r="AT377" s="36"/>
      <c r="AU377" s="27"/>
      <c r="BF377">
        <f>ROWS($U$46:U377)</f>
        <v>332</v>
      </c>
      <c r="BG377" t="str">
        <f t="shared" si="209"/>
        <v/>
      </c>
    </row>
    <row r="378" spans="12:59" ht="15" customHeight="1" x14ac:dyDescent="0.35">
      <c r="L378" s="10" t="s">
        <v>1869</v>
      </c>
      <c r="O378" s="330">
        <v>3</v>
      </c>
      <c r="P378" s="36">
        <v>744015</v>
      </c>
      <c r="Q378" s="36">
        <v>40</v>
      </c>
      <c r="R378" s="36"/>
      <c r="S378" s="36">
        <v>12.25</v>
      </c>
      <c r="T378" s="36" t="s">
        <v>945</v>
      </c>
      <c r="U378" s="36">
        <v>1093876</v>
      </c>
      <c r="V378" s="165" t="s">
        <v>89</v>
      </c>
      <c r="W378" s="36">
        <v>4</v>
      </c>
      <c r="X378" s="36">
        <v>4</v>
      </c>
      <c r="Y378" s="36">
        <v>3</v>
      </c>
      <c r="Z378" s="36">
        <v>3</v>
      </c>
      <c r="AA378" s="36">
        <v>3</v>
      </c>
      <c r="AB378" s="36">
        <v>3</v>
      </c>
      <c r="AC378" s="36">
        <v>3</v>
      </c>
      <c r="AD378" s="36">
        <v>3</v>
      </c>
      <c r="AE378" s="36">
        <v>3</v>
      </c>
      <c r="AF378" s="36">
        <v>4</v>
      </c>
      <c r="AG378" s="36">
        <v>2</v>
      </c>
      <c r="AH378" s="36"/>
      <c r="AI378" s="36"/>
      <c r="AJ378" s="36">
        <v>5</v>
      </c>
      <c r="AK378" s="36">
        <v>5</v>
      </c>
      <c r="AL378" s="36">
        <v>5</v>
      </c>
      <c r="AM378" s="36">
        <v>5</v>
      </c>
      <c r="AN378" s="36"/>
      <c r="AO378" s="36"/>
      <c r="AP378" s="36"/>
      <c r="AQ378" s="36"/>
      <c r="AR378" s="36"/>
      <c r="AS378" s="36"/>
      <c r="AT378" s="36"/>
      <c r="AU378" s="27"/>
      <c r="BF378">
        <f>ROWS($U$46:U378)</f>
        <v>333</v>
      </c>
      <c r="BG378" t="str">
        <f t="shared" si="209"/>
        <v/>
      </c>
    </row>
    <row r="379" spans="12:59" ht="15" customHeight="1" x14ac:dyDescent="0.35">
      <c r="L379" s="10" t="s">
        <v>1360</v>
      </c>
      <c r="O379" s="330">
        <v>4</v>
      </c>
      <c r="P379" s="36">
        <v>647436</v>
      </c>
      <c r="Q379" s="36">
        <v>12</v>
      </c>
      <c r="R379" s="36"/>
      <c r="S379" s="36">
        <v>12.25</v>
      </c>
      <c r="T379" s="36" t="s">
        <v>945</v>
      </c>
      <c r="U379" s="36">
        <v>1093876</v>
      </c>
      <c r="V379" s="165" t="s">
        <v>90</v>
      </c>
      <c r="W379" s="36">
        <v>3</v>
      </c>
      <c r="X379" s="36">
        <v>3</v>
      </c>
      <c r="Y379" s="36">
        <v>3</v>
      </c>
      <c r="Z379" s="36">
        <v>3</v>
      </c>
      <c r="AA379" s="36">
        <v>3</v>
      </c>
      <c r="AB379" s="36">
        <v>3</v>
      </c>
      <c r="AC379" s="36">
        <v>4</v>
      </c>
      <c r="AD379" s="36">
        <v>1</v>
      </c>
      <c r="AE379" s="36"/>
      <c r="AF379" s="36"/>
      <c r="AG379" s="36"/>
      <c r="AH379" s="36"/>
      <c r="AI379" s="36"/>
      <c r="AJ379" s="36">
        <v>5</v>
      </c>
      <c r="AK379" s="36">
        <v>5</v>
      </c>
      <c r="AL379" s="36">
        <v>5</v>
      </c>
      <c r="AM379" s="36">
        <v>5</v>
      </c>
      <c r="AN379" s="36"/>
      <c r="AO379" s="36"/>
      <c r="AP379" s="36"/>
      <c r="AQ379" s="36"/>
      <c r="AR379" s="36"/>
      <c r="AS379" s="36"/>
      <c r="AT379" s="36"/>
      <c r="AU379" s="27"/>
      <c r="BF379">
        <f>ROWS($U$46:U379)</f>
        <v>334</v>
      </c>
      <c r="BG379" t="str">
        <f t="shared" si="209"/>
        <v/>
      </c>
    </row>
    <row r="380" spans="12:59" ht="15" customHeight="1" x14ac:dyDescent="0.35">
      <c r="L380" s="10" t="s">
        <v>1845</v>
      </c>
      <c r="O380" s="330">
        <v>5</v>
      </c>
      <c r="P380" s="36">
        <v>717751</v>
      </c>
      <c r="Q380" s="36">
        <v>26</v>
      </c>
      <c r="R380" s="36"/>
      <c r="S380" s="36">
        <v>12.25</v>
      </c>
      <c r="T380" s="36" t="s">
        <v>945</v>
      </c>
      <c r="U380" s="36">
        <v>1093876</v>
      </c>
      <c r="V380" s="165" t="s">
        <v>91</v>
      </c>
      <c r="W380" s="36">
        <v>4</v>
      </c>
      <c r="X380" s="36">
        <v>4</v>
      </c>
      <c r="Y380" s="36">
        <v>3</v>
      </c>
      <c r="Z380" s="36">
        <v>3</v>
      </c>
      <c r="AA380" s="36">
        <v>3</v>
      </c>
      <c r="AB380" s="36">
        <v>3</v>
      </c>
      <c r="AC380" s="36">
        <v>3</v>
      </c>
      <c r="AD380" s="36">
        <v>3</v>
      </c>
      <c r="AE380" s="36">
        <v>3</v>
      </c>
      <c r="AF380" s="36">
        <v>4</v>
      </c>
      <c r="AG380" s="36">
        <v>2</v>
      </c>
      <c r="AH380" s="36"/>
      <c r="AI380" s="36"/>
      <c r="AJ380" s="36">
        <v>5</v>
      </c>
      <c r="AK380" s="36">
        <v>5</v>
      </c>
      <c r="AL380" s="36">
        <v>5</v>
      </c>
      <c r="AM380" s="36">
        <v>5</v>
      </c>
      <c r="AN380" s="36"/>
      <c r="AO380" s="36"/>
      <c r="AP380" s="36"/>
      <c r="AQ380" s="36"/>
      <c r="AR380" s="36"/>
      <c r="AS380" s="36"/>
      <c r="AT380" s="36"/>
      <c r="AU380" s="27"/>
      <c r="BF380">
        <f>ROWS($U$46:U380)</f>
        <v>335</v>
      </c>
      <c r="BG380" t="str">
        <f t="shared" si="209"/>
        <v/>
      </c>
    </row>
    <row r="381" spans="12:59" ht="15" customHeight="1" thickBot="1" x14ac:dyDescent="0.4">
      <c r="L381" s="10" t="s">
        <v>1491</v>
      </c>
      <c r="O381" s="331"/>
      <c r="P381" s="328"/>
      <c r="Q381" s="328"/>
      <c r="R381" s="328"/>
      <c r="S381" s="328">
        <v>12.25</v>
      </c>
      <c r="T381" s="328" t="s">
        <v>945</v>
      </c>
      <c r="U381" s="328">
        <v>1093876</v>
      </c>
      <c r="V381" s="327" t="s">
        <v>92</v>
      </c>
      <c r="W381" s="328">
        <v>3</v>
      </c>
      <c r="X381" s="328">
        <v>3</v>
      </c>
      <c r="Y381" s="328">
        <v>3</v>
      </c>
      <c r="Z381" s="328">
        <v>3</v>
      </c>
      <c r="AA381" s="328">
        <v>3</v>
      </c>
      <c r="AB381" s="328">
        <v>3</v>
      </c>
      <c r="AC381" s="328">
        <v>4</v>
      </c>
      <c r="AD381" s="328">
        <v>1</v>
      </c>
      <c r="AE381" s="328"/>
      <c r="AF381" s="328"/>
      <c r="AG381" s="328"/>
      <c r="AH381" s="328"/>
      <c r="AI381" s="328"/>
      <c r="AJ381" s="328">
        <v>5</v>
      </c>
      <c r="AK381" s="328">
        <v>5</v>
      </c>
      <c r="AL381" s="328">
        <v>5</v>
      </c>
      <c r="AM381" s="328">
        <v>5</v>
      </c>
      <c r="AN381" s="328"/>
      <c r="AO381" s="328"/>
      <c r="AP381" s="328"/>
      <c r="AQ381" s="328"/>
      <c r="AR381" s="328"/>
      <c r="AS381" s="328"/>
      <c r="AT381" s="328"/>
      <c r="AU381" s="31"/>
      <c r="BF381">
        <f>ROWS($U$46:U381)</f>
        <v>336</v>
      </c>
      <c r="BG381" t="str">
        <f t="shared" si="209"/>
        <v/>
      </c>
    </row>
    <row r="382" spans="12:59" ht="15" customHeight="1" x14ac:dyDescent="0.35">
      <c r="L382" s="10" t="s">
        <v>1497</v>
      </c>
      <c r="O382" s="329">
        <v>1</v>
      </c>
      <c r="P382" s="320">
        <v>717749</v>
      </c>
      <c r="Q382" s="320">
        <v>3</v>
      </c>
      <c r="R382" s="320"/>
      <c r="S382" s="36">
        <v>6.125</v>
      </c>
      <c r="T382" s="320" t="s">
        <v>1060</v>
      </c>
      <c r="U382" s="320">
        <v>952982</v>
      </c>
      <c r="V382" s="319" t="s">
        <v>87</v>
      </c>
      <c r="W382" s="320">
        <v>1</v>
      </c>
      <c r="X382" s="320">
        <v>3</v>
      </c>
      <c r="Y382" s="320">
        <v>3</v>
      </c>
      <c r="Z382" s="320">
        <v>4</v>
      </c>
      <c r="AA382" s="320">
        <v>4</v>
      </c>
      <c r="AB382" s="320">
        <v>4</v>
      </c>
      <c r="AC382" s="320">
        <v>2</v>
      </c>
      <c r="AD382" s="320">
        <v>2</v>
      </c>
      <c r="AE382" s="320"/>
      <c r="AF382" s="320">
        <v>5</v>
      </c>
      <c r="AG382" s="320"/>
      <c r="AH382" s="320"/>
      <c r="AI382" s="320"/>
      <c r="AJ382" s="320"/>
      <c r="AK382" s="320"/>
      <c r="AL382" s="320"/>
      <c r="AM382" s="320"/>
      <c r="AN382" s="320"/>
      <c r="AO382" s="320"/>
      <c r="AP382" s="320"/>
      <c r="AQ382" s="320"/>
      <c r="AR382" s="320"/>
      <c r="AS382" s="320"/>
      <c r="AT382" s="320"/>
      <c r="AU382" s="119"/>
      <c r="BF382">
        <f>ROWS($U$46:U382)</f>
        <v>337</v>
      </c>
      <c r="BG382" t="str">
        <f t="shared" si="209"/>
        <v/>
      </c>
    </row>
    <row r="383" spans="12:59" ht="15" customHeight="1" x14ac:dyDescent="0.35">
      <c r="L383" s="10" t="s">
        <v>1991</v>
      </c>
      <c r="O383" s="330">
        <v>2</v>
      </c>
      <c r="P383" s="36">
        <v>418525</v>
      </c>
      <c r="Q383" s="36">
        <v>12</v>
      </c>
      <c r="R383" s="36"/>
      <c r="S383" s="36">
        <v>6.125</v>
      </c>
      <c r="T383" s="36" t="s">
        <v>1060</v>
      </c>
      <c r="U383" s="36">
        <v>952982</v>
      </c>
      <c r="V383" s="165" t="s">
        <v>88</v>
      </c>
      <c r="W383" s="36">
        <v>4</v>
      </c>
      <c r="X383" s="36">
        <v>4</v>
      </c>
      <c r="Y383" s="36">
        <v>4</v>
      </c>
      <c r="Z383" s="36">
        <v>2</v>
      </c>
      <c r="AA383" s="36">
        <v>2</v>
      </c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27"/>
      <c r="BF383">
        <f>ROWS($U$46:U383)</f>
        <v>338</v>
      </c>
      <c r="BG383" t="str">
        <f t="shared" si="209"/>
        <v/>
      </c>
    </row>
    <row r="384" spans="12:59" ht="15" customHeight="1" x14ac:dyDescent="0.35">
      <c r="L384" s="10" t="s">
        <v>1842</v>
      </c>
      <c r="O384" s="330">
        <v>3</v>
      </c>
      <c r="P384" s="36">
        <v>729434</v>
      </c>
      <c r="Q384" s="36">
        <v>5</v>
      </c>
      <c r="R384" s="36"/>
      <c r="S384" s="36">
        <v>6.125</v>
      </c>
      <c r="T384" s="36" t="s">
        <v>1060</v>
      </c>
      <c r="U384" s="36">
        <v>952982</v>
      </c>
      <c r="V384" s="165" t="s">
        <v>89</v>
      </c>
      <c r="W384" s="36">
        <v>1</v>
      </c>
      <c r="X384" s="36">
        <v>3</v>
      </c>
      <c r="Y384" s="36">
        <v>4</v>
      </c>
      <c r="Z384" s="36">
        <v>4</v>
      </c>
      <c r="AA384" s="36">
        <v>4</v>
      </c>
      <c r="AB384" s="36">
        <v>2</v>
      </c>
      <c r="AC384" s="36">
        <v>2</v>
      </c>
      <c r="AD384" s="36"/>
      <c r="AE384" s="36"/>
      <c r="AF384" s="36">
        <v>5</v>
      </c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27"/>
      <c r="BF384">
        <f>ROWS($U$46:U384)</f>
        <v>339</v>
      </c>
      <c r="BG384" t="str">
        <f t="shared" si="209"/>
        <v/>
      </c>
    </row>
    <row r="385" spans="12:59" ht="15" customHeight="1" x14ac:dyDescent="0.35">
      <c r="L385" s="10" t="s">
        <v>1924</v>
      </c>
      <c r="O385" s="330">
        <v>4</v>
      </c>
      <c r="P385" s="36">
        <v>729435</v>
      </c>
      <c r="Q385" s="36">
        <v>18</v>
      </c>
      <c r="R385" s="36"/>
      <c r="S385" s="36">
        <v>6.125</v>
      </c>
      <c r="T385" s="36" t="s">
        <v>1060</v>
      </c>
      <c r="U385" s="36">
        <v>952982</v>
      </c>
      <c r="V385" s="165" t="s">
        <v>90</v>
      </c>
      <c r="W385" s="36">
        <v>4</v>
      </c>
      <c r="X385" s="36">
        <v>4</v>
      </c>
      <c r="Y385" s="36">
        <v>4</v>
      </c>
      <c r="Z385" s="36">
        <v>2</v>
      </c>
      <c r="AA385" s="36">
        <v>2</v>
      </c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27"/>
      <c r="BF385">
        <f>ROWS($U$46:U385)</f>
        <v>340</v>
      </c>
      <c r="BG385" t="str">
        <f t="shared" si="209"/>
        <v/>
      </c>
    </row>
    <row r="386" spans="12:59" ht="15" customHeight="1" x14ac:dyDescent="0.35">
      <c r="L386" s="10" t="s">
        <v>1467</v>
      </c>
      <c r="O386" s="330">
        <v>5</v>
      </c>
      <c r="P386" s="36">
        <v>625854</v>
      </c>
      <c r="Q386" s="36">
        <v>3</v>
      </c>
      <c r="R386" s="36"/>
      <c r="S386" s="36">
        <v>6.125</v>
      </c>
      <c r="T386" s="36" t="s">
        <v>1060</v>
      </c>
      <c r="U386" s="36">
        <v>952982</v>
      </c>
      <c r="V386" s="165" t="s">
        <v>91</v>
      </c>
      <c r="W386" s="36">
        <v>1</v>
      </c>
      <c r="X386" s="36">
        <v>3</v>
      </c>
      <c r="Y386" s="36">
        <v>3</v>
      </c>
      <c r="Z386" s="36">
        <v>4</v>
      </c>
      <c r="AA386" s="36">
        <v>4</v>
      </c>
      <c r="AB386" s="36">
        <v>4</v>
      </c>
      <c r="AC386" s="36">
        <v>2</v>
      </c>
      <c r="AD386" s="36">
        <v>2</v>
      </c>
      <c r="AE386" s="36"/>
      <c r="AF386" s="36">
        <v>5</v>
      </c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27"/>
      <c r="BF386">
        <f>ROWS($U$46:U386)</f>
        <v>341</v>
      </c>
      <c r="BG386" t="str">
        <f t="shared" si="209"/>
        <v/>
      </c>
    </row>
    <row r="387" spans="12:59" ht="15" customHeight="1" thickBot="1" x14ac:dyDescent="0.4">
      <c r="L387" s="10" t="s">
        <v>1969</v>
      </c>
      <c r="O387" s="485"/>
      <c r="P387" s="36"/>
      <c r="Q387" s="36"/>
      <c r="R387" s="486"/>
      <c r="S387" s="486">
        <v>6.125</v>
      </c>
      <c r="T387" s="486" t="s">
        <v>1060</v>
      </c>
      <c r="U387" s="486">
        <v>952982</v>
      </c>
      <c r="V387" s="487" t="s">
        <v>92</v>
      </c>
      <c r="W387" s="486">
        <v>4</v>
      </c>
      <c r="X387" s="486">
        <v>4</v>
      </c>
      <c r="Y387" s="486">
        <v>4</v>
      </c>
      <c r="Z387" s="486">
        <v>2</v>
      </c>
      <c r="AA387" s="486">
        <v>2</v>
      </c>
      <c r="AB387" s="486"/>
      <c r="AC387" s="486"/>
      <c r="AD387" s="486"/>
      <c r="AE387" s="486"/>
      <c r="AF387" s="486"/>
      <c r="AG387" s="486"/>
      <c r="AH387" s="486"/>
      <c r="AI387" s="486"/>
      <c r="AJ387" s="486"/>
      <c r="AK387" s="486"/>
      <c r="AL387" s="486"/>
      <c r="AM387" s="486"/>
      <c r="AN387" s="486"/>
      <c r="AO387" s="486"/>
      <c r="AP387" s="486"/>
      <c r="AQ387" s="486"/>
      <c r="AR387" s="486"/>
      <c r="AS387" s="486"/>
      <c r="AT387" s="486"/>
      <c r="AU387" s="488"/>
      <c r="BF387">
        <f>ROWS($U$46:U387)</f>
        <v>342</v>
      </c>
      <c r="BG387" t="str">
        <f t="shared" si="209"/>
        <v/>
      </c>
    </row>
    <row r="388" spans="12:59" ht="15" customHeight="1" x14ac:dyDescent="0.35">
      <c r="L388" s="10" t="s">
        <v>1836</v>
      </c>
      <c r="O388" s="329">
        <v>1</v>
      </c>
      <c r="P388" s="320">
        <v>729434</v>
      </c>
      <c r="Q388" s="320">
        <v>28</v>
      </c>
      <c r="R388" s="320"/>
      <c r="S388" s="320" t="s">
        <v>1397</v>
      </c>
      <c r="T388" s="320" t="s">
        <v>1124</v>
      </c>
      <c r="U388" s="320">
        <v>902208</v>
      </c>
      <c r="V388" s="319" t="s">
        <v>87</v>
      </c>
      <c r="W388" s="320">
        <v>1</v>
      </c>
      <c r="X388" s="320">
        <v>1</v>
      </c>
      <c r="Y388" s="320">
        <v>1</v>
      </c>
      <c r="Z388" s="320">
        <v>1</v>
      </c>
      <c r="AA388" s="320">
        <v>3</v>
      </c>
      <c r="AB388" s="320">
        <v>4</v>
      </c>
      <c r="AC388" s="320"/>
      <c r="AD388" s="320"/>
      <c r="AE388" s="320"/>
      <c r="AF388" s="320"/>
      <c r="AG388" s="320"/>
      <c r="AH388" s="320"/>
      <c r="AI388" s="320"/>
      <c r="AJ388" s="320"/>
      <c r="AK388" s="320"/>
      <c r="AL388" s="320"/>
      <c r="AM388" s="320"/>
      <c r="AN388" s="320"/>
      <c r="AO388" s="320"/>
      <c r="AP388" s="320"/>
      <c r="AQ388" s="320"/>
      <c r="AR388" s="320"/>
      <c r="AS388" s="320"/>
      <c r="AT388" s="320"/>
      <c r="AU388" s="119"/>
      <c r="BF388">
        <f>ROWS($U$46:U388)</f>
        <v>343</v>
      </c>
      <c r="BG388" t="str">
        <f t="shared" si="209"/>
        <v/>
      </c>
    </row>
    <row r="389" spans="12:59" ht="15" customHeight="1" x14ac:dyDescent="0.35">
      <c r="L389" s="10" t="s">
        <v>2015</v>
      </c>
      <c r="O389" s="330">
        <v>2</v>
      </c>
      <c r="P389" s="36">
        <v>773383</v>
      </c>
      <c r="Q389" s="36">
        <v>4</v>
      </c>
      <c r="R389" s="36"/>
      <c r="S389" s="36" t="s">
        <v>1397</v>
      </c>
      <c r="T389" s="36" t="s">
        <v>1124</v>
      </c>
      <c r="U389" s="36">
        <v>902208</v>
      </c>
      <c r="V389" s="165" t="s">
        <v>88</v>
      </c>
      <c r="W389" s="36">
        <v>2</v>
      </c>
      <c r="X389" s="36">
        <v>1</v>
      </c>
      <c r="Y389" s="36">
        <v>1</v>
      </c>
      <c r="Z389" s="36">
        <v>1</v>
      </c>
      <c r="AA389" s="36">
        <v>3</v>
      </c>
      <c r="AB389" s="36">
        <v>4</v>
      </c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27"/>
      <c r="BF389">
        <f>ROWS($U$46:U389)</f>
        <v>344</v>
      </c>
      <c r="BG389" t="str">
        <f t="shared" si="209"/>
        <v/>
      </c>
    </row>
    <row r="390" spans="12:59" ht="15" customHeight="1" x14ac:dyDescent="0.35">
      <c r="L390" s="10" t="s">
        <v>1837</v>
      </c>
      <c r="O390" s="330">
        <v>3</v>
      </c>
      <c r="P390" s="36">
        <v>717749</v>
      </c>
      <c r="Q390" s="36">
        <v>8</v>
      </c>
      <c r="R390" s="36"/>
      <c r="S390" s="36" t="s">
        <v>1397</v>
      </c>
      <c r="T390" s="36" t="s">
        <v>1124</v>
      </c>
      <c r="U390" s="36">
        <v>902208</v>
      </c>
      <c r="V390" s="165" t="s">
        <v>89</v>
      </c>
      <c r="W390" s="36">
        <v>1</v>
      </c>
      <c r="X390" s="36">
        <v>1</v>
      </c>
      <c r="Y390" s="36">
        <v>1</v>
      </c>
      <c r="Z390" s="36">
        <v>1</v>
      </c>
      <c r="AA390" s="36">
        <v>3</v>
      </c>
      <c r="AB390" s="36">
        <v>4</v>
      </c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27"/>
      <c r="BF390">
        <f>ROWS($U$46:U390)</f>
        <v>345</v>
      </c>
      <c r="BG390" t="str">
        <f t="shared" si="209"/>
        <v/>
      </c>
    </row>
    <row r="391" spans="12:59" ht="15" customHeight="1" x14ac:dyDescent="0.35">
      <c r="L391" s="10" t="s">
        <v>2019</v>
      </c>
      <c r="O391" s="330">
        <v>4</v>
      </c>
      <c r="P391" s="36">
        <v>418525</v>
      </c>
      <c r="Q391" s="36">
        <v>8</v>
      </c>
      <c r="R391" s="36"/>
      <c r="S391" s="36" t="s">
        <v>1397</v>
      </c>
      <c r="T391" s="36" t="s">
        <v>1124</v>
      </c>
      <c r="U391" s="36">
        <v>902208</v>
      </c>
      <c r="V391" s="165" t="s">
        <v>90</v>
      </c>
      <c r="W391" s="36">
        <v>2</v>
      </c>
      <c r="X391" s="36">
        <v>1</v>
      </c>
      <c r="Y391" s="36">
        <v>1</v>
      </c>
      <c r="Z391" s="36">
        <v>1</v>
      </c>
      <c r="AA391" s="36">
        <v>3</v>
      </c>
      <c r="AB391" s="36">
        <v>4</v>
      </c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27"/>
      <c r="BF391">
        <f>ROWS($U$46:U391)</f>
        <v>346</v>
      </c>
      <c r="BG391" t="str">
        <f t="shared" si="209"/>
        <v/>
      </c>
    </row>
    <row r="392" spans="12:59" ht="15" customHeight="1" x14ac:dyDescent="0.35">
      <c r="L392" s="10" t="s">
        <v>1838</v>
      </c>
      <c r="O392" s="330"/>
      <c r="P392" s="36"/>
      <c r="Q392" s="36"/>
      <c r="R392" s="36"/>
      <c r="S392" s="36" t="s">
        <v>1397</v>
      </c>
      <c r="T392" s="36" t="s">
        <v>1124</v>
      </c>
      <c r="U392" s="36">
        <v>902208</v>
      </c>
      <c r="V392" s="165" t="s">
        <v>91</v>
      </c>
      <c r="W392" s="36">
        <v>1</v>
      </c>
      <c r="X392" s="36">
        <v>1</v>
      </c>
      <c r="Y392" s="36">
        <v>1</v>
      </c>
      <c r="Z392" s="36">
        <v>1</v>
      </c>
      <c r="AA392" s="36">
        <v>3</v>
      </c>
      <c r="AB392" s="36">
        <v>4</v>
      </c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27"/>
      <c r="BF392">
        <f>ROWS($U$46:U392)</f>
        <v>347</v>
      </c>
      <c r="BG392" t="str">
        <f t="shared" si="209"/>
        <v/>
      </c>
    </row>
    <row r="393" spans="12:59" ht="15" customHeight="1" x14ac:dyDescent="0.35">
      <c r="L393" s="10" t="s">
        <v>1948</v>
      </c>
      <c r="O393" s="330"/>
      <c r="P393" s="36"/>
      <c r="Q393" s="36"/>
      <c r="R393" s="36"/>
      <c r="S393" s="36" t="s">
        <v>1397</v>
      </c>
      <c r="T393" s="36" t="s">
        <v>1124</v>
      </c>
      <c r="U393" s="36">
        <v>902208</v>
      </c>
      <c r="V393" s="165" t="s">
        <v>92</v>
      </c>
      <c r="W393" s="36">
        <v>2</v>
      </c>
      <c r="X393" s="36">
        <v>1</v>
      </c>
      <c r="Y393" s="36">
        <v>1</v>
      </c>
      <c r="Z393" s="36">
        <v>1</v>
      </c>
      <c r="AA393" s="36">
        <v>3</v>
      </c>
      <c r="AB393" s="36">
        <v>4</v>
      </c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27"/>
      <c r="BF393">
        <f>ROWS($U$46:U393)</f>
        <v>348</v>
      </c>
      <c r="BG393" t="str">
        <f t="shared" si="209"/>
        <v/>
      </c>
    </row>
    <row r="394" spans="12:59" ht="15" customHeight="1" x14ac:dyDescent="0.35">
      <c r="L394" s="10" t="s">
        <v>1971</v>
      </c>
      <c r="O394" s="330"/>
      <c r="P394" s="36"/>
      <c r="Q394" s="36"/>
      <c r="R394" s="36"/>
      <c r="S394" s="36" t="s">
        <v>1397</v>
      </c>
      <c r="T394" s="36" t="s">
        <v>1124</v>
      </c>
      <c r="U394" s="36">
        <v>902208</v>
      </c>
      <c r="V394" s="165" t="s">
        <v>111</v>
      </c>
      <c r="W394" s="36">
        <v>1</v>
      </c>
      <c r="X394" s="36">
        <v>1</v>
      </c>
      <c r="Y394" s="36">
        <v>1</v>
      </c>
      <c r="Z394" s="36">
        <v>1</v>
      </c>
      <c r="AA394" s="36">
        <v>3</v>
      </c>
      <c r="AB394" s="36">
        <v>4</v>
      </c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27"/>
      <c r="BF394">
        <f>ROWS($U$46:U394)</f>
        <v>349</v>
      </c>
      <c r="BG394" t="str">
        <f t="shared" si="209"/>
        <v/>
      </c>
    </row>
    <row r="395" spans="12:59" ht="15" customHeight="1" thickBot="1" x14ac:dyDescent="0.4">
      <c r="L395" s="10" t="s">
        <v>1963</v>
      </c>
      <c r="O395" s="331"/>
      <c r="P395" s="328"/>
      <c r="Q395" s="328"/>
      <c r="R395" s="328"/>
      <c r="S395" s="328" t="s">
        <v>1397</v>
      </c>
      <c r="T395" s="328" t="s">
        <v>1124</v>
      </c>
      <c r="U395" s="328">
        <v>902208</v>
      </c>
      <c r="V395" s="327" t="s">
        <v>112</v>
      </c>
      <c r="W395" s="328">
        <v>2</v>
      </c>
      <c r="X395" s="328">
        <v>1</v>
      </c>
      <c r="Y395" s="328">
        <v>1</v>
      </c>
      <c r="Z395" s="328">
        <v>1</v>
      </c>
      <c r="AA395" s="328">
        <v>3</v>
      </c>
      <c r="AB395" s="328">
        <v>4</v>
      </c>
      <c r="AC395" s="328"/>
      <c r="AD395" s="328"/>
      <c r="AE395" s="328"/>
      <c r="AF395" s="328"/>
      <c r="AG395" s="328"/>
      <c r="AH395" s="328"/>
      <c r="AI395" s="328"/>
      <c r="AJ395" s="328"/>
      <c r="AK395" s="328"/>
      <c r="AL395" s="328"/>
      <c r="AM395" s="328"/>
      <c r="AN395" s="328"/>
      <c r="AO395" s="328"/>
      <c r="AP395" s="328"/>
      <c r="AQ395" s="328"/>
      <c r="AR395" s="328"/>
      <c r="AS395" s="328"/>
      <c r="AT395" s="328"/>
      <c r="AU395" s="31"/>
      <c r="BF395">
        <f>ROWS($U$46:U395)</f>
        <v>350</v>
      </c>
      <c r="BG395" t="str">
        <f t="shared" si="209"/>
        <v/>
      </c>
    </row>
    <row r="396" spans="12:59" ht="15" customHeight="1" x14ac:dyDescent="0.35">
      <c r="L396" s="10" t="s">
        <v>1972</v>
      </c>
      <c r="O396" s="329">
        <v>1</v>
      </c>
      <c r="P396" s="320">
        <v>418525</v>
      </c>
      <c r="Q396" s="320">
        <v>8</v>
      </c>
      <c r="R396" s="320"/>
      <c r="S396" s="320" t="s">
        <v>1126</v>
      </c>
      <c r="T396" s="320" t="s">
        <v>1127</v>
      </c>
      <c r="U396" s="320">
        <v>1033011</v>
      </c>
      <c r="V396" s="319" t="s">
        <v>87</v>
      </c>
      <c r="W396" s="320">
        <v>3</v>
      </c>
      <c r="X396" s="320">
        <v>3</v>
      </c>
      <c r="Y396" s="320">
        <v>3</v>
      </c>
      <c r="Z396" s="320">
        <v>3</v>
      </c>
      <c r="AA396" s="320">
        <v>3</v>
      </c>
      <c r="AB396" s="320">
        <v>3</v>
      </c>
      <c r="AC396" s="320">
        <v>3</v>
      </c>
      <c r="AD396" s="320">
        <v>3</v>
      </c>
      <c r="AE396" s="320">
        <v>3</v>
      </c>
      <c r="AF396" s="320">
        <v>3</v>
      </c>
      <c r="AG396" s="320">
        <v>3</v>
      </c>
      <c r="AH396" s="320">
        <v>3</v>
      </c>
      <c r="AI396" s="320">
        <v>3</v>
      </c>
      <c r="AJ396" s="320">
        <v>3</v>
      </c>
      <c r="AK396" s="320">
        <v>1</v>
      </c>
      <c r="AL396" s="320"/>
      <c r="AM396" s="320">
        <v>3</v>
      </c>
      <c r="AN396" s="320">
        <v>3</v>
      </c>
      <c r="AO396" s="320">
        <v>3</v>
      </c>
      <c r="AP396" s="320">
        <v>2</v>
      </c>
      <c r="AQ396" s="320">
        <v>2</v>
      </c>
      <c r="AR396" s="320">
        <v>2</v>
      </c>
      <c r="AS396" s="320">
        <v>2</v>
      </c>
      <c r="AT396" s="320"/>
      <c r="AU396" s="119"/>
      <c r="BF396">
        <f>ROWS($U$46:U396)</f>
        <v>351</v>
      </c>
      <c r="BG396" t="str">
        <f t="shared" si="209"/>
        <v/>
      </c>
    </row>
    <row r="397" spans="12:59" ht="15" customHeight="1" x14ac:dyDescent="0.35">
      <c r="L397" s="10" t="s">
        <v>1998</v>
      </c>
      <c r="O397" s="330">
        <v>2</v>
      </c>
      <c r="P397" s="36">
        <v>647436</v>
      </c>
      <c r="Q397" s="36">
        <v>32</v>
      </c>
      <c r="R397" s="36"/>
      <c r="S397" s="36" t="s">
        <v>1126</v>
      </c>
      <c r="T397" s="36" t="s">
        <v>1127</v>
      </c>
      <c r="U397" s="36">
        <v>1033011</v>
      </c>
      <c r="V397" s="165" t="s">
        <v>88</v>
      </c>
      <c r="W397" s="36">
        <v>3</v>
      </c>
      <c r="X397" s="36">
        <v>3</v>
      </c>
      <c r="Y397" s="36">
        <v>3</v>
      </c>
      <c r="Z397" s="36">
        <v>3</v>
      </c>
      <c r="AA397" s="36">
        <v>3</v>
      </c>
      <c r="AB397" s="36">
        <v>3</v>
      </c>
      <c r="AC397" s="36">
        <v>3</v>
      </c>
      <c r="AD397" s="36">
        <v>3</v>
      </c>
      <c r="AE397" s="36">
        <v>3</v>
      </c>
      <c r="AF397" s="36">
        <v>1</v>
      </c>
      <c r="AG397" s="36"/>
      <c r="AH397" s="36"/>
      <c r="AI397" s="36"/>
      <c r="AJ397" s="36"/>
      <c r="AK397" s="36"/>
      <c r="AL397" s="36"/>
      <c r="AM397" s="36">
        <v>3</v>
      </c>
      <c r="AN397" s="36">
        <v>3</v>
      </c>
      <c r="AO397" s="36">
        <v>3</v>
      </c>
      <c r="AP397" s="36">
        <v>2</v>
      </c>
      <c r="AQ397" s="36">
        <v>2</v>
      </c>
      <c r="AR397" s="36">
        <v>2</v>
      </c>
      <c r="AS397" s="36">
        <v>2</v>
      </c>
      <c r="AT397" s="36"/>
      <c r="AU397" s="27"/>
      <c r="BF397">
        <f>ROWS($U$46:U397)</f>
        <v>352</v>
      </c>
      <c r="BG397" t="str">
        <f t="shared" si="209"/>
        <v/>
      </c>
    </row>
    <row r="398" spans="12:59" ht="15" customHeight="1" x14ac:dyDescent="0.35">
      <c r="L398" s="10" t="s">
        <v>2138</v>
      </c>
      <c r="O398" s="330">
        <v>3</v>
      </c>
      <c r="P398" s="36">
        <v>1130198</v>
      </c>
      <c r="Q398" s="36">
        <v>105</v>
      </c>
      <c r="R398" s="36"/>
      <c r="S398" s="36" t="s">
        <v>1126</v>
      </c>
      <c r="T398" s="36" t="s">
        <v>1127</v>
      </c>
      <c r="U398" s="36">
        <v>1033011</v>
      </c>
      <c r="V398" s="165" t="s">
        <v>89</v>
      </c>
      <c r="W398" s="36">
        <v>3</v>
      </c>
      <c r="X398" s="36">
        <v>3</v>
      </c>
      <c r="Y398" s="36">
        <v>3</v>
      </c>
      <c r="Z398" s="36">
        <v>3</v>
      </c>
      <c r="AA398" s="36">
        <v>3</v>
      </c>
      <c r="AB398" s="36">
        <v>3</v>
      </c>
      <c r="AC398" s="36">
        <v>3</v>
      </c>
      <c r="AD398" s="36">
        <v>3</v>
      </c>
      <c r="AE398" s="36">
        <v>3</v>
      </c>
      <c r="AF398" s="36">
        <v>1</v>
      </c>
      <c r="AG398" s="36"/>
      <c r="AH398" s="36"/>
      <c r="AI398" s="36"/>
      <c r="AJ398" s="36"/>
      <c r="AK398" s="36"/>
      <c r="AL398" s="36"/>
      <c r="AM398" s="36">
        <v>3</v>
      </c>
      <c r="AN398" s="36">
        <v>3</v>
      </c>
      <c r="AO398" s="36">
        <v>3</v>
      </c>
      <c r="AP398" s="36">
        <v>2</v>
      </c>
      <c r="AQ398" s="36">
        <v>2</v>
      </c>
      <c r="AR398" s="36">
        <v>2</v>
      </c>
      <c r="AS398" s="36">
        <v>2</v>
      </c>
      <c r="AT398" s="36"/>
      <c r="AU398" s="27"/>
      <c r="BF398">
        <f>ROWS($U$46:U398)</f>
        <v>353</v>
      </c>
      <c r="BG398" t="str">
        <f t="shared" si="209"/>
        <v/>
      </c>
    </row>
    <row r="399" spans="12:59" ht="15" customHeight="1" x14ac:dyDescent="0.35">
      <c r="L399" s="10" t="s">
        <v>1979</v>
      </c>
      <c r="O399" s="330"/>
      <c r="P399" s="36"/>
      <c r="Q399" s="36"/>
      <c r="R399" s="36"/>
      <c r="S399" s="36" t="s">
        <v>1126</v>
      </c>
      <c r="T399" s="36" t="s">
        <v>1127</v>
      </c>
      <c r="U399" s="36">
        <v>1033011</v>
      </c>
      <c r="V399" s="165" t="s">
        <v>90</v>
      </c>
      <c r="W399" s="36">
        <v>3</v>
      </c>
      <c r="X399" s="36">
        <v>3</v>
      </c>
      <c r="Y399" s="36">
        <v>3</v>
      </c>
      <c r="Z399" s="36">
        <v>3</v>
      </c>
      <c r="AA399" s="36">
        <v>3</v>
      </c>
      <c r="AB399" s="36">
        <v>3</v>
      </c>
      <c r="AC399" s="36">
        <v>3</v>
      </c>
      <c r="AD399" s="36">
        <v>3</v>
      </c>
      <c r="AE399" s="36">
        <v>3</v>
      </c>
      <c r="AF399" s="36">
        <v>3</v>
      </c>
      <c r="AG399" s="36">
        <v>3</v>
      </c>
      <c r="AH399" s="36">
        <v>3</v>
      </c>
      <c r="AI399" s="36">
        <v>3</v>
      </c>
      <c r="AJ399" s="36">
        <v>1</v>
      </c>
      <c r="AK399" s="36"/>
      <c r="AL399" s="36"/>
      <c r="AM399" s="36">
        <v>3</v>
      </c>
      <c r="AN399" s="36">
        <v>3</v>
      </c>
      <c r="AO399" s="36">
        <v>2</v>
      </c>
      <c r="AP399" s="36">
        <v>2</v>
      </c>
      <c r="AQ399" s="36">
        <v>2</v>
      </c>
      <c r="AR399" s="36">
        <v>2</v>
      </c>
      <c r="AS399" s="36"/>
      <c r="AT399" s="36"/>
      <c r="AU399" s="27"/>
      <c r="BF399">
        <f>ROWS($U$46:U399)</f>
        <v>354</v>
      </c>
      <c r="BG399" t="str">
        <f t="shared" si="209"/>
        <v/>
      </c>
    </row>
    <row r="400" spans="12:59" ht="15" customHeight="1" x14ac:dyDescent="0.35">
      <c r="L400" s="10" t="s">
        <v>2002</v>
      </c>
      <c r="O400" s="330"/>
      <c r="P400" s="36"/>
      <c r="Q400" s="36"/>
      <c r="R400" s="36"/>
      <c r="S400" s="36" t="s">
        <v>1126</v>
      </c>
      <c r="T400" s="36" t="s">
        <v>1127</v>
      </c>
      <c r="U400" s="36">
        <v>1033011</v>
      </c>
      <c r="V400" s="165" t="s">
        <v>91</v>
      </c>
      <c r="W400" s="36">
        <v>3</v>
      </c>
      <c r="X400" s="36">
        <v>3</v>
      </c>
      <c r="Y400" s="36">
        <v>3</v>
      </c>
      <c r="Z400" s="36">
        <v>3</v>
      </c>
      <c r="AA400" s="36">
        <v>3</v>
      </c>
      <c r="AB400" s="36">
        <v>3</v>
      </c>
      <c r="AC400" s="36">
        <v>3</v>
      </c>
      <c r="AD400" s="36">
        <v>3</v>
      </c>
      <c r="AE400" s="36">
        <v>3</v>
      </c>
      <c r="AF400" s="36">
        <v>1</v>
      </c>
      <c r="AG400" s="36"/>
      <c r="AH400" s="36"/>
      <c r="AI400" s="36"/>
      <c r="AJ400" s="36"/>
      <c r="AK400" s="36"/>
      <c r="AL400" s="36"/>
      <c r="AM400" s="36">
        <v>3</v>
      </c>
      <c r="AN400" s="36">
        <v>3</v>
      </c>
      <c r="AO400" s="36">
        <v>2</v>
      </c>
      <c r="AP400" s="36">
        <v>2</v>
      </c>
      <c r="AQ400" s="36">
        <v>2</v>
      </c>
      <c r="AR400" s="36">
        <v>2</v>
      </c>
      <c r="AS400" s="36"/>
      <c r="AT400" s="36"/>
      <c r="AU400" s="27"/>
      <c r="BF400">
        <f>ROWS($U$46:U400)</f>
        <v>355</v>
      </c>
      <c r="BG400" t="str">
        <f t="shared" si="209"/>
        <v/>
      </c>
    </row>
    <row r="401" spans="12:59" ht="15" customHeight="1" x14ac:dyDescent="0.35">
      <c r="L401" s="10" t="s">
        <v>1981</v>
      </c>
      <c r="O401" s="330"/>
      <c r="P401" s="36"/>
      <c r="Q401" s="36"/>
      <c r="R401" s="36"/>
      <c r="S401" s="36" t="s">
        <v>1126</v>
      </c>
      <c r="T401" s="36" t="s">
        <v>1127</v>
      </c>
      <c r="U401" s="36">
        <v>1033011</v>
      </c>
      <c r="V401" s="165" t="s">
        <v>92</v>
      </c>
      <c r="W401" s="36">
        <v>3</v>
      </c>
      <c r="X401" s="36">
        <v>3</v>
      </c>
      <c r="Y401" s="36">
        <v>3</v>
      </c>
      <c r="Z401" s="36">
        <v>3</v>
      </c>
      <c r="AA401" s="36">
        <v>3</v>
      </c>
      <c r="AB401" s="36">
        <v>3</v>
      </c>
      <c r="AC401" s="36">
        <v>3</v>
      </c>
      <c r="AD401" s="36">
        <v>3</v>
      </c>
      <c r="AE401" s="36">
        <v>3</v>
      </c>
      <c r="AF401" s="36">
        <v>3</v>
      </c>
      <c r="AG401" s="36">
        <v>3</v>
      </c>
      <c r="AH401" s="36">
        <v>3</v>
      </c>
      <c r="AI401" s="36">
        <v>3</v>
      </c>
      <c r="AJ401" s="36">
        <v>1</v>
      </c>
      <c r="AK401" s="36"/>
      <c r="AL401" s="36"/>
      <c r="AM401" s="36">
        <v>3</v>
      </c>
      <c r="AN401" s="36">
        <v>3</v>
      </c>
      <c r="AO401" s="36">
        <v>2</v>
      </c>
      <c r="AP401" s="36">
        <v>2</v>
      </c>
      <c r="AQ401" s="36">
        <v>2</v>
      </c>
      <c r="AR401" s="36">
        <v>2</v>
      </c>
      <c r="AS401" s="36"/>
      <c r="AT401" s="36"/>
      <c r="AU401" s="27"/>
      <c r="BF401">
        <f>ROWS($U$46:U401)</f>
        <v>356</v>
      </c>
      <c r="BG401" t="str">
        <f t="shared" si="209"/>
        <v/>
      </c>
    </row>
    <row r="402" spans="12:59" ht="15" customHeight="1" x14ac:dyDescent="0.35">
      <c r="L402" s="10" t="s">
        <v>2003</v>
      </c>
      <c r="O402" s="330"/>
      <c r="P402" s="36"/>
      <c r="Q402" s="36"/>
      <c r="R402" s="36"/>
      <c r="S402" s="36" t="s">
        <v>1126</v>
      </c>
      <c r="T402" s="36" t="s">
        <v>1127</v>
      </c>
      <c r="U402" s="36">
        <v>1033011</v>
      </c>
      <c r="V402" s="165" t="s">
        <v>111</v>
      </c>
      <c r="W402" s="36">
        <v>3</v>
      </c>
      <c r="X402" s="36">
        <v>3</v>
      </c>
      <c r="Y402" s="36">
        <v>3</v>
      </c>
      <c r="Z402" s="36">
        <v>3</v>
      </c>
      <c r="AA402" s="36">
        <v>3</v>
      </c>
      <c r="AB402" s="36">
        <v>3</v>
      </c>
      <c r="AC402" s="36">
        <v>3</v>
      </c>
      <c r="AD402" s="36">
        <v>3</v>
      </c>
      <c r="AE402" s="36">
        <v>3</v>
      </c>
      <c r="AF402" s="36">
        <v>3</v>
      </c>
      <c r="AG402" s="36">
        <v>1</v>
      </c>
      <c r="AH402" s="36"/>
      <c r="AI402" s="36"/>
      <c r="AJ402" s="36"/>
      <c r="AK402" s="36"/>
      <c r="AL402" s="36"/>
      <c r="AM402" s="36">
        <v>3</v>
      </c>
      <c r="AN402" s="36">
        <v>3</v>
      </c>
      <c r="AO402" s="36">
        <v>2</v>
      </c>
      <c r="AP402" s="36">
        <v>2</v>
      </c>
      <c r="AQ402" s="36">
        <v>2</v>
      </c>
      <c r="AR402" s="36">
        <v>2</v>
      </c>
      <c r="AS402" s="36"/>
      <c r="AT402" s="36"/>
      <c r="AU402" s="27"/>
      <c r="BF402">
        <f>ROWS($U$46:U402)</f>
        <v>357</v>
      </c>
      <c r="BG402" t="str">
        <f t="shared" si="209"/>
        <v/>
      </c>
    </row>
    <row r="403" spans="12:59" ht="15" customHeight="1" thickBot="1" x14ac:dyDescent="0.4">
      <c r="L403" s="10" t="s">
        <v>2103</v>
      </c>
      <c r="O403" s="331"/>
      <c r="P403" s="328"/>
      <c r="Q403" s="328"/>
      <c r="R403" s="328"/>
      <c r="S403" s="328" t="s">
        <v>1126</v>
      </c>
      <c r="T403" s="328" t="s">
        <v>1127</v>
      </c>
      <c r="U403" s="328">
        <v>1033011</v>
      </c>
      <c r="V403" s="327" t="s">
        <v>112</v>
      </c>
      <c r="W403" s="328">
        <v>3</v>
      </c>
      <c r="X403" s="328">
        <v>3</v>
      </c>
      <c r="Y403" s="328">
        <v>3</v>
      </c>
      <c r="Z403" s="328">
        <v>3</v>
      </c>
      <c r="AA403" s="328">
        <v>3</v>
      </c>
      <c r="AB403" s="328">
        <v>3</v>
      </c>
      <c r="AC403" s="328">
        <v>3</v>
      </c>
      <c r="AD403" s="328">
        <v>3</v>
      </c>
      <c r="AE403" s="328">
        <v>3</v>
      </c>
      <c r="AF403" s="328">
        <v>1</v>
      </c>
      <c r="AG403" s="328"/>
      <c r="AH403" s="328"/>
      <c r="AI403" s="328"/>
      <c r="AJ403" s="328"/>
      <c r="AK403" s="328"/>
      <c r="AL403" s="328"/>
      <c r="AM403" s="328">
        <v>3</v>
      </c>
      <c r="AN403" s="328">
        <v>3</v>
      </c>
      <c r="AO403" s="328">
        <v>2</v>
      </c>
      <c r="AP403" s="328">
        <v>2</v>
      </c>
      <c r="AQ403" s="328">
        <v>2</v>
      </c>
      <c r="AR403" s="328">
        <v>2</v>
      </c>
      <c r="AS403" s="328"/>
      <c r="AT403" s="328"/>
      <c r="AU403" s="31"/>
      <c r="BF403">
        <f>ROWS($U$46:U403)</f>
        <v>358</v>
      </c>
      <c r="BG403" t="str">
        <f t="shared" si="209"/>
        <v/>
      </c>
    </row>
    <row r="404" spans="12:59" ht="15" customHeight="1" x14ac:dyDescent="0.35">
      <c r="L404" s="10" t="s">
        <v>2026</v>
      </c>
      <c r="O404" s="329">
        <v>1</v>
      </c>
      <c r="P404" s="320">
        <v>853551</v>
      </c>
      <c r="Q404" s="320">
        <v>80</v>
      </c>
      <c r="R404" s="320"/>
      <c r="S404" s="320" t="s">
        <v>1130</v>
      </c>
      <c r="T404" s="320" t="s">
        <v>1131</v>
      </c>
      <c r="U404" s="320">
        <v>1092978</v>
      </c>
      <c r="V404" s="319" t="s">
        <v>87</v>
      </c>
      <c r="W404" s="320">
        <v>1</v>
      </c>
      <c r="X404" s="320">
        <v>1</v>
      </c>
      <c r="Y404" s="320">
        <v>1</v>
      </c>
      <c r="Z404" s="320">
        <v>1</v>
      </c>
      <c r="AA404" s="320">
        <v>1</v>
      </c>
      <c r="AB404" s="320">
        <v>1</v>
      </c>
      <c r="AC404" s="320">
        <v>1</v>
      </c>
      <c r="AD404" s="320">
        <v>1</v>
      </c>
      <c r="AE404" s="320">
        <v>1</v>
      </c>
      <c r="AF404" s="320">
        <v>1</v>
      </c>
      <c r="AG404" s="320">
        <v>1</v>
      </c>
      <c r="AH404" s="320">
        <v>1</v>
      </c>
      <c r="AI404" s="320">
        <v>1</v>
      </c>
      <c r="AJ404" s="320">
        <v>1</v>
      </c>
      <c r="AK404" s="320">
        <v>1</v>
      </c>
      <c r="AL404" s="320">
        <v>3</v>
      </c>
      <c r="AM404" s="320">
        <v>3</v>
      </c>
      <c r="AN404" s="320"/>
      <c r="AO404" s="320">
        <v>4</v>
      </c>
      <c r="AP404" s="320">
        <v>4</v>
      </c>
      <c r="AQ404" s="320">
        <v>4</v>
      </c>
      <c r="AR404" s="320">
        <v>4</v>
      </c>
      <c r="AS404" s="320">
        <v>2</v>
      </c>
      <c r="AT404" s="320">
        <v>2</v>
      </c>
      <c r="AU404" s="320">
        <v>2</v>
      </c>
      <c r="AV404" s="320">
        <v>2</v>
      </c>
      <c r="AW404" s="320">
        <v>4</v>
      </c>
      <c r="AX404" s="320">
        <v>4</v>
      </c>
      <c r="AY404" s="119">
        <v>4</v>
      </c>
      <c r="BF404">
        <f>ROWS($U$46:U404)</f>
        <v>359</v>
      </c>
      <c r="BG404" t="str">
        <f t="shared" si="209"/>
        <v/>
      </c>
    </row>
    <row r="405" spans="12:59" ht="15" customHeight="1" x14ac:dyDescent="0.35">
      <c r="L405" s="10" t="s">
        <v>2011</v>
      </c>
      <c r="O405" s="330">
        <v>2</v>
      </c>
      <c r="P405" s="36">
        <v>647436</v>
      </c>
      <c r="Q405" s="36">
        <v>27</v>
      </c>
      <c r="R405" s="36"/>
      <c r="S405" s="36" t="s">
        <v>1130</v>
      </c>
      <c r="T405" s="36" t="s">
        <v>1131</v>
      </c>
      <c r="U405" s="36">
        <v>1092978</v>
      </c>
      <c r="V405" s="165" t="s">
        <v>88</v>
      </c>
      <c r="W405" s="36">
        <v>1</v>
      </c>
      <c r="X405" s="36">
        <v>1</v>
      </c>
      <c r="Y405" s="36">
        <v>1</v>
      </c>
      <c r="Z405" s="36">
        <v>1</v>
      </c>
      <c r="AA405" s="36">
        <v>1</v>
      </c>
      <c r="AB405" s="36">
        <v>1</v>
      </c>
      <c r="AC405" s="36">
        <v>1</v>
      </c>
      <c r="AD405" s="36">
        <v>1</v>
      </c>
      <c r="AE405" s="36">
        <v>1</v>
      </c>
      <c r="AF405" s="36">
        <v>1</v>
      </c>
      <c r="AG405" s="36">
        <v>3</v>
      </c>
      <c r="AH405" s="36">
        <v>3</v>
      </c>
      <c r="AI405" s="36"/>
      <c r="AJ405" s="36"/>
      <c r="AK405" s="36"/>
      <c r="AL405" s="36"/>
      <c r="AM405" s="36"/>
      <c r="AN405" s="36"/>
      <c r="AO405" s="36">
        <v>4</v>
      </c>
      <c r="AP405" s="36">
        <v>2</v>
      </c>
      <c r="AQ405" s="36">
        <v>2</v>
      </c>
      <c r="AR405" s="36">
        <v>2</v>
      </c>
      <c r="AS405" s="36">
        <v>2</v>
      </c>
      <c r="AT405" s="36">
        <v>4</v>
      </c>
      <c r="AU405" s="36">
        <v>4</v>
      </c>
      <c r="AV405" s="36">
        <v>4</v>
      </c>
      <c r="AW405" s="36"/>
      <c r="AX405" s="36"/>
      <c r="AY405" s="27"/>
      <c r="BF405">
        <f>ROWS($U$46:U405)</f>
        <v>360</v>
      </c>
      <c r="BG405" t="str">
        <f t="shared" si="209"/>
        <v/>
      </c>
    </row>
    <row r="406" spans="12:59" ht="15" customHeight="1" x14ac:dyDescent="0.35">
      <c r="L406" s="10" t="s">
        <v>2052</v>
      </c>
      <c r="O406" s="330">
        <v>3</v>
      </c>
      <c r="P406" s="36">
        <v>418525</v>
      </c>
      <c r="Q406" s="36">
        <v>14</v>
      </c>
      <c r="R406" s="36"/>
      <c r="S406" s="36" t="s">
        <v>1130</v>
      </c>
      <c r="T406" s="36" t="s">
        <v>1131</v>
      </c>
      <c r="U406" s="36">
        <v>1092978</v>
      </c>
      <c r="V406" s="165" t="s">
        <v>89</v>
      </c>
      <c r="W406" s="36">
        <v>1</v>
      </c>
      <c r="X406" s="36">
        <v>1</v>
      </c>
      <c r="Y406" s="36">
        <v>1</v>
      </c>
      <c r="Z406" s="36">
        <v>1</v>
      </c>
      <c r="AA406" s="36">
        <v>1</v>
      </c>
      <c r="AB406" s="36">
        <v>1</v>
      </c>
      <c r="AC406" s="36">
        <v>1</v>
      </c>
      <c r="AD406" s="36">
        <v>1</v>
      </c>
      <c r="AE406" s="36">
        <v>1</v>
      </c>
      <c r="AF406" s="36">
        <v>1</v>
      </c>
      <c r="AG406" s="36">
        <v>1</v>
      </c>
      <c r="AH406" s="36">
        <v>1</v>
      </c>
      <c r="AI406" s="36">
        <v>1</v>
      </c>
      <c r="AJ406" s="36">
        <v>1</v>
      </c>
      <c r="AK406" s="36">
        <v>3</v>
      </c>
      <c r="AL406" s="36">
        <v>3</v>
      </c>
      <c r="AM406" s="36"/>
      <c r="AN406" s="36"/>
      <c r="AO406" s="36">
        <v>4</v>
      </c>
      <c r="AP406" s="36">
        <v>4</v>
      </c>
      <c r="AQ406" s="36">
        <v>4</v>
      </c>
      <c r="AR406" s="36">
        <v>4</v>
      </c>
      <c r="AS406" s="36">
        <v>2</v>
      </c>
      <c r="AT406" s="36">
        <v>2</v>
      </c>
      <c r="AU406" s="36">
        <v>2</v>
      </c>
      <c r="AV406" s="36">
        <v>2</v>
      </c>
      <c r="AW406" s="36">
        <v>4</v>
      </c>
      <c r="AX406" s="36">
        <v>4</v>
      </c>
      <c r="AY406" s="27">
        <v>4</v>
      </c>
      <c r="BF406">
        <f>ROWS($U$46:U406)</f>
        <v>361</v>
      </c>
      <c r="BG406" t="str">
        <f t="shared" si="209"/>
        <v/>
      </c>
    </row>
    <row r="407" spans="12:59" ht="15" customHeight="1" x14ac:dyDescent="0.35">
      <c r="L407" s="10" t="s">
        <v>2012</v>
      </c>
      <c r="O407" s="330">
        <v>4</v>
      </c>
      <c r="P407" s="36">
        <v>179734</v>
      </c>
      <c r="Q407" s="36">
        <v>35</v>
      </c>
      <c r="R407" s="36"/>
      <c r="S407" s="36" t="s">
        <v>1130</v>
      </c>
      <c r="T407" s="36" t="s">
        <v>1131</v>
      </c>
      <c r="U407" s="36">
        <v>1092978</v>
      </c>
      <c r="V407" s="165" t="s">
        <v>90</v>
      </c>
      <c r="W407" s="36">
        <v>1</v>
      </c>
      <c r="X407" s="36">
        <v>1</v>
      </c>
      <c r="Y407" s="36">
        <v>1</v>
      </c>
      <c r="Z407" s="36">
        <v>1</v>
      </c>
      <c r="AA407" s="36">
        <v>1</v>
      </c>
      <c r="AB407" s="36">
        <v>1</v>
      </c>
      <c r="AC407" s="36">
        <v>1</v>
      </c>
      <c r="AD407" s="36">
        <v>1</v>
      </c>
      <c r="AE407" s="36">
        <v>1</v>
      </c>
      <c r="AF407" s="36">
        <v>3</v>
      </c>
      <c r="AG407" s="36">
        <v>3</v>
      </c>
      <c r="AH407" s="36"/>
      <c r="AI407" s="36"/>
      <c r="AJ407" s="36"/>
      <c r="AK407" s="36"/>
      <c r="AL407" s="36"/>
      <c r="AM407" s="36"/>
      <c r="AN407" s="36"/>
      <c r="AO407" s="36">
        <v>4</v>
      </c>
      <c r="AP407" s="36">
        <v>2</v>
      </c>
      <c r="AQ407" s="36">
        <v>2</v>
      </c>
      <c r="AR407" s="36">
        <v>2</v>
      </c>
      <c r="AS407" s="36">
        <v>4</v>
      </c>
      <c r="AT407" s="36">
        <v>4</v>
      </c>
      <c r="AU407" s="36">
        <v>4</v>
      </c>
      <c r="AV407" s="36"/>
      <c r="AW407" s="36"/>
      <c r="AX407" s="36"/>
      <c r="AY407" s="27"/>
      <c r="BF407">
        <f>ROWS($U$46:U407)</f>
        <v>362</v>
      </c>
      <c r="BG407" t="str">
        <f t="shared" si="209"/>
        <v/>
      </c>
    </row>
    <row r="408" spans="12:59" ht="15" customHeight="1" x14ac:dyDescent="0.35">
      <c r="L408" s="10" t="s">
        <v>2013</v>
      </c>
      <c r="O408" s="330"/>
      <c r="P408" s="36"/>
      <c r="Q408" s="36"/>
      <c r="R408" s="36"/>
      <c r="S408" s="36" t="s">
        <v>1130</v>
      </c>
      <c r="T408" s="36" t="s">
        <v>1131</v>
      </c>
      <c r="U408" s="36">
        <v>1092978</v>
      </c>
      <c r="V408" s="165" t="s">
        <v>91</v>
      </c>
      <c r="W408" s="36">
        <v>1</v>
      </c>
      <c r="X408" s="36">
        <v>1</v>
      </c>
      <c r="Y408" s="36">
        <v>1</v>
      </c>
      <c r="Z408" s="36">
        <v>1</v>
      </c>
      <c r="AA408" s="36">
        <v>1</v>
      </c>
      <c r="AB408" s="36">
        <v>1</v>
      </c>
      <c r="AC408" s="36">
        <v>1</v>
      </c>
      <c r="AD408" s="36">
        <v>1</v>
      </c>
      <c r="AE408" s="36">
        <v>1</v>
      </c>
      <c r="AF408" s="36">
        <v>1</v>
      </c>
      <c r="AG408" s="36">
        <v>1</v>
      </c>
      <c r="AH408" s="36">
        <v>1</v>
      </c>
      <c r="AI408" s="36">
        <v>1</v>
      </c>
      <c r="AJ408" s="36">
        <v>1</v>
      </c>
      <c r="AK408" s="36">
        <v>3</v>
      </c>
      <c r="AL408" s="36">
        <v>3</v>
      </c>
      <c r="AM408" s="36"/>
      <c r="AN408" s="36"/>
      <c r="AO408" s="36">
        <v>4</v>
      </c>
      <c r="AP408" s="36">
        <v>4</v>
      </c>
      <c r="AQ408" s="36">
        <v>4</v>
      </c>
      <c r="AR408" s="36">
        <v>4</v>
      </c>
      <c r="AS408" s="36">
        <v>2</v>
      </c>
      <c r="AT408" s="36">
        <v>2</v>
      </c>
      <c r="AU408" s="36">
        <v>2</v>
      </c>
      <c r="AV408" s="36">
        <v>2</v>
      </c>
      <c r="AW408" s="36">
        <v>4</v>
      </c>
      <c r="AX408" s="36">
        <v>4</v>
      </c>
      <c r="AY408" s="27"/>
      <c r="BF408">
        <f>ROWS($U$46:U408)</f>
        <v>363</v>
      </c>
      <c r="BG408" t="str">
        <f t="shared" si="209"/>
        <v/>
      </c>
    </row>
    <row r="409" spans="12:59" ht="15" customHeight="1" x14ac:dyDescent="0.35">
      <c r="L409" s="10" t="s">
        <v>2060</v>
      </c>
      <c r="O409" s="330"/>
      <c r="P409" s="36"/>
      <c r="Q409" s="36"/>
      <c r="R409" s="36"/>
      <c r="S409" s="36" t="s">
        <v>1130</v>
      </c>
      <c r="T409" s="36" t="s">
        <v>1131</v>
      </c>
      <c r="U409" s="36">
        <v>1092978</v>
      </c>
      <c r="V409" s="165" t="s">
        <v>92</v>
      </c>
      <c r="W409" s="36">
        <v>1</v>
      </c>
      <c r="X409" s="36">
        <v>1</v>
      </c>
      <c r="Y409" s="36">
        <v>1</v>
      </c>
      <c r="Z409" s="36">
        <v>1</v>
      </c>
      <c r="AA409" s="36">
        <v>1</v>
      </c>
      <c r="AB409" s="36">
        <v>1</v>
      </c>
      <c r="AC409" s="36">
        <v>1</v>
      </c>
      <c r="AD409" s="36">
        <v>1</v>
      </c>
      <c r="AE409" s="36">
        <v>3</v>
      </c>
      <c r="AF409" s="36">
        <v>3</v>
      </c>
      <c r="AG409" s="36"/>
      <c r="AH409" s="36"/>
      <c r="AI409" s="36"/>
      <c r="AJ409" s="36"/>
      <c r="AK409" s="36"/>
      <c r="AL409" s="36"/>
      <c r="AM409" s="36"/>
      <c r="AN409" s="36"/>
      <c r="AO409" s="36">
        <v>4</v>
      </c>
      <c r="AP409" s="36">
        <v>2</v>
      </c>
      <c r="AQ409" s="36">
        <v>2</v>
      </c>
      <c r="AR409" s="36">
        <v>2</v>
      </c>
      <c r="AS409" s="36">
        <v>2</v>
      </c>
      <c r="AT409" s="36">
        <v>4</v>
      </c>
      <c r="AU409" s="36">
        <v>4</v>
      </c>
      <c r="AV409" s="36"/>
      <c r="AW409" s="36"/>
      <c r="AX409" s="36"/>
      <c r="AY409" s="27"/>
      <c r="BF409">
        <f>ROWS($U$46:U409)</f>
        <v>364</v>
      </c>
      <c r="BG409" t="str">
        <f t="shared" si="209"/>
        <v/>
      </c>
    </row>
    <row r="410" spans="12:59" ht="15" customHeight="1" thickBot="1" x14ac:dyDescent="0.4">
      <c r="L410" s="10" t="s">
        <v>2045</v>
      </c>
      <c r="O410" s="331"/>
      <c r="P410" s="328"/>
      <c r="Q410" s="328"/>
      <c r="R410" s="328"/>
      <c r="S410" s="328" t="s">
        <v>1130</v>
      </c>
      <c r="T410" s="328" t="s">
        <v>1131</v>
      </c>
      <c r="U410" s="328">
        <v>1092978</v>
      </c>
      <c r="V410" s="327" t="s">
        <v>111</v>
      </c>
      <c r="W410" s="328">
        <v>1</v>
      </c>
      <c r="X410" s="328">
        <v>1</v>
      </c>
      <c r="Y410" s="328">
        <v>1</v>
      </c>
      <c r="Z410" s="328">
        <v>1</v>
      </c>
      <c r="AA410" s="328">
        <v>1</v>
      </c>
      <c r="AB410" s="328">
        <v>1</v>
      </c>
      <c r="AC410" s="328">
        <v>1</v>
      </c>
      <c r="AD410" s="328">
        <v>1</v>
      </c>
      <c r="AE410" s="328">
        <v>1</v>
      </c>
      <c r="AF410" s="328">
        <v>1</v>
      </c>
      <c r="AG410" s="328">
        <v>3</v>
      </c>
      <c r="AH410" s="328">
        <v>3</v>
      </c>
      <c r="AI410" s="328"/>
      <c r="AJ410" s="328"/>
      <c r="AK410" s="328"/>
      <c r="AL410" s="328"/>
      <c r="AM410" s="328"/>
      <c r="AN410" s="328"/>
      <c r="AO410" s="328">
        <v>4</v>
      </c>
      <c r="AP410" s="328">
        <v>2</v>
      </c>
      <c r="AQ410" s="328">
        <v>2</v>
      </c>
      <c r="AR410" s="328">
        <v>2</v>
      </c>
      <c r="AS410" s="328">
        <v>2</v>
      </c>
      <c r="AT410" s="328">
        <v>4</v>
      </c>
      <c r="AU410" s="328">
        <v>4</v>
      </c>
      <c r="AV410" s="328">
        <v>4</v>
      </c>
      <c r="AW410" s="328"/>
      <c r="AX410" s="328"/>
      <c r="AY410" s="31"/>
      <c r="BF410">
        <f>ROWS($U$46:U410)</f>
        <v>365</v>
      </c>
      <c r="BG410" t="str">
        <f t="shared" si="209"/>
        <v/>
      </c>
    </row>
    <row r="411" spans="12:59" ht="15" customHeight="1" x14ac:dyDescent="0.35">
      <c r="L411" s="10" t="s">
        <v>2094</v>
      </c>
      <c r="O411" s="329">
        <v>1</v>
      </c>
      <c r="P411" s="320">
        <v>647436</v>
      </c>
      <c r="Q411" s="320">
        <v>25</v>
      </c>
      <c r="R411" s="320"/>
      <c r="S411" s="320" t="s">
        <v>1133</v>
      </c>
      <c r="T411" s="320" t="s">
        <v>1134</v>
      </c>
      <c r="U411" s="320">
        <v>1033499</v>
      </c>
      <c r="V411" s="319" t="s">
        <v>87</v>
      </c>
      <c r="W411" s="320"/>
      <c r="X411" s="320"/>
      <c r="Y411" s="320"/>
      <c r="Z411" s="320"/>
      <c r="AA411" s="320"/>
      <c r="AB411" s="320"/>
      <c r="AC411" s="320"/>
      <c r="AD411" s="320"/>
      <c r="AE411" s="320"/>
      <c r="AF411" s="320"/>
      <c r="AG411" s="320"/>
      <c r="AH411" s="320"/>
      <c r="AI411" s="320"/>
      <c r="AJ411" s="320"/>
      <c r="AK411" s="320"/>
      <c r="AL411" s="320"/>
      <c r="AM411" s="320"/>
      <c r="AN411" s="320"/>
      <c r="AO411" s="320"/>
      <c r="AP411" s="320"/>
      <c r="AQ411" s="320"/>
      <c r="AR411" s="320"/>
      <c r="AS411" s="320"/>
      <c r="AT411" s="320"/>
      <c r="AU411" s="320"/>
      <c r="AV411" s="320"/>
      <c r="AW411" s="320"/>
      <c r="AX411" s="320"/>
      <c r="AY411" s="119"/>
      <c r="BF411">
        <f>ROWS($U$46:U411)</f>
        <v>366</v>
      </c>
      <c r="BG411" t="str">
        <f t="shared" si="209"/>
        <v/>
      </c>
    </row>
    <row r="412" spans="12:59" ht="15" customHeight="1" x14ac:dyDescent="0.35">
      <c r="L412" s="10" t="s">
        <v>2054</v>
      </c>
      <c r="O412" s="330">
        <v>2</v>
      </c>
      <c r="P412" s="36">
        <v>871781</v>
      </c>
      <c r="Q412" s="36">
        <v>15</v>
      </c>
      <c r="R412" s="36"/>
      <c r="S412" s="36" t="s">
        <v>1133</v>
      </c>
      <c r="T412" s="36" t="s">
        <v>1134</v>
      </c>
      <c r="U412" s="36">
        <v>1033499</v>
      </c>
      <c r="V412" s="165" t="s">
        <v>88</v>
      </c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27"/>
      <c r="BF412">
        <f>ROWS($U$46:U412)</f>
        <v>367</v>
      </c>
      <c r="BG412" t="str">
        <f t="shared" si="209"/>
        <v/>
      </c>
    </row>
    <row r="413" spans="12:59" ht="15" customHeight="1" x14ac:dyDescent="0.35">
      <c r="L413" s="10" t="s">
        <v>2057</v>
      </c>
      <c r="O413" s="330">
        <v>3</v>
      </c>
      <c r="P413" s="36">
        <v>717751</v>
      </c>
      <c r="Q413" s="36">
        <v>3</v>
      </c>
      <c r="R413" s="36"/>
      <c r="S413" s="36" t="s">
        <v>1133</v>
      </c>
      <c r="T413" s="36" t="s">
        <v>1134</v>
      </c>
      <c r="U413" s="36">
        <v>1033499</v>
      </c>
      <c r="V413" s="165" t="s">
        <v>89</v>
      </c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  <c r="AY413" s="27"/>
      <c r="BF413">
        <f>ROWS($U$46:U413)</f>
        <v>368</v>
      </c>
      <c r="BG413" t="str">
        <f t="shared" si="209"/>
        <v/>
      </c>
    </row>
    <row r="414" spans="12:59" ht="15" customHeight="1" x14ac:dyDescent="0.35">
      <c r="L414" s="10" t="s">
        <v>2033</v>
      </c>
      <c r="O414" s="330">
        <v>4</v>
      </c>
      <c r="P414" s="36">
        <v>742620</v>
      </c>
      <c r="Q414" s="36">
        <v>18</v>
      </c>
      <c r="R414" s="36"/>
      <c r="S414" s="36" t="s">
        <v>1133</v>
      </c>
      <c r="T414" s="36" t="s">
        <v>1134</v>
      </c>
      <c r="U414" s="36">
        <v>1033499</v>
      </c>
      <c r="V414" s="165" t="s">
        <v>90</v>
      </c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27"/>
      <c r="BF414">
        <f>ROWS($U$46:U414)</f>
        <v>369</v>
      </c>
      <c r="BG414" t="str">
        <f t="shared" si="209"/>
        <v/>
      </c>
    </row>
    <row r="415" spans="12:59" ht="15" customHeight="1" x14ac:dyDescent="0.35">
      <c r="L415" s="10" t="s">
        <v>2070</v>
      </c>
      <c r="O415" s="330">
        <v>5</v>
      </c>
      <c r="P415" s="36">
        <v>742618</v>
      </c>
      <c r="Q415" s="36">
        <v>6</v>
      </c>
      <c r="R415" s="36"/>
      <c r="S415" s="36" t="s">
        <v>1133</v>
      </c>
      <c r="T415" s="36" t="s">
        <v>1134</v>
      </c>
      <c r="U415" s="36">
        <v>1033499</v>
      </c>
      <c r="V415" s="165" t="s">
        <v>91</v>
      </c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  <c r="AX415" s="36"/>
      <c r="AY415" s="27"/>
      <c r="BF415">
        <f>ROWS($U$46:U415)</f>
        <v>370</v>
      </c>
      <c r="BG415" t="str">
        <f t="shared" si="209"/>
        <v/>
      </c>
    </row>
    <row r="416" spans="12:59" ht="15" customHeight="1" thickBot="1" x14ac:dyDescent="0.4">
      <c r="L416" s="10" t="s">
        <v>2116</v>
      </c>
      <c r="O416" s="330"/>
      <c r="P416" s="36"/>
      <c r="Q416" s="36"/>
      <c r="R416" s="36"/>
      <c r="S416" s="36" t="s">
        <v>1133</v>
      </c>
      <c r="T416" s="36" t="s">
        <v>1134</v>
      </c>
      <c r="U416" s="36">
        <v>1033499</v>
      </c>
      <c r="V416" s="165" t="s">
        <v>92</v>
      </c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27"/>
      <c r="BF416">
        <f>ROWS($U$46:U416)</f>
        <v>371</v>
      </c>
      <c r="BG416" t="str">
        <f t="shared" si="209"/>
        <v/>
      </c>
    </row>
    <row r="417" spans="12:59" ht="15" customHeight="1" x14ac:dyDescent="0.35">
      <c r="L417" s="10" t="s">
        <v>2065</v>
      </c>
      <c r="O417" s="329">
        <v>1</v>
      </c>
      <c r="P417" s="320">
        <v>745173</v>
      </c>
      <c r="Q417" s="320">
        <v>40</v>
      </c>
      <c r="R417" s="320"/>
      <c r="S417" s="320" t="s">
        <v>1397</v>
      </c>
      <c r="T417" s="320" t="s">
        <v>873</v>
      </c>
      <c r="U417" s="320">
        <v>662603</v>
      </c>
      <c r="V417" s="319" t="s">
        <v>87</v>
      </c>
      <c r="W417" s="320">
        <v>1</v>
      </c>
      <c r="X417" s="320">
        <v>1</v>
      </c>
      <c r="Y417" s="320">
        <v>1</v>
      </c>
      <c r="Z417" s="320">
        <v>1</v>
      </c>
      <c r="AA417" s="320">
        <v>1</v>
      </c>
      <c r="AB417" s="320">
        <v>2</v>
      </c>
      <c r="AC417" s="320"/>
      <c r="AD417" s="320"/>
      <c r="AE417" s="320"/>
      <c r="AF417" s="320"/>
      <c r="AG417" s="320"/>
      <c r="AH417" s="320"/>
      <c r="AI417" s="320"/>
      <c r="AJ417" s="320"/>
      <c r="AK417" s="320"/>
      <c r="AL417" s="320"/>
      <c r="AM417" s="320"/>
      <c r="AN417" s="320"/>
      <c r="AO417" s="320"/>
      <c r="AP417" s="320"/>
      <c r="AQ417" s="320"/>
      <c r="AR417" s="320"/>
      <c r="AS417" s="320"/>
      <c r="AT417" s="320"/>
      <c r="AU417" s="119"/>
      <c r="BF417">
        <f>ROWS($U$46:U417)</f>
        <v>372</v>
      </c>
      <c r="BG417" t="str">
        <f t="shared" si="209"/>
        <v/>
      </c>
    </row>
    <row r="418" spans="12:59" ht="15" customHeight="1" x14ac:dyDescent="0.35">
      <c r="L418" s="10" t="s">
        <v>2029</v>
      </c>
      <c r="O418" s="330">
        <v>2</v>
      </c>
      <c r="P418" s="36">
        <v>418525</v>
      </c>
      <c r="Q418" s="36">
        <v>8</v>
      </c>
      <c r="R418" s="36"/>
      <c r="S418" s="36" t="s">
        <v>1397</v>
      </c>
      <c r="T418" s="36" t="s">
        <v>873</v>
      </c>
      <c r="U418" s="36">
        <v>662603</v>
      </c>
      <c r="V418" s="165" t="s">
        <v>88</v>
      </c>
      <c r="W418" s="36">
        <v>1</v>
      </c>
      <c r="X418" s="36">
        <v>1</v>
      </c>
      <c r="Y418" s="36">
        <v>1</v>
      </c>
      <c r="Z418" s="36">
        <v>1</v>
      </c>
      <c r="AA418" s="36">
        <v>1</v>
      </c>
      <c r="AB418" s="36">
        <v>2</v>
      </c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27"/>
      <c r="BF418">
        <f>ROWS($U$46:U418)</f>
        <v>373</v>
      </c>
      <c r="BG418" t="str">
        <f t="shared" si="209"/>
        <v/>
      </c>
    </row>
    <row r="419" spans="12:59" ht="15" customHeight="1" x14ac:dyDescent="0.35">
      <c r="L419" s="10" t="s">
        <v>2167</v>
      </c>
      <c r="O419" s="330"/>
      <c r="P419" s="36"/>
      <c r="Q419" s="36"/>
      <c r="R419" s="36"/>
      <c r="S419" s="36" t="s">
        <v>1397</v>
      </c>
      <c r="T419" s="36" t="s">
        <v>873</v>
      </c>
      <c r="U419" s="36">
        <v>662603</v>
      </c>
      <c r="V419" s="165" t="s">
        <v>89</v>
      </c>
      <c r="W419" s="36">
        <v>1</v>
      </c>
      <c r="X419" s="36">
        <v>1</v>
      </c>
      <c r="Y419" s="36">
        <v>1</v>
      </c>
      <c r="Z419" s="36">
        <v>1</v>
      </c>
      <c r="AA419" s="36">
        <v>1</v>
      </c>
      <c r="AB419" s="36">
        <v>2</v>
      </c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27"/>
      <c r="BF419">
        <f>ROWS($U$46:U419)</f>
        <v>374</v>
      </c>
      <c r="BG419" t="str">
        <f t="shared" si="209"/>
        <v/>
      </c>
    </row>
    <row r="420" spans="12:59" ht="15" customHeight="1" x14ac:dyDescent="0.35">
      <c r="L420" s="10" t="s">
        <v>2093</v>
      </c>
      <c r="O420" s="330"/>
      <c r="P420" s="36"/>
      <c r="Q420" s="36"/>
      <c r="R420" s="36"/>
      <c r="S420" s="36" t="s">
        <v>1397</v>
      </c>
      <c r="T420" s="36" t="s">
        <v>873</v>
      </c>
      <c r="U420" s="36">
        <v>662603</v>
      </c>
      <c r="V420" s="165" t="s">
        <v>90</v>
      </c>
      <c r="W420" s="36">
        <v>1</v>
      </c>
      <c r="X420" s="36">
        <v>1</v>
      </c>
      <c r="Y420" s="36">
        <v>1</v>
      </c>
      <c r="Z420" s="36">
        <v>1</v>
      </c>
      <c r="AA420" s="36">
        <v>1</v>
      </c>
      <c r="AB420" s="36">
        <v>2</v>
      </c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27"/>
      <c r="BF420">
        <f>ROWS($U$46:U420)</f>
        <v>375</v>
      </c>
      <c r="BG420" t="str">
        <f t="shared" si="209"/>
        <v/>
      </c>
    </row>
    <row r="421" spans="12:59" ht="15" customHeight="1" x14ac:dyDescent="0.35">
      <c r="L421" s="10" t="s">
        <v>2136</v>
      </c>
      <c r="O421" s="330"/>
      <c r="P421" s="36"/>
      <c r="Q421" s="36"/>
      <c r="R421" s="36"/>
      <c r="S421" s="36" t="s">
        <v>1397</v>
      </c>
      <c r="T421" s="36" t="s">
        <v>873</v>
      </c>
      <c r="U421" s="36">
        <v>662603</v>
      </c>
      <c r="V421" s="165" t="s">
        <v>91</v>
      </c>
      <c r="W421" s="36">
        <v>1</v>
      </c>
      <c r="X421" s="36">
        <v>1</v>
      </c>
      <c r="Y421" s="36">
        <v>1</v>
      </c>
      <c r="Z421" s="36">
        <v>1</v>
      </c>
      <c r="AA421" s="36">
        <v>1</v>
      </c>
      <c r="AB421" s="36">
        <v>2</v>
      </c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27"/>
      <c r="BF421">
        <f>ROWS($U$46:U421)</f>
        <v>376</v>
      </c>
      <c r="BG421" t="str">
        <f t="shared" si="209"/>
        <v/>
      </c>
    </row>
    <row r="422" spans="12:59" ht="15" customHeight="1" x14ac:dyDescent="0.35">
      <c r="L422" s="10" t="s">
        <v>2096</v>
      </c>
      <c r="O422" s="330"/>
      <c r="P422" s="36"/>
      <c r="Q422" s="36"/>
      <c r="R422" s="36"/>
      <c r="S422" s="36" t="s">
        <v>1397</v>
      </c>
      <c r="T422" s="36" t="s">
        <v>873</v>
      </c>
      <c r="U422" s="36">
        <v>662603</v>
      </c>
      <c r="V422" s="165" t="s">
        <v>92</v>
      </c>
      <c r="W422" s="36">
        <v>1</v>
      </c>
      <c r="X422" s="36">
        <v>1</v>
      </c>
      <c r="Y422" s="36">
        <v>1</v>
      </c>
      <c r="Z422" s="36">
        <v>1</v>
      </c>
      <c r="AA422" s="36">
        <v>1</v>
      </c>
      <c r="AB422" s="36">
        <v>2</v>
      </c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27"/>
      <c r="BF422">
        <f>ROWS($U$46:U422)</f>
        <v>377</v>
      </c>
      <c r="BG422" t="str">
        <f t="shared" si="209"/>
        <v/>
      </c>
    </row>
    <row r="423" spans="12:59" ht="15" customHeight="1" x14ac:dyDescent="0.35">
      <c r="L423" s="10" t="s">
        <v>2110</v>
      </c>
      <c r="O423" s="330"/>
      <c r="P423" s="36"/>
      <c r="Q423" s="36"/>
      <c r="R423" s="36"/>
      <c r="S423" s="36" t="s">
        <v>1397</v>
      </c>
      <c r="T423" s="36" t="s">
        <v>873</v>
      </c>
      <c r="U423" s="36">
        <v>662603</v>
      </c>
      <c r="V423" s="165" t="s">
        <v>111</v>
      </c>
      <c r="W423" s="36">
        <v>1</v>
      </c>
      <c r="X423" s="36">
        <v>1</v>
      </c>
      <c r="Y423" s="36">
        <v>1</v>
      </c>
      <c r="Z423" s="36">
        <v>1</v>
      </c>
      <c r="AA423" s="36">
        <v>1</v>
      </c>
      <c r="AB423" s="36">
        <v>2</v>
      </c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27"/>
      <c r="BF423">
        <f>ROWS($U$46:U423)</f>
        <v>378</v>
      </c>
      <c r="BG423" t="str">
        <f t="shared" si="209"/>
        <v/>
      </c>
    </row>
    <row r="424" spans="12:59" ht="15" customHeight="1" thickBot="1" x14ac:dyDescent="0.4">
      <c r="L424" s="10" t="s">
        <v>2168</v>
      </c>
      <c r="O424" s="331"/>
      <c r="P424" s="328"/>
      <c r="Q424" s="328"/>
      <c r="R424" s="328"/>
      <c r="S424" s="328" t="s">
        <v>1397</v>
      </c>
      <c r="T424" s="328" t="s">
        <v>873</v>
      </c>
      <c r="U424" s="328">
        <v>662603</v>
      </c>
      <c r="V424" s="327" t="s">
        <v>112</v>
      </c>
      <c r="W424" s="328">
        <v>1</v>
      </c>
      <c r="X424" s="328">
        <v>1</v>
      </c>
      <c r="Y424" s="328">
        <v>1</v>
      </c>
      <c r="Z424" s="328">
        <v>1</v>
      </c>
      <c r="AA424" s="328">
        <v>1</v>
      </c>
      <c r="AB424" s="328">
        <v>2</v>
      </c>
      <c r="AC424" s="328"/>
      <c r="AD424" s="328"/>
      <c r="AE424" s="328"/>
      <c r="AF424" s="328"/>
      <c r="AG424" s="328"/>
      <c r="AH424" s="328"/>
      <c r="AI424" s="328"/>
      <c r="AJ424" s="328"/>
      <c r="AK424" s="328"/>
      <c r="AL424" s="328"/>
      <c r="AM424" s="328"/>
      <c r="AN424" s="328"/>
      <c r="AO424" s="328"/>
      <c r="AP424" s="328"/>
      <c r="AQ424" s="328"/>
      <c r="AR424" s="328"/>
      <c r="AS424" s="328"/>
      <c r="AT424" s="328"/>
      <c r="AU424" s="31"/>
      <c r="BF424">
        <f>ROWS($U$46:U424)</f>
        <v>379</v>
      </c>
      <c r="BG424" t="str">
        <f t="shared" si="209"/>
        <v/>
      </c>
    </row>
    <row r="425" spans="12:59" ht="15" customHeight="1" x14ac:dyDescent="0.35">
      <c r="L425" s="10" t="s">
        <v>2137</v>
      </c>
      <c r="O425" s="329">
        <v>1</v>
      </c>
      <c r="P425" s="320">
        <v>768849</v>
      </c>
      <c r="Q425" s="320">
        <v>3</v>
      </c>
      <c r="R425" s="320"/>
      <c r="S425" s="320" t="s">
        <v>1398</v>
      </c>
      <c r="T425" s="320" t="s">
        <v>1174</v>
      </c>
      <c r="U425" s="320">
        <v>1055117</v>
      </c>
      <c r="V425" s="319" t="s">
        <v>87</v>
      </c>
      <c r="W425" s="320">
        <v>2</v>
      </c>
      <c r="X425" s="320">
        <v>2</v>
      </c>
      <c r="Y425" s="320">
        <v>2</v>
      </c>
      <c r="Z425" s="320">
        <v>2</v>
      </c>
      <c r="AA425" s="320">
        <v>2</v>
      </c>
      <c r="AB425" s="320">
        <v>2</v>
      </c>
      <c r="AC425" s="320">
        <v>2</v>
      </c>
      <c r="AD425" s="320">
        <v>3</v>
      </c>
      <c r="AE425" s="320"/>
      <c r="AF425" s="320"/>
      <c r="AG425" s="320"/>
      <c r="AH425" s="320"/>
      <c r="AI425" s="320"/>
      <c r="AJ425" s="320"/>
      <c r="AK425" s="320"/>
      <c r="AL425" s="320"/>
      <c r="AM425" s="320"/>
      <c r="AN425" s="320"/>
      <c r="AO425" s="320"/>
      <c r="AP425" s="320"/>
      <c r="AQ425" s="320"/>
      <c r="AR425" s="320"/>
      <c r="AS425" s="320"/>
      <c r="AT425" s="320"/>
      <c r="AU425" s="119"/>
      <c r="BF425">
        <f>ROWS($U$46:U425)</f>
        <v>380</v>
      </c>
      <c r="BG425" t="str">
        <f t="shared" si="209"/>
        <v/>
      </c>
    </row>
    <row r="426" spans="12:59" ht="15" customHeight="1" x14ac:dyDescent="0.35">
      <c r="L426" s="10" t="s">
        <v>2108</v>
      </c>
      <c r="O426" s="330">
        <v>2</v>
      </c>
      <c r="P426" s="36">
        <v>729689</v>
      </c>
      <c r="Q426" s="36">
        <v>39</v>
      </c>
      <c r="R426" s="36"/>
      <c r="S426" s="36" t="s">
        <v>1398</v>
      </c>
      <c r="T426" s="36" t="s">
        <v>1174</v>
      </c>
      <c r="U426" s="36">
        <v>1055117</v>
      </c>
      <c r="V426" s="165" t="s">
        <v>88</v>
      </c>
      <c r="W426" s="36">
        <v>1</v>
      </c>
      <c r="X426" s="36">
        <v>2</v>
      </c>
      <c r="Y426" s="36">
        <v>2</v>
      </c>
      <c r="Z426" s="36">
        <v>2</v>
      </c>
      <c r="AA426" s="36">
        <v>2</v>
      </c>
      <c r="AB426" s="36">
        <v>2</v>
      </c>
      <c r="AC426" s="36">
        <v>2</v>
      </c>
      <c r="AD426" s="36">
        <v>3</v>
      </c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27"/>
      <c r="BF426">
        <f>ROWS($U$46:U426)</f>
        <v>381</v>
      </c>
      <c r="BG426" t="str">
        <f t="shared" si="209"/>
        <v/>
      </c>
    </row>
    <row r="427" spans="12:59" ht="15" customHeight="1" x14ac:dyDescent="0.35">
      <c r="L427" s="10" t="s">
        <v>2134</v>
      </c>
      <c r="O427" s="330">
        <v>3</v>
      </c>
      <c r="P427" s="36">
        <v>418525</v>
      </c>
      <c r="Q427" s="36">
        <v>6</v>
      </c>
      <c r="R427" s="36"/>
      <c r="S427" s="36" t="s">
        <v>1398</v>
      </c>
      <c r="T427" s="36" t="s">
        <v>1174</v>
      </c>
      <c r="U427" s="36">
        <v>1055117</v>
      </c>
      <c r="V427" s="165" t="s">
        <v>89</v>
      </c>
      <c r="W427" s="36">
        <v>2</v>
      </c>
      <c r="X427" s="36">
        <v>2</v>
      </c>
      <c r="Y427" s="36">
        <v>2</v>
      </c>
      <c r="Z427" s="36">
        <v>2</v>
      </c>
      <c r="AA427" s="36">
        <v>2</v>
      </c>
      <c r="AB427" s="36">
        <v>2</v>
      </c>
      <c r="AC427" s="36">
        <v>2</v>
      </c>
      <c r="AD427" s="36">
        <v>3</v>
      </c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27"/>
      <c r="BF427">
        <f>ROWS($U$46:U427)</f>
        <v>382</v>
      </c>
      <c r="BG427" t="str">
        <f t="shared" si="209"/>
        <v/>
      </c>
    </row>
    <row r="428" spans="12:59" ht="15" customHeight="1" x14ac:dyDescent="0.35">
      <c r="L428" s="10" t="s">
        <v>2120</v>
      </c>
      <c r="O428" s="330"/>
      <c r="P428" s="36"/>
      <c r="Q428" s="36"/>
      <c r="R428" s="36"/>
      <c r="S428" s="36" t="s">
        <v>1398</v>
      </c>
      <c r="T428" s="36" t="s">
        <v>1174</v>
      </c>
      <c r="U428" s="36">
        <v>1055117</v>
      </c>
      <c r="V428" s="165" t="s">
        <v>90</v>
      </c>
      <c r="W428" s="36">
        <v>1</v>
      </c>
      <c r="X428" s="36">
        <v>2</v>
      </c>
      <c r="Y428" s="36">
        <v>2</v>
      </c>
      <c r="Z428" s="36">
        <v>2</v>
      </c>
      <c r="AA428" s="36">
        <v>2</v>
      </c>
      <c r="AB428" s="36">
        <v>2</v>
      </c>
      <c r="AC428" s="36">
        <v>2</v>
      </c>
      <c r="AD428" s="36">
        <v>3</v>
      </c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27"/>
      <c r="BF428">
        <f>ROWS($U$46:U428)</f>
        <v>383</v>
      </c>
      <c r="BG428" t="str">
        <f t="shared" si="209"/>
        <v/>
      </c>
    </row>
    <row r="429" spans="12:59" ht="15" customHeight="1" x14ac:dyDescent="0.35">
      <c r="L429" s="10" t="s">
        <v>2117</v>
      </c>
      <c r="O429" s="330"/>
      <c r="P429" s="36"/>
      <c r="Q429" s="36"/>
      <c r="R429" s="36"/>
      <c r="S429" s="36" t="s">
        <v>1398</v>
      </c>
      <c r="T429" s="36" t="s">
        <v>1174</v>
      </c>
      <c r="U429" s="36">
        <v>1055117</v>
      </c>
      <c r="V429" s="165" t="s">
        <v>91</v>
      </c>
      <c r="W429" s="36">
        <v>2</v>
      </c>
      <c r="X429" s="36">
        <v>2</v>
      </c>
      <c r="Y429" s="36">
        <v>2</v>
      </c>
      <c r="Z429" s="36">
        <v>2</v>
      </c>
      <c r="AA429" s="36">
        <v>2</v>
      </c>
      <c r="AB429" s="36">
        <v>2</v>
      </c>
      <c r="AC429" s="36">
        <v>2</v>
      </c>
      <c r="AD429" s="36">
        <v>3</v>
      </c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27"/>
      <c r="BF429">
        <f>ROWS($U$46:U429)</f>
        <v>384</v>
      </c>
      <c r="BG429" t="str">
        <f t="shared" si="209"/>
        <v/>
      </c>
    </row>
    <row r="430" spans="12:59" ht="15" customHeight="1" thickBot="1" x14ac:dyDescent="0.4">
      <c r="L430" s="10" t="s">
        <v>1404</v>
      </c>
      <c r="O430" s="331"/>
      <c r="P430" s="328"/>
      <c r="Q430" s="328"/>
      <c r="R430" s="328"/>
      <c r="S430" s="328" t="s">
        <v>1398</v>
      </c>
      <c r="T430" s="328" t="s">
        <v>1174</v>
      </c>
      <c r="U430" s="328">
        <v>1055117</v>
      </c>
      <c r="V430" s="327" t="s">
        <v>92</v>
      </c>
      <c r="W430" s="328">
        <v>1</v>
      </c>
      <c r="X430" s="328">
        <v>2</v>
      </c>
      <c r="Y430" s="328">
        <v>2</v>
      </c>
      <c r="Z430" s="328">
        <v>2</v>
      </c>
      <c r="AA430" s="328">
        <v>2</v>
      </c>
      <c r="AB430" s="328">
        <v>2</v>
      </c>
      <c r="AC430" s="328">
        <v>2</v>
      </c>
      <c r="AD430" s="328">
        <v>3</v>
      </c>
      <c r="AE430" s="328"/>
      <c r="AF430" s="328"/>
      <c r="AG430" s="328"/>
      <c r="AH430" s="328"/>
      <c r="AI430" s="328"/>
      <c r="AJ430" s="328"/>
      <c r="AK430" s="328"/>
      <c r="AL430" s="328"/>
      <c r="AM430" s="328"/>
      <c r="AN430" s="328"/>
      <c r="AO430" s="328"/>
      <c r="AP430" s="328"/>
      <c r="AQ430" s="328"/>
      <c r="AR430" s="328"/>
      <c r="AS430" s="328"/>
      <c r="AT430" s="328"/>
      <c r="AU430" s="31"/>
      <c r="BF430">
        <f>ROWS($U$46:U430)</f>
        <v>385</v>
      </c>
      <c r="BG430" t="str">
        <f t="shared" si="209"/>
        <v/>
      </c>
    </row>
    <row r="431" spans="12:59" ht="15" customHeight="1" x14ac:dyDescent="0.35">
      <c r="L431" s="10" t="s">
        <v>1320</v>
      </c>
      <c r="O431" s="329">
        <v>1</v>
      </c>
      <c r="P431" s="320">
        <v>738227</v>
      </c>
      <c r="Q431" s="320">
        <v>10</v>
      </c>
      <c r="R431" s="320"/>
      <c r="S431" s="320" t="s">
        <v>1179</v>
      </c>
      <c r="T431" s="320" t="s">
        <v>1180</v>
      </c>
      <c r="U431" s="320">
        <v>1102437</v>
      </c>
      <c r="V431" s="319" t="s">
        <v>87</v>
      </c>
      <c r="W431" s="320">
        <v>1</v>
      </c>
      <c r="X431" s="320">
        <v>1</v>
      </c>
      <c r="Y431" s="320">
        <v>1</v>
      </c>
      <c r="Z431" s="320">
        <v>2</v>
      </c>
      <c r="AA431" s="320">
        <v>3</v>
      </c>
      <c r="AB431" s="320">
        <v>4</v>
      </c>
      <c r="AC431" s="320">
        <v>4</v>
      </c>
      <c r="AD431" s="320">
        <v>6</v>
      </c>
      <c r="AE431" s="320"/>
      <c r="AF431" s="320">
        <v>5</v>
      </c>
      <c r="AG431" s="320">
        <v>5</v>
      </c>
      <c r="AH431" s="320">
        <v>5</v>
      </c>
      <c r="AI431" s="320"/>
      <c r="AJ431" s="320"/>
      <c r="AK431" s="320"/>
      <c r="AL431" s="320"/>
      <c r="AM431" s="320"/>
      <c r="AN431" s="320"/>
      <c r="AO431" s="320"/>
      <c r="AP431" s="320"/>
      <c r="AQ431" s="320"/>
      <c r="AR431" s="320"/>
      <c r="AS431" s="320"/>
      <c r="AT431" s="320"/>
      <c r="AU431" s="320"/>
      <c r="AV431" s="320"/>
      <c r="AW431" s="320"/>
      <c r="AX431" s="320"/>
      <c r="AY431" s="952"/>
      <c r="AZ431" s="36"/>
      <c r="BA431" s="36"/>
      <c r="BB431" s="36"/>
      <c r="BC431" s="36"/>
      <c r="BD431" s="36"/>
      <c r="BF431">
        <f>ROWS($U$46:U431)</f>
        <v>386</v>
      </c>
      <c r="BG431" t="str">
        <f t="shared" ref="BG431:BG494" si="210">IF(VALUE(SUBSTITUTE($B$5,"M",""))=U431,BF431,"")</f>
        <v/>
      </c>
    </row>
    <row r="432" spans="12:59" ht="15" customHeight="1" x14ac:dyDescent="0.35">
      <c r="L432" s="10" t="s">
        <v>2084</v>
      </c>
      <c r="O432" s="330">
        <v>2</v>
      </c>
      <c r="P432" s="36">
        <v>738228</v>
      </c>
      <c r="Q432" s="36">
        <v>8</v>
      </c>
      <c r="R432" s="36"/>
      <c r="S432" s="36" t="s">
        <v>1179</v>
      </c>
      <c r="T432" s="36" t="s">
        <v>1180</v>
      </c>
      <c r="U432" s="36">
        <v>1102437</v>
      </c>
      <c r="V432" s="165" t="s">
        <v>88</v>
      </c>
      <c r="W432" s="36">
        <v>2</v>
      </c>
      <c r="X432" s="36">
        <v>1</v>
      </c>
      <c r="Y432" s="36">
        <v>3</v>
      </c>
      <c r="Z432" s="36">
        <v>4</v>
      </c>
      <c r="AA432" s="36">
        <v>4</v>
      </c>
      <c r="AB432" s="36">
        <v>6</v>
      </c>
      <c r="AC432" s="36"/>
      <c r="AD432" s="36"/>
      <c r="AE432" s="36"/>
      <c r="AF432" s="36">
        <v>5</v>
      </c>
      <c r="AG432" s="36">
        <v>5</v>
      </c>
      <c r="AH432" s="36">
        <v>5</v>
      </c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953"/>
      <c r="AZ432" s="36"/>
      <c r="BA432" s="36"/>
      <c r="BB432" s="36"/>
      <c r="BC432" s="36"/>
      <c r="BD432" s="36"/>
      <c r="BF432">
        <f>ROWS($U$46:U432)</f>
        <v>387</v>
      </c>
      <c r="BG432" t="str">
        <f t="shared" si="210"/>
        <v/>
      </c>
    </row>
    <row r="433" spans="12:59" ht="15" customHeight="1" x14ac:dyDescent="0.35">
      <c r="L433" s="10" t="s">
        <v>850</v>
      </c>
      <c r="O433" s="330">
        <v>3</v>
      </c>
      <c r="P433" s="36">
        <v>661066</v>
      </c>
      <c r="Q433" s="36">
        <v>6</v>
      </c>
      <c r="R433" s="36"/>
      <c r="S433" s="36" t="s">
        <v>1179</v>
      </c>
      <c r="T433" s="36" t="s">
        <v>1180</v>
      </c>
      <c r="U433" s="36">
        <v>1102437</v>
      </c>
      <c r="V433" s="165" t="s">
        <v>89</v>
      </c>
      <c r="W433" s="36">
        <v>1</v>
      </c>
      <c r="X433" s="36">
        <v>1</v>
      </c>
      <c r="Y433" s="36">
        <v>2</v>
      </c>
      <c r="Z433" s="36">
        <v>3</v>
      </c>
      <c r="AA433" s="36">
        <v>4</v>
      </c>
      <c r="AB433" s="36">
        <v>4</v>
      </c>
      <c r="AC433" s="36">
        <v>6</v>
      </c>
      <c r="AD433" s="36"/>
      <c r="AE433" s="36"/>
      <c r="AF433" s="36">
        <v>5</v>
      </c>
      <c r="AG433" s="36">
        <v>5</v>
      </c>
      <c r="AH433" s="36">
        <v>5</v>
      </c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953"/>
      <c r="AZ433" s="36"/>
      <c r="BA433" s="36"/>
      <c r="BB433" s="36"/>
      <c r="BC433" s="36"/>
      <c r="BD433" s="36"/>
      <c r="BF433">
        <f>ROWS($U$46:U433)</f>
        <v>388</v>
      </c>
      <c r="BG433" t="str">
        <f t="shared" si="210"/>
        <v/>
      </c>
    </row>
    <row r="434" spans="12:59" ht="15" customHeight="1" x14ac:dyDescent="0.35">
      <c r="L434" s="10" t="s">
        <v>1451</v>
      </c>
      <c r="O434" s="330">
        <v>4</v>
      </c>
      <c r="P434" s="36">
        <v>661065</v>
      </c>
      <c r="Q434" s="36">
        <v>12</v>
      </c>
      <c r="R434" s="36"/>
      <c r="S434" s="36" t="s">
        <v>1179</v>
      </c>
      <c r="T434" s="36" t="s">
        <v>1180</v>
      </c>
      <c r="U434" s="36">
        <v>1102437</v>
      </c>
      <c r="V434" s="165" t="s">
        <v>90</v>
      </c>
      <c r="W434" s="36">
        <v>2</v>
      </c>
      <c r="X434" s="36">
        <v>3</v>
      </c>
      <c r="Y434" s="36">
        <v>4</v>
      </c>
      <c r="Z434" s="36">
        <v>4</v>
      </c>
      <c r="AA434" s="36">
        <v>6</v>
      </c>
      <c r="AB434" s="36"/>
      <c r="AC434" s="36"/>
      <c r="AD434" s="36"/>
      <c r="AE434" s="36"/>
      <c r="AF434" s="36">
        <v>5</v>
      </c>
      <c r="AG434" s="36">
        <v>5</v>
      </c>
      <c r="AH434" s="36">
        <v>5</v>
      </c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W434" s="36"/>
      <c r="AX434" s="36"/>
      <c r="AY434" s="953"/>
      <c r="AZ434" s="36"/>
      <c r="BA434" s="36"/>
      <c r="BB434" s="36"/>
      <c r="BC434" s="36"/>
      <c r="BD434" s="36"/>
      <c r="BF434">
        <f>ROWS($U$46:U434)</f>
        <v>389</v>
      </c>
      <c r="BG434" t="str">
        <f t="shared" si="210"/>
        <v/>
      </c>
    </row>
    <row r="435" spans="12:59" ht="15" customHeight="1" x14ac:dyDescent="0.35">
      <c r="L435" s="10" t="s">
        <v>1874</v>
      </c>
      <c r="O435" s="330">
        <v>5</v>
      </c>
      <c r="P435" s="36">
        <v>976348</v>
      </c>
      <c r="Q435" s="36">
        <v>21</v>
      </c>
      <c r="R435" s="36"/>
      <c r="S435" s="36" t="s">
        <v>1179</v>
      </c>
      <c r="T435" s="36" t="s">
        <v>1180</v>
      </c>
      <c r="U435" s="36">
        <v>1102437</v>
      </c>
      <c r="V435" s="165" t="s">
        <v>91</v>
      </c>
      <c r="W435" s="36">
        <v>1</v>
      </c>
      <c r="X435" s="36">
        <v>1</v>
      </c>
      <c r="Y435" s="36">
        <v>2</v>
      </c>
      <c r="Z435" s="36">
        <v>2</v>
      </c>
      <c r="AA435" s="36">
        <v>4</v>
      </c>
      <c r="AB435" s="36">
        <v>4</v>
      </c>
      <c r="AC435" s="36">
        <v>6</v>
      </c>
      <c r="AD435" s="36"/>
      <c r="AE435" s="36"/>
      <c r="AF435" s="36">
        <v>5</v>
      </c>
      <c r="AG435" s="36">
        <v>5</v>
      </c>
      <c r="AH435" s="36">
        <v>5</v>
      </c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  <c r="AY435" s="953"/>
      <c r="AZ435" s="36"/>
      <c r="BA435" s="36"/>
      <c r="BB435" s="36"/>
      <c r="BC435" s="36"/>
      <c r="BD435" s="36"/>
      <c r="BF435">
        <f>ROWS($U$46:U435)</f>
        <v>390</v>
      </c>
      <c r="BG435" t="str">
        <f t="shared" si="210"/>
        <v/>
      </c>
    </row>
    <row r="436" spans="12:59" ht="15" customHeight="1" x14ac:dyDescent="0.35">
      <c r="L436" s="10" t="s">
        <v>851</v>
      </c>
      <c r="O436" s="330">
        <v>6</v>
      </c>
      <c r="P436" s="36">
        <v>418525</v>
      </c>
      <c r="Q436" s="36">
        <v>7</v>
      </c>
      <c r="R436" s="36"/>
      <c r="S436" s="36" t="s">
        <v>1179</v>
      </c>
      <c r="T436" s="36" t="s">
        <v>1180</v>
      </c>
      <c r="U436" s="36">
        <v>1102437</v>
      </c>
      <c r="V436" s="165" t="s">
        <v>92</v>
      </c>
      <c r="W436" s="36">
        <v>2</v>
      </c>
      <c r="X436" s="36">
        <v>1</v>
      </c>
      <c r="Y436" s="36">
        <v>3</v>
      </c>
      <c r="Z436" s="36">
        <v>4</v>
      </c>
      <c r="AA436" s="36">
        <v>6</v>
      </c>
      <c r="AB436" s="36"/>
      <c r="AC436" s="36"/>
      <c r="AD436" s="36"/>
      <c r="AE436" s="36"/>
      <c r="AF436" s="36">
        <v>5</v>
      </c>
      <c r="AG436" s="36">
        <v>5</v>
      </c>
      <c r="AH436" s="36">
        <v>5</v>
      </c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  <c r="AW436" s="36"/>
      <c r="AX436" s="36"/>
      <c r="AY436" s="953"/>
      <c r="AZ436" s="36"/>
      <c r="BA436" s="36"/>
      <c r="BB436" s="36"/>
      <c r="BC436" s="36"/>
      <c r="BD436" s="36"/>
      <c r="BF436">
        <f>ROWS($U$46:U436)</f>
        <v>391</v>
      </c>
      <c r="BG436" t="str">
        <f t="shared" si="210"/>
        <v/>
      </c>
    </row>
    <row r="437" spans="12:59" ht="15" customHeight="1" thickBot="1" x14ac:dyDescent="0.4">
      <c r="L437" s="10" t="s">
        <v>2091</v>
      </c>
      <c r="O437" s="485"/>
      <c r="P437" s="486"/>
      <c r="Q437" s="486"/>
      <c r="R437" s="486"/>
      <c r="S437" s="486" t="s">
        <v>1179</v>
      </c>
      <c r="T437" s="486" t="s">
        <v>1180</v>
      </c>
      <c r="U437" s="486">
        <v>1102437</v>
      </c>
      <c r="V437" s="487" t="s">
        <v>111</v>
      </c>
      <c r="W437" s="486">
        <v>2</v>
      </c>
      <c r="X437" s="486">
        <v>1</v>
      </c>
      <c r="Y437" s="486">
        <v>3</v>
      </c>
      <c r="Z437" s="486">
        <v>4</v>
      </c>
      <c r="AA437" s="486">
        <v>6</v>
      </c>
      <c r="AB437" s="486"/>
      <c r="AC437" s="486"/>
      <c r="AD437" s="486"/>
      <c r="AE437" s="486"/>
      <c r="AF437" s="486">
        <v>5</v>
      </c>
      <c r="AG437" s="486">
        <v>5</v>
      </c>
      <c r="AH437" s="486">
        <v>5</v>
      </c>
      <c r="AI437" s="486"/>
      <c r="AJ437" s="486"/>
      <c r="AK437" s="486"/>
      <c r="AL437" s="486"/>
      <c r="AM437" s="486"/>
      <c r="AN437" s="486"/>
      <c r="AO437" s="486"/>
      <c r="AP437" s="486"/>
      <c r="AQ437" s="486"/>
      <c r="AR437" s="486"/>
      <c r="AS437" s="486"/>
      <c r="AT437" s="486"/>
      <c r="AU437" s="486"/>
      <c r="AV437" s="486"/>
      <c r="AW437" s="486"/>
      <c r="AX437" s="486"/>
      <c r="AY437" s="151"/>
      <c r="AZ437" s="36"/>
      <c r="BA437" s="36"/>
      <c r="BB437" s="36"/>
      <c r="BC437" s="36"/>
      <c r="BD437" s="36"/>
      <c r="BF437">
        <f>ROWS($U$46:U437)</f>
        <v>392</v>
      </c>
      <c r="BG437" t="str">
        <f t="shared" si="210"/>
        <v/>
      </c>
    </row>
    <row r="438" spans="12:59" ht="15" customHeight="1" x14ac:dyDescent="0.35">
      <c r="L438" s="10" t="s">
        <v>1402</v>
      </c>
      <c r="O438" s="329">
        <v>1</v>
      </c>
      <c r="P438" s="320">
        <v>773383</v>
      </c>
      <c r="Q438" s="320">
        <v>4</v>
      </c>
      <c r="R438" s="320"/>
      <c r="S438" s="320" t="s">
        <v>1187</v>
      </c>
      <c r="T438" s="320" t="s">
        <v>873</v>
      </c>
      <c r="U438" s="320">
        <v>803492</v>
      </c>
      <c r="V438" s="319" t="s">
        <v>87</v>
      </c>
      <c r="W438" s="320">
        <v>2</v>
      </c>
      <c r="X438" s="320">
        <v>2</v>
      </c>
      <c r="Y438" s="320">
        <v>2</v>
      </c>
      <c r="Z438" s="320">
        <v>2</v>
      </c>
      <c r="AA438" s="320">
        <v>3</v>
      </c>
      <c r="AB438" s="320">
        <v>4</v>
      </c>
      <c r="AC438" s="320"/>
      <c r="AD438" s="320">
        <v>5</v>
      </c>
      <c r="AE438" s="320"/>
      <c r="AF438" s="320"/>
      <c r="AG438" s="320"/>
      <c r="AH438" s="320"/>
      <c r="AI438" s="320"/>
      <c r="AJ438" s="320"/>
      <c r="AK438" s="320"/>
      <c r="AL438" s="320"/>
      <c r="AM438" s="320"/>
      <c r="AN438" s="320"/>
      <c r="AO438" s="320"/>
      <c r="AP438" s="320"/>
      <c r="AQ438" s="320"/>
      <c r="AR438" s="320"/>
      <c r="AS438" s="320"/>
      <c r="AT438" s="320"/>
      <c r="AU438" s="320"/>
      <c r="AV438" s="320"/>
      <c r="AW438" s="320"/>
      <c r="AX438" s="320"/>
      <c r="AY438" s="952"/>
      <c r="AZ438" s="36"/>
      <c r="BA438" s="36"/>
      <c r="BB438" s="36"/>
      <c r="BC438" s="36"/>
      <c r="BD438" s="36"/>
      <c r="BF438">
        <f>ROWS($U$46:U438)</f>
        <v>393</v>
      </c>
      <c r="BG438" t="str">
        <f t="shared" si="210"/>
        <v/>
      </c>
    </row>
    <row r="439" spans="12:59" ht="15" customHeight="1" x14ac:dyDescent="0.35">
      <c r="L439" s="10" t="s">
        <v>1851</v>
      </c>
      <c r="O439" s="330">
        <v>2</v>
      </c>
      <c r="P439" s="36">
        <v>745171</v>
      </c>
      <c r="Q439" s="36">
        <v>28</v>
      </c>
      <c r="R439" s="36"/>
      <c r="S439" s="36" t="s">
        <v>1187</v>
      </c>
      <c r="T439" s="36" t="s">
        <v>873</v>
      </c>
      <c r="U439" s="36">
        <v>803492</v>
      </c>
      <c r="V439" s="165" t="s">
        <v>88</v>
      </c>
      <c r="W439" s="36">
        <v>1</v>
      </c>
      <c r="X439" s="36">
        <v>2</v>
      </c>
      <c r="Y439" s="36">
        <v>2</v>
      </c>
      <c r="Z439" s="36">
        <v>2</v>
      </c>
      <c r="AA439" s="36">
        <v>3</v>
      </c>
      <c r="AB439" s="36">
        <v>4</v>
      </c>
      <c r="AC439" s="36"/>
      <c r="AD439" s="36">
        <v>5</v>
      </c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953"/>
      <c r="AZ439" s="36"/>
      <c r="BA439" s="36"/>
      <c r="BB439" s="36"/>
      <c r="BC439" s="36"/>
      <c r="BD439" s="36"/>
      <c r="BF439">
        <f>ROWS($U$46:U439)</f>
        <v>394</v>
      </c>
      <c r="BG439" t="str">
        <f t="shared" si="210"/>
        <v/>
      </c>
    </row>
    <row r="440" spans="12:59" ht="15" customHeight="1" x14ac:dyDescent="0.35">
      <c r="L440" s="10" t="s">
        <v>1143</v>
      </c>
      <c r="O440" s="330">
        <v>3</v>
      </c>
      <c r="P440" s="36">
        <v>717749</v>
      </c>
      <c r="Q440" s="36">
        <v>8</v>
      </c>
      <c r="R440" s="36"/>
      <c r="S440" s="36" t="s">
        <v>1187</v>
      </c>
      <c r="T440" s="36" t="s">
        <v>873</v>
      </c>
      <c r="U440" s="36">
        <v>803492</v>
      </c>
      <c r="V440" s="165" t="s">
        <v>89</v>
      </c>
      <c r="W440" s="36">
        <v>2</v>
      </c>
      <c r="X440" s="36">
        <v>2</v>
      </c>
      <c r="Y440" s="36">
        <v>2</v>
      </c>
      <c r="Z440" s="36">
        <v>2</v>
      </c>
      <c r="AA440" s="36">
        <v>3</v>
      </c>
      <c r="AB440" s="36">
        <v>4</v>
      </c>
      <c r="AC440" s="36"/>
      <c r="AD440" s="36">
        <v>5</v>
      </c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953"/>
      <c r="AZ440" s="36"/>
      <c r="BA440" s="36"/>
      <c r="BB440" s="36"/>
      <c r="BC440" s="36"/>
      <c r="BD440" s="36"/>
      <c r="BF440">
        <f>ROWS($U$46:U440)</f>
        <v>395</v>
      </c>
      <c r="BG440" t="str">
        <f t="shared" si="210"/>
        <v/>
      </c>
    </row>
    <row r="441" spans="12:59" ht="15" customHeight="1" x14ac:dyDescent="0.35">
      <c r="L441" s="10" t="s">
        <v>852</v>
      </c>
      <c r="O441" s="330">
        <v>4</v>
      </c>
      <c r="P441" s="36">
        <v>418525</v>
      </c>
      <c r="Q441" s="36">
        <v>8</v>
      </c>
      <c r="R441" s="36"/>
      <c r="S441" s="36" t="s">
        <v>1187</v>
      </c>
      <c r="T441" s="36" t="s">
        <v>873</v>
      </c>
      <c r="U441" s="36">
        <v>803492</v>
      </c>
      <c r="V441" s="165" t="s">
        <v>90</v>
      </c>
      <c r="W441" s="36">
        <v>1</v>
      </c>
      <c r="X441" s="36">
        <v>2</v>
      </c>
      <c r="Y441" s="36">
        <v>2</v>
      </c>
      <c r="Z441" s="36">
        <v>2</v>
      </c>
      <c r="AA441" s="36">
        <v>3</v>
      </c>
      <c r="AB441" s="36">
        <v>4</v>
      </c>
      <c r="AC441" s="36"/>
      <c r="AD441" s="36">
        <v>5</v>
      </c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  <c r="AW441" s="36"/>
      <c r="AX441" s="36"/>
      <c r="AY441" s="953"/>
      <c r="AZ441" s="36"/>
      <c r="BA441" s="36"/>
      <c r="BB441" s="36"/>
      <c r="BC441" s="36"/>
      <c r="BD441" s="36"/>
      <c r="BF441">
        <f>ROWS($U$46:U441)</f>
        <v>396</v>
      </c>
      <c r="BG441" t="str">
        <f t="shared" si="210"/>
        <v/>
      </c>
    </row>
    <row r="442" spans="12:59" ht="15" customHeight="1" x14ac:dyDescent="0.35">
      <c r="L442" s="10" t="s">
        <v>2080</v>
      </c>
      <c r="O442" s="330">
        <v>5</v>
      </c>
      <c r="P442" s="36">
        <v>176086</v>
      </c>
      <c r="Q442" s="36">
        <v>8</v>
      </c>
      <c r="R442" s="36"/>
      <c r="S442" s="36" t="s">
        <v>1187</v>
      </c>
      <c r="T442" s="36" t="s">
        <v>873</v>
      </c>
      <c r="U442" s="36">
        <v>803492</v>
      </c>
      <c r="V442" s="165" t="s">
        <v>91</v>
      </c>
      <c r="W442" s="36">
        <v>2</v>
      </c>
      <c r="X442" s="36">
        <v>2</v>
      </c>
      <c r="Y442" s="36">
        <v>2</v>
      </c>
      <c r="Z442" s="36">
        <v>2</v>
      </c>
      <c r="AA442" s="36">
        <v>3</v>
      </c>
      <c r="AB442" s="36">
        <v>4</v>
      </c>
      <c r="AC442" s="36"/>
      <c r="AD442" s="36">
        <v>5</v>
      </c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953"/>
      <c r="AZ442" s="36"/>
      <c r="BA442" s="36"/>
      <c r="BB442" s="36"/>
      <c r="BC442" s="36"/>
      <c r="BD442" s="36"/>
      <c r="BF442">
        <f>ROWS($U$46:U442)</f>
        <v>397</v>
      </c>
      <c r="BG442" t="str">
        <f t="shared" si="210"/>
        <v/>
      </c>
    </row>
    <row r="443" spans="12:59" ht="15" customHeight="1" x14ac:dyDescent="0.35">
      <c r="L443" s="10" t="s">
        <v>1252</v>
      </c>
      <c r="O443" s="330"/>
      <c r="P443" s="36"/>
      <c r="Q443" s="36"/>
      <c r="R443" s="36"/>
      <c r="S443" s="36" t="s">
        <v>1187</v>
      </c>
      <c r="T443" s="36" t="s">
        <v>873</v>
      </c>
      <c r="U443" s="36">
        <v>803492</v>
      </c>
      <c r="V443" s="165" t="s">
        <v>92</v>
      </c>
      <c r="W443" s="36">
        <v>1</v>
      </c>
      <c r="X443" s="36">
        <v>2</v>
      </c>
      <c r="Y443" s="36">
        <v>2</v>
      </c>
      <c r="Z443" s="36">
        <v>2</v>
      </c>
      <c r="AA443" s="36">
        <v>3</v>
      </c>
      <c r="AB443" s="36">
        <v>4</v>
      </c>
      <c r="AC443" s="36"/>
      <c r="AD443" s="36">
        <v>5</v>
      </c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953"/>
      <c r="AZ443" s="36"/>
      <c r="BA443" s="36"/>
      <c r="BB443" s="36"/>
      <c r="BC443" s="36"/>
      <c r="BD443" s="36"/>
      <c r="BF443">
        <f>ROWS($U$46:U443)</f>
        <v>398</v>
      </c>
      <c r="BG443" t="str">
        <f t="shared" si="210"/>
        <v/>
      </c>
    </row>
    <row r="444" spans="12:59" ht="15" customHeight="1" x14ac:dyDescent="0.35">
      <c r="L444" s="10" t="s">
        <v>1245</v>
      </c>
      <c r="O444" s="330"/>
      <c r="P444" s="36"/>
      <c r="Q444" s="36"/>
      <c r="R444" s="36"/>
      <c r="S444" s="36" t="s">
        <v>1187</v>
      </c>
      <c r="T444" s="36" t="s">
        <v>873</v>
      </c>
      <c r="U444" s="36">
        <v>803492</v>
      </c>
      <c r="V444" s="165" t="s">
        <v>111</v>
      </c>
      <c r="W444" s="36">
        <v>2</v>
      </c>
      <c r="X444" s="36">
        <v>2</v>
      </c>
      <c r="Y444" s="36">
        <v>2</v>
      </c>
      <c r="Z444" s="36">
        <v>2</v>
      </c>
      <c r="AA444" s="36">
        <v>3</v>
      </c>
      <c r="AB444" s="36">
        <v>4</v>
      </c>
      <c r="AC444" s="36"/>
      <c r="AD444" s="36">
        <v>5</v>
      </c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953"/>
      <c r="AZ444" s="36"/>
      <c r="BA444" s="36"/>
      <c r="BB444" s="36"/>
      <c r="BC444" s="36"/>
      <c r="BD444" s="36"/>
      <c r="BF444">
        <f>ROWS($U$46:U444)</f>
        <v>399</v>
      </c>
      <c r="BG444" t="str">
        <f t="shared" si="210"/>
        <v/>
      </c>
    </row>
    <row r="445" spans="12:59" ht="15" customHeight="1" thickBot="1" x14ac:dyDescent="0.4">
      <c r="L445" s="10" t="s">
        <v>1392</v>
      </c>
      <c r="O445" s="331"/>
      <c r="P445" s="328"/>
      <c r="Q445" s="328"/>
      <c r="R445" s="328"/>
      <c r="S445" s="328" t="s">
        <v>1187</v>
      </c>
      <c r="T445" s="328" t="s">
        <v>873</v>
      </c>
      <c r="U445" s="328">
        <v>803492</v>
      </c>
      <c r="V445" s="165" t="s">
        <v>112</v>
      </c>
      <c r="W445" s="328">
        <v>1</v>
      </c>
      <c r="X445" s="328">
        <v>2</v>
      </c>
      <c r="Y445" s="328">
        <v>2</v>
      </c>
      <c r="Z445" s="328">
        <v>2</v>
      </c>
      <c r="AA445" s="328">
        <v>3</v>
      </c>
      <c r="AB445" s="328">
        <v>4</v>
      </c>
      <c r="AC445" s="328"/>
      <c r="AD445" s="328">
        <v>5</v>
      </c>
      <c r="AE445" s="328"/>
      <c r="AF445" s="328"/>
      <c r="AG445" s="328"/>
      <c r="AH445" s="328"/>
      <c r="AI445" s="328"/>
      <c r="AJ445" s="328"/>
      <c r="AK445" s="328"/>
      <c r="AL445" s="328"/>
      <c r="AM445" s="328"/>
      <c r="AN445" s="328"/>
      <c r="AO445" s="328"/>
      <c r="AP445" s="328"/>
      <c r="AQ445" s="328"/>
      <c r="AR445" s="328"/>
      <c r="AS445" s="328"/>
      <c r="AT445" s="328"/>
      <c r="AU445" s="328"/>
      <c r="AV445" s="328"/>
      <c r="AW445" s="328"/>
      <c r="AX445" s="328"/>
      <c r="AY445" s="954"/>
      <c r="AZ445" s="36"/>
      <c r="BA445" s="36"/>
      <c r="BB445" s="36"/>
      <c r="BC445" s="36"/>
      <c r="BD445" s="36"/>
      <c r="BF445">
        <f>ROWS($U$46:U445)</f>
        <v>400</v>
      </c>
      <c r="BG445" t="str">
        <f t="shared" si="210"/>
        <v/>
      </c>
    </row>
    <row r="446" spans="12:59" ht="15" customHeight="1" x14ac:dyDescent="0.35">
      <c r="L446" s="10" t="s">
        <v>1253</v>
      </c>
      <c r="O446" s="329"/>
      <c r="P446" s="320"/>
      <c r="Q446" s="320"/>
      <c r="R446" s="320"/>
      <c r="S446" s="320"/>
      <c r="T446" s="320"/>
      <c r="U446" s="320"/>
      <c r="V446" s="319"/>
      <c r="W446" s="320"/>
      <c r="X446" s="320"/>
      <c r="Y446" s="320"/>
      <c r="Z446" s="320"/>
      <c r="AA446" s="320"/>
      <c r="AB446" s="320"/>
      <c r="AC446" s="320"/>
      <c r="AD446" s="320"/>
      <c r="AE446" s="320"/>
      <c r="AF446" s="320"/>
      <c r="AG446" s="320"/>
      <c r="AH446" s="320"/>
      <c r="AI446" s="320"/>
      <c r="AJ446" s="320"/>
      <c r="AK446" s="320"/>
      <c r="AL446" s="320"/>
      <c r="AM446" s="320"/>
      <c r="AN446" s="320"/>
      <c r="AO446" s="320"/>
      <c r="AP446" s="320"/>
      <c r="AQ446" s="320"/>
      <c r="AR446" s="320"/>
      <c r="AS446" s="320"/>
      <c r="AT446" s="320"/>
      <c r="AU446" s="320"/>
      <c r="AV446" s="320"/>
      <c r="AW446" s="320"/>
      <c r="AX446" s="320"/>
      <c r="AY446" s="952"/>
      <c r="AZ446" s="36"/>
      <c r="BA446" s="36"/>
      <c r="BB446" s="36"/>
      <c r="BC446" s="36"/>
      <c r="BD446" s="36"/>
      <c r="BF446">
        <f>ROWS($U$46:U446)</f>
        <v>401</v>
      </c>
      <c r="BG446" t="str">
        <f t="shared" si="210"/>
        <v/>
      </c>
    </row>
    <row r="447" spans="12:59" ht="15" customHeight="1" x14ac:dyDescent="0.35">
      <c r="L447" s="10" t="s">
        <v>1927</v>
      </c>
      <c r="O447" s="330"/>
      <c r="P447" s="36"/>
      <c r="Q447" s="36"/>
      <c r="R447" s="36"/>
      <c r="S447" s="36"/>
      <c r="T447" s="36"/>
      <c r="U447" s="36"/>
      <c r="V447" s="165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  <c r="AX447" s="36"/>
      <c r="AY447" s="953"/>
      <c r="AZ447" s="36"/>
      <c r="BA447" s="36"/>
      <c r="BB447" s="36"/>
      <c r="BC447" s="36"/>
      <c r="BD447" s="36"/>
      <c r="BF447">
        <f>ROWS($U$46:U447)</f>
        <v>402</v>
      </c>
      <c r="BG447" t="str">
        <f t="shared" si="210"/>
        <v/>
      </c>
    </row>
    <row r="448" spans="12:59" ht="15" customHeight="1" x14ac:dyDescent="0.35">
      <c r="L448" s="10" t="s">
        <v>1861</v>
      </c>
      <c r="O448" s="330"/>
      <c r="P448" s="36"/>
      <c r="Q448" s="36"/>
      <c r="R448" s="36"/>
      <c r="S448" s="36"/>
      <c r="T448" s="36"/>
      <c r="U448" s="36"/>
      <c r="V448" s="165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  <c r="AX448" s="36"/>
      <c r="AY448" s="953"/>
      <c r="AZ448" s="36"/>
      <c r="BA448" s="36"/>
      <c r="BB448" s="36"/>
      <c r="BC448" s="36"/>
      <c r="BD448" s="36"/>
      <c r="BF448">
        <f>ROWS($U$46:U448)</f>
        <v>403</v>
      </c>
      <c r="BG448" t="str">
        <f t="shared" si="210"/>
        <v/>
      </c>
    </row>
    <row r="449" spans="12:59" ht="15" customHeight="1" x14ac:dyDescent="0.35">
      <c r="L449" s="10" t="s">
        <v>1445</v>
      </c>
      <c r="O449" s="330"/>
      <c r="P449" s="36"/>
      <c r="Q449" s="36"/>
      <c r="R449" s="36"/>
      <c r="S449" s="36"/>
      <c r="T449" s="36"/>
      <c r="U449" s="36"/>
      <c r="V449" s="165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953"/>
      <c r="AZ449" s="36"/>
      <c r="BA449" s="36"/>
      <c r="BB449" s="36"/>
      <c r="BC449" s="36"/>
      <c r="BD449" s="36"/>
      <c r="BF449">
        <f>ROWS($U$46:U449)</f>
        <v>404</v>
      </c>
      <c r="BG449" t="str">
        <f t="shared" si="210"/>
        <v/>
      </c>
    </row>
    <row r="450" spans="12:59" ht="15" customHeight="1" x14ac:dyDescent="0.35">
      <c r="L450" s="10" t="s">
        <v>1444</v>
      </c>
      <c r="O450" s="330"/>
      <c r="P450" s="36"/>
      <c r="Q450" s="36"/>
      <c r="R450" s="36"/>
      <c r="S450" s="36"/>
      <c r="T450" s="36"/>
      <c r="U450" s="36"/>
      <c r="V450" s="165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953"/>
      <c r="AZ450" s="36"/>
      <c r="BA450" s="36"/>
      <c r="BB450" s="36"/>
      <c r="BC450" s="36"/>
      <c r="BD450" s="36"/>
      <c r="BF450">
        <f>ROWS($U$46:U450)</f>
        <v>405</v>
      </c>
      <c r="BG450" t="str">
        <f t="shared" si="210"/>
        <v/>
      </c>
    </row>
    <row r="451" spans="12:59" ht="15" customHeight="1" x14ac:dyDescent="0.35">
      <c r="L451" s="10" t="s">
        <v>1430</v>
      </c>
      <c r="O451" s="330"/>
      <c r="P451" s="36"/>
      <c r="Q451" s="36"/>
      <c r="R451" s="36"/>
      <c r="S451" s="36"/>
      <c r="T451" s="36"/>
      <c r="U451" s="36"/>
      <c r="V451" s="165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  <c r="AW451" s="36"/>
      <c r="AX451" s="36"/>
      <c r="AY451" s="953"/>
      <c r="AZ451" s="36"/>
      <c r="BA451" s="36"/>
      <c r="BB451" s="36"/>
      <c r="BC451" s="36"/>
      <c r="BD451" s="36"/>
      <c r="BF451">
        <f>ROWS($U$46:U451)</f>
        <v>406</v>
      </c>
      <c r="BG451" t="str">
        <f t="shared" si="210"/>
        <v/>
      </c>
    </row>
    <row r="452" spans="12:59" ht="15" customHeight="1" thickBot="1" x14ac:dyDescent="0.4">
      <c r="L452" s="10" t="s">
        <v>896</v>
      </c>
      <c r="O452" s="485"/>
      <c r="P452" s="486"/>
      <c r="Q452" s="486"/>
      <c r="R452" s="486"/>
      <c r="S452" s="486"/>
      <c r="T452" s="486"/>
      <c r="U452" s="486"/>
      <c r="V452" s="487"/>
      <c r="W452" s="486"/>
      <c r="X452" s="486"/>
      <c r="Y452" s="486"/>
      <c r="Z452" s="486"/>
      <c r="AA452" s="486"/>
      <c r="AB452" s="486"/>
      <c r="AC452" s="486"/>
      <c r="AD452" s="486"/>
      <c r="AE452" s="486"/>
      <c r="AF452" s="486"/>
      <c r="AG452" s="486"/>
      <c r="AH452" s="486"/>
      <c r="AI452" s="486"/>
      <c r="AJ452" s="486"/>
      <c r="AK452" s="486"/>
      <c r="AL452" s="486"/>
      <c r="AM452" s="486"/>
      <c r="AN452" s="486"/>
      <c r="AO452" s="486"/>
      <c r="AP452" s="486"/>
      <c r="AQ452" s="486"/>
      <c r="AR452" s="486"/>
      <c r="AS452" s="486"/>
      <c r="AT452" s="486"/>
      <c r="AU452" s="486"/>
      <c r="AV452" s="486"/>
      <c r="AW452" s="486"/>
      <c r="AX452" s="486"/>
      <c r="AY452" s="151"/>
      <c r="AZ452" s="36"/>
      <c r="BA452" s="36"/>
      <c r="BB452" s="36"/>
      <c r="BC452" s="36"/>
      <c r="BD452" s="36"/>
      <c r="BF452">
        <f>ROWS($U$46:U452)</f>
        <v>407</v>
      </c>
      <c r="BG452" t="str">
        <f t="shared" si="210"/>
        <v/>
      </c>
    </row>
    <row r="453" spans="12:59" ht="15" customHeight="1" x14ac:dyDescent="0.35">
      <c r="L453" s="10" t="s">
        <v>1866</v>
      </c>
      <c r="O453" s="329">
        <v>1</v>
      </c>
      <c r="P453" s="320">
        <v>717747</v>
      </c>
      <c r="Q453" s="320">
        <v>54</v>
      </c>
      <c r="R453" s="320"/>
      <c r="S453" s="320" t="s">
        <v>1187</v>
      </c>
      <c r="T453" s="320" t="s">
        <v>752</v>
      </c>
      <c r="U453" s="320">
        <v>1109628</v>
      </c>
      <c r="V453" s="319" t="s">
        <v>87</v>
      </c>
      <c r="W453" s="320">
        <v>1</v>
      </c>
      <c r="X453" s="320">
        <v>1</v>
      </c>
      <c r="Y453" s="320">
        <v>1</v>
      </c>
      <c r="Z453" s="320">
        <v>1</v>
      </c>
      <c r="AA453" s="320">
        <v>1</v>
      </c>
      <c r="AB453" s="320">
        <v>1</v>
      </c>
      <c r="AC453" s="320">
        <v>2</v>
      </c>
      <c r="AD453" s="320">
        <v>3</v>
      </c>
      <c r="AE453" s="320"/>
      <c r="AF453" s="320"/>
      <c r="AG453" s="320"/>
      <c r="AH453" s="320"/>
      <c r="AI453" s="320"/>
      <c r="AJ453" s="320"/>
      <c r="AK453" s="320"/>
      <c r="AL453" s="320"/>
      <c r="AM453" s="320"/>
      <c r="AN453" s="320"/>
      <c r="AO453" s="320"/>
      <c r="AP453" s="320"/>
      <c r="AQ453" s="320"/>
      <c r="AR453" s="320"/>
      <c r="AS453" s="320"/>
      <c r="AT453" s="320"/>
      <c r="AU453" s="320"/>
      <c r="AV453" s="320"/>
      <c r="AW453" s="320"/>
      <c r="AX453" s="320"/>
      <c r="AY453" s="952"/>
      <c r="AZ453" s="36"/>
      <c r="BA453" s="36"/>
      <c r="BB453" s="36"/>
      <c r="BC453" s="36"/>
      <c r="BD453" s="36"/>
      <c r="BF453">
        <f>ROWS($U$46:U453)</f>
        <v>408</v>
      </c>
      <c r="BG453" t="str">
        <f t="shared" si="210"/>
        <v/>
      </c>
    </row>
    <row r="454" spans="12:59" ht="15" customHeight="1" x14ac:dyDescent="0.35">
      <c r="L454" s="10" t="s">
        <v>1254</v>
      </c>
      <c r="O454" s="330">
        <v>2</v>
      </c>
      <c r="P454" s="36">
        <v>703670</v>
      </c>
      <c r="Q454" s="36">
        <v>12</v>
      </c>
      <c r="R454" s="36"/>
      <c r="S454" s="36" t="s">
        <v>1187</v>
      </c>
      <c r="T454" s="36" t="s">
        <v>752</v>
      </c>
      <c r="U454" s="36">
        <v>1109628</v>
      </c>
      <c r="V454" s="165" t="s">
        <v>88</v>
      </c>
      <c r="W454" s="36">
        <v>1</v>
      </c>
      <c r="X454" s="36">
        <v>1</v>
      </c>
      <c r="Y454" s="36">
        <v>1</v>
      </c>
      <c r="Z454" s="36">
        <v>1</v>
      </c>
      <c r="AA454" s="36">
        <v>1</v>
      </c>
      <c r="AB454" s="36">
        <v>1</v>
      </c>
      <c r="AC454" s="36">
        <v>2</v>
      </c>
      <c r="AD454" s="36">
        <v>2</v>
      </c>
      <c r="AE454" s="36">
        <v>3</v>
      </c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953"/>
      <c r="AZ454" s="36"/>
      <c r="BA454" s="36"/>
      <c r="BB454" s="36"/>
      <c r="BC454" s="36"/>
      <c r="BD454" s="36"/>
      <c r="BF454">
        <f>ROWS($U$46:U454)</f>
        <v>409</v>
      </c>
      <c r="BG454" t="str">
        <f t="shared" si="210"/>
        <v/>
      </c>
    </row>
    <row r="455" spans="12:59" ht="15" customHeight="1" x14ac:dyDescent="0.35">
      <c r="L455" s="10" t="s">
        <v>1211</v>
      </c>
      <c r="O455" s="330">
        <v>3</v>
      </c>
      <c r="P455" s="36">
        <v>418525</v>
      </c>
      <c r="Q455" s="36">
        <v>9</v>
      </c>
      <c r="R455" s="36"/>
      <c r="S455" s="36" t="s">
        <v>1187</v>
      </c>
      <c r="T455" s="36" t="s">
        <v>752</v>
      </c>
      <c r="U455" s="36">
        <v>1109628</v>
      </c>
      <c r="V455" s="165" t="s">
        <v>89</v>
      </c>
      <c r="W455" s="36">
        <v>1</v>
      </c>
      <c r="X455" s="36">
        <v>1</v>
      </c>
      <c r="Y455" s="36">
        <v>1</v>
      </c>
      <c r="Z455" s="36">
        <v>1</v>
      </c>
      <c r="AA455" s="36">
        <v>1</v>
      </c>
      <c r="AB455" s="36">
        <v>1</v>
      </c>
      <c r="AC455" s="36">
        <v>2</v>
      </c>
      <c r="AD455" s="36">
        <v>3</v>
      </c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  <c r="AW455" s="36"/>
      <c r="AX455" s="36"/>
      <c r="AY455" s="953"/>
      <c r="AZ455" s="36"/>
      <c r="BA455" s="36"/>
      <c r="BB455" s="36"/>
      <c r="BC455" s="36"/>
      <c r="BD455" s="36"/>
      <c r="BF455">
        <f>ROWS($U$46:U455)</f>
        <v>410</v>
      </c>
      <c r="BG455" t="str">
        <f t="shared" si="210"/>
        <v/>
      </c>
    </row>
    <row r="456" spans="12:59" ht="15" customHeight="1" x14ac:dyDescent="0.35">
      <c r="L456" s="10" t="s">
        <v>2079</v>
      </c>
      <c r="O456" s="330"/>
      <c r="P456" s="36"/>
      <c r="Q456" s="36"/>
      <c r="R456" s="36"/>
      <c r="S456" s="36" t="s">
        <v>1187</v>
      </c>
      <c r="T456" s="36" t="s">
        <v>752</v>
      </c>
      <c r="U456" s="36">
        <v>1109628</v>
      </c>
      <c r="V456" s="165" t="s">
        <v>90</v>
      </c>
      <c r="W456" s="36">
        <v>1</v>
      </c>
      <c r="X456" s="36">
        <v>1</v>
      </c>
      <c r="Y456" s="36">
        <v>1</v>
      </c>
      <c r="Z456" s="36">
        <v>1</v>
      </c>
      <c r="AA456" s="36">
        <v>1</v>
      </c>
      <c r="AB456" s="36">
        <v>1</v>
      </c>
      <c r="AC456" s="36">
        <v>2</v>
      </c>
      <c r="AD456" s="36">
        <v>3</v>
      </c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  <c r="AX456" s="36"/>
      <c r="AY456" s="953"/>
      <c r="AZ456" s="36"/>
      <c r="BA456" s="36"/>
      <c r="BB456" s="36"/>
      <c r="BC456" s="36"/>
      <c r="BD456" s="36"/>
      <c r="BF456">
        <f>ROWS($U$46:U456)</f>
        <v>411</v>
      </c>
      <c r="BG456" t="str">
        <f t="shared" si="210"/>
        <v/>
      </c>
    </row>
    <row r="457" spans="12:59" ht="15" customHeight="1" x14ac:dyDescent="0.35">
      <c r="L457" s="10" t="s">
        <v>1936</v>
      </c>
      <c r="O457" s="330"/>
      <c r="P457" s="36"/>
      <c r="Q457" s="36"/>
      <c r="R457" s="36"/>
      <c r="S457" s="36" t="s">
        <v>1187</v>
      </c>
      <c r="T457" s="36" t="s">
        <v>752</v>
      </c>
      <c r="U457" s="36">
        <v>1109628</v>
      </c>
      <c r="V457" s="165" t="s">
        <v>91</v>
      </c>
      <c r="W457" s="36">
        <v>1</v>
      </c>
      <c r="X457" s="36">
        <v>1</v>
      </c>
      <c r="Y457" s="36">
        <v>1</v>
      </c>
      <c r="Z457" s="36">
        <v>1</v>
      </c>
      <c r="AA457" s="36">
        <v>1</v>
      </c>
      <c r="AB457" s="36">
        <v>1</v>
      </c>
      <c r="AC457" s="36">
        <v>2</v>
      </c>
      <c r="AD457" s="36">
        <v>2</v>
      </c>
      <c r="AE457" s="36">
        <v>3</v>
      </c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953"/>
      <c r="AZ457" s="36"/>
      <c r="BA457" s="36"/>
      <c r="BB457" s="36"/>
      <c r="BC457" s="36"/>
      <c r="BD457" s="36"/>
      <c r="BF457">
        <f>ROWS($U$46:U457)</f>
        <v>412</v>
      </c>
      <c r="BG457" t="str">
        <f t="shared" si="210"/>
        <v/>
      </c>
    </row>
    <row r="458" spans="12:59" ht="15" customHeight="1" x14ac:dyDescent="0.35">
      <c r="L458" s="10" t="s">
        <v>79</v>
      </c>
      <c r="O458" s="330"/>
      <c r="P458" s="36"/>
      <c r="Q458" s="36"/>
      <c r="R458" s="36"/>
      <c r="S458" s="36" t="s">
        <v>1187</v>
      </c>
      <c r="T458" s="36" t="s">
        <v>752</v>
      </c>
      <c r="U458" s="36">
        <v>1109628</v>
      </c>
      <c r="V458" s="165" t="s">
        <v>92</v>
      </c>
      <c r="W458" s="36">
        <v>1</v>
      </c>
      <c r="X458" s="36">
        <v>1</v>
      </c>
      <c r="Y458" s="36">
        <v>1</v>
      </c>
      <c r="Z458" s="36">
        <v>1</v>
      </c>
      <c r="AA458" s="36">
        <v>1</v>
      </c>
      <c r="AB458" s="36">
        <v>1</v>
      </c>
      <c r="AC458" s="36">
        <v>2</v>
      </c>
      <c r="AD458" s="36">
        <v>3</v>
      </c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  <c r="AX458" s="36"/>
      <c r="AY458" s="953"/>
      <c r="AZ458" s="36"/>
      <c r="BA458" s="36"/>
      <c r="BB458" s="36"/>
      <c r="BC458" s="36"/>
      <c r="BD458" s="36"/>
      <c r="BF458">
        <f>ROWS($U$46:U458)</f>
        <v>413</v>
      </c>
      <c r="BG458" t="str">
        <f t="shared" si="210"/>
        <v/>
      </c>
    </row>
    <row r="459" spans="12:59" ht="15" customHeight="1" x14ac:dyDescent="0.35">
      <c r="L459" s="10" t="s">
        <v>1934</v>
      </c>
      <c r="O459" s="330"/>
      <c r="P459" s="36"/>
      <c r="Q459" s="36"/>
      <c r="R459" s="36"/>
      <c r="S459" s="36" t="s">
        <v>1187</v>
      </c>
      <c r="T459" s="36" t="s">
        <v>752</v>
      </c>
      <c r="U459" s="36">
        <v>1109628</v>
      </c>
      <c r="V459" s="165" t="s">
        <v>111</v>
      </c>
      <c r="W459" s="36">
        <v>1</v>
      </c>
      <c r="X459" s="36">
        <v>1</v>
      </c>
      <c r="Y459" s="36">
        <v>1</v>
      </c>
      <c r="Z459" s="36">
        <v>1</v>
      </c>
      <c r="AA459" s="36">
        <v>1</v>
      </c>
      <c r="AB459" s="36">
        <v>1</v>
      </c>
      <c r="AC459" s="36">
        <v>2</v>
      </c>
      <c r="AD459" s="36">
        <v>3</v>
      </c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953"/>
      <c r="AZ459" s="36"/>
      <c r="BA459" s="36"/>
      <c r="BB459" s="36"/>
      <c r="BC459" s="36"/>
      <c r="BD459" s="36"/>
      <c r="BF459">
        <f>ROWS($U$46:U459)</f>
        <v>414</v>
      </c>
      <c r="BG459" t="str">
        <f t="shared" si="210"/>
        <v/>
      </c>
    </row>
    <row r="460" spans="12:59" ht="15" customHeight="1" x14ac:dyDescent="0.35">
      <c r="L460" s="10" t="s">
        <v>853</v>
      </c>
      <c r="O460" s="330"/>
      <c r="P460" s="36"/>
      <c r="Q460" s="36"/>
      <c r="R460" s="36"/>
      <c r="S460" s="36" t="s">
        <v>1187</v>
      </c>
      <c r="T460" s="36" t="s">
        <v>752</v>
      </c>
      <c r="U460" s="36">
        <v>1109628</v>
      </c>
      <c r="V460" s="165" t="s">
        <v>112</v>
      </c>
      <c r="W460" s="36">
        <v>1</v>
      </c>
      <c r="X460" s="36">
        <v>1</v>
      </c>
      <c r="Y460" s="36">
        <v>1</v>
      </c>
      <c r="Z460" s="36">
        <v>1</v>
      </c>
      <c r="AA460" s="36">
        <v>1</v>
      </c>
      <c r="AB460" s="36">
        <v>1</v>
      </c>
      <c r="AC460" s="36">
        <v>2</v>
      </c>
      <c r="AD460" s="36">
        <v>2</v>
      </c>
      <c r="AE460" s="36">
        <v>3</v>
      </c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953"/>
      <c r="AZ460" s="36"/>
      <c r="BA460" s="36"/>
      <c r="BB460" s="36"/>
      <c r="BC460" s="36"/>
      <c r="BD460" s="36"/>
      <c r="BF460">
        <f>ROWS($U$46:U460)</f>
        <v>415</v>
      </c>
      <c r="BG460" t="str">
        <f t="shared" si="210"/>
        <v/>
      </c>
    </row>
    <row r="461" spans="12:59" ht="15" customHeight="1" thickBot="1" x14ac:dyDescent="0.4">
      <c r="L461" s="10" t="s">
        <v>1192</v>
      </c>
      <c r="O461" s="331"/>
      <c r="P461" s="328"/>
      <c r="Q461" s="328"/>
      <c r="R461" s="328"/>
      <c r="S461" s="328" t="s">
        <v>1187</v>
      </c>
      <c r="T461" s="328" t="s">
        <v>752</v>
      </c>
      <c r="U461" s="328">
        <v>1109628</v>
      </c>
      <c r="V461" s="327" t="s">
        <v>113</v>
      </c>
      <c r="W461" s="328">
        <v>1</v>
      </c>
      <c r="X461" s="328">
        <v>1</v>
      </c>
      <c r="Y461" s="328">
        <v>1</v>
      </c>
      <c r="Z461" s="328">
        <v>1</v>
      </c>
      <c r="AA461" s="328">
        <v>1</v>
      </c>
      <c r="AB461" s="328">
        <v>1</v>
      </c>
      <c r="AC461" s="328">
        <v>2</v>
      </c>
      <c r="AD461" s="328">
        <v>3</v>
      </c>
      <c r="AE461" s="328"/>
      <c r="AF461" s="328"/>
      <c r="AG461" s="328"/>
      <c r="AH461" s="328"/>
      <c r="AI461" s="328"/>
      <c r="AJ461" s="328"/>
      <c r="AK461" s="328"/>
      <c r="AL461" s="328"/>
      <c r="AM461" s="328"/>
      <c r="AN461" s="328"/>
      <c r="AO461" s="328"/>
      <c r="AP461" s="328"/>
      <c r="AQ461" s="328"/>
      <c r="AR461" s="328"/>
      <c r="AS461" s="328"/>
      <c r="AT461" s="328"/>
      <c r="AU461" s="328"/>
      <c r="AV461" s="328"/>
      <c r="AW461" s="328"/>
      <c r="AX461" s="328"/>
      <c r="AY461" s="954"/>
      <c r="AZ461" s="36"/>
      <c r="BA461" s="36"/>
      <c r="BB461" s="36"/>
      <c r="BC461" s="36"/>
      <c r="BD461" s="36"/>
      <c r="BF461">
        <f>ROWS($U$46:U461)</f>
        <v>416</v>
      </c>
      <c r="BG461" t="str">
        <f t="shared" si="210"/>
        <v/>
      </c>
    </row>
    <row r="462" spans="12:59" ht="15" customHeight="1" x14ac:dyDescent="0.35">
      <c r="L462" s="10" t="s">
        <v>1214</v>
      </c>
      <c r="O462" s="329">
        <v>1</v>
      </c>
      <c r="P462" s="320">
        <v>773383</v>
      </c>
      <c r="Q462" s="320">
        <v>4</v>
      </c>
      <c r="R462" s="320"/>
      <c r="S462" s="320" t="s">
        <v>1191</v>
      </c>
      <c r="T462" s="320" t="s">
        <v>873</v>
      </c>
      <c r="U462" s="320">
        <v>792657</v>
      </c>
      <c r="V462" s="319" t="s">
        <v>87</v>
      </c>
      <c r="W462" s="320">
        <v>2</v>
      </c>
      <c r="X462" s="320">
        <v>2</v>
      </c>
      <c r="Y462" s="320">
        <v>2</v>
      </c>
      <c r="Z462" s="320">
        <v>2</v>
      </c>
      <c r="AA462" s="320">
        <v>3</v>
      </c>
      <c r="AB462" s="320">
        <v>4</v>
      </c>
      <c r="AC462" s="320"/>
      <c r="AD462" s="320"/>
      <c r="AE462" s="320"/>
      <c r="AF462" s="320"/>
      <c r="AG462" s="320"/>
      <c r="AH462" s="320"/>
      <c r="AI462" s="320"/>
      <c r="AJ462" s="320"/>
      <c r="AK462" s="320"/>
      <c r="AL462" s="320"/>
      <c r="AM462" s="320"/>
      <c r="AN462" s="320"/>
      <c r="AO462" s="320"/>
      <c r="AP462" s="320"/>
      <c r="AQ462" s="320"/>
      <c r="AR462" s="320"/>
      <c r="AS462" s="320"/>
      <c r="AT462" s="320"/>
      <c r="AU462" s="320"/>
      <c r="AV462" s="320"/>
      <c r="AW462" s="320"/>
      <c r="AX462" s="320"/>
      <c r="AY462" s="952"/>
      <c r="AZ462" s="36"/>
      <c r="BA462" s="36"/>
      <c r="BB462" s="36"/>
      <c r="BC462" s="36"/>
      <c r="BD462" s="36"/>
      <c r="BF462">
        <f>ROWS($U$46:U462)</f>
        <v>417</v>
      </c>
      <c r="BG462" t="str">
        <f t="shared" si="210"/>
        <v/>
      </c>
    </row>
    <row r="463" spans="12:59" ht="15" customHeight="1" x14ac:dyDescent="0.35">
      <c r="L463" s="10" t="s">
        <v>1862</v>
      </c>
      <c r="O463" s="330">
        <v>2</v>
      </c>
      <c r="P463" s="36">
        <v>745171</v>
      </c>
      <c r="Q463" s="36">
        <v>28</v>
      </c>
      <c r="R463" s="36"/>
      <c r="S463" s="36" t="s">
        <v>1191</v>
      </c>
      <c r="T463" s="36" t="s">
        <v>873</v>
      </c>
      <c r="U463" s="36">
        <v>792657</v>
      </c>
      <c r="V463" s="165" t="s">
        <v>88</v>
      </c>
      <c r="W463" s="36">
        <v>1</v>
      </c>
      <c r="X463" s="36">
        <v>2</v>
      </c>
      <c r="Y463" s="36">
        <v>2</v>
      </c>
      <c r="Z463" s="36">
        <v>2</v>
      </c>
      <c r="AA463" s="36">
        <v>3</v>
      </c>
      <c r="AB463" s="36">
        <v>4</v>
      </c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  <c r="AX463" s="36"/>
      <c r="AY463" s="953"/>
      <c r="AZ463" s="36"/>
      <c r="BA463" s="36"/>
      <c r="BB463" s="36"/>
      <c r="BC463" s="36"/>
      <c r="BD463" s="36"/>
      <c r="BF463">
        <f>ROWS($U$46:U463)</f>
        <v>418</v>
      </c>
      <c r="BG463" t="str">
        <f t="shared" si="210"/>
        <v/>
      </c>
    </row>
    <row r="464" spans="12:59" ht="15" customHeight="1" x14ac:dyDescent="0.35">
      <c r="L464" s="10" t="s">
        <v>1249</v>
      </c>
      <c r="O464" s="330">
        <v>3</v>
      </c>
      <c r="P464" s="36">
        <v>717749</v>
      </c>
      <c r="Q464" s="36">
        <v>8</v>
      </c>
      <c r="R464" s="36"/>
      <c r="S464" s="36" t="s">
        <v>1191</v>
      </c>
      <c r="T464" s="36" t="s">
        <v>873</v>
      </c>
      <c r="U464" s="36">
        <v>792657</v>
      </c>
      <c r="V464" s="165" t="s">
        <v>89</v>
      </c>
      <c r="W464" s="36">
        <v>2</v>
      </c>
      <c r="X464" s="36">
        <v>2</v>
      </c>
      <c r="Y464" s="36">
        <v>2</v>
      </c>
      <c r="Z464" s="36">
        <v>2</v>
      </c>
      <c r="AA464" s="36">
        <v>3</v>
      </c>
      <c r="AB464" s="36">
        <v>4</v>
      </c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  <c r="AW464" s="36"/>
      <c r="AX464" s="36"/>
      <c r="AY464" s="953"/>
      <c r="AZ464" s="36"/>
      <c r="BA464" s="36"/>
      <c r="BB464" s="36"/>
      <c r="BC464" s="36"/>
      <c r="BD464" s="36"/>
      <c r="BF464">
        <f>ROWS($U$46:U464)</f>
        <v>419</v>
      </c>
      <c r="BG464" t="str">
        <f t="shared" si="210"/>
        <v/>
      </c>
    </row>
    <row r="465" spans="12:59" ht="15" customHeight="1" x14ac:dyDescent="0.35">
      <c r="L465" s="10" t="s">
        <v>1188</v>
      </c>
      <c r="O465" s="330">
        <v>4</v>
      </c>
      <c r="P465" s="36">
        <v>418525</v>
      </c>
      <c r="Q465" s="36">
        <v>8</v>
      </c>
      <c r="R465" s="36"/>
      <c r="S465" s="36" t="s">
        <v>1191</v>
      </c>
      <c r="T465" s="36" t="s">
        <v>873</v>
      </c>
      <c r="U465" s="36">
        <v>792657</v>
      </c>
      <c r="V465" s="165" t="s">
        <v>90</v>
      </c>
      <c r="W465" s="36">
        <v>1</v>
      </c>
      <c r="X465" s="36">
        <v>2</v>
      </c>
      <c r="Y465" s="36">
        <v>2</v>
      </c>
      <c r="Z465" s="36">
        <v>2</v>
      </c>
      <c r="AA465" s="36">
        <v>3</v>
      </c>
      <c r="AB465" s="36">
        <v>4</v>
      </c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953"/>
      <c r="AZ465" s="36"/>
      <c r="BA465" s="36"/>
      <c r="BB465" s="36"/>
      <c r="BC465" s="36"/>
      <c r="BD465" s="36"/>
      <c r="BF465">
        <f>ROWS($U$46:U465)</f>
        <v>420</v>
      </c>
      <c r="BG465" t="str">
        <f t="shared" si="210"/>
        <v/>
      </c>
    </row>
    <row r="466" spans="12:59" ht="15" customHeight="1" x14ac:dyDescent="0.35">
      <c r="L466" s="10" t="s">
        <v>1867</v>
      </c>
      <c r="O466" s="330"/>
      <c r="P466" s="36"/>
      <c r="Q466" s="36"/>
      <c r="R466" s="36"/>
      <c r="S466" s="36" t="s">
        <v>1191</v>
      </c>
      <c r="T466" s="36" t="s">
        <v>873</v>
      </c>
      <c r="U466" s="36">
        <v>792657</v>
      </c>
      <c r="V466" s="165" t="s">
        <v>91</v>
      </c>
      <c r="W466" s="36">
        <v>2</v>
      </c>
      <c r="X466" s="36">
        <v>2</v>
      </c>
      <c r="Y466" s="36">
        <v>2</v>
      </c>
      <c r="Z466" s="36">
        <v>2</v>
      </c>
      <c r="AA466" s="36">
        <v>3</v>
      </c>
      <c r="AB466" s="36">
        <v>4</v>
      </c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953"/>
      <c r="AZ466" s="36"/>
      <c r="BA466" s="36"/>
      <c r="BB466" s="36"/>
      <c r="BC466" s="36"/>
      <c r="BD466" s="36"/>
      <c r="BF466">
        <f>ROWS($U$46:U466)</f>
        <v>421</v>
      </c>
      <c r="BG466" t="str">
        <f t="shared" si="210"/>
        <v/>
      </c>
    </row>
    <row r="467" spans="12:59" ht="15" customHeight="1" x14ac:dyDescent="0.35">
      <c r="L467" s="10" t="s">
        <v>1251</v>
      </c>
      <c r="O467" s="330"/>
      <c r="P467" s="36"/>
      <c r="Q467" s="36"/>
      <c r="R467" s="36"/>
      <c r="S467" s="36" t="s">
        <v>1191</v>
      </c>
      <c r="T467" s="36" t="s">
        <v>873</v>
      </c>
      <c r="U467" s="36">
        <v>792657</v>
      </c>
      <c r="V467" s="165" t="s">
        <v>92</v>
      </c>
      <c r="W467" s="36">
        <v>1</v>
      </c>
      <c r="X467" s="36">
        <v>2</v>
      </c>
      <c r="Y467" s="36">
        <v>2</v>
      </c>
      <c r="Z467" s="36">
        <v>2</v>
      </c>
      <c r="AA467" s="36">
        <v>3</v>
      </c>
      <c r="AB467" s="36">
        <v>4</v>
      </c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  <c r="AX467" s="36"/>
      <c r="AY467" s="953"/>
      <c r="AZ467" s="36"/>
      <c r="BA467" s="36"/>
      <c r="BB467" s="36"/>
      <c r="BC467" s="36"/>
      <c r="BD467" s="36"/>
      <c r="BF467">
        <f>ROWS($U$46:U467)</f>
        <v>422</v>
      </c>
      <c r="BG467" t="str">
        <f t="shared" si="210"/>
        <v/>
      </c>
    </row>
    <row r="468" spans="12:59" ht="15" customHeight="1" x14ac:dyDescent="0.35">
      <c r="L468" s="10" t="s">
        <v>854</v>
      </c>
      <c r="O468" s="330"/>
      <c r="P468" s="36"/>
      <c r="Q468" s="36"/>
      <c r="R468" s="36"/>
      <c r="S468" s="36" t="s">
        <v>1191</v>
      </c>
      <c r="T468" s="36" t="s">
        <v>873</v>
      </c>
      <c r="U468" s="36">
        <v>792657</v>
      </c>
      <c r="V468" s="165" t="s">
        <v>111</v>
      </c>
      <c r="W468" s="36">
        <v>2</v>
      </c>
      <c r="X468" s="36">
        <v>2</v>
      </c>
      <c r="Y468" s="36">
        <v>2</v>
      </c>
      <c r="Z468" s="36">
        <v>2</v>
      </c>
      <c r="AA468" s="36">
        <v>3</v>
      </c>
      <c r="AB468" s="36">
        <v>4</v>
      </c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  <c r="AX468" s="36"/>
      <c r="AY468" s="953"/>
      <c r="AZ468" s="36"/>
      <c r="BA468" s="36"/>
      <c r="BB468" s="36"/>
      <c r="BC468" s="36"/>
      <c r="BD468" s="36"/>
      <c r="BF468">
        <f>ROWS($U$46:U468)</f>
        <v>423</v>
      </c>
      <c r="BG468" t="str">
        <f t="shared" si="210"/>
        <v/>
      </c>
    </row>
    <row r="469" spans="12:59" ht="15" customHeight="1" thickBot="1" x14ac:dyDescent="0.4">
      <c r="L469" s="10" t="s">
        <v>1446</v>
      </c>
      <c r="O469" s="331"/>
      <c r="P469" s="328"/>
      <c r="Q469" s="328"/>
      <c r="R469" s="328"/>
      <c r="S469" s="328" t="s">
        <v>1191</v>
      </c>
      <c r="T469" s="328" t="s">
        <v>873</v>
      </c>
      <c r="U469" s="328">
        <v>792657</v>
      </c>
      <c r="V469" s="165" t="s">
        <v>112</v>
      </c>
      <c r="W469" s="328">
        <v>1</v>
      </c>
      <c r="X469" s="328">
        <v>2</v>
      </c>
      <c r="Y469" s="328">
        <v>2</v>
      </c>
      <c r="Z469" s="328">
        <v>2</v>
      </c>
      <c r="AA469" s="328">
        <v>3</v>
      </c>
      <c r="AB469" s="328">
        <v>4</v>
      </c>
      <c r="AC469" s="328"/>
      <c r="AD469" s="328"/>
      <c r="AE469" s="328"/>
      <c r="AF469" s="328"/>
      <c r="AG469" s="328"/>
      <c r="AH469" s="328"/>
      <c r="AI469" s="328"/>
      <c r="AJ469" s="328"/>
      <c r="AK469" s="328"/>
      <c r="AL469" s="328"/>
      <c r="AM469" s="328"/>
      <c r="AN469" s="328"/>
      <c r="AO469" s="328"/>
      <c r="AP469" s="328"/>
      <c r="AQ469" s="328"/>
      <c r="AR469" s="328"/>
      <c r="AS469" s="328"/>
      <c r="AT469" s="328"/>
      <c r="AU469" s="328"/>
      <c r="AV469" s="328"/>
      <c r="AW469" s="328"/>
      <c r="AX469" s="328"/>
      <c r="AY469" s="954"/>
      <c r="AZ469" s="36"/>
      <c r="BA469" s="36"/>
      <c r="BB469" s="36"/>
      <c r="BC469" s="36"/>
      <c r="BD469" s="36"/>
      <c r="BF469">
        <f>ROWS($U$46:U469)</f>
        <v>424</v>
      </c>
      <c r="BG469" t="str">
        <f t="shared" si="210"/>
        <v/>
      </c>
    </row>
    <row r="470" spans="12:59" ht="15" customHeight="1" x14ac:dyDescent="0.35">
      <c r="L470" s="10" t="s">
        <v>855</v>
      </c>
      <c r="O470" s="329">
        <v>1</v>
      </c>
      <c r="P470" s="320">
        <v>907609</v>
      </c>
      <c r="Q470" s="320">
        <v>22</v>
      </c>
      <c r="R470" s="320"/>
      <c r="S470" s="552">
        <v>6.125</v>
      </c>
      <c r="T470" s="320" t="s">
        <v>1193</v>
      </c>
      <c r="U470" s="320">
        <v>1108037</v>
      </c>
      <c r="V470" s="319" t="s">
        <v>87</v>
      </c>
      <c r="W470" s="320">
        <v>2</v>
      </c>
      <c r="X470" s="320">
        <v>1</v>
      </c>
      <c r="Y470" s="320">
        <v>1</v>
      </c>
      <c r="Z470" s="320">
        <v>1</v>
      </c>
      <c r="AA470" s="320">
        <v>1</v>
      </c>
      <c r="AB470" s="320">
        <v>1</v>
      </c>
      <c r="AC470" s="320">
        <v>3</v>
      </c>
      <c r="AD470" s="320"/>
      <c r="AE470" s="320"/>
      <c r="AF470" s="320"/>
      <c r="AG470" s="320"/>
      <c r="AH470" s="320"/>
      <c r="AI470" s="320"/>
      <c r="AJ470" s="320"/>
      <c r="AK470" s="320"/>
      <c r="AL470" s="320"/>
      <c r="AM470" s="320"/>
      <c r="AN470" s="320"/>
      <c r="AO470" s="320"/>
      <c r="AP470" s="320"/>
      <c r="AQ470" s="320"/>
      <c r="AR470" s="320"/>
      <c r="AS470" s="320"/>
      <c r="AT470" s="320"/>
      <c r="AU470" s="320"/>
      <c r="AV470" s="320"/>
      <c r="AW470" s="320"/>
      <c r="AX470" s="320"/>
      <c r="AY470" s="952"/>
      <c r="AZ470" s="36"/>
      <c r="BA470" s="36"/>
      <c r="BB470" s="36"/>
      <c r="BC470" s="36"/>
      <c r="BD470" s="36"/>
      <c r="BF470">
        <f>ROWS($U$46:U470)</f>
        <v>425</v>
      </c>
      <c r="BG470" t="str">
        <f t="shared" si="210"/>
        <v/>
      </c>
    </row>
    <row r="471" spans="12:59" ht="15" customHeight="1" x14ac:dyDescent="0.35">
      <c r="L471" s="10" t="s">
        <v>1305</v>
      </c>
      <c r="O471" s="330">
        <v>2</v>
      </c>
      <c r="P471" s="36">
        <v>703670</v>
      </c>
      <c r="Q471" s="36">
        <v>3</v>
      </c>
      <c r="R471" s="36"/>
      <c r="S471" s="553">
        <v>6.125</v>
      </c>
      <c r="T471" s="36" t="s">
        <v>1193</v>
      </c>
      <c r="U471" s="36">
        <v>1108037</v>
      </c>
      <c r="V471" s="165" t="s">
        <v>88</v>
      </c>
      <c r="W471" s="36">
        <v>1</v>
      </c>
      <c r="X471" s="36">
        <v>1</v>
      </c>
      <c r="Y471" s="36">
        <v>1</v>
      </c>
      <c r="Z471" s="36">
        <v>3</v>
      </c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953"/>
      <c r="AZ471" s="36"/>
      <c r="BA471" s="36"/>
      <c r="BB471" s="36"/>
      <c r="BC471" s="36"/>
      <c r="BD471" s="36"/>
      <c r="BF471">
        <f>ROWS($U$46:U471)</f>
        <v>426</v>
      </c>
      <c r="BG471" t="str">
        <f t="shared" si="210"/>
        <v/>
      </c>
    </row>
    <row r="472" spans="12:59" ht="15" customHeight="1" x14ac:dyDescent="0.35">
      <c r="L472" s="10" t="s">
        <v>80</v>
      </c>
      <c r="O472" s="330">
        <v>3</v>
      </c>
      <c r="P472" s="36">
        <v>871781</v>
      </c>
      <c r="Q472" s="36">
        <v>6</v>
      </c>
      <c r="R472" s="36"/>
      <c r="S472" s="553">
        <v>6.125</v>
      </c>
      <c r="T472" s="36" t="s">
        <v>1193</v>
      </c>
      <c r="U472" s="36">
        <v>1108037</v>
      </c>
      <c r="V472" s="165" t="s">
        <v>89</v>
      </c>
      <c r="W472" s="36">
        <v>2</v>
      </c>
      <c r="X472" s="36">
        <v>1</v>
      </c>
      <c r="Y472" s="36">
        <v>1</v>
      </c>
      <c r="Z472" s="36">
        <v>1</v>
      </c>
      <c r="AA472" s="36">
        <v>1</v>
      </c>
      <c r="AB472" s="36">
        <v>3</v>
      </c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  <c r="AW472" s="36"/>
      <c r="AX472" s="36"/>
      <c r="AY472" s="953"/>
      <c r="AZ472" s="36"/>
      <c r="BA472" s="36"/>
      <c r="BB472" s="36"/>
      <c r="BC472" s="36"/>
      <c r="BD472" s="36"/>
      <c r="BF472">
        <f>ROWS($U$46:U472)</f>
        <v>427</v>
      </c>
      <c r="BG472" t="str">
        <f t="shared" si="210"/>
        <v/>
      </c>
    </row>
    <row r="473" spans="12:59" ht="15" customHeight="1" x14ac:dyDescent="0.35">
      <c r="L473" s="10" t="s">
        <v>1427</v>
      </c>
      <c r="O473" s="330"/>
      <c r="P473" s="36"/>
      <c r="Q473" s="36"/>
      <c r="R473" s="36"/>
      <c r="S473" s="553">
        <v>6.125</v>
      </c>
      <c r="T473" s="36" t="s">
        <v>1193</v>
      </c>
      <c r="U473" s="36">
        <v>1108037</v>
      </c>
      <c r="V473" s="165" t="s">
        <v>90</v>
      </c>
      <c r="W473" s="36">
        <v>1</v>
      </c>
      <c r="X473" s="36">
        <v>1</v>
      </c>
      <c r="Y473" s="36">
        <v>1</v>
      </c>
      <c r="Z473" s="36">
        <v>3</v>
      </c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  <c r="AX473" s="36"/>
      <c r="AY473" s="953"/>
      <c r="AZ473" s="36"/>
      <c r="BA473" s="36"/>
      <c r="BB473" s="36"/>
      <c r="BC473" s="36"/>
      <c r="BD473" s="36"/>
      <c r="BF473">
        <f>ROWS($U$46:U473)</f>
        <v>428</v>
      </c>
      <c r="BG473" t="str">
        <f t="shared" si="210"/>
        <v/>
      </c>
    </row>
    <row r="474" spans="12:59" ht="15" customHeight="1" x14ac:dyDescent="0.35">
      <c r="L474" s="10" t="s">
        <v>1469</v>
      </c>
      <c r="O474" s="330"/>
      <c r="P474" s="36"/>
      <c r="Q474" s="36"/>
      <c r="R474" s="36"/>
      <c r="S474" s="553">
        <v>6.125</v>
      </c>
      <c r="T474" s="36" t="s">
        <v>1193</v>
      </c>
      <c r="U474" s="36">
        <v>1108037</v>
      </c>
      <c r="V474" s="165" t="s">
        <v>91</v>
      </c>
      <c r="W474" s="36">
        <v>2</v>
      </c>
      <c r="X474" s="36">
        <v>1</v>
      </c>
      <c r="Y474" s="36">
        <v>1</v>
      </c>
      <c r="Z474" s="36">
        <v>1</v>
      </c>
      <c r="AA474" s="36">
        <v>1</v>
      </c>
      <c r="AB474" s="36">
        <v>3</v>
      </c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  <c r="AW474" s="36"/>
      <c r="AX474" s="36"/>
      <c r="AY474" s="953"/>
      <c r="AZ474" s="36"/>
      <c r="BA474" s="36"/>
      <c r="BB474" s="36"/>
      <c r="BC474" s="36"/>
      <c r="BD474" s="36"/>
      <c r="BF474">
        <f>ROWS($U$46:U474)</f>
        <v>429</v>
      </c>
      <c r="BG474" t="str">
        <f t="shared" si="210"/>
        <v/>
      </c>
    </row>
    <row r="475" spans="12:59" ht="15" customHeight="1" x14ac:dyDescent="0.35">
      <c r="L475" s="10" t="s">
        <v>1925</v>
      </c>
      <c r="O475" s="330"/>
      <c r="P475" s="36"/>
      <c r="Q475" s="36"/>
      <c r="R475" s="36"/>
      <c r="S475" s="553">
        <v>6.125</v>
      </c>
      <c r="T475" s="36" t="s">
        <v>1193</v>
      </c>
      <c r="U475" s="36">
        <v>1108037</v>
      </c>
      <c r="V475" s="165" t="s">
        <v>92</v>
      </c>
      <c r="W475" s="36">
        <v>1</v>
      </c>
      <c r="X475" s="36">
        <v>1</v>
      </c>
      <c r="Y475" s="36">
        <v>1</v>
      </c>
      <c r="Z475" s="36">
        <v>3</v>
      </c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  <c r="AW475" s="36"/>
      <c r="AX475" s="36"/>
      <c r="AY475" s="953"/>
      <c r="AZ475" s="36"/>
      <c r="BA475" s="36"/>
      <c r="BB475" s="36"/>
      <c r="BC475" s="36"/>
      <c r="BD475" s="36"/>
      <c r="BF475">
        <f>ROWS($U$46:U475)</f>
        <v>430</v>
      </c>
      <c r="BG475" t="str">
        <f t="shared" si="210"/>
        <v/>
      </c>
    </row>
    <row r="476" spans="12:59" ht="15" customHeight="1" x14ac:dyDescent="0.35">
      <c r="L476" s="10" t="s">
        <v>856</v>
      </c>
      <c r="O476" s="330"/>
      <c r="P476" s="36"/>
      <c r="Q476" s="36"/>
      <c r="R476" s="36"/>
      <c r="S476" s="553"/>
      <c r="T476" s="36"/>
      <c r="U476" s="36"/>
      <c r="V476" s="165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  <c r="AW476" s="36"/>
      <c r="AX476" s="36"/>
      <c r="AY476" s="953"/>
      <c r="AZ476" s="36"/>
      <c r="BA476" s="36"/>
      <c r="BB476" s="36"/>
      <c r="BC476" s="36"/>
      <c r="BD476" s="36"/>
      <c r="BF476">
        <f>ROWS($U$46:U476)</f>
        <v>431</v>
      </c>
      <c r="BG476" t="str">
        <f t="shared" si="210"/>
        <v/>
      </c>
    </row>
    <row r="477" spans="12:59" ht="15" customHeight="1" thickBot="1" x14ac:dyDescent="0.4">
      <c r="L477" s="10" t="s">
        <v>1250</v>
      </c>
      <c r="O477" s="331"/>
      <c r="P477" s="328"/>
      <c r="Q477" s="328"/>
      <c r="R477" s="328"/>
      <c r="S477" s="554"/>
      <c r="T477" s="328"/>
      <c r="U477" s="328"/>
      <c r="V477" s="165"/>
      <c r="W477" s="328"/>
      <c r="X477" s="328"/>
      <c r="Y477" s="328"/>
      <c r="Z477" s="328"/>
      <c r="AA477" s="328"/>
      <c r="AB477" s="328"/>
      <c r="AC477" s="328"/>
      <c r="AD477" s="328"/>
      <c r="AE477" s="328"/>
      <c r="AF477" s="328"/>
      <c r="AG477" s="328"/>
      <c r="AH477" s="328"/>
      <c r="AI477" s="328"/>
      <c r="AJ477" s="328"/>
      <c r="AK477" s="328"/>
      <c r="AL477" s="328"/>
      <c r="AM477" s="328"/>
      <c r="AN477" s="328"/>
      <c r="AO477" s="328"/>
      <c r="AP477" s="328"/>
      <c r="AQ477" s="328"/>
      <c r="AR477" s="328"/>
      <c r="AS477" s="328"/>
      <c r="AT477" s="328"/>
      <c r="AU477" s="328"/>
      <c r="AV477" s="328"/>
      <c r="AW477" s="328"/>
      <c r="AX477" s="328"/>
      <c r="AY477" s="954"/>
      <c r="AZ477" s="36"/>
      <c r="BA477" s="36"/>
      <c r="BB477" s="36"/>
      <c r="BC477" s="36"/>
      <c r="BD477" s="36"/>
      <c r="BF477">
        <f>ROWS($U$46:U477)</f>
        <v>432</v>
      </c>
      <c r="BG477" t="str">
        <f t="shared" si="210"/>
        <v/>
      </c>
    </row>
    <row r="478" spans="12:59" ht="15" customHeight="1" x14ac:dyDescent="0.35">
      <c r="L478" s="10" t="s">
        <v>1248</v>
      </c>
      <c r="O478" s="329">
        <v>1</v>
      </c>
      <c r="P478" s="320">
        <v>738227</v>
      </c>
      <c r="Q478" s="320">
        <v>22</v>
      </c>
      <c r="R478" s="320"/>
      <c r="S478" s="552" t="s">
        <v>1179</v>
      </c>
      <c r="T478" s="320" t="s">
        <v>1196</v>
      </c>
      <c r="U478" s="320">
        <v>1103149</v>
      </c>
      <c r="V478" s="319" t="s">
        <v>87</v>
      </c>
      <c r="W478" s="320">
        <v>1</v>
      </c>
      <c r="X478" s="320">
        <v>1</v>
      </c>
      <c r="Y478" s="320">
        <v>2</v>
      </c>
      <c r="Z478" s="320">
        <v>2</v>
      </c>
      <c r="AA478" s="320">
        <v>1</v>
      </c>
      <c r="AB478" s="320">
        <v>1</v>
      </c>
      <c r="AC478" s="320">
        <v>3</v>
      </c>
      <c r="AD478" s="320"/>
      <c r="AE478" s="320">
        <v>4</v>
      </c>
      <c r="AF478" s="320">
        <v>4</v>
      </c>
      <c r="AG478" s="320"/>
      <c r="AH478" s="320"/>
      <c r="AI478" s="320"/>
      <c r="AJ478" s="320"/>
      <c r="AK478" s="320"/>
      <c r="AL478" s="320"/>
      <c r="AM478" s="320"/>
      <c r="AN478" s="320"/>
      <c r="AO478" s="320"/>
      <c r="AP478" s="320"/>
      <c r="AQ478" s="320"/>
      <c r="AR478" s="320"/>
      <c r="AS478" s="320"/>
      <c r="AT478" s="320"/>
      <c r="AU478" s="320"/>
      <c r="AV478" s="320"/>
      <c r="AW478" s="320"/>
      <c r="AX478" s="320"/>
      <c r="AY478" s="952"/>
      <c r="AZ478" s="36"/>
      <c r="BA478" s="36"/>
      <c r="BB478" s="36"/>
      <c r="BC478" s="36"/>
      <c r="BD478" s="36"/>
      <c r="BF478">
        <f>ROWS($U$46:U478)</f>
        <v>433</v>
      </c>
      <c r="BG478" t="str">
        <f t="shared" si="210"/>
        <v/>
      </c>
    </row>
    <row r="479" spans="12:59" ht="15" customHeight="1" x14ac:dyDescent="0.35">
      <c r="L479" s="10" t="s">
        <v>857</v>
      </c>
      <c r="O479" s="330">
        <v>2</v>
      </c>
      <c r="P479" s="36">
        <v>738228</v>
      </c>
      <c r="Q479" s="36">
        <v>13</v>
      </c>
      <c r="R479" s="36"/>
      <c r="S479" s="553" t="s">
        <v>1179</v>
      </c>
      <c r="T479" s="36" t="s">
        <v>1196</v>
      </c>
      <c r="U479" s="36">
        <v>1103149</v>
      </c>
      <c r="V479" s="165" t="s">
        <v>88</v>
      </c>
      <c r="W479" s="36">
        <v>2</v>
      </c>
      <c r="X479" s="36">
        <v>2</v>
      </c>
      <c r="Y479" s="36">
        <v>1</v>
      </c>
      <c r="Z479" s="36">
        <v>1</v>
      </c>
      <c r="AA479" s="36">
        <v>3</v>
      </c>
      <c r="AB479" s="36"/>
      <c r="AC479" s="36"/>
      <c r="AD479" s="36"/>
      <c r="AE479" s="36">
        <v>4</v>
      </c>
      <c r="AF479" s="36">
        <v>4</v>
      </c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  <c r="AW479" s="36"/>
      <c r="AX479" s="36"/>
      <c r="AY479" s="953"/>
      <c r="AZ479" s="36"/>
      <c r="BA479" s="36"/>
      <c r="BB479" s="36"/>
      <c r="BC479" s="36"/>
      <c r="BD479" s="36"/>
      <c r="BF479">
        <f>ROWS($U$46:U479)</f>
        <v>434</v>
      </c>
      <c r="BG479" t="str">
        <f t="shared" si="210"/>
        <v/>
      </c>
    </row>
    <row r="480" spans="12:59" ht="15" customHeight="1" x14ac:dyDescent="0.35">
      <c r="L480" s="10" t="s">
        <v>1123</v>
      </c>
      <c r="O480" s="330">
        <v>3</v>
      </c>
      <c r="P480" s="36">
        <v>871781</v>
      </c>
      <c r="Q480" s="36">
        <v>8</v>
      </c>
      <c r="R480" s="36"/>
      <c r="S480" s="553" t="s">
        <v>1179</v>
      </c>
      <c r="T480" s="36" t="s">
        <v>1196</v>
      </c>
      <c r="U480" s="36">
        <v>1103149</v>
      </c>
      <c r="V480" s="165" t="s">
        <v>89</v>
      </c>
      <c r="W480" s="36">
        <v>2</v>
      </c>
      <c r="X480" s="36">
        <v>2</v>
      </c>
      <c r="Y480" s="36">
        <v>1</v>
      </c>
      <c r="Z480" s="36">
        <v>1</v>
      </c>
      <c r="AA480" s="36">
        <v>3</v>
      </c>
      <c r="AB480" s="36"/>
      <c r="AC480" s="36"/>
      <c r="AD480" s="36"/>
      <c r="AE480" s="36">
        <v>4</v>
      </c>
      <c r="AF480" s="36">
        <v>4</v>
      </c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  <c r="AW480" s="36"/>
      <c r="AX480" s="36"/>
      <c r="AY480" s="953"/>
      <c r="AZ480" s="36"/>
      <c r="BA480" s="36"/>
      <c r="BB480" s="36"/>
      <c r="BC480" s="36"/>
      <c r="BD480" s="36"/>
      <c r="BF480">
        <f>ROWS($U$46:U480)</f>
        <v>435</v>
      </c>
      <c r="BG480" t="str">
        <f t="shared" si="210"/>
        <v/>
      </c>
    </row>
    <row r="481" spans="12:59" ht="15" customHeight="1" x14ac:dyDescent="0.35">
      <c r="L481" s="10" t="s">
        <v>895</v>
      </c>
      <c r="O481" s="330">
        <v>4</v>
      </c>
      <c r="P481" s="36">
        <v>976348</v>
      </c>
      <c r="Q481" s="36">
        <v>16</v>
      </c>
      <c r="R481" s="36"/>
      <c r="S481" s="553" t="s">
        <v>1179</v>
      </c>
      <c r="T481" s="36" t="s">
        <v>1196</v>
      </c>
      <c r="U481" s="36">
        <v>1103149</v>
      </c>
      <c r="V481" s="165" t="s">
        <v>90</v>
      </c>
      <c r="W481" s="36">
        <v>1</v>
      </c>
      <c r="X481" s="36">
        <v>1</v>
      </c>
      <c r="Y481" s="36">
        <v>2</v>
      </c>
      <c r="Z481" s="36">
        <v>1</v>
      </c>
      <c r="AA481" s="36">
        <v>1</v>
      </c>
      <c r="AB481" s="36">
        <v>3</v>
      </c>
      <c r="AC481" s="36"/>
      <c r="AD481" s="36"/>
      <c r="AE481" s="36">
        <v>4</v>
      </c>
      <c r="AF481" s="36">
        <v>4</v>
      </c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  <c r="AX481" s="36"/>
      <c r="AY481" s="953"/>
      <c r="AZ481" s="36"/>
      <c r="BA481" s="36"/>
      <c r="BB481" s="36"/>
      <c r="BC481" s="36"/>
      <c r="BD481" s="36"/>
      <c r="BF481">
        <f>ROWS($U$46:U481)</f>
        <v>436</v>
      </c>
      <c r="BG481" t="str">
        <f t="shared" si="210"/>
        <v/>
      </c>
    </row>
    <row r="482" spans="12:59" ht="15" customHeight="1" x14ac:dyDescent="0.35">
      <c r="L482" s="10" t="s">
        <v>858</v>
      </c>
      <c r="O482" s="330"/>
      <c r="P482" s="36"/>
      <c r="Q482" s="36"/>
      <c r="R482" s="36"/>
      <c r="S482" s="553" t="s">
        <v>1179</v>
      </c>
      <c r="T482" s="36" t="s">
        <v>1196</v>
      </c>
      <c r="U482" s="36">
        <v>1103149</v>
      </c>
      <c r="V482" s="165" t="s">
        <v>91</v>
      </c>
      <c r="W482" s="36">
        <v>2</v>
      </c>
      <c r="X482" s="36">
        <v>1</v>
      </c>
      <c r="Y482" s="36">
        <v>1</v>
      </c>
      <c r="Z482" s="36">
        <v>3</v>
      </c>
      <c r="AA482" s="36"/>
      <c r="AB482" s="36"/>
      <c r="AC482" s="36"/>
      <c r="AD482" s="36"/>
      <c r="AE482" s="36">
        <v>4</v>
      </c>
      <c r="AF482" s="36">
        <v>4</v>
      </c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953"/>
      <c r="AZ482" s="36"/>
      <c r="BA482" s="36"/>
      <c r="BB482" s="36"/>
      <c r="BC482" s="36"/>
      <c r="BD482" s="36"/>
      <c r="BF482">
        <f>ROWS($U$46:U482)</f>
        <v>437</v>
      </c>
      <c r="BG482" t="str">
        <f t="shared" si="210"/>
        <v/>
      </c>
    </row>
    <row r="483" spans="12:59" ht="15" customHeight="1" x14ac:dyDescent="0.35">
      <c r="L483" s="10" t="s">
        <v>1215</v>
      </c>
      <c r="O483" s="330"/>
      <c r="P483" s="36"/>
      <c r="Q483" s="36"/>
      <c r="R483" s="36"/>
      <c r="S483" s="553" t="s">
        <v>1179</v>
      </c>
      <c r="T483" s="36" t="s">
        <v>1196</v>
      </c>
      <c r="U483" s="36">
        <v>1103149</v>
      </c>
      <c r="V483" s="165" t="s">
        <v>92</v>
      </c>
      <c r="W483" s="36">
        <v>2</v>
      </c>
      <c r="X483" s="36">
        <v>1</v>
      </c>
      <c r="Y483" s="36">
        <v>1</v>
      </c>
      <c r="Z483" s="36">
        <v>3</v>
      </c>
      <c r="AA483" s="36"/>
      <c r="AB483" s="36"/>
      <c r="AC483" s="36"/>
      <c r="AD483" s="36"/>
      <c r="AE483" s="36">
        <v>4</v>
      </c>
      <c r="AF483" s="36">
        <v>4</v>
      </c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953"/>
      <c r="AZ483" s="36"/>
      <c r="BA483" s="36"/>
      <c r="BB483" s="36"/>
      <c r="BC483" s="36"/>
      <c r="BD483" s="36"/>
      <c r="BF483">
        <f>ROWS($U$46:U483)</f>
        <v>438</v>
      </c>
      <c r="BG483" t="str">
        <f t="shared" si="210"/>
        <v/>
      </c>
    </row>
    <row r="484" spans="12:59" ht="15" customHeight="1" x14ac:dyDescent="0.35">
      <c r="L484" s="10" t="s">
        <v>891</v>
      </c>
      <c r="O484" s="330"/>
      <c r="P484" s="36"/>
      <c r="Q484" s="36"/>
      <c r="R484" s="36"/>
      <c r="S484" s="553" t="s">
        <v>1179</v>
      </c>
      <c r="T484" s="36" t="s">
        <v>1196</v>
      </c>
      <c r="U484" s="36">
        <v>1103149</v>
      </c>
      <c r="V484" s="165" t="s">
        <v>111</v>
      </c>
      <c r="W484" s="36">
        <v>1</v>
      </c>
      <c r="X484" s="36">
        <v>1</v>
      </c>
      <c r="Y484" s="36">
        <v>2</v>
      </c>
      <c r="Z484" s="36">
        <v>2</v>
      </c>
      <c r="AA484" s="36">
        <v>1</v>
      </c>
      <c r="AB484" s="36">
        <v>1</v>
      </c>
      <c r="AC484" s="36">
        <v>3</v>
      </c>
      <c r="AD484" s="36"/>
      <c r="AE484" s="36">
        <v>4</v>
      </c>
      <c r="AF484" s="36">
        <v>4</v>
      </c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  <c r="AW484" s="36"/>
      <c r="AX484" s="36"/>
      <c r="AY484" s="953"/>
      <c r="AZ484" s="36"/>
      <c r="BA484" s="36"/>
      <c r="BB484" s="36"/>
      <c r="BC484" s="36"/>
      <c r="BD484" s="36"/>
      <c r="BF484">
        <f>ROWS($U$46:U484)</f>
        <v>439</v>
      </c>
      <c r="BG484" t="str">
        <f t="shared" si="210"/>
        <v/>
      </c>
    </row>
    <row r="485" spans="12:59" ht="15" customHeight="1" thickBot="1" x14ac:dyDescent="0.4">
      <c r="L485" s="10" t="s">
        <v>1460</v>
      </c>
      <c r="O485" s="331"/>
      <c r="P485" s="328"/>
      <c r="Q485" s="328"/>
      <c r="R485" s="328"/>
      <c r="S485" s="554" t="s">
        <v>1179</v>
      </c>
      <c r="T485" s="328" t="s">
        <v>1196</v>
      </c>
      <c r="U485" s="328">
        <v>1103149</v>
      </c>
      <c r="V485" s="165" t="s">
        <v>112</v>
      </c>
      <c r="W485" s="328">
        <v>2</v>
      </c>
      <c r="X485" s="328">
        <v>2</v>
      </c>
      <c r="Y485" s="328">
        <v>1</v>
      </c>
      <c r="Z485" s="328">
        <v>1</v>
      </c>
      <c r="AA485" s="328">
        <v>3</v>
      </c>
      <c r="AB485" s="328"/>
      <c r="AC485" s="328"/>
      <c r="AD485" s="328"/>
      <c r="AE485" s="328">
        <v>4</v>
      </c>
      <c r="AF485" s="328">
        <v>4</v>
      </c>
      <c r="AG485" s="328"/>
      <c r="AH485" s="328"/>
      <c r="AI485" s="328"/>
      <c r="AJ485" s="328"/>
      <c r="AK485" s="328"/>
      <c r="AL485" s="328"/>
      <c r="AM485" s="328"/>
      <c r="AN485" s="328"/>
      <c r="AO485" s="328"/>
      <c r="AP485" s="328"/>
      <c r="AQ485" s="328"/>
      <c r="AR485" s="328"/>
      <c r="AS485" s="328"/>
      <c r="AT485" s="328"/>
      <c r="AU485" s="328"/>
      <c r="AV485" s="328"/>
      <c r="AW485" s="328"/>
      <c r="AX485" s="328"/>
      <c r="AY485" s="954"/>
      <c r="AZ485" s="36"/>
      <c r="BA485" s="36"/>
      <c r="BB485" s="36"/>
      <c r="BC485" s="36"/>
      <c r="BD485" s="36"/>
      <c r="BF485">
        <f>ROWS($U$46:U485)</f>
        <v>440</v>
      </c>
      <c r="BG485" t="str">
        <f t="shared" si="210"/>
        <v/>
      </c>
    </row>
    <row r="486" spans="12:59" ht="15" customHeight="1" x14ac:dyDescent="0.35">
      <c r="L486" s="10" t="s">
        <v>1216</v>
      </c>
      <c r="O486" s="329">
        <v>1</v>
      </c>
      <c r="P486" s="320">
        <v>1039060</v>
      </c>
      <c r="Q486" s="320">
        <v>33</v>
      </c>
      <c r="R486" s="320"/>
      <c r="S486" s="552" t="s">
        <v>1198</v>
      </c>
      <c r="T486" s="320" t="s">
        <v>846</v>
      </c>
      <c r="U486" s="320">
        <v>1061407</v>
      </c>
      <c r="V486" s="319" t="s">
        <v>87</v>
      </c>
      <c r="W486" s="320">
        <v>1</v>
      </c>
      <c r="X486" s="320">
        <v>1</v>
      </c>
      <c r="Y486" s="320">
        <v>1</v>
      </c>
      <c r="Z486" s="320">
        <v>1</v>
      </c>
      <c r="AA486" s="320">
        <v>1</v>
      </c>
      <c r="AB486" s="320">
        <v>1</v>
      </c>
      <c r="AC486" s="320">
        <v>1</v>
      </c>
      <c r="AD486" s="320">
        <v>3</v>
      </c>
      <c r="AE486" s="320"/>
      <c r="AF486" s="320">
        <v>2</v>
      </c>
      <c r="AG486" s="320">
        <v>2</v>
      </c>
      <c r="AH486" s="320">
        <v>2</v>
      </c>
      <c r="AI486" s="320">
        <v>2</v>
      </c>
      <c r="AJ486" s="320"/>
      <c r="AK486" s="320"/>
      <c r="AL486" s="320"/>
      <c r="AM486" s="320"/>
      <c r="AN486" s="320"/>
      <c r="AO486" s="320"/>
      <c r="AP486" s="320"/>
      <c r="AQ486" s="320"/>
      <c r="AR486" s="320"/>
      <c r="AS486" s="320"/>
      <c r="AT486" s="320"/>
      <c r="AU486" s="320"/>
      <c r="AV486" s="320"/>
      <c r="AW486" s="320"/>
      <c r="AX486" s="320"/>
      <c r="AY486" s="952"/>
      <c r="AZ486" s="36"/>
      <c r="BA486" s="36"/>
      <c r="BB486" s="36"/>
      <c r="BC486" s="36"/>
      <c r="BD486" s="36"/>
      <c r="BF486">
        <f>ROWS($U$46:U486)</f>
        <v>441</v>
      </c>
      <c r="BG486">
        <f t="shared" si="210"/>
        <v>441</v>
      </c>
    </row>
    <row r="487" spans="12:59" ht="15" customHeight="1" x14ac:dyDescent="0.35">
      <c r="L487" s="10" t="s">
        <v>859</v>
      </c>
      <c r="O487" s="330">
        <v>2</v>
      </c>
      <c r="P487" s="36">
        <v>1130197</v>
      </c>
      <c r="Q487" s="36">
        <v>23</v>
      </c>
      <c r="R487" s="36"/>
      <c r="S487" s="553" t="s">
        <v>1198</v>
      </c>
      <c r="T487" s="36" t="s">
        <v>846</v>
      </c>
      <c r="U487" s="36">
        <v>1061407</v>
      </c>
      <c r="V487" s="165" t="s">
        <v>88</v>
      </c>
      <c r="W487" s="36">
        <v>1</v>
      </c>
      <c r="X487" s="36">
        <v>1</v>
      </c>
      <c r="Y487" s="36">
        <v>1</v>
      </c>
      <c r="Z487" s="36">
        <v>1</v>
      </c>
      <c r="AA487" s="36">
        <v>3</v>
      </c>
      <c r="AB487" s="36"/>
      <c r="AC487" s="36"/>
      <c r="AD487" s="36"/>
      <c r="AE487" s="36"/>
      <c r="AF487" s="36">
        <v>2</v>
      </c>
      <c r="AG487" s="36">
        <v>2</v>
      </c>
      <c r="AH487" s="36">
        <v>2</v>
      </c>
      <c r="AI487" s="36">
        <v>2</v>
      </c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  <c r="AW487" s="36"/>
      <c r="AX487" s="36"/>
      <c r="AY487" s="953"/>
      <c r="AZ487" s="36"/>
      <c r="BA487" s="36"/>
      <c r="BB487" s="36"/>
      <c r="BC487" s="36"/>
      <c r="BD487" s="36"/>
      <c r="BF487">
        <f>ROWS($U$46:U487)</f>
        <v>442</v>
      </c>
      <c r="BG487">
        <f t="shared" si="210"/>
        <v>442</v>
      </c>
    </row>
    <row r="488" spans="12:59" ht="15" customHeight="1" x14ac:dyDescent="0.35">
      <c r="L488" s="10" t="s">
        <v>81</v>
      </c>
      <c r="O488" s="330">
        <v>3</v>
      </c>
      <c r="P488" s="36">
        <v>418525</v>
      </c>
      <c r="Q488" s="36">
        <v>6</v>
      </c>
      <c r="R488" s="36"/>
      <c r="S488" s="553" t="s">
        <v>1198</v>
      </c>
      <c r="T488" s="36" t="s">
        <v>846</v>
      </c>
      <c r="U488" s="36">
        <v>1061407</v>
      </c>
      <c r="V488" s="165" t="s">
        <v>89</v>
      </c>
      <c r="W488" s="36">
        <v>1</v>
      </c>
      <c r="X488" s="36">
        <v>1</v>
      </c>
      <c r="Y488" s="36">
        <v>1</v>
      </c>
      <c r="Z488" s="36">
        <v>1</v>
      </c>
      <c r="AA488" s="36">
        <v>1</v>
      </c>
      <c r="AB488" s="36">
        <v>1</v>
      </c>
      <c r="AC488" s="36">
        <v>3</v>
      </c>
      <c r="AD488" s="36"/>
      <c r="AE488" s="36"/>
      <c r="AF488" s="36">
        <v>2</v>
      </c>
      <c r="AG488" s="36">
        <v>2</v>
      </c>
      <c r="AH488" s="36">
        <v>2</v>
      </c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  <c r="AW488" s="36"/>
      <c r="AX488" s="36"/>
      <c r="AY488" s="953"/>
      <c r="AZ488" s="36"/>
      <c r="BA488" s="36"/>
      <c r="BB488" s="36"/>
      <c r="BC488" s="36"/>
      <c r="BD488" s="36"/>
      <c r="BF488">
        <f>ROWS($U$46:U488)</f>
        <v>443</v>
      </c>
      <c r="BG488">
        <f t="shared" si="210"/>
        <v>443</v>
      </c>
    </row>
    <row r="489" spans="12:59" ht="15" customHeight="1" x14ac:dyDescent="0.35">
      <c r="L489" s="10" t="s">
        <v>860</v>
      </c>
      <c r="O489" s="330"/>
      <c r="P489" s="36"/>
      <c r="Q489" s="36"/>
      <c r="R489" s="36"/>
      <c r="S489" s="553" t="s">
        <v>1198</v>
      </c>
      <c r="T489" s="36" t="s">
        <v>846</v>
      </c>
      <c r="U489" s="36">
        <v>1061407</v>
      </c>
      <c r="V489" s="165" t="s">
        <v>90</v>
      </c>
      <c r="W489" s="36">
        <v>1</v>
      </c>
      <c r="X489" s="36">
        <v>1</v>
      </c>
      <c r="Y489" s="36">
        <v>1</v>
      </c>
      <c r="Z489" s="36">
        <v>1</v>
      </c>
      <c r="AA489" s="36">
        <v>1</v>
      </c>
      <c r="AB489" s="36">
        <v>3</v>
      </c>
      <c r="AC489" s="36"/>
      <c r="AD489" s="36"/>
      <c r="AE489" s="36"/>
      <c r="AF489" s="36">
        <v>2</v>
      </c>
      <c r="AG489" s="36">
        <v>2</v>
      </c>
      <c r="AH489" s="36">
        <v>2</v>
      </c>
      <c r="AI489" s="36">
        <v>2</v>
      </c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  <c r="AW489" s="36"/>
      <c r="AX489" s="36"/>
      <c r="AY489" s="953"/>
      <c r="AZ489" s="36"/>
      <c r="BA489" s="36"/>
      <c r="BB489" s="36"/>
      <c r="BC489" s="36"/>
      <c r="BD489" s="36"/>
      <c r="BF489">
        <f>ROWS($U$46:U489)</f>
        <v>444</v>
      </c>
      <c r="BG489">
        <f t="shared" si="210"/>
        <v>444</v>
      </c>
    </row>
    <row r="490" spans="12:59" ht="15" customHeight="1" x14ac:dyDescent="0.35">
      <c r="L490" s="10" t="s">
        <v>82</v>
      </c>
      <c r="O490" s="330"/>
      <c r="P490" s="36"/>
      <c r="Q490" s="36"/>
      <c r="R490" s="36"/>
      <c r="S490" s="553" t="s">
        <v>1198</v>
      </c>
      <c r="T490" s="36" t="s">
        <v>846</v>
      </c>
      <c r="U490" s="36">
        <v>1061407</v>
      </c>
      <c r="V490" s="165" t="s">
        <v>91</v>
      </c>
      <c r="W490" s="36">
        <v>1</v>
      </c>
      <c r="X490" s="36">
        <v>1</v>
      </c>
      <c r="Y490" s="36">
        <v>1</v>
      </c>
      <c r="Z490" s="36">
        <v>1</v>
      </c>
      <c r="AA490" s="36">
        <v>1</v>
      </c>
      <c r="AB490" s="36">
        <v>1</v>
      </c>
      <c r="AC490" s="36">
        <v>1</v>
      </c>
      <c r="AD490" s="36">
        <v>3</v>
      </c>
      <c r="AE490" s="36"/>
      <c r="AF490" s="36">
        <v>2</v>
      </c>
      <c r="AG490" s="36">
        <v>2</v>
      </c>
      <c r="AH490" s="36">
        <v>2</v>
      </c>
      <c r="AI490" s="36">
        <v>2</v>
      </c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953"/>
      <c r="AZ490" s="36"/>
      <c r="BA490" s="36"/>
      <c r="BB490" s="36"/>
      <c r="BC490" s="36"/>
      <c r="BD490" s="36"/>
      <c r="BF490">
        <f>ROWS($U$46:U490)</f>
        <v>445</v>
      </c>
      <c r="BG490">
        <f t="shared" si="210"/>
        <v>445</v>
      </c>
    </row>
    <row r="491" spans="12:59" ht="15" customHeight="1" thickBot="1" x14ac:dyDescent="0.4">
      <c r="L491" s="10" t="s">
        <v>1061</v>
      </c>
      <c r="O491" s="330"/>
      <c r="P491" s="36"/>
      <c r="Q491" s="36"/>
      <c r="R491" s="36"/>
      <c r="S491" s="553" t="s">
        <v>1198</v>
      </c>
      <c r="T491" s="36" t="s">
        <v>846</v>
      </c>
      <c r="U491" s="36">
        <v>1061407</v>
      </c>
      <c r="V491" s="165" t="s">
        <v>92</v>
      </c>
      <c r="W491" s="36">
        <v>1</v>
      </c>
      <c r="X491" s="36">
        <v>1</v>
      </c>
      <c r="Y491" s="36">
        <v>1</v>
      </c>
      <c r="Z491" s="36">
        <v>1</v>
      </c>
      <c r="AA491" s="36">
        <v>3</v>
      </c>
      <c r="AB491" s="36"/>
      <c r="AC491" s="36"/>
      <c r="AD491" s="36"/>
      <c r="AE491" s="36"/>
      <c r="AF491" s="36">
        <v>2</v>
      </c>
      <c r="AG491" s="36">
        <v>2</v>
      </c>
      <c r="AH491" s="36">
        <v>2</v>
      </c>
      <c r="AI491" s="36">
        <v>2</v>
      </c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  <c r="AW491" s="36"/>
      <c r="AX491" s="36"/>
      <c r="AY491" s="953"/>
      <c r="AZ491" s="36"/>
      <c r="BA491" s="36"/>
      <c r="BB491" s="36"/>
      <c r="BC491" s="36"/>
      <c r="BD491" s="36"/>
      <c r="BF491">
        <f>ROWS($U$46:U491)</f>
        <v>446</v>
      </c>
      <c r="BG491">
        <f t="shared" si="210"/>
        <v>446</v>
      </c>
    </row>
    <row r="492" spans="12:59" ht="15" customHeight="1" x14ac:dyDescent="0.35">
      <c r="L492" s="10" t="s">
        <v>861</v>
      </c>
      <c r="O492" s="329">
        <v>1</v>
      </c>
      <c r="P492" s="320">
        <v>418525</v>
      </c>
      <c r="Q492" s="320">
        <v>6</v>
      </c>
      <c r="R492" s="320"/>
      <c r="S492" s="552" t="s">
        <v>1200</v>
      </c>
      <c r="T492" s="320" t="s">
        <v>744</v>
      </c>
      <c r="U492" s="320">
        <v>1111265</v>
      </c>
      <c r="V492" s="319" t="s">
        <v>87</v>
      </c>
      <c r="W492" s="320">
        <v>2</v>
      </c>
      <c r="X492" s="320">
        <v>3</v>
      </c>
      <c r="Y492" s="320">
        <v>4</v>
      </c>
      <c r="Z492" s="320">
        <v>4</v>
      </c>
      <c r="AA492" s="320">
        <v>4</v>
      </c>
      <c r="AB492" s="320">
        <v>4</v>
      </c>
      <c r="AC492" s="320">
        <v>4</v>
      </c>
      <c r="AD492" s="320">
        <v>1</v>
      </c>
      <c r="AE492" s="320"/>
      <c r="AF492" s="320"/>
      <c r="AG492" s="320"/>
      <c r="AH492" s="320"/>
      <c r="AI492" s="320"/>
      <c r="AJ492" s="320"/>
      <c r="AK492" s="320"/>
      <c r="AL492" s="320"/>
      <c r="AM492" s="320"/>
      <c r="AN492" s="320"/>
      <c r="AO492" s="320"/>
      <c r="AP492" s="320"/>
      <c r="AQ492" s="320"/>
      <c r="AR492" s="320"/>
      <c r="AS492" s="320"/>
      <c r="AT492" s="320"/>
      <c r="AU492" s="320"/>
      <c r="AV492" s="320"/>
      <c r="AW492" s="320"/>
      <c r="AX492" s="320"/>
      <c r="AY492" s="952"/>
      <c r="AZ492" s="36"/>
      <c r="BA492" s="36"/>
      <c r="BB492" s="36"/>
      <c r="BC492" s="36"/>
      <c r="BD492" s="36"/>
      <c r="BF492">
        <f>ROWS($U$46:U492)</f>
        <v>447</v>
      </c>
      <c r="BG492" t="str">
        <f t="shared" si="210"/>
        <v/>
      </c>
    </row>
    <row r="493" spans="12:59" ht="15" customHeight="1" x14ac:dyDescent="0.35">
      <c r="L493" s="10" t="s">
        <v>1225</v>
      </c>
      <c r="O493" s="330">
        <v>2</v>
      </c>
      <c r="P493" s="36">
        <v>871781</v>
      </c>
      <c r="Q493" s="36">
        <v>3</v>
      </c>
      <c r="R493" s="36"/>
      <c r="S493" s="553" t="s">
        <v>1200</v>
      </c>
      <c r="T493" s="36" t="s">
        <v>744</v>
      </c>
      <c r="U493" s="36">
        <v>1111265</v>
      </c>
      <c r="V493" s="165" t="s">
        <v>88</v>
      </c>
      <c r="W493" s="36">
        <v>4</v>
      </c>
      <c r="X493" s="36">
        <v>4</v>
      </c>
      <c r="Y493" s="36">
        <v>4</v>
      </c>
      <c r="Z493" s="36">
        <v>4</v>
      </c>
      <c r="AA493" s="36">
        <v>1</v>
      </c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  <c r="AW493" s="36"/>
      <c r="AX493" s="36"/>
      <c r="AY493" s="953"/>
      <c r="AZ493" s="36"/>
      <c r="BA493" s="36"/>
      <c r="BB493" s="36"/>
      <c r="BC493" s="36"/>
      <c r="BD493" s="36"/>
      <c r="BF493">
        <f>ROWS($U$46:U493)</f>
        <v>448</v>
      </c>
      <c r="BG493" t="str">
        <f t="shared" si="210"/>
        <v/>
      </c>
    </row>
    <row r="494" spans="12:59" ht="15" customHeight="1" x14ac:dyDescent="0.35">
      <c r="L494" s="10" t="s">
        <v>1556</v>
      </c>
      <c r="O494" s="330">
        <v>3</v>
      </c>
      <c r="P494" s="36">
        <v>853550</v>
      </c>
      <c r="Q494" s="36">
        <v>3</v>
      </c>
      <c r="R494" s="36"/>
      <c r="S494" s="553" t="s">
        <v>1200</v>
      </c>
      <c r="T494" s="36" t="s">
        <v>744</v>
      </c>
      <c r="U494" s="36">
        <v>1111265</v>
      </c>
      <c r="V494" s="165" t="s">
        <v>89</v>
      </c>
      <c r="W494" s="36">
        <v>2</v>
      </c>
      <c r="X494" s="36">
        <v>3</v>
      </c>
      <c r="Y494" s="36">
        <v>4</v>
      </c>
      <c r="Z494" s="36">
        <v>4</v>
      </c>
      <c r="AA494" s="36">
        <v>4</v>
      </c>
      <c r="AB494" s="36">
        <v>4</v>
      </c>
      <c r="AC494" s="36">
        <v>4</v>
      </c>
      <c r="AD494" s="36">
        <v>1</v>
      </c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953"/>
      <c r="AZ494" s="36"/>
      <c r="BA494" s="36"/>
      <c r="BB494" s="36"/>
      <c r="BC494" s="36"/>
      <c r="BD494" s="36"/>
      <c r="BF494">
        <f>ROWS($U$46:U494)</f>
        <v>449</v>
      </c>
      <c r="BG494" t="str">
        <f t="shared" si="210"/>
        <v/>
      </c>
    </row>
    <row r="495" spans="12:59" ht="15" customHeight="1" x14ac:dyDescent="0.35">
      <c r="L495" s="10" t="s">
        <v>1562</v>
      </c>
      <c r="O495" s="330">
        <v>4</v>
      </c>
      <c r="P495" s="36">
        <v>853551</v>
      </c>
      <c r="Q495" s="36">
        <v>28</v>
      </c>
      <c r="R495" s="36"/>
      <c r="S495" s="553" t="s">
        <v>1200</v>
      </c>
      <c r="T495" s="36" t="s">
        <v>744</v>
      </c>
      <c r="U495" s="36">
        <v>1111265</v>
      </c>
      <c r="V495" s="165" t="s">
        <v>90</v>
      </c>
      <c r="W495" s="36">
        <v>4</v>
      </c>
      <c r="X495" s="36">
        <v>4</v>
      </c>
      <c r="Y495" s="36">
        <v>4</v>
      </c>
      <c r="Z495" s="36">
        <v>4</v>
      </c>
      <c r="AA495" s="36">
        <v>4</v>
      </c>
      <c r="AB495" s="36">
        <v>1</v>
      </c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953"/>
      <c r="AZ495" s="36"/>
      <c r="BA495" s="36"/>
      <c r="BB495" s="36"/>
      <c r="BC495" s="36"/>
      <c r="BD495" s="36"/>
      <c r="BF495">
        <f>ROWS($U$46:U495)</f>
        <v>450</v>
      </c>
      <c r="BG495" t="str">
        <f t="shared" ref="BG495:BG558" si="211">IF(VALUE(SUBSTITUTE($B$5,"M",""))=U495,BF495,"")</f>
        <v/>
      </c>
    </row>
    <row r="496" spans="12:59" ht="15" customHeight="1" x14ac:dyDescent="0.35">
      <c r="L496" s="10" t="s">
        <v>1362</v>
      </c>
      <c r="O496" s="330"/>
      <c r="P496" s="36"/>
      <c r="Q496" s="36"/>
      <c r="R496" s="36"/>
      <c r="S496" s="553" t="s">
        <v>1200</v>
      </c>
      <c r="T496" s="36" t="s">
        <v>744</v>
      </c>
      <c r="U496" s="36">
        <v>1111265</v>
      </c>
      <c r="V496" s="165" t="s">
        <v>91</v>
      </c>
      <c r="W496" s="36">
        <v>2</v>
      </c>
      <c r="X496" s="36">
        <v>3</v>
      </c>
      <c r="Y496" s="36">
        <v>4</v>
      </c>
      <c r="Z496" s="36">
        <v>4</v>
      </c>
      <c r="AA496" s="36">
        <v>4</v>
      </c>
      <c r="AB496" s="36">
        <v>4</v>
      </c>
      <c r="AC496" s="36">
        <v>4</v>
      </c>
      <c r="AD496" s="36">
        <v>1</v>
      </c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  <c r="AW496" s="36"/>
      <c r="AX496" s="36"/>
      <c r="AY496" s="953"/>
      <c r="AZ496" s="36"/>
      <c r="BA496" s="36"/>
      <c r="BB496" s="36"/>
      <c r="BC496" s="36"/>
      <c r="BD496" s="36"/>
      <c r="BF496">
        <f>ROWS($U$46:U496)</f>
        <v>451</v>
      </c>
      <c r="BG496" t="str">
        <f t="shared" si="211"/>
        <v/>
      </c>
    </row>
    <row r="497" spans="12:59" ht="15" customHeight="1" thickBot="1" x14ac:dyDescent="0.4">
      <c r="L497" s="10" t="s">
        <v>862</v>
      </c>
      <c r="O497" s="330"/>
      <c r="P497" s="36"/>
      <c r="Q497" s="36"/>
      <c r="R497" s="36"/>
      <c r="S497" s="553" t="s">
        <v>1200</v>
      </c>
      <c r="T497" s="36" t="s">
        <v>744</v>
      </c>
      <c r="U497" s="36">
        <v>1111265</v>
      </c>
      <c r="V497" s="165" t="s">
        <v>92</v>
      </c>
      <c r="W497" s="36">
        <v>4</v>
      </c>
      <c r="X497" s="36">
        <v>4</v>
      </c>
      <c r="Y497" s="36">
        <v>4</v>
      </c>
      <c r="Z497" s="36">
        <v>4</v>
      </c>
      <c r="AA497" s="36">
        <v>1</v>
      </c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  <c r="AW497" s="36"/>
      <c r="AX497" s="36"/>
      <c r="AY497" s="953"/>
      <c r="AZ497" s="36"/>
      <c r="BA497" s="36"/>
      <c r="BB497" s="36"/>
      <c r="BC497" s="36"/>
      <c r="BD497" s="36"/>
      <c r="BF497">
        <f>ROWS($U$46:U497)</f>
        <v>452</v>
      </c>
      <c r="BG497" t="str">
        <f t="shared" si="211"/>
        <v/>
      </c>
    </row>
    <row r="498" spans="12:59" ht="15" customHeight="1" x14ac:dyDescent="0.35">
      <c r="L498" s="10" t="s">
        <v>1926</v>
      </c>
      <c r="O498" s="329">
        <v>1</v>
      </c>
      <c r="P498" s="320">
        <v>729691</v>
      </c>
      <c r="Q498" s="320">
        <v>27</v>
      </c>
      <c r="R498" s="320"/>
      <c r="S498" s="552" t="s">
        <v>1200</v>
      </c>
      <c r="T498" s="320" t="s">
        <v>1204</v>
      </c>
      <c r="U498" s="320">
        <v>1096422</v>
      </c>
      <c r="V498" s="319" t="s">
        <v>87</v>
      </c>
      <c r="W498" s="320">
        <v>2</v>
      </c>
      <c r="X498" s="320">
        <v>1</v>
      </c>
      <c r="Y498" s="320">
        <v>1</v>
      </c>
      <c r="Z498" s="320">
        <v>1</v>
      </c>
      <c r="AA498" s="320">
        <v>1</v>
      </c>
      <c r="AB498" s="320">
        <v>1</v>
      </c>
      <c r="AC498" s="320">
        <v>1</v>
      </c>
      <c r="AD498" s="320">
        <v>3</v>
      </c>
      <c r="AE498" s="320"/>
      <c r="AF498" s="320">
        <v>4</v>
      </c>
      <c r="AG498" s="320">
        <v>4</v>
      </c>
      <c r="AH498" s="320">
        <v>4</v>
      </c>
      <c r="AI498" s="320">
        <v>4</v>
      </c>
      <c r="AJ498" s="320">
        <v>4</v>
      </c>
      <c r="AK498" s="320">
        <v>4</v>
      </c>
      <c r="AL498" s="320"/>
      <c r="AM498" s="320"/>
      <c r="AN498" s="320"/>
      <c r="AO498" s="320"/>
      <c r="AP498" s="320"/>
      <c r="AQ498" s="320"/>
      <c r="AR498" s="320"/>
      <c r="AS498" s="320"/>
      <c r="AT498" s="320"/>
      <c r="AU498" s="320"/>
      <c r="AV498" s="320"/>
      <c r="AW498" s="320"/>
      <c r="AX498" s="320"/>
      <c r="AY498" s="952"/>
      <c r="AZ498" s="36"/>
      <c r="BA498" s="36"/>
      <c r="BB498" s="36"/>
      <c r="BC498" s="36"/>
      <c r="BD498" s="36"/>
      <c r="BF498">
        <f>ROWS($U$46:U498)</f>
        <v>453</v>
      </c>
      <c r="BG498" t="str">
        <f t="shared" si="211"/>
        <v/>
      </c>
    </row>
    <row r="499" spans="12:59" ht="15" customHeight="1" x14ac:dyDescent="0.35">
      <c r="L499" s="10" t="s">
        <v>1308</v>
      </c>
      <c r="O499" s="330">
        <v>2</v>
      </c>
      <c r="P499" s="36">
        <v>647436</v>
      </c>
      <c r="Q499" s="36">
        <v>3</v>
      </c>
      <c r="R499" s="36"/>
      <c r="S499" s="553" t="s">
        <v>1200</v>
      </c>
      <c r="T499" s="36" t="s">
        <v>1204</v>
      </c>
      <c r="U499" s="36">
        <v>1096422</v>
      </c>
      <c r="V499" s="165" t="s">
        <v>88</v>
      </c>
      <c r="W499" s="36">
        <v>1</v>
      </c>
      <c r="X499" s="36">
        <v>1</v>
      </c>
      <c r="Y499" s="36">
        <v>1</v>
      </c>
      <c r="Z499" s="36">
        <v>1</v>
      </c>
      <c r="AA499" s="36">
        <v>1</v>
      </c>
      <c r="AB499" s="36">
        <v>3</v>
      </c>
      <c r="AC499" s="36"/>
      <c r="AD499" s="36"/>
      <c r="AE499" s="36"/>
      <c r="AF499" s="36">
        <v>4</v>
      </c>
      <c r="AG499" s="36">
        <v>4</v>
      </c>
      <c r="AH499" s="36">
        <v>4</v>
      </c>
      <c r="AI499" s="36">
        <v>4</v>
      </c>
      <c r="AJ499" s="36">
        <v>4</v>
      </c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  <c r="AW499" s="36"/>
      <c r="AX499" s="36"/>
      <c r="AY499" s="953"/>
      <c r="AZ499" s="36"/>
      <c r="BA499" s="36"/>
      <c r="BB499" s="36"/>
      <c r="BC499" s="36"/>
      <c r="BD499" s="36"/>
      <c r="BF499">
        <f>ROWS($U$46:U499)</f>
        <v>454</v>
      </c>
      <c r="BG499" t="str">
        <f t="shared" si="211"/>
        <v/>
      </c>
    </row>
    <row r="500" spans="12:59" ht="15" customHeight="1" x14ac:dyDescent="0.35">
      <c r="L500" s="10" t="s">
        <v>83</v>
      </c>
      <c r="O500" s="330">
        <v>3</v>
      </c>
      <c r="P500" s="36">
        <v>418525</v>
      </c>
      <c r="Q500" s="36">
        <v>5</v>
      </c>
      <c r="R500" s="36"/>
      <c r="S500" s="553" t="s">
        <v>1200</v>
      </c>
      <c r="T500" s="36" t="s">
        <v>1204</v>
      </c>
      <c r="U500" s="36">
        <v>1096422</v>
      </c>
      <c r="V500" s="165" t="s">
        <v>89</v>
      </c>
      <c r="W500" s="36">
        <v>2</v>
      </c>
      <c r="X500" s="36">
        <v>1</v>
      </c>
      <c r="Y500" s="36">
        <v>1</v>
      </c>
      <c r="Z500" s="36">
        <v>1</v>
      </c>
      <c r="AA500" s="36">
        <v>1</v>
      </c>
      <c r="AB500" s="36">
        <v>1</v>
      </c>
      <c r="AC500" s="36">
        <v>3</v>
      </c>
      <c r="AD500" s="36"/>
      <c r="AE500" s="36"/>
      <c r="AF500" s="36">
        <v>4</v>
      </c>
      <c r="AG500" s="36">
        <v>4</v>
      </c>
      <c r="AH500" s="36">
        <v>4</v>
      </c>
      <c r="AI500" s="36">
        <v>4</v>
      </c>
      <c r="AJ500" s="36">
        <v>4</v>
      </c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  <c r="AW500" s="36"/>
      <c r="AX500" s="36"/>
      <c r="AY500" s="953"/>
      <c r="AZ500" s="36"/>
      <c r="BA500" s="36"/>
      <c r="BB500" s="36"/>
      <c r="BC500" s="36"/>
      <c r="BD500" s="36"/>
      <c r="BF500">
        <f>ROWS($U$46:U500)</f>
        <v>455</v>
      </c>
      <c r="BG500" t="str">
        <f t="shared" si="211"/>
        <v/>
      </c>
    </row>
    <row r="501" spans="12:59" ht="15" customHeight="1" x14ac:dyDescent="0.35">
      <c r="L501" s="10" t="s">
        <v>1246</v>
      </c>
      <c r="O501" s="330">
        <v>4</v>
      </c>
      <c r="P501" s="36">
        <v>625854</v>
      </c>
      <c r="Q501" s="36">
        <v>27</v>
      </c>
      <c r="R501" s="36"/>
      <c r="S501" s="553" t="s">
        <v>1200</v>
      </c>
      <c r="T501" s="36" t="s">
        <v>1204</v>
      </c>
      <c r="U501" s="36">
        <v>1096422</v>
      </c>
      <c r="V501" s="165" t="s">
        <v>90</v>
      </c>
      <c r="W501" s="36">
        <v>2</v>
      </c>
      <c r="X501" s="36">
        <v>1</v>
      </c>
      <c r="Y501" s="36">
        <v>1</v>
      </c>
      <c r="Z501" s="36">
        <v>1</v>
      </c>
      <c r="AA501" s="36">
        <v>1</v>
      </c>
      <c r="AB501" s="36">
        <v>1</v>
      </c>
      <c r="AC501" s="36">
        <v>1</v>
      </c>
      <c r="AD501" s="36">
        <v>3</v>
      </c>
      <c r="AE501" s="36"/>
      <c r="AF501" s="36">
        <v>4</v>
      </c>
      <c r="AG501" s="36">
        <v>4</v>
      </c>
      <c r="AH501" s="36">
        <v>4</v>
      </c>
      <c r="AI501" s="36">
        <v>4</v>
      </c>
      <c r="AJ501" s="36">
        <v>4</v>
      </c>
      <c r="AK501" s="36">
        <v>4</v>
      </c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  <c r="AW501" s="36"/>
      <c r="AX501" s="36"/>
      <c r="AY501" s="953"/>
      <c r="AZ501" s="36"/>
      <c r="BA501" s="36"/>
      <c r="BB501" s="36"/>
      <c r="BC501" s="36"/>
      <c r="BD501" s="36"/>
      <c r="BF501">
        <f>ROWS($U$46:U501)</f>
        <v>456</v>
      </c>
      <c r="BG501" t="str">
        <f t="shared" si="211"/>
        <v/>
      </c>
    </row>
    <row r="502" spans="12:59" ht="15" customHeight="1" thickBot="1" x14ac:dyDescent="0.4">
      <c r="L502" s="10">
        <v>742471</v>
      </c>
      <c r="O502" s="331"/>
      <c r="P502" s="328"/>
      <c r="Q502" s="328"/>
      <c r="R502" s="328"/>
      <c r="S502" s="554" t="s">
        <v>1200</v>
      </c>
      <c r="T502" s="328" t="s">
        <v>1204</v>
      </c>
      <c r="U502" s="328">
        <v>1096422</v>
      </c>
      <c r="V502" s="327" t="s">
        <v>91</v>
      </c>
      <c r="W502" s="328">
        <v>1</v>
      </c>
      <c r="X502" s="328">
        <v>1</v>
      </c>
      <c r="Y502" s="328">
        <v>1</v>
      </c>
      <c r="Z502" s="328">
        <v>1</v>
      </c>
      <c r="AA502" s="328">
        <v>1</v>
      </c>
      <c r="AB502" s="328">
        <v>3</v>
      </c>
      <c r="AC502" s="328"/>
      <c r="AD502" s="328"/>
      <c r="AE502" s="328"/>
      <c r="AF502" s="328">
        <v>4</v>
      </c>
      <c r="AG502" s="328">
        <v>4</v>
      </c>
      <c r="AH502" s="328">
        <v>4</v>
      </c>
      <c r="AI502" s="328">
        <v>4</v>
      </c>
      <c r="AJ502" s="328">
        <v>4</v>
      </c>
      <c r="AK502" s="328"/>
      <c r="AL502" s="328"/>
      <c r="AM502" s="328"/>
      <c r="AN502" s="328"/>
      <c r="AO502" s="328"/>
      <c r="AP502" s="328"/>
      <c r="AQ502" s="328"/>
      <c r="AR502" s="328"/>
      <c r="AS502" s="328"/>
      <c r="AT502" s="328"/>
      <c r="AU502" s="328"/>
      <c r="AV502" s="328"/>
      <c r="AW502" s="328"/>
      <c r="AX502" s="328"/>
      <c r="AY502" s="954"/>
      <c r="AZ502" s="36"/>
      <c r="BA502" s="36"/>
      <c r="BB502" s="36"/>
      <c r="BC502" s="36"/>
      <c r="BD502" s="36"/>
      <c r="BF502">
        <f>ROWS($U$46:U502)</f>
        <v>457</v>
      </c>
      <c r="BG502" t="str">
        <f t="shared" si="211"/>
        <v/>
      </c>
    </row>
    <row r="503" spans="12:59" ht="15" customHeight="1" x14ac:dyDescent="0.35">
      <c r="L503" s="10" t="s">
        <v>2140</v>
      </c>
      <c r="O503" s="329">
        <v>1</v>
      </c>
      <c r="P503" s="320">
        <v>853552</v>
      </c>
      <c r="Q503" s="320">
        <v>32</v>
      </c>
      <c r="R503" s="320"/>
      <c r="S503" s="552" t="s">
        <v>1207</v>
      </c>
      <c r="T503" s="320" t="s">
        <v>748</v>
      </c>
      <c r="U503" s="320">
        <v>1112857</v>
      </c>
      <c r="V503" s="319" t="s">
        <v>87</v>
      </c>
      <c r="W503" s="320">
        <v>2</v>
      </c>
      <c r="X503" s="320">
        <v>2</v>
      </c>
      <c r="Y503" s="320">
        <v>2</v>
      </c>
      <c r="Z503" s="320">
        <v>1</v>
      </c>
      <c r="AA503" s="320">
        <v>1</v>
      </c>
      <c r="AB503" s="320">
        <v>1</v>
      </c>
      <c r="AC503" s="320">
        <v>1</v>
      </c>
      <c r="AD503" s="320">
        <v>1</v>
      </c>
      <c r="AE503" s="320">
        <v>3</v>
      </c>
      <c r="AF503" s="320">
        <v>3</v>
      </c>
      <c r="AG503" s="320">
        <v>4</v>
      </c>
      <c r="AH503" s="320"/>
      <c r="AI503" s="320"/>
      <c r="AJ503" s="320"/>
      <c r="AK503" s="320"/>
      <c r="AL503" s="320"/>
      <c r="AM503" s="320"/>
      <c r="AN503" s="320"/>
      <c r="AO503" s="320"/>
      <c r="AP503" s="320"/>
      <c r="AQ503" s="320"/>
      <c r="AR503" s="320"/>
      <c r="AS503" s="320"/>
      <c r="AT503" s="320"/>
      <c r="AU503" s="320"/>
      <c r="AV503" s="320"/>
      <c r="AW503" s="320"/>
      <c r="AX503" s="320"/>
      <c r="AY503" s="952"/>
      <c r="AZ503" s="36"/>
      <c r="BA503" s="36"/>
      <c r="BB503" s="36"/>
      <c r="BC503" s="36"/>
      <c r="BD503" s="36"/>
      <c r="BF503">
        <f>ROWS($U$46:U503)</f>
        <v>458</v>
      </c>
      <c r="BG503" t="str">
        <f t="shared" si="211"/>
        <v/>
      </c>
    </row>
    <row r="504" spans="12:59" ht="15" customHeight="1" x14ac:dyDescent="0.35">
      <c r="L504" s="10">
        <v>888995</v>
      </c>
      <c r="O504" s="330">
        <v>2</v>
      </c>
      <c r="P504" s="36">
        <v>729691</v>
      </c>
      <c r="Q504" s="36">
        <v>9</v>
      </c>
      <c r="R504" s="36"/>
      <c r="S504" s="553" t="s">
        <v>1207</v>
      </c>
      <c r="T504" s="36" t="s">
        <v>748</v>
      </c>
      <c r="U504" s="36">
        <v>1112857</v>
      </c>
      <c r="V504" s="165" t="s">
        <v>88</v>
      </c>
      <c r="W504" s="36">
        <v>1</v>
      </c>
      <c r="X504" s="36">
        <v>1</v>
      </c>
      <c r="Y504" s="36">
        <v>1</v>
      </c>
      <c r="Z504" s="36">
        <v>1</v>
      </c>
      <c r="AA504" s="36">
        <v>3</v>
      </c>
      <c r="AB504" s="36">
        <v>3</v>
      </c>
      <c r="AC504" s="36">
        <v>4</v>
      </c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  <c r="AW504" s="36"/>
      <c r="AX504" s="36"/>
      <c r="AY504" s="953"/>
      <c r="AZ504" s="36"/>
      <c r="BA504" s="36"/>
      <c r="BB504" s="36"/>
      <c r="BC504" s="36"/>
      <c r="BD504" s="36"/>
      <c r="BF504">
        <f>ROWS($U$46:U504)</f>
        <v>459</v>
      </c>
      <c r="BG504" t="str">
        <f t="shared" si="211"/>
        <v/>
      </c>
    </row>
    <row r="505" spans="12:59" ht="15" customHeight="1" x14ac:dyDescent="0.35">
      <c r="L505" s="10" t="s">
        <v>2142</v>
      </c>
      <c r="O505" s="330">
        <v>3</v>
      </c>
      <c r="P505" s="36">
        <v>729689</v>
      </c>
      <c r="Q505" s="36">
        <v>12</v>
      </c>
      <c r="R505" s="36"/>
      <c r="S505" s="553" t="s">
        <v>1207</v>
      </c>
      <c r="T505" s="36" t="s">
        <v>748</v>
      </c>
      <c r="U505" s="36">
        <v>1112857</v>
      </c>
      <c r="V505" s="165" t="s">
        <v>89</v>
      </c>
      <c r="W505" s="36">
        <v>2</v>
      </c>
      <c r="X505" s="36">
        <v>2</v>
      </c>
      <c r="Y505" s="36">
        <v>2</v>
      </c>
      <c r="Z505" s="36">
        <v>1</v>
      </c>
      <c r="AA505" s="36">
        <v>1</v>
      </c>
      <c r="AB505" s="36">
        <v>1</v>
      </c>
      <c r="AC505" s="36">
        <v>1</v>
      </c>
      <c r="AD505" s="36">
        <v>3</v>
      </c>
      <c r="AE505" s="36">
        <v>3</v>
      </c>
      <c r="AF505" s="36">
        <v>5</v>
      </c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953"/>
      <c r="AZ505" s="36"/>
      <c r="BA505" s="36"/>
      <c r="BB505" s="36"/>
      <c r="BC505" s="36"/>
      <c r="BD505" s="36"/>
      <c r="BF505">
        <f>ROWS($U$46:U505)</f>
        <v>460</v>
      </c>
      <c r="BG505" t="str">
        <f t="shared" si="211"/>
        <v/>
      </c>
    </row>
    <row r="506" spans="12:59" ht="15" customHeight="1" x14ac:dyDescent="0.35">
      <c r="L506" s="10">
        <v>1255267</v>
      </c>
      <c r="O506" s="330">
        <v>4</v>
      </c>
      <c r="P506" s="36">
        <v>871781</v>
      </c>
      <c r="Q506" s="36">
        <v>4</v>
      </c>
      <c r="R506" s="36"/>
      <c r="S506" s="553" t="s">
        <v>1207</v>
      </c>
      <c r="T506" s="36" t="s">
        <v>748</v>
      </c>
      <c r="U506" s="36">
        <v>1112857</v>
      </c>
      <c r="V506" s="165" t="s">
        <v>90</v>
      </c>
      <c r="W506" s="36">
        <v>1</v>
      </c>
      <c r="X506" s="36">
        <v>1</v>
      </c>
      <c r="Y506" s="36">
        <v>1</v>
      </c>
      <c r="Z506" s="36">
        <v>1</v>
      </c>
      <c r="AA506" s="36">
        <v>1</v>
      </c>
      <c r="AB506" s="36">
        <v>3</v>
      </c>
      <c r="AC506" s="36">
        <v>4</v>
      </c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953"/>
      <c r="AZ506" s="36"/>
      <c r="BA506" s="36"/>
      <c r="BB506" s="36"/>
      <c r="BC506" s="36"/>
      <c r="BD506" s="36"/>
      <c r="BF506">
        <f>ROWS($U$46:U506)</f>
        <v>461</v>
      </c>
      <c r="BG506" t="str">
        <f t="shared" si="211"/>
        <v/>
      </c>
    </row>
    <row r="507" spans="12:59" ht="15" customHeight="1" x14ac:dyDescent="0.35">
      <c r="L507" s="10" t="s">
        <v>2144</v>
      </c>
      <c r="O507" s="330">
        <v>5</v>
      </c>
      <c r="P507" s="36">
        <v>418525</v>
      </c>
      <c r="Q507" s="36">
        <v>3</v>
      </c>
      <c r="R507" s="36"/>
      <c r="S507" s="553" t="s">
        <v>1207</v>
      </c>
      <c r="T507" s="36" t="s">
        <v>748</v>
      </c>
      <c r="U507" s="36">
        <v>1112857</v>
      </c>
      <c r="V507" s="165" t="s">
        <v>91</v>
      </c>
      <c r="W507" s="36">
        <v>2</v>
      </c>
      <c r="X507" s="36">
        <v>2</v>
      </c>
      <c r="Y507" s="36">
        <v>2</v>
      </c>
      <c r="Z507" s="36">
        <v>1</v>
      </c>
      <c r="AA507" s="36">
        <v>1</v>
      </c>
      <c r="AB507" s="36">
        <v>1</v>
      </c>
      <c r="AC507" s="36">
        <v>1</v>
      </c>
      <c r="AD507" s="36">
        <v>1</v>
      </c>
      <c r="AE507" s="36">
        <v>3</v>
      </c>
      <c r="AF507" s="36">
        <v>5</v>
      </c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953"/>
      <c r="AZ507" s="36"/>
      <c r="BA507" s="36"/>
      <c r="BB507" s="36"/>
      <c r="BC507" s="36"/>
      <c r="BD507" s="36"/>
      <c r="BF507">
        <f>ROWS($U$46:U507)</f>
        <v>462</v>
      </c>
      <c r="BG507" t="str">
        <f t="shared" si="211"/>
        <v/>
      </c>
    </row>
    <row r="508" spans="12:59" ht="15" customHeight="1" x14ac:dyDescent="0.35">
      <c r="L508" s="10">
        <v>1269498</v>
      </c>
      <c r="O508" s="330"/>
      <c r="P508" s="36"/>
      <c r="Q508" s="36"/>
      <c r="R508" s="36"/>
      <c r="S508" s="553" t="s">
        <v>1207</v>
      </c>
      <c r="T508" s="36" t="s">
        <v>748</v>
      </c>
      <c r="U508" s="36">
        <v>1112857</v>
      </c>
      <c r="V508" s="165" t="s">
        <v>92</v>
      </c>
      <c r="W508" s="36">
        <v>1</v>
      </c>
      <c r="X508" s="36">
        <v>1</v>
      </c>
      <c r="Y508" s="36">
        <v>1</v>
      </c>
      <c r="Z508" s="36">
        <v>1</v>
      </c>
      <c r="AA508" s="36">
        <v>1</v>
      </c>
      <c r="AB508" s="36">
        <v>3</v>
      </c>
      <c r="AC508" s="36">
        <v>3</v>
      </c>
      <c r="AD508" s="36">
        <v>4</v>
      </c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  <c r="AW508" s="36"/>
      <c r="AX508" s="36"/>
      <c r="AY508" s="953"/>
      <c r="AZ508" s="36"/>
      <c r="BA508" s="36"/>
      <c r="BB508" s="36"/>
      <c r="BC508" s="36"/>
      <c r="BD508" s="36"/>
      <c r="BF508">
        <f>ROWS($U$46:U508)</f>
        <v>463</v>
      </c>
      <c r="BG508" t="str">
        <f t="shared" si="211"/>
        <v/>
      </c>
    </row>
    <row r="509" spans="12:59" ht="15" customHeight="1" thickBot="1" x14ac:dyDescent="0.4">
      <c r="L509" s="10" t="s">
        <v>2170</v>
      </c>
      <c r="O509" s="331"/>
      <c r="P509" s="328"/>
      <c r="Q509" s="328"/>
      <c r="R509" s="328"/>
      <c r="S509" s="554" t="s">
        <v>1207</v>
      </c>
      <c r="T509" s="328" t="s">
        <v>748</v>
      </c>
      <c r="U509" s="328">
        <v>1112857</v>
      </c>
      <c r="V509" s="327" t="s">
        <v>111</v>
      </c>
      <c r="W509" s="328">
        <v>1</v>
      </c>
      <c r="X509" s="328">
        <v>1</v>
      </c>
      <c r="Y509" s="328">
        <v>1</v>
      </c>
      <c r="Z509" s="328">
        <v>1</v>
      </c>
      <c r="AA509" s="328">
        <v>3</v>
      </c>
      <c r="AB509" s="328">
        <v>3</v>
      </c>
      <c r="AC509" s="328">
        <v>5</v>
      </c>
      <c r="AD509" s="328"/>
      <c r="AE509" s="328"/>
      <c r="AF509" s="328"/>
      <c r="AG509" s="328"/>
      <c r="AH509" s="328"/>
      <c r="AI509" s="328"/>
      <c r="AJ509" s="328"/>
      <c r="AK509" s="328"/>
      <c r="AL509" s="328"/>
      <c r="AM509" s="328"/>
      <c r="AN509" s="328"/>
      <c r="AO509" s="328"/>
      <c r="AP509" s="328"/>
      <c r="AQ509" s="328"/>
      <c r="AR509" s="328"/>
      <c r="AS509" s="328"/>
      <c r="AT509" s="328"/>
      <c r="AU509" s="328"/>
      <c r="AV509" s="328"/>
      <c r="AW509" s="328"/>
      <c r="AX509" s="328"/>
      <c r="AY509" s="954"/>
      <c r="AZ509" s="36"/>
      <c r="BA509" s="36"/>
      <c r="BB509" s="36"/>
      <c r="BC509" s="36"/>
      <c r="BD509" s="36"/>
      <c r="BF509">
        <f>ROWS($U$46:U509)</f>
        <v>464</v>
      </c>
      <c r="BG509" t="str">
        <f t="shared" si="211"/>
        <v/>
      </c>
    </row>
    <row r="510" spans="12:59" ht="15" customHeight="1" x14ac:dyDescent="0.35">
      <c r="L510" s="10">
        <v>1198387</v>
      </c>
      <c r="O510" s="329">
        <v>1</v>
      </c>
      <c r="P510" s="320">
        <v>745576</v>
      </c>
      <c r="Q510" s="320">
        <v>36</v>
      </c>
      <c r="R510" s="320"/>
      <c r="S510" s="552" t="s">
        <v>1209</v>
      </c>
      <c r="T510" s="320" t="s">
        <v>1210</v>
      </c>
      <c r="U510" s="320">
        <v>780769</v>
      </c>
      <c r="V510" s="319" t="s">
        <v>87</v>
      </c>
      <c r="W510" s="320">
        <v>2</v>
      </c>
      <c r="X510" s="320">
        <v>2</v>
      </c>
      <c r="Y510" s="320">
        <v>2</v>
      </c>
      <c r="Z510" s="320">
        <v>1</v>
      </c>
      <c r="AA510" s="320">
        <v>1</v>
      </c>
      <c r="AB510" s="320">
        <v>1</v>
      </c>
      <c r="AC510" s="320">
        <v>1</v>
      </c>
      <c r="AD510" s="320">
        <v>1</v>
      </c>
      <c r="AE510" s="320">
        <v>4</v>
      </c>
      <c r="AF510" s="320">
        <v>5</v>
      </c>
      <c r="AG510" s="320">
        <v>6</v>
      </c>
      <c r="AH510" s="320"/>
      <c r="AI510" s="320">
        <v>3</v>
      </c>
      <c r="AJ510" s="320">
        <v>3</v>
      </c>
      <c r="AK510" s="320"/>
      <c r="AL510" s="320"/>
      <c r="AM510" s="320"/>
      <c r="AN510" s="320"/>
      <c r="AO510" s="320"/>
      <c r="AP510" s="320"/>
      <c r="AQ510" s="320"/>
      <c r="AR510" s="320"/>
      <c r="AS510" s="320"/>
      <c r="AT510" s="320"/>
      <c r="AU510" s="320"/>
      <c r="AV510" s="320"/>
      <c r="AW510" s="320"/>
      <c r="AX510" s="320"/>
      <c r="AY510" s="952"/>
      <c r="AZ510" s="36"/>
      <c r="BA510" s="36"/>
      <c r="BB510" s="36"/>
      <c r="BC510" s="36"/>
      <c r="BD510" s="36"/>
      <c r="BF510">
        <f>ROWS($U$46:U510)</f>
        <v>465</v>
      </c>
      <c r="BG510" t="str">
        <f t="shared" si="211"/>
        <v/>
      </c>
    </row>
    <row r="511" spans="12:59" ht="15" customHeight="1" x14ac:dyDescent="0.35">
      <c r="L511" s="10" t="s">
        <v>2149</v>
      </c>
      <c r="O511" s="330">
        <v>2</v>
      </c>
      <c r="P511" s="36">
        <v>729691</v>
      </c>
      <c r="Q511" s="36">
        <v>13</v>
      </c>
      <c r="R511" s="36"/>
      <c r="S511" s="553" t="s">
        <v>1209</v>
      </c>
      <c r="T511" s="36" t="s">
        <v>1210</v>
      </c>
      <c r="U511" s="36">
        <v>780769</v>
      </c>
      <c r="V511" s="165" t="s">
        <v>88</v>
      </c>
      <c r="W511" s="36">
        <v>1</v>
      </c>
      <c r="X511" s="36">
        <v>1</v>
      </c>
      <c r="Y511" s="36">
        <v>1</v>
      </c>
      <c r="Z511" s="36">
        <v>1</v>
      </c>
      <c r="AA511" s="36">
        <v>2</v>
      </c>
      <c r="AB511" s="36">
        <v>4</v>
      </c>
      <c r="AC511" s="36">
        <v>5</v>
      </c>
      <c r="AD511" s="36">
        <v>6</v>
      </c>
      <c r="AE511" s="36"/>
      <c r="AF511" s="36"/>
      <c r="AG511" s="36"/>
      <c r="AH511" s="36"/>
      <c r="AI511" s="36">
        <v>3</v>
      </c>
      <c r="AJ511" s="36">
        <v>3</v>
      </c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  <c r="AW511" s="36"/>
      <c r="AX511" s="36"/>
      <c r="AY511" s="953"/>
      <c r="AZ511" s="36"/>
      <c r="BA511" s="36"/>
      <c r="BB511" s="36"/>
      <c r="BC511" s="36"/>
      <c r="BD511" s="36"/>
      <c r="BF511">
        <f>ROWS($U$46:U511)</f>
        <v>466</v>
      </c>
      <c r="BG511" t="str">
        <f t="shared" si="211"/>
        <v/>
      </c>
    </row>
    <row r="512" spans="12:59" ht="15" customHeight="1" x14ac:dyDescent="0.35">
      <c r="L512" s="10">
        <v>1252168</v>
      </c>
      <c r="O512" s="330">
        <v>3</v>
      </c>
      <c r="P512" s="36">
        <v>375538</v>
      </c>
      <c r="Q512" s="36">
        <v>16</v>
      </c>
      <c r="R512" s="36"/>
      <c r="S512" s="553" t="s">
        <v>1209</v>
      </c>
      <c r="T512" s="36" t="s">
        <v>1210</v>
      </c>
      <c r="U512" s="36">
        <v>780769</v>
      </c>
      <c r="V512" s="165" t="s">
        <v>89</v>
      </c>
      <c r="W512" s="36">
        <v>1</v>
      </c>
      <c r="X512" s="36">
        <v>1</v>
      </c>
      <c r="Y512" s="36">
        <v>1</v>
      </c>
      <c r="Z512" s="36">
        <v>1</v>
      </c>
      <c r="AA512" s="36">
        <v>2</v>
      </c>
      <c r="AB512" s="36">
        <v>4</v>
      </c>
      <c r="AC512" s="36">
        <v>5</v>
      </c>
      <c r="AD512" s="36">
        <v>6</v>
      </c>
      <c r="AE512" s="36"/>
      <c r="AF512" s="36"/>
      <c r="AG512" s="36"/>
      <c r="AH512" s="36"/>
      <c r="AI512" s="36">
        <v>3</v>
      </c>
      <c r="AJ512" s="36">
        <v>3</v>
      </c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  <c r="AW512" s="36"/>
      <c r="AX512" s="36"/>
      <c r="AY512" s="953"/>
      <c r="AZ512" s="36"/>
      <c r="BA512" s="36"/>
      <c r="BB512" s="36"/>
      <c r="BC512" s="36"/>
      <c r="BD512" s="36"/>
      <c r="BF512">
        <f>ROWS($U$46:U512)</f>
        <v>467</v>
      </c>
      <c r="BG512" t="str">
        <f t="shared" si="211"/>
        <v/>
      </c>
    </row>
    <row r="513" spans="12:59" ht="15" customHeight="1" x14ac:dyDescent="0.35">
      <c r="L513" s="10" t="s">
        <v>2153</v>
      </c>
      <c r="O513" s="330">
        <v>4</v>
      </c>
      <c r="P513" s="36">
        <v>647436</v>
      </c>
      <c r="Q513" s="36">
        <v>8</v>
      </c>
      <c r="R513" s="36"/>
      <c r="S513" s="553" t="s">
        <v>1209</v>
      </c>
      <c r="T513" s="36" t="s">
        <v>1210</v>
      </c>
      <c r="U513" s="36">
        <v>780769</v>
      </c>
      <c r="V513" s="165" t="s">
        <v>90</v>
      </c>
      <c r="W513" s="36">
        <v>2</v>
      </c>
      <c r="X513" s="36">
        <v>2</v>
      </c>
      <c r="Y513" s="36">
        <v>2</v>
      </c>
      <c r="Z513" s="36">
        <v>1</v>
      </c>
      <c r="AA513" s="36">
        <v>1</v>
      </c>
      <c r="AB513" s="36">
        <v>1</v>
      </c>
      <c r="AC513" s="36">
        <v>1</v>
      </c>
      <c r="AD513" s="36">
        <v>2</v>
      </c>
      <c r="AE513" s="36">
        <v>4</v>
      </c>
      <c r="AF513" s="36">
        <v>5</v>
      </c>
      <c r="AG513" s="36">
        <v>6</v>
      </c>
      <c r="AH513" s="36"/>
      <c r="AI513" s="36">
        <v>3</v>
      </c>
      <c r="AJ513" s="36">
        <v>3</v>
      </c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  <c r="AW513" s="36"/>
      <c r="AX513" s="36"/>
      <c r="AY513" s="953"/>
      <c r="AZ513" s="36"/>
      <c r="BA513" s="36"/>
      <c r="BB513" s="36"/>
      <c r="BC513" s="36"/>
      <c r="BD513" s="36"/>
      <c r="BF513">
        <f>ROWS($U$46:U513)</f>
        <v>468</v>
      </c>
      <c r="BG513" t="str">
        <f t="shared" si="211"/>
        <v/>
      </c>
    </row>
    <row r="514" spans="12:59" ht="15" customHeight="1" x14ac:dyDescent="0.35">
      <c r="L514" s="10">
        <v>1235768</v>
      </c>
      <c r="O514" s="330">
        <v>5</v>
      </c>
      <c r="P514" s="36">
        <v>418525</v>
      </c>
      <c r="Q514" s="36">
        <v>8</v>
      </c>
      <c r="R514" s="36"/>
      <c r="S514" s="553" t="s">
        <v>1209</v>
      </c>
      <c r="T514" s="36" t="s">
        <v>1210</v>
      </c>
      <c r="U514" s="36">
        <v>780769</v>
      </c>
      <c r="V514" s="165" t="s">
        <v>91</v>
      </c>
      <c r="W514" s="36">
        <v>1</v>
      </c>
      <c r="X514" s="36">
        <v>1</v>
      </c>
      <c r="Y514" s="36">
        <v>1</v>
      </c>
      <c r="Z514" s="36">
        <v>1</v>
      </c>
      <c r="AA514" s="36">
        <v>2</v>
      </c>
      <c r="AB514" s="36">
        <v>4</v>
      </c>
      <c r="AC514" s="36">
        <v>5</v>
      </c>
      <c r="AD514" s="36">
        <v>6</v>
      </c>
      <c r="AE514" s="36"/>
      <c r="AF514" s="36"/>
      <c r="AG514" s="36"/>
      <c r="AH514" s="36"/>
      <c r="AI514" s="36">
        <v>3</v>
      </c>
      <c r="AJ514" s="36">
        <v>3</v>
      </c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36"/>
      <c r="AY514" s="953"/>
      <c r="AZ514" s="36"/>
      <c r="BA514" s="36"/>
      <c r="BB514" s="36"/>
      <c r="BC514" s="36"/>
      <c r="BD514" s="36"/>
      <c r="BF514">
        <f>ROWS($U$46:U514)</f>
        <v>469</v>
      </c>
      <c r="BG514" t="str">
        <f t="shared" si="211"/>
        <v/>
      </c>
    </row>
    <row r="515" spans="12:59" ht="15" customHeight="1" x14ac:dyDescent="0.35">
      <c r="L515" s="10" t="s">
        <v>2158</v>
      </c>
      <c r="O515" s="330">
        <v>6</v>
      </c>
      <c r="P515" s="36">
        <v>871781</v>
      </c>
      <c r="Q515" s="36">
        <v>8</v>
      </c>
      <c r="R515" s="36"/>
      <c r="S515" s="553" t="s">
        <v>1209</v>
      </c>
      <c r="T515" s="36" t="s">
        <v>1210</v>
      </c>
      <c r="U515" s="36">
        <v>780769</v>
      </c>
      <c r="V515" s="165" t="s">
        <v>92</v>
      </c>
      <c r="W515" s="36">
        <v>2</v>
      </c>
      <c r="X515" s="36">
        <v>2</v>
      </c>
      <c r="Y515" s="36">
        <v>2</v>
      </c>
      <c r="Z515" s="36">
        <v>1</v>
      </c>
      <c r="AA515" s="36">
        <v>1</v>
      </c>
      <c r="AB515" s="36">
        <v>1</v>
      </c>
      <c r="AC515" s="36">
        <v>1</v>
      </c>
      <c r="AD515" s="36">
        <v>1</v>
      </c>
      <c r="AE515" s="36">
        <v>4</v>
      </c>
      <c r="AF515" s="36">
        <v>5</v>
      </c>
      <c r="AG515" s="36">
        <v>6</v>
      </c>
      <c r="AH515" s="36"/>
      <c r="AI515" s="36">
        <v>3</v>
      </c>
      <c r="AJ515" s="36">
        <v>3</v>
      </c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  <c r="AW515" s="36"/>
      <c r="AX515" s="36"/>
      <c r="AY515" s="953"/>
      <c r="AZ515" s="36"/>
      <c r="BA515" s="36"/>
      <c r="BB515" s="36"/>
      <c r="BC515" s="36"/>
      <c r="BD515" s="36"/>
      <c r="BF515">
        <f>ROWS($U$46:U515)</f>
        <v>470</v>
      </c>
      <c r="BG515" t="str">
        <f t="shared" si="211"/>
        <v/>
      </c>
    </row>
    <row r="516" spans="12:59" ht="15" customHeight="1" x14ac:dyDescent="0.35">
      <c r="L516" s="10">
        <v>1259957</v>
      </c>
      <c r="O516" s="330"/>
      <c r="P516" s="36"/>
      <c r="Q516" s="36"/>
      <c r="R516" s="36"/>
      <c r="S516" s="553" t="s">
        <v>1209</v>
      </c>
      <c r="T516" s="36" t="s">
        <v>1210</v>
      </c>
      <c r="U516" s="36">
        <v>780769</v>
      </c>
      <c r="V516" s="165" t="s">
        <v>111</v>
      </c>
      <c r="W516" s="36">
        <v>1</v>
      </c>
      <c r="X516" s="36">
        <v>1</v>
      </c>
      <c r="Y516" s="36">
        <v>1</v>
      </c>
      <c r="Z516" s="36">
        <v>1</v>
      </c>
      <c r="AA516" s="36">
        <v>1</v>
      </c>
      <c r="AB516" s="36">
        <v>4</v>
      </c>
      <c r="AC516" s="36">
        <v>5</v>
      </c>
      <c r="AD516" s="36">
        <v>6</v>
      </c>
      <c r="AE516" s="36"/>
      <c r="AF516" s="36"/>
      <c r="AG516" s="36"/>
      <c r="AH516" s="36"/>
      <c r="AI516" s="36">
        <v>3</v>
      </c>
      <c r="AJ516" s="36">
        <v>3</v>
      </c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  <c r="AW516" s="36"/>
      <c r="AX516" s="36"/>
      <c r="AY516" s="953"/>
      <c r="AZ516" s="36"/>
      <c r="BA516" s="36"/>
      <c r="BB516" s="36"/>
      <c r="BC516" s="36"/>
      <c r="BD516" s="36"/>
      <c r="BF516">
        <f>ROWS($U$46:U516)</f>
        <v>471</v>
      </c>
      <c r="BG516" t="str">
        <f t="shared" si="211"/>
        <v/>
      </c>
    </row>
    <row r="517" spans="12:59" ht="15" customHeight="1" thickBot="1" x14ac:dyDescent="0.4">
      <c r="L517" s="10" t="s">
        <v>2161</v>
      </c>
      <c r="O517" s="331"/>
      <c r="P517" s="328"/>
      <c r="Q517" s="328"/>
      <c r="R517" s="328"/>
      <c r="S517" s="554" t="s">
        <v>1209</v>
      </c>
      <c r="T517" s="328" t="s">
        <v>1210</v>
      </c>
      <c r="U517" s="328">
        <v>780769</v>
      </c>
      <c r="V517" s="165" t="s">
        <v>112</v>
      </c>
      <c r="W517" s="328">
        <v>1</v>
      </c>
      <c r="X517" s="328">
        <v>1</v>
      </c>
      <c r="Y517" s="328">
        <v>1</v>
      </c>
      <c r="Z517" s="328">
        <v>1</v>
      </c>
      <c r="AA517" s="328">
        <v>1</v>
      </c>
      <c r="AB517" s="328">
        <v>4</v>
      </c>
      <c r="AC517" s="328">
        <v>5</v>
      </c>
      <c r="AD517" s="328">
        <v>6</v>
      </c>
      <c r="AE517" s="328"/>
      <c r="AF517" s="328"/>
      <c r="AG517" s="328"/>
      <c r="AH517" s="328"/>
      <c r="AI517" s="328">
        <v>3</v>
      </c>
      <c r="AJ517" s="328">
        <v>3</v>
      </c>
      <c r="AK517" s="328"/>
      <c r="AL517" s="328"/>
      <c r="AM517" s="328"/>
      <c r="AN517" s="328"/>
      <c r="AO517" s="328"/>
      <c r="AP517" s="328"/>
      <c r="AQ517" s="328"/>
      <c r="AR517" s="328"/>
      <c r="AS517" s="328"/>
      <c r="AT517" s="328"/>
      <c r="AU517" s="328"/>
      <c r="AV517" s="328"/>
      <c r="AW517" s="328"/>
      <c r="AX517" s="328"/>
      <c r="AY517" s="954"/>
      <c r="AZ517" s="36"/>
      <c r="BA517" s="36"/>
      <c r="BB517" s="36"/>
      <c r="BC517" s="36"/>
      <c r="BD517" s="36"/>
      <c r="BF517">
        <f>ROWS($U$46:U517)</f>
        <v>472</v>
      </c>
      <c r="BG517" t="str">
        <f t="shared" si="211"/>
        <v/>
      </c>
    </row>
    <row r="518" spans="12:59" ht="15" customHeight="1" x14ac:dyDescent="0.35">
      <c r="L518" s="10">
        <v>1268728</v>
      </c>
      <c r="O518" s="329">
        <v>1</v>
      </c>
      <c r="P518" s="320">
        <v>717749</v>
      </c>
      <c r="Q518" s="320">
        <v>15</v>
      </c>
      <c r="R518" s="320"/>
      <c r="S518" s="320" t="s">
        <v>1399</v>
      </c>
      <c r="T518" s="320" t="s">
        <v>1212</v>
      </c>
      <c r="U518" s="320">
        <v>792702</v>
      </c>
      <c r="V518" s="319" t="s">
        <v>87</v>
      </c>
      <c r="W518" s="320">
        <v>1</v>
      </c>
      <c r="X518" s="320">
        <v>2</v>
      </c>
      <c r="Y518" s="320">
        <v>2</v>
      </c>
      <c r="Z518" s="320">
        <v>2</v>
      </c>
      <c r="AA518" s="320">
        <v>1</v>
      </c>
      <c r="AB518" s="320">
        <v>3</v>
      </c>
      <c r="AC518" s="320"/>
      <c r="AD518" s="320"/>
      <c r="AE518" s="320"/>
      <c r="AF518" s="320"/>
      <c r="AG518" s="320"/>
      <c r="AH518" s="320"/>
      <c r="AI518" s="320"/>
      <c r="AJ518" s="320"/>
      <c r="AK518" s="320"/>
      <c r="AL518" s="320"/>
      <c r="AM518" s="320"/>
      <c r="AN518" s="320"/>
      <c r="AO518" s="320"/>
      <c r="AP518" s="320"/>
      <c r="AQ518" s="320"/>
      <c r="AR518" s="320"/>
      <c r="AS518" s="320"/>
      <c r="AT518" s="320"/>
      <c r="AU518" s="320"/>
      <c r="AV518" s="320"/>
      <c r="AW518" s="320"/>
      <c r="AX518" s="320"/>
      <c r="AY518" s="952"/>
      <c r="AZ518" s="36"/>
      <c r="BA518" s="36"/>
      <c r="BB518" s="36"/>
      <c r="BC518" s="36"/>
      <c r="BD518" s="36"/>
      <c r="BF518">
        <f>ROWS($U$46:U518)</f>
        <v>473</v>
      </c>
      <c r="BG518" t="str">
        <f t="shared" si="211"/>
        <v/>
      </c>
    </row>
    <row r="519" spans="12:59" ht="15" customHeight="1" x14ac:dyDescent="0.35">
      <c r="L519" s="10" t="s">
        <v>2163</v>
      </c>
      <c r="O519" s="330">
        <v>2</v>
      </c>
      <c r="P519" s="36">
        <v>745171</v>
      </c>
      <c r="Q519" s="36">
        <v>27</v>
      </c>
      <c r="R519" s="36"/>
      <c r="S519" s="36" t="s">
        <v>1399</v>
      </c>
      <c r="T519" s="36" t="s">
        <v>1212</v>
      </c>
      <c r="U519" s="36">
        <v>792702</v>
      </c>
      <c r="V519" s="165" t="s">
        <v>88</v>
      </c>
      <c r="W519" s="36">
        <v>1</v>
      </c>
      <c r="X519" s="36">
        <v>2</v>
      </c>
      <c r="Y519" s="36">
        <v>2</v>
      </c>
      <c r="Z519" s="36">
        <v>2</v>
      </c>
      <c r="AA519" s="36">
        <v>1</v>
      </c>
      <c r="AB519" s="36">
        <v>3</v>
      </c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  <c r="AW519" s="36"/>
      <c r="AX519" s="36"/>
      <c r="AY519" s="953"/>
      <c r="AZ519" s="36"/>
      <c r="BA519" s="36"/>
      <c r="BB519" s="36"/>
      <c r="BC519" s="36"/>
      <c r="BD519" s="36"/>
      <c r="BF519">
        <f>ROWS($U$46:U519)</f>
        <v>474</v>
      </c>
      <c r="BG519" t="str">
        <f t="shared" si="211"/>
        <v/>
      </c>
    </row>
    <row r="520" spans="12:59" ht="15" customHeight="1" x14ac:dyDescent="0.35">
      <c r="L520" s="10">
        <v>1267829</v>
      </c>
      <c r="O520" s="330">
        <v>3</v>
      </c>
      <c r="P520" s="36">
        <v>418525</v>
      </c>
      <c r="Q520" s="36">
        <v>9</v>
      </c>
      <c r="R520" s="36"/>
      <c r="S520" s="36" t="s">
        <v>1399</v>
      </c>
      <c r="T520" s="36" t="s">
        <v>1212</v>
      </c>
      <c r="U520" s="36">
        <v>792702</v>
      </c>
      <c r="V520" s="165" t="s">
        <v>89</v>
      </c>
      <c r="W520" s="36">
        <v>2</v>
      </c>
      <c r="X520" s="36">
        <v>2</v>
      </c>
      <c r="Y520" s="36">
        <v>2</v>
      </c>
      <c r="Z520" s="36">
        <v>1</v>
      </c>
      <c r="AA520" s="36">
        <v>3</v>
      </c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  <c r="AW520" s="36"/>
      <c r="AX520" s="36"/>
      <c r="AY520" s="953"/>
      <c r="AZ520" s="36"/>
      <c r="BA520" s="36"/>
      <c r="BB520" s="36"/>
      <c r="BC520" s="36"/>
      <c r="BD520" s="36"/>
      <c r="BF520">
        <f>ROWS($U$46:U520)</f>
        <v>475</v>
      </c>
      <c r="BG520" t="str">
        <f t="shared" si="211"/>
        <v/>
      </c>
    </row>
    <row r="521" spans="12:59" ht="15" customHeight="1" x14ac:dyDescent="0.35">
      <c r="L521" s="10" t="s">
        <v>2169</v>
      </c>
      <c r="O521" s="330"/>
      <c r="P521" s="36"/>
      <c r="Q521" s="36"/>
      <c r="R521" s="36"/>
      <c r="S521" s="36" t="s">
        <v>1399</v>
      </c>
      <c r="T521" s="36" t="s">
        <v>1212</v>
      </c>
      <c r="U521" s="36">
        <v>792702</v>
      </c>
      <c r="V521" s="165" t="s">
        <v>90</v>
      </c>
      <c r="W521" s="36">
        <v>1</v>
      </c>
      <c r="X521" s="36">
        <v>2</v>
      </c>
      <c r="Y521" s="36">
        <v>2</v>
      </c>
      <c r="Z521" s="36">
        <v>2</v>
      </c>
      <c r="AA521" s="36">
        <v>1</v>
      </c>
      <c r="AB521" s="36">
        <v>3</v>
      </c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  <c r="AW521" s="36"/>
      <c r="AX521" s="36"/>
      <c r="AY521" s="953"/>
      <c r="AZ521" s="36"/>
      <c r="BA521" s="36"/>
      <c r="BB521" s="36"/>
      <c r="BC521" s="36"/>
      <c r="BD521" s="36"/>
      <c r="BF521">
        <f>ROWS($U$46:U521)</f>
        <v>476</v>
      </c>
      <c r="BG521" t="str">
        <f t="shared" si="211"/>
        <v/>
      </c>
    </row>
    <row r="522" spans="12:59" ht="15" customHeight="1" x14ac:dyDescent="0.35">
      <c r="L522" s="10">
        <v>1239176</v>
      </c>
      <c r="O522" s="330"/>
      <c r="P522" s="36"/>
      <c r="Q522" s="36"/>
      <c r="R522" s="36"/>
      <c r="S522" s="36" t="s">
        <v>1399</v>
      </c>
      <c r="T522" s="36" t="s">
        <v>1212</v>
      </c>
      <c r="U522" s="36">
        <v>792702</v>
      </c>
      <c r="V522" s="165" t="s">
        <v>91</v>
      </c>
      <c r="W522" s="36">
        <v>1</v>
      </c>
      <c r="X522" s="36">
        <v>2</v>
      </c>
      <c r="Y522" s="36">
        <v>2</v>
      </c>
      <c r="Z522" s="36">
        <v>2</v>
      </c>
      <c r="AA522" s="36">
        <v>1</v>
      </c>
      <c r="AB522" s="36">
        <v>3</v>
      </c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  <c r="AW522" s="36"/>
      <c r="AX522" s="36"/>
      <c r="AY522" s="953"/>
      <c r="AZ522" s="36"/>
      <c r="BA522" s="36"/>
      <c r="BB522" s="36"/>
      <c r="BC522" s="36"/>
      <c r="BD522" s="36"/>
      <c r="BF522">
        <f>ROWS($U$46:U522)</f>
        <v>477</v>
      </c>
      <c r="BG522" t="str">
        <f t="shared" si="211"/>
        <v/>
      </c>
    </row>
    <row r="523" spans="12:59" ht="15" customHeight="1" x14ac:dyDescent="0.35">
      <c r="L523" s="10" t="s">
        <v>2171</v>
      </c>
      <c r="O523" s="330"/>
      <c r="P523" s="36"/>
      <c r="Q523" s="36"/>
      <c r="R523" s="36"/>
      <c r="S523" s="36" t="s">
        <v>1399</v>
      </c>
      <c r="T523" s="36" t="s">
        <v>1212</v>
      </c>
      <c r="U523" s="36">
        <v>792702</v>
      </c>
      <c r="V523" s="165" t="s">
        <v>92</v>
      </c>
      <c r="W523" s="36">
        <v>2</v>
      </c>
      <c r="X523" s="36">
        <v>2</v>
      </c>
      <c r="Y523" s="36">
        <v>2</v>
      </c>
      <c r="Z523" s="36">
        <v>1</v>
      </c>
      <c r="AA523" s="36">
        <v>3</v>
      </c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  <c r="AW523" s="36"/>
      <c r="AX523" s="36"/>
      <c r="AY523" s="953"/>
      <c r="AZ523" s="36"/>
      <c r="BA523" s="36"/>
      <c r="BB523" s="36"/>
      <c r="BC523" s="36"/>
      <c r="BD523" s="36"/>
      <c r="BF523">
        <f>ROWS($U$46:U523)</f>
        <v>478</v>
      </c>
      <c r="BG523" t="str">
        <f t="shared" si="211"/>
        <v/>
      </c>
    </row>
    <row r="524" spans="12:59" ht="15" customHeight="1" x14ac:dyDescent="0.35">
      <c r="L524" s="10">
        <v>1263805</v>
      </c>
      <c r="O524" s="330"/>
      <c r="P524" s="36"/>
      <c r="Q524" s="36"/>
      <c r="R524" s="36"/>
      <c r="S524" s="36" t="s">
        <v>1399</v>
      </c>
      <c r="T524" s="36" t="s">
        <v>1212</v>
      </c>
      <c r="U524" s="36">
        <v>792702</v>
      </c>
      <c r="V524" s="165" t="s">
        <v>111</v>
      </c>
      <c r="W524" s="36">
        <v>1</v>
      </c>
      <c r="X524" s="36">
        <v>2</v>
      </c>
      <c r="Y524" s="36">
        <v>2</v>
      </c>
      <c r="Z524" s="36">
        <v>2</v>
      </c>
      <c r="AA524" s="36">
        <v>1</v>
      </c>
      <c r="AB524" s="36">
        <v>3</v>
      </c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  <c r="AW524" s="36"/>
      <c r="AX524" s="36"/>
      <c r="AY524" s="953"/>
      <c r="AZ524" s="36"/>
      <c r="BA524" s="36"/>
      <c r="BB524" s="36"/>
      <c r="BC524" s="36"/>
      <c r="BD524" s="36"/>
      <c r="BF524">
        <f>ROWS($U$46:U524)</f>
        <v>479</v>
      </c>
      <c r="BG524" t="str">
        <f t="shared" si="211"/>
        <v/>
      </c>
    </row>
    <row r="525" spans="12:59" ht="15" customHeight="1" x14ac:dyDescent="0.35">
      <c r="L525" s="10" t="s">
        <v>2178</v>
      </c>
      <c r="O525" s="330"/>
      <c r="P525" s="36"/>
      <c r="Q525" s="36"/>
      <c r="R525" s="36"/>
      <c r="S525" s="36" t="s">
        <v>1399</v>
      </c>
      <c r="T525" s="36" t="s">
        <v>1212</v>
      </c>
      <c r="U525" s="36">
        <v>792702</v>
      </c>
      <c r="V525" s="165" t="s">
        <v>112</v>
      </c>
      <c r="W525" s="36">
        <v>1</v>
      </c>
      <c r="X525" s="36">
        <v>2</v>
      </c>
      <c r="Y525" s="36">
        <v>2</v>
      </c>
      <c r="Z525" s="36">
        <v>2</v>
      </c>
      <c r="AA525" s="36">
        <v>1</v>
      </c>
      <c r="AB525" s="36">
        <v>3</v>
      </c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  <c r="AW525" s="36"/>
      <c r="AX525" s="36"/>
      <c r="AY525" s="953"/>
      <c r="AZ525" s="36"/>
      <c r="BA525" s="36"/>
      <c r="BB525" s="36"/>
      <c r="BC525" s="36"/>
      <c r="BD525" s="36"/>
      <c r="BF525">
        <f>ROWS($U$46:U525)</f>
        <v>480</v>
      </c>
      <c r="BG525" t="str">
        <f t="shared" si="211"/>
        <v/>
      </c>
    </row>
    <row r="526" spans="12:59" ht="15" customHeight="1" thickBot="1" x14ac:dyDescent="0.4">
      <c r="L526" s="10">
        <v>1257458</v>
      </c>
      <c r="O526" s="331"/>
      <c r="P526" s="328"/>
      <c r="Q526" s="328"/>
      <c r="R526" s="328"/>
      <c r="S526" s="328" t="s">
        <v>1399</v>
      </c>
      <c r="T526" s="328" t="s">
        <v>1212</v>
      </c>
      <c r="U526" s="328">
        <v>792702</v>
      </c>
      <c r="V526" s="165" t="s">
        <v>113</v>
      </c>
      <c r="W526" s="328">
        <v>2</v>
      </c>
      <c r="X526" s="328">
        <v>2</v>
      </c>
      <c r="Y526" s="328">
        <v>2</v>
      </c>
      <c r="Z526" s="328">
        <v>1</v>
      </c>
      <c r="AA526" s="328">
        <v>3</v>
      </c>
      <c r="AB526" s="328"/>
      <c r="AC526" s="328"/>
      <c r="AD526" s="328"/>
      <c r="AE526" s="328"/>
      <c r="AF526" s="328"/>
      <c r="AG526" s="328"/>
      <c r="AH526" s="328"/>
      <c r="AI526" s="328"/>
      <c r="AJ526" s="328"/>
      <c r="AK526" s="328"/>
      <c r="AL526" s="328"/>
      <c r="AM526" s="328"/>
      <c r="AN526" s="328"/>
      <c r="AO526" s="328"/>
      <c r="AP526" s="328"/>
      <c r="AQ526" s="328"/>
      <c r="AR526" s="328"/>
      <c r="AS526" s="328"/>
      <c r="AT526" s="328"/>
      <c r="AU526" s="328"/>
      <c r="AV526" s="328"/>
      <c r="AW526" s="328"/>
      <c r="AX526" s="328"/>
      <c r="AY526" s="954"/>
      <c r="AZ526" s="36"/>
      <c r="BA526" s="36"/>
      <c r="BB526" s="36"/>
      <c r="BC526" s="36"/>
      <c r="BD526" s="36"/>
      <c r="BF526">
        <f>ROWS($U$46:U526)</f>
        <v>481</v>
      </c>
      <c r="BG526" t="str">
        <f t="shared" si="211"/>
        <v/>
      </c>
    </row>
    <row r="527" spans="12:59" ht="15" customHeight="1" x14ac:dyDescent="0.35">
      <c r="L527" s="10" t="s">
        <v>2183</v>
      </c>
      <c r="O527" s="329">
        <v>1</v>
      </c>
      <c r="P527" s="320">
        <v>729434</v>
      </c>
      <c r="Q527" s="320">
        <v>21</v>
      </c>
      <c r="R527" s="320"/>
      <c r="S527" s="552" t="s">
        <v>1399</v>
      </c>
      <c r="T527" s="320" t="s">
        <v>753</v>
      </c>
      <c r="U527" s="320">
        <v>933078</v>
      </c>
      <c r="V527" s="319" t="s">
        <v>87</v>
      </c>
      <c r="W527" s="320">
        <v>2</v>
      </c>
      <c r="X527" s="320">
        <v>1</v>
      </c>
      <c r="Y527" s="320">
        <v>1</v>
      </c>
      <c r="Z527" s="320">
        <v>1</v>
      </c>
      <c r="AA527" s="320">
        <v>2</v>
      </c>
      <c r="AB527" s="320"/>
      <c r="AC527" s="320"/>
      <c r="AD527" s="320">
        <v>4</v>
      </c>
      <c r="AE527" s="320"/>
      <c r="AF527" s="320"/>
      <c r="AG527" s="320"/>
      <c r="AH527" s="320"/>
      <c r="AI527" s="320"/>
      <c r="AJ527" s="320"/>
      <c r="AK527" s="320"/>
      <c r="AL527" s="320"/>
      <c r="AM527" s="320"/>
      <c r="AN527" s="320"/>
      <c r="AO527" s="320"/>
      <c r="AP527" s="320"/>
      <c r="AQ527" s="320"/>
      <c r="AR527" s="320"/>
      <c r="AS527" s="320"/>
      <c r="AT527" s="320"/>
      <c r="AU527" s="320"/>
      <c r="AV527" s="320"/>
      <c r="AW527" s="320"/>
      <c r="AX527" s="320"/>
      <c r="AY527" s="952"/>
      <c r="AZ527" s="36"/>
      <c r="BA527" s="36"/>
      <c r="BB527" s="36"/>
      <c r="BC527" s="36"/>
      <c r="BD527" s="36"/>
      <c r="BF527">
        <f>ROWS($U$46:U527)</f>
        <v>482</v>
      </c>
      <c r="BG527" t="str">
        <f t="shared" si="211"/>
        <v/>
      </c>
    </row>
    <row r="528" spans="12:59" ht="15" customHeight="1" x14ac:dyDescent="0.35">
      <c r="L528" s="10">
        <v>1193587</v>
      </c>
      <c r="O528" s="330">
        <v>2</v>
      </c>
      <c r="P528" s="36">
        <v>717749</v>
      </c>
      <c r="Q528" s="36">
        <v>15</v>
      </c>
      <c r="R528" s="36"/>
      <c r="S528" s="553" t="s">
        <v>1399</v>
      </c>
      <c r="T528" s="36" t="s">
        <v>753</v>
      </c>
      <c r="U528" s="36">
        <v>933078</v>
      </c>
      <c r="V528" s="165" t="s">
        <v>88</v>
      </c>
      <c r="W528" s="36">
        <v>2</v>
      </c>
      <c r="X528" s="36">
        <v>1</v>
      </c>
      <c r="Y528" s="36">
        <v>1</v>
      </c>
      <c r="Z528" s="36">
        <v>1</v>
      </c>
      <c r="AA528" s="36">
        <v>2</v>
      </c>
      <c r="AB528" s="36"/>
      <c r="AC528" s="36"/>
      <c r="AD528" s="36">
        <v>4</v>
      </c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  <c r="AW528" s="36"/>
      <c r="AX528" s="36"/>
      <c r="AY528" s="953"/>
      <c r="AZ528" s="36"/>
      <c r="BA528" s="36"/>
      <c r="BB528" s="36"/>
      <c r="BC528" s="36"/>
      <c r="BD528" s="36"/>
      <c r="BF528">
        <f>ROWS($U$46:U528)</f>
        <v>483</v>
      </c>
      <c r="BG528" t="str">
        <f t="shared" si="211"/>
        <v/>
      </c>
    </row>
    <row r="529" spans="12:59" ht="15" customHeight="1" x14ac:dyDescent="0.35">
      <c r="L529" s="10" t="s">
        <v>2186</v>
      </c>
      <c r="O529" s="330">
        <v>3</v>
      </c>
      <c r="P529" s="36">
        <v>177778</v>
      </c>
      <c r="Q529" s="36">
        <v>2</v>
      </c>
      <c r="R529" s="36"/>
      <c r="S529" s="553" t="s">
        <v>1399</v>
      </c>
      <c r="T529" s="36" t="s">
        <v>753</v>
      </c>
      <c r="U529" s="36">
        <v>933078</v>
      </c>
      <c r="V529" s="165" t="s">
        <v>89</v>
      </c>
      <c r="W529" s="36">
        <v>2</v>
      </c>
      <c r="X529" s="36">
        <v>1</v>
      </c>
      <c r="Y529" s="36">
        <v>1</v>
      </c>
      <c r="Z529" s="36">
        <v>1</v>
      </c>
      <c r="AA529" s="36">
        <v>2</v>
      </c>
      <c r="AB529" s="36">
        <v>2</v>
      </c>
      <c r="AC529" s="36"/>
      <c r="AD529" s="36">
        <v>4</v>
      </c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  <c r="AX529" s="36"/>
      <c r="AY529" s="953"/>
      <c r="AZ529" s="36"/>
      <c r="BA529" s="36"/>
      <c r="BB529" s="36"/>
      <c r="BC529" s="36"/>
      <c r="BD529" s="36"/>
      <c r="BF529">
        <f>ROWS($U$46:U529)</f>
        <v>484</v>
      </c>
      <c r="BG529" t="str">
        <f t="shared" si="211"/>
        <v/>
      </c>
    </row>
    <row r="530" spans="12:59" ht="15" customHeight="1" x14ac:dyDescent="0.35">
      <c r="L530" s="10">
        <v>1262090</v>
      </c>
      <c r="O530" s="330">
        <v>4</v>
      </c>
      <c r="P530" s="36">
        <v>176086</v>
      </c>
      <c r="Q530" s="36">
        <v>9</v>
      </c>
      <c r="R530" s="36"/>
      <c r="S530" s="553" t="s">
        <v>1399</v>
      </c>
      <c r="T530" s="36" t="s">
        <v>753</v>
      </c>
      <c r="U530" s="36">
        <v>933078</v>
      </c>
      <c r="V530" s="165" t="s">
        <v>90</v>
      </c>
      <c r="W530" s="36">
        <v>3</v>
      </c>
      <c r="X530" s="36">
        <v>1</v>
      </c>
      <c r="Y530" s="36">
        <v>1</v>
      </c>
      <c r="Z530" s="36">
        <v>1</v>
      </c>
      <c r="AA530" s="36">
        <v>2</v>
      </c>
      <c r="AB530" s="36">
        <v>2</v>
      </c>
      <c r="AC530" s="36"/>
      <c r="AD530" s="36">
        <v>4</v>
      </c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953"/>
      <c r="AZ530" s="36"/>
      <c r="BA530" s="36"/>
      <c r="BB530" s="36"/>
      <c r="BC530" s="36"/>
      <c r="BD530" s="36"/>
      <c r="BF530">
        <f>ROWS($U$46:U530)</f>
        <v>485</v>
      </c>
      <c r="BG530" t="str">
        <f t="shared" si="211"/>
        <v/>
      </c>
    </row>
    <row r="531" spans="12:59" ht="15" customHeight="1" x14ac:dyDescent="0.35">
      <c r="L531" s="10" t="s">
        <v>2187</v>
      </c>
      <c r="O531" s="330"/>
      <c r="P531" s="36"/>
      <c r="Q531" s="36"/>
      <c r="R531" s="36"/>
      <c r="S531" s="553" t="s">
        <v>1399</v>
      </c>
      <c r="T531" s="36" t="s">
        <v>753</v>
      </c>
      <c r="U531" s="36">
        <v>933078</v>
      </c>
      <c r="V531" s="165" t="s">
        <v>91</v>
      </c>
      <c r="W531" s="36">
        <v>3</v>
      </c>
      <c r="X531" s="36">
        <v>1</v>
      </c>
      <c r="Y531" s="36">
        <v>1</v>
      </c>
      <c r="Z531" s="36">
        <v>1</v>
      </c>
      <c r="AA531" s="36">
        <v>2</v>
      </c>
      <c r="AB531" s="36">
        <v>2</v>
      </c>
      <c r="AC531" s="36"/>
      <c r="AD531" s="36">
        <v>4</v>
      </c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953"/>
      <c r="AZ531" s="36"/>
      <c r="BA531" s="36"/>
      <c r="BB531" s="36"/>
      <c r="BC531" s="36"/>
      <c r="BD531" s="36"/>
      <c r="BF531">
        <f>ROWS($U$46:U531)</f>
        <v>486</v>
      </c>
      <c r="BG531" t="str">
        <f t="shared" si="211"/>
        <v/>
      </c>
    </row>
    <row r="532" spans="12:59" ht="15" customHeight="1" x14ac:dyDescent="0.35">
      <c r="L532" s="10">
        <v>1251627</v>
      </c>
      <c r="O532" s="330"/>
      <c r="P532" s="36"/>
      <c r="Q532" s="36"/>
      <c r="R532" s="36"/>
      <c r="S532" s="553" t="s">
        <v>1399</v>
      </c>
      <c r="T532" s="36" t="s">
        <v>753</v>
      </c>
      <c r="U532" s="36">
        <v>933078</v>
      </c>
      <c r="V532" s="165" t="s">
        <v>92</v>
      </c>
      <c r="W532" s="36">
        <v>1</v>
      </c>
      <c r="X532" s="36">
        <v>1</v>
      </c>
      <c r="Y532" s="36">
        <v>1</v>
      </c>
      <c r="Z532" s="36">
        <v>2</v>
      </c>
      <c r="AA532" s="36">
        <v>2</v>
      </c>
      <c r="AB532" s="36"/>
      <c r="AC532" s="36"/>
      <c r="AD532" s="36">
        <v>4</v>
      </c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  <c r="AW532" s="36"/>
      <c r="AX532" s="36"/>
      <c r="AY532" s="953"/>
      <c r="AZ532" s="36"/>
      <c r="BA532" s="36"/>
      <c r="BB532" s="36"/>
      <c r="BC532" s="36"/>
      <c r="BD532" s="36"/>
      <c r="BF532">
        <f>ROWS($U$46:U532)</f>
        <v>487</v>
      </c>
      <c r="BG532" t="str">
        <f t="shared" si="211"/>
        <v/>
      </c>
    </row>
    <row r="533" spans="12:59" ht="15" customHeight="1" thickBot="1" x14ac:dyDescent="0.4">
      <c r="L533" s="10" t="s">
        <v>2189</v>
      </c>
      <c r="O533" s="331"/>
      <c r="P533" s="328"/>
      <c r="Q533" s="328"/>
      <c r="R533" s="328"/>
      <c r="S533" s="554" t="s">
        <v>1399</v>
      </c>
      <c r="T533" s="328" t="s">
        <v>753</v>
      </c>
      <c r="U533" s="328">
        <v>933078</v>
      </c>
      <c r="V533" s="327" t="s">
        <v>111</v>
      </c>
      <c r="W533" s="328">
        <v>1</v>
      </c>
      <c r="X533" s="328">
        <v>1</v>
      </c>
      <c r="Y533" s="328">
        <v>1</v>
      </c>
      <c r="Z533" s="328">
        <v>2</v>
      </c>
      <c r="AA533" s="328">
        <v>2</v>
      </c>
      <c r="AB533" s="328"/>
      <c r="AC533" s="328"/>
      <c r="AD533" s="328">
        <v>4</v>
      </c>
      <c r="AE533" s="328"/>
      <c r="AF533" s="328"/>
      <c r="AG533" s="328"/>
      <c r="AH533" s="328"/>
      <c r="AI533" s="328"/>
      <c r="AJ533" s="328"/>
      <c r="AK533" s="328"/>
      <c r="AL533" s="328"/>
      <c r="AM533" s="328"/>
      <c r="AN533" s="328"/>
      <c r="AO533" s="328"/>
      <c r="AP533" s="328"/>
      <c r="AQ533" s="328"/>
      <c r="AR533" s="328"/>
      <c r="AS533" s="328"/>
      <c r="AT533" s="328"/>
      <c r="AU533" s="328"/>
      <c r="AV533" s="328"/>
      <c r="AW533" s="328"/>
      <c r="AX533" s="328"/>
      <c r="AY533" s="954"/>
      <c r="AZ533" s="36"/>
      <c r="BA533" s="36"/>
      <c r="BB533" s="36"/>
      <c r="BC533" s="36"/>
      <c r="BD533" s="36"/>
      <c r="BF533">
        <f>ROWS($U$46:U533)</f>
        <v>488</v>
      </c>
      <c r="BG533" t="str">
        <f t="shared" si="211"/>
        <v/>
      </c>
    </row>
    <row r="534" spans="12:59" ht="15" customHeight="1" x14ac:dyDescent="0.35">
      <c r="L534" s="10">
        <v>1166297</v>
      </c>
      <c r="O534" s="329">
        <v>1</v>
      </c>
      <c r="P534" s="320">
        <v>729434</v>
      </c>
      <c r="Q534" s="320">
        <v>42</v>
      </c>
      <c r="R534" s="320"/>
      <c r="S534" s="320" t="s">
        <v>1399</v>
      </c>
      <c r="T534" s="320" t="s">
        <v>1212</v>
      </c>
      <c r="U534" s="320">
        <v>942975</v>
      </c>
      <c r="V534" s="319" t="s">
        <v>87</v>
      </c>
      <c r="W534" s="320">
        <v>1</v>
      </c>
      <c r="X534" s="320">
        <v>1</v>
      </c>
      <c r="Y534" s="320">
        <v>1</v>
      </c>
      <c r="Z534" s="320">
        <v>1</v>
      </c>
      <c r="AA534" s="320">
        <v>1</v>
      </c>
      <c r="AB534" s="320">
        <v>2</v>
      </c>
      <c r="AC534" s="320"/>
      <c r="AD534" s="320">
        <v>3</v>
      </c>
      <c r="AE534" s="320"/>
      <c r="AF534" s="320"/>
      <c r="AG534" s="320"/>
      <c r="AH534" s="320"/>
      <c r="AI534" s="320"/>
      <c r="AJ534" s="320"/>
      <c r="AK534" s="320"/>
      <c r="AL534" s="320"/>
      <c r="AM534" s="320"/>
      <c r="AN534" s="320"/>
      <c r="AO534" s="320"/>
      <c r="AP534" s="320"/>
      <c r="AQ534" s="320"/>
      <c r="AR534" s="320"/>
      <c r="AS534" s="320"/>
      <c r="AT534" s="320"/>
      <c r="AU534" s="320"/>
      <c r="AV534" s="320"/>
      <c r="AW534" s="320"/>
      <c r="AX534" s="320"/>
      <c r="AY534" s="952"/>
      <c r="AZ534" s="36"/>
      <c r="BA534" s="36"/>
      <c r="BB534" s="36"/>
      <c r="BC534" s="36"/>
      <c r="BD534" s="36"/>
      <c r="BF534">
        <f>ROWS($U$46:U534)</f>
        <v>489</v>
      </c>
      <c r="BG534" t="str">
        <f t="shared" si="211"/>
        <v/>
      </c>
    </row>
    <row r="535" spans="12:59" ht="15" customHeight="1" x14ac:dyDescent="0.35">
      <c r="L535" s="10" t="s">
        <v>2202</v>
      </c>
      <c r="O535" s="330">
        <v>2</v>
      </c>
      <c r="P535" s="36">
        <v>418525</v>
      </c>
      <c r="Q535" s="36">
        <v>9</v>
      </c>
      <c r="R535" s="36"/>
      <c r="S535" s="36" t="s">
        <v>1399</v>
      </c>
      <c r="T535" s="36" t="s">
        <v>1212</v>
      </c>
      <c r="U535" s="36">
        <v>942975</v>
      </c>
      <c r="V535" s="165" t="s">
        <v>88</v>
      </c>
      <c r="W535" s="36">
        <v>1</v>
      </c>
      <c r="X535" s="36">
        <v>1</v>
      </c>
      <c r="Y535" s="36">
        <v>1</v>
      </c>
      <c r="Z535" s="36">
        <v>1</v>
      </c>
      <c r="AA535" s="36">
        <v>1</v>
      </c>
      <c r="AB535" s="36">
        <v>2</v>
      </c>
      <c r="AC535" s="36"/>
      <c r="AD535" s="36">
        <v>3</v>
      </c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  <c r="AW535" s="36"/>
      <c r="AX535" s="36"/>
      <c r="AY535" s="953"/>
      <c r="AZ535" s="36"/>
      <c r="BA535" s="36"/>
      <c r="BB535" s="36"/>
      <c r="BC535" s="36"/>
      <c r="BD535" s="36"/>
      <c r="BF535">
        <f>ROWS($U$46:U535)</f>
        <v>490</v>
      </c>
      <c r="BG535" t="str">
        <f t="shared" si="211"/>
        <v/>
      </c>
    </row>
    <row r="536" spans="12:59" ht="15" customHeight="1" x14ac:dyDescent="0.35">
      <c r="L536" s="10">
        <v>1186627</v>
      </c>
      <c r="O536" s="330">
        <v>3</v>
      </c>
      <c r="P536" s="36">
        <v>1032645</v>
      </c>
      <c r="Q536" s="36">
        <v>9</v>
      </c>
      <c r="R536" s="36"/>
      <c r="S536" s="36" t="s">
        <v>1399</v>
      </c>
      <c r="T536" s="36" t="s">
        <v>1212</v>
      </c>
      <c r="U536" s="36">
        <v>942975</v>
      </c>
      <c r="V536" s="165" t="s">
        <v>89</v>
      </c>
      <c r="W536" s="36">
        <v>1</v>
      </c>
      <c r="X536" s="36">
        <v>1</v>
      </c>
      <c r="Y536" s="36">
        <v>1</v>
      </c>
      <c r="Z536" s="36">
        <v>1</v>
      </c>
      <c r="AA536" s="36">
        <v>2</v>
      </c>
      <c r="AB536" s="36"/>
      <c r="AC536" s="36"/>
      <c r="AD536" s="36">
        <v>3</v>
      </c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  <c r="AW536" s="36"/>
      <c r="AX536" s="36"/>
      <c r="AY536" s="953"/>
      <c r="AZ536" s="36"/>
      <c r="BA536" s="36"/>
      <c r="BB536" s="36"/>
      <c r="BC536" s="36"/>
      <c r="BD536" s="36"/>
      <c r="BF536">
        <f>ROWS($U$46:U536)</f>
        <v>491</v>
      </c>
      <c r="BG536" t="str">
        <f t="shared" si="211"/>
        <v/>
      </c>
    </row>
    <row r="537" spans="12:59" ht="15" customHeight="1" x14ac:dyDescent="0.35">
      <c r="L537" s="10" t="s">
        <v>2203</v>
      </c>
      <c r="O537" s="330"/>
      <c r="P537" s="36"/>
      <c r="Q537" s="36"/>
      <c r="R537" s="36"/>
      <c r="S537" s="36" t="s">
        <v>1399</v>
      </c>
      <c r="T537" s="36" t="s">
        <v>1212</v>
      </c>
      <c r="U537" s="36">
        <v>942975</v>
      </c>
      <c r="V537" s="165" t="s">
        <v>90</v>
      </c>
      <c r="W537" s="36">
        <v>1</v>
      </c>
      <c r="X537" s="36">
        <v>1</v>
      </c>
      <c r="Y537" s="36">
        <v>1</v>
      </c>
      <c r="Z537" s="36">
        <v>1</v>
      </c>
      <c r="AA537" s="36">
        <v>1</v>
      </c>
      <c r="AB537" s="36">
        <v>2</v>
      </c>
      <c r="AC537" s="36"/>
      <c r="AD537" s="36">
        <v>3</v>
      </c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  <c r="AW537" s="36"/>
      <c r="AX537" s="36"/>
      <c r="AY537" s="953"/>
      <c r="AZ537" s="36"/>
      <c r="BA537" s="36"/>
      <c r="BB537" s="36"/>
      <c r="BC537" s="36"/>
      <c r="BD537" s="36"/>
      <c r="BF537">
        <f>ROWS($U$46:U537)</f>
        <v>492</v>
      </c>
      <c r="BG537" t="str">
        <f t="shared" si="211"/>
        <v/>
      </c>
    </row>
    <row r="538" spans="12:59" ht="15" customHeight="1" x14ac:dyDescent="0.35">
      <c r="L538" s="10">
        <v>1276939</v>
      </c>
      <c r="O538" s="330"/>
      <c r="P538" s="36"/>
      <c r="Q538" s="36"/>
      <c r="R538" s="36"/>
      <c r="S538" s="36" t="s">
        <v>1399</v>
      </c>
      <c r="T538" s="36" t="s">
        <v>1212</v>
      </c>
      <c r="U538" s="36">
        <v>942975</v>
      </c>
      <c r="V538" s="165" t="s">
        <v>91</v>
      </c>
      <c r="W538" s="36">
        <v>1</v>
      </c>
      <c r="X538" s="36">
        <v>1</v>
      </c>
      <c r="Y538" s="36">
        <v>1</v>
      </c>
      <c r="Z538" s="36">
        <v>1</v>
      </c>
      <c r="AA538" s="36">
        <v>1</v>
      </c>
      <c r="AB538" s="36">
        <v>2</v>
      </c>
      <c r="AC538" s="36"/>
      <c r="AD538" s="36">
        <v>3</v>
      </c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  <c r="AY538" s="953"/>
      <c r="AZ538" s="36"/>
      <c r="BA538" s="36"/>
      <c r="BB538" s="36"/>
      <c r="BC538" s="36"/>
      <c r="BD538" s="36"/>
      <c r="BF538">
        <f>ROWS($U$46:U538)</f>
        <v>493</v>
      </c>
      <c r="BG538" t="str">
        <f t="shared" si="211"/>
        <v/>
      </c>
    </row>
    <row r="539" spans="12:59" ht="15" customHeight="1" x14ac:dyDescent="0.35">
      <c r="L539" s="10" t="s">
        <v>2217</v>
      </c>
      <c r="O539" s="330"/>
      <c r="P539" s="36"/>
      <c r="Q539" s="36"/>
      <c r="R539" s="36"/>
      <c r="S539" s="36" t="s">
        <v>1399</v>
      </c>
      <c r="T539" s="36" t="s">
        <v>1212</v>
      </c>
      <c r="U539" s="36">
        <v>942975</v>
      </c>
      <c r="V539" s="165" t="s">
        <v>92</v>
      </c>
      <c r="W539" s="36">
        <v>1</v>
      </c>
      <c r="X539" s="36">
        <v>1</v>
      </c>
      <c r="Y539" s="36">
        <v>1</v>
      </c>
      <c r="Z539" s="36">
        <v>1</v>
      </c>
      <c r="AA539" s="36">
        <v>2</v>
      </c>
      <c r="AB539" s="36"/>
      <c r="AC539" s="36"/>
      <c r="AD539" s="36">
        <v>3</v>
      </c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  <c r="AW539" s="36"/>
      <c r="AX539" s="36"/>
      <c r="AY539" s="953"/>
      <c r="AZ539" s="36"/>
      <c r="BA539" s="36"/>
      <c r="BB539" s="36"/>
      <c r="BC539" s="36"/>
      <c r="BD539" s="36"/>
      <c r="BF539">
        <f>ROWS($U$46:U539)</f>
        <v>494</v>
      </c>
      <c r="BG539" t="str">
        <f t="shared" si="211"/>
        <v/>
      </c>
    </row>
    <row r="540" spans="12:59" ht="15" customHeight="1" x14ac:dyDescent="0.35">
      <c r="L540" s="10">
        <v>1239258</v>
      </c>
      <c r="O540" s="330"/>
      <c r="P540" s="36"/>
      <c r="Q540" s="36"/>
      <c r="R540" s="36"/>
      <c r="S540" s="36" t="s">
        <v>1399</v>
      </c>
      <c r="T540" s="36" t="s">
        <v>1212</v>
      </c>
      <c r="U540" s="36">
        <v>942975</v>
      </c>
      <c r="V540" s="165" t="s">
        <v>111</v>
      </c>
      <c r="W540" s="36">
        <v>1</v>
      </c>
      <c r="X540" s="36">
        <v>1</v>
      </c>
      <c r="Y540" s="36">
        <v>1</v>
      </c>
      <c r="Z540" s="36">
        <v>1</v>
      </c>
      <c r="AA540" s="36">
        <v>1</v>
      </c>
      <c r="AB540" s="36">
        <v>2</v>
      </c>
      <c r="AC540" s="36"/>
      <c r="AD540" s="36">
        <v>3</v>
      </c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  <c r="AW540" s="36"/>
      <c r="AX540" s="36"/>
      <c r="AY540" s="953"/>
      <c r="AZ540" s="36"/>
      <c r="BA540" s="36"/>
      <c r="BB540" s="36"/>
      <c r="BC540" s="36"/>
      <c r="BD540" s="36"/>
      <c r="BF540">
        <f>ROWS($U$46:U540)</f>
        <v>495</v>
      </c>
      <c r="BG540" t="str">
        <f t="shared" si="211"/>
        <v/>
      </c>
    </row>
    <row r="541" spans="12:59" ht="15" customHeight="1" x14ac:dyDescent="0.35">
      <c r="L541" s="10" t="s">
        <v>2245</v>
      </c>
      <c r="O541" s="330"/>
      <c r="P541" s="36"/>
      <c r="Q541" s="36"/>
      <c r="R541" s="36"/>
      <c r="S541" s="36" t="s">
        <v>1399</v>
      </c>
      <c r="T541" s="36" t="s">
        <v>1212</v>
      </c>
      <c r="U541" s="36">
        <v>942975</v>
      </c>
      <c r="V541" s="165" t="s">
        <v>112</v>
      </c>
      <c r="W541" s="36">
        <v>1</v>
      </c>
      <c r="X541" s="36">
        <v>1</v>
      </c>
      <c r="Y541" s="36">
        <v>1</v>
      </c>
      <c r="Z541" s="36">
        <v>1</v>
      </c>
      <c r="AA541" s="36">
        <v>1</v>
      </c>
      <c r="AB541" s="36">
        <v>2</v>
      </c>
      <c r="AC541" s="36"/>
      <c r="AD541" s="36">
        <v>3</v>
      </c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953"/>
      <c r="AZ541" s="36"/>
      <c r="BA541" s="36"/>
      <c r="BB541" s="36"/>
      <c r="BC541" s="36"/>
      <c r="BD541" s="36"/>
      <c r="BF541">
        <f>ROWS($U$46:U541)</f>
        <v>496</v>
      </c>
      <c r="BG541" t="str">
        <f t="shared" si="211"/>
        <v/>
      </c>
    </row>
    <row r="542" spans="12:59" ht="15" customHeight="1" thickBot="1" x14ac:dyDescent="0.4">
      <c r="L542" s="10">
        <v>1239239</v>
      </c>
      <c r="O542" s="331"/>
      <c r="P542" s="328"/>
      <c r="Q542" s="328"/>
      <c r="R542" s="328"/>
      <c r="S542" s="328" t="s">
        <v>1399</v>
      </c>
      <c r="T542" s="328" t="s">
        <v>1212</v>
      </c>
      <c r="U542" s="328">
        <v>942975</v>
      </c>
      <c r="V542" s="165" t="s">
        <v>113</v>
      </c>
      <c r="W542" s="328">
        <v>1</v>
      </c>
      <c r="X542" s="328">
        <v>1</v>
      </c>
      <c r="Y542" s="328">
        <v>1</v>
      </c>
      <c r="Z542" s="328">
        <v>1</v>
      </c>
      <c r="AA542" s="328">
        <v>2</v>
      </c>
      <c r="AB542" s="328"/>
      <c r="AC542" s="328"/>
      <c r="AD542" s="328">
        <v>3</v>
      </c>
      <c r="AE542" s="328"/>
      <c r="AF542" s="328"/>
      <c r="AG542" s="328"/>
      <c r="AH542" s="328"/>
      <c r="AI542" s="328"/>
      <c r="AJ542" s="328"/>
      <c r="AK542" s="328"/>
      <c r="AL542" s="328"/>
      <c r="AM542" s="328"/>
      <c r="AN542" s="328"/>
      <c r="AO542" s="328"/>
      <c r="AP542" s="328"/>
      <c r="AQ542" s="328"/>
      <c r="AR542" s="328"/>
      <c r="AS542" s="328"/>
      <c r="AT542" s="328"/>
      <c r="AU542" s="328"/>
      <c r="AV542" s="328"/>
      <c r="AW542" s="328"/>
      <c r="AX542" s="328"/>
      <c r="AY542" s="954"/>
      <c r="AZ542" s="36"/>
      <c r="BA542" s="36"/>
      <c r="BB542" s="36"/>
      <c r="BC542" s="36"/>
      <c r="BD542" s="36"/>
      <c r="BF542">
        <f>ROWS($U$46:U542)</f>
        <v>497</v>
      </c>
      <c r="BG542" t="str">
        <f t="shared" si="211"/>
        <v/>
      </c>
    </row>
    <row r="543" spans="12:59" ht="15" customHeight="1" x14ac:dyDescent="0.35">
      <c r="L543" s="10" t="s">
        <v>2246</v>
      </c>
      <c r="O543" s="329">
        <v>1</v>
      </c>
      <c r="P543" s="320">
        <v>1039060</v>
      </c>
      <c r="Q543" s="320">
        <v>24</v>
      </c>
      <c r="R543" s="320"/>
      <c r="S543" s="320" t="s">
        <v>1198</v>
      </c>
      <c r="T543" s="320" t="s">
        <v>846</v>
      </c>
      <c r="U543" s="320">
        <v>1083564</v>
      </c>
      <c r="V543" s="319" t="s">
        <v>87</v>
      </c>
      <c r="W543" s="320">
        <v>3</v>
      </c>
      <c r="X543" s="320">
        <v>1</v>
      </c>
      <c r="Y543" s="320">
        <v>1</v>
      </c>
      <c r="Z543" s="320">
        <v>1</v>
      </c>
      <c r="AA543" s="320">
        <v>1</v>
      </c>
      <c r="AB543" s="320">
        <v>1</v>
      </c>
      <c r="AC543" s="320">
        <v>3</v>
      </c>
      <c r="AD543" s="320">
        <v>4</v>
      </c>
      <c r="AE543" s="320"/>
      <c r="AF543" s="320">
        <v>2</v>
      </c>
      <c r="AG543" s="320">
        <v>2</v>
      </c>
      <c r="AH543" s="320">
        <v>2</v>
      </c>
      <c r="AI543" s="320">
        <v>2</v>
      </c>
      <c r="AJ543" s="320"/>
      <c r="AK543" s="320"/>
      <c r="AL543" s="320"/>
      <c r="AM543" s="320"/>
      <c r="AN543" s="320"/>
      <c r="AO543" s="320"/>
      <c r="AP543" s="320"/>
      <c r="AQ543" s="320"/>
      <c r="AR543" s="320"/>
      <c r="AS543" s="320"/>
      <c r="AT543" s="320"/>
      <c r="AU543" s="320"/>
      <c r="AV543" s="320"/>
      <c r="AW543" s="320"/>
      <c r="AX543" s="320"/>
      <c r="AY543" s="952"/>
      <c r="AZ543" s="36"/>
      <c r="BA543" s="36"/>
      <c r="BB543" s="36"/>
      <c r="BC543" s="36"/>
      <c r="BD543" s="36"/>
      <c r="BF543">
        <f>ROWS($U$46:U543)</f>
        <v>498</v>
      </c>
      <c r="BG543" t="str">
        <f t="shared" si="211"/>
        <v/>
      </c>
    </row>
    <row r="544" spans="12:59" ht="15" customHeight="1" x14ac:dyDescent="0.35">
      <c r="L544" s="10">
        <v>1216970</v>
      </c>
      <c r="O544" s="330">
        <v>2</v>
      </c>
      <c r="P544" s="36">
        <v>1130197</v>
      </c>
      <c r="Q544" s="36">
        <v>23</v>
      </c>
      <c r="R544" s="36"/>
      <c r="S544" s="36" t="s">
        <v>1198</v>
      </c>
      <c r="T544" s="36" t="s">
        <v>846</v>
      </c>
      <c r="U544" s="36">
        <v>1083564</v>
      </c>
      <c r="V544" s="165" t="s">
        <v>88</v>
      </c>
      <c r="W544" s="36">
        <v>1</v>
      </c>
      <c r="X544" s="36">
        <v>1</v>
      </c>
      <c r="Y544" s="36">
        <v>1</v>
      </c>
      <c r="Z544" s="36">
        <v>3</v>
      </c>
      <c r="AA544" s="36">
        <v>4</v>
      </c>
      <c r="AB544" s="36"/>
      <c r="AC544" s="36"/>
      <c r="AD544" s="36"/>
      <c r="AE544" s="36"/>
      <c r="AF544" s="36">
        <v>2</v>
      </c>
      <c r="AG544" s="36">
        <v>2</v>
      </c>
      <c r="AH544" s="36">
        <v>2</v>
      </c>
      <c r="AI544" s="36">
        <v>2</v>
      </c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  <c r="AW544" s="36"/>
      <c r="AX544" s="36"/>
      <c r="AY544" s="953"/>
      <c r="AZ544" s="36"/>
      <c r="BA544" s="36"/>
      <c r="BB544" s="36"/>
      <c r="BC544" s="36"/>
      <c r="BD544" s="36"/>
      <c r="BF544">
        <f>ROWS($U$46:U544)</f>
        <v>499</v>
      </c>
      <c r="BG544" t="str">
        <f t="shared" si="211"/>
        <v/>
      </c>
    </row>
    <row r="545" spans="12:59" ht="15" customHeight="1" x14ac:dyDescent="0.35">
      <c r="L545" s="10" t="s">
        <v>2250</v>
      </c>
      <c r="O545" s="330">
        <v>3</v>
      </c>
      <c r="P545" s="36">
        <v>11301988</v>
      </c>
      <c r="Q545" s="36">
        <v>9</v>
      </c>
      <c r="R545" s="36"/>
      <c r="S545" s="36" t="s">
        <v>1198</v>
      </c>
      <c r="T545" s="36" t="s">
        <v>846</v>
      </c>
      <c r="U545" s="36">
        <v>1083564</v>
      </c>
      <c r="V545" s="165" t="s">
        <v>89</v>
      </c>
      <c r="W545" s="36">
        <v>3</v>
      </c>
      <c r="X545" s="36">
        <v>1</v>
      </c>
      <c r="Y545" s="36">
        <v>1</v>
      </c>
      <c r="Z545" s="36">
        <v>1</v>
      </c>
      <c r="AA545" s="36">
        <v>1</v>
      </c>
      <c r="AB545" s="36">
        <v>3</v>
      </c>
      <c r="AC545" s="36">
        <v>4</v>
      </c>
      <c r="AD545" s="36"/>
      <c r="AE545" s="36"/>
      <c r="AF545" s="36">
        <v>2</v>
      </c>
      <c r="AG545" s="36">
        <v>2</v>
      </c>
      <c r="AH545" s="36">
        <v>2</v>
      </c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  <c r="AW545" s="36"/>
      <c r="AX545" s="36"/>
      <c r="AY545" s="953"/>
      <c r="AZ545" s="36"/>
      <c r="BA545" s="36"/>
      <c r="BB545" s="36"/>
      <c r="BC545" s="36"/>
      <c r="BD545" s="36"/>
      <c r="BF545">
        <f>ROWS($U$46:U545)</f>
        <v>500</v>
      </c>
      <c r="BG545" t="str">
        <f t="shared" si="211"/>
        <v/>
      </c>
    </row>
    <row r="546" spans="12:59" ht="15" customHeight="1" x14ac:dyDescent="0.35">
      <c r="L546" s="10">
        <v>1257527</v>
      </c>
      <c r="O546" s="330">
        <v>4</v>
      </c>
      <c r="P546" s="36">
        <v>418525</v>
      </c>
      <c r="Q546" s="36">
        <v>6</v>
      </c>
      <c r="R546" s="36"/>
      <c r="S546" s="36" t="s">
        <v>1198</v>
      </c>
      <c r="T546" s="36" t="s">
        <v>846</v>
      </c>
      <c r="U546" s="36">
        <v>1083564</v>
      </c>
      <c r="V546" s="165" t="s">
        <v>90</v>
      </c>
      <c r="W546" s="36">
        <v>1</v>
      </c>
      <c r="X546" s="36">
        <v>1</v>
      </c>
      <c r="Y546" s="36">
        <v>1</v>
      </c>
      <c r="Z546" s="36">
        <v>1</v>
      </c>
      <c r="AA546" s="36">
        <v>3</v>
      </c>
      <c r="AB546" s="36">
        <v>4</v>
      </c>
      <c r="AC546" s="36"/>
      <c r="AD546" s="36"/>
      <c r="AE546" s="36"/>
      <c r="AF546" s="36">
        <v>2</v>
      </c>
      <c r="AG546" s="36">
        <v>2</v>
      </c>
      <c r="AH546" s="36">
        <v>2</v>
      </c>
      <c r="AI546" s="36">
        <v>2</v>
      </c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  <c r="AW546" s="36"/>
      <c r="AX546" s="36"/>
      <c r="AY546" s="953"/>
      <c r="AZ546" s="36"/>
      <c r="BA546" s="36"/>
      <c r="BB546" s="36"/>
      <c r="BC546" s="36"/>
      <c r="BD546" s="36"/>
      <c r="BF546">
        <f>ROWS($U$46:U546)</f>
        <v>501</v>
      </c>
      <c r="BG546" t="str">
        <f t="shared" si="211"/>
        <v/>
      </c>
    </row>
    <row r="547" spans="12:59" ht="15" customHeight="1" x14ac:dyDescent="0.35">
      <c r="L547" s="10" t="s">
        <v>2256</v>
      </c>
      <c r="O547" s="330"/>
      <c r="P547" s="36"/>
      <c r="Q547" s="36"/>
      <c r="R547" s="36"/>
      <c r="S547" s="36" t="s">
        <v>1198</v>
      </c>
      <c r="T547" s="36" t="s">
        <v>846</v>
      </c>
      <c r="U547" s="36">
        <v>1083564</v>
      </c>
      <c r="V547" s="165" t="s">
        <v>91</v>
      </c>
      <c r="W547" s="36">
        <v>3</v>
      </c>
      <c r="X547" s="36">
        <v>1</v>
      </c>
      <c r="Y547" s="36">
        <v>1</v>
      </c>
      <c r="Z547" s="36">
        <v>1</v>
      </c>
      <c r="AA547" s="36">
        <v>1</v>
      </c>
      <c r="AB547" s="36">
        <v>1</v>
      </c>
      <c r="AC547" s="36">
        <v>3</v>
      </c>
      <c r="AD547" s="36">
        <v>4</v>
      </c>
      <c r="AE547" s="36"/>
      <c r="AF547" s="36">
        <v>2</v>
      </c>
      <c r="AG547" s="36">
        <v>2</v>
      </c>
      <c r="AH547" s="36">
        <v>2</v>
      </c>
      <c r="AI547" s="36">
        <v>2</v>
      </c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  <c r="AW547" s="36"/>
      <c r="AX547" s="36"/>
      <c r="AY547" s="953"/>
      <c r="AZ547" s="36"/>
      <c r="BA547" s="36"/>
      <c r="BB547" s="36"/>
      <c r="BC547" s="36"/>
      <c r="BD547" s="36"/>
      <c r="BF547">
        <f>ROWS($U$46:U547)</f>
        <v>502</v>
      </c>
      <c r="BG547" t="str">
        <f t="shared" si="211"/>
        <v/>
      </c>
    </row>
    <row r="548" spans="12:59" ht="15" customHeight="1" thickBot="1" x14ac:dyDescent="0.4">
      <c r="L548" s="10">
        <v>1263988</v>
      </c>
      <c r="O548" s="331"/>
      <c r="P548" s="328"/>
      <c r="Q548" s="328"/>
      <c r="R548" s="328"/>
      <c r="S548" s="328" t="s">
        <v>1198</v>
      </c>
      <c r="T548" s="328" t="s">
        <v>846</v>
      </c>
      <c r="U548" s="328">
        <v>1083564</v>
      </c>
      <c r="V548" s="327" t="s">
        <v>92</v>
      </c>
      <c r="W548" s="328">
        <v>1</v>
      </c>
      <c r="X548" s="328">
        <v>1</v>
      </c>
      <c r="Y548" s="328">
        <v>1</v>
      </c>
      <c r="Z548" s="328">
        <v>3</v>
      </c>
      <c r="AA548" s="328">
        <v>4</v>
      </c>
      <c r="AB548" s="328"/>
      <c r="AC548" s="328"/>
      <c r="AD548" s="328"/>
      <c r="AE548" s="328"/>
      <c r="AF548" s="328">
        <v>2</v>
      </c>
      <c r="AG548" s="328">
        <v>2</v>
      </c>
      <c r="AH548" s="328">
        <v>2</v>
      </c>
      <c r="AI548" s="328">
        <v>2</v>
      </c>
      <c r="AJ548" s="328"/>
      <c r="AK548" s="328"/>
      <c r="AL548" s="328"/>
      <c r="AM548" s="328"/>
      <c r="AN548" s="328"/>
      <c r="AO548" s="328"/>
      <c r="AP548" s="328"/>
      <c r="AQ548" s="328"/>
      <c r="AR548" s="328"/>
      <c r="AS548" s="328"/>
      <c r="AT548" s="328"/>
      <c r="AU548" s="328"/>
      <c r="AV548" s="328"/>
      <c r="AW548" s="328"/>
      <c r="AX548" s="328"/>
      <c r="AY548" s="954"/>
      <c r="AZ548" s="36"/>
      <c r="BA548" s="36"/>
      <c r="BB548" s="36"/>
      <c r="BC548" s="36"/>
      <c r="BD548" s="36"/>
      <c r="BF548">
        <f>ROWS($U$46:U548)</f>
        <v>503</v>
      </c>
      <c r="BG548" t="str">
        <f t="shared" si="211"/>
        <v/>
      </c>
    </row>
    <row r="549" spans="12:59" ht="15" customHeight="1" x14ac:dyDescent="0.35">
      <c r="L549" s="10" t="s">
        <v>2257</v>
      </c>
      <c r="O549" s="329">
        <v>1</v>
      </c>
      <c r="P549" s="320">
        <v>729687</v>
      </c>
      <c r="Q549" s="320">
        <v>28</v>
      </c>
      <c r="R549" s="320"/>
      <c r="S549" s="320" t="s">
        <v>1200</v>
      </c>
      <c r="T549" s="320" t="s">
        <v>744</v>
      </c>
      <c r="U549" s="320">
        <v>953047</v>
      </c>
      <c r="V549" s="319" t="s">
        <v>87</v>
      </c>
      <c r="W549" s="320">
        <v>3</v>
      </c>
      <c r="X549" s="320">
        <v>2</v>
      </c>
      <c r="Y549" s="320">
        <v>1</v>
      </c>
      <c r="Z549" s="320">
        <v>1</v>
      </c>
      <c r="AA549" s="320">
        <v>1</v>
      </c>
      <c r="AB549" s="320">
        <v>1</v>
      </c>
      <c r="AC549" s="320">
        <v>1</v>
      </c>
      <c r="AD549" s="320">
        <v>4</v>
      </c>
      <c r="AE549" s="320"/>
      <c r="AF549" s="320"/>
      <c r="AG549" s="320"/>
      <c r="AH549" s="320"/>
      <c r="AI549" s="320"/>
      <c r="AJ549" s="320"/>
      <c r="AK549" s="320"/>
      <c r="AL549" s="320"/>
      <c r="AM549" s="320"/>
      <c r="AN549" s="320"/>
      <c r="AO549" s="320"/>
      <c r="AP549" s="320"/>
      <c r="AQ549" s="320"/>
      <c r="AR549" s="320"/>
      <c r="AS549" s="320"/>
      <c r="AT549" s="320"/>
      <c r="AU549" s="320"/>
      <c r="AV549" s="320"/>
      <c r="AW549" s="320"/>
      <c r="AX549" s="320"/>
      <c r="AY549" s="952"/>
      <c r="AZ549" s="36"/>
      <c r="BA549" s="36"/>
      <c r="BB549" s="36"/>
      <c r="BC549" s="36"/>
      <c r="BD549" s="36"/>
      <c r="BF549">
        <f>ROWS($U$46:U549)</f>
        <v>504</v>
      </c>
      <c r="BG549" t="str">
        <f t="shared" si="211"/>
        <v/>
      </c>
    </row>
    <row r="550" spans="12:59" ht="15" customHeight="1" x14ac:dyDescent="0.35">
      <c r="L550" s="10">
        <v>1211650</v>
      </c>
      <c r="O550" s="330">
        <v>2</v>
      </c>
      <c r="P550" s="36">
        <v>729435</v>
      </c>
      <c r="Q550" s="36">
        <v>3</v>
      </c>
      <c r="R550" s="36"/>
      <c r="S550" s="36" t="s">
        <v>1200</v>
      </c>
      <c r="T550" s="36" t="s">
        <v>744</v>
      </c>
      <c r="U550" s="36">
        <v>953047</v>
      </c>
      <c r="V550" s="165" t="s">
        <v>88</v>
      </c>
      <c r="W550" s="36">
        <v>1</v>
      </c>
      <c r="X550" s="36">
        <v>1</v>
      </c>
      <c r="Y550" s="36">
        <v>1</v>
      </c>
      <c r="Z550" s="36">
        <v>1</v>
      </c>
      <c r="AA550" s="36">
        <v>4</v>
      </c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953"/>
      <c r="AZ550" s="36"/>
      <c r="BA550" s="36"/>
      <c r="BB550" s="36"/>
      <c r="BC550" s="36"/>
      <c r="BD550" s="36"/>
      <c r="BF550">
        <f>ROWS($U$46:U550)</f>
        <v>505</v>
      </c>
      <c r="BG550" t="str">
        <f t="shared" si="211"/>
        <v/>
      </c>
    </row>
    <row r="551" spans="12:59" ht="15" customHeight="1" x14ac:dyDescent="0.35">
      <c r="L551" s="10" t="s">
        <v>2258</v>
      </c>
      <c r="O551" s="330">
        <v>3</v>
      </c>
      <c r="P551" s="36">
        <v>703670</v>
      </c>
      <c r="Q551" s="36">
        <v>3</v>
      </c>
      <c r="R551" s="36"/>
      <c r="S551" s="36" t="s">
        <v>1200</v>
      </c>
      <c r="T551" s="36" t="s">
        <v>744</v>
      </c>
      <c r="U551" s="36">
        <v>953047</v>
      </c>
      <c r="V551" s="165" t="s">
        <v>89</v>
      </c>
      <c r="W551" s="36">
        <v>3</v>
      </c>
      <c r="X551" s="36">
        <v>2</v>
      </c>
      <c r="Y551" s="36">
        <v>1</v>
      </c>
      <c r="Z551" s="36">
        <v>1</v>
      </c>
      <c r="AA551" s="36">
        <v>1</v>
      </c>
      <c r="AB551" s="36">
        <v>1</v>
      </c>
      <c r="AC551" s="36">
        <v>1</v>
      </c>
      <c r="AD551" s="36">
        <v>4</v>
      </c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  <c r="AW551" s="36"/>
      <c r="AX551" s="36"/>
      <c r="AY551" s="953"/>
      <c r="AZ551" s="36"/>
      <c r="BA551" s="36"/>
      <c r="BB551" s="36"/>
      <c r="BC551" s="36"/>
      <c r="BD551" s="36"/>
      <c r="BF551">
        <f>ROWS($U$46:U551)</f>
        <v>506</v>
      </c>
      <c r="BG551" t="str">
        <f t="shared" si="211"/>
        <v/>
      </c>
    </row>
    <row r="552" spans="12:59" ht="15" customHeight="1" x14ac:dyDescent="0.35">
      <c r="L552" s="10">
        <v>1217619</v>
      </c>
      <c r="O552" s="330">
        <v>4</v>
      </c>
      <c r="P552" s="36">
        <v>418525</v>
      </c>
      <c r="Q552" s="36">
        <v>6</v>
      </c>
      <c r="R552" s="36"/>
      <c r="S552" s="36" t="s">
        <v>1200</v>
      </c>
      <c r="T552" s="36" t="s">
        <v>744</v>
      </c>
      <c r="U552" s="36">
        <v>953047</v>
      </c>
      <c r="V552" s="165" t="s">
        <v>90</v>
      </c>
      <c r="W552" s="36">
        <v>1</v>
      </c>
      <c r="X552" s="36">
        <v>1</v>
      </c>
      <c r="Y552" s="36">
        <v>1</v>
      </c>
      <c r="Z552" s="36">
        <v>1</v>
      </c>
      <c r="AA552" s="36">
        <v>1</v>
      </c>
      <c r="AB552" s="36">
        <v>4</v>
      </c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  <c r="AW552" s="36"/>
      <c r="AX552" s="36"/>
      <c r="AY552" s="953"/>
      <c r="AZ552" s="36"/>
      <c r="BA552" s="36"/>
      <c r="BB552" s="36"/>
      <c r="BC552" s="36"/>
      <c r="BD552" s="36"/>
      <c r="BF552">
        <f>ROWS($U$46:U552)</f>
        <v>507</v>
      </c>
      <c r="BG552" t="str">
        <f t="shared" si="211"/>
        <v/>
      </c>
    </row>
    <row r="553" spans="12:59" ht="15" customHeight="1" x14ac:dyDescent="0.35">
      <c r="L553" s="10" t="s">
        <v>2259</v>
      </c>
      <c r="O553" s="330"/>
      <c r="P553" s="36"/>
      <c r="Q553" s="36"/>
      <c r="R553" s="36"/>
      <c r="S553" s="36" t="s">
        <v>1200</v>
      </c>
      <c r="T553" s="36" t="s">
        <v>744</v>
      </c>
      <c r="U553" s="36">
        <v>953047</v>
      </c>
      <c r="V553" s="165" t="s">
        <v>91</v>
      </c>
      <c r="W553" s="36">
        <v>3</v>
      </c>
      <c r="X553" s="36">
        <v>2</v>
      </c>
      <c r="Y553" s="36">
        <v>1</v>
      </c>
      <c r="Z553" s="36">
        <v>1</v>
      </c>
      <c r="AA553" s="36">
        <v>1</v>
      </c>
      <c r="AB553" s="36">
        <v>1</v>
      </c>
      <c r="AC553" s="36">
        <v>1</v>
      </c>
      <c r="AD553" s="36">
        <v>4</v>
      </c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  <c r="AX553" s="36"/>
      <c r="AY553" s="953"/>
      <c r="AZ553" s="36"/>
      <c r="BA553" s="36"/>
      <c r="BB553" s="36"/>
      <c r="BC553" s="36"/>
      <c r="BD553" s="36"/>
      <c r="BF553">
        <f>ROWS($U$46:U553)</f>
        <v>508</v>
      </c>
      <c r="BG553" t="str">
        <f t="shared" si="211"/>
        <v/>
      </c>
    </row>
    <row r="554" spans="12:59" ht="15" customHeight="1" thickBot="1" x14ac:dyDescent="0.4">
      <c r="L554" s="10">
        <v>1238637</v>
      </c>
      <c r="O554" s="331"/>
      <c r="P554" s="328"/>
      <c r="Q554" s="328"/>
      <c r="R554" s="328"/>
      <c r="S554" s="328" t="s">
        <v>1200</v>
      </c>
      <c r="T554" s="328" t="s">
        <v>744</v>
      </c>
      <c r="U554" s="328">
        <v>953047</v>
      </c>
      <c r="V554" s="327" t="s">
        <v>92</v>
      </c>
      <c r="W554" s="328">
        <v>1</v>
      </c>
      <c r="X554" s="328">
        <v>1</v>
      </c>
      <c r="Y554" s="328">
        <v>1</v>
      </c>
      <c r="Z554" s="328">
        <v>1</v>
      </c>
      <c r="AA554" s="328">
        <v>4</v>
      </c>
      <c r="AB554" s="328"/>
      <c r="AC554" s="328"/>
      <c r="AD554" s="328"/>
      <c r="AE554" s="328"/>
      <c r="AF554" s="328"/>
      <c r="AG554" s="328"/>
      <c r="AH554" s="328"/>
      <c r="AI554" s="328"/>
      <c r="AJ554" s="328"/>
      <c r="AK554" s="328"/>
      <c r="AL554" s="328"/>
      <c r="AM554" s="328"/>
      <c r="AN554" s="328"/>
      <c r="AO554" s="328"/>
      <c r="AP554" s="328"/>
      <c r="AQ554" s="328"/>
      <c r="AR554" s="328"/>
      <c r="AS554" s="328"/>
      <c r="AT554" s="328"/>
      <c r="AU554" s="328"/>
      <c r="AV554" s="328"/>
      <c r="AW554" s="328"/>
      <c r="AX554" s="328"/>
      <c r="AY554" s="954"/>
      <c r="AZ554" s="36"/>
      <c r="BA554" s="36"/>
      <c r="BB554" s="36"/>
      <c r="BC554" s="36"/>
      <c r="BD554" s="36"/>
      <c r="BF554">
        <f>ROWS($U$46:U554)</f>
        <v>509</v>
      </c>
      <c r="BG554" t="str">
        <f t="shared" si="211"/>
        <v/>
      </c>
    </row>
    <row r="555" spans="12:59" ht="15" customHeight="1" x14ac:dyDescent="0.35">
      <c r="L555" s="10" t="s">
        <v>2260</v>
      </c>
      <c r="O555" s="329">
        <v>1</v>
      </c>
      <c r="P555" s="320">
        <v>729687</v>
      </c>
      <c r="Q555" s="320">
        <v>28</v>
      </c>
      <c r="R555" s="320"/>
      <c r="S555" s="320" t="s">
        <v>1200</v>
      </c>
      <c r="T555" s="320" t="s">
        <v>744</v>
      </c>
      <c r="U555" s="320">
        <v>1002910</v>
      </c>
      <c r="V555" s="319" t="s">
        <v>87</v>
      </c>
      <c r="W555" s="320">
        <v>2</v>
      </c>
      <c r="X555" s="320">
        <v>2</v>
      </c>
      <c r="Y555" s="320">
        <v>1</v>
      </c>
      <c r="Z555" s="320">
        <v>1</v>
      </c>
      <c r="AA555" s="320">
        <v>1</v>
      </c>
      <c r="AB555" s="320">
        <v>1</v>
      </c>
      <c r="AC555" s="320">
        <v>1</v>
      </c>
      <c r="AD555" s="320">
        <v>3</v>
      </c>
      <c r="AE555" s="320">
        <v>3</v>
      </c>
      <c r="AF555" s="320"/>
      <c r="AG555" s="320"/>
      <c r="AH555" s="320"/>
      <c r="AI555" s="320"/>
      <c r="AJ555" s="320"/>
      <c r="AK555" s="320"/>
      <c r="AL555" s="320"/>
      <c r="AM555" s="320"/>
      <c r="AN555" s="320"/>
      <c r="AO555" s="320"/>
      <c r="AP555" s="320"/>
      <c r="AQ555" s="320"/>
      <c r="AR555" s="320"/>
      <c r="AS555" s="320"/>
      <c r="AT555" s="320"/>
      <c r="AU555" s="320"/>
      <c r="AV555" s="320"/>
      <c r="AW555" s="320"/>
      <c r="AX555" s="320"/>
      <c r="AY555" s="952"/>
      <c r="AZ555" s="36"/>
      <c r="BA555" s="36"/>
      <c r="BB555" s="36"/>
      <c r="BC555" s="36"/>
      <c r="BD555" s="36"/>
      <c r="BF555">
        <f>ROWS($U$46:U555)</f>
        <v>510</v>
      </c>
      <c r="BG555" t="str">
        <f t="shared" si="211"/>
        <v/>
      </c>
    </row>
    <row r="556" spans="12:59" ht="15" customHeight="1" x14ac:dyDescent="0.35">
      <c r="L556" s="10">
        <v>1245357</v>
      </c>
      <c r="O556" s="330">
        <v>2</v>
      </c>
      <c r="P556" s="36">
        <v>703670</v>
      </c>
      <c r="Q556" s="36">
        <v>6</v>
      </c>
      <c r="R556" s="36"/>
      <c r="S556" s="36" t="s">
        <v>1200</v>
      </c>
      <c r="T556" s="36" t="s">
        <v>744</v>
      </c>
      <c r="U556" s="36">
        <v>1002910</v>
      </c>
      <c r="V556" s="165" t="s">
        <v>88</v>
      </c>
      <c r="W556" s="36">
        <v>1</v>
      </c>
      <c r="X556" s="36">
        <v>1</v>
      </c>
      <c r="Y556" s="36">
        <v>1</v>
      </c>
      <c r="Z556" s="36">
        <v>1</v>
      </c>
      <c r="AA556" s="36">
        <v>3</v>
      </c>
      <c r="AB556" s="36">
        <v>3</v>
      </c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  <c r="AW556" s="36"/>
      <c r="AX556" s="36"/>
      <c r="AY556" s="953"/>
      <c r="AZ556" s="36"/>
      <c r="BA556" s="36"/>
      <c r="BB556" s="36"/>
      <c r="BC556" s="36"/>
      <c r="BD556" s="36"/>
      <c r="BF556">
        <f>ROWS($U$46:U556)</f>
        <v>511</v>
      </c>
      <c r="BG556" t="str">
        <f t="shared" si="211"/>
        <v/>
      </c>
    </row>
    <row r="557" spans="12:59" ht="15" customHeight="1" x14ac:dyDescent="0.35">
      <c r="L557" s="10" t="s">
        <v>2275</v>
      </c>
      <c r="O557" s="330">
        <v>3</v>
      </c>
      <c r="P557" s="36">
        <v>418525</v>
      </c>
      <c r="Q557" s="36">
        <v>12</v>
      </c>
      <c r="R557" s="36"/>
      <c r="S557" s="36" t="s">
        <v>1200</v>
      </c>
      <c r="T557" s="36" t="s">
        <v>744</v>
      </c>
      <c r="U557" s="36">
        <v>1002910</v>
      </c>
      <c r="V557" s="165" t="s">
        <v>89</v>
      </c>
      <c r="W557" s="36">
        <v>2</v>
      </c>
      <c r="X557" s="36">
        <v>2</v>
      </c>
      <c r="Y557" s="36">
        <v>1</v>
      </c>
      <c r="Z557" s="36">
        <v>1</v>
      </c>
      <c r="AA557" s="36">
        <v>1</v>
      </c>
      <c r="AB557" s="36">
        <v>1</v>
      </c>
      <c r="AC557" s="36">
        <v>1</v>
      </c>
      <c r="AD557" s="36">
        <v>3</v>
      </c>
      <c r="AE557" s="36">
        <v>3</v>
      </c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  <c r="AW557" s="36"/>
      <c r="AX557" s="36"/>
      <c r="AY557" s="953"/>
      <c r="AZ557" s="36"/>
      <c r="BA557" s="36"/>
      <c r="BB557" s="36"/>
      <c r="BC557" s="36"/>
      <c r="BD557" s="36"/>
      <c r="BF557">
        <f>ROWS($U$46:U557)</f>
        <v>512</v>
      </c>
      <c r="BG557" t="str">
        <f t="shared" si="211"/>
        <v/>
      </c>
    </row>
    <row r="558" spans="12:59" ht="15" customHeight="1" x14ac:dyDescent="0.35">
      <c r="L558" s="10">
        <v>1176003</v>
      </c>
      <c r="O558" s="330"/>
      <c r="P558" s="36"/>
      <c r="Q558" s="36"/>
      <c r="R558" s="36"/>
      <c r="S558" s="36" t="s">
        <v>1200</v>
      </c>
      <c r="T558" s="36" t="s">
        <v>744</v>
      </c>
      <c r="U558" s="36">
        <v>1002910</v>
      </c>
      <c r="V558" s="165" t="s">
        <v>90</v>
      </c>
      <c r="W558" s="36">
        <v>1</v>
      </c>
      <c r="X558" s="36">
        <v>1</v>
      </c>
      <c r="Y558" s="36">
        <v>1</v>
      </c>
      <c r="Z558" s="36">
        <v>1</v>
      </c>
      <c r="AA558" s="36">
        <v>1</v>
      </c>
      <c r="AB558" s="36">
        <v>3</v>
      </c>
      <c r="AC558" s="36">
        <v>3</v>
      </c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  <c r="AW558" s="36"/>
      <c r="AX558" s="36"/>
      <c r="AY558" s="953"/>
      <c r="AZ558" s="36"/>
      <c r="BA558" s="36"/>
      <c r="BB558" s="36"/>
      <c r="BC558" s="36"/>
      <c r="BD558" s="36"/>
      <c r="BF558">
        <f>ROWS($U$46:U558)</f>
        <v>513</v>
      </c>
      <c r="BG558" t="str">
        <f t="shared" si="211"/>
        <v/>
      </c>
    </row>
    <row r="559" spans="12:59" ht="15" customHeight="1" x14ac:dyDescent="0.35">
      <c r="L559" s="10" t="s">
        <v>2277</v>
      </c>
      <c r="O559" s="330"/>
      <c r="P559" s="36"/>
      <c r="Q559" s="36"/>
      <c r="R559" s="36"/>
      <c r="S559" s="36" t="s">
        <v>1200</v>
      </c>
      <c r="T559" s="36" t="s">
        <v>744</v>
      </c>
      <c r="U559" s="36">
        <v>1002910</v>
      </c>
      <c r="V559" s="165" t="s">
        <v>91</v>
      </c>
      <c r="W559" s="36">
        <v>2</v>
      </c>
      <c r="X559" s="36">
        <v>2</v>
      </c>
      <c r="Y559" s="36">
        <v>1</v>
      </c>
      <c r="Z559" s="36">
        <v>1</v>
      </c>
      <c r="AA559" s="36">
        <v>1</v>
      </c>
      <c r="AB559" s="36">
        <v>1</v>
      </c>
      <c r="AC559" s="36">
        <v>1</v>
      </c>
      <c r="AD559" s="36">
        <v>3</v>
      </c>
      <c r="AE559" s="36">
        <v>3</v>
      </c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  <c r="AW559" s="36"/>
      <c r="AX559" s="36"/>
      <c r="AY559" s="953"/>
      <c r="AZ559" s="36"/>
      <c r="BA559" s="36"/>
      <c r="BB559" s="36"/>
      <c r="BC559" s="36"/>
      <c r="BD559" s="36"/>
      <c r="BF559">
        <f>ROWS($U$46:U559)</f>
        <v>514</v>
      </c>
      <c r="BG559" t="str">
        <f t="shared" ref="BG559:BG622" si="212">IF(VALUE(SUBSTITUTE($B$5,"M",""))=U559,BF559,"")</f>
        <v/>
      </c>
    </row>
    <row r="560" spans="12:59" ht="15" customHeight="1" thickBot="1" x14ac:dyDescent="0.4">
      <c r="L560" s="10">
        <v>1186863</v>
      </c>
      <c r="O560" s="331"/>
      <c r="P560" s="328"/>
      <c r="Q560" s="328"/>
      <c r="R560" s="328"/>
      <c r="S560" s="328" t="s">
        <v>1200</v>
      </c>
      <c r="T560" s="328" t="s">
        <v>744</v>
      </c>
      <c r="U560" s="328">
        <v>1002910</v>
      </c>
      <c r="V560" s="327" t="s">
        <v>92</v>
      </c>
      <c r="W560" s="328">
        <v>1</v>
      </c>
      <c r="X560" s="328">
        <v>1</v>
      </c>
      <c r="Y560" s="328">
        <v>1</v>
      </c>
      <c r="Z560" s="328">
        <v>1</v>
      </c>
      <c r="AA560" s="328">
        <v>3</v>
      </c>
      <c r="AB560" s="328">
        <v>3</v>
      </c>
      <c r="AC560" s="328"/>
      <c r="AD560" s="328"/>
      <c r="AE560" s="328"/>
      <c r="AF560" s="328"/>
      <c r="AG560" s="328"/>
      <c r="AH560" s="328"/>
      <c r="AI560" s="328"/>
      <c r="AJ560" s="328"/>
      <c r="AK560" s="328"/>
      <c r="AL560" s="328"/>
      <c r="AM560" s="328"/>
      <c r="AN560" s="328"/>
      <c r="AO560" s="328"/>
      <c r="AP560" s="328"/>
      <c r="AQ560" s="328"/>
      <c r="AR560" s="328"/>
      <c r="AS560" s="328"/>
      <c r="AT560" s="328"/>
      <c r="AU560" s="328"/>
      <c r="AV560" s="328"/>
      <c r="AW560" s="328"/>
      <c r="AX560" s="328"/>
      <c r="AY560" s="954"/>
      <c r="AZ560" s="36"/>
      <c r="BA560" s="36"/>
      <c r="BB560" s="36"/>
      <c r="BC560" s="36"/>
      <c r="BD560" s="36"/>
      <c r="BF560">
        <f>ROWS($U$46:U560)</f>
        <v>515</v>
      </c>
      <c r="BG560" t="str">
        <f t="shared" si="212"/>
        <v/>
      </c>
    </row>
    <row r="561" spans="8:59" ht="15" customHeight="1" x14ac:dyDescent="0.35">
      <c r="L561" s="10" t="s">
        <v>2284</v>
      </c>
      <c r="O561" s="329">
        <v>1</v>
      </c>
      <c r="P561" s="320">
        <v>638560</v>
      </c>
      <c r="Q561" s="320">
        <v>6</v>
      </c>
      <c r="R561" s="320"/>
      <c r="S561" s="320" t="s">
        <v>1200</v>
      </c>
      <c r="T561" s="320" t="s">
        <v>1233</v>
      </c>
      <c r="U561" s="320">
        <v>690800</v>
      </c>
      <c r="V561" s="319" t="s">
        <v>87</v>
      </c>
      <c r="W561" s="320">
        <v>1</v>
      </c>
      <c r="X561" s="320">
        <v>1</v>
      </c>
      <c r="Y561" s="320">
        <v>2</v>
      </c>
      <c r="Z561" s="320">
        <v>2</v>
      </c>
      <c r="AA561" s="320">
        <v>2</v>
      </c>
      <c r="AB561" s="320">
        <v>2</v>
      </c>
      <c r="AC561" s="320">
        <v>2</v>
      </c>
      <c r="AD561" s="320">
        <v>3</v>
      </c>
      <c r="AE561" s="320">
        <v>3</v>
      </c>
      <c r="AF561" s="320"/>
      <c r="AG561" s="320"/>
      <c r="AH561" s="320"/>
      <c r="AI561" s="320"/>
      <c r="AJ561" s="320"/>
      <c r="AK561" s="320"/>
      <c r="AL561" s="320"/>
      <c r="AM561" s="320"/>
      <c r="AN561" s="320"/>
      <c r="AO561" s="320"/>
      <c r="AP561" s="320"/>
      <c r="AQ561" s="320"/>
      <c r="AR561" s="320"/>
      <c r="AS561" s="320"/>
      <c r="AT561" s="320"/>
      <c r="AU561" s="320"/>
      <c r="AV561" s="320"/>
      <c r="AW561" s="320"/>
      <c r="AX561" s="320"/>
      <c r="AY561" s="952"/>
      <c r="AZ561" s="36"/>
      <c r="BA561" s="36"/>
      <c r="BB561" s="36"/>
      <c r="BC561" s="36"/>
      <c r="BD561" s="36"/>
      <c r="BF561">
        <f>ROWS($U$46:U561)</f>
        <v>516</v>
      </c>
      <c r="BG561" t="str">
        <f t="shared" si="212"/>
        <v/>
      </c>
    </row>
    <row r="562" spans="8:59" ht="15" customHeight="1" thickBot="1" x14ac:dyDescent="0.4">
      <c r="L562" s="10">
        <v>1199049</v>
      </c>
      <c r="O562" s="330">
        <v>2</v>
      </c>
      <c r="P562" s="36">
        <v>638561</v>
      </c>
      <c r="Q562" s="36">
        <v>28</v>
      </c>
      <c r="R562" s="36"/>
      <c r="S562" s="36" t="s">
        <v>1200</v>
      </c>
      <c r="T562" s="36" t="s">
        <v>1233</v>
      </c>
      <c r="U562" s="36">
        <v>690800</v>
      </c>
      <c r="V562" s="165" t="s">
        <v>88</v>
      </c>
      <c r="W562" s="36">
        <v>2</v>
      </c>
      <c r="X562" s="36">
        <v>2</v>
      </c>
      <c r="Y562" s="36">
        <v>2</v>
      </c>
      <c r="Z562" s="36">
        <v>2</v>
      </c>
      <c r="AA562" s="36">
        <v>3</v>
      </c>
      <c r="AB562" s="36">
        <v>3</v>
      </c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953"/>
      <c r="AZ562" s="36"/>
      <c r="BA562" s="36"/>
      <c r="BB562" s="36"/>
      <c r="BC562" s="36"/>
      <c r="BD562" s="36"/>
      <c r="BF562">
        <f>ROWS($U$46:U562)</f>
        <v>517</v>
      </c>
      <c r="BG562" t="str">
        <f t="shared" si="212"/>
        <v/>
      </c>
    </row>
    <row r="563" spans="8:59" ht="15" customHeight="1" x14ac:dyDescent="0.35">
      <c r="L563" s="10" t="s">
        <v>2285</v>
      </c>
      <c r="O563" s="330">
        <v>3</v>
      </c>
      <c r="P563" s="36">
        <v>638559</v>
      </c>
      <c r="Q563" s="36">
        <v>12</v>
      </c>
      <c r="R563" s="36"/>
      <c r="S563" s="36" t="s">
        <v>1200</v>
      </c>
      <c r="T563" s="36" t="s">
        <v>1233</v>
      </c>
      <c r="U563" s="36">
        <v>690800</v>
      </c>
      <c r="V563" s="319" t="s">
        <v>89</v>
      </c>
      <c r="W563" s="36">
        <v>1</v>
      </c>
      <c r="X563" s="36">
        <v>1</v>
      </c>
      <c r="Y563" s="36">
        <v>2</v>
      </c>
      <c r="Z563" s="36">
        <v>2</v>
      </c>
      <c r="AA563" s="36">
        <v>2</v>
      </c>
      <c r="AB563" s="36">
        <v>2</v>
      </c>
      <c r="AC563" s="36">
        <v>2</v>
      </c>
      <c r="AD563" s="36">
        <v>3</v>
      </c>
      <c r="AE563" s="36">
        <v>3</v>
      </c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953"/>
      <c r="AZ563" s="36"/>
      <c r="BA563" s="36"/>
      <c r="BB563" s="36"/>
      <c r="BC563" s="36"/>
      <c r="BD563" s="36"/>
      <c r="BF563">
        <f>ROWS($U$46:U563)</f>
        <v>518</v>
      </c>
      <c r="BG563" t="str">
        <f t="shared" si="212"/>
        <v/>
      </c>
    </row>
    <row r="564" spans="8:59" ht="15" customHeight="1" thickBot="1" x14ac:dyDescent="0.4">
      <c r="L564" s="10">
        <v>1228762</v>
      </c>
      <c r="O564" s="330"/>
      <c r="P564" s="36"/>
      <c r="Q564" s="36"/>
      <c r="R564" s="36"/>
      <c r="S564" s="36" t="s">
        <v>1200</v>
      </c>
      <c r="T564" s="36" t="s">
        <v>1233</v>
      </c>
      <c r="U564" s="36">
        <v>690800</v>
      </c>
      <c r="V564" s="165" t="s">
        <v>90</v>
      </c>
      <c r="W564" s="36">
        <v>2</v>
      </c>
      <c r="X564" s="36">
        <v>2</v>
      </c>
      <c r="Y564" s="36">
        <v>2</v>
      </c>
      <c r="Z564" s="36">
        <v>2</v>
      </c>
      <c r="AA564" s="36">
        <v>2</v>
      </c>
      <c r="AB564" s="36">
        <v>3</v>
      </c>
      <c r="AC564" s="36">
        <v>3</v>
      </c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  <c r="AW564" s="36"/>
      <c r="AX564" s="36"/>
      <c r="AY564" s="953"/>
      <c r="AZ564" s="36"/>
      <c r="BA564" s="36"/>
      <c r="BB564" s="36"/>
      <c r="BC564" s="36"/>
      <c r="BD564" s="36"/>
      <c r="BF564">
        <f>ROWS($U$46:U564)</f>
        <v>519</v>
      </c>
      <c r="BG564" t="str">
        <f t="shared" si="212"/>
        <v/>
      </c>
    </row>
    <row r="565" spans="8:59" ht="15" customHeight="1" x14ac:dyDescent="0.35">
      <c r="L565" s="10" t="s">
        <v>2286</v>
      </c>
      <c r="O565" s="330"/>
      <c r="P565" s="36"/>
      <c r="Q565" s="36"/>
      <c r="R565" s="36"/>
      <c r="S565" s="36" t="s">
        <v>1200</v>
      </c>
      <c r="T565" s="36" t="s">
        <v>1233</v>
      </c>
      <c r="U565" s="36">
        <v>690800</v>
      </c>
      <c r="V565" s="319" t="s">
        <v>91</v>
      </c>
      <c r="W565" s="36">
        <v>1</v>
      </c>
      <c r="X565" s="36">
        <v>1</v>
      </c>
      <c r="Y565" s="36">
        <v>2</v>
      </c>
      <c r="Z565" s="36">
        <v>2</v>
      </c>
      <c r="AA565" s="36">
        <v>2</v>
      </c>
      <c r="AB565" s="36">
        <v>2</v>
      </c>
      <c r="AC565" s="36">
        <v>2</v>
      </c>
      <c r="AD565" s="36">
        <v>3</v>
      </c>
      <c r="AE565" s="36">
        <v>3</v>
      </c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  <c r="AW565" s="36"/>
      <c r="AX565" s="36"/>
      <c r="AY565" s="953"/>
      <c r="AZ565" s="36"/>
      <c r="BA565" s="36"/>
      <c r="BB565" s="36"/>
      <c r="BC565" s="36"/>
      <c r="BD565" s="36"/>
      <c r="BF565">
        <f>ROWS($U$46:U565)</f>
        <v>520</v>
      </c>
      <c r="BG565" t="str">
        <f t="shared" si="212"/>
        <v/>
      </c>
    </row>
    <row r="566" spans="8:59" ht="15" customHeight="1" thickBot="1" x14ac:dyDescent="0.4">
      <c r="L566" s="10">
        <v>1258120</v>
      </c>
      <c r="O566" s="485"/>
      <c r="P566" s="486"/>
      <c r="Q566" s="486"/>
      <c r="R566" s="486"/>
      <c r="S566" s="486" t="s">
        <v>1200</v>
      </c>
      <c r="T566" s="486" t="s">
        <v>1233</v>
      </c>
      <c r="U566" s="486">
        <v>690800</v>
      </c>
      <c r="V566" s="487" t="s">
        <v>92</v>
      </c>
      <c r="W566" s="486">
        <v>2</v>
      </c>
      <c r="X566" s="486">
        <v>2</v>
      </c>
      <c r="Y566" s="486">
        <v>2</v>
      </c>
      <c r="Z566" s="486">
        <v>2</v>
      </c>
      <c r="AA566" s="486">
        <v>3</v>
      </c>
      <c r="AB566" s="486">
        <v>3</v>
      </c>
      <c r="AC566" s="486"/>
      <c r="AD566" s="486"/>
      <c r="AE566" s="486"/>
      <c r="AF566" s="486"/>
      <c r="AG566" s="486"/>
      <c r="AH566" s="486"/>
      <c r="AI566" s="486"/>
      <c r="AJ566" s="486"/>
      <c r="AK566" s="486"/>
      <c r="AL566" s="486"/>
      <c r="AM566" s="486"/>
      <c r="AN566" s="486"/>
      <c r="AO566" s="486"/>
      <c r="AP566" s="486"/>
      <c r="AQ566" s="486"/>
      <c r="AR566" s="486"/>
      <c r="AS566" s="486"/>
      <c r="AT566" s="486"/>
      <c r="AU566" s="486"/>
      <c r="AV566" s="486"/>
      <c r="AW566" s="486"/>
      <c r="AX566" s="486"/>
      <c r="AY566" s="151"/>
      <c r="AZ566" s="36"/>
      <c r="BA566" s="36"/>
      <c r="BB566" s="36"/>
      <c r="BC566" s="36"/>
      <c r="BD566" s="36"/>
      <c r="BF566">
        <f>ROWS($U$46:U566)</f>
        <v>521</v>
      </c>
      <c r="BG566" t="str">
        <f t="shared" si="212"/>
        <v/>
      </c>
    </row>
    <row r="567" spans="8:59" ht="15" customHeight="1" x14ac:dyDescent="0.35">
      <c r="L567" s="10" t="s">
        <v>2287</v>
      </c>
      <c r="O567" s="329">
        <v>1</v>
      </c>
      <c r="P567" s="320">
        <v>1130200</v>
      </c>
      <c r="Q567" s="320">
        <v>40</v>
      </c>
      <c r="R567" s="320"/>
      <c r="S567" s="320" t="s">
        <v>1207</v>
      </c>
      <c r="T567" s="320" t="s">
        <v>1235</v>
      </c>
      <c r="U567" s="320">
        <v>989853</v>
      </c>
      <c r="V567" s="319" t="s">
        <v>87</v>
      </c>
      <c r="W567" s="320">
        <v>2</v>
      </c>
      <c r="X567" s="320">
        <v>2</v>
      </c>
      <c r="Y567" s="320">
        <v>2</v>
      </c>
      <c r="Z567" s="320">
        <v>2</v>
      </c>
      <c r="AA567" s="320">
        <v>1</v>
      </c>
      <c r="AB567" s="320">
        <v>1</v>
      </c>
      <c r="AC567" s="320">
        <v>1</v>
      </c>
      <c r="AD567" s="320">
        <v>1</v>
      </c>
      <c r="AE567" s="320">
        <v>1</v>
      </c>
      <c r="AF567" s="320">
        <v>1</v>
      </c>
      <c r="AG567" s="320">
        <v>4</v>
      </c>
      <c r="AH567" s="320">
        <v>3</v>
      </c>
      <c r="AI567" s="320"/>
      <c r="AJ567" s="320">
        <v>5</v>
      </c>
      <c r="AK567" s="320">
        <v>5</v>
      </c>
      <c r="AL567" s="320">
        <v>5</v>
      </c>
      <c r="AM567" s="320">
        <v>5</v>
      </c>
      <c r="AN567" s="320"/>
      <c r="AO567" s="320"/>
      <c r="AP567" s="320"/>
      <c r="AQ567" s="320"/>
      <c r="AR567" s="320"/>
      <c r="AS567" s="320"/>
      <c r="AT567" s="320"/>
      <c r="AU567" s="320"/>
      <c r="AV567" s="320"/>
      <c r="AW567" s="320"/>
      <c r="AX567" s="320"/>
      <c r="AY567" s="952"/>
      <c r="AZ567" s="36"/>
      <c r="BA567" s="36"/>
      <c r="BB567" s="36"/>
      <c r="BC567" s="36"/>
      <c r="BD567" s="36"/>
      <c r="BF567">
        <f>ROWS($U$46:U567)</f>
        <v>522</v>
      </c>
      <c r="BG567" t="str">
        <f t="shared" si="212"/>
        <v/>
      </c>
    </row>
    <row r="568" spans="8:59" ht="15" customHeight="1" x14ac:dyDescent="0.35">
      <c r="L568" s="10">
        <v>1246020</v>
      </c>
      <c r="O568" s="330">
        <v>2</v>
      </c>
      <c r="P568" s="36">
        <v>1130198</v>
      </c>
      <c r="Q568" s="36">
        <v>13</v>
      </c>
      <c r="R568" s="36"/>
      <c r="S568" s="36" t="s">
        <v>1207</v>
      </c>
      <c r="T568" s="36" t="s">
        <v>1235</v>
      </c>
      <c r="U568" s="36">
        <v>989853</v>
      </c>
      <c r="V568" s="165" t="s">
        <v>88</v>
      </c>
      <c r="W568" s="36">
        <v>1</v>
      </c>
      <c r="X568" s="36">
        <v>1</v>
      </c>
      <c r="Y568" s="36">
        <v>1</v>
      </c>
      <c r="Z568" s="36">
        <v>1</v>
      </c>
      <c r="AA568" s="36">
        <v>1</v>
      </c>
      <c r="AB568" s="36">
        <v>1</v>
      </c>
      <c r="AC568" s="36">
        <v>4</v>
      </c>
      <c r="AD568" s="36">
        <v>3</v>
      </c>
      <c r="AE568" s="36"/>
      <c r="AF568" s="36"/>
      <c r="AG568" s="36"/>
      <c r="AH568" s="36"/>
      <c r="AI568" s="36"/>
      <c r="AJ568" s="36">
        <v>5</v>
      </c>
      <c r="AK568" s="36">
        <v>5</v>
      </c>
      <c r="AL568" s="36">
        <v>5</v>
      </c>
      <c r="AM568" s="36">
        <v>5</v>
      </c>
      <c r="AN568" s="36"/>
      <c r="AO568" s="36"/>
      <c r="AP568" s="36"/>
      <c r="AQ568" s="36"/>
      <c r="AR568" s="36"/>
      <c r="AS568" s="36"/>
      <c r="AT568" s="36"/>
      <c r="AU568" s="36"/>
      <c r="AV568" s="36"/>
      <c r="AW568" s="36"/>
      <c r="AX568" s="36"/>
      <c r="AY568" s="953"/>
      <c r="AZ568" s="36"/>
      <c r="BA568" s="36"/>
      <c r="BB568" s="36"/>
      <c r="BC568" s="36"/>
      <c r="BD568" s="36"/>
      <c r="BF568">
        <f>ROWS($U$46:U568)</f>
        <v>523</v>
      </c>
      <c r="BG568" t="str">
        <f t="shared" si="212"/>
        <v/>
      </c>
    </row>
    <row r="569" spans="8:59" ht="15" customHeight="1" x14ac:dyDescent="0.35">
      <c r="L569" s="10" t="s">
        <v>2289</v>
      </c>
      <c r="O569" s="330">
        <v>3</v>
      </c>
      <c r="P569" s="36">
        <v>871781</v>
      </c>
      <c r="Q569" s="36">
        <v>7</v>
      </c>
      <c r="R569" s="36"/>
      <c r="S569" s="36" t="s">
        <v>1207</v>
      </c>
      <c r="T569" s="36" t="s">
        <v>1235</v>
      </c>
      <c r="U569" s="36">
        <v>989853</v>
      </c>
      <c r="V569" s="165" t="s">
        <v>89</v>
      </c>
      <c r="W569" s="36">
        <v>2</v>
      </c>
      <c r="X569" s="36">
        <v>2</v>
      </c>
      <c r="Y569" s="36">
        <v>2</v>
      </c>
      <c r="Z569" s="36">
        <v>1</v>
      </c>
      <c r="AA569" s="36">
        <v>1</v>
      </c>
      <c r="AB569" s="36">
        <v>1</v>
      </c>
      <c r="AC569" s="36">
        <v>1</v>
      </c>
      <c r="AD569" s="36">
        <v>1</v>
      </c>
      <c r="AE569" s="36">
        <v>1</v>
      </c>
      <c r="AF569" s="36">
        <v>4</v>
      </c>
      <c r="AG569" s="36">
        <v>3</v>
      </c>
      <c r="AH569" s="36"/>
      <c r="AI569" s="36"/>
      <c r="AJ569" s="36">
        <v>5</v>
      </c>
      <c r="AK569" s="36">
        <v>5</v>
      </c>
      <c r="AL569" s="36">
        <v>5</v>
      </c>
      <c r="AM569" s="36">
        <v>5</v>
      </c>
      <c r="AN569" s="36"/>
      <c r="AO569" s="36"/>
      <c r="AP569" s="36"/>
      <c r="AQ569" s="36"/>
      <c r="AR569" s="36"/>
      <c r="AS569" s="36"/>
      <c r="AT569" s="36"/>
      <c r="AU569" s="36"/>
      <c r="AV569" s="36"/>
      <c r="AW569" s="36"/>
      <c r="AX569" s="36"/>
      <c r="AY569" s="953"/>
      <c r="AZ569" s="36"/>
      <c r="BA569" s="36"/>
      <c r="BB569" s="36"/>
      <c r="BC569" s="36"/>
      <c r="BD569" s="36"/>
      <c r="BF569">
        <f>ROWS($U$46:U569)</f>
        <v>524</v>
      </c>
      <c r="BG569" t="str">
        <f t="shared" si="212"/>
        <v/>
      </c>
    </row>
    <row r="570" spans="8:59" ht="15" customHeight="1" x14ac:dyDescent="0.35">
      <c r="L570" s="10">
        <v>1272498</v>
      </c>
      <c r="O570" s="330">
        <v>4</v>
      </c>
      <c r="P570" s="36">
        <v>418525</v>
      </c>
      <c r="Q570" s="36">
        <v>7</v>
      </c>
      <c r="R570" s="36"/>
      <c r="S570" s="36" t="s">
        <v>1207</v>
      </c>
      <c r="T570" s="36" t="s">
        <v>1235</v>
      </c>
      <c r="U570" s="36">
        <v>989853</v>
      </c>
      <c r="V570" s="165" t="s">
        <v>90</v>
      </c>
      <c r="W570" s="36">
        <v>2</v>
      </c>
      <c r="X570" s="36">
        <v>1</v>
      </c>
      <c r="Y570" s="36">
        <v>1</v>
      </c>
      <c r="Z570" s="36">
        <v>1</v>
      </c>
      <c r="AA570" s="36">
        <v>1</v>
      </c>
      <c r="AB570" s="36">
        <v>1</v>
      </c>
      <c r="AC570" s="36">
        <v>4</v>
      </c>
      <c r="AD570" s="36">
        <v>3</v>
      </c>
      <c r="AE570" s="36"/>
      <c r="AF570" s="36"/>
      <c r="AG570" s="36"/>
      <c r="AH570" s="36"/>
      <c r="AI570" s="36"/>
      <c r="AJ570" s="36">
        <v>5</v>
      </c>
      <c r="AK570" s="36">
        <v>5</v>
      </c>
      <c r="AL570" s="36">
        <v>5</v>
      </c>
      <c r="AM570" s="36">
        <v>5</v>
      </c>
      <c r="AN570" s="36"/>
      <c r="AO570" s="36"/>
      <c r="AP570" s="36"/>
      <c r="AQ570" s="36"/>
      <c r="AR570" s="36"/>
      <c r="AS570" s="36"/>
      <c r="AT570" s="36"/>
      <c r="AU570" s="36"/>
      <c r="AV570" s="36"/>
      <c r="AW570" s="36"/>
      <c r="AX570" s="36"/>
      <c r="AY570" s="953"/>
      <c r="AZ570" s="36"/>
      <c r="BA570" s="36"/>
      <c r="BB570" s="36"/>
      <c r="BC570" s="36"/>
      <c r="BD570" s="36"/>
      <c r="BF570">
        <f>ROWS($U$46:U570)</f>
        <v>525</v>
      </c>
      <c r="BG570" t="str">
        <f t="shared" si="212"/>
        <v/>
      </c>
    </row>
    <row r="571" spans="8:59" ht="15" customHeight="1" x14ac:dyDescent="0.35">
      <c r="H571" s="10"/>
      <c r="J571" s="10"/>
      <c r="K571" s="10"/>
      <c r="L571" s="10" t="s">
        <v>2291</v>
      </c>
      <c r="M571" s="10"/>
      <c r="O571" s="330">
        <v>5</v>
      </c>
      <c r="P571" s="36">
        <v>647435</v>
      </c>
      <c r="Q571" s="36">
        <v>28</v>
      </c>
      <c r="R571" s="36"/>
      <c r="S571" s="36" t="s">
        <v>1207</v>
      </c>
      <c r="T571" s="36" t="s">
        <v>1235</v>
      </c>
      <c r="U571" s="36">
        <v>989853</v>
      </c>
      <c r="V571" s="165" t="s">
        <v>91</v>
      </c>
      <c r="W571" s="36">
        <v>2</v>
      </c>
      <c r="X571" s="36">
        <v>2</v>
      </c>
      <c r="Y571" s="36">
        <v>2</v>
      </c>
      <c r="Z571" s="36">
        <v>2</v>
      </c>
      <c r="AA571" s="36">
        <v>1</v>
      </c>
      <c r="AB571" s="36">
        <v>1</v>
      </c>
      <c r="AC571" s="36">
        <v>1</v>
      </c>
      <c r="AD571" s="36">
        <v>1</v>
      </c>
      <c r="AE571" s="36">
        <v>1</v>
      </c>
      <c r="AF571" s="36">
        <v>4</v>
      </c>
      <c r="AG571" s="36">
        <v>3</v>
      </c>
      <c r="AH571" s="36"/>
      <c r="AI571" s="36"/>
      <c r="AJ571" s="36">
        <v>5</v>
      </c>
      <c r="AK571" s="36">
        <v>5</v>
      </c>
      <c r="AL571" s="36">
        <v>5</v>
      </c>
      <c r="AM571" s="36">
        <v>5</v>
      </c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953"/>
      <c r="AZ571" s="36"/>
      <c r="BA571" s="36"/>
      <c r="BB571" s="36"/>
      <c r="BC571" s="36"/>
      <c r="BD571" s="36"/>
      <c r="BF571">
        <f>ROWS($U$46:U571)</f>
        <v>526</v>
      </c>
      <c r="BG571" t="str">
        <f t="shared" si="212"/>
        <v/>
      </c>
    </row>
    <row r="572" spans="8:59" ht="15" customHeight="1" x14ac:dyDescent="0.35">
      <c r="H572" s="10"/>
      <c r="J572" s="10"/>
      <c r="K572" s="10"/>
      <c r="L572" s="10">
        <v>1283277</v>
      </c>
      <c r="M572" s="10"/>
      <c r="O572" s="330"/>
      <c r="P572" s="36"/>
      <c r="Q572" s="36"/>
      <c r="R572" s="36"/>
      <c r="S572" s="36" t="s">
        <v>1207</v>
      </c>
      <c r="T572" s="36" t="s">
        <v>1235</v>
      </c>
      <c r="U572" s="36">
        <v>989853</v>
      </c>
      <c r="V572" s="165" t="s">
        <v>92</v>
      </c>
      <c r="W572" s="36">
        <v>2</v>
      </c>
      <c r="X572" s="36">
        <v>1</v>
      </c>
      <c r="Y572" s="36">
        <v>1</v>
      </c>
      <c r="Z572" s="36">
        <v>1</v>
      </c>
      <c r="AA572" s="36">
        <v>1</v>
      </c>
      <c r="AB572" s="36">
        <v>1</v>
      </c>
      <c r="AC572" s="36">
        <v>1</v>
      </c>
      <c r="AD572" s="36">
        <v>4</v>
      </c>
      <c r="AE572" s="36">
        <v>3</v>
      </c>
      <c r="AF572" s="36"/>
      <c r="AG572" s="36"/>
      <c r="AH572" s="36"/>
      <c r="AI572" s="36"/>
      <c r="AJ572" s="36">
        <v>5</v>
      </c>
      <c r="AK572" s="36">
        <v>5</v>
      </c>
      <c r="AL572" s="36">
        <v>5</v>
      </c>
      <c r="AM572" s="36">
        <v>5</v>
      </c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953"/>
      <c r="AZ572" s="36"/>
      <c r="BA572" s="36"/>
      <c r="BB572" s="36"/>
      <c r="BC572" s="36"/>
      <c r="BD572" s="36"/>
      <c r="BF572">
        <f>ROWS($U$46:U572)</f>
        <v>527</v>
      </c>
      <c r="BG572" t="str">
        <f t="shared" si="212"/>
        <v/>
      </c>
    </row>
    <row r="573" spans="8:59" ht="15" customHeight="1" thickBot="1" x14ac:dyDescent="0.4">
      <c r="H573" s="10"/>
      <c r="J573" s="10"/>
      <c r="K573" s="10"/>
      <c r="L573" s="10" t="s">
        <v>2292</v>
      </c>
      <c r="M573" s="10"/>
      <c r="O573" s="485"/>
      <c r="P573" s="486"/>
      <c r="Q573" s="486"/>
      <c r="R573" s="486"/>
      <c r="S573" s="486" t="s">
        <v>1207</v>
      </c>
      <c r="T573" s="486" t="s">
        <v>1235</v>
      </c>
      <c r="U573" s="486">
        <v>989853</v>
      </c>
      <c r="V573" s="487" t="s">
        <v>111</v>
      </c>
      <c r="W573" s="486">
        <v>1</v>
      </c>
      <c r="X573" s="486">
        <v>1</v>
      </c>
      <c r="Y573" s="486">
        <v>1</v>
      </c>
      <c r="Z573" s="486">
        <v>1</v>
      </c>
      <c r="AA573" s="486">
        <v>1</v>
      </c>
      <c r="AB573" s="486">
        <v>1</v>
      </c>
      <c r="AC573" s="486">
        <v>4</v>
      </c>
      <c r="AD573" s="486">
        <v>3</v>
      </c>
      <c r="AE573" s="486"/>
      <c r="AF573" s="486"/>
      <c r="AG573" s="486"/>
      <c r="AH573" s="486"/>
      <c r="AI573" s="486"/>
      <c r="AJ573" s="486">
        <v>5</v>
      </c>
      <c r="AK573" s="486">
        <v>5</v>
      </c>
      <c r="AL573" s="486">
        <v>5</v>
      </c>
      <c r="AM573" s="486">
        <v>5</v>
      </c>
      <c r="AN573" s="486"/>
      <c r="AO573" s="486"/>
      <c r="AP573" s="486"/>
      <c r="AQ573" s="486"/>
      <c r="AR573" s="486"/>
      <c r="AS573" s="486"/>
      <c r="AT573" s="486"/>
      <c r="AU573" s="486"/>
      <c r="AV573" s="486"/>
      <c r="AW573" s="486"/>
      <c r="AX573" s="486"/>
      <c r="AY573" s="151"/>
      <c r="AZ573" s="36"/>
      <c r="BA573" s="36"/>
      <c r="BB573" s="36"/>
      <c r="BC573" s="36"/>
      <c r="BD573" s="36"/>
      <c r="BF573">
        <f>ROWS($U$46:U573)</f>
        <v>528</v>
      </c>
      <c r="BG573" t="str">
        <f t="shared" si="212"/>
        <v/>
      </c>
    </row>
    <row r="574" spans="8:59" ht="15" customHeight="1" x14ac:dyDescent="0.35">
      <c r="H574" s="240"/>
      <c r="I574" s="568"/>
      <c r="J574" s="240"/>
      <c r="K574" s="240"/>
      <c r="L574" s="240">
        <v>865213</v>
      </c>
      <c r="M574" s="240"/>
      <c r="O574" s="329">
        <v>1</v>
      </c>
      <c r="P574" s="320">
        <v>752583</v>
      </c>
      <c r="Q574" s="320">
        <v>28</v>
      </c>
      <c r="R574" s="320"/>
      <c r="S574" s="320" t="s">
        <v>1207</v>
      </c>
      <c r="T574" s="320" t="s">
        <v>1235</v>
      </c>
      <c r="U574" s="320">
        <v>1000080</v>
      </c>
      <c r="V574" s="319" t="s">
        <v>87</v>
      </c>
      <c r="W574" s="320">
        <v>3</v>
      </c>
      <c r="X574" s="320">
        <v>3</v>
      </c>
      <c r="Y574" s="320">
        <v>3</v>
      </c>
      <c r="Z574" s="320">
        <v>1</v>
      </c>
      <c r="AA574" s="320">
        <v>1</v>
      </c>
      <c r="AB574" s="320">
        <v>1</v>
      </c>
      <c r="AC574" s="320">
        <v>1</v>
      </c>
      <c r="AD574" s="320">
        <v>2</v>
      </c>
      <c r="AE574" s="320">
        <v>4</v>
      </c>
      <c r="AF574" s="320">
        <v>5</v>
      </c>
      <c r="AG574" s="320"/>
      <c r="AH574" s="320"/>
      <c r="AI574" s="320"/>
      <c r="AJ574" s="320"/>
      <c r="AK574" s="320"/>
      <c r="AL574" s="320"/>
      <c r="AM574" s="320"/>
      <c r="AN574" s="320"/>
      <c r="AO574" s="320"/>
      <c r="AP574" s="320"/>
      <c r="AQ574" s="320"/>
      <c r="AR574" s="320"/>
      <c r="AS574" s="320"/>
      <c r="AT574" s="320"/>
      <c r="AU574" s="320"/>
      <c r="AV574" s="320"/>
      <c r="AW574" s="320"/>
      <c r="AX574" s="320"/>
      <c r="AY574" s="952"/>
      <c r="AZ574" s="36"/>
      <c r="BA574" s="36"/>
      <c r="BB574" s="36"/>
      <c r="BC574" s="36"/>
      <c r="BD574" s="36"/>
      <c r="BF574">
        <f>ROWS($U$46:U574)</f>
        <v>529</v>
      </c>
      <c r="BG574" t="str">
        <f t="shared" si="212"/>
        <v/>
      </c>
    </row>
    <row r="575" spans="8:59" ht="15" customHeight="1" x14ac:dyDescent="0.35">
      <c r="H575" s="240"/>
      <c r="I575" s="568"/>
      <c r="J575" s="240"/>
      <c r="K575" s="240"/>
      <c r="L575" s="240" t="s">
        <v>2298</v>
      </c>
      <c r="M575" s="240"/>
      <c r="O575" s="330">
        <v>2</v>
      </c>
      <c r="P575" s="36">
        <v>744015</v>
      </c>
      <c r="Q575" s="36">
        <v>1</v>
      </c>
      <c r="R575" s="36"/>
      <c r="S575" s="36" t="s">
        <v>1207</v>
      </c>
      <c r="T575" s="36" t="s">
        <v>1235</v>
      </c>
      <c r="U575" s="36">
        <v>1000080</v>
      </c>
      <c r="V575" s="165" t="s">
        <v>88</v>
      </c>
      <c r="W575" s="36">
        <v>1</v>
      </c>
      <c r="X575" s="36">
        <v>1</v>
      </c>
      <c r="Y575" s="36">
        <v>1</v>
      </c>
      <c r="Z575" s="36">
        <v>1</v>
      </c>
      <c r="AA575" s="36">
        <v>4</v>
      </c>
      <c r="AB575" s="36">
        <v>5</v>
      </c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  <c r="AW575" s="36"/>
      <c r="AX575" s="36"/>
      <c r="AY575" s="953"/>
      <c r="AZ575" s="36"/>
      <c r="BA575" s="36"/>
      <c r="BB575" s="36"/>
      <c r="BC575" s="36"/>
      <c r="BD575" s="36"/>
      <c r="BF575">
        <f>ROWS($U$46:U575)</f>
        <v>530</v>
      </c>
      <c r="BG575" t="str">
        <f t="shared" si="212"/>
        <v/>
      </c>
    </row>
    <row r="576" spans="8:59" ht="15" customHeight="1" x14ac:dyDescent="0.35">
      <c r="H576" s="240"/>
      <c r="I576" s="568"/>
      <c r="J576" s="240"/>
      <c r="K576" s="240"/>
      <c r="L576" s="240">
        <v>662604</v>
      </c>
      <c r="M576" s="240"/>
      <c r="O576" s="330">
        <v>3</v>
      </c>
      <c r="P576" s="36">
        <v>708306</v>
      </c>
      <c r="Q576" s="36">
        <v>9</v>
      </c>
      <c r="R576" s="36"/>
      <c r="S576" s="36" t="s">
        <v>1207</v>
      </c>
      <c r="T576" s="36" t="s">
        <v>1235</v>
      </c>
      <c r="U576" s="36">
        <v>1000080</v>
      </c>
      <c r="V576" s="165" t="s">
        <v>89</v>
      </c>
      <c r="W576" s="36">
        <v>3</v>
      </c>
      <c r="X576" s="36">
        <v>3</v>
      </c>
      <c r="Y576" s="36">
        <v>3</v>
      </c>
      <c r="Z576" s="36">
        <v>1</v>
      </c>
      <c r="AA576" s="36">
        <v>1</v>
      </c>
      <c r="AB576" s="36">
        <v>1</v>
      </c>
      <c r="AC576" s="36">
        <v>1</v>
      </c>
      <c r="AD576" s="36">
        <v>4</v>
      </c>
      <c r="AE576" s="36">
        <v>5</v>
      </c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  <c r="AW576" s="36"/>
      <c r="AX576" s="36"/>
      <c r="AY576" s="953"/>
      <c r="AZ576" s="36"/>
      <c r="BA576" s="36"/>
      <c r="BB576" s="36"/>
      <c r="BC576" s="36"/>
      <c r="BD576" s="36"/>
      <c r="BF576">
        <f>ROWS($U$46:U576)</f>
        <v>531</v>
      </c>
      <c r="BG576" t="str">
        <f t="shared" si="212"/>
        <v/>
      </c>
    </row>
    <row r="577" spans="8:59" ht="15" customHeight="1" x14ac:dyDescent="0.35">
      <c r="H577" s="240"/>
      <c r="I577" s="568"/>
      <c r="J577" s="240"/>
      <c r="K577" s="240"/>
      <c r="L577" s="240" t="s">
        <v>2299</v>
      </c>
      <c r="M577" s="240"/>
      <c r="O577" s="330">
        <v>4</v>
      </c>
      <c r="P577" s="36">
        <v>647436</v>
      </c>
      <c r="Q577" s="36">
        <v>7</v>
      </c>
      <c r="R577" s="36"/>
      <c r="S577" s="36" t="s">
        <v>1207</v>
      </c>
      <c r="T577" s="36" t="s">
        <v>1235</v>
      </c>
      <c r="U577" s="36">
        <v>1000080</v>
      </c>
      <c r="V577" s="165" t="s">
        <v>90</v>
      </c>
      <c r="W577" s="36">
        <v>1</v>
      </c>
      <c r="X577" s="36">
        <v>1</v>
      </c>
      <c r="Y577" s="36">
        <v>1</v>
      </c>
      <c r="Z577" s="36">
        <v>1</v>
      </c>
      <c r="AA577" s="36">
        <v>4</v>
      </c>
      <c r="AB577" s="36">
        <v>5</v>
      </c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  <c r="AW577" s="36"/>
      <c r="AX577" s="36"/>
      <c r="AY577" s="953"/>
      <c r="AZ577" s="36"/>
      <c r="BA577" s="36"/>
      <c r="BB577" s="36"/>
      <c r="BC577" s="36"/>
      <c r="BD577" s="36"/>
      <c r="BF577">
        <f>ROWS($U$46:U577)</f>
        <v>532</v>
      </c>
      <c r="BG577" t="str">
        <f t="shared" si="212"/>
        <v/>
      </c>
    </row>
    <row r="578" spans="8:59" ht="15" customHeight="1" x14ac:dyDescent="0.35">
      <c r="H578" s="10"/>
      <c r="J578" s="10"/>
      <c r="K578" s="10"/>
      <c r="L578" s="10">
        <v>665777</v>
      </c>
      <c r="M578" s="10"/>
      <c r="O578" s="330">
        <v>5</v>
      </c>
      <c r="P578" s="36">
        <v>418525</v>
      </c>
      <c r="Q578" s="36">
        <v>7</v>
      </c>
      <c r="R578" s="36"/>
      <c r="S578" s="36" t="s">
        <v>1207</v>
      </c>
      <c r="T578" s="36" t="s">
        <v>1235</v>
      </c>
      <c r="U578" s="36">
        <v>1000080</v>
      </c>
      <c r="V578" s="165" t="s">
        <v>91</v>
      </c>
      <c r="W578" s="36">
        <v>3</v>
      </c>
      <c r="X578" s="36">
        <v>3</v>
      </c>
      <c r="Y578" s="36">
        <v>3</v>
      </c>
      <c r="Z578" s="36">
        <v>1</v>
      </c>
      <c r="AA578" s="36">
        <v>1</v>
      </c>
      <c r="AB578" s="36">
        <v>1</v>
      </c>
      <c r="AC578" s="36">
        <v>1</v>
      </c>
      <c r="AD578" s="36">
        <v>4</v>
      </c>
      <c r="AE578" s="36">
        <v>5</v>
      </c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  <c r="AW578" s="36"/>
      <c r="AX578" s="36"/>
      <c r="AY578" s="953"/>
      <c r="AZ578" s="36"/>
      <c r="BA578" s="36"/>
      <c r="BB578" s="36"/>
      <c r="BC578" s="36"/>
      <c r="BD578" s="36"/>
      <c r="BF578">
        <f>ROWS($U$46:U578)</f>
        <v>533</v>
      </c>
      <c r="BG578" t="str">
        <f t="shared" si="212"/>
        <v/>
      </c>
    </row>
    <row r="579" spans="8:59" ht="15" customHeight="1" x14ac:dyDescent="0.35">
      <c r="H579" s="10"/>
      <c r="J579" s="10"/>
      <c r="K579" s="10"/>
      <c r="L579" s="10" t="s">
        <v>2300</v>
      </c>
      <c r="M579" s="10"/>
      <c r="O579" s="330"/>
      <c r="P579" s="36"/>
      <c r="Q579" s="36"/>
      <c r="R579" s="36"/>
      <c r="S579" s="36" t="s">
        <v>1207</v>
      </c>
      <c r="T579" s="36" t="s">
        <v>1235</v>
      </c>
      <c r="U579" s="36">
        <v>1000080</v>
      </c>
      <c r="V579" s="165" t="s">
        <v>92</v>
      </c>
      <c r="W579" s="36">
        <v>1</v>
      </c>
      <c r="X579" s="36">
        <v>1</v>
      </c>
      <c r="Y579" s="36">
        <v>1</v>
      </c>
      <c r="Z579" s="36">
        <v>1</v>
      </c>
      <c r="AA579" s="36">
        <v>4</v>
      </c>
      <c r="AB579" s="36">
        <v>5</v>
      </c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  <c r="AW579" s="36"/>
      <c r="AX579" s="36"/>
      <c r="AY579" s="953"/>
      <c r="AZ579" s="36"/>
      <c r="BA579" s="36"/>
      <c r="BB579" s="36"/>
      <c r="BC579" s="36"/>
      <c r="BD579" s="36"/>
      <c r="BF579">
        <f>ROWS($U$46:U579)</f>
        <v>534</v>
      </c>
      <c r="BG579" t="str">
        <f t="shared" si="212"/>
        <v/>
      </c>
    </row>
    <row r="580" spans="8:59" ht="15" customHeight="1" thickBot="1" x14ac:dyDescent="0.4">
      <c r="H580" s="10"/>
      <c r="J580" s="10"/>
      <c r="K580" s="10"/>
      <c r="L580" s="10">
        <v>1239257</v>
      </c>
      <c r="M580" s="10"/>
      <c r="O580" s="485"/>
      <c r="P580" s="486"/>
      <c r="Q580" s="486"/>
      <c r="R580" s="486"/>
      <c r="S580" s="486" t="s">
        <v>1207</v>
      </c>
      <c r="T580" s="486" t="s">
        <v>1235</v>
      </c>
      <c r="U580" s="486">
        <v>1000080</v>
      </c>
      <c r="V580" s="487" t="s">
        <v>111</v>
      </c>
      <c r="W580" s="486">
        <v>1</v>
      </c>
      <c r="X580" s="486">
        <v>1</v>
      </c>
      <c r="Y580" s="486">
        <v>1</v>
      </c>
      <c r="Z580" s="486">
        <v>1</v>
      </c>
      <c r="AA580" s="486">
        <v>4</v>
      </c>
      <c r="AB580" s="486">
        <v>5</v>
      </c>
      <c r="AC580" s="486"/>
      <c r="AD580" s="486"/>
      <c r="AE580" s="486"/>
      <c r="AF580" s="486"/>
      <c r="AG580" s="486"/>
      <c r="AH580" s="486"/>
      <c r="AI580" s="486"/>
      <c r="AJ580" s="486"/>
      <c r="AK580" s="486"/>
      <c r="AL580" s="486"/>
      <c r="AM580" s="486"/>
      <c r="AN580" s="486"/>
      <c r="AO580" s="486"/>
      <c r="AP580" s="486"/>
      <c r="AQ580" s="486"/>
      <c r="AR580" s="486"/>
      <c r="AS580" s="486"/>
      <c r="AT580" s="486"/>
      <c r="AU580" s="486"/>
      <c r="AV580" s="486"/>
      <c r="AW580" s="486"/>
      <c r="AX580" s="486"/>
      <c r="AY580" s="151"/>
      <c r="AZ580" s="36"/>
      <c r="BA580" s="36"/>
      <c r="BB580" s="36"/>
      <c r="BC580" s="36"/>
      <c r="BD580" s="36"/>
      <c r="BF580">
        <f>ROWS($U$46:U580)</f>
        <v>535</v>
      </c>
      <c r="BG580" t="str">
        <f t="shared" si="212"/>
        <v/>
      </c>
    </row>
    <row r="581" spans="8:59" ht="15" customHeight="1" x14ac:dyDescent="0.35">
      <c r="H581" s="10"/>
      <c r="J581" s="10"/>
      <c r="K581" s="10"/>
      <c r="L581" s="10" t="s">
        <v>2301</v>
      </c>
      <c r="M581" s="10"/>
      <c r="O581" s="329">
        <v>1</v>
      </c>
      <c r="P581" s="320">
        <v>1130198</v>
      </c>
      <c r="Q581" s="320">
        <v>108</v>
      </c>
      <c r="R581" s="320"/>
      <c r="S581" s="320" t="s">
        <v>1126</v>
      </c>
      <c r="T581" s="320" t="s">
        <v>1127</v>
      </c>
      <c r="U581" s="320">
        <v>892722</v>
      </c>
      <c r="V581" s="319" t="s">
        <v>87</v>
      </c>
      <c r="W581" s="320">
        <v>1</v>
      </c>
      <c r="X581" s="320">
        <v>1</v>
      </c>
      <c r="Y581" s="320">
        <v>1</v>
      </c>
      <c r="Z581" s="320">
        <v>1</v>
      </c>
      <c r="AA581" s="320">
        <v>1</v>
      </c>
      <c r="AB581" s="320">
        <v>1</v>
      </c>
      <c r="AC581" s="320">
        <v>1</v>
      </c>
      <c r="AD581" s="320">
        <v>1</v>
      </c>
      <c r="AE581" s="320">
        <v>1</v>
      </c>
      <c r="AF581" s="320">
        <v>1</v>
      </c>
      <c r="AG581" s="320">
        <v>1</v>
      </c>
      <c r="AH581" s="320">
        <v>1</v>
      </c>
      <c r="AI581" s="320">
        <v>1</v>
      </c>
      <c r="AJ581" s="320">
        <v>3</v>
      </c>
      <c r="AK581" s="320">
        <v>2</v>
      </c>
      <c r="AL581" s="320">
        <v>1</v>
      </c>
      <c r="AM581" s="320">
        <v>1</v>
      </c>
      <c r="AN581" s="320">
        <v>1</v>
      </c>
      <c r="AO581" s="320">
        <v>1</v>
      </c>
      <c r="AP581" s="320">
        <v>1</v>
      </c>
      <c r="AQ581" s="320">
        <v>1</v>
      </c>
      <c r="AR581" s="320">
        <v>1</v>
      </c>
      <c r="AS581" s="320"/>
      <c r="AT581" s="320"/>
      <c r="AU581" s="320"/>
      <c r="AV581" s="320"/>
      <c r="AW581" s="320"/>
      <c r="AX581" s="320"/>
      <c r="AY581" s="952"/>
      <c r="AZ581" s="36"/>
      <c r="BA581" s="36"/>
      <c r="BB581" s="36"/>
      <c r="BC581" s="36"/>
      <c r="BD581" s="36"/>
      <c r="BF581">
        <f>ROWS($U$46:U581)</f>
        <v>536</v>
      </c>
      <c r="BG581" t="str">
        <f t="shared" si="212"/>
        <v/>
      </c>
    </row>
    <row r="582" spans="8:59" ht="15" customHeight="1" x14ac:dyDescent="0.35">
      <c r="H582" s="10"/>
      <c r="J582" s="10"/>
      <c r="K582" s="10"/>
      <c r="L582" s="10">
        <v>1270865</v>
      </c>
      <c r="M582" s="10"/>
      <c r="O582" s="330">
        <v>2</v>
      </c>
      <c r="P582" s="36">
        <v>871781</v>
      </c>
      <c r="Q582" s="36">
        <v>8</v>
      </c>
      <c r="R582" s="36"/>
      <c r="S582" s="36" t="s">
        <v>1126</v>
      </c>
      <c r="T582" s="36" t="s">
        <v>1127</v>
      </c>
      <c r="U582" s="36">
        <v>892722</v>
      </c>
      <c r="V582" s="165" t="s">
        <v>88</v>
      </c>
      <c r="W582" s="36">
        <v>1</v>
      </c>
      <c r="X582" s="36">
        <v>1</v>
      </c>
      <c r="Y582" s="36">
        <v>1</v>
      </c>
      <c r="Z582" s="36">
        <v>1</v>
      </c>
      <c r="AA582" s="36">
        <v>1</v>
      </c>
      <c r="AB582" s="36">
        <v>1</v>
      </c>
      <c r="AC582" s="36">
        <v>1</v>
      </c>
      <c r="AD582" s="36">
        <v>1</v>
      </c>
      <c r="AE582" s="36">
        <v>1</v>
      </c>
      <c r="AF582" s="36">
        <v>3</v>
      </c>
      <c r="AG582" s="36">
        <v>2</v>
      </c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  <c r="AW582" s="36"/>
      <c r="AX582" s="36"/>
      <c r="AY582" s="953"/>
      <c r="AZ582" s="36"/>
      <c r="BA582" s="36"/>
      <c r="BB582" s="36"/>
      <c r="BC582" s="36"/>
      <c r="BD582" s="36"/>
      <c r="BF582">
        <f>ROWS($U$46:U582)</f>
        <v>537</v>
      </c>
      <c r="BG582" t="str">
        <f t="shared" si="212"/>
        <v/>
      </c>
    </row>
    <row r="583" spans="8:59" ht="15" customHeight="1" x14ac:dyDescent="0.35">
      <c r="H583" s="240"/>
      <c r="I583" s="568"/>
      <c r="J583" s="240"/>
      <c r="K583" s="240"/>
      <c r="L583" s="240" t="s">
        <v>2303</v>
      </c>
      <c r="M583" s="240"/>
      <c r="O583" s="330">
        <v>3</v>
      </c>
      <c r="P583" s="36">
        <v>418525</v>
      </c>
      <c r="Q583" s="36">
        <v>8</v>
      </c>
      <c r="R583" s="36"/>
      <c r="S583" s="36" t="s">
        <v>1126</v>
      </c>
      <c r="T583" s="36" t="s">
        <v>1127</v>
      </c>
      <c r="U583" s="36">
        <v>892722</v>
      </c>
      <c r="V583" s="165" t="s">
        <v>89</v>
      </c>
      <c r="W583" s="36">
        <v>1</v>
      </c>
      <c r="X583" s="36">
        <v>1</v>
      </c>
      <c r="Y583" s="36">
        <v>1</v>
      </c>
      <c r="Z583" s="36">
        <v>1</v>
      </c>
      <c r="AA583" s="36">
        <v>1</v>
      </c>
      <c r="AB583" s="36">
        <v>1</v>
      </c>
      <c r="AC583" s="36">
        <v>1</v>
      </c>
      <c r="AD583" s="36">
        <v>1</v>
      </c>
      <c r="AE583" s="36">
        <v>3</v>
      </c>
      <c r="AF583" s="36">
        <v>2</v>
      </c>
      <c r="AG583" s="36">
        <v>1</v>
      </c>
      <c r="AH583" s="36">
        <v>1</v>
      </c>
      <c r="AI583" s="36">
        <v>1</v>
      </c>
      <c r="AJ583" s="36">
        <v>1</v>
      </c>
      <c r="AK583" s="36">
        <v>1</v>
      </c>
      <c r="AL583" s="36">
        <v>1</v>
      </c>
      <c r="AM583" s="36">
        <v>1</v>
      </c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  <c r="AX583" s="36"/>
      <c r="AY583" s="953"/>
      <c r="AZ583" s="36"/>
      <c r="BA583" s="36"/>
      <c r="BB583" s="36"/>
      <c r="BC583" s="36"/>
      <c r="BD583" s="36"/>
      <c r="BF583">
        <f>ROWS($U$46:U583)</f>
        <v>538</v>
      </c>
      <c r="BG583" t="str">
        <f t="shared" si="212"/>
        <v/>
      </c>
    </row>
    <row r="584" spans="8:59" ht="15" customHeight="1" x14ac:dyDescent="0.35">
      <c r="H584" s="240"/>
      <c r="I584" s="568"/>
      <c r="J584" s="240"/>
      <c r="K584" s="240"/>
      <c r="L584" s="240">
        <v>1246680</v>
      </c>
      <c r="M584" s="240"/>
      <c r="O584" s="330"/>
      <c r="P584" s="36"/>
      <c r="Q584" s="36"/>
      <c r="R584" s="36"/>
      <c r="S584" s="36" t="s">
        <v>1126</v>
      </c>
      <c r="T584" s="36" t="s">
        <v>1127</v>
      </c>
      <c r="U584" s="36">
        <v>892722</v>
      </c>
      <c r="V584" s="165" t="s">
        <v>90</v>
      </c>
      <c r="W584" s="36">
        <v>1</v>
      </c>
      <c r="X584" s="36">
        <v>1</v>
      </c>
      <c r="Y584" s="36">
        <v>1</v>
      </c>
      <c r="Z584" s="36">
        <v>1</v>
      </c>
      <c r="AA584" s="36">
        <v>1</v>
      </c>
      <c r="AB584" s="36">
        <v>1</v>
      </c>
      <c r="AC584" s="36">
        <v>1</v>
      </c>
      <c r="AD584" s="36">
        <v>1</v>
      </c>
      <c r="AE584" s="36">
        <v>1</v>
      </c>
      <c r="AF584" s="36">
        <v>1</v>
      </c>
      <c r="AG584" s="36">
        <v>1</v>
      </c>
      <c r="AH584" s="36">
        <v>1</v>
      </c>
      <c r="AI584" s="36">
        <v>3</v>
      </c>
      <c r="AJ584" s="36">
        <v>2</v>
      </c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  <c r="AW584" s="36"/>
      <c r="AX584" s="36"/>
      <c r="AY584" s="953"/>
      <c r="AZ584" s="36"/>
      <c r="BA584" s="36"/>
      <c r="BB584" s="36"/>
      <c r="BC584" s="36"/>
      <c r="BD584" s="36"/>
      <c r="BF584">
        <f>ROWS($U$46:U584)</f>
        <v>539</v>
      </c>
      <c r="BG584" t="str">
        <f t="shared" si="212"/>
        <v/>
      </c>
    </row>
    <row r="585" spans="8:59" ht="15" customHeight="1" x14ac:dyDescent="0.35">
      <c r="H585" s="240"/>
      <c r="I585" s="568"/>
      <c r="J585" s="240"/>
      <c r="K585" s="240"/>
      <c r="L585" s="240" t="s">
        <v>2305</v>
      </c>
      <c r="M585" s="240"/>
      <c r="O585" s="330"/>
      <c r="P585" s="36"/>
      <c r="Q585" s="36"/>
      <c r="R585" s="36"/>
      <c r="S585" s="36" t="s">
        <v>1126</v>
      </c>
      <c r="T585" s="36" t="s">
        <v>1127</v>
      </c>
      <c r="U585" s="36">
        <v>892722</v>
      </c>
      <c r="V585" s="165" t="s">
        <v>91</v>
      </c>
      <c r="W585" s="36">
        <v>1</v>
      </c>
      <c r="X585" s="36">
        <v>1</v>
      </c>
      <c r="Y585" s="36">
        <v>1</v>
      </c>
      <c r="Z585" s="36">
        <v>1</v>
      </c>
      <c r="AA585" s="36">
        <v>1</v>
      </c>
      <c r="AB585" s="36">
        <v>1</v>
      </c>
      <c r="AC585" s="36">
        <v>1</v>
      </c>
      <c r="AD585" s="36">
        <v>1</v>
      </c>
      <c r="AE585" s="36">
        <v>3</v>
      </c>
      <c r="AF585" s="36">
        <v>2</v>
      </c>
      <c r="AG585" s="36">
        <v>1</v>
      </c>
      <c r="AH585" s="36">
        <v>1</v>
      </c>
      <c r="AI585" s="36">
        <v>1</v>
      </c>
      <c r="AJ585" s="36">
        <v>1</v>
      </c>
      <c r="AK585" s="36">
        <v>1</v>
      </c>
      <c r="AL585" s="36">
        <v>1</v>
      </c>
      <c r="AM585" s="36">
        <v>1</v>
      </c>
      <c r="AN585" s="36"/>
      <c r="AO585" s="36"/>
      <c r="AP585" s="36"/>
      <c r="AQ585" s="36"/>
      <c r="AR585" s="36"/>
      <c r="AS585" s="36"/>
      <c r="AT585" s="36"/>
      <c r="AU585" s="36"/>
      <c r="AV585" s="36"/>
      <c r="AW585" s="36"/>
      <c r="AX585" s="36"/>
      <c r="AY585" s="953"/>
      <c r="AZ585" s="36"/>
      <c r="BA585" s="36"/>
      <c r="BB585" s="36"/>
      <c r="BC585" s="36"/>
      <c r="BD585" s="36"/>
      <c r="BF585">
        <f>ROWS($U$46:U585)</f>
        <v>540</v>
      </c>
      <c r="BG585" t="str">
        <f t="shared" si="212"/>
        <v/>
      </c>
    </row>
    <row r="586" spans="8:59" ht="15" customHeight="1" x14ac:dyDescent="0.35">
      <c r="H586" s="10"/>
      <c r="J586" s="10"/>
      <c r="K586" s="240"/>
      <c r="L586" s="10">
        <v>1175992</v>
      </c>
      <c r="M586" s="240"/>
      <c r="O586" s="330"/>
      <c r="P586" s="36"/>
      <c r="Q586" s="36"/>
      <c r="R586" s="36"/>
      <c r="S586" s="36" t="s">
        <v>1126</v>
      </c>
      <c r="T586" s="36" t="s">
        <v>1127</v>
      </c>
      <c r="U586" s="36">
        <v>892722</v>
      </c>
      <c r="V586" s="165" t="s">
        <v>92</v>
      </c>
      <c r="W586" s="36">
        <v>1</v>
      </c>
      <c r="X586" s="36">
        <v>1</v>
      </c>
      <c r="Y586" s="36">
        <v>1</v>
      </c>
      <c r="Z586" s="36">
        <v>1</v>
      </c>
      <c r="AA586" s="36">
        <v>1</v>
      </c>
      <c r="AB586" s="36">
        <v>1</v>
      </c>
      <c r="AC586" s="36">
        <v>1</v>
      </c>
      <c r="AD586" s="36">
        <v>1</v>
      </c>
      <c r="AE586" s="36">
        <v>1</v>
      </c>
      <c r="AF586" s="36">
        <v>1</v>
      </c>
      <c r="AG586" s="36">
        <v>1</v>
      </c>
      <c r="AH586" s="36">
        <v>1</v>
      </c>
      <c r="AI586" s="36">
        <v>1</v>
      </c>
      <c r="AJ586" s="36">
        <v>3</v>
      </c>
      <c r="AK586" s="36">
        <v>2</v>
      </c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  <c r="AW586" s="36"/>
      <c r="AX586" s="36"/>
      <c r="AY586" s="953"/>
      <c r="AZ586" s="36"/>
      <c r="BA586" s="36"/>
      <c r="BB586" s="36"/>
      <c r="BC586" s="36"/>
      <c r="BD586" s="36"/>
      <c r="BF586">
        <f>ROWS($U$46:U586)</f>
        <v>541</v>
      </c>
      <c r="BG586" t="str">
        <f t="shared" si="212"/>
        <v/>
      </c>
    </row>
    <row r="587" spans="8:59" ht="15" customHeight="1" x14ac:dyDescent="0.35">
      <c r="H587" s="10"/>
      <c r="J587" s="10"/>
      <c r="K587" s="240"/>
      <c r="L587" s="10" t="s">
        <v>2310</v>
      </c>
      <c r="M587" s="240"/>
      <c r="O587" s="330"/>
      <c r="P587" s="36"/>
      <c r="Q587" s="36"/>
      <c r="R587" s="36"/>
      <c r="S587" s="36" t="s">
        <v>1126</v>
      </c>
      <c r="T587" s="36" t="s">
        <v>1127</v>
      </c>
      <c r="U587" s="36">
        <v>892722</v>
      </c>
      <c r="V587" s="165" t="s">
        <v>111</v>
      </c>
      <c r="W587" s="36">
        <v>1</v>
      </c>
      <c r="X587" s="36">
        <v>1</v>
      </c>
      <c r="Y587" s="36">
        <v>1</v>
      </c>
      <c r="Z587" s="36">
        <v>1</v>
      </c>
      <c r="AA587" s="36">
        <v>1</v>
      </c>
      <c r="AB587" s="36">
        <v>1</v>
      </c>
      <c r="AC587" s="36">
        <v>1</v>
      </c>
      <c r="AD587" s="36">
        <v>1</v>
      </c>
      <c r="AE587" s="36">
        <v>1</v>
      </c>
      <c r="AF587" s="36">
        <v>3</v>
      </c>
      <c r="AG587" s="36">
        <v>2</v>
      </c>
      <c r="AH587" s="36">
        <v>1</v>
      </c>
      <c r="AI587" s="36">
        <v>1</v>
      </c>
      <c r="AJ587" s="36">
        <v>1</v>
      </c>
      <c r="AK587" s="36">
        <v>1</v>
      </c>
      <c r="AL587" s="36">
        <v>1</v>
      </c>
      <c r="AM587" s="36">
        <v>1</v>
      </c>
      <c r="AN587" s="36">
        <v>1</v>
      </c>
      <c r="AO587" s="36"/>
      <c r="AP587" s="36"/>
      <c r="AQ587" s="36"/>
      <c r="AR587" s="36"/>
      <c r="AS587" s="36"/>
      <c r="AT587" s="36"/>
      <c r="AU587" s="36"/>
      <c r="AV587" s="36"/>
      <c r="AW587" s="36"/>
      <c r="AX587" s="36"/>
      <c r="AY587" s="953"/>
      <c r="AZ587" s="36"/>
      <c r="BA587" s="36"/>
      <c r="BB587" s="36"/>
      <c r="BC587" s="36"/>
      <c r="BD587" s="36"/>
      <c r="BF587">
        <f>ROWS($U$46:U587)</f>
        <v>542</v>
      </c>
      <c r="BG587" t="str">
        <f t="shared" si="212"/>
        <v/>
      </c>
    </row>
    <row r="588" spans="8:59" ht="15" customHeight="1" thickBot="1" x14ac:dyDescent="0.4">
      <c r="H588" s="10"/>
      <c r="J588" s="10"/>
      <c r="K588" s="240"/>
      <c r="L588" s="10">
        <v>1254762</v>
      </c>
      <c r="M588" s="240"/>
      <c r="O588" s="485"/>
      <c r="P588" s="486"/>
      <c r="Q588" s="486"/>
      <c r="R588" s="486"/>
      <c r="S588" s="486" t="s">
        <v>1126</v>
      </c>
      <c r="T588" s="486" t="s">
        <v>1127</v>
      </c>
      <c r="U588" s="486">
        <v>892722</v>
      </c>
      <c r="V588" s="487" t="s">
        <v>112</v>
      </c>
      <c r="W588" s="486">
        <v>1</v>
      </c>
      <c r="X588" s="486">
        <v>1</v>
      </c>
      <c r="Y588" s="486">
        <v>1</v>
      </c>
      <c r="Z588" s="486">
        <v>1</v>
      </c>
      <c r="AA588" s="486">
        <v>1</v>
      </c>
      <c r="AB588" s="486">
        <v>1</v>
      </c>
      <c r="AC588" s="486">
        <v>1</v>
      </c>
      <c r="AD588" s="486">
        <v>1</v>
      </c>
      <c r="AE588" s="486">
        <v>3</v>
      </c>
      <c r="AF588" s="486">
        <v>2</v>
      </c>
      <c r="AG588" s="486"/>
      <c r="AH588" s="486"/>
      <c r="AI588" s="486"/>
      <c r="AJ588" s="486"/>
      <c r="AK588" s="486"/>
      <c r="AL588" s="486"/>
      <c r="AM588" s="486"/>
      <c r="AN588" s="486"/>
      <c r="AO588" s="486"/>
      <c r="AP588" s="486"/>
      <c r="AQ588" s="486"/>
      <c r="AR588" s="486"/>
      <c r="AS588" s="486"/>
      <c r="AT588" s="486"/>
      <c r="AU588" s="486"/>
      <c r="AV588" s="486"/>
      <c r="AW588" s="486"/>
      <c r="AX588" s="486"/>
      <c r="AY588" s="151"/>
      <c r="AZ588" s="36"/>
      <c r="BA588" s="36"/>
      <c r="BB588" s="36"/>
      <c r="BC588" s="36"/>
      <c r="BD588" s="36"/>
      <c r="BF588">
        <f>ROWS($U$46:U588)</f>
        <v>543</v>
      </c>
      <c r="BG588" t="str">
        <f t="shared" si="212"/>
        <v/>
      </c>
    </row>
    <row r="589" spans="8:59" ht="15" customHeight="1" x14ac:dyDescent="0.35">
      <c r="H589" s="10"/>
      <c r="J589" s="10"/>
      <c r="K589" s="240"/>
      <c r="L589" s="10" t="s">
        <v>2317</v>
      </c>
      <c r="M589" s="240"/>
      <c r="O589" s="329">
        <v>1</v>
      </c>
      <c r="P589" s="320">
        <v>643435</v>
      </c>
      <c r="Q589" s="320">
        <v>63</v>
      </c>
      <c r="R589" s="320"/>
      <c r="S589" s="320">
        <v>16</v>
      </c>
      <c r="T589" s="320" t="s">
        <v>1127</v>
      </c>
      <c r="U589" s="320">
        <v>801053</v>
      </c>
      <c r="V589" s="319" t="s">
        <v>87</v>
      </c>
      <c r="W589" s="320">
        <v>2</v>
      </c>
      <c r="X589" s="320">
        <v>2</v>
      </c>
      <c r="Y589" s="320">
        <v>2</v>
      </c>
      <c r="Z589" s="320">
        <v>1</v>
      </c>
      <c r="AA589" s="320">
        <v>1</v>
      </c>
      <c r="AB589" s="320">
        <v>1</v>
      </c>
      <c r="AC589" s="320">
        <v>1</v>
      </c>
      <c r="AD589" s="320">
        <v>1</v>
      </c>
      <c r="AE589" s="320">
        <v>1</v>
      </c>
      <c r="AF589" s="320">
        <v>1</v>
      </c>
      <c r="AG589" s="320">
        <v>1</v>
      </c>
      <c r="AH589" s="320">
        <v>1</v>
      </c>
      <c r="AI589" s="320">
        <v>1</v>
      </c>
      <c r="AJ589" s="320">
        <v>1</v>
      </c>
      <c r="AK589" s="320">
        <v>3</v>
      </c>
      <c r="AL589" s="320">
        <v>5</v>
      </c>
      <c r="AM589" s="320">
        <v>4</v>
      </c>
      <c r="AN589" s="320"/>
      <c r="AO589" s="320">
        <v>6</v>
      </c>
      <c r="AP589" s="320">
        <v>6</v>
      </c>
      <c r="AQ589" s="320">
        <v>6</v>
      </c>
      <c r="AR589" s="320"/>
      <c r="AS589" s="320"/>
      <c r="AT589" s="320"/>
      <c r="AU589" s="320"/>
      <c r="AV589" s="320"/>
      <c r="AW589" s="320"/>
      <c r="AX589" s="320"/>
      <c r="AY589" s="952"/>
      <c r="AZ589" s="36"/>
      <c r="BA589" s="36"/>
      <c r="BB589" s="36"/>
      <c r="BC589" s="36"/>
      <c r="BD589" s="36"/>
      <c r="BF589">
        <f>ROWS($U$46:U589)</f>
        <v>544</v>
      </c>
      <c r="BG589" t="str">
        <f t="shared" si="212"/>
        <v/>
      </c>
    </row>
    <row r="590" spans="8:59" ht="15" customHeight="1" x14ac:dyDescent="0.35">
      <c r="H590" s="10"/>
      <c r="J590" s="10"/>
      <c r="K590" s="240"/>
      <c r="L590" s="10">
        <v>1246037</v>
      </c>
      <c r="M590" s="240"/>
      <c r="O590" s="330">
        <v>2</v>
      </c>
      <c r="P590" s="36">
        <v>638561</v>
      </c>
      <c r="Q590" s="36">
        <v>9</v>
      </c>
      <c r="R590" s="36"/>
      <c r="S590" s="36">
        <v>16</v>
      </c>
      <c r="T590" s="36" t="s">
        <v>1127</v>
      </c>
      <c r="U590" s="36">
        <v>801053</v>
      </c>
      <c r="V590" s="165" t="s">
        <v>88</v>
      </c>
      <c r="W590" s="36">
        <v>1</v>
      </c>
      <c r="X590" s="36">
        <v>1</v>
      </c>
      <c r="Y590" s="36">
        <v>1</v>
      </c>
      <c r="Z590" s="36">
        <v>1</v>
      </c>
      <c r="AA590" s="36">
        <v>1</v>
      </c>
      <c r="AB590" s="36">
        <v>1</v>
      </c>
      <c r="AC590" s="36">
        <v>1</v>
      </c>
      <c r="AD590" s="36">
        <v>1</v>
      </c>
      <c r="AE590" s="36">
        <v>3</v>
      </c>
      <c r="AF590" s="36">
        <v>5</v>
      </c>
      <c r="AG590" s="36">
        <v>4</v>
      </c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  <c r="AW590" s="36"/>
      <c r="AX590" s="36"/>
      <c r="AY590" s="953"/>
      <c r="AZ590" s="36"/>
      <c r="BA590" s="36"/>
      <c r="BB590" s="36"/>
      <c r="BC590" s="36"/>
      <c r="BD590" s="36"/>
      <c r="BF590">
        <f>ROWS($U$46:U590)</f>
        <v>545</v>
      </c>
      <c r="BG590" t="str">
        <f t="shared" si="212"/>
        <v/>
      </c>
    </row>
    <row r="591" spans="8:59" ht="15" customHeight="1" x14ac:dyDescent="0.35">
      <c r="H591" s="10"/>
      <c r="J591" s="10"/>
      <c r="K591" s="240"/>
      <c r="L591" s="10" t="s">
        <v>2323</v>
      </c>
      <c r="M591" s="240"/>
      <c r="O591" s="330">
        <v>3</v>
      </c>
      <c r="P591" s="36">
        <v>708306</v>
      </c>
      <c r="Q591" s="36">
        <v>7</v>
      </c>
      <c r="R591" s="36"/>
      <c r="S591" s="36">
        <v>16</v>
      </c>
      <c r="T591" s="36" t="s">
        <v>1127</v>
      </c>
      <c r="U591" s="36">
        <v>801053</v>
      </c>
      <c r="V591" s="165" t="s">
        <v>89</v>
      </c>
      <c r="W591" s="36">
        <v>2</v>
      </c>
      <c r="X591" s="36">
        <v>2</v>
      </c>
      <c r="Y591" s="36">
        <v>2</v>
      </c>
      <c r="Z591" s="36">
        <v>1</v>
      </c>
      <c r="AA591" s="36">
        <v>1</v>
      </c>
      <c r="AB591" s="36">
        <v>1</v>
      </c>
      <c r="AC591" s="36">
        <v>1</v>
      </c>
      <c r="AD591" s="36">
        <v>1</v>
      </c>
      <c r="AE591" s="36">
        <v>1</v>
      </c>
      <c r="AF591" s="36">
        <v>1</v>
      </c>
      <c r="AG591" s="36">
        <v>1</v>
      </c>
      <c r="AH591" s="36">
        <v>1</v>
      </c>
      <c r="AI591" s="36">
        <v>1</v>
      </c>
      <c r="AJ591" s="36">
        <v>3</v>
      </c>
      <c r="AK591" s="36">
        <v>5</v>
      </c>
      <c r="AL591" s="36">
        <v>4</v>
      </c>
      <c r="AM591" s="36"/>
      <c r="AN591" s="36"/>
      <c r="AO591" s="36">
        <v>6</v>
      </c>
      <c r="AP591" s="36">
        <v>6</v>
      </c>
      <c r="AQ591" s="36">
        <v>6</v>
      </c>
      <c r="AR591" s="36"/>
      <c r="AS591" s="36"/>
      <c r="AT591" s="36"/>
      <c r="AU591" s="36"/>
      <c r="AV591" s="36"/>
      <c r="AW591" s="36"/>
      <c r="AX591" s="36"/>
      <c r="AY591" s="953"/>
      <c r="AZ591" s="36"/>
      <c r="BA591" s="36"/>
      <c r="BB591" s="36"/>
      <c r="BC591" s="36"/>
      <c r="BD591" s="36"/>
      <c r="BF591">
        <f>ROWS($U$46:U591)</f>
        <v>546</v>
      </c>
      <c r="BG591" t="str">
        <f t="shared" si="212"/>
        <v/>
      </c>
    </row>
    <row r="592" spans="8:59" ht="15" customHeight="1" x14ac:dyDescent="0.35">
      <c r="H592" s="10"/>
      <c r="J592" s="10"/>
      <c r="K592" s="10"/>
      <c r="L592" s="10">
        <v>2015535</v>
      </c>
      <c r="M592" s="10"/>
      <c r="O592" s="330">
        <v>4</v>
      </c>
      <c r="P592" s="36">
        <v>871781</v>
      </c>
      <c r="Q592" s="36">
        <v>7</v>
      </c>
      <c r="R592" s="36"/>
      <c r="S592" s="36">
        <v>16</v>
      </c>
      <c r="T592" s="36" t="s">
        <v>1127</v>
      </c>
      <c r="U592" s="36">
        <v>801053</v>
      </c>
      <c r="V592" s="165" t="s">
        <v>90</v>
      </c>
      <c r="W592" s="36">
        <v>1</v>
      </c>
      <c r="X592" s="36">
        <v>1</v>
      </c>
      <c r="Y592" s="36">
        <v>1</v>
      </c>
      <c r="Z592" s="36">
        <v>1</v>
      </c>
      <c r="AA592" s="36">
        <v>1</v>
      </c>
      <c r="AB592" s="36">
        <v>1</v>
      </c>
      <c r="AC592" s="36">
        <v>1</v>
      </c>
      <c r="AD592" s="36">
        <v>1</v>
      </c>
      <c r="AE592" s="36">
        <v>3</v>
      </c>
      <c r="AF592" s="36">
        <v>5</v>
      </c>
      <c r="AG592" s="36">
        <v>4</v>
      </c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  <c r="AW592" s="36"/>
      <c r="AX592" s="36"/>
      <c r="AY592" s="953"/>
      <c r="AZ592" s="36"/>
      <c r="BA592" s="36"/>
      <c r="BB592" s="36"/>
      <c r="BC592" s="36"/>
      <c r="BD592" s="36"/>
      <c r="BF592">
        <f>ROWS($U$46:U592)</f>
        <v>547</v>
      </c>
      <c r="BG592" t="str">
        <f t="shared" si="212"/>
        <v/>
      </c>
    </row>
    <row r="593" spans="8:59" ht="15" customHeight="1" x14ac:dyDescent="0.35">
      <c r="H593" s="10"/>
      <c r="J593" s="10"/>
      <c r="K593" s="10"/>
      <c r="L593" s="10" t="s">
        <v>2339</v>
      </c>
      <c r="M593" s="10"/>
      <c r="O593" s="330">
        <v>5</v>
      </c>
      <c r="P593" s="36">
        <v>418525</v>
      </c>
      <c r="Q593" s="36">
        <v>7</v>
      </c>
      <c r="R593" s="36"/>
      <c r="S593" s="36">
        <v>16</v>
      </c>
      <c r="T593" s="36" t="s">
        <v>1127</v>
      </c>
      <c r="U593" s="36">
        <v>801053</v>
      </c>
      <c r="V593" s="165" t="s">
        <v>91</v>
      </c>
      <c r="W593" s="36">
        <v>2</v>
      </c>
      <c r="X593" s="36">
        <v>2</v>
      </c>
      <c r="Y593" s="36">
        <v>2</v>
      </c>
      <c r="Z593" s="36">
        <v>1</v>
      </c>
      <c r="AA593" s="36">
        <v>1</v>
      </c>
      <c r="AB593" s="36">
        <v>1</v>
      </c>
      <c r="AC593" s="36">
        <v>1</v>
      </c>
      <c r="AD593" s="36">
        <v>1</v>
      </c>
      <c r="AE593" s="36">
        <v>1</v>
      </c>
      <c r="AF593" s="36">
        <v>1</v>
      </c>
      <c r="AG593" s="36">
        <v>1</v>
      </c>
      <c r="AH593" s="36">
        <v>1</v>
      </c>
      <c r="AI593" s="36">
        <v>1</v>
      </c>
      <c r="AJ593" s="36">
        <v>3</v>
      </c>
      <c r="AK593" s="36">
        <v>5</v>
      </c>
      <c r="AL593" s="36">
        <v>4</v>
      </c>
      <c r="AM593" s="36"/>
      <c r="AN593" s="36"/>
      <c r="AO593" s="36">
        <v>6</v>
      </c>
      <c r="AP593" s="36">
        <v>6</v>
      </c>
      <c r="AQ593" s="36">
        <v>6</v>
      </c>
      <c r="AR593" s="36"/>
      <c r="AS593" s="36"/>
      <c r="AT593" s="36"/>
      <c r="AU593" s="36"/>
      <c r="AV593" s="36"/>
      <c r="AW593" s="36"/>
      <c r="AX593" s="36"/>
      <c r="AY593" s="953"/>
      <c r="AZ593" s="36"/>
      <c r="BA593" s="36"/>
      <c r="BB593" s="36"/>
      <c r="BC593" s="36"/>
      <c r="BD593" s="36"/>
      <c r="BF593">
        <f>ROWS($U$46:U593)</f>
        <v>548</v>
      </c>
      <c r="BG593" t="str">
        <f t="shared" si="212"/>
        <v/>
      </c>
    </row>
    <row r="594" spans="8:59" ht="15" customHeight="1" x14ac:dyDescent="0.35">
      <c r="H594" s="10"/>
      <c r="J594" s="10"/>
      <c r="K594" s="10"/>
      <c r="L594" s="10">
        <v>2016764</v>
      </c>
      <c r="M594" s="10"/>
      <c r="O594" s="330">
        <v>6</v>
      </c>
      <c r="P594" s="36">
        <v>625854</v>
      </c>
      <c r="Q594" s="36">
        <v>9</v>
      </c>
      <c r="R594" s="36"/>
      <c r="S594" s="36">
        <v>16</v>
      </c>
      <c r="T594" s="36" t="s">
        <v>1127</v>
      </c>
      <c r="U594" s="36">
        <v>801053</v>
      </c>
      <c r="V594" s="165" t="s">
        <v>92</v>
      </c>
      <c r="W594" s="36">
        <v>1</v>
      </c>
      <c r="X594" s="36">
        <v>1</v>
      </c>
      <c r="Y594" s="36">
        <v>1</v>
      </c>
      <c r="Z594" s="36">
        <v>1</v>
      </c>
      <c r="AA594" s="36">
        <v>1</v>
      </c>
      <c r="AB594" s="36">
        <v>1</v>
      </c>
      <c r="AC594" s="36">
        <v>1</v>
      </c>
      <c r="AD594" s="36">
        <v>1</v>
      </c>
      <c r="AE594" s="36">
        <v>3</v>
      </c>
      <c r="AF594" s="36">
        <v>5</v>
      </c>
      <c r="AG594" s="36">
        <v>4</v>
      </c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  <c r="AW594" s="36"/>
      <c r="AX594" s="36"/>
      <c r="AY594" s="953"/>
      <c r="AZ594" s="36"/>
      <c r="BA594" s="36"/>
      <c r="BB594" s="36"/>
      <c r="BC594" s="36"/>
      <c r="BD594" s="36"/>
      <c r="BF594">
        <f>ROWS($U$46:U594)</f>
        <v>549</v>
      </c>
      <c r="BG594" t="str">
        <f t="shared" si="212"/>
        <v/>
      </c>
    </row>
    <row r="595" spans="8:59" ht="15" customHeight="1" thickBot="1" x14ac:dyDescent="0.4">
      <c r="H595" s="10"/>
      <c r="J595" s="10"/>
      <c r="K595" s="10"/>
      <c r="L595" s="10" t="s">
        <v>2344</v>
      </c>
      <c r="M595" s="10"/>
      <c r="O595" s="485"/>
      <c r="P595" s="486"/>
      <c r="Q595" s="486"/>
      <c r="R595" s="486"/>
      <c r="S595" s="486">
        <v>16</v>
      </c>
      <c r="T595" s="486" t="s">
        <v>1127</v>
      </c>
      <c r="U595" s="486">
        <v>801053</v>
      </c>
      <c r="V595" s="487" t="s">
        <v>111</v>
      </c>
      <c r="W595" s="486">
        <v>1</v>
      </c>
      <c r="X595" s="486">
        <v>1</v>
      </c>
      <c r="Y595" s="486">
        <v>1</v>
      </c>
      <c r="Z595" s="486">
        <v>1</v>
      </c>
      <c r="AA595" s="486">
        <v>1</v>
      </c>
      <c r="AB595" s="486">
        <v>1</v>
      </c>
      <c r="AC595" s="486">
        <v>1</v>
      </c>
      <c r="AD595" s="486">
        <v>1</v>
      </c>
      <c r="AE595" s="486">
        <v>3</v>
      </c>
      <c r="AF595" s="486">
        <v>5</v>
      </c>
      <c r="AG595" s="486">
        <v>4</v>
      </c>
      <c r="AH595" s="486"/>
      <c r="AI595" s="486"/>
      <c r="AJ595" s="486"/>
      <c r="AK595" s="486"/>
      <c r="AL595" s="486"/>
      <c r="AM595" s="486"/>
      <c r="AN595" s="486"/>
      <c r="AO595" s="486"/>
      <c r="AP595" s="486"/>
      <c r="AQ595" s="486"/>
      <c r="AR595" s="486"/>
      <c r="AS595" s="486"/>
      <c r="AT595" s="486"/>
      <c r="AU595" s="486"/>
      <c r="AV595" s="486"/>
      <c r="AW595" s="486"/>
      <c r="AX595" s="486"/>
      <c r="AY595" s="151"/>
      <c r="AZ595" s="36"/>
      <c r="BA595" s="36"/>
      <c r="BB595" s="36"/>
      <c r="BC595" s="36"/>
      <c r="BD595" s="36"/>
      <c r="BF595">
        <f>ROWS($U$46:U595)</f>
        <v>550</v>
      </c>
      <c r="BG595" t="str">
        <f t="shared" si="212"/>
        <v/>
      </c>
    </row>
    <row r="596" spans="8:59" ht="15" customHeight="1" x14ac:dyDescent="0.35">
      <c r="H596" s="10"/>
      <c r="J596" s="10"/>
      <c r="K596" s="10"/>
      <c r="L596" s="10">
        <v>2017803</v>
      </c>
      <c r="M596" s="10"/>
      <c r="O596" s="329">
        <v>1</v>
      </c>
      <c r="P596" s="320">
        <v>1134752</v>
      </c>
      <c r="Q596" s="320">
        <v>17</v>
      </c>
      <c r="R596" s="320"/>
      <c r="S596" s="320">
        <v>5.875</v>
      </c>
      <c r="T596" s="320" t="s">
        <v>1238</v>
      </c>
      <c r="U596" s="320">
        <v>890428</v>
      </c>
      <c r="V596" s="319" t="s">
        <v>87</v>
      </c>
      <c r="W596" s="320">
        <v>1</v>
      </c>
      <c r="X596" s="320">
        <v>1</v>
      </c>
      <c r="Y596" s="320">
        <v>1</v>
      </c>
      <c r="Z596" s="320">
        <v>2</v>
      </c>
      <c r="AA596" s="320">
        <v>2</v>
      </c>
      <c r="AB596" s="320">
        <v>2</v>
      </c>
      <c r="AC596" s="320">
        <v>3</v>
      </c>
      <c r="AD596" s="320">
        <v>3</v>
      </c>
      <c r="AE596" s="320"/>
      <c r="AF596" s="320">
        <v>1</v>
      </c>
      <c r="AG596" s="320">
        <v>2</v>
      </c>
      <c r="AH596" s="320">
        <v>2</v>
      </c>
      <c r="AI596" s="320"/>
      <c r="AJ596" s="320"/>
      <c r="AK596" s="320"/>
      <c r="AL596" s="320"/>
      <c r="AM596" s="320"/>
      <c r="AN596" s="320"/>
      <c r="AO596" s="320"/>
      <c r="AP596" s="320"/>
      <c r="AQ596" s="320"/>
      <c r="AR596" s="320"/>
      <c r="AS596" s="320"/>
      <c r="AT596" s="320"/>
      <c r="AU596" s="320"/>
      <c r="AV596" s="320"/>
      <c r="AW596" s="320"/>
      <c r="AX596" s="320"/>
      <c r="AY596" s="952"/>
      <c r="AZ596" s="36"/>
      <c r="BA596" s="36"/>
      <c r="BB596" s="36"/>
      <c r="BC596" s="36"/>
      <c r="BD596" s="36"/>
      <c r="BF596">
        <f>ROWS($U$46:U596)</f>
        <v>551</v>
      </c>
      <c r="BG596" t="str">
        <f t="shared" si="212"/>
        <v/>
      </c>
    </row>
    <row r="597" spans="8:59" ht="15" customHeight="1" x14ac:dyDescent="0.35">
      <c r="H597" s="10"/>
      <c r="J597" s="10"/>
      <c r="K597" s="10"/>
      <c r="L597" s="10" t="s">
        <v>2351</v>
      </c>
      <c r="M597" s="10"/>
      <c r="O597" s="330">
        <v>2</v>
      </c>
      <c r="P597" s="36">
        <v>1130196</v>
      </c>
      <c r="Q597" s="36">
        <v>29</v>
      </c>
      <c r="R597" s="36"/>
      <c r="S597" s="36">
        <v>5.875</v>
      </c>
      <c r="T597" s="36" t="s">
        <v>1238</v>
      </c>
      <c r="U597" s="36">
        <v>890428</v>
      </c>
      <c r="V597" s="165" t="s">
        <v>88</v>
      </c>
      <c r="W597" s="36">
        <v>1</v>
      </c>
      <c r="X597" s="36">
        <v>1</v>
      </c>
      <c r="Y597" s="36">
        <v>2</v>
      </c>
      <c r="Z597" s="36">
        <v>2</v>
      </c>
      <c r="AA597" s="36">
        <v>2</v>
      </c>
      <c r="AB597" s="36">
        <v>3</v>
      </c>
      <c r="AC597" s="36">
        <v>3</v>
      </c>
      <c r="AD597" s="36"/>
      <c r="AE597" s="36"/>
      <c r="AF597" s="36">
        <v>1</v>
      </c>
      <c r="AG597" s="36">
        <v>2</v>
      </c>
      <c r="AH597" s="36">
        <v>2</v>
      </c>
      <c r="AI597" s="36">
        <v>2</v>
      </c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  <c r="AW597" s="36"/>
      <c r="AX597" s="36"/>
      <c r="AY597" s="953"/>
      <c r="AZ597" s="36"/>
      <c r="BA597" s="36"/>
      <c r="BB597" s="36"/>
      <c r="BC597" s="36"/>
      <c r="BD597" s="36"/>
      <c r="BF597">
        <f>ROWS($U$46:U597)</f>
        <v>552</v>
      </c>
      <c r="BG597" t="str">
        <f t="shared" si="212"/>
        <v/>
      </c>
    </row>
    <row r="598" spans="8:59" ht="15" customHeight="1" x14ac:dyDescent="0.35">
      <c r="H598" s="10"/>
      <c r="J598" s="10"/>
      <c r="K598" s="10"/>
      <c r="L598" s="10">
        <v>1283630</v>
      </c>
      <c r="M598" s="10"/>
      <c r="O598" s="330">
        <v>3</v>
      </c>
      <c r="P598" s="36">
        <v>418525</v>
      </c>
      <c r="Q598" s="36">
        <v>10</v>
      </c>
      <c r="R598" s="36"/>
      <c r="S598" s="36">
        <v>5.875</v>
      </c>
      <c r="T598" s="36" t="s">
        <v>1238</v>
      </c>
      <c r="U598" s="36">
        <v>890428</v>
      </c>
      <c r="V598" s="165" t="s">
        <v>89</v>
      </c>
      <c r="W598" s="36">
        <v>1</v>
      </c>
      <c r="X598" s="36">
        <v>1</v>
      </c>
      <c r="Y598" s="36">
        <v>1</v>
      </c>
      <c r="Z598" s="36">
        <v>2</v>
      </c>
      <c r="AA598" s="36">
        <v>2</v>
      </c>
      <c r="AB598" s="36">
        <v>2</v>
      </c>
      <c r="AC598" s="36">
        <v>3</v>
      </c>
      <c r="AD598" s="36">
        <v>3</v>
      </c>
      <c r="AE598" s="36"/>
      <c r="AF598" s="36">
        <v>1</v>
      </c>
      <c r="AG598" s="36">
        <v>2</v>
      </c>
      <c r="AH598" s="36">
        <v>2</v>
      </c>
      <c r="AI598" s="36">
        <v>2</v>
      </c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  <c r="AW598" s="36"/>
      <c r="AX598" s="36"/>
      <c r="AY598" s="953"/>
      <c r="AZ598" s="36"/>
      <c r="BA598" s="36"/>
      <c r="BB598" s="36"/>
      <c r="BC598" s="36"/>
      <c r="BD598" s="36"/>
      <c r="BF598">
        <f>ROWS($U$46:U598)</f>
        <v>553</v>
      </c>
      <c r="BG598" t="str">
        <f t="shared" si="212"/>
        <v/>
      </c>
    </row>
    <row r="599" spans="8:59" ht="15" customHeight="1" x14ac:dyDescent="0.35">
      <c r="H599" s="10"/>
      <c r="J599" s="10"/>
      <c r="K599" s="10"/>
      <c r="L599" s="10" t="s">
        <v>2353</v>
      </c>
      <c r="M599" s="10"/>
      <c r="O599" s="330"/>
      <c r="P599" s="36"/>
      <c r="Q599" s="36"/>
      <c r="R599" s="36"/>
      <c r="S599" s="36">
        <v>5.875</v>
      </c>
      <c r="T599" s="36" t="s">
        <v>1238</v>
      </c>
      <c r="U599" s="36">
        <v>890428</v>
      </c>
      <c r="V599" s="165" t="s">
        <v>90</v>
      </c>
      <c r="W599" s="36">
        <v>1</v>
      </c>
      <c r="X599" s="36">
        <v>1</v>
      </c>
      <c r="Y599" s="36">
        <v>1</v>
      </c>
      <c r="Z599" s="36">
        <v>2</v>
      </c>
      <c r="AA599" s="36">
        <v>2</v>
      </c>
      <c r="AB599" s="36">
        <v>2</v>
      </c>
      <c r="AC599" s="36">
        <v>3</v>
      </c>
      <c r="AD599" s="36">
        <v>3</v>
      </c>
      <c r="AE599" s="36"/>
      <c r="AF599" s="36">
        <v>1</v>
      </c>
      <c r="AG599" s="36">
        <v>2</v>
      </c>
      <c r="AH599" s="36">
        <v>2</v>
      </c>
      <c r="AI599" s="36">
        <v>2</v>
      </c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  <c r="AW599" s="36"/>
      <c r="AX599" s="36"/>
      <c r="AY599" s="953"/>
      <c r="AZ599" s="36"/>
      <c r="BA599" s="36"/>
      <c r="BB599" s="36"/>
      <c r="BC599" s="36"/>
      <c r="BD599" s="36"/>
      <c r="BF599">
        <f>ROWS($U$46:U599)</f>
        <v>554</v>
      </c>
      <c r="BG599" t="str">
        <f t="shared" si="212"/>
        <v/>
      </c>
    </row>
    <row r="600" spans="8:59" ht="15" customHeight="1" thickBot="1" x14ac:dyDescent="0.4">
      <c r="H600" s="10"/>
      <c r="J600" s="10"/>
      <c r="K600" s="10"/>
      <c r="L600" s="10">
        <v>2018723</v>
      </c>
      <c r="M600" s="10"/>
      <c r="O600" s="331"/>
      <c r="P600" s="328"/>
      <c r="Q600" s="328"/>
      <c r="R600" s="328"/>
      <c r="S600" s="328">
        <v>5.875</v>
      </c>
      <c r="T600" s="328" t="s">
        <v>1238</v>
      </c>
      <c r="U600" s="328">
        <v>890428</v>
      </c>
      <c r="V600" s="327" t="s">
        <v>91</v>
      </c>
      <c r="W600" s="328">
        <v>1</v>
      </c>
      <c r="X600" s="328">
        <v>2</v>
      </c>
      <c r="Y600" s="328">
        <v>2</v>
      </c>
      <c r="Z600" s="328">
        <v>2</v>
      </c>
      <c r="AA600" s="328">
        <v>3</v>
      </c>
      <c r="AB600" s="328">
        <v>3</v>
      </c>
      <c r="AC600" s="328"/>
      <c r="AD600" s="328"/>
      <c r="AE600" s="328"/>
      <c r="AF600" s="328">
        <v>1</v>
      </c>
      <c r="AG600" s="328">
        <v>2</v>
      </c>
      <c r="AH600" s="328">
        <v>2</v>
      </c>
      <c r="AI600" s="328">
        <v>2</v>
      </c>
      <c r="AJ600" s="328"/>
      <c r="AK600" s="328"/>
      <c r="AL600" s="328"/>
      <c r="AM600" s="328"/>
      <c r="AN600" s="328"/>
      <c r="AO600" s="328"/>
      <c r="AP600" s="328"/>
      <c r="AQ600" s="328"/>
      <c r="AR600" s="328"/>
      <c r="AS600" s="328"/>
      <c r="AT600" s="328"/>
      <c r="AU600" s="328"/>
      <c r="AV600" s="328"/>
      <c r="AW600" s="328"/>
      <c r="AX600" s="328"/>
      <c r="AY600" s="954"/>
      <c r="AZ600" s="36"/>
      <c r="BA600" s="36"/>
      <c r="BB600" s="36"/>
      <c r="BC600" s="36"/>
      <c r="BD600" s="36"/>
      <c r="BF600">
        <f>ROWS($U$46:U600)</f>
        <v>555</v>
      </c>
      <c r="BG600" t="str">
        <f t="shared" si="212"/>
        <v/>
      </c>
    </row>
    <row r="601" spans="8:59" ht="15" customHeight="1" x14ac:dyDescent="0.35">
      <c r="H601" s="10"/>
      <c r="J601" s="10"/>
      <c r="K601" s="10"/>
      <c r="L601" s="10" t="s">
        <v>2365</v>
      </c>
      <c r="M601" s="10"/>
      <c r="O601" s="329">
        <v>1</v>
      </c>
      <c r="P601" s="320">
        <v>724180</v>
      </c>
      <c r="Q601" s="320">
        <v>6</v>
      </c>
      <c r="R601" s="320"/>
      <c r="S601" s="320">
        <v>8.5</v>
      </c>
      <c r="T601" s="320" t="s">
        <v>1240</v>
      </c>
      <c r="U601" s="320">
        <v>854024</v>
      </c>
      <c r="V601" s="319" t="s">
        <v>87</v>
      </c>
      <c r="W601" s="320">
        <v>1</v>
      </c>
      <c r="X601" s="320">
        <v>1</v>
      </c>
      <c r="Y601" s="320">
        <v>2</v>
      </c>
      <c r="Z601" s="320">
        <v>2</v>
      </c>
      <c r="AA601" s="320">
        <v>2</v>
      </c>
      <c r="AB601" s="320">
        <v>2</v>
      </c>
      <c r="AC601" s="320">
        <v>2</v>
      </c>
      <c r="AD601" s="320">
        <v>3</v>
      </c>
      <c r="AE601" s="320"/>
      <c r="AF601" s="320"/>
      <c r="AG601" s="320"/>
      <c r="AH601" s="320"/>
      <c r="AI601" s="320"/>
      <c r="AJ601" s="320"/>
      <c r="AK601" s="320"/>
      <c r="AL601" s="320"/>
      <c r="AM601" s="320"/>
      <c r="AN601" s="320"/>
      <c r="AO601" s="320"/>
      <c r="AP601" s="320"/>
      <c r="AQ601" s="320"/>
      <c r="AR601" s="320"/>
      <c r="AS601" s="320"/>
      <c r="AT601" s="320"/>
      <c r="AU601" s="320"/>
      <c r="AV601" s="320"/>
      <c r="AW601" s="320"/>
      <c r="AX601" s="320"/>
      <c r="AY601" s="952"/>
      <c r="AZ601" s="36"/>
      <c r="BA601" s="36"/>
      <c r="BB601" s="36"/>
      <c r="BC601" s="36"/>
      <c r="BD601" s="36"/>
      <c r="BF601">
        <f>ROWS($U$46:U601)</f>
        <v>556</v>
      </c>
      <c r="BG601" t="str">
        <f t="shared" si="212"/>
        <v/>
      </c>
    </row>
    <row r="602" spans="8:59" ht="15" customHeight="1" x14ac:dyDescent="0.35">
      <c r="H602" s="240"/>
      <c r="I602" s="568"/>
      <c r="J602" s="240"/>
      <c r="K602" s="240"/>
      <c r="L602" s="1026">
        <v>2015327</v>
      </c>
      <c r="M602" s="240"/>
      <c r="O602" s="330">
        <v>2</v>
      </c>
      <c r="P602" s="36">
        <v>724181</v>
      </c>
      <c r="Q602" s="36">
        <v>28</v>
      </c>
      <c r="R602" s="36"/>
      <c r="S602" s="36">
        <v>8.5</v>
      </c>
      <c r="T602" s="36" t="s">
        <v>1240</v>
      </c>
      <c r="U602" s="36">
        <v>854024</v>
      </c>
      <c r="V602" s="165" t="s">
        <v>88</v>
      </c>
      <c r="W602" s="36">
        <v>2</v>
      </c>
      <c r="X602" s="36">
        <v>2</v>
      </c>
      <c r="Y602" s="36">
        <v>2</v>
      </c>
      <c r="Z602" s="36">
        <v>2</v>
      </c>
      <c r="AA602" s="36">
        <v>3</v>
      </c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  <c r="AW602" s="36"/>
      <c r="AX602" s="36"/>
      <c r="AY602" s="953"/>
      <c r="AZ602" s="36"/>
      <c r="BA602" s="36"/>
      <c r="BB602" s="36"/>
      <c r="BC602" s="36"/>
      <c r="BD602" s="36"/>
      <c r="BF602">
        <f>ROWS($U$46:U602)</f>
        <v>557</v>
      </c>
      <c r="BG602" t="str">
        <f t="shared" si="212"/>
        <v/>
      </c>
    </row>
    <row r="603" spans="8:59" ht="15" customHeight="1" x14ac:dyDescent="0.35">
      <c r="H603" s="240"/>
      <c r="I603" s="568"/>
      <c r="J603" s="240"/>
      <c r="K603" s="240"/>
      <c r="L603" s="1027" t="s">
        <v>2370</v>
      </c>
      <c r="M603" s="240"/>
      <c r="O603" s="330">
        <v>3</v>
      </c>
      <c r="P603" s="36">
        <v>418525</v>
      </c>
      <c r="Q603" s="36">
        <v>6</v>
      </c>
      <c r="R603" s="36"/>
      <c r="S603" s="36">
        <v>8.5</v>
      </c>
      <c r="T603" s="36" t="s">
        <v>1240</v>
      </c>
      <c r="U603" s="36">
        <v>854024</v>
      </c>
      <c r="V603" s="165" t="s">
        <v>89</v>
      </c>
      <c r="W603" s="36">
        <v>1</v>
      </c>
      <c r="X603" s="36">
        <v>1</v>
      </c>
      <c r="Y603" s="36">
        <v>2</v>
      </c>
      <c r="Z603" s="36">
        <v>2</v>
      </c>
      <c r="AA603" s="36">
        <v>2</v>
      </c>
      <c r="AB603" s="36">
        <v>2</v>
      </c>
      <c r="AC603" s="36">
        <v>2</v>
      </c>
      <c r="AD603" s="36">
        <v>3</v>
      </c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  <c r="AW603" s="36"/>
      <c r="AX603" s="36"/>
      <c r="AY603" s="953"/>
      <c r="AZ603" s="36"/>
      <c r="BA603" s="36"/>
      <c r="BB603" s="36"/>
      <c r="BC603" s="36"/>
      <c r="BD603" s="36"/>
      <c r="BF603">
        <f>ROWS($U$46:U603)</f>
        <v>558</v>
      </c>
      <c r="BG603" t="str">
        <f t="shared" si="212"/>
        <v/>
      </c>
    </row>
    <row r="604" spans="8:59" ht="15" customHeight="1" x14ac:dyDescent="0.35">
      <c r="H604" s="240"/>
      <c r="I604" s="568"/>
      <c r="J604" s="240"/>
      <c r="K604" s="240"/>
      <c r="L604" s="240">
        <v>2019412</v>
      </c>
      <c r="M604" s="240"/>
      <c r="O604" s="330"/>
      <c r="P604" s="36"/>
      <c r="Q604" s="36"/>
      <c r="R604" s="36"/>
      <c r="S604" s="36">
        <v>8.5</v>
      </c>
      <c r="T604" s="36" t="s">
        <v>1240</v>
      </c>
      <c r="U604" s="36">
        <v>854024</v>
      </c>
      <c r="V604" s="165" t="s">
        <v>90</v>
      </c>
      <c r="W604" s="36">
        <v>2</v>
      </c>
      <c r="X604" s="36">
        <v>2</v>
      </c>
      <c r="Y604" s="36">
        <v>2</v>
      </c>
      <c r="Z604" s="36">
        <v>2</v>
      </c>
      <c r="AA604" s="36">
        <v>2</v>
      </c>
      <c r="AB604" s="36">
        <v>3</v>
      </c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953"/>
      <c r="AZ604" s="36"/>
      <c r="BA604" s="36"/>
      <c r="BB604" s="36"/>
      <c r="BC604" s="36"/>
      <c r="BD604" s="36"/>
      <c r="BF604">
        <f>ROWS($U$46:U604)</f>
        <v>559</v>
      </c>
      <c r="BG604" t="str">
        <f t="shared" si="212"/>
        <v/>
      </c>
    </row>
    <row r="605" spans="8:59" ht="15" customHeight="1" x14ac:dyDescent="0.35">
      <c r="H605" s="240"/>
      <c r="I605" s="568"/>
      <c r="J605" s="240"/>
      <c r="K605" s="240"/>
      <c r="L605" s="10" t="s">
        <v>2413</v>
      </c>
      <c r="M605" s="240"/>
      <c r="O605" s="330"/>
      <c r="P605" s="36"/>
      <c r="Q605" s="36"/>
      <c r="R605" s="36"/>
      <c r="S605" s="36">
        <v>8.5</v>
      </c>
      <c r="T605" s="36" t="s">
        <v>1240</v>
      </c>
      <c r="U605" s="36">
        <v>854024</v>
      </c>
      <c r="V605" s="165" t="s">
        <v>91</v>
      </c>
      <c r="W605" s="36">
        <v>1</v>
      </c>
      <c r="X605" s="36">
        <v>1</v>
      </c>
      <c r="Y605" s="36">
        <v>2</v>
      </c>
      <c r="Z605" s="36">
        <v>2</v>
      </c>
      <c r="AA605" s="36">
        <v>2</v>
      </c>
      <c r="AB605" s="36">
        <v>2</v>
      </c>
      <c r="AC605" s="36">
        <v>2</v>
      </c>
      <c r="AD605" s="36">
        <v>3</v>
      </c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953"/>
      <c r="AZ605" s="36"/>
      <c r="BA605" s="36"/>
      <c r="BB605" s="36"/>
      <c r="BC605" s="36"/>
      <c r="BD605" s="36"/>
      <c r="BF605">
        <f>ROWS($U$46:U605)</f>
        <v>560</v>
      </c>
      <c r="BG605" t="str">
        <f t="shared" si="212"/>
        <v/>
      </c>
    </row>
    <row r="606" spans="8:59" ht="15" customHeight="1" thickBot="1" x14ac:dyDescent="0.4">
      <c r="H606" s="240"/>
      <c r="I606" s="568"/>
      <c r="J606" s="240"/>
      <c r="K606" s="240"/>
      <c r="L606" s="240">
        <v>2020054</v>
      </c>
      <c r="M606" s="240"/>
      <c r="O606" s="485"/>
      <c r="P606" s="486"/>
      <c r="Q606" s="486"/>
      <c r="R606" s="486"/>
      <c r="S606" s="486">
        <v>8.5</v>
      </c>
      <c r="T606" s="486" t="s">
        <v>1240</v>
      </c>
      <c r="U606" s="486">
        <v>854024</v>
      </c>
      <c r="V606" s="487" t="s">
        <v>92</v>
      </c>
      <c r="W606" s="486">
        <v>2</v>
      </c>
      <c r="X606" s="486">
        <v>2</v>
      </c>
      <c r="Y606" s="486">
        <v>2</v>
      </c>
      <c r="Z606" s="486">
        <v>2</v>
      </c>
      <c r="AA606" s="486">
        <v>3</v>
      </c>
      <c r="AB606" s="486"/>
      <c r="AC606" s="486"/>
      <c r="AD606" s="486"/>
      <c r="AE606" s="486"/>
      <c r="AF606" s="486"/>
      <c r="AG606" s="486"/>
      <c r="AH606" s="486"/>
      <c r="AI606" s="486"/>
      <c r="AJ606" s="486"/>
      <c r="AK606" s="486"/>
      <c r="AL606" s="486"/>
      <c r="AM606" s="486"/>
      <c r="AN606" s="486"/>
      <c r="AO606" s="486"/>
      <c r="AP606" s="486"/>
      <c r="AQ606" s="486"/>
      <c r="AR606" s="486"/>
      <c r="AS606" s="486"/>
      <c r="AT606" s="486"/>
      <c r="AU606" s="486"/>
      <c r="AV606" s="486"/>
      <c r="AW606" s="486"/>
      <c r="AX606" s="486"/>
      <c r="AY606" s="151"/>
      <c r="AZ606" s="36"/>
      <c r="BA606" s="36"/>
      <c r="BB606" s="36"/>
      <c r="BC606" s="36"/>
      <c r="BD606" s="36"/>
      <c r="BF606">
        <f>ROWS($U$46:U606)</f>
        <v>561</v>
      </c>
      <c r="BG606" t="str">
        <f t="shared" si="212"/>
        <v/>
      </c>
    </row>
    <row r="607" spans="8:59" ht="15" customHeight="1" x14ac:dyDescent="0.35">
      <c r="H607" s="10"/>
      <c r="J607" s="10"/>
      <c r="K607" s="10"/>
      <c r="L607" s="10" t="s">
        <v>2422</v>
      </c>
      <c r="M607" s="10"/>
      <c r="O607" s="329">
        <v>1</v>
      </c>
      <c r="P607" s="320">
        <v>638561</v>
      </c>
      <c r="Q607" s="320">
        <v>72</v>
      </c>
      <c r="R607" s="320"/>
      <c r="S607" s="320">
        <v>16</v>
      </c>
      <c r="T607" s="320" t="s">
        <v>1127</v>
      </c>
      <c r="U607" s="320">
        <v>687527</v>
      </c>
      <c r="V607" s="319" t="s">
        <v>87</v>
      </c>
      <c r="W607" s="320">
        <v>1</v>
      </c>
      <c r="X607" s="320">
        <v>1</v>
      </c>
      <c r="Y607" s="320">
        <v>1</v>
      </c>
      <c r="Z607" s="320">
        <v>1</v>
      </c>
      <c r="AA607" s="320">
        <v>1</v>
      </c>
      <c r="AB607" s="320">
        <v>1</v>
      </c>
      <c r="AC607" s="320">
        <v>1</v>
      </c>
      <c r="AD607" s="320">
        <v>1</v>
      </c>
      <c r="AE607" s="320">
        <v>1</v>
      </c>
      <c r="AF607" s="320">
        <v>1</v>
      </c>
      <c r="AG607" s="320">
        <v>1</v>
      </c>
      <c r="AH607" s="320">
        <v>1</v>
      </c>
      <c r="AI607" s="320">
        <v>2</v>
      </c>
      <c r="AJ607" s="320">
        <v>4</v>
      </c>
      <c r="AK607" s="320">
        <v>3</v>
      </c>
      <c r="AL607" s="320"/>
      <c r="AM607" s="320"/>
      <c r="AN607" s="320"/>
      <c r="AO607" s="320"/>
      <c r="AP607" s="320"/>
      <c r="AQ607" s="320"/>
      <c r="AR607" s="320"/>
      <c r="AS607" s="320"/>
      <c r="AT607" s="320"/>
      <c r="AU607" s="320"/>
      <c r="AV607" s="320"/>
      <c r="AW607" s="320"/>
      <c r="AX607" s="320"/>
      <c r="AY607" s="952"/>
      <c r="AZ607" s="36"/>
      <c r="BA607" s="36"/>
      <c r="BB607" s="36"/>
      <c r="BC607" s="36"/>
      <c r="BD607" s="36"/>
      <c r="BF607">
        <f>ROWS($U$46:U607)</f>
        <v>562</v>
      </c>
      <c r="BG607" t="str">
        <f t="shared" si="212"/>
        <v/>
      </c>
    </row>
    <row r="608" spans="8:59" ht="15" customHeight="1" x14ac:dyDescent="0.35">
      <c r="H608" s="10"/>
      <c r="J608" s="10"/>
      <c r="K608" s="10"/>
      <c r="L608" s="10">
        <v>2017993</v>
      </c>
      <c r="M608" s="10"/>
      <c r="O608" s="330">
        <v>2</v>
      </c>
      <c r="P608" s="36">
        <v>638560</v>
      </c>
      <c r="Q608" s="36">
        <v>10</v>
      </c>
      <c r="R608" s="36"/>
      <c r="S608" s="36">
        <v>16</v>
      </c>
      <c r="T608" s="36" t="s">
        <v>1127</v>
      </c>
      <c r="U608" s="36">
        <v>687527</v>
      </c>
      <c r="V608" s="165" t="s">
        <v>88</v>
      </c>
      <c r="W608" s="36">
        <v>1</v>
      </c>
      <c r="X608" s="36">
        <v>1</v>
      </c>
      <c r="Y608" s="36">
        <v>1</v>
      </c>
      <c r="Z608" s="36">
        <v>1</v>
      </c>
      <c r="AA608" s="36">
        <v>1</v>
      </c>
      <c r="AB608" s="36">
        <v>1</v>
      </c>
      <c r="AC608" s="36">
        <v>1</v>
      </c>
      <c r="AD608" s="36">
        <v>1</v>
      </c>
      <c r="AE608" s="36">
        <v>2</v>
      </c>
      <c r="AF608" s="36">
        <v>4</v>
      </c>
      <c r="AG608" s="36">
        <v>3</v>
      </c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  <c r="AW608" s="36"/>
      <c r="AX608" s="36"/>
      <c r="AY608" s="953"/>
      <c r="AZ608" s="36"/>
      <c r="BA608" s="36"/>
      <c r="BB608" s="36"/>
      <c r="BC608" s="36"/>
      <c r="BD608" s="36"/>
      <c r="BF608">
        <f>ROWS($U$46:U608)</f>
        <v>563</v>
      </c>
      <c r="BG608" t="str">
        <f t="shared" si="212"/>
        <v/>
      </c>
    </row>
    <row r="609" spans="8:59" ht="15" customHeight="1" x14ac:dyDescent="0.35">
      <c r="H609" s="10"/>
      <c r="J609" s="10"/>
      <c r="K609" s="10"/>
      <c r="L609" s="10" t="s">
        <v>2424</v>
      </c>
      <c r="M609" s="10"/>
      <c r="O609" s="330">
        <v>3</v>
      </c>
      <c r="P609" s="36">
        <v>871781</v>
      </c>
      <c r="Q609" s="36">
        <v>8</v>
      </c>
      <c r="R609" s="36"/>
      <c r="S609" s="36">
        <v>16</v>
      </c>
      <c r="T609" s="36" t="s">
        <v>1127</v>
      </c>
      <c r="U609" s="36">
        <v>687527</v>
      </c>
      <c r="V609" s="165" t="s">
        <v>89</v>
      </c>
      <c r="W609" s="36">
        <v>1</v>
      </c>
      <c r="X609" s="36">
        <v>1</v>
      </c>
      <c r="Y609" s="36">
        <v>1</v>
      </c>
      <c r="Z609" s="36">
        <v>1</v>
      </c>
      <c r="AA609" s="36">
        <v>1</v>
      </c>
      <c r="AB609" s="36">
        <v>1</v>
      </c>
      <c r="AC609" s="36">
        <v>1</v>
      </c>
      <c r="AD609" s="36">
        <v>2</v>
      </c>
      <c r="AE609" s="36">
        <v>2</v>
      </c>
      <c r="AF609" s="36">
        <v>4</v>
      </c>
      <c r="AG609" s="36">
        <v>3</v>
      </c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  <c r="AW609" s="36"/>
      <c r="AX609" s="36"/>
      <c r="AY609" s="953"/>
      <c r="AZ609" s="36"/>
      <c r="BA609" s="36"/>
      <c r="BB609" s="36"/>
      <c r="BC609" s="36"/>
      <c r="BD609" s="36"/>
      <c r="BF609">
        <f>ROWS($U$46:U609)</f>
        <v>564</v>
      </c>
      <c r="BG609" t="str">
        <f t="shared" si="212"/>
        <v/>
      </c>
    </row>
    <row r="610" spans="8:59" ht="15" customHeight="1" x14ac:dyDescent="0.35">
      <c r="H610" s="10"/>
      <c r="J610" s="10"/>
      <c r="K610" s="10"/>
      <c r="L610" s="1064">
        <v>2019414</v>
      </c>
      <c r="M610" s="10"/>
      <c r="O610" s="330">
        <v>4</v>
      </c>
      <c r="P610" s="36">
        <v>418525</v>
      </c>
      <c r="Q610" s="36">
        <v>8</v>
      </c>
      <c r="R610" s="36"/>
      <c r="S610" s="36">
        <v>16</v>
      </c>
      <c r="T610" s="36" t="s">
        <v>1127</v>
      </c>
      <c r="U610" s="36">
        <v>687527</v>
      </c>
      <c r="V610" s="165" t="s">
        <v>90</v>
      </c>
      <c r="W610" s="36">
        <v>1</v>
      </c>
      <c r="X610" s="36">
        <v>1</v>
      </c>
      <c r="Y610" s="36">
        <v>1</v>
      </c>
      <c r="Z610" s="36">
        <v>1</v>
      </c>
      <c r="AA610" s="36">
        <v>1</v>
      </c>
      <c r="AB610" s="36">
        <v>1</v>
      </c>
      <c r="AC610" s="36">
        <v>1</v>
      </c>
      <c r="AD610" s="36">
        <v>1</v>
      </c>
      <c r="AE610" s="36">
        <v>1</v>
      </c>
      <c r="AF610" s="36">
        <v>1</v>
      </c>
      <c r="AG610" s="36">
        <v>1</v>
      </c>
      <c r="AH610" s="36">
        <v>2</v>
      </c>
      <c r="AI610" s="36">
        <v>2</v>
      </c>
      <c r="AJ610" s="36">
        <v>4</v>
      </c>
      <c r="AK610" s="36">
        <v>3</v>
      </c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  <c r="AW610" s="36"/>
      <c r="AX610" s="36"/>
      <c r="AY610" s="953"/>
      <c r="AZ610" s="36"/>
      <c r="BA610" s="36"/>
      <c r="BB610" s="36"/>
      <c r="BC610" s="36"/>
      <c r="BD610" s="36"/>
      <c r="BF610">
        <f>ROWS($U$46:U610)</f>
        <v>565</v>
      </c>
      <c r="BG610" t="str">
        <f t="shared" si="212"/>
        <v/>
      </c>
    </row>
    <row r="611" spans="8:59" ht="15" customHeight="1" x14ac:dyDescent="0.35">
      <c r="H611" s="10"/>
      <c r="J611" s="10"/>
      <c r="K611" s="240"/>
      <c r="L611" s="1064" t="s">
        <v>2431</v>
      </c>
      <c r="M611" s="240"/>
      <c r="O611" s="330"/>
      <c r="P611" s="36"/>
      <c r="Q611" s="36"/>
      <c r="R611" s="36"/>
      <c r="S611" s="36">
        <v>16</v>
      </c>
      <c r="T611" s="36" t="s">
        <v>1127</v>
      </c>
      <c r="U611" s="36">
        <v>687527</v>
      </c>
      <c r="V611" s="165" t="s">
        <v>91</v>
      </c>
      <c r="W611" s="36">
        <v>1</v>
      </c>
      <c r="X611" s="36">
        <v>1</v>
      </c>
      <c r="Y611" s="36">
        <v>1</v>
      </c>
      <c r="Z611" s="36">
        <v>1</v>
      </c>
      <c r="AA611" s="36">
        <v>1</v>
      </c>
      <c r="AB611" s="36">
        <v>1</v>
      </c>
      <c r="AC611" s="36">
        <v>1</v>
      </c>
      <c r="AD611" s="36">
        <v>2</v>
      </c>
      <c r="AE611" s="36">
        <v>4</v>
      </c>
      <c r="AF611" s="36">
        <v>3</v>
      </c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  <c r="AW611" s="36"/>
      <c r="AX611" s="36"/>
      <c r="AY611" s="953"/>
      <c r="AZ611" s="36"/>
      <c r="BA611" s="36"/>
      <c r="BB611" s="36"/>
      <c r="BC611" s="36"/>
      <c r="BD611" s="36"/>
      <c r="BF611">
        <f>ROWS($U$46:U611)</f>
        <v>566</v>
      </c>
      <c r="BG611" t="str">
        <f t="shared" si="212"/>
        <v/>
      </c>
    </row>
    <row r="612" spans="8:59" ht="15" customHeight="1" x14ac:dyDescent="0.35">
      <c r="H612" s="10"/>
      <c r="J612" s="10"/>
      <c r="K612" s="240"/>
      <c r="L612" s="10">
        <v>2009244</v>
      </c>
      <c r="M612" s="240"/>
      <c r="O612" s="330"/>
      <c r="P612" s="36"/>
      <c r="Q612" s="36"/>
      <c r="R612" s="36"/>
      <c r="S612" s="36">
        <v>16</v>
      </c>
      <c r="T612" s="36" t="s">
        <v>1127</v>
      </c>
      <c r="U612" s="36">
        <v>687527</v>
      </c>
      <c r="V612" s="165" t="s">
        <v>92</v>
      </c>
      <c r="W612" s="36">
        <v>1</v>
      </c>
      <c r="X612" s="36">
        <v>1</v>
      </c>
      <c r="Y612" s="36">
        <v>1</v>
      </c>
      <c r="Z612" s="36">
        <v>1</v>
      </c>
      <c r="AA612" s="36">
        <v>1</v>
      </c>
      <c r="AB612" s="36">
        <v>1</v>
      </c>
      <c r="AC612" s="36">
        <v>1</v>
      </c>
      <c r="AD612" s="36">
        <v>1</v>
      </c>
      <c r="AE612" s="36">
        <v>1</v>
      </c>
      <c r="AF612" s="36">
        <v>1</v>
      </c>
      <c r="AG612" s="36">
        <v>1</v>
      </c>
      <c r="AH612" s="36">
        <v>2</v>
      </c>
      <c r="AI612" s="36">
        <v>4</v>
      </c>
      <c r="AJ612" s="36">
        <v>3</v>
      </c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953"/>
      <c r="AZ612" s="36"/>
      <c r="BA612" s="36"/>
      <c r="BB612" s="36"/>
      <c r="BC612" s="36"/>
      <c r="BD612" s="36"/>
      <c r="BF612">
        <f>ROWS($U$46:U612)</f>
        <v>567</v>
      </c>
      <c r="BG612" t="str">
        <f t="shared" si="212"/>
        <v/>
      </c>
    </row>
    <row r="613" spans="8:59" ht="15" customHeight="1" x14ac:dyDescent="0.35">
      <c r="H613" s="10"/>
      <c r="J613" s="10"/>
      <c r="K613" s="240"/>
      <c r="L613" s="10" t="s">
        <v>2482</v>
      </c>
      <c r="M613" s="240"/>
      <c r="O613" s="330"/>
      <c r="P613" s="36"/>
      <c r="Q613" s="36"/>
      <c r="R613" s="36"/>
      <c r="S613" s="36">
        <v>16</v>
      </c>
      <c r="T613" s="36" t="s">
        <v>1127</v>
      </c>
      <c r="U613" s="36">
        <v>687527</v>
      </c>
      <c r="V613" s="165" t="s">
        <v>111</v>
      </c>
      <c r="W613" s="36">
        <v>1</v>
      </c>
      <c r="X613" s="36">
        <v>1</v>
      </c>
      <c r="Y613" s="36">
        <v>1</v>
      </c>
      <c r="Z613" s="36">
        <v>1</v>
      </c>
      <c r="AA613" s="36">
        <v>1</v>
      </c>
      <c r="AB613" s="36">
        <v>1</v>
      </c>
      <c r="AC613" s="36">
        <v>1</v>
      </c>
      <c r="AD613" s="36">
        <v>1</v>
      </c>
      <c r="AE613" s="36">
        <v>1</v>
      </c>
      <c r="AF613" s="36">
        <v>2</v>
      </c>
      <c r="AG613" s="36">
        <v>4</v>
      </c>
      <c r="AH613" s="36">
        <v>3</v>
      </c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953"/>
      <c r="AZ613" s="36"/>
      <c r="BA613" s="36"/>
      <c r="BB613" s="36"/>
      <c r="BC613" s="36"/>
      <c r="BD613" s="36"/>
      <c r="BF613">
        <f>ROWS($U$46:U613)</f>
        <v>568</v>
      </c>
      <c r="BG613" t="str">
        <f t="shared" si="212"/>
        <v/>
      </c>
    </row>
    <row r="614" spans="8:59" ht="15" customHeight="1" thickBot="1" x14ac:dyDescent="0.4">
      <c r="H614" s="10"/>
      <c r="J614" s="10"/>
      <c r="K614" s="240"/>
      <c r="L614" s="10">
        <v>2016137</v>
      </c>
      <c r="M614" s="240"/>
      <c r="O614" s="485"/>
      <c r="P614" s="486"/>
      <c r="Q614" s="486"/>
      <c r="R614" s="486"/>
      <c r="S614" s="486">
        <v>16</v>
      </c>
      <c r="T614" s="486" t="s">
        <v>1127</v>
      </c>
      <c r="U614" s="486">
        <v>687527</v>
      </c>
      <c r="V614" s="487" t="s">
        <v>112</v>
      </c>
      <c r="W614" s="486">
        <v>1</v>
      </c>
      <c r="X614" s="486">
        <v>1</v>
      </c>
      <c r="Y614" s="486">
        <v>1</v>
      </c>
      <c r="Z614" s="486">
        <v>1</v>
      </c>
      <c r="AA614" s="486">
        <v>1</v>
      </c>
      <c r="AB614" s="486">
        <v>1</v>
      </c>
      <c r="AC614" s="486">
        <v>1</v>
      </c>
      <c r="AD614" s="486">
        <v>2</v>
      </c>
      <c r="AE614" s="486">
        <v>4</v>
      </c>
      <c r="AF614" s="486">
        <v>3</v>
      </c>
      <c r="AG614" s="486"/>
      <c r="AH614" s="486"/>
      <c r="AI614" s="486"/>
      <c r="AJ614" s="486"/>
      <c r="AK614" s="486"/>
      <c r="AL614" s="486"/>
      <c r="AM614" s="486"/>
      <c r="AN614" s="486"/>
      <c r="AO614" s="486"/>
      <c r="AP614" s="486"/>
      <c r="AQ614" s="486"/>
      <c r="AR614" s="486"/>
      <c r="AS614" s="486"/>
      <c r="AT614" s="486"/>
      <c r="AU614" s="486"/>
      <c r="AV614" s="486"/>
      <c r="AW614" s="486"/>
      <c r="AX614" s="486"/>
      <c r="AY614" s="151"/>
      <c r="AZ614" s="36"/>
      <c r="BA614" s="36"/>
      <c r="BB614" s="36"/>
      <c r="BC614" s="36"/>
      <c r="BD614" s="36"/>
      <c r="BF614">
        <f>ROWS($U$46:U614)</f>
        <v>569</v>
      </c>
      <c r="BG614" t="str">
        <f t="shared" si="212"/>
        <v/>
      </c>
    </row>
    <row r="615" spans="8:59" ht="15" customHeight="1" x14ac:dyDescent="0.35">
      <c r="H615" s="10"/>
      <c r="J615" s="10"/>
      <c r="K615" s="240"/>
      <c r="L615" s="10" t="s">
        <v>2483</v>
      </c>
      <c r="M615" s="240"/>
      <c r="O615" s="329">
        <v>1</v>
      </c>
      <c r="P615" s="320">
        <v>638561</v>
      </c>
      <c r="Q615" s="320">
        <v>74</v>
      </c>
      <c r="R615" s="320"/>
      <c r="S615" s="320">
        <v>16</v>
      </c>
      <c r="T615" s="320" t="s">
        <v>1127</v>
      </c>
      <c r="U615" s="320">
        <v>702957</v>
      </c>
      <c r="V615" s="319" t="s">
        <v>87</v>
      </c>
      <c r="W615" s="320">
        <v>1</v>
      </c>
      <c r="X615" s="320">
        <v>1</v>
      </c>
      <c r="Y615" s="320">
        <v>1</v>
      </c>
      <c r="Z615" s="320">
        <v>1</v>
      </c>
      <c r="AA615" s="320">
        <v>1</v>
      </c>
      <c r="AB615" s="320">
        <v>1</v>
      </c>
      <c r="AC615" s="320">
        <v>1</v>
      </c>
      <c r="AD615" s="320">
        <v>1</v>
      </c>
      <c r="AE615" s="320">
        <v>1</v>
      </c>
      <c r="AF615" s="320">
        <v>1</v>
      </c>
      <c r="AG615" s="320">
        <v>1</v>
      </c>
      <c r="AH615" s="320">
        <v>1</v>
      </c>
      <c r="AI615" s="320">
        <v>2</v>
      </c>
      <c r="AJ615" s="320">
        <v>5</v>
      </c>
      <c r="AK615" s="320">
        <v>4</v>
      </c>
      <c r="AL615" s="320"/>
      <c r="AM615" s="320">
        <v>3</v>
      </c>
      <c r="AN615" s="320">
        <v>3</v>
      </c>
      <c r="AO615" s="320">
        <v>3</v>
      </c>
      <c r="AP615" s="320"/>
      <c r="AQ615" s="320"/>
      <c r="AR615" s="320"/>
      <c r="AS615" s="320"/>
      <c r="AT615" s="320"/>
      <c r="AU615" s="320"/>
      <c r="AV615" s="320"/>
      <c r="AW615" s="320"/>
      <c r="AX615" s="320"/>
      <c r="AY615" s="952"/>
      <c r="AZ615" s="36"/>
      <c r="BA615" s="36"/>
      <c r="BB615" s="36"/>
      <c r="BC615" s="36"/>
      <c r="BD615" s="36"/>
      <c r="BF615">
        <f>ROWS($U$46:U615)</f>
        <v>570</v>
      </c>
      <c r="BG615" t="str">
        <f t="shared" si="212"/>
        <v/>
      </c>
    </row>
    <row r="616" spans="8:59" ht="15" customHeight="1" x14ac:dyDescent="0.35">
      <c r="H616" s="10"/>
      <c r="J616" s="10"/>
      <c r="K616" s="240"/>
      <c r="L616" s="10">
        <v>2009246</v>
      </c>
      <c r="M616" s="240"/>
      <c r="O616" s="330">
        <v>2</v>
      </c>
      <c r="P616" s="36">
        <v>179692</v>
      </c>
      <c r="Q616" s="36">
        <v>10</v>
      </c>
      <c r="R616" s="36"/>
      <c r="S616" s="36">
        <v>16</v>
      </c>
      <c r="T616" s="36" t="s">
        <v>1127</v>
      </c>
      <c r="U616" s="36">
        <v>702957</v>
      </c>
      <c r="V616" s="165" t="s">
        <v>88</v>
      </c>
      <c r="W616" s="36">
        <v>1</v>
      </c>
      <c r="X616" s="36">
        <v>1</v>
      </c>
      <c r="Y616" s="36">
        <v>1</v>
      </c>
      <c r="Z616" s="36">
        <v>1</v>
      </c>
      <c r="AA616" s="36">
        <v>1</v>
      </c>
      <c r="AB616" s="36">
        <v>1</v>
      </c>
      <c r="AC616" s="36">
        <v>1</v>
      </c>
      <c r="AD616" s="36">
        <v>1</v>
      </c>
      <c r="AE616" s="36">
        <v>2</v>
      </c>
      <c r="AF616" s="36">
        <v>2</v>
      </c>
      <c r="AG616" s="36">
        <v>5</v>
      </c>
      <c r="AH616" s="36">
        <v>5</v>
      </c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  <c r="AW616" s="36"/>
      <c r="AX616" s="36"/>
      <c r="AY616" s="953"/>
      <c r="AZ616" s="36"/>
      <c r="BA616" s="36"/>
      <c r="BB616" s="36"/>
      <c r="BC616" s="36"/>
      <c r="BD616" s="36"/>
      <c r="BF616">
        <f>ROWS($U$46:U616)</f>
        <v>571</v>
      </c>
      <c r="BG616" t="str">
        <f t="shared" si="212"/>
        <v/>
      </c>
    </row>
    <row r="617" spans="8:59" ht="15" customHeight="1" x14ac:dyDescent="0.35">
      <c r="L617" s="10" t="s">
        <v>2485</v>
      </c>
      <c r="O617" s="330">
        <v>3</v>
      </c>
      <c r="P617" s="36">
        <v>638559</v>
      </c>
      <c r="Q617" s="36">
        <v>9</v>
      </c>
      <c r="R617" s="36"/>
      <c r="S617" s="36">
        <v>16</v>
      </c>
      <c r="T617" s="36" t="s">
        <v>1127</v>
      </c>
      <c r="U617" s="36">
        <v>702957</v>
      </c>
      <c r="V617" s="165" t="s">
        <v>89</v>
      </c>
      <c r="W617" s="36">
        <v>1</v>
      </c>
      <c r="X617" s="36">
        <v>1</v>
      </c>
      <c r="Y617" s="36">
        <v>1</v>
      </c>
      <c r="Z617" s="36">
        <v>1</v>
      </c>
      <c r="AA617" s="36">
        <v>1</v>
      </c>
      <c r="AB617" s="36">
        <v>1</v>
      </c>
      <c r="AC617" s="36">
        <v>1</v>
      </c>
      <c r="AD617" s="36">
        <v>2</v>
      </c>
      <c r="AE617" s="36">
        <v>2</v>
      </c>
      <c r="AF617" s="36">
        <v>5</v>
      </c>
      <c r="AG617" s="36">
        <v>4</v>
      </c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  <c r="AW617" s="36"/>
      <c r="AX617" s="36"/>
      <c r="AY617" s="953"/>
      <c r="AZ617" s="36"/>
      <c r="BA617" s="36"/>
      <c r="BB617" s="36"/>
      <c r="BC617" s="36"/>
      <c r="BD617" s="36"/>
      <c r="BF617">
        <f>ROWS($U$46:U617)</f>
        <v>572</v>
      </c>
      <c r="BG617" t="str">
        <f t="shared" si="212"/>
        <v/>
      </c>
    </row>
    <row r="618" spans="8:59" ht="15" customHeight="1" x14ac:dyDescent="0.35">
      <c r="L618" s="10">
        <v>2021865</v>
      </c>
      <c r="O618" s="330">
        <v>4</v>
      </c>
      <c r="P618" s="36">
        <v>871781</v>
      </c>
      <c r="Q618" s="36">
        <v>4</v>
      </c>
      <c r="R618" s="36"/>
      <c r="S618" s="36">
        <v>16</v>
      </c>
      <c r="T618" s="36" t="s">
        <v>1127</v>
      </c>
      <c r="U618" s="36">
        <v>702957</v>
      </c>
      <c r="V618" s="165" t="s">
        <v>90</v>
      </c>
      <c r="W618" s="36">
        <v>1</v>
      </c>
      <c r="X618" s="36">
        <v>1</v>
      </c>
      <c r="Y618" s="36">
        <v>1</v>
      </c>
      <c r="Z618" s="36">
        <v>1</v>
      </c>
      <c r="AA618" s="36">
        <v>1</v>
      </c>
      <c r="AB618" s="36">
        <v>1</v>
      </c>
      <c r="AC618" s="36">
        <v>1</v>
      </c>
      <c r="AD618" s="36">
        <v>1</v>
      </c>
      <c r="AE618" s="36">
        <v>1</v>
      </c>
      <c r="AF618" s="36">
        <v>1</v>
      </c>
      <c r="AG618" s="36">
        <v>1</v>
      </c>
      <c r="AH618" s="36">
        <v>1</v>
      </c>
      <c r="AI618" s="36">
        <v>2</v>
      </c>
      <c r="AJ618" s="36">
        <v>5</v>
      </c>
      <c r="AK618" s="36">
        <v>5</v>
      </c>
      <c r="AL618" s="36"/>
      <c r="AM618" s="36">
        <v>3</v>
      </c>
      <c r="AN618" s="36">
        <v>3</v>
      </c>
      <c r="AO618" s="36">
        <v>3</v>
      </c>
      <c r="AP618" s="36"/>
      <c r="AQ618" s="36"/>
      <c r="AR618" s="36"/>
      <c r="AS618" s="36"/>
      <c r="AT618" s="36"/>
      <c r="AU618" s="36"/>
      <c r="AV618" s="36"/>
      <c r="AW618" s="36"/>
      <c r="AX618" s="36"/>
      <c r="AY618" s="953"/>
      <c r="AZ618" s="36"/>
      <c r="BA618" s="36"/>
      <c r="BB618" s="36"/>
      <c r="BC618" s="36"/>
      <c r="BD618" s="36"/>
      <c r="BF618">
        <f>ROWS($U$46:U618)</f>
        <v>573</v>
      </c>
      <c r="BG618" t="str">
        <f t="shared" si="212"/>
        <v/>
      </c>
    </row>
    <row r="619" spans="8:59" ht="15" customHeight="1" x14ac:dyDescent="0.35">
      <c r="L619" s="10" t="s">
        <v>2517</v>
      </c>
      <c r="O619" s="330">
        <v>5</v>
      </c>
      <c r="P619" s="36">
        <v>418525</v>
      </c>
      <c r="Q619" s="36">
        <v>12</v>
      </c>
      <c r="R619" s="36"/>
      <c r="S619" s="36">
        <v>16</v>
      </c>
      <c r="T619" s="36" t="s">
        <v>1127</v>
      </c>
      <c r="U619" s="36">
        <v>702957</v>
      </c>
      <c r="V619" s="165" t="s">
        <v>91</v>
      </c>
      <c r="W619" s="36">
        <v>1</v>
      </c>
      <c r="X619" s="36">
        <v>1</v>
      </c>
      <c r="Y619" s="36">
        <v>1</v>
      </c>
      <c r="Z619" s="36">
        <v>1</v>
      </c>
      <c r="AA619" s="36">
        <v>1</v>
      </c>
      <c r="AB619" s="36">
        <v>1</v>
      </c>
      <c r="AC619" s="36">
        <v>1</v>
      </c>
      <c r="AD619" s="36">
        <v>2</v>
      </c>
      <c r="AE619" s="36">
        <v>5</v>
      </c>
      <c r="AF619" s="36">
        <v>4</v>
      </c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  <c r="AW619" s="36"/>
      <c r="AX619" s="36"/>
      <c r="AY619" s="953"/>
      <c r="AZ619" s="36"/>
      <c r="BA619" s="36"/>
      <c r="BB619" s="36"/>
      <c r="BC619" s="36"/>
      <c r="BD619" s="36"/>
      <c r="BF619">
        <f>ROWS($U$46:U619)</f>
        <v>574</v>
      </c>
      <c r="BG619" t="str">
        <f t="shared" si="212"/>
        <v/>
      </c>
    </row>
    <row r="620" spans="8:59" ht="15" customHeight="1" x14ac:dyDescent="0.35">
      <c r="L620" s="10">
        <v>1290130</v>
      </c>
      <c r="O620" s="330"/>
      <c r="P620" s="36"/>
      <c r="Q620" s="36"/>
      <c r="R620" s="36"/>
      <c r="S620" s="36">
        <v>16</v>
      </c>
      <c r="T620" s="36" t="s">
        <v>1127</v>
      </c>
      <c r="U620" s="36">
        <v>702957</v>
      </c>
      <c r="V620" s="165" t="s">
        <v>92</v>
      </c>
      <c r="W620" s="36">
        <v>1</v>
      </c>
      <c r="X620" s="36">
        <v>1</v>
      </c>
      <c r="Y620" s="36">
        <v>1</v>
      </c>
      <c r="Z620" s="36">
        <v>1</v>
      </c>
      <c r="AA620" s="36">
        <v>1</v>
      </c>
      <c r="AB620" s="36">
        <v>1</v>
      </c>
      <c r="AC620" s="36">
        <v>1</v>
      </c>
      <c r="AD620" s="36">
        <v>1</v>
      </c>
      <c r="AE620" s="36">
        <v>1</v>
      </c>
      <c r="AF620" s="36">
        <v>1</v>
      </c>
      <c r="AG620" s="36">
        <v>1</v>
      </c>
      <c r="AH620" s="36">
        <v>1</v>
      </c>
      <c r="AI620" s="36">
        <v>2</v>
      </c>
      <c r="AJ620" s="36">
        <v>5</v>
      </c>
      <c r="AK620" s="36">
        <v>5</v>
      </c>
      <c r="AL620" s="36"/>
      <c r="AM620" s="36">
        <v>3</v>
      </c>
      <c r="AN620" s="36">
        <v>3</v>
      </c>
      <c r="AO620" s="36">
        <v>3</v>
      </c>
      <c r="AP620" s="36"/>
      <c r="AQ620" s="36"/>
      <c r="AR620" s="36"/>
      <c r="AS620" s="36"/>
      <c r="AT620" s="36"/>
      <c r="AU620" s="36"/>
      <c r="AV620" s="36"/>
      <c r="AW620" s="36"/>
      <c r="AX620" s="36"/>
      <c r="AY620" s="953"/>
      <c r="AZ620" s="36"/>
      <c r="BA620" s="36"/>
      <c r="BB620" s="36"/>
      <c r="BC620" s="36"/>
      <c r="BD620" s="36"/>
      <c r="BF620">
        <f>ROWS($U$46:U620)</f>
        <v>575</v>
      </c>
      <c r="BG620" t="str">
        <f t="shared" si="212"/>
        <v/>
      </c>
    </row>
    <row r="621" spans="8:59" ht="15" customHeight="1" x14ac:dyDescent="0.35">
      <c r="L621" s="10" t="s">
        <v>2519</v>
      </c>
      <c r="O621" s="330"/>
      <c r="P621" s="36"/>
      <c r="Q621" s="36"/>
      <c r="R621" s="36"/>
      <c r="S621" s="36">
        <v>16</v>
      </c>
      <c r="T621" s="36" t="s">
        <v>1127</v>
      </c>
      <c r="U621" s="36">
        <v>702957</v>
      </c>
      <c r="V621" s="165" t="s">
        <v>111</v>
      </c>
      <c r="W621" s="36">
        <v>1</v>
      </c>
      <c r="X621" s="36">
        <v>1</v>
      </c>
      <c r="Y621" s="36">
        <v>1</v>
      </c>
      <c r="Z621" s="36">
        <v>1</v>
      </c>
      <c r="AA621" s="36">
        <v>1</v>
      </c>
      <c r="AB621" s="36">
        <v>1</v>
      </c>
      <c r="AC621" s="36">
        <v>1</v>
      </c>
      <c r="AD621" s="36">
        <v>1</v>
      </c>
      <c r="AE621" s="36">
        <v>1</v>
      </c>
      <c r="AF621" s="36">
        <v>2</v>
      </c>
      <c r="AG621" s="36">
        <v>5</v>
      </c>
      <c r="AH621" s="36">
        <v>4</v>
      </c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  <c r="AW621" s="36"/>
      <c r="AX621" s="36"/>
      <c r="AY621" s="953"/>
      <c r="AZ621" s="36"/>
      <c r="BA621" s="36"/>
      <c r="BB621" s="36"/>
      <c r="BC621" s="36"/>
      <c r="BD621" s="36"/>
      <c r="BF621">
        <f>ROWS($U$46:U621)</f>
        <v>576</v>
      </c>
      <c r="BG621" t="str">
        <f t="shared" si="212"/>
        <v/>
      </c>
    </row>
    <row r="622" spans="8:59" ht="15" customHeight="1" thickBot="1" x14ac:dyDescent="0.4">
      <c r="L622" s="10">
        <v>2008912</v>
      </c>
      <c r="O622" s="485"/>
      <c r="P622" s="486"/>
      <c r="Q622" s="486"/>
      <c r="R622" s="486"/>
      <c r="S622" s="486">
        <v>16</v>
      </c>
      <c r="T622" s="486" t="s">
        <v>1127</v>
      </c>
      <c r="U622" s="486">
        <v>702957</v>
      </c>
      <c r="V622" s="487" t="s">
        <v>112</v>
      </c>
      <c r="W622" s="486">
        <v>1</v>
      </c>
      <c r="X622" s="486">
        <v>1</v>
      </c>
      <c r="Y622" s="486">
        <v>1</v>
      </c>
      <c r="Z622" s="486">
        <v>1</v>
      </c>
      <c r="AA622" s="486">
        <v>1</v>
      </c>
      <c r="AB622" s="486">
        <v>1</v>
      </c>
      <c r="AC622" s="486">
        <v>1</v>
      </c>
      <c r="AD622" s="486">
        <v>2</v>
      </c>
      <c r="AE622" s="486">
        <v>5</v>
      </c>
      <c r="AF622" s="486">
        <v>5</v>
      </c>
      <c r="AG622" s="486"/>
      <c r="AH622" s="486"/>
      <c r="AI622" s="486"/>
      <c r="AJ622" s="486"/>
      <c r="AK622" s="486"/>
      <c r="AL622" s="486"/>
      <c r="AM622" s="486"/>
      <c r="AN622" s="486"/>
      <c r="AO622" s="486"/>
      <c r="AP622" s="486"/>
      <c r="AQ622" s="486"/>
      <c r="AR622" s="486"/>
      <c r="AS622" s="486"/>
      <c r="AT622" s="486"/>
      <c r="AU622" s="486"/>
      <c r="AV622" s="486"/>
      <c r="AW622" s="486"/>
      <c r="AX622" s="486"/>
      <c r="AY622" s="151"/>
      <c r="AZ622" s="36"/>
      <c r="BA622" s="36"/>
      <c r="BB622" s="36"/>
      <c r="BC622" s="36"/>
      <c r="BD622" s="36"/>
      <c r="BF622">
        <f>ROWS($U$46:U622)</f>
        <v>577</v>
      </c>
      <c r="BG622" t="str">
        <f t="shared" si="212"/>
        <v/>
      </c>
    </row>
    <row r="623" spans="8:59" ht="15" customHeight="1" x14ac:dyDescent="0.35">
      <c r="L623" s="10" t="s">
        <v>2521</v>
      </c>
      <c r="O623" s="329">
        <v>1</v>
      </c>
      <c r="P623" s="320">
        <v>724181</v>
      </c>
      <c r="Q623" s="320">
        <v>51</v>
      </c>
      <c r="R623" s="320"/>
      <c r="S623" s="320">
        <v>12.25</v>
      </c>
      <c r="T623" s="320" t="s">
        <v>1244</v>
      </c>
      <c r="U623" s="320">
        <v>767900</v>
      </c>
      <c r="V623" s="319" t="s">
        <v>87</v>
      </c>
      <c r="W623" s="320">
        <v>1</v>
      </c>
      <c r="X623" s="320">
        <v>1</v>
      </c>
      <c r="Y623" s="320">
        <v>1</v>
      </c>
      <c r="Z623" s="320">
        <v>1</v>
      </c>
      <c r="AA623" s="320">
        <v>1</v>
      </c>
      <c r="AB623" s="320">
        <v>1</v>
      </c>
      <c r="AC623" s="320">
        <v>1</v>
      </c>
      <c r="AD623" s="320">
        <v>1</v>
      </c>
      <c r="AE623" s="320">
        <v>1</v>
      </c>
      <c r="AF623" s="320">
        <v>3</v>
      </c>
      <c r="AG623" s="320">
        <v>3</v>
      </c>
      <c r="AH623" s="320">
        <v>2</v>
      </c>
      <c r="AI623" s="320">
        <v>3</v>
      </c>
      <c r="AJ623" s="320"/>
      <c r="AK623" s="320"/>
      <c r="AL623" s="320"/>
      <c r="AM623" s="320"/>
      <c r="AN623" s="320"/>
      <c r="AO623" s="320"/>
      <c r="AP623" s="320"/>
      <c r="AQ623" s="320"/>
      <c r="AR623" s="320"/>
      <c r="AS623" s="320"/>
      <c r="AT623" s="320"/>
      <c r="AU623" s="320"/>
      <c r="AV623" s="320"/>
      <c r="AW623" s="320"/>
      <c r="AX623" s="320"/>
      <c r="AY623" s="952"/>
      <c r="AZ623" s="36"/>
      <c r="BA623" s="36"/>
      <c r="BB623" s="36"/>
      <c r="BC623" s="36"/>
      <c r="BD623" s="36"/>
      <c r="BF623">
        <f>ROWS($U$46:U623)</f>
        <v>578</v>
      </c>
      <c r="BG623" t="str">
        <f t="shared" ref="BG623:BG686" si="213">IF(VALUE(SUBSTITUTE($B$5,"M",""))=U623,BF623,"")</f>
        <v/>
      </c>
    </row>
    <row r="624" spans="8:59" ht="15" customHeight="1" x14ac:dyDescent="0.35">
      <c r="L624" s="10" t="s">
        <v>2525</v>
      </c>
      <c r="O624" s="330">
        <v>2</v>
      </c>
      <c r="P624" s="36">
        <v>418525</v>
      </c>
      <c r="Q624" s="36">
        <v>10</v>
      </c>
      <c r="R624" s="36"/>
      <c r="S624" s="36">
        <v>12.25</v>
      </c>
      <c r="T624" s="36" t="s">
        <v>1244</v>
      </c>
      <c r="U624" s="36">
        <v>767900</v>
      </c>
      <c r="V624" s="165" t="s">
        <v>88</v>
      </c>
      <c r="W624" s="36">
        <v>1</v>
      </c>
      <c r="X624" s="36">
        <v>1</v>
      </c>
      <c r="Y624" s="36">
        <v>1</v>
      </c>
      <c r="Z624" s="36">
        <v>1</v>
      </c>
      <c r="AA624" s="36">
        <v>1</v>
      </c>
      <c r="AB624" s="36">
        <v>1</v>
      </c>
      <c r="AC624" s="36">
        <v>3</v>
      </c>
      <c r="AD624" s="36">
        <v>3</v>
      </c>
      <c r="AE624" s="36">
        <v>2</v>
      </c>
      <c r="AF624" s="36">
        <v>3</v>
      </c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953"/>
      <c r="AZ624" s="36"/>
      <c r="BA624" s="36"/>
      <c r="BB624" s="36"/>
      <c r="BC624" s="36"/>
      <c r="BD624" s="36"/>
      <c r="BF624">
        <f>ROWS($U$46:U624)</f>
        <v>579</v>
      </c>
      <c r="BG624" t="str">
        <f t="shared" si="213"/>
        <v/>
      </c>
    </row>
    <row r="625" spans="9:59" ht="15" customHeight="1" x14ac:dyDescent="0.35">
      <c r="L625" s="10">
        <v>1283482</v>
      </c>
      <c r="O625" s="330">
        <v>3</v>
      </c>
      <c r="P625" s="36">
        <v>871781</v>
      </c>
      <c r="Q625" s="36">
        <v>18</v>
      </c>
      <c r="R625" s="36"/>
      <c r="S625" s="36">
        <v>12.25</v>
      </c>
      <c r="T625" s="36" t="s">
        <v>1244</v>
      </c>
      <c r="U625" s="36">
        <v>767900</v>
      </c>
      <c r="V625" s="165" t="s">
        <v>89</v>
      </c>
      <c r="W625" s="36">
        <v>1</v>
      </c>
      <c r="X625" s="36">
        <v>1</v>
      </c>
      <c r="Y625" s="36">
        <v>1</v>
      </c>
      <c r="Z625" s="36">
        <v>1</v>
      </c>
      <c r="AA625" s="36">
        <v>1</v>
      </c>
      <c r="AB625" s="36">
        <v>1</v>
      </c>
      <c r="AC625" s="36">
        <v>1</v>
      </c>
      <c r="AD625" s="36">
        <v>1</v>
      </c>
      <c r="AE625" s="36">
        <v>1</v>
      </c>
      <c r="AF625" s="36">
        <v>3</v>
      </c>
      <c r="AG625" s="36">
        <v>3</v>
      </c>
      <c r="AH625" s="36">
        <v>2</v>
      </c>
      <c r="AI625" s="36">
        <v>2</v>
      </c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953"/>
      <c r="AZ625" s="36"/>
      <c r="BA625" s="36"/>
      <c r="BB625" s="36"/>
      <c r="BC625" s="36"/>
      <c r="BD625" s="36"/>
      <c r="BF625">
        <f>ROWS($U$46:U625)</f>
        <v>580</v>
      </c>
      <c r="BG625" t="str">
        <f t="shared" si="213"/>
        <v/>
      </c>
    </row>
    <row r="626" spans="9:59" ht="15" customHeight="1" x14ac:dyDescent="0.35">
      <c r="O626" s="330"/>
      <c r="P626" s="36"/>
      <c r="Q626" s="36"/>
      <c r="R626" s="36"/>
      <c r="S626" s="36">
        <v>12.25</v>
      </c>
      <c r="T626" s="36" t="s">
        <v>1244</v>
      </c>
      <c r="U626" s="36">
        <v>767900</v>
      </c>
      <c r="V626" s="165" t="s">
        <v>90</v>
      </c>
      <c r="W626" s="36">
        <v>1</v>
      </c>
      <c r="X626" s="36">
        <v>1</v>
      </c>
      <c r="Y626" s="36">
        <v>1</v>
      </c>
      <c r="Z626" s="36">
        <v>1</v>
      </c>
      <c r="AA626" s="36">
        <v>1</v>
      </c>
      <c r="AB626" s="36">
        <v>1</v>
      </c>
      <c r="AC626" s="36">
        <v>3</v>
      </c>
      <c r="AD626" s="36">
        <v>3</v>
      </c>
      <c r="AE626" s="36">
        <v>2</v>
      </c>
      <c r="AF626" s="36">
        <v>3</v>
      </c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  <c r="AW626" s="36"/>
      <c r="AX626" s="36"/>
      <c r="AY626" s="953"/>
      <c r="AZ626" s="36"/>
      <c r="BA626" s="36"/>
      <c r="BB626" s="36"/>
      <c r="BC626" s="36"/>
      <c r="BD626" s="36"/>
      <c r="BF626">
        <f>ROWS($U$46:U626)</f>
        <v>581</v>
      </c>
      <c r="BG626" t="str">
        <f t="shared" si="213"/>
        <v/>
      </c>
    </row>
    <row r="627" spans="9:59" ht="15" customHeight="1" x14ac:dyDescent="0.35">
      <c r="O627" s="330"/>
      <c r="P627" s="36"/>
      <c r="Q627" s="36"/>
      <c r="R627" s="36"/>
      <c r="S627" s="36">
        <v>12.25</v>
      </c>
      <c r="T627" s="36" t="s">
        <v>1244</v>
      </c>
      <c r="U627" s="36">
        <v>767900</v>
      </c>
      <c r="V627" s="165" t="s">
        <v>91</v>
      </c>
      <c r="W627" s="36">
        <v>1</v>
      </c>
      <c r="X627" s="36">
        <v>1</v>
      </c>
      <c r="Y627" s="36">
        <v>1</v>
      </c>
      <c r="Z627" s="36">
        <v>1</v>
      </c>
      <c r="AA627" s="36">
        <v>1</v>
      </c>
      <c r="AB627" s="36">
        <v>1</v>
      </c>
      <c r="AC627" s="36">
        <v>1</v>
      </c>
      <c r="AD627" s="36">
        <v>1</v>
      </c>
      <c r="AE627" s="36">
        <v>1</v>
      </c>
      <c r="AF627" s="36">
        <v>3</v>
      </c>
      <c r="AG627" s="36">
        <v>3</v>
      </c>
      <c r="AH627" s="36">
        <v>2</v>
      </c>
      <c r="AI627" s="36">
        <v>2</v>
      </c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  <c r="AW627" s="36"/>
      <c r="AX627" s="36"/>
      <c r="AY627" s="953"/>
      <c r="AZ627" s="36"/>
      <c r="BA627" s="36"/>
      <c r="BB627" s="36"/>
      <c r="BC627" s="36"/>
      <c r="BD627" s="36"/>
      <c r="BF627">
        <f>ROWS($U$46:U627)</f>
        <v>582</v>
      </c>
      <c r="BG627" t="str">
        <f t="shared" si="213"/>
        <v/>
      </c>
    </row>
    <row r="628" spans="9:59" ht="15" customHeight="1" x14ac:dyDescent="0.35">
      <c r="O628" s="330"/>
      <c r="P628" s="36"/>
      <c r="Q628" s="36"/>
      <c r="R628" s="36"/>
      <c r="S628" s="36">
        <v>12.25</v>
      </c>
      <c r="T628" s="36" t="s">
        <v>1244</v>
      </c>
      <c r="U628" s="36">
        <v>767900</v>
      </c>
      <c r="V628" s="165" t="s">
        <v>92</v>
      </c>
      <c r="W628" s="36">
        <v>1</v>
      </c>
      <c r="X628" s="36">
        <v>1</v>
      </c>
      <c r="Y628" s="36">
        <v>1</v>
      </c>
      <c r="Z628" s="36">
        <v>1</v>
      </c>
      <c r="AA628" s="36">
        <v>1</v>
      </c>
      <c r="AB628" s="36">
        <v>1</v>
      </c>
      <c r="AC628" s="36">
        <v>3</v>
      </c>
      <c r="AD628" s="36">
        <v>3</v>
      </c>
      <c r="AE628" s="36">
        <v>2</v>
      </c>
      <c r="AF628" s="36">
        <v>3</v>
      </c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  <c r="AW628" s="36"/>
      <c r="AX628" s="36"/>
      <c r="AY628" s="953"/>
      <c r="AZ628" s="36"/>
      <c r="BA628" s="36"/>
      <c r="BB628" s="36"/>
      <c r="BC628" s="36"/>
      <c r="BD628" s="36"/>
      <c r="BF628">
        <f>ROWS($U$46:U628)</f>
        <v>583</v>
      </c>
      <c r="BG628" t="str">
        <f t="shared" si="213"/>
        <v/>
      </c>
    </row>
    <row r="629" spans="9:59" ht="15" customHeight="1" thickBot="1" x14ac:dyDescent="0.4">
      <c r="O629" s="331"/>
      <c r="P629" s="328"/>
      <c r="Q629" s="328"/>
      <c r="R629" s="328"/>
      <c r="S629" s="328">
        <v>12.25</v>
      </c>
      <c r="T629" s="328" t="s">
        <v>1244</v>
      </c>
      <c r="U629" s="328">
        <v>767900</v>
      </c>
      <c r="V629" s="327" t="s">
        <v>111</v>
      </c>
      <c r="W629" s="328">
        <v>1</v>
      </c>
      <c r="X629" s="328">
        <v>1</v>
      </c>
      <c r="Y629" s="328">
        <v>1</v>
      </c>
      <c r="Z629" s="328">
        <v>1</v>
      </c>
      <c r="AA629" s="328">
        <v>1</v>
      </c>
      <c r="AB629" s="328">
        <v>1</v>
      </c>
      <c r="AC629" s="328">
        <v>3</v>
      </c>
      <c r="AD629" s="328">
        <v>3</v>
      </c>
      <c r="AE629" s="328">
        <v>2</v>
      </c>
      <c r="AF629" s="328">
        <v>2</v>
      </c>
      <c r="AG629" s="328"/>
      <c r="AH629" s="328"/>
      <c r="AI629" s="328"/>
      <c r="AJ629" s="328"/>
      <c r="AK629" s="328"/>
      <c r="AL629" s="328"/>
      <c r="AM629" s="328"/>
      <c r="AN629" s="328"/>
      <c r="AO629" s="328"/>
      <c r="AP629" s="328"/>
      <c r="AQ629" s="328"/>
      <c r="AR629" s="328"/>
      <c r="AS629" s="328"/>
      <c r="AT629" s="328"/>
      <c r="AU629" s="328"/>
      <c r="AV629" s="328"/>
      <c r="AW629" s="328"/>
      <c r="AX629" s="328"/>
      <c r="AY629" s="954"/>
      <c r="AZ629" s="36"/>
      <c r="BA629" s="36"/>
      <c r="BB629" s="36"/>
      <c r="BC629" s="36"/>
      <c r="BD629" s="36"/>
      <c r="BF629">
        <f>ROWS($U$46:U629)</f>
        <v>584</v>
      </c>
      <c r="BG629" t="str">
        <f t="shared" si="213"/>
        <v/>
      </c>
    </row>
    <row r="630" spans="9:59" ht="15" customHeight="1" x14ac:dyDescent="0.35">
      <c r="O630" s="329">
        <v>1</v>
      </c>
      <c r="P630" s="320">
        <v>853551</v>
      </c>
      <c r="Q630" s="320">
        <v>74</v>
      </c>
      <c r="R630" s="320"/>
      <c r="S630" s="320">
        <v>16</v>
      </c>
      <c r="T630" s="320" t="s">
        <v>1280</v>
      </c>
      <c r="U630" s="320">
        <v>1059102</v>
      </c>
      <c r="V630" s="319" t="s">
        <v>87</v>
      </c>
      <c r="W630" s="320">
        <v>1</v>
      </c>
      <c r="X630" s="320">
        <v>1</v>
      </c>
      <c r="Y630" s="320">
        <v>1</v>
      </c>
      <c r="Z630" s="320">
        <v>1</v>
      </c>
      <c r="AA630" s="320">
        <v>1</v>
      </c>
      <c r="AB630" s="320">
        <v>1</v>
      </c>
      <c r="AC630" s="320">
        <v>1</v>
      </c>
      <c r="AD630" s="320">
        <v>1</v>
      </c>
      <c r="AE630" s="320">
        <v>1</v>
      </c>
      <c r="AF630" s="320">
        <v>1</v>
      </c>
      <c r="AG630" s="320">
        <v>1</v>
      </c>
      <c r="AH630" s="320">
        <v>1</v>
      </c>
      <c r="AI630" s="320">
        <v>1</v>
      </c>
      <c r="AJ630" s="320">
        <v>4</v>
      </c>
      <c r="AK630" s="320"/>
      <c r="AL630" s="320">
        <v>2</v>
      </c>
      <c r="AM630" s="320">
        <v>2</v>
      </c>
      <c r="AN630" s="320">
        <v>2</v>
      </c>
      <c r="AO630" s="320">
        <v>2</v>
      </c>
      <c r="AP630" s="320">
        <v>3</v>
      </c>
      <c r="AQ630" s="320">
        <v>3</v>
      </c>
      <c r="AR630" s="320">
        <v>3</v>
      </c>
      <c r="AS630" s="320"/>
      <c r="AT630" s="320"/>
      <c r="AU630" s="320"/>
      <c r="AV630" s="320"/>
      <c r="AW630" s="320"/>
      <c r="AX630" s="320"/>
      <c r="AY630" s="952"/>
      <c r="AZ630" s="36"/>
      <c r="BA630" s="36"/>
      <c r="BB630" s="36"/>
      <c r="BC630" s="36"/>
      <c r="BD630" s="36"/>
      <c r="BF630">
        <f>ROWS($U$46:U630)</f>
        <v>585</v>
      </c>
      <c r="BG630" t="str">
        <f t="shared" si="213"/>
        <v/>
      </c>
    </row>
    <row r="631" spans="9:59" ht="15" customHeight="1" x14ac:dyDescent="0.35">
      <c r="O631" s="330">
        <v>2</v>
      </c>
      <c r="P631" s="36">
        <v>983150</v>
      </c>
      <c r="Q631" s="36">
        <v>33</v>
      </c>
      <c r="R631" s="36"/>
      <c r="S631" s="36">
        <v>16</v>
      </c>
      <c r="T631" s="36" t="s">
        <v>1280</v>
      </c>
      <c r="U631" s="36">
        <v>1059102</v>
      </c>
      <c r="V631" s="165" t="s">
        <v>88</v>
      </c>
      <c r="W631" s="36">
        <v>1</v>
      </c>
      <c r="X631" s="36">
        <v>1</v>
      </c>
      <c r="Y631" s="36">
        <v>1</v>
      </c>
      <c r="Z631" s="36">
        <v>1</v>
      </c>
      <c r="AA631" s="36">
        <v>1</v>
      </c>
      <c r="AB631" s="36">
        <v>1</v>
      </c>
      <c r="AC631" s="36">
        <v>1</v>
      </c>
      <c r="AD631" s="36">
        <v>1</v>
      </c>
      <c r="AE631" s="36">
        <v>1</v>
      </c>
      <c r="AF631" s="36">
        <v>4</v>
      </c>
      <c r="AG631" s="36"/>
      <c r="AH631" s="36"/>
      <c r="AI631" s="36"/>
      <c r="AJ631" s="36"/>
      <c r="AK631" s="36"/>
      <c r="AL631" s="36">
        <v>2</v>
      </c>
      <c r="AM631" s="36">
        <v>2</v>
      </c>
      <c r="AN631" s="36">
        <v>2</v>
      </c>
      <c r="AO631" s="36">
        <v>2</v>
      </c>
      <c r="AP631" s="36">
        <v>2</v>
      </c>
      <c r="AQ631" s="36">
        <v>3</v>
      </c>
      <c r="AR631" s="36">
        <v>3</v>
      </c>
      <c r="AS631" s="36">
        <v>3</v>
      </c>
      <c r="AT631" s="36"/>
      <c r="AU631" s="36"/>
      <c r="AV631" s="36"/>
      <c r="AW631" s="36"/>
      <c r="AX631" s="36"/>
      <c r="AY631" s="953"/>
      <c r="AZ631" s="36"/>
      <c r="BA631" s="36"/>
      <c r="BB631" s="36"/>
      <c r="BC631" s="36"/>
      <c r="BD631" s="36"/>
      <c r="BF631">
        <f>ROWS($U$46:U631)</f>
        <v>586</v>
      </c>
      <c r="BG631" t="str">
        <f t="shared" si="213"/>
        <v/>
      </c>
    </row>
    <row r="632" spans="9:59" ht="15" customHeight="1" x14ac:dyDescent="0.35">
      <c r="O632" s="330">
        <v>3</v>
      </c>
      <c r="P632" s="36">
        <v>625854</v>
      </c>
      <c r="Q632" s="36">
        <v>21</v>
      </c>
      <c r="R632" s="36"/>
      <c r="S632" s="36">
        <v>16</v>
      </c>
      <c r="T632" s="36" t="s">
        <v>1280</v>
      </c>
      <c r="U632" s="36">
        <v>1059102</v>
      </c>
      <c r="V632" s="165" t="s">
        <v>89</v>
      </c>
      <c r="W632" s="36">
        <v>1</v>
      </c>
      <c r="X632" s="36">
        <v>1</v>
      </c>
      <c r="Y632" s="36">
        <v>1</v>
      </c>
      <c r="Z632" s="36">
        <v>1</v>
      </c>
      <c r="AA632" s="36">
        <v>1</v>
      </c>
      <c r="AB632" s="36">
        <v>1</v>
      </c>
      <c r="AC632" s="36">
        <v>1</v>
      </c>
      <c r="AD632" s="36">
        <v>1</v>
      </c>
      <c r="AE632" s="36">
        <v>1</v>
      </c>
      <c r="AF632" s="36">
        <v>1</v>
      </c>
      <c r="AG632" s="36">
        <v>1</v>
      </c>
      <c r="AH632" s="36">
        <v>1</v>
      </c>
      <c r="AI632" s="36">
        <v>1</v>
      </c>
      <c r="AJ632" s="36">
        <v>4</v>
      </c>
      <c r="AK632" s="36"/>
      <c r="AL632" s="36">
        <v>2</v>
      </c>
      <c r="AM632" s="36">
        <v>2</v>
      </c>
      <c r="AN632" s="36">
        <v>2</v>
      </c>
      <c r="AO632" s="36">
        <v>2</v>
      </c>
      <c r="AP632" s="36">
        <v>2</v>
      </c>
      <c r="AQ632" s="36">
        <v>3</v>
      </c>
      <c r="AR632" s="36">
        <v>3</v>
      </c>
      <c r="AS632" s="36">
        <v>3</v>
      </c>
      <c r="AT632" s="36"/>
      <c r="AU632" s="36"/>
      <c r="AV632" s="36"/>
      <c r="AW632" s="36"/>
      <c r="AX632" s="36"/>
      <c r="AY632" s="953"/>
      <c r="AZ632" s="36"/>
      <c r="BA632" s="36"/>
      <c r="BB632" s="36"/>
      <c r="BC632" s="36"/>
      <c r="BD632" s="36"/>
      <c r="BF632">
        <f>ROWS($U$46:U632)</f>
        <v>587</v>
      </c>
      <c r="BG632" t="str">
        <f t="shared" si="213"/>
        <v/>
      </c>
    </row>
    <row r="633" spans="9:59" ht="15" customHeight="1" x14ac:dyDescent="0.35">
      <c r="O633" s="330">
        <v>4</v>
      </c>
      <c r="P633" s="36">
        <v>418525</v>
      </c>
      <c r="Q633" s="36">
        <v>7</v>
      </c>
      <c r="R633" s="36"/>
      <c r="S633" s="36">
        <v>16</v>
      </c>
      <c r="T633" s="36" t="s">
        <v>1280</v>
      </c>
      <c r="U633" s="36">
        <v>1059102</v>
      </c>
      <c r="V633" s="165" t="s">
        <v>90</v>
      </c>
      <c r="W633" s="36">
        <v>1</v>
      </c>
      <c r="X633" s="36">
        <v>1</v>
      </c>
      <c r="Y633" s="36">
        <v>1</v>
      </c>
      <c r="Z633" s="36">
        <v>1</v>
      </c>
      <c r="AA633" s="36">
        <v>1</v>
      </c>
      <c r="AB633" s="36">
        <v>1</v>
      </c>
      <c r="AC633" s="36">
        <v>1</v>
      </c>
      <c r="AD633" s="36">
        <v>1</v>
      </c>
      <c r="AE633" s="36">
        <v>1</v>
      </c>
      <c r="AF633" s="36">
        <v>4</v>
      </c>
      <c r="AG633" s="36"/>
      <c r="AH633" s="36"/>
      <c r="AI633" s="36"/>
      <c r="AJ633" s="36"/>
      <c r="AK633" s="36"/>
      <c r="AL633" s="36">
        <v>2</v>
      </c>
      <c r="AM633" s="36">
        <v>2</v>
      </c>
      <c r="AN633" s="36">
        <v>2</v>
      </c>
      <c r="AO633" s="36">
        <v>2</v>
      </c>
      <c r="AP633" s="36">
        <v>2</v>
      </c>
      <c r="AQ633" s="36">
        <v>3</v>
      </c>
      <c r="AR633" s="36">
        <v>3</v>
      </c>
      <c r="AS633" s="36">
        <v>3</v>
      </c>
      <c r="AT633" s="36"/>
      <c r="AU633" s="36"/>
      <c r="AV633" s="36"/>
      <c r="AW633" s="36"/>
      <c r="AX633" s="36"/>
      <c r="AY633" s="953"/>
      <c r="AZ633" s="36"/>
      <c r="BA633" s="36"/>
      <c r="BB633" s="36"/>
      <c r="BC633" s="36"/>
      <c r="BD633" s="36"/>
      <c r="BF633">
        <f>ROWS($U$46:U633)</f>
        <v>588</v>
      </c>
      <c r="BG633" t="str">
        <f t="shared" si="213"/>
        <v/>
      </c>
    </row>
    <row r="634" spans="9:59" ht="15" customHeight="1" x14ac:dyDescent="0.35">
      <c r="O634" s="330"/>
      <c r="P634" s="36"/>
      <c r="Q634" s="36"/>
      <c r="R634" s="36"/>
      <c r="S634" s="36">
        <v>16</v>
      </c>
      <c r="T634" s="36" t="s">
        <v>1280</v>
      </c>
      <c r="U634" s="36">
        <v>1059102</v>
      </c>
      <c r="V634" s="165" t="s">
        <v>91</v>
      </c>
      <c r="W634" s="36">
        <v>1</v>
      </c>
      <c r="X634" s="36">
        <v>1</v>
      </c>
      <c r="Y634" s="36">
        <v>1</v>
      </c>
      <c r="Z634" s="36">
        <v>1</v>
      </c>
      <c r="AA634" s="36">
        <v>1</v>
      </c>
      <c r="AB634" s="36">
        <v>1</v>
      </c>
      <c r="AC634" s="36">
        <v>1</v>
      </c>
      <c r="AD634" s="36">
        <v>1</v>
      </c>
      <c r="AE634" s="36">
        <v>1</v>
      </c>
      <c r="AF634" s="36">
        <v>1</v>
      </c>
      <c r="AG634" s="36">
        <v>1</v>
      </c>
      <c r="AH634" s="36">
        <v>1</v>
      </c>
      <c r="AI634" s="36">
        <v>1</v>
      </c>
      <c r="AJ634" s="36">
        <v>4</v>
      </c>
      <c r="AK634" s="36"/>
      <c r="AL634" s="36">
        <v>2</v>
      </c>
      <c r="AM634" s="36">
        <v>2</v>
      </c>
      <c r="AN634" s="36">
        <v>2</v>
      </c>
      <c r="AO634" s="36">
        <v>2</v>
      </c>
      <c r="AP634" s="36">
        <v>2</v>
      </c>
      <c r="AQ634" s="36">
        <v>3</v>
      </c>
      <c r="AR634" s="36">
        <v>3</v>
      </c>
      <c r="AS634" s="36">
        <v>3</v>
      </c>
      <c r="AT634" s="36"/>
      <c r="AU634" s="36"/>
      <c r="AV634" s="36"/>
      <c r="AW634" s="36"/>
      <c r="AX634" s="36"/>
      <c r="AY634" s="953"/>
      <c r="AZ634" s="36"/>
      <c r="BA634" s="36"/>
      <c r="BB634" s="36"/>
      <c r="BC634" s="36"/>
      <c r="BD634" s="36"/>
      <c r="BF634">
        <f>ROWS($U$46:U634)</f>
        <v>589</v>
      </c>
      <c r="BG634" t="str">
        <f t="shared" si="213"/>
        <v/>
      </c>
    </row>
    <row r="635" spans="9:59" ht="15" customHeight="1" x14ac:dyDescent="0.35">
      <c r="I635">
        <v>690800</v>
      </c>
      <c r="O635" s="330"/>
      <c r="P635" s="36"/>
      <c r="Q635" s="36"/>
      <c r="R635" s="36"/>
      <c r="S635" s="36">
        <v>16</v>
      </c>
      <c r="T635" s="36" t="s">
        <v>1280</v>
      </c>
      <c r="U635" s="36">
        <v>1059102</v>
      </c>
      <c r="V635" s="165" t="s">
        <v>92</v>
      </c>
      <c r="W635" s="36">
        <v>1</v>
      </c>
      <c r="X635" s="36">
        <v>1</v>
      </c>
      <c r="Y635" s="36">
        <v>1</v>
      </c>
      <c r="Z635" s="36">
        <v>1</v>
      </c>
      <c r="AA635" s="36">
        <v>1</v>
      </c>
      <c r="AB635" s="36">
        <v>1</v>
      </c>
      <c r="AC635" s="36">
        <v>1</v>
      </c>
      <c r="AD635" s="36">
        <v>1</v>
      </c>
      <c r="AE635" s="36">
        <v>1</v>
      </c>
      <c r="AF635" s="36">
        <v>4</v>
      </c>
      <c r="AG635" s="36"/>
      <c r="AH635" s="36"/>
      <c r="AI635" s="36"/>
      <c r="AJ635" s="36"/>
      <c r="AK635" s="36"/>
      <c r="AL635" s="36">
        <v>2</v>
      </c>
      <c r="AM635" s="36">
        <v>2</v>
      </c>
      <c r="AN635" s="36">
        <v>2</v>
      </c>
      <c r="AO635" s="36">
        <v>2</v>
      </c>
      <c r="AP635" s="36">
        <v>2</v>
      </c>
      <c r="AQ635" s="36">
        <v>3</v>
      </c>
      <c r="AR635" s="36">
        <v>3</v>
      </c>
      <c r="AS635" s="36">
        <v>3</v>
      </c>
      <c r="AT635" s="36"/>
      <c r="AU635" s="36"/>
      <c r="AV635" s="36"/>
      <c r="AW635" s="36"/>
      <c r="AX635" s="36"/>
      <c r="AY635" s="953"/>
      <c r="AZ635" s="36"/>
      <c r="BA635" s="36"/>
      <c r="BB635" s="36"/>
      <c r="BC635" s="36"/>
      <c r="BD635" s="36"/>
      <c r="BF635">
        <f>ROWS($U$46:U635)</f>
        <v>590</v>
      </c>
      <c r="BG635" t="str">
        <f t="shared" si="213"/>
        <v/>
      </c>
    </row>
    <row r="636" spans="9:59" ht="15" customHeight="1" thickBot="1" x14ac:dyDescent="0.4">
      <c r="I636" s="569">
        <v>989853</v>
      </c>
      <c r="J636" t="s">
        <v>1256</v>
      </c>
      <c r="O636" s="331"/>
      <c r="P636" s="328"/>
      <c r="Q636" s="328"/>
      <c r="R636" s="328"/>
      <c r="S636" s="328">
        <v>16</v>
      </c>
      <c r="T636" s="328" t="s">
        <v>1280</v>
      </c>
      <c r="U636" s="328">
        <v>1059102</v>
      </c>
      <c r="V636" s="327" t="s">
        <v>111</v>
      </c>
      <c r="W636" s="328">
        <v>1</v>
      </c>
      <c r="X636" s="328">
        <v>1</v>
      </c>
      <c r="Y636" s="328">
        <v>1</v>
      </c>
      <c r="Z636" s="328">
        <v>1</v>
      </c>
      <c r="AA636" s="328">
        <v>1</v>
      </c>
      <c r="AB636" s="328">
        <v>1</v>
      </c>
      <c r="AC636" s="328">
        <v>1</v>
      </c>
      <c r="AD636" s="328">
        <v>1</v>
      </c>
      <c r="AE636" s="328">
        <v>4</v>
      </c>
      <c r="AF636" s="328"/>
      <c r="AG636" s="328"/>
      <c r="AH636" s="328"/>
      <c r="AI636" s="328"/>
      <c r="AJ636" s="328"/>
      <c r="AK636" s="328"/>
      <c r="AL636" s="328">
        <v>2</v>
      </c>
      <c r="AM636" s="328">
        <v>2</v>
      </c>
      <c r="AN636" s="328">
        <v>2</v>
      </c>
      <c r="AO636" s="328">
        <v>2</v>
      </c>
      <c r="AP636" s="328">
        <v>3</v>
      </c>
      <c r="AQ636" s="328">
        <v>3</v>
      </c>
      <c r="AR636" s="328">
        <v>3</v>
      </c>
      <c r="AS636" s="328"/>
      <c r="AT636" s="328"/>
      <c r="AU636" s="328"/>
      <c r="AV636" s="328"/>
      <c r="AW636" s="328"/>
      <c r="AX636" s="328"/>
      <c r="AY636" s="954"/>
      <c r="AZ636" s="36"/>
      <c r="BA636" s="36"/>
      <c r="BB636" s="36"/>
      <c r="BC636" s="36"/>
      <c r="BD636" s="36"/>
      <c r="BF636">
        <f>ROWS($U$46:U636)</f>
        <v>591</v>
      </c>
      <c r="BG636" t="str">
        <f t="shared" si="213"/>
        <v/>
      </c>
    </row>
    <row r="637" spans="9:59" ht="15" customHeight="1" x14ac:dyDescent="0.35">
      <c r="I637">
        <v>1000080</v>
      </c>
      <c r="J637">
        <v>1</v>
      </c>
      <c r="O637" s="329">
        <v>1</v>
      </c>
      <c r="P637" s="320">
        <v>770450</v>
      </c>
      <c r="Q637" s="320">
        <v>70</v>
      </c>
      <c r="R637" s="320"/>
      <c r="S637" s="320" t="s">
        <v>1282</v>
      </c>
      <c r="T637" s="320" t="s">
        <v>1283</v>
      </c>
      <c r="U637" s="320">
        <v>1084180</v>
      </c>
      <c r="V637" s="319" t="s">
        <v>87</v>
      </c>
      <c r="W637" s="320">
        <v>1</v>
      </c>
      <c r="X637" s="320">
        <v>1</v>
      </c>
      <c r="Y637" s="320">
        <v>1</v>
      </c>
      <c r="Z637" s="320">
        <v>1</v>
      </c>
      <c r="AA637" s="320">
        <v>1</v>
      </c>
      <c r="AB637" s="320">
        <v>1</v>
      </c>
      <c r="AC637" s="320">
        <v>1</v>
      </c>
      <c r="AD637" s="320">
        <v>2</v>
      </c>
      <c r="AE637" s="320">
        <v>2</v>
      </c>
      <c r="AF637" s="320">
        <v>2</v>
      </c>
      <c r="AG637" s="320">
        <v>2</v>
      </c>
      <c r="AH637" s="320">
        <v>2</v>
      </c>
      <c r="AI637" s="320">
        <v>2</v>
      </c>
      <c r="AJ637" s="320">
        <v>2</v>
      </c>
      <c r="AK637" s="320">
        <v>2</v>
      </c>
      <c r="AL637" s="320">
        <v>2</v>
      </c>
      <c r="AM637" s="320">
        <v>3</v>
      </c>
      <c r="AN637" s="320">
        <v>3</v>
      </c>
      <c r="AO637" s="320"/>
      <c r="AP637" s="320">
        <v>4</v>
      </c>
      <c r="AQ637" s="320">
        <v>4</v>
      </c>
      <c r="AR637" s="320">
        <v>4</v>
      </c>
      <c r="AS637" s="320">
        <v>4</v>
      </c>
      <c r="AT637" s="320">
        <v>1</v>
      </c>
      <c r="AU637" s="320">
        <v>1</v>
      </c>
      <c r="AV637" s="320">
        <v>1</v>
      </c>
      <c r="AW637" s="320">
        <v>1</v>
      </c>
      <c r="AX637" s="320">
        <v>1</v>
      </c>
      <c r="AY637" s="952">
        <v>1</v>
      </c>
      <c r="AZ637" s="36">
        <v>4</v>
      </c>
      <c r="BA637" s="36">
        <v>4</v>
      </c>
      <c r="BB637" s="36">
        <v>4</v>
      </c>
      <c r="BC637" s="36"/>
      <c r="BD637" s="36"/>
      <c r="BF637">
        <f>ROWS($U$46:U637)</f>
        <v>592</v>
      </c>
      <c r="BG637" t="str">
        <f t="shared" si="213"/>
        <v/>
      </c>
    </row>
    <row r="638" spans="9:59" ht="15" customHeight="1" x14ac:dyDescent="0.35">
      <c r="I638">
        <v>892722</v>
      </c>
      <c r="O638" s="330">
        <v>2</v>
      </c>
      <c r="P638" s="36">
        <v>853551</v>
      </c>
      <c r="Q638" s="36">
        <v>74</v>
      </c>
      <c r="R638" s="36"/>
      <c r="S638" s="36" t="s">
        <v>1282</v>
      </c>
      <c r="T638" s="36" t="s">
        <v>1283</v>
      </c>
      <c r="U638" s="36">
        <v>1084180</v>
      </c>
      <c r="V638" s="165" t="s">
        <v>88</v>
      </c>
      <c r="W638" s="36">
        <v>1</v>
      </c>
      <c r="X638" s="36">
        <v>2</v>
      </c>
      <c r="Y638" s="36">
        <v>2</v>
      </c>
      <c r="Z638" s="36">
        <v>2</v>
      </c>
      <c r="AA638" s="36">
        <v>2</v>
      </c>
      <c r="AB638" s="36">
        <v>2</v>
      </c>
      <c r="AC638" s="36">
        <v>2</v>
      </c>
      <c r="AD638" s="36">
        <v>2</v>
      </c>
      <c r="AE638" s="36">
        <v>2</v>
      </c>
      <c r="AF638" s="36">
        <v>2</v>
      </c>
      <c r="AG638" s="36">
        <v>3</v>
      </c>
      <c r="AH638" s="36">
        <v>3</v>
      </c>
      <c r="AI638" s="36"/>
      <c r="AJ638" s="36"/>
      <c r="AK638" s="36"/>
      <c r="AL638" s="36"/>
      <c r="AM638" s="36"/>
      <c r="AN638" s="36"/>
      <c r="AO638" s="36"/>
      <c r="AP638" s="36">
        <v>1</v>
      </c>
      <c r="AQ638" s="36">
        <v>1</v>
      </c>
      <c r="AR638" s="36">
        <v>1</v>
      </c>
      <c r="AS638" s="36">
        <v>1</v>
      </c>
      <c r="AT638" s="36">
        <v>1</v>
      </c>
      <c r="AU638" s="36">
        <v>1</v>
      </c>
      <c r="AV638" s="36">
        <v>4</v>
      </c>
      <c r="AW638" s="36">
        <v>4</v>
      </c>
      <c r="AX638" s="36">
        <v>4</v>
      </c>
      <c r="AY638" s="953"/>
      <c r="AZ638" s="36"/>
      <c r="BA638" s="36"/>
      <c r="BB638" s="36"/>
      <c r="BC638" s="36"/>
      <c r="BD638" s="36"/>
      <c r="BF638">
        <f>ROWS($U$46:U638)</f>
        <v>593</v>
      </c>
      <c r="BG638" t="str">
        <f t="shared" si="213"/>
        <v/>
      </c>
    </row>
    <row r="639" spans="9:59" ht="15" customHeight="1" x14ac:dyDescent="0.35">
      <c r="I639">
        <v>801053</v>
      </c>
      <c r="O639" s="330">
        <v>3</v>
      </c>
      <c r="P639" s="36">
        <v>418525</v>
      </c>
      <c r="Q639" s="36">
        <v>16</v>
      </c>
      <c r="R639" s="36"/>
      <c r="S639" s="36" t="s">
        <v>1282</v>
      </c>
      <c r="T639" s="36" t="s">
        <v>1283</v>
      </c>
      <c r="U639" s="36">
        <v>1084180</v>
      </c>
      <c r="V639" s="165" t="s">
        <v>89</v>
      </c>
      <c r="W639" s="36">
        <v>2</v>
      </c>
      <c r="X639" s="36">
        <v>2</v>
      </c>
      <c r="Y639" s="36">
        <v>2</v>
      </c>
      <c r="Z639" s="36">
        <v>2</v>
      </c>
      <c r="AA639" s="36">
        <v>2</v>
      </c>
      <c r="AB639" s="36">
        <v>2</v>
      </c>
      <c r="AC639" s="36">
        <v>2</v>
      </c>
      <c r="AD639" s="36">
        <v>2</v>
      </c>
      <c r="AE639" s="36">
        <v>2</v>
      </c>
      <c r="AF639" s="36">
        <v>3</v>
      </c>
      <c r="AG639" s="36">
        <v>3</v>
      </c>
      <c r="AH639" s="36"/>
      <c r="AI639" s="36"/>
      <c r="AJ639" s="36"/>
      <c r="AK639" s="36"/>
      <c r="AL639" s="36"/>
      <c r="AM639" s="36"/>
      <c r="AN639" s="36"/>
      <c r="AO639" s="36"/>
      <c r="AP639" s="36">
        <v>1</v>
      </c>
      <c r="AQ639" s="36">
        <v>1</v>
      </c>
      <c r="AR639" s="36">
        <v>1</v>
      </c>
      <c r="AS639" s="36">
        <v>1</v>
      </c>
      <c r="AT639" s="36">
        <v>1</v>
      </c>
      <c r="AU639" s="36">
        <v>1</v>
      </c>
      <c r="AV639" s="36">
        <v>4</v>
      </c>
      <c r="AW639" s="36">
        <v>4</v>
      </c>
      <c r="AX639" s="36">
        <v>4</v>
      </c>
      <c r="AY639" s="953"/>
      <c r="AZ639" s="36"/>
      <c r="BA639" s="36"/>
      <c r="BB639" s="36"/>
      <c r="BC639" s="36"/>
      <c r="BD639" s="36"/>
      <c r="BF639">
        <f>ROWS($U$46:U639)</f>
        <v>594</v>
      </c>
      <c r="BG639" t="str">
        <f t="shared" si="213"/>
        <v/>
      </c>
    </row>
    <row r="640" spans="9:59" ht="15" customHeight="1" x14ac:dyDescent="0.35">
      <c r="I640">
        <v>890428</v>
      </c>
      <c r="J640">
        <v>1</v>
      </c>
      <c r="O640" s="330">
        <v>4</v>
      </c>
      <c r="P640" s="36">
        <v>179733</v>
      </c>
      <c r="Q640" s="36">
        <v>37</v>
      </c>
      <c r="R640" s="36"/>
      <c r="S640" s="36" t="s">
        <v>1282</v>
      </c>
      <c r="T640" s="36" t="s">
        <v>1283</v>
      </c>
      <c r="U640" s="36">
        <v>1084180</v>
      </c>
      <c r="V640" s="165" t="s">
        <v>90</v>
      </c>
      <c r="W640" s="36">
        <v>1</v>
      </c>
      <c r="X640" s="36">
        <v>1</v>
      </c>
      <c r="Y640" s="36">
        <v>1</v>
      </c>
      <c r="Z640" s="36">
        <v>1</v>
      </c>
      <c r="AA640" s="36">
        <v>1</v>
      </c>
      <c r="AB640" s="36">
        <v>1</v>
      </c>
      <c r="AC640" s="36">
        <v>2</v>
      </c>
      <c r="AD640" s="36">
        <v>2</v>
      </c>
      <c r="AE640" s="36">
        <v>2</v>
      </c>
      <c r="AF640" s="36">
        <v>2</v>
      </c>
      <c r="AG640" s="36">
        <v>2</v>
      </c>
      <c r="AH640" s="36">
        <v>2</v>
      </c>
      <c r="AI640" s="36">
        <v>2</v>
      </c>
      <c r="AJ640" s="36">
        <v>2</v>
      </c>
      <c r="AK640" s="36">
        <v>2</v>
      </c>
      <c r="AL640" s="36">
        <v>3</v>
      </c>
      <c r="AM640" s="36">
        <v>3</v>
      </c>
      <c r="AN640" s="36"/>
      <c r="AO640" s="36"/>
      <c r="AP640" s="36">
        <v>4</v>
      </c>
      <c r="AQ640" s="36">
        <v>4</v>
      </c>
      <c r="AR640" s="36">
        <v>4</v>
      </c>
      <c r="AS640" s="36">
        <v>1</v>
      </c>
      <c r="AT640" s="36">
        <v>1</v>
      </c>
      <c r="AU640" s="36">
        <v>1</v>
      </c>
      <c r="AV640" s="36">
        <v>1</v>
      </c>
      <c r="AW640" s="36">
        <v>1</v>
      </c>
      <c r="AX640" s="36">
        <v>1</v>
      </c>
      <c r="AY640" s="953">
        <v>4</v>
      </c>
      <c r="AZ640" s="36">
        <v>4</v>
      </c>
      <c r="BA640" s="36">
        <v>4</v>
      </c>
      <c r="BB640" s="36"/>
      <c r="BC640" s="36"/>
      <c r="BD640" s="36"/>
      <c r="BF640">
        <f>ROWS($U$46:U640)</f>
        <v>595</v>
      </c>
      <c r="BG640" t="str">
        <f t="shared" si="213"/>
        <v/>
      </c>
    </row>
    <row r="641" spans="9:59" ht="15" customHeight="1" x14ac:dyDescent="0.35">
      <c r="I641">
        <v>854024</v>
      </c>
      <c r="J641" t="s">
        <v>1257</v>
      </c>
      <c r="O641" s="330">
        <v>5</v>
      </c>
      <c r="P641" s="36">
        <v>410851</v>
      </c>
      <c r="Q641" s="36">
        <v>40</v>
      </c>
      <c r="R641" s="36"/>
      <c r="S641" s="36" t="s">
        <v>1282</v>
      </c>
      <c r="T641" s="36" t="s">
        <v>1283</v>
      </c>
      <c r="U641" s="36">
        <v>1084180</v>
      </c>
      <c r="V641" s="165" t="s">
        <v>91</v>
      </c>
      <c r="W641" s="36">
        <v>1</v>
      </c>
      <c r="X641" s="36">
        <v>2</v>
      </c>
      <c r="Y641" s="36">
        <v>2</v>
      </c>
      <c r="Z641" s="36">
        <v>2</v>
      </c>
      <c r="AA641" s="36">
        <v>2</v>
      </c>
      <c r="AB641" s="36">
        <v>2</v>
      </c>
      <c r="AC641" s="36">
        <v>2</v>
      </c>
      <c r="AD641" s="36">
        <v>2</v>
      </c>
      <c r="AE641" s="36">
        <v>2</v>
      </c>
      <c r="AF641" s="36">
        <v>2</v>
      </c>
      <c r="AG641" s="36">
        <v>2</v>
      </c>
      <c r="AH641" s="36">
        <v>3</v>
      </c>
      <c r="AI641" s="36">
        <v>3</v>
      </c>
      <c r="AJ641" s="36"/>
      <c r="AK641" s="36"/>
      <c r="AL641" s="36"/>
      <c r="AM641" s="36"/>
      <c r="AN641" s="36"/>
      <c r="AO641" s="36"/>
      <c r="AP641" s="36">
        <v>1</v>
      </c>
      <c r="AQ641" s="36">
        <v>1</v>
      </c>
      <c r="AR641" s="36">
        <v>1</v>
      </c>
      <c r="AS641" s="36">
        <v>1</v>
      </c>
      <c r="AT641" s="36">
        <v>1</v>
      </c>
      <c r="AU641" s="36">
        <v>1</v>
      </c>
      <c r="AV641" s="36">
        <v>4</v>
      </c>
      <c r="AW641" s="36">
        <v>4</v>
      </c>
      <c r="AX641" s="36">
        <v>4</v>
      </c>
      <c r="AY641" s="953">
        <v>4</v>
      </c>
      <c r="AZ641" s="36"/>
      <c r="BA641" s="36"/>
      <c r="BB641" s="36"/>
      <c r="BC641" s="36"/>
      <c r="BD641" s="36"/>
      <c r="BF641">
        <f>ROWS($U$46:U641)</f>
        <v>596</v>
      </c>
      <c r="BG641" t="str">
        <f t="shared" si="213"/>
        <v/>
      </c>
    </row>
    <row r="642" spans="9:59" ht="15" customHeight="1" x14ac:dyDescent="0.35">
      <c r="I642">
        <v>687527</v>
      </c>
      <c r="O642" s="330"/>
      <c r="P642" s="36"/>
      <c r="Q642" s="36"/>
      <c r="R642" s="36"/>
      <c r="S642" s="36" t="s">
        <v>1282</v>
      </c>
      <c r="T642" s="36" t="s">
        <v>1283</v>
      </c>
      <c r="U642" s="36">
        <v>1084180</v>
      </c>
      <c r="V642" s="165" t="s">
        <v>92</v>
      </c>
      <c r="W642" s="36">
        <v>1</v>
      </c>
      <c r="X642" s="36">
        <v>1</v>
      </c>
      <c r="Y642" s="36">
        <v>1</v>
      </c>
      <c r="Z642" s="36">
        <v>1</v>
      </c>
      <c r="AA642" s="36">
        <v>1</v>
      </c>
      <c r="AB642" s="36">
        <v>1</v>
      </c>
      <c r="AC642" s="36">
        <v>2</v>
      </c>
      <c r="AD642" s="36">
        <v>2</v>
      </c>
      <c r="AE642" s="36">
        <v>2</v>
      </c>
      <c r="AF642" s="36">
        <v>2</v>
      </c>
      <c r="AG642" s="36">
        <v>2</v>
      </c>
      <c r="AH642" s="36">
        <v>2</v>
      </c>
      <c r="AI642" s="36">
        <v>2</v>
      </c>
      <c r="AJ642" s="36">
        <v>2</v>
      </c>
      <c r="AK642" s="36">
        <v>2</v>
      </c>
      <c r="AL642" s="36">
        <v>2</v>
      </c>
      <c r="AM642" s="36">
        <v>3</v>
      </c>
      <c r="AN642" s="36">
        <v>3</v>
      </c>
      <c r="AO642" s="36"/>
      <c r="AP642" s="36">
        <v>4</v>
      </c>
      <c r="AQ642" s="36">
        <v>4</v>
      </c>
      <c r="AR642" s="36">
        <v>1</v>
      </c>
      <c r="AS642" s="36">
        <v>1</v>
      </c>
      <c r="AT642" s="36">
        <v>1</v>
      </c>
      <c r="AU642" s="36">
        <v>1</v>
      </c>
      <c r="AV642" s="36">
        <v>1</v>
      </c>
      <c r="AW642" s="36">
        <v>1</v>
      </c>
      <c r="AX642" s="36">
        <v>4</v>
      </c>
      <c r="AY642" s="953">
        <v>4</v>
      </c>
      <c r="AZ642" s="36">
        <v>4</v>
      </c>
      <c r="BA642" s="36">
        <v>4</v>
      </c>
      <c r="BB642" s="36"/>
      <c r="BC642" s="36"/>
      <c r="BD642" s="36"/>
      <c r="BF642">
        <f>ROWS($U$46:U642)</f>
        <v>597</v>
      </c>
      <c r="BG642" t="str">
        <f t="shared" si="213"/>
        <v/>
      </c>
    </row>
    <row r="643" spans="9:59" ht="15" customHeight="1" x14ac:dyDescent="0.35">
      <c r="I643">
        <v>702957</v>
      </c>
      <c r="J643" t="s">
        <v>1257</v>
      </c>
      <c r="O643" s="330"/>
      <c r="P643" s="36"/>
      <c r="Q643" s="36"/>
      <c r="R643" s="36"/>
      <c r="S643" s="36" t="s">
        <v>1282</v>
      </c>
      <c r="T643" s="36" t="s">
        <v>1283</v>
      </c>
      <c r="U643" s="36">
        <v>1084180</v>
      </c>
      <c r="V643" s="165" t="s">
        <v>111</v>
      </c>
      <c r="W643" s="36">
        <v>1</v>
      </c>
      <c r="X643" s="36">
        <v>1</v>
      </c>
      <c r="Y643" s="36">
        <v>2</v>
      </c>
      <c r="Z643" s="36">
        <v>2</v>
      </c>
      <c r="AA643" s="36">
        <v>2</v>
      </c>
      <c r="AB643" s="36">
        <v>2</v>
      </c>
      <c r="AC643" s="36">
        <v>2</v>
      </c>
      <c r="AD643" s="36">
        <v>2</v>
      </c>
      <c r="AE643" s="36">
        <v>2</v>
      </c>
      <c r="AF643" s="36">
        <v>2</v>
      </c>
      <c r="AG643" s="36">
        <v>2</v>
      </c>
      <c r="AH643" s="36">
        <v>3</v>
      </c>
      <c r="AI643" s="36">
        <v>3</v>
      </c>
      <c r="AJ643" s="36"/>
      <c r="AK643" s="36"/>
      <c r="AL643" s="36"/>
      <c r="AM643" s="36"/>
      <c r="AN643" s="36"/>
      <c r="AO643" s="36"/>
      <c r="AP643" s="36">
        <v>1</v>
      </c>
      <c r="AQ643" s="36">
        <v>1</v>
      </c>
      <c r="AR643" s="36">
        <v>1</v>
      </c>
      <c r="AS643" s="36">
        <v>1</v>
      </c>
      <c r="AT643" s="36">
        <v>1</v>
      </c>
      <c r="AU643" s="36">
        <v>4</v>
      </c>
      <c r="AV643" s="36">
        <v>4</v>
      </c>
      <c r="AW643" s="36">
        <v>4</v>
      </c>
      <c r="AX643" s="36">
        <v>4</v>
      </c>
      <c r="AY643" s="953"/>
      <c r="AZ643" s="36"/>
      <c r="BA643" s="36"/>
      <c r="BB643" s="36"/>
      <c r="BC643" s="36"/>
      <c r="BD643" s="36"/>
      <c r="BF643">
        <f>ROWS($U$46:U643)</f>
        <v>598</v>
      </c>
      <c r="BG643" t="str">
        <f t="shared" si="213"/>
        <v/>
      </c>
    </row>
    <row r="644" spans="9:59" ht="15" customHeight="1" thickBot="1" x14ac:dyDescent="0.4">
      <c r="I644">
        <v>767900</v>
      </c>
      <c r="J644">
        <v>1</v>
      </c>
      <c r="O644" s="485"/>
      <c r="P644" s="486"/>
      <c r="Q644" s="486"/>
      <c r="R644" s="486"/>
      <c r="S644" s="486" t="s">
        <v>1282</v>
      </c>
      <c r="T644" s="486" t="s">
        <v>1283</v>
      </c>
      <c r="U644" s="486">
        <v>1084180</v>
      </c>
      <c r="V644" s="487" t="s">
        <v>112</v>
      </c>
      <c r="W644" s="486">
        <v>1</v>
      </c>
      <c r="X644" s="486">
        <v>2</v>
      </c>
      <c r="Y644" s="486">
        <v>2</v>
      </c>
      <c r="Z644" s="486">
        <v>2</v>
      </c>
      <c r="AA644" s="486">
        <v>2</v>
      </c>
      <c r="AB644" s="486">
        <v>2</v>
      </c>
      <c r="AC644" s="486">
        <v>2</v>
      </c>
      <c r="AD644" s="486">
        <v>2</v>
      </c>
      <c r="AE644" s="486">
        <v>2</v>
      </c>
      <c r="AF644" s="486">
        <v>2</v>
      </c>
      <c r="AG644" s="486">
        <v>3</v>
      </c>
      <c r="AH644" s="486">
        <v>3</v>
      </c>
      <c r="AI644" s="486"/>
      <c r="AJ644" s="486"/>
      <c r="AK644" s="486"/>
      <c r="AL644" s="486"/>
      <c r="AM644" s="486"/>
      <c r="AN644" s="486"/>
      <c r="AO644" s="486"/>
      <c r="AP644" s="486">
        <v>1</v>
      </c>
      <c r="AQ644" s="486">
        <v>1</v>
      </c>
      <c r="AR644" s="486">
        <v>1</v>
      </c>
      <c r="AS644" s="486">
        <v>1</v>
      </c>
      <c r="AT644" s="486">
        <v>1</v>
      </c>
      <c r="AU644" s="486">
        <v>4</v>
      </c>
      <c r="AV644" s="486">
        <v>4</v>
      </c>
      <c r="AW644" s="486">
        <v>4</v>
      </c>
      <c r="AX644" s="486">
        <v>4</v>
      </c>
      <c r="AY644" s="151"/>
      <c r="AZ644" s="36"/>
      <c r="BA644" s="36"/>
      <c r="BB644" s="36"/>
      <c r="BC644" s="36"/>
      <c r="BD644" s="36"/>
      <c r="BF644">
        <f>ROWS($U$46:U644)</f>
        <v>599</v>
      </c>
      <c r="BG644" t="str">
        <f t="shared" si="213"/>
        <v/>
      </c>
    </row>
    <row r="645" spans="9:59" ht="15" customHeight="1" x14ac:dyDescent="0.35">
      <c r="O645" s="329">
        <v>1</v>
      </c>
      <c r="P645" s="320">
        <v>770450</v>
      </c>
      <c r="Q645" s="320">
        <v>24</v>
      </c>
      <c r="R645" s="320"/>
      <c r="S645" s="320" t="s">
        <v>1207</v>
      </c>
      <c r="T645" s="320" t="s">
        <v>1284</v>
      </c>
      <c r="U645" s="320">
        <v>1090676</v>
      </c>
      <c r="V645" s="319" t="s">
        <v>87</v>
      </c>
      <c r="W645" s="320">
        <v>2</v>
      </c>
      <c r="X645" s="320">
        <v>2</v>
      </c>
      <c r="Y645" s="320">
        <v>2</v>
      </c>
      <c r="Z645" s="320">
        <v>2</v>
      </c>
      <c r="AA645" s="320">
        <v>2</v>
      </c>
      <c r="AB645" s="320">
        <v>2</v>
      </c>
      <c r="AC645" s="320">
        <v>2</v>
      </c>
      <c r="AD645" s="320">
        <v>3</v>
      </c>
      <c r="AE645" s="320">
        <v>3</v>
      </c>
      <c r="AF645" s="320">
        <v>4</v>
      </c>
      <c r="AG645" s="320">
        <v>4</v>
      </c>
      <c r="AH645" s="320"/>
      <c r="AI645" s="320">
        <v>6</v>
      </c>
      <c r="AJ645" s="320">
        <v>6</v>
      </c>
      <c r="AK645" s="320">
        <v>6</v>
      </c>
      <c r="AL645" s="320">
        <v>1</v>
      </c>
      <c r="AM645" s="320">
        <v>1</v>
      </c>
      <c r="AN645" s="320">
        <v>1</v>
      </c>
      <c r="AO645" s="320">
        <v>1</v>
      </c>
      <c r="AP645" s="320">
        <v>6</v>
      </c>
      <c r="AQ645" s="320"/>
      <c r="AR645" s="320"/>
      <c r="AS645" s="320"/>
      <c r="AT645" s="320"/>
      <c r="AU645" s="320"/>
      <c r="AV645" s="320"/>
      <c r="AW645" s="320"/>
      <c r="AX645" s="320"/>
      <c r="AY645" s="952"/>
      <c r="AZ645" s="36"/>
      <c r="BA645" s="36"/>
      <c r="BB645" s="36"/>
      <c r="BC645" s="36"/>
      <c r="BD645" s="36"/>
      <c r="BF645">
        <f>ROWS($U$46:U645)</f>
        <v>600</v>
      </c>
      <c r="BG645" t="str">
        <f t="shared" si="213"/>
        <v/>
      </c>
    </row>
    <row r="646" spans="9:59" ht="15" customHeight="1" x14ac:dyDescent="0.35">
      <c r="O646" s="330">
        <v>2</v>
      </c>
      <c r="P646" s="36">
        <v>853552</v>
      </c>
      <c r="Q646" s="36">
        <v>30</v>
      </c>
      <c r="R646" s="36"/>
      <c r="S646" s="36" t="s">
        <v>1207</v>
      </c>
      <c r="T646" s="36" t="s">
        <v>1284</v>
      </c>
      <c r="U646" s="36">
        <v>1090676</v>
      </c>
      <c r="V646" s="165" t="s">
        <v>88</v>
      </c>
      <c r="W646" s="36">
        <v>2</v>
      </c>
      <c r="X646" s="36">
        <v>2</v>
      </c>
      <c r="Y646" s="36">
        <v>2</v>
      </c>
      <c r="Z646" s="36">
        <v>2</v>
      </c>
      <c r="AA646" s="36">
        <v>3</v>
      </c>
      <c r="AB646" s="36">
        <v>3</v>
      </c>
      <c r="AC646" s="36">
        <v>4</v>
      </c>
      <c r="AD646" s="36">
        <v>5</v>
      </c>
      <c r="AE646" s="36"/>
      <c r="AF646" s="36"/>
      <c r="AG646" s="36"/>
      <c r="AH646" s="36"/>
      <c r="AI646" s="36">
        <v>6</v>
      </c>
      <c r="AJ646" s="36">
        <v>1</v>
      </c>
      <c r="AK646" s="36">
        <v>1</v>
      </c>
      <c r="AL646" s="36">
        <v>1</v>
      </c>
      <c r="AM646" s="36">
        <v>1</v>
      </c>
      <c r="AN646" s="36">
        <v>6</v>
      </c>
      <c r="AO646" s="36"/>
      <c r="AP646" s="36"/>
      <c r="AQ646" s="36"/>
      <c r="AR646" s="36"/>
      <c r="AS646" s="36"/>
      <c r="AT646" s="36"/>
      <c r="AU646" s="36"/>
      <c r="AV646" s="36"/>
      <c r="AW646" s="36"/>
      <c r="AX646" s="36"/>
      <c r="AY646" s="953"/>
      <c r="AZ646" s="36"/>
      <c r="BA646" s="36"/>
      <c r="BB646" s="36"/>
      <c r="BC646" s="36"/>
      <c r="BD646" s="36"/>
      <c r="BF646">
        <f>ROWS($U$46:U646)</f>
        <v>601</v>
      </c>
      <c r="BG646" t="str">
        <f t="shared" si="213"/>
        <v/>
      </c>
    </row>
    <row r="647" spans="9:59" ht="15" customHeight="1" x14ac:dyDescent="0.35">
      <c r="O647" s="330">
        <v>3</v>
      </c>
      <c r="P647" s="36">
        <v>853551</v>
      </c>
      <c r="Q647" s="36">
        <v>14</v>
      </c>
      <c r="R647" s="36"/>
      <c r="S647" s="36" t="s">
        <v>1207</v>
      </c>
      <c r="T647" s="36" t="s">
        <v>1284</v>
      </c>
      <c r="U647" s="36">
        <v>1090676</v>
      </c>
      <c r="V647" s="165" t="s">
        <v>89</v>
      </c>
      <c r="W647" s="36">
        <v>2</v>
      </c>
      <c r="X647" s="36">
        <v>2</v>
      </c>
      <c r="Y647" s="36">
        <v>2</v>
      </c>
      <c r="Z647" s="36">
        <v>2</v>
      </c>
      <c r="AA647" s="36">
        <v>2</v>
      </c>
      <c r="AB647" s="36">
        <v>2</v>
      </c>
      <c r="AC647" s="36">
        <v>3</v>
      </c>
      <c r="AD647" s="36">
        <v>3</v>
      </c>
      <c r="AE647" s="36">
        <v>4</v>
      </c>
      <c r="AF647" s="36">
        <v>4</v>
      </c>
      <c r="AG647" s="36"/>
      <c r="AH647" s="36"/>
      <c r="AI647" s="36">
        <v>6</v>
      </c>
      <c r="AJ647" s="36">
        <v>6</v>
      </c>
      <c r="AK647" s="36">
        <v>1</v>
      </c>
      <c r="AL647" s="36">
        <v>1</v>
      </c>
      <c r="AM647" s="36">
        <v>1</v>
      </c>
      <c r="AN647" s="36">
        <v>1</v>
      </c>
      <c r="AO647" s="36">
        <v>6</v>
      </c>
      <c r="AP647" s="36"/>
      <c r="AQ647" s="36"/>
      <c r="AR647" s="36"/>
      <c r="AS647" s="36"/>
      <c r="AT647" s="36"/>
      <c r="AU647" s="36"/>
      <c r="AV647" s="36"/>
      <c r="AW647" s="36"/>
      <c r="AX647" s="36"/>
      <c r="AY647" s="953"/>
      <c r="AZ647" s="36"/>
      <c r="BA647" s="36"/>
      <c r="BB647" s="36"/>
      <c r="BC647" s="36"/>
      <c r="BD647" s="36"/>
      <c r="BF647">
        <f>ROWS($U$46:U647)</f>
        <v>602</v>
      </c>
      <c r="BG647" t="str">
        <f t="shared" si="213"/>
        <v/>
      </c>
    </row>
    <row r="648" spans="9:59" ht="15" customHeight="1" x14ac:dyDescent="0.35">
      <c r="O648" s="330">
        <v>4</v>
      </c>
      <c r="P648" s="36">
        <v>418525</v>
      </c>
      <c r="Q648" s="36">
        <v>9</v>
      </c>
      <c r="R648" s="36"/>
      <c r="S648" s="36" t="s">
        <v>1207</v>
      </c>
      <c r="T648" s="36" t="s">
        <v>1284</v>
      </c>
      <c r="U648" s="36">
        <v>1090676</v>
      </c>
      <c r="V648" s="165" t="s">
        <v>90</v>
      </c>
      <c r="W648" s="36">
        <v>2</v>
      </c>
      <c r="X648" s="36">
        <v>2</v>
      </c>
      <c r="Y648" s="36">
        <v>2</v>
      </c>
      <c r="Z648" s="36">
        <v>3</v>
      </c>
      <c r="AA648" s="36">
        <v>3</v>
      </c>
      <c r="AB648" s="36">
        <v>3</v>
      </c>
      <c r="AC648" s="36">
        <v>4</v>
      </c>
      <c r="AD648" s="36">
        <v>5</v>
      </c>
      <c r="AE648" s="36"/>
      <c r="AF648" s="36"/>
      <c r="AG648" s="36"/>
      <c r="AH648" s="36"/>
      <c r="AI648" s="36">
        <v>6</v>
      </c>
      <c r="AJ648" s="36">
        <v>1</v>
      </c>
      <c r="AK648" s="36">
        <v>1</v>
      </c>
      <c r="AL648" s="36">
        <v>1</v>
      </c>
      <c r="AM648" s="36">
        <v>1</v>
      </c>
      <c r="AN648" s="36">
        <v>6</v>
      </c>
      <c r="AO648" s="36"/>
      <c r="AP648" s="36"/>
      <c r="AQ648" s="36"/>
      <c r="AR648" s="36"/>
      <c r="AS648" s="36"/>
      <c r="AT648" s="36"/>
      <c r="AU648" s="36"/>
      <c r="AV648" s="36"/>
      <c r="AW648" s="36"/>
      <c r="AX648" s="36"/>
      <c r="AY648" s="953"/>
      <c r="AZ648" s="36"/>
      <c r="BA648" s="36"/>
      <c r="BB648" s="36"/>
      <c r="BC648" s="36"/>
      <c r="BD648" s="36"/>
      <c r="BF648">
        <f>ROWS($U$46:U648)</f>
        <v>603</v>
      </c>
      <c r="BG648" t="str">
        <f t="shared" si="213"/>
        <v/>
      </c>
    </row>
    <row r="649" spans="9:59" ht="15" customHeight="1" x14ac:dyDescent="0.35">
      <c r="O649" s="330">
        <v>5</v>
      </c>
      <c r="P649" s="36">
        <v>871781</v>
      </c>
      <c r="Q649" s="36">
        <v>3</v>
      </c>
      <c r="R649" s="36"/>
      <c r="S649" s="36" t="s">
        <v>1207</v>
      </c>
      <c r="T649" s="36" t="s">
        <v>1284</v>
      </c>
      <c r="U649" s="36">
        <v>1090676</v>
      </c>
      <c r="V649" s="165" t="s">
        <v>91</v>
      </c>
      <c r="W649" s="36">
        <v>2</v>
      </c>
      <c r="X649" s="36">
        <v>2</v>
      </c>
      <c r="Y649" s="36">
        <v>2</v>
      </c>
      <c r="Z649" s="36">
        <v>2</v>
      </c>
      <c r="AA649" s="36">
        <v>2</v>
      </c>
      <c r="AB649" s="36">
        <v>2</v>
      </c>
      <c r="AC649" s="36">
        <v>3</v>
      </c>
      <c r="AD649" s="36">
        <v>3</v>
      </c>
      <c r="AE649" s="36">
        <v>3</v>
      </c>
      <c r="AF649" s="36">
        <v>4</v>
      </c>
      <c r="AG649" s="36">
        <v>4</v>
      </c>
      <c r="AH649" s="36"/>
      <c r="AI649" s="36">
        <v>6</v>
      </c>
      <c r="AJ649" s="36">
        <v>6</v>
      </c>
      <c r="AK649" s="36">
        <v>6</v>
      </c>
      <c r="AL649" s="36">
        <v>1</v>
      </c>
      <c r="AM649" s="36">
        <v>1</v>
      </c>
      <c r="AN649" s="36">
        <v>1</v>
      </c>
      <c r="AO649" s="36">
        <v>1</v>
      </c>
      <c r="AP649" s="36">
        <v>6</v>
      </c>
      <c r="AQ649" s="36"/>
      <c r="AR649" s="36"/>
      <c r="AS649" s="36"/>
      <c r="AT649" s="36"/>
      <c r="AU649" s="36"/>
      <c r="AV649" s="36"/>
      <c r="AW649" s="36"/>
      <c r="AX649" s="36"/>
      <c r="AY649" s="953"/>
      <c r="AZ649" s="36"/>
      <c r="BA649" s="36"/>
      <c r="BB649" s="36"/>
      <c r="BC649" s="36"/>
      <c r="BD649" s="36"/>
      <c r="BF649">
        <f>ROWS($U$46:U649)</f>
        <v>604</v>
      </c>
      <c r="BG649" t="str">
        <f t="shared" si="213"/>
        <v/>
      </c>
    </row>
    <row r="650" spans="9:59" ht="15" customHeight="1" x14ac:dyDescent="0.35">
      <c r="O650" s="330">
        <v>6</v>
      </c>
      <c r="P650" s="36">
        <v>179734</v>
      </c>
      <c r="Q650" s="36">
        <v>17</v>
      </c>
      <c r="R650" s="36"/>
      <c r="S650" s="36" t="s">
        <v>1207</v>
      </c>
      <c r="T650" s="36" t="s">
        <v>1284</v>
      </c>
      <c r="U650" s="36">
        <v>1090676</v>
      </c>
      <c r="V650" s="165" t="s">
        <v>92</v>
      </c>
      <c r="W650" s="36">
        <v>2</v>
      </c>
      <c r="X650" s="36">
        <v>2</v>
      </c>
      <c r="Y650" s="36">
        <v>2</v>
      </c>
      <c r="Z650" s="36">
        <v>2</v>
      </c>
      <c r="AA650" s="36">
        <v>3</v>
      </c>
      <c r="AB650" s="36">
        <v>3</v>
      </c>
      <c r="AC650" s="36">
        <v>4</v>
      </c>
      <c r="AD650" s="36">
        <v>5</v>
      </c>
      <c r="AE650" s="36"/>
      <c r="AF650" s="36"/>
      <c r="AG650" s="36"/>
      <c r="AH650" s="36"/>
      <c r="AI650" s="36">
        <v>6</v>
      </c>
      <c r="AJ650" s="36">
        <v>1</v>
      </c>
      <c r="AK650" s="36">
        <v>1</v>
      </c>
      <c r="AL650" s="36">
        <v>1</v>
      </c>
      <c r="AM650" s="36">
        <v>1</v>
      </c>
      <c r="AN650" s="36">
        <v>6</v>
      </c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953"/>
      <c r="AZ650" s="36"/>
      <c r="BA650" s="36"/>
      <c r="BB650" s="36"/>
      <c r="BC650" s="36"/>
      <c r="BD650" s="36"/>
      <c r="BF650">
        <f>ROWS($U$46:U650)</f>
        <v>605</v>
      </c>
      <c r="BG650" t="str">
        <f t="shared" si="213"/>
        <v/>
      </c>
    </row>
    <row r="651" spans="9:59" ht="15" customHeight="1" thickBot="1" x14ac:dyDescent="0.4">
      <c r="O651" s="330">
        <v>7</v>
      </c>
      <c r="P651" s="36">
        <v>410851</v>
      </c>
      <c r="Q651" s="36">
        <v>18</v>
      </c>
      <c r="R651" s="36"/>
      <c r="S651" s="36" t="s">
        <v>1207</v>
      </c>
      <c r="T651" s="36" t="s">
        <v>1284</v>
      </c>
      <c r="U651" s="36">
        <v>1090676</v>
      </c>
      <c r="V651" s="165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  <c r="AW651" s="36"/>
      <c r="AX651" s="36"/>
      <c r="AY651" s="953"/>
      <c r="AZ651" s="36"/>
      <c r="BA651" s="36"/>
      <c r="BB651" s="36"/>
      <c r="BC651" s="36"/>
      <c r="BD651" s="36"/>
      <c r="BF651">
        <f>ROWS($U$46:U651)</f>
        <v>606</v>
      </c>
      <c r="BG651" t="str">
        <f t="shared" si="213"/>
        <v/>
      </c>
    </row>
    <row r="652" spans="9:59" ht="15" customHeight="1" x14ac:dyDescent="0.35">
      <c r="N652" t="s">
        <v>1315</v>
      </c>
      <c r="O652" s="329">
        <v>1</v>
      </c>
      <c r="P652" s="320">
        <v>752554</v>
      </c>
      <c r="Q652" s="320">
        <v>6</v>
      </c>
      <c r="R652" s="320"/>
      <c r="S652" s="320" t="s">
        <v>1207</v>
      </c>
      <c r="T652" s="320" t="s">
        <v>1285</v>
      </c>
      <c r="U652" s="320">
        <v>1100518</v>
      </c>
      <c r="V652" s="319" t="s">
        <v>87</v>
      </c>
      <c r="W652" s="320">
        <v>2</v>
      </c>
      <c r="X652" s="320">
        <v>2</v>
      </c>
      <c r="Y652" s="320">
        <v>2</v>
      </c>
      <c r="Z652" s="320">
        <v>2</v>
      </c>
      <c r="AA652" s="320">
        <v>2</v>
      </c>
      <c r="AB652" s="320">
        <v>2</v>
      </c>
      <c r="AC652" s="320">
        <v>2</v>
      </c>
      <c r="AD652" s="320">
        <v>2</v>
      </c>
      <c r="AE652" s="320">
        <v>2</v>
      </c>
      <c r="AF652" s="320">
        <v>1</v>
      </c>
      <c r="AG652" s="320">
        <v>6</v>
      </c>
      <c r="AH652" s="320">
        <v>4</v>
      </c>
      <c r="AI652" s="320"/>
      <c r="AJ652" s="320">
        <v>5</v>
      </c>
      <c r="AK652" s="320">
        <v>3</v>
      </c>
      <c r="AL652" s="320">
        <v>3</v>
      </c>
      <c r="AM652" s="320">
        <v>3</v>
      </c>
      <c r="AN652" s="320"/>
      <c r="AO652" s="320"/>
      <c r="AP652" s="320"/>
      <c r="AQ652" s="320"/>
      <c r="AR652" s="320"/>
      <c r="AS652" s="320"/>
      <c r="AT652" s="320"/>
      <c r="AU652" s="320"/>
      <c r="AV652" s="320"/>
      <c r="AW652" s="320"/>
      <c r="AX652" s="320"/>
      <c r="AY652" s="952"/>
      <c r="AZ652" s="36"/>
      <c r="BA652" s="36"/>
      <c r="BB652" s="36"/>
      <c r="BC652" s="36"/>
      <c r="BD652" s="36"/>
      <c r="BF652">
        <f>ROWS($U$46:U652)</f>
        <v>607</v>
      </c>
      <c r="BG652" t="str">
        <f t="shared" si="213"/>
        <v/>
      </c>
    </row>
    <row r="653" spans="9:59" ht="15" customHeight="1" x14ac:dyDescent="0.35">
      <c r="O653" s="330">
        <v>2</v>
      </c>
      <c r="P653" s="36">
        <v>752556</v>
      </c>
      <c r="Q653" s="36">
        <v>43</v>
      </c>
      <c r="R653" s="36"/>
      <c r="S653" s="36" t="s">
        <v>1207</v>
      </c>
      <c r="T653" s="36" t="s">
        <v>1285</v>
      </c>
      <c r="U653" s="36">
        <v>1100518</v>
      </c>
      <c r="V653" s="165" t="s">
        <v>88</v>
      </c>
      <c r="W653" s="36">
        <v>2</v>
      </c>
      <c r="X653" s="36">
        <v>2</v>
      </c>
      <c r="Y653" s="36">
        <v>2</v>
      </c>
      <c r="Z653" s="36">
        <v>2</v>
      </c>
      <c r="AA653" s="36">
        <v>2</v>
      </c>
      <c r="AB653" s="36">
        <v>2</v>
      </c>
      <c r="AC653" s="36">
        <v>1</v>
      </c>
      <c r="AD653" s="36">
        <v>6</v>
      </c>
      <c r="AE653" s="36">
        <v>4</v>
      </c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  <c r="AW653" s="36"/>
      <c r="AX653" s="36"/>
      <c r="AY653" s="953"/>
      <c r="AZ653" s="36"/>
      <c r="BA653" s="36"/>
      <c r="BB653" s="36"/>
      <c r="BC653" s="36"/>
      <c r="BD653" s="36"/>
      <c r="BF653">
        <f>ROWS($U$46:U653)</f>
        <v>608</v>
      </c>
      <c r="BG653" t="str">
        <f t="shared" si="213"/>
        <v/>
      </c>
    </row>
    <row r="654" spans="9:59" ht="15" customHeight="1" x14ac:dyDescent="0.35">
      <c r="O654" s="330">
        <v>3</v>
      </c>
      <c r="P654" s="36">
        <v>703670</v>
      </c>
      <c r="Q654" s="36">
        <v>9</v>
      </c>
      <c r="R654" s="36"/>
      <c r="S654" s="36" t="s">
        <v>1207</v>
      </c>
      <c r="T654" s="36" t="s">
        <v>1285</v>
      </c>
      <c r="U654" s="36">
        <v>1100518</v>
      </c>
      <c r="V654" s="165" t="s">
        <v>89</v>
      </c>
      <c r="W654" s="36">
        <v>2</v>
      </c>
      <c r="X654" s="36">
        <v>2</v>
      </c>
      <c r="Y654" s="36">
        <v>2</v>
      </c>
      <c r="Z654" s="36">
        <v>2</v>
      </c>
      <c r="AA654" s="36">
        <v>2</v>
      </c>
      <c r="AB654" s="36">
        <v>2</v>
      </c>
      <c r="AC654" s="36">
        <v>2</v>
      </c>
      <c r="AD654" s="36">
        <v>2</v>
      </c>
      <c r="AE654" s="36">
        <v>2</v>
      </c>
      <c r="AF654" s="36">
        <v>1</v>
      </c>
      <c r="AG654" s="36">
        <v>6</v>
      </c>
      <c r="AH654" s="36">
        <v>4</v>
      </c>
      <c r="AI654" s="36"/>
      <c r="AJ654" s="36">
        <v>5</v>
      </c>
      <c r="AK654" s="36">
        <v>3</v>
      </c>
      <c r="AL654" s="36">
        <v>3</v>
      </c>
      <c r="AM654" s="36">
        <v>3</v>
      </c>
      <c r="AN654" s="36"/>
      <c r="AO654" s="36"/>
      <c r="AP654" s="36"/>
      <c r="AQ654" s="36"/>
      <c r="AR654" s="36"/>
      <c r="AS654" s="36"/>
      <c r="AT654" s="36"/>
      <c r="AU654" s="36"/>
      <c r="AV654" s="36"/>
      <c r="AW654" s="36"/>
      <c r="AX654" s="36"/>
      <c r="AY654" s="953"/>
      <c r="AZ654" s="36"/>
      <c r="BA654" s="36"/>
      <c r="BB654" s="36"/>
      <c r="BC654" s="36"/>
      <c r="BD654" s="36"/>
      <c r="BF654">
        <f>ROWS($U$46:U654)</f>
        <v>609</v>
      </c>
      <c r="BG654" t="str">
        <f t="shared" si="213"/>
        <v/>
      </c>
    </row>
    <row r="655" spans="9:59" ht="15" customHeight="1" x14ac:dyDescent="0.35">
      <c r="O655" s="330">
        <v>4</v>
      </c>
      <c r="P655" s="36">
        <v>871781</v>
      </c>
      <c r="Q655" s="36">
        <v>6</v>
      </c>
      <c r="R655" s="36"/>
      <c r="S655" s="36" t="s">
        <v>1207</v>
      </c>
      <c r="T655" s="36" t="s">
        <v>1285</v>
      </c>
      <c r="U655" s="36">
        <v>1100518</v>
      </c>
      <c r="V655" s="165" t="s">
        <v>90</v>
      </c>
      <c r="W655" s="36">
        <v>2</v>
      </c>
      <c r="X655" s="36">
        <v>2</v>
      </c>
      <c r="Y655" s="36">
        <v>2</v>
      </c>
      <c r="Z655" s="36">
        <v>2</v>
      </c>
      <c r="AA655" s="36">
        <v>2</v>
      </c>
      <c r="AB655" s="36">
        <v>1</v>
      </c>
      <c r="AC655" s="36">
        <v>6</v>
      </c>
      <c r="AD655" s="36">
        <v>4</v>
      </c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  <c r="AW655" s="36"/>
      <c r="AX655" s="36"/>
      <c r="AY655" s="953"/>
      <c r="AZ655" s="36"/>
      <c r="BA655" s="36"/>
      <c r="BB655" s="36"/>
      <c r="BC655" s="36"/>
      <c r="BD655" s="36"/>
      <c r="BF655">
        <f>ROWS($U$46:U655)</f>
        <v>610</v>
      </c>
      <c r="BG655" t="str">
        <f t="shared" si="213"/>
        <v/>
      </c>
    </row>
    <row r="656" spans="9:59" ht="15" customHeight="1" x14ac:dyDescent="0.35">
      <c r="O656" s="330">
        <v>5</v>
      </c>
      <c r="P656" s="36">
        <v>717749</v>
      </c>
      <c r="Q656" s="36">
        <v>3</v>
      </c>
      <c r="R656" s="36"/>
      <c r="S656" s="36" t="s">
        <v>1207</v>
      </c>
      <c r="T656" s="36" t="s">
        <v>1285</v>
      </c>
      <c r="U656" s="36">
        <v>1100518</v>
      </c>
      <c r="V656" s="165" t="s">
        <v>91</v>
      </c>
      <c r="W656" s="36">
        <v>2</v>
      </c>
      <c r="X656" s="36">
        <v>2</v>
      </c>
      <c r="Y656" s="36">
        <v>2</v>
      </c>
      <c r="Z656" s="36">
        <v>2</v>
      </c>
      <c r="AA656" s="36">
        <v>2</v>
      </c>
      <c r="AB656" s="36">
        <v>2</v>
      </c>
      <c r="AC656" s="36">
        <v>2</v>
      </c>
      <c r="AD656" s="36">
        <v>2</v>
      </c>
      <c r="AE656" s="36">
        <v>2</v>
      </c>
      <c r="AF656" s="36">
        <v>1</v>
      </c>
      <c r="AG656" s="36">
        <v>6</v>
      </c>
      <c r="AH656" s="36">
        <v>4</v>
      </c>
      <c r="AI656" s="36"/>
      <c r="AJ656" s="36">
        <v>5</v>
      </c>
      <c r="AK656" s="36">
        <v>3</v>
      </c>
      <c r="AL656" s="36">
        <v>3</v>
      </c>
      <c r="AM656" s="36">
        <v>3</v>
      </c>
      <c r="AN656" s="36"/>
      <c r="AO656" s="36"/>
      <c r="AP656" s="36"/>
      <c r="AQ656" s="36"/>
      <c r="AR656" s="36"/>
      <c r="AS656" s="36"/>
      <c r="AT656" s="36"/>
      <c r="AU656" s="36"/>
      <c r="AV656" s="36"/>
      <c r="AW656" s="36"/>
      <c r="AX656" s="36"/>
      <c r="AY656" s="953"/>
      <c r="AZ656" s="36"/>
      <c r="BA656" s="36"/>
      <c r="BB656" s="36"/>
      <c r="BC656" s="36"/>
      <c r="BD656" s="36"/>
      <c r="BF656">
        <f>ROWS($U$46:U656)</f>
        <v>611</v>
      </c>
      <c r="BG656" t="str">
        <f t="shared" si="213"/>
        <v/>
      </c>
    </row>
    <row r="657" spans="14:59" ht="15" customHeight="1" thickBot="1" x14ac:dyDescent="0.4">
      <c r="O657" s="485">
        <v>6</v>
      </c>
      <c r="P657" s="486">
        <v>418525</v>
      </c>
      <c r="Q657" s="486">
        <v>6</v>
      </c>
      <c r="R657" s="486"/>
      <c r="S657" s="486" t="s">
        <v>1207</v>
      </c>
      <c r="T657" s="486" t="s">
        <v>1285</v>
      </c>
      <c r="U657" s="486">
        <v>1100518</v>
      </c>
      <c r="V657" s="487" t="s">
        <v>92</v>
      </c>
      <c r="W657" s="486">
        <v>2</v>
      </c>
      <c r="X657" s="486">
        <v>2</v>
      </c>
      <c r="Y657" s="486">
        <v>2</v>
      </c>
      <c r="Z657" s="486">
        <v>2</v>
      </c>
      <c r="AA657" s="486">
        <v>2</v>
      </c>
      <c r="AB657" s="486">
        <v>1</v>
      </c>
      <c r="AC657" s="486">
        <v>6</v>
      </c>
      <c r="AD657" s="486">
        <v>4</v>
      </c>
      <c r="AE657" s="486"/>
      <c r="AF657" s="486"/>
      <c r="AG657" s="486"/>
      <c r="AH657" s="486"/>
      <c r="AI657" s="486"/>
      <c r="AJ657" s="486"/>
      <c r="AK657" s="486"/>
      <c r="AL657" s="486"/>
      <c r="AM657" s="486"/>
      <c r="AN657" s="486"/>
      <c r="AO657" s="486"/>
      <c r="AP657" s="486"/>
      <c r="AQ657" s="486"/>
      <c r="AR657" s="486"/>
      <c r="AS657" s="486"/>
      <c r="AT657" s="486"/>
      <c r="AU657" s="486"/>
      <c r="AV657" s="486"/>
      <c r="AW657" s="486"/>
      <c r="AX657" s="486"/>
      <c r="AY657" s="151"/>
      <c r="AZ657" s="36"/>
      <c r="BA657" s="36"/>
      <c r="BB657" s="36"/>
      <c r="BC657" s="36"/>
      <c r="BD657" s="36"/>
      <c r="BF657">
        <f>ROWS($U$46:U657)</f>
        <v>612</v>
      </c>
      <c r="BG657" t="str">
        <f t="shared" si="213"/>
        <v/>
      </c>
    </row>
    <row r="658" spans="14:59" ht="15" customHeight="1" x14ac:dyDescent="0.35">
      <c r="O658" s="329">
        <v>1</v>
      </c>
      <c r="P658" s="320">
        <v>933120</v>
      </c>
      <c r="Q658" s="320">
        <v>45</v>
      </c>
      <c r="R658" s="320"/>
      <c r="S658" s="320" t="s">
        <v>1282</v>
      </c>
      <c r="T658" s="320" t="s">
        <v>1291</v>
      </c>
      <c r="U658" s="320">
        <v>1022975</v>
      </c>
      <c r="V658" s="319" t="s">
        <v>87</v>
      </c>
      <c r="W658" s="320">
        <v>5</v>
      </c>
      <c r="X658" s="320">
        <v>5</v>
      </c>
      <c r="Y658" s="320">
        <v>5</v>
      </c>
      <c r="Z658" s="320">
        <v>5</v>
      </c>
      <c r="AA658" s="320">
        <v>5</v>
      </c>
      <c r="AB658" s="320">
        <v>5</v>
      </c>
      <c r="AC658" s="320">
        <v>1</v>
      </c>
      <c r="AD658" s="320">
        <v>1</v>
      </c>
      <c r="AE658" s="320">
        <v>1</v>
      </c>
      <c r="AF658" s="320">
        <v>1</v>
      </c>
      <c r="AG658" s="320">
        <v>1</v>
      </c>
      <c r="AH658" s="320">
        <v>1</v>
      </c>
      <c r="AI658" s="320">
        <v>1</v>
      </c>
      <c r="AJ658" s="320">
        <v>1</v>
      </c>
      <c r="AK658" s="320">
        <v>2</v>
      </c>
      <c r="AL658" s="320">
        <v>3</v>
      </c>
      <c r="AM658" s="320">
        <v>4</v>
      </c>
      <c r="AN658" s="320"/>
      <c r="AO658" s="320">
        <v>6</v>
      </c>
      <c r="AP658" s="320">
        <v>6</v>
      </c>
      <c r="AQ658" s="320"/>
      <c r="AR658" s="320"/>
      <c r="AS658" s="320"/>
      <c r="AT658" s="320"/>
      <c r="AU658" s="320"/>
      <c r="AV658" s="320"/>
      <c r="AW658" s="320"/>
      <c r="AX658" s="320"/>
      <c r="AY658" s="952"/>
      <c r="AZ658" s="36"/>
      <c r="BA658" s="36"/>
      <c r="BB658" s="36"/>
      <c r="BC658" s="36"/>
      <c r="BD658" s="36"/>
      <c r="BF658">
        <f>ROWS($U$46:U658)</f>
        <v>613</v>
      </c>
      <c r="BG658" t="str">
        <f t="shared" si="213"/>
        <v/>
      </c>
    </row>
    <row r="659" spans="14:59" ht="15" customHeight="1" x14ac:dyDescent="0.35">
      <c r="O659" s="330">
        <v>2</v>
      </c>
      <c r="P659" s="36">
        <v>647436</v>
      </c>
      <c r="Q659" s="36">
        <v>8</v>
      </c>
      <c r="R659" s="36"/>
      <c r="S659" s="36" t="s">
        <v>1282</v>
      </c>
      <c r="T659" s="36" t="s">
        <v>1291</v>
      </c>
      <c r="U659" s="36">
        <v>1022975</v>
      </c>
      <c r="V659" s="165" t="s">
        <v>88</v>
      </c>
      <c r="W659" s="36">
        <v>5</v>
      </c>
      <c r="X659" s="36">
        <v>1</v>
      </c>
      <c r="Y659" s="36">
        <v>1</v>
      </c>
      <c r="Z659" s="36">
        <v>1</v>
      </c>
      <c r="AA659" s="36">
        <v>1</v>
      </c>
      <c r="AB659" s="36">
        <v>1</v>
      </c>
      <c r="AC659" s="36">
        <v>1</v>
      </c>
      <c r="AD659" s="36">
        <v>1</v>
      </c>
      <c r="AE659" s="36">
        <v>2</v>
      </c>
      <c r="AF659" s="36">
        <v>3</v>
      </c>
      <c r="AG659" s="36">
        <v>4</v>
      </c>
      <c r="AH659" s="36"/>
      <c r="AI659" s="36"/>
      <c r="AJ659" s="36"/>
      <c r="AK659" s="36"/>
      <c r="AL659" s="36"/>
      <c r="AM659" s="36"/>
      <c r="AN659" s="36"/>
      <c r="AO659" s="36">
        <v>6</v>
      </c>
      <c r="AP659" s="36">
        <v>6</v>
      </c>
      <c r="AQ659" s="36"/>
      <c r="AR659" s="36"/>
      <c r="AS659" s="36"/>
      <c r="AT659" s="36"/>
      <c r="AU659" s="36"/>
      <c r="AV659" s="36"/>
      <c r="AW659" s="36"/>
      <c r="AX659" s="36"/>
      <c r="AY659" s="953"/>
      <c r="AZ659" s="36"/>
      <c r="BA659" s="36"/>
      <c r="BB659" s="36"/>
      <c r="BC659" s="36"/>
      <c r="BD659" s="36"/>
      <c r="BF659">
        <f>ROWS($U$46:U659)</f>
        <v>614</v>
      </c>
      <c r="BG659" t="str">
        <f t="shared" si="213"/>
        <v/>
      </c>
    </row>
    <row r="660" spans="14:59" ht="15" customHeight="1" x14ac:dyDescent="0.35">
      <c r="O660" s="330">
        <v>3</v>
      </c>
      <c r="P660" s="36">
        <v>418525</v>
      </c>
      <c r="Q660" s="36">
        <v>6</v>
      </c>
      <c r="R660" s="36"/>
      <c r="S660" s="36" t="s">
        <v>1282</v>
      </c>
      <c r="T660" s="36" t="s">
        <v>1291</v>
      </c>
      <c r="U660" s="36">
        <v>1022975</v>
      </c>
      <c r="V660" s="165" t="s">
        <v>89</v>
      </c>
      <c r="W660" s="36">
        <v>5</v>
      </c>
      <c r="X660" s="36">
        <v>5</v>
      </c>
      <c r="Y660" s="36">
        <v>5</v>
      </c>
      <c r="Z660" s="36">
        <v>5</v>
      </c>
      <c r="AA660" s="36">
        <v>5</v>
      </c>
      <c r="AB660" s="36">
        <v>1</v>
      </c>
      <c r="AC660" s="36">
        <v>1</v>
      </c>
      <c r="AD660" s="36">
        <v>1</v>
      </c>
      <c r="AE660" s="36">
        <v>1</v>
      </c>
      <c r="AF660" s="36">
        <v>1</v>
      </c>
      <c r="AG660" s="36">
        <v>1</v>
      </c>
      <c r="AH660" s="36">
        <v>1</v>
      </c>
      <c r="AI660" s="36">
        <v>1</v>
      </c>
      <c r="AJ660" s="36">
        <v>2</v>
      </c>
      <c r="AK660" s="36">
        <v>3</v>
      </c>
      <c r="AL660" s="36">
        <v>4</v>
      </c>
      <c r="AM660" s="36"/>
      <c r="AN660" s="36"/>
      <c r="AO660" s="36">
        <v>6</v>
      </c>
      <c r="AP660" s="36">
        <v>6</v>
      </c>
      <c r="AQ660" s="36"/>
      <c r="AR660" s="36"/>
      <c r="AS660" s="36"/>
      <c r="AT660" s="36"/>
      <c r="AU660" s="36"/>
      <c r="AV660" s="36"/>
      <c r="AW660" s="36"/>
      <c r="AX660" s="36"/>
      <c r="AY660" s="953"/>
      <c r="AZ660" s="36"/>
      <c r="BA660" s="36"/>
      <c r="BB660" s="36"/>
      <c r="BC660" s="36"/>
      <c r="BD660" s="36"/>
      <c r="BF660">
        <f>ROWS($U$46:U660)</f>
        <v>615</v>
      </c>
      <c r="BG660" t="str">
        <f t="shared" si="213"/>
        <v/>
      </c>
    </row>
    <row r="661" spans="14:59" ht="15" customHeight="1" x14ac:dyDescent="0.35">
      <c r="O661" s="330">
        <v>4</v>
      </c>
      <c r="P661" s="36">
        <v>871781</v>
      </c>
      <c r="Q661" s="36">
        <v>6</v>
      </c>
      <c r="R661" s="36"/>
      <c r="S661" s="36" t="s">
        <v>1282</v>
      </c>
      <c r="T661" s="36" t="s">
        <v>1291</v>
      </c>
      <c r="U661" s="36">
        <v>1022975</v>
      </c>
      <c r="V661" s="165" t="s">
        <v>90</v>
      </c>
      <c r="W661" s="36">
        <v>1</v>
      </c>
      <c r="X661" s="36">
        <v>1</v>
      </c>
      <c r="Y661" s="36">
        <v>1</v>
      </c>
      <c r="Z661" s="36">
        <v>1</v>
      </c>
      <c r="AA661" s="36">
        <v>1</v>
      </c>
      <c r="AB661" s="36">
        <v>1</v>
      </c>
      <c r="AC661" s="36">
        <v>1</v>
      </c>
      <c r="AD661" s="36">
        <v>2</v>
      </c>
      <c r="AE661" s="36">
        <v>3</v>
      </c>
      <c r="AF661" s="36">
        <v>4</v>
      </c>
      <c r="AG661" s="36"/>
      <c r="AH661" s="36"/>
      <c r="AI661" s="36"/>
      <c r="AJ661" s="36"/>
      <c r="AK661" s="36"/>
      <c r="AL661" s="36"/>
      <c r="AM661" s="36"/>
      <c r="AN661" s="36"/>
      <c r="AO661" s="36">
        <v>6</v>
      </c>
      <c r="AP661" s="36">
        <v>6</v>
      </c>
      <c r="AQ661" s="36"/>
      <c r="AR661" s="36"/>
      <c r="AS661" s="36"/>
      <c r="AT661" s="36"/>
      <c r="AU661" s="36"/>
      <c r="AV661" s="36"/>
      <c r="AW661" s="36"/>
      <c r="AX661" s="36"/>
      <c r="AY661" s="953"/>
      <c r="AZ661" s="36"/>
      <c r="BA661" s="36"/>
      <c r="BB661" s="36"/>
      <c r="BC661" s="36"/>
      <c r="BD661" s="36"/>
      <c r="BF661">
        <f>ROWS($U$46:U661)</f>
        <v>616</v>
      </c>
      <c r="BG661" t="str">
        <f t="shared" si="213"/>
        <v/>
      </c>
    </row>
    <row r="662" spans="14:59" ht="15" customHeight="1" x14ac:dyDescent="0.35">
      <c r="O662" s="330">
        <v>5</v>
      </c>
      <c r="P662" s="36">
        <v>179793</v>
      </c>
      <c r="Q662" s="36">
        <v>16</v>
      </c>
      <c r="R662" s="36"/>
      <c r="S662" s="36" t="s">
        <v>1282</v>
      </c>
      <c r="T662" s="36" t="s">
        <v>1291</v>
      </c>
      <c r="U662" s="36">
        <v>1022975</v>
      </c>
      <c r="V662" s="165" t="s">
        <v>91</v>
      </c>
      <c r="W662" s="36">
        <v>5</v>
      </c>
      <c r="X662" s="36">
        <v>2</v>
      </c>
      <c r="Y662" s="36">
        <v>2</v>
      </c>
      <c r="Z662" s="36">
        <v>5</v>
      </c>
      <c r="AA662" s="36">
        <v>5</v>
      </c>
      <c r="AB662" s="36">
        <v>5</v>
      </c>
      <c r="AC662" s="36">
        <v>1</v>
      </c>
      <c r="AD662" s="36">
        <v>1</v>
      </c>
      <c r="AE662" s="36">
        <v>1</v>
      </c>
      <c r="AF662" s="36">
        <v>1</v>
      </c>
      <c r="AG662" s="36">
        <v>1</v>
      </c>
      <c r="AH662" s="36">
        <v>1</v>
      </c>
      <c r="AI662" s="36">
        <v>1</v>
      </c>
      <c r="AJ662" s="36">
        <v>2</v>
      </c>
      <c r="AK662" s="36">
        <v>3</v>
      </c>
      <c r="AL662" s="36">
        <v>4</v>
      </c>
      <c r="AM662" s="36"/>
      <c r="AN662" s="36"/>
      <c r="AO662" s="36">
        <v>6</v>
      </c>
      <c r="AP662" s="36">
        <v>6</v>
      </c>
      <c r="AQ662" s="36"/>
      <c r="AR662" s="36"/>
      <c r="AS662" s="36"/>
      <c r="AT662" s="36"/>
      <c r="AU662" s="36"/>
      <c r="AV662" s="36"/>
      <c r="AW662" s="36"/>
      <c r="AX662" s="36"/>
      <c r="AY662" s="953"/>
      <c r="AZ662" s="36"/>
      <c r="BA662" s="36"/>
      <c r="BB662" s="36"/>
      <c r="BC662" s="36"/>
      <c r="BD662" s="36"/>
      <c r="BF662">
        <f>ROWS($U$46:U662)</f>
        <v>617</v>
      </c>
      <c r="BG662" t="str">
        <f t="shared" si="213"/>
        <v/>
      </c>
    </row>
    <row r="663" spans="14:59" ht="15" customHeight="1" x14ac:dyDescent="0.35">
      <c r="O663" s="330">
        <v>6</v>
      </c>
      <c r="P663" s="36">
        <v>179734</v>
      </c>
      <c r="Q663" s="36">
        <v>12</v>
      </c>
      <c r="R663" s="36"/>
      <c r="S663" s="36" t="s">
        <v>1282</v>
      </c>
      <c r="T663" s="36" t="s">
        <v>1291</v>
      </c>
      <c r="U663" s="36">
        <v>1022975</v>
      </c>
      <c r="V663" s="165" t="s">
        <v>92</v>
      </c>
      <c r="W663" s="36">
        <v>1</v>
      </c>
      <c r="X663" s="36">
        <v>1</v>
      </c>
      <c r="Y663" s="36">
        <v>1</v>
      </c>
      <c r="Z663" s="36">
        <v>1</v>
      </c>
      <c r="AA663" s="36">
        <v>1</v>
      </c>
      <c r="AB663" s="36">
        <v>1</v>
      </c>
      <c r="AC663" s="36">
        <v>1</v>
      </c>
      <c r="AD663" s="36">
        <v>1</v>
      </c>
      <c r="AE663" s="36">
        <v>2</v>
      </c>
      <c r="AF663" s="36">
        <v>3</v>
      </c>
      <c r="AG663" s="36">
        <v>4</v>
      </c>
      <c r="AH663" s="36"/>
      <c r="AI663" s="36"/>
      <c r="AJ663" s="36"/>
      <c r="AK663" s="36"/>
      <c r="AL663" s="36"/>
      <c r="AM663" s="36"/>
      <c r="AN663" s="36"/>
      <c r="AO663" s="36">
        <v>6</v>
      </c>
      <c r="AP663" s="36">
        <v>6</v>
      </c>
      <c r="AQ663" s="36"/>
      <c r="AR663" s="36"/>
      <c r="AS663" s="36"/>
      <c r="AT663" s="36"/>
      <c r="AU663" s="36"/>
      <c r="AV663" s="36"/>
      <c r="AW663" s="36"/>
      <c r="AX663" s="36"/>
      <c r="AY663" s="953"/>
      <c r="AZ663" s="36"/>
      <c r="BA663" s="36"/>
      <c r="BB663" s="36"/>
      <c r="BC663" s="36"/>
      <c r="BD663" s="36"/>
      <c r="BF663">
        <f>ROWS($U$46:U663)</f>
        <v>618</v>
      </c>
      <c r="BG663" t="str">
        <f t="shared" si="213"/>
        <v/>
      </c>
    </row>
    <row r="664" spans="14:59" ht="15" customHeight="1" thickBot="1" x14ac:dyDescent="0.4">
      <c r="O664" s="331">
        <v>7</v>
      </c>
      <c r="P664" s="328">
        <v>410851</v>
      </c>
      <c r="Q664" s="328">
        <v>12</v>
      </c>
      <c r="R664" s="328"/>
      <c r="S664" s="328" t="s">
        <v>1282</v>
      </c>
      <c r="T664" s="328" t="s">
        <v>1291</v>
      </c>
      <c r="U664" s="328">
        <v>1022975</v>
      </c>
      <c r="V664" s="327"/>
      <c r="W664" s="328"/>
      <c r="X664" s="328"/>
      <c r="Y664" s="328"/>
      <c r="Z664" s="328"/>
      <c r="AA664" s="328"/>
      <c r="AB664" s="328"/>
      <c r="AC664" s="328"/>
      <c r="AD664" s="328"/>
      <c r="AE664" s="328"/>
      <c r="AF664" s="328"/>
      <c r="AG664" s="328"/>
      <c r="AH664" s="328"/>
      <c r="AI664" s="328"/>
      <c r="AJ664" s="328"/>
      <c r="AK664" s="328"/>
      <c r="AL664" s="328"/>
      <c r="AM664" s="328"/>
      <c r="AN664" s="328"/>
      <c r="AO664" s="328"/>
      <c r="AP664" s="328"/>
      <c r="AQ664" s="328"/>
      <c r="AR664" s="328"/>
      <c r="AS664" s="328"/>
      <c r="AT664" s="328"/>
      <c r="AU664" s="328"/>
      <c r="AV664" s="328"/>
      <c r="AW664" s="328"/>
      <c r="AX664" s="328"/>
      <c r="AY664" s="954"/>
      <c r="AZ664" s="36"/>
      <c r="BA664" s="36"/>
      <c r="BB664" s="36"/>
      <c r="BC664" s="36"/>
      <c r="BD664" s="36"/>
      <c r="BF664">
        <f>ROWS($U$46:U664)</f>
        <v>619</v>
      </c>
      <c r="BG664" t="str">
        <f t="shared" si="213"/>
        <v/>
      </c>
    </row>
    <row r="665" spans="14:59" ht="15" customHeight="1" x14ac:dyDescent="0.35">
      <c r="O665" s="329">
        <v>1</v>
      </c>
      <c r="P665" s="320">
        <v>933120</v>
      </c>
      <c r="Q665" s="320">
        <v>45</v>
      </c>
      <c r="R665" s="320"/>
      <c r="S665" s="320" t="s">
        <v>1282</v>
      </c>
      <c r="T665" s="320" t="s">
        <v>1291</v>
      </c>
      <c r="U665" s="320">
        <v>1002926</v>
      </c>
      <c r="V665" s="319" t="s">
        <v>87</v>
      </c>
      <c r="W665" s="320">
        <v>5</v>
      </c>
      <c r="X665" s="320">
        <v>5</v>
      </c>
      <c r="Y665" s="320">
        <v>5</v>
      </c>
      <c r="Z665" s="320">
        <v>5</v>
      </c>
      <c r="AA665" s="320">
        <v>5</v>
      </c>
      <c r="AB665" s="320">
        <v>5</v>
      </c>
      <c r="AC665" s="320">
        <v>1</v>
      </c>
      <c r="AD665" s="320">
        <v>1</v>
      </c>
      <c r="AE665" s="320">
        <v>1</v>
      </c>
      <c r="AF665" s="320">
        <v>1</v>
      </c>
      <c r="AG665" s="320">
        <v>1</v>
      </c>
      <c r="AH665" s="320">
        <v>1</v>
      </c>
      <c r="AI665" s="320">
        <v>1</v>
      </c>
      <c r="AJ665" s="320">
        <v>1</v>
      </c>
      <c r="AK665" s="320">
        <v>2</v>
      </c>
      <c r="AL665" s="320">
        <v>3</v>
      </c>
      <c r="AM665" s="320">
        <v>4</v>
      </c>
      <c r="AN665" s="320"/>
      <c r="AO665" s="320">
        <v>6</v>
      </c>
      <c r="AP665" s="320">
        <v>6</v>
      </c>
      <c r="AQ665" s="320"/>
      <c r="AR665" s="320"/>
      <c r="AS665" s="320"/>
      <c r="AT665" s="320"/>
      <c r="AU665" s="320"/>
      <c r="AV665" s="320"/>
      <c r="AW665" s="320"/>
      <c r="AX665" s="320"/>
      <c r="AY665" s="952"/>
      <c r="AZ665" s="36"/>
      <c r="BA665" s="36"/>
      <c r="BB665" s="36"/>
      <c r="BC665" s="36"/>
      <c r="BD665" s="36"/>
      <c r="BF665">
        <f>ROWS($U$46:U665)</f>
        <v>620</v>
      </c>
      <c r="BG665" t="str">
        <f t="shared" si="213"/>
        <v/>
      </c>
    </row>
    <row r="666" spans="14:59" ht="15" customHeight="1" x14ac:dyDescent="0.35">
      <c r="O666" s="330">
        <v>2</v>
      </c>
      <c r="P666" s="36">
        <v>647436</v>
      </c>
      <c r="Q666" s="36">
        <v>8</v>
      </c>
      <c r="R666" s="36"/>
      <c r="S666" s="36" t="s">
        <v>1282</v>
      </c>
      <c r="T666" s="36" t="s">
        <v>1291</v>
      </c>
      <c r="U666" s="36">
        <v>1002926</v>
      </c>
      <c r="V666" s="165" t="s">
        <v>88</v>
      </c>
      <c r="W666" s="36">
        <v>5</v>
      </c>
      <c r="X666" s="36">
        <v>1</v>
      </c>
      <c r="Y666" s="36">
        <v>1</v>
      </c>
      <c r="Z666" s="36">
        <v>1</v>
      </c>
      <c r="AA666" s="36">
        <v>1</v>
      </c>
      <c r="AB666" s="36">
        <v>1</v>
      </c>
      <c r="AC666" s="36">
        <v>1</v>
      </c>
      <c r="AD666" s="36">
        <v>1</v>
      </c>
      <c r="AE666" s="36">
        <v>2</v>
      </c>
      <c r="AF666" s="36">
        <v>3</v>
      </c>
      <c r="AG666" s="36">
        <v>4</v>
      </c>
      <c r="AH666" s="36"/>
      <c r="AI666" s="36"/>
      <c r="AJ666" s="36"/>
      <c r="AK666" s="36"/>
      <c r="AL666" s="36"/>
      <c r="AM666" s="36"/>
      <c r="AN666" s="36"/>
      <c r="AO666" s="36">
        <v>6</v>
      </c>
      <c r="AP666" s="36">
        <v>6</v>
      </c>
      <c r="AQ666" s="36"/>
      <c r="AR666" s="36"/>
      <c r="AS666" s="36"/>
      <c r="AT666" s="36"/>
      <c r="AU666" s="36"/>
      <c r="AV666" s="36"/>
      <c r="AW666" s="36"/>
      <c r="AX666" s="36"/>
      <c r="AY666" s="953"/>
      <c r="AZ666" s="36"/>
      <c r="BA666" s="36"/>
      <c r="BB666" s="36"/>
      <c r="BC666" s="36"/>
      <c r="BD666" s="36"/>
      <c r="BF666">
        <f>ROWS($U$46:U666)</f>
        <v>621</v>
      </c>
      <c r="BG666" t="str">
        <f t="shared" si="213"/>
        <v/>
      </c>
    </row>
    <row r="667" spans="14:59" ht="15" customHeight="1" x14ac:dyDescent="0.35">
      <c r="O667" s="330">
        <v>3</v>
      </c>
      <c r="P667" s="36">
        <v>418525</v>
      </c>
      <c r="Q667" s="36">
        <v>6</v>
      </c>
      <c r="R667" s="36"/>
      <c r="S667" s="36" t="s">
        <v>1282</v>
      </c>
      <c r="T667" s="36" t="s">
        <v>1291</v>
      </c>
      <c r="U667" s="36">
        <v>1002926</v>
      </c>
      <c r="V667" s="165" t="s">
        <v>89</v>
      </c>
      <c r="W667" s="36">
        <v>5</v>
      </c>
      <c r="X667" s="36">
        <v>5</v>
      </c>
      <c r="Y667" s="36">
        <v>5</v>
      </c>
      <c r="Z667" s="36">
        <v>5</v>
      </c>
      <c r="AA667" s="36">
        <v>5</v>
      </c>
      <c r="AB667" s="36">
        <v>1</v>
      </c>
      <c r="AC667" s="36">
        <v>1</v>
      </c>
      <c r="AD667" s="36">
        <v>1</v>
      </c>
      <c r="AE667" s="36">
        <v>1</v>
      </c>
      <c r="AF667" s="36">
        <v>1</v>
      </c>
      <c r="AG667" s="36">
        <v>1</v>
      </c>
      <c r="AH667" s="36">
        <v>1</v>
      </c>
      <c r="AI667" s="36">
        <v>1</v>
      </c>
      <c r="AJ667" s="36">
        <v>2</v>
      </c>
      <c r="AK667" s="36">
        <v>3</v>
      </c>
      <c r="AL667" s="36">
        <v>4</v>
      </c>
      <c r="AM667" s="36"/>
      <c r="AN667" s="36"/>
      <c r="AO667" s="36">
        <v>6</v>
      </c>
      <c r="AP667" s="36">
        <v>6</v>
      </c>
      <c r="AQ667" s="36"/>
      <c r="AR667" s="36"/>
      <c r="AS667" s="36"/>
      <c r="AT667" s="36"/>
      <c r="AU667" s="36"/>
      <c r="AV667" s="36"/>
      <c r="AW667" s="36"/>
      <c r="AX667" s="36"/>
      <c r="AY667" s="953"/>
      <c r="AZ667" s="36"/>
      <c r="BA667" s="36"/>
      <c r="BB667" s="36"/>
      <c r="BC667" s="36"/>
      <c r="BD667" s="36"/>
      <c r="BF667">
        <f>ROWS($U$46:U667)</f>
        <v>622</v>
      </c>
      <c r="BG667" t="str">
        <f t="shared" si="213"/>
        <v/>
      </c>
    </row>
    <row r="668" spans="14:59" ht="15" customHeight="1" x14ac:dyDescent="0.35">
      <c r="O668" s="330">
        <v>4</v>
      </c>
      <c r="P668" s="36">
        <v>871781</v>
      </c>
      <c r="Q668" s="36">
        <v>6</v>
      </c>
      <c r="R668" s="36"/>
      <c r="S668" s="36" t="s">
        <v>1282</v>
      </c>
      <c r="T668" s="36" t="s">
        <v>1291</v>
      </c>
      <c r="U668" s="36">
        <v>1002926</v>
      </c>
      <c r="V668" s="165" t="s">
        <v>90</v>
      </c>
      <c r="W668" s="36">
        <v>1</v>
      </c>
      <c r="X668" s="36">
        <v>1</v>
      </c>
      <c r="Y668" s="36">
        <v>1</v>
      </c>
      <c r="Z668" s="36">
        <v>1</v>
      </c>
      <c r="AA668" s="36">
        <v>1</v>
      </c>
      <c r="AB668" s="36">
        <v>1</v>
      </c>
      <c r="AC668" s="36">
        <v>1</v>
      </c>
      <c r="AD668" s="36">
        <v>2</v>
      </c>
      <c r="AE668" s="36">
        <v>3</v>
      </c>
      <c r="AF668" s="36">
        <v>4</v>
      </c>
      <c r="AG668" s="36"/>
      <c r="AH668" s="36"/>
      <c r="AI668" s="36"/>
      <c r="AJ668" s="36"/>
      <c r="AK668" s="36"/>
      <c r="AL668" s="36"/>
      <c r="AM668" s="36"/>
      <c r="AN668" s="36"/>
      <c r="AO668" s="36">
        <v>6</v>
      </c>
      <c r="AP668" s="36">
        <v>6</v>
      </c>
      <c r="AQ668" s="36"/>
      <c r="AR668" s="36"/>
      <c r="AS668" s="36"/>
      <c r="AT668" s="36"/>
      <c r="AU668" s="36"/>
      <c r="AV668" s="36"/>
      <c r="AW668" s="36"/>
      <c r="AX668" s="36"/>
      <c r="AY668" s="953"/>
      <c r="AZ668" s="36"/>
      <c r="BA668" s="36"/>
      <c r="BB668" s="36"/>
      <c r="BC668" s="36"/>
      <c r="BD668" s="36"/>
      <c r="BF668">
        <f>ROWS($U$46:U668)</f>
        <v>623</v>
      </c>
      <c r="BG668" t="str">
        <f t="shared" si="213"/>
        <v/>
      </c>
    </row>
    <row r="669" spans="14:59" ht="15" customHeight="1" x14ac:dyDescent="0.35">
      <c r="O669" s="330">
        <v>5</v>
      </c>
      <c r="P669" s="36">
        <v>179793</v>
      </c>
      <c r="Q669" s="36">
        <v>16</v>
      </c>
      <c r="R669" s="36"/>
      <c r="S669" s="36" t="s">
        <v>1282</v>
      </c>
      <c r="T669" s="36" t="s">
        <v>1291</v>
      </c>
      <c r="U669" s="36">
        <v>1002926</v>
      </c>
      <c r="V669" s="165" t="s">
        <v>91</v>
      </c>
      <c r="W669" s="36">
        <v>5</v>
      </c>
      <c r="X669" s="36">
        <v>5</v>
      </c>
      <c r="Y669" s="36">
        <v>5</v>
      </c>
      <c r="Z669" s="36">
        <v>5</v>
      </c>
      <c r="AA669" s="36">
        <v>5</v>
      </c>
      <c r="AB669" s="36">
        <v>5</v>
      </c>
      <c r="AC669" s="36">
        <v>1</v>
      </c>
      <c r="AD669" s="36">
        <v>1</v>
      </c>
      <c r="AE669" s="36">
        <v>1</v>
      </c>
      <c r="AF669" s="36">
        <v>1</v>
      </c>
      <c r="AG669" s="36">
        <v>1</v>
      </c>
      <c r="AH669" s="36">
        <v>1</v>
      </c>
      <c r="AI669" s="36">
        <v>1</v>
      </c>
      <c r="AJ669" s="36">
        <v>2</v>
      </c>
      <c r="AK669" s="36">
        <v>3</v>
      </c>
      <c r="AL669" s="36">
        <v>4</v>
      </c>
      <c r="AM669" s="36"/>
      <c r="AN669" s="36"/>
      <c r="AO669" s="36">
        <v>6</v>
      </c>
      <c r="AP669" s="36">
        <v>6</v>
      </c>
      <c r="AQ669" s="36"/>
      <c r="AR669" s="36"/>
      <c r="AS669" s="36"/>
      <c r="AT669" s="36"/>
      <c r="AU669" s="36"/>
      <c r="AV669" s="36"/>
      <c r="AW669" s="36"/>
      <c r="AX669" s="36"/>
      <c r="AY669" s="953"/>
      <c r="AZ669" s="36"/>
      <c r="BA669" s="36"/>
      <c r="BB669" s="36"/>
      <c r="BC669" s="36"/>
      <c r="BD669" s="36"/>
      <c r="BF669">
        <f>ROWS($U$46:U669)</f>
        <v>624</v>
      </c>
      <c r="BG669" t="str">
        <f t="shared" si="213"/>
        <v/>
      </c>
    </row>
    <row r="670" spans="14:59" ht="15" customHeight="1" x14ac:dyDescent="0.35">
      <c r="O670" s="330">
        <v>6</v>
      </c>
      <c r="P670" s="36">
        <v>179734</v>
      </c>
      <c r="Q670" s="36">
        <v>12</v>
      </c>
      <c r="R670" s="36"/>
      <c r="S670" s="36" t="s">
        <v>1282</v>
      </c>
      <c r="T670" s="36" t="s">
        <v>1291</v>
      </c>
      <c r="U670" s="36">
        <v>1002926</v>
      </c>
      <c r="V670" s="165" t="s">
        <v>92</v>
      </c>
      <c r="W670" s="36">
        <v>1</v>
      </c>
      <c r="X670" s="36">
        <v>1</v>
      </c>
      <c r="Y670" s="36">
        <v>1</v>
      </c>
      <c r="Z670" s="36">
        <v>1</v>
      </c>
      <c r="AA670" s="36">
        <v>1</v>
      </c>
      <c r="AB670" s="36">
        <v>1</v>
      </c>
      <c r="AC670" s="36">
        <v>1</v>
      </c>
      <c r="AD670" s="36">
        <v>1</v>
      </c>
      <c r="AE670" s="36">
        <v>2</v>
      </c>
      <c r="AF670" s="36">
        <v>3</v>
      </c>
      <c r="AG670" s="36">
        <v>4</v>
      </c>
      <c r="AH670" s="36"/>
      <c r="AI670" s="36"/>
      <c r="AJ670" s="36"/>
      <c r="AK670" s="36"/>
      <c r="AL670" s="36"/>
      <c r="AM670" s="36"/>
      <c r="AN670" s="36"/>
      <c r="AO670" s="36">
        <v>6</v>
      </c>
      <c r="AP670" s="36">
        <v>6</v>
      </c>
      <c r="AQ670" s="36"/>
      <c r="AR670" s="36"/>
      <c r="AS670" s="36"/>
      <c r="AT670" s="36"/>
      <c r="AU670" s="36"/>
      <c r="AV670" s="36"/>
      <c r="AW670" s="36"/>
      <c r="AX670" s="36"/>
      <c r="AY670" s="953"/>
      <c r="AZ670" s="36"/>
      <c r="BA670" s="36"/>
      <c r="BB670" s="36"/>
      <c r="BC670" s="36"/>
      <c r="BD670" s="36"/>
      <c r="BF670">
        <f>ROWS($U$46:U670)</f>
        <v>625</v>
      </c>
      <c r="BG670" t="str">
        <f t="shared" si="213"/>
        <v/>
      </c>
    </row>
    <row r="671" spans="14:59" ht="15" customHeight="1" thickBot="1" x14ac:dyDescent="0.4">
      <c r="O671" s="331">
        <v>7</v>
      </c>
      <c r="P671" s="328">
        <v>410851</v>
      </c>
      <c r="Q671" s="328">
        <v>12</v>
      </c>
      <c r="R671" s="328"/>
      <c r="S671" s="328" t="s">
        <v>1282</v>
      </c>
      <c r="T671" s="328" t="s">
        <v>1291</v>
      </c>
      <c r="U671" s="328">
        <v>1002926</v>
      </c>
      <c r="V671" s="327"/>
      <c r="W671" s="328"/>
      <c r="X671" s="328"/>
      <c r="Y671" s="328"/>
      <c r="Z671" s="328"/>
      <c r="AA671" s="328"/>
      <c r="AB671" s="328"/>
      <c r="AC671" s="328"/>
      <c r="AD671" s="328"/>
      <c r="AE671" s="328"/>
      <c r="AF671" s="328"/>
      <c r="AG671" s="328"/>
      <c r="AH671" s="328"/>
      <c r="AI671" s="328"/>
      <c r="AJ671" s="328"/>
      <c r="AK671" s="328"/>
      <c r="AL671" s="328"/>
      <c r="AM671" s="328"/>
      <c r="AN671" s="328"/>
      <c r="AO671" s="328"/>
      <c r="AP671" s="328"/>
      <c r="AQ671" s="328"/>
      <c r="AR671" s="328"/>
      <c r="AS671" s="328"/>
      <c r="AT671" s="328"/>
      <c r="AU671" s="328"/>
      <c r="AV671" s="328"/>
      <c r="AW671" s="328"/>
      <c r="AX671" s="328"/>
      <c r="AY671" s="954"/>
      <c r="AZ671" s="36"/>
      <c r="BA671" s="36"/>
      <c r="BB671" s="36"/>
      <c r="BC671" s="36"/>
      <c r="BD671" s="36"/>
      <c r="BF671">
        <f>ROWS($U$46:U671)</f>
        <v>626</v>
      </c>
      <c r="BG671" t="str">
        <f t="shared" si="213"/>
        <v/>
      </c>
    </row>
    <row r="672" spans="14:59" ht="15" customHeight="1" x14ac:dyDescent="0.35">
      <c r="N672" t="s">
        <v>1315</v>
      </c>
      <c r="O672" s="329">
        <v>1</v>
      </c>
      <c r="P672" s="320">
        <v>752554</v>
      </c>
      <c r="Q672" s="320">
        <v>6</v>
      </c>
      <c r="R672" s="320"/>
      <c r="S672" s="320" t="s">
        <v>1207</v>
      </c>
      <c r="T672" s="320" t="s">
        <v>1293</v>
      </c>
      <c r="U672" s="320">
        <v>870489</v>
      </c>
      <c r="V672" s="319" t="s">
        <v>87</v>
      </c>
      <c r="W672" s="320">
        <v>2</v>
      </c>
      <c r="X672" s="320">
        <v>2</v>
      </c>
      <c r="Y672" s="320">
        <v>2</v>
      </c>
      <c r="Z672" s="320">
        <v>2</v>
      </c>
      <c r="AA672" s="320">
        <v>2</v>
      </c>
      <c r="AB672" s="320">
        <v>2</v>
      </c>
      <c r="AC672" s="320">
        <v>2</v>
      </c>
      <c r="AD672" s="320">
        <v>2</v>
      </c>
      <c r="AE672" s="320">
        <v>2</v>
      </c>
      <c r="AF672" s="320">
        <v>1</v>
      </c>
      <c r="AG672" s="320">
        <v>6</v>
      </c>
      <c r="AH672" s="320">
        <v>3</v>
      </c>
      <c r="AI672" s="320"/>
      <c r="AJ672" s="320">
        <v>5</v>
      </c>
      <c r="AK672" s="320">
        <v>3</v>
      </c>
      <c r="AL672" s="320">
        <v>3</v>
      </c>
      <c r="AM672" s="320">
        <v>3</v>
      </c>
      <c r="AN672" s="320"/>
      <c r="AO672" s="320"/>
      <c r="AP672" s="320"/>
      <c r="AQ672" s="320"/>
      <c r="AR672" s="320"/>
      <c r="AS672" s="320"/>
      <c r="AT672" s="320"/>
      <c r="AU672" s="320"/>
      <c r="AV672" s="320"/>
      <c r="AW672" s="320"/>
      <c r="AX672" s="320"/>
      <c r="AY672" s="952"/>
      <c r="AZ672" s="36"/>
      <c r="BA672" s="36"/>
      <c r="BB672" s="36"/>
      <c r="BC672" s="36"/>
      <c r="BD672" s="36"/>
      <c r="BF672">
        <f>ROWS($U$46:U672)</f>
        <v>627</v>
      </c>
      <c r="BG672" t="str">
        <f t="shared" si="213"/>
        <v/>
      </c>
    </row>
    <row r="673" spans="15:59" ht="15" customHeight="1" x14ac:dyDescent="0.35">
      <c r="O673" s="330">
        <v>2</v>
      </c>
      <c r="P673" s="36">
        <v>752556</v>
      </c>
      <c r="Q673" s="36">
        <v>43</v>
      </c>
      <c r="R673" s="36"/>
      <c r="S673" s="36" t="s">
        <v>1207</v>
      </c>
      <c r="T673" s="36" t="s">
        <v>1293</v>
      </c>
      <c r="U673" s="36">
        <v>870489</v>
      </c>
      <c r="V673" s="165" t="s">
        <v>88</v>
      </c>
      <c r="W673" s="36">
        <v>2</v>
      </c>
      <c r="X673" s="36">
        <v>2</v>
      </c>
      <c r="Y673" s="36">
        <v>2</v>
      </c>
      <c r="Z673" s="36">
        <v>2</v>
      </c>
      <c r="AA673" s="36">
        <v>2</v>
      </c>
      <c r="AB673" s="36">
        <v>2</v>
      </c>
      <c r="AC673" s="36">
        <v>1</v>
      </c>
      <c r="AD673" s="36">
        <v>6</v>
      </c>
      <c r="AE673" s="36">
        <v>3</v>
      </c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953"/>
      <c r="AZ673" s="36"/>
      <c r="BA673" s="36"/>
      <c r="BB673" s="36"/>
      <c r="BC673" s="36"/>
      <c r="BD673" s="36"/>
      <c r="BF673">
        <f>ROWS($U$46:U673)</f>
        <v>628</v>
      </c>
      <c r="BG673" t="str">
        <f t="shared" si="213"/>
        <v/>
      </c>
    </row>
    <row r="674" spans="15:59" ht="15" customHeight="1" x14ac:dyDescent="0.35">
      <c r="O674" s="330">
        <v>3</v>
      </c>
      <c r="P674" s="36">
        <v>703670</v>
      </c>
      <c r="Q674" s="36">
        <v>15</v>
      </c>
      <c r="R674" s="36"/>
      <c r="S674" s="36" t="s">
        <v>1207</v>
      </c>
      <c r="T674" s="36" t="s">
        <v>1293</v>
      </c>
      <c r="U674" s="36">
        <v>870489</v>
      </c>
      <c r="V674" s="165" t="s">
        <v>89</v>
      </c>
      <c r="W674" s="36">
        <v>2</v>
      </c>
      <c r="X674" s="36">
        <v>2</v>
      </c>
      <c r="Y674" s="36">
        <v>2</v>
      </c>
      <c r="Z674" s="36">
        <v>2</v>
      </c>
      <c r="AA674" s="36">
        <v>2</v>
      </c>
      <c r="AB674" s="36">
        <v>2</v>
      </c>
      <c r="AC674" s="36">
        <v>2</v>
      </c>
      <c r="AD674" s="36">
        <v>2</v>
      </c>
      <c r="AE674" s="36">
        <v>2</v>
      </c>
      <c r="AF674" s="36">
        <v>1</v>
      </c>
      <c r="AG674" s="36">
        <v>6</v>
      </c>
      <c r="AH674" s="36">
        <v>3</v>
      </c>
      <c r="AI674" s="36"/>
      <c r="AJ674" s="36">
        <v>5</v>
      </c>
      <c r="AK674" s="36">
        <v>3</v>
      </c>
      <c r="AL674" s="36">
        <v>3</v>
      </c>
      <c r="AM674" s="36">
        <v>3</v>
      </c>
      <c r="AN674" s="36"/>
      <c r="AO674" s="36"/>
      <c r="AP674" s="36"/>
      <c r="AQ674" s="36"/>
      <c r="AR674" s="36"/>
      <c r="AS674" s="36"/>
      <c r="AT674" s="36"/>
      <c r="AU674" s="36"/>
      <c r="AV674" s="36"/>
      <c r="AW674" s="36"/>
      <c r="AX674" s="36"/>
      <c r="AY674" s="953"/>
      <c r="AZ674" s="36"/>
      <c r="BA674" s="36"/>
      <c r="BB674" s="36"/>
      <c r="BC674" s="36"/>
      <c r="BD674" s="36"/>
      <c r="BF674">
        <f>ROWS($U$46:U674)</f>
        <v>629</v>
      </c>
      <c r="BG674" t="str">
        <f t="shared" si="213"/>
        <v/>
      </c>
    </row>
    <row r="675" spans="15:59" ht="15" customHeight="1" x14ac:dyDescent="0.35">
      <c r="O675" s="330">
        <v>4</v>
      </c>
      <c r="P675" s="36">
        <v>717749</v>
      </c>
      <c r="Q675" s="36">
        <v>3</v>
      </c>
      <c r="R675" s="36"/>
      <c r="S675" s="36" t="s">
        <v>1207</v>
      </c>
      <c r="T675" s="36" t="s">
        <v>1293</v>
      </c>
      <c r="U675" s="36">
        <v>870489</v>
      </c>
      <c r="V675" s="165" t="s">
        <v>90</v>
      </c>
      <c r="W675" s="36">
        <v>2</v>
      </c>
      <c r="X675" s="36">
        <v>2</v>
      </c>
      <c r="Y675" s="36">
        <v>2</v>
      </c>
      <c r="Z675" s="36">
        <v>2</v>
      </c>
      <c r="AA675" s="36">
        <v>2</v>
      </c>
      <c r="AB675" s="36">
        <v>1</v>
      </c>
      <c r="AC675" s="36">
        <v>6</v>
      </c>
      <c r="AD675" s="36">
        <v>3</v>
      </c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  <c r="AW675" s="36"/>
      <c r="AX675" s="36"/>
      <c r="AY675" s="953"/>
      <c r="AZ675" s="36"/>
      <c r="BA675" s="36"/>
      <c r="BB675" s="36"/>
      <c r="BC675" s="36"/>
      <c r="BD675" s="36"/>
      <c r="BF675">
        <f>ROWS($U$46:U675)</f>
        <v>630</v>
      </c>
      <c r="BG675" t="str">
        <f t="shared" si="213"/>
        <v/>
      </c>
    </row>
    <row r="676" spans="15:59" ht="15" customHeight="1" x14ac:dyDescent="0.35">
      <c r="O676" s="330">
        <v>5</v>
      </c>
      <c r="P676" s="36">
        <v>418525</v>
      </c>
      <c r="Q676" s="36">
        <v>6</v>
      </c>
      <c r="R676" s="36"/>
      <c r="S676" s="36" t="s">
        <v>1207</v>
      </c>
      <c r="T676" s="36" t="s">
        <v>1293</v>
      </c>
      <c r="U676" s="36">
        <v>870489</v>
      </c>
      <c r="V676" s="165" t="s">
        <v>91</v>
      </c>
      <c r="W676" s="36">
        <v>2</v>
      </c>
      <c r="X676" s="36">
        <v>2</v>
      </c>
      <c r="Y676" s="36">
        <v>2</v>
      </c>
      <c r="Z676" s="36">
        <v>2</v>
      </c>
      <c r="AA676" s="36">
        <v>2</v>
      </c>
      <c r="AB676" s="36">
        <v>2</v>
      </c>
      <c r="AC676" s="36">
        <v>2</v>
      </c>
      <c r="AD676" s="36">
        <v>2</v>
      </c>
      <c r="AE676" s="36">
        <v>2</v>
      </c>
      <c r="AF676" s="36">
        <v>1</v>
      </c>
      <c r="AG676" s="36">
        <v>6</v>
      </c>
      <c r="AH676" s="36">
        <v>3</v>
      </c>
      <c r="AI676" s="36"/>
      <c r="AJ676" s="36">
        <v>5</v>
      </c>
      <c r="AK676" s="36">
        <v>3</v>
      </c>
      <c r="AL676" s="36">
        <v>3</v>
      </c>
      <c r="AM676" s="36">
        <v>3</v>
      </c>
      <c r="AN676" s="36"/>
      <c r="AO676" s="36"/>
      <c r="AP676" s="36"/>
      <c r="AQ676" s="36"/>
      <c r="AR676" s="36"/>
      <c r="AS676" s="36"/>
      <c r="AT676" s="36"/>
      <c r="AU676" s="36"/>
      <c r="AV676" s="36"/>
      <c r="AW676" s="36"/>
      <c r="AX676" s="36"/>
      <c r="AY676" s="953"/>
      <c r="AZ676" s="36"/>
      <c r="BA676" s="36"/>
      <c r="BB676" s="36"/>
      <c r="BC676" s="36"/>
      <c r="BD676" s="36"/>
      <c r="BF676">
        <f>ROWS($U$46:U676)</f>
        <v>631</v>
      </c>
      <c r="BG676" t="str">
        <f t="shared" si="213"/>
        <v/>
      </c>
    </row>
    <row r="677" spans="15:59" ht="15" customHeight="1" thickBot="1" x14ac:dyDescent="0.4">
      <c r="O677" s="331"/>
      <c r="P677" s="328"/>
      <c r="Q677" s="328"/>
      <c r="R677" s="328"/>
      <c r="S677" s="328" t="s">
        <v>1207</v>
      </c>
      <c r="T677" s="328" t="s">
        <v>1293</v>
      </c>
      <c r="U677" s="328">
        <v>870489</v>
      </c>
      <c r="V677" s="327" t="s">
        <v>92</v>
      </c>
      <c r="W677" s="328">
        <v>2</v>
      </c>
      <c r="X677" s="328">
        <v>2</v>
      </c>
      <c r="Y677" s="328">
        <v>2</v>
      </c>
      <c r="Z677" s="328">
        <v>2</v>
      </c>
      <c r="AA677" s="328">
        <v>2</v>
      </c>
      <c r="AB677" s="328">
        <v>1</v>
      </c>
      <c r="AC677" s="328">
        <v>6</v>
      </c>
      <c r="AD677" s="328">
        <v>3</v>
      </c>
      <c r="AE677" s="328"/>
      <c r="AF677" s="328"/>
      <c r="AG677" s="328"/>
      <c r="AH677" s="328"/>
      <c r="AI677" s="328"/>
      <c r="AJ677" s="328"/>
      <c r="AK677" s="328"/>
      <c r="AL677" s="328"/>
      <c r="AM677" s="328"/>
      <c r="AN677" s="328"/>
      <c r="AO677" s="328"/>
      <c r="AP677" s="328"/>
      <c r="AQ677" s="328"/>
      <c r="AR677" s="328"/>
      <c r="AS677" s="328"/>
      <c r="AT677" s="328"/>
      <c r="AU677" s="328"/>
      <c r="AV677" s="328"/>
      <c r="AW677" s="328"/>
      <c r="AX677" s="328"/>
      <c r="AY677" s="954"/>
      <c r="AZ677" s="36"/>
      <c r="BA677" s="36"/>
      <c r="BB677" s="36"/>
      <c r="BC677" s="36"/>
      <c r="BD677" s="36"/>
      <c r="BF677">
        <f>ROWS($U$46:U677)</f>
        <v>632</v>
      </c>
      <c r="BG677" t="str">
        <f t="shared" si="213"/>
        <v/>
      </c>
    </row>
    <row r="678" spans="15:59" ht="15" customHeight="1" x14ac:dyDescent="0.35">
      <c r="O678" s="329">
        <v>1</v>
      </c>
      <c r="P678" s="320">
        <v>1130219</v>
      </c>
      <c r="Q678" s="320">
        <v>7</v>
      </c>
      <c r="R678" s="320"/>
      <c r="S678" s="320" t="s">
        <v>1200</v>
      </c>
      <c r="T678" s="320" t="s">
        <v>1294</v>
      </c>
      <c r="U678" s="320">
        <v>1088287</v>
      </c>
      <c r="V678" s="319" t="s">
        <v>87</v>
      </c>
      <c r="W678" s="320">
        <v>1</v>
      </c>
      <c r="X678" s="320">
        <v>1</v>
      </c>
      <c r="Y678" s="320">
        <v>1</v>
      </c>
      <c r="Z678" s="320">
        <v>2</v>
      </c>
      <c r="AA678" s="320">
        <v>2</v>
      </c>
      <c r="AB678" s="320">
        <v>2</v>
      </c>
      <c r="AC678" s="320">
        <v>2</v>
      </c>
      <c r="AD678" s="320">
        <v>2</v>
      </c>
      <c r="AE678" s="320">
        <v>3</v>
      </c>
      <c r="AF678" s="320"/>
      <c r="AG678" s="320">
        <v>4</v>
      </c>
      <c r="AH678" s="320">
        <v>4</v>
      </c>
      <c r="AI678" s="320">
        <v>4</v>
      </c>
      <c r="AJ678" s="320"/>
      <c r="AK678" s="320"/>
      <c r="AL678" s="320"/>
      <c r="AM678" s="320"/>
      <c r="AN678" s="320"/>
      <c r="AO678" s="320"/>
      <c r="AP678" s="320"/>
      <c r="AQ678" s="320"/>
      <c r="AR678" s="320"/>
      <c r="AS678" s="320"/>
      <c r="AT678" s="320"/>
      <c r="AU678" s="320"/>
      <c r="AV678" s="320"/>
      <c r="AW678" s="320"/>
      <c r="AX678" s="320"/>
      <c r="AY678" s="952"/>
      <c r="AZ678" s="36"/>
      <c r="BA678" s="36"/>
      <c r="BB678" s="36"/>
      <c r="BC678" s="36"/>
      <c r="BD678" s="36"/>
      <c r="BF678">
        <f>ROWS($U$46:U678)</f>
        <v>633</v>
      </c>
      <c r="BG678" t="str">
        <f t="shared" si="213"/>
        <v/>
      </c>
    </row>
    <row r="679" spans="15:59" ht="15" customHeight="1" x14ac:dyDescent="0.35">
      <c r="O679" s="330">
        <v>2</v>
      </c>
      <c r="P679" s="36">
        <v>1130221</v>
      </c>
      <c r="Q679" s="36">
        <v>29</v>
      </c>
      <c r="R679" s="36"/>
      <c r="S679" s="36" t="s">
        <v>1200</v>
      </c>
      <c r="T679" s="36" t="s">
        <v>1294</v>
      </c>
      <c r="U679" s="36">
        <v>1088287</v>
      </c>
      <c r="V679" s="165" t="s">
        <v>88</v>
      </c>
      <c r="W679" s="36">
        <v>2</v>
      </c>
      <c r="X679" s="36">
        <v>2</v>
      </c>
      <c r="Y679" s="36">
        <v>2</v>
      </c>
      <c r="Z679" s="36">
        <v>2</v>
      </c>
      <c r="AA679" s="36">
        <v>2</v>
      </c>
      <c r="AB679" s="36">
        <v>3</v>
      </c>
      <c r="AC679" s="36"/>
      <c r="AD679" s="36"/>
      <c r="AE679" s="36"/>
      <c r="AF679" s="36"/>
      <c r="AG679" s="36">
        <v>4</v>
      </c>
      <c r="AH679" s="36">
        <v>4</v>
      </c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  <c r="AW679" s="36"/>
      <c r="AX679" s="36"/>
      <c r="AY679" s="953"/>
      <c r="AZ679" s="36"/>
      <c r="BA679" s="36"/>
      <c r="BB679" s="36"/>
      <c r="BC679" s="36"/>
      <c r="BD679" s="36"/>
      <c r="BF679">
        <f>ROWS($U$46:U679)</f>
        <v>634</v>
      </c>
      <c r="BG679" t="str">
        <f t="shared" si="213"/>
        <v/>
      </c>
    </row>
    <row r="680" spans="15:59" ht="15" customHeight="1" x14ac:dyDescent="0.35">
      <c r="O680" s="330">
        <v>3</v>
      </c>
      <c r="P680" s="36">
        <v>418525</v>
      </c>
      <c r="Q680" s="36">
        <v>6</v>
      </c>
      <c r="R680" s="36"/>
      <c r="S680" s="36" t="s">
        <v>1200</v>
      </c>
      <c r="T680" s="36" t="s">
        <v>1294</v>
      </c>
      <c r="U680" s="36">
        <v>1088287</v>
      </c>
      <c r="V680" s="165" t="s">
        <v>89</v>
      </c>
      <c r="W680" s="36">
        <v>1</v>
      </c>
      <c r="X680" s="36">
        <v>1</v>
      </c>
      <c r="Y680" s="36">
        <v>2</v>
      </c>
      <c r="Z680" s="36">
        <v>2</v>
      </c>
      <c r="AA680" s="36">
        <v>2</v>
      </c>
      <c r="AB680" s="36">
        <v>2</v>
      </c>
      <c r="AC680" s="36">
        <v>2</v>
      </c>
      <c r="AD680" s="36">
        <v>3</v>
      </c>
      <c r="AE680" s="36"/>
      <c r="AF680" s="36"/>
      <c r="AG680" s="36">
        <v>4</v>
      </c>
      <c r="AH680" s="36">
        <v>4</v>
      </c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  <c r="AW680" s="36"/>
      <c r="AX680" s="36"/>
      <c r="AY680" s="953"/>
      <c r="AZ680" s="36"/>
      <c r="BA680" s="36"/>
      <c r="BB680" s="36"/>
      <c r="BC680" s="36"/>
      <c r="BD680" s="36"/>
      <c r="BF680">
        <f>ROWS($U$46:U680)</f>
        <v>635</v>
      </c>
      <c r="BG680" t="str">
        <f t="shared" si="213"/>
        <v/>
      </c>
    </row>
    <row r="681" spans="15:59" ht="15" customHeight="1" x14ac:dyDescent="0.35">
      <c r="O681" s="330">
        <v>4</v>
      </c>
      <c r="P681" s="36">
        <v>1050703</v>
      </c>
      <c r="Q681" s="36">
        <v>16</v>
      </c>
      <c r="R681" s="36"/>
      <c r="S681" s="36" t="s">
        <v>1200</v>
      </c>
      <c r="T681" s="36" t="s">
        <v>1294</v>
      </c>
      <c r="U681" s="36">
        <v>1088287</v>
      </c>
      <c r="V681" s="165" t="s">
        <v>90</v>
      </c>
      <c r="W681" s="36">
        <v>2</v>
      </c>
      <c r="X681" s="36">
        <v>2</v>
      </c>
      <c r="Y681" s="36">
        <v>2</v>
      </c>
      <c r="Z681" s="36">
        <v>2</v>
      </c>
      <c r="AA681" s="36">
        <v>3</v>
      </c>
      <c r="AB681" s="36"/>
      <c r="AC681" s="36"/>
      <c r="AD681" s="36"/>
      <c r="AE681" s="36"/>
      <c r="AF681" s="36"/>
      <c r="AG681" s="36">
        <v>4</v>
      </c>
      <c r="AH681" s="36">
        <v>4</v>
      </c>
      <c r="AI681" s="36">
        <v>4</v>
      </c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  <c r="AW681" s="36"/>
      <c r="AX681" s="36"/>
      <c r="AY681" s="953"/>
      <c r="AZ681" s="36"/>
      <c r="BA681" s="36"/>
      <c r="BB681" s="36"/>
      <c r="BC681" s="36"/>
      <c r="BD681" s="36"/>
      <c r="BF681">
        <f>ROWS($U$46:U681)</f>
        <v>636</v>
      </c>
      <c r="BG681" t="str">
        <f t="shared" si="213"/>
        <v/>
      </c>
    </row>
    <row r="682" spans="15:59" ht="15" customHeight="1" x14ac:dyDescent="0.35">
      <c r="O682" s="330"/>
      <c r="P682" s="36"/>
      <c r="Q682" s="36"/>
      <c r="R682" s="36"/>
      <c r="S682" s="36" t="s">
        <v>1200</v>
      </c>
      <c r="T682" s="36" t="s">
        <v>1294</v>
      </c>
      <c r="U682" s="36">
        <v>1088287</v>
      </c>
      <c r="V682" s="165" t="s">
        <v>91</v>
      </c>
      <c r="W682" s="36">
        <v>1</v>
      </c>
      <c r="X682" s="36">
        <v>1</v>
      </c>
      <c r="Y682" s="36">
        <v>2</v>
      </c>
      <c r="Z682" s="36">
        <v>2</v>
      </c>
      <c r="AA682" s="36">
        <v>2</v>
      </c>
      <c r="AB682" s="36">
        <v>2</v>
      </c>
      <c r="AC682" s="36">
        <v>2</v>
      </c>
      <c r="AD682" s="36">
        <v>3</v>
      </c>
      <c r="AE682" s="36"/>
      <c r="AF682" s="36"/>
      <c r="AG682" s="36">
        <v>4</v>
      </c>
      <c r="AH682" s="36">
        <v>4</v>
      </c>
      <c r="AI682" s="36">
        <v>4</v>
      </c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  <c r="AW682" s="36"/>
      <c r="AX682" s="36"/>
      <c r="AY682" s="953"/>
      <c r="AZ682" s="36"/>
      <c r="BA682" s="36"/>
      <c r="BB682" s="36"/>
      <c r="BC682" s="36"/>
      <c r="BD682" s="36"/>
      <c r="BF682">
        <f>ROWS($U$46:U682)</f>
        <v>637</v>
      </c>
      <c r="BG682" t="str">
        <f t="shared" si="213"/>
        <v/>
      </c>
    </row>
    <row r="683" spans="15:59" ht="15" customHeight="1" thickBot="1" x14ac:dyDescent="0.4">
      <c r="O683" s="331"/>
      <c r="P683" s="328"/>
      <c r="Q683" s="328"/>
      <c r="R683" s="328"/>
      <c r="S683" s="328" t="s">
        <v>1200</v>
      </c>
      <c r="T683" s="328" t="s">
        <v>1294</v>
      </c>
      <c r="U683" s="328">
        <v>1088287</v>
      </c>
      <c r="V683" s="327" t="s">
        <v>92</v>
      </c>
      <c r="W683" s="328">
        <v>2</v>
      </c>
      <c r="X683" s="328">
        <v>2</v>
      </c>
      <c r="Y683" s="328">
        <v>2</v>
      </c>
      <c r="Z683" s="328">
        <v>2</v>
      </c>
      <c r="AA683" s="328">
        <v>2</v>
      </c>
      <c r="AB683" s="328">
        <v>3</v>
      </c>
      <c r="AC683" s="328"/>
      <c r="AD683" s="328"/>
      <c r="AE683" s="328"/>
      <c r="AF683" s="328"/>
      <c r="AG683" s="328">
        <v>4</v>
      </c>
      <c r="AH683" s="328">
        <v>4</v>
      </c>
      <c r="AI683" s="328">
        <v>4</v>
      </c>
      <c r="AJ683" s="328"/>
      <c r="AK683" s="328"/>
      <c r="AL683" s="328"/>
      <c r="AM683" s="328"/>
      <c r="AN683" s="328"/>
      <c r="AO683" s="328"/>
      <c r="AP683" s="328"/>
      <c r="AQ683" s="328"/>
      <c r="AR683" s="328"/>
      <c r="AS683" s="328"/>
      <c r="AT683" s="328"/>
      <c r="AU683" s="328"/>
      <c r="AV683" s="328"/>
      <c r="AW683" s="328"/>
      <c r="AX683" s="328"/>
      <c r="AY683" s="954"/>
      <c r="AZ683" s="36"/>
      <c r="BA683" s="36"/>
      <c r="BB683" s="36"/>
      <c r="BC683" s="36"/>
      <c r="BD683" s="36"/>
      <c r="BF683">
        <f>ROWS($U$46:U683)</f>
        <v>638</v>
      </c>
      <c r="BG683" t="str">
        <f t="shared" si="213"/>
        <v/>
      </c>
    </row>
    <row r="684" spans="15:59" ht="15" customHeight="1" x14ac:dyDescent="0.35">
      <c r="O684" s="329">
        <v>1</v>
      </c>
      <c r="P684" s="320">
        <v>1130219</v>
      </c>
      <c r="Q684" s="320">
        <v>7</v>
      </c>
      <c r="R684" s="320"/>
      <c r="S684" s="320" t="s">
        <v>1200</v>
      </c>
      <c r="T684" s="320" t="s">
        <v>760</v>
      </c>
      <c r="U684" s="320">
        <v>1068137</v>
      </c>
      <c r="V684" s="319" t="s">
        <v>87</v>
      </c>
      <c r="W684" s="320">
        <v>1</v>
      </c>
      <c r="X684" s="320">
        <v>1</v>
      </c>
      <c r="Y684" s="320">
        <v>1</v>
      </c>
      <c r="Z684" s="320">
        <v>2</v>
      </c>
      <c r="AA684" s="320">
        <v>2</v>
      </c>
      <c r="AB684" s="320">
        <v>2</v>
      </c>
      <c r="AC684" s="320">
        <v>2</v>
      </c>
      <c r="AD684" s="320">
        <v>2</v>
      </c>
      <c r="AE684" s="320">
        <v>3</v>
      </c>
      <c r="AF684" s="320">
        <v>3</v>
      </c>
      <c r="AG684" s="320"/>
      <c r="AH684" s="320">
        <v>4</v>
      </c>
      <c r="AI684" s="320">
        <v>4</v>
      </c>
      <c r="AJ684" s="320">
        <v>4</v>
      </c>
      <c r="AK684" s="320"/>
      <c r="AL684" s="320"/>
      <c r="AM684" s="320"/>
      <c r="AN684" s="320"/>
      <c r="AO684" s="320"/>
      <c r="AP684" s="320"/>
      <c r="AQ684" s="320"/>
      <c r="AR684" s="320"/>
      <c r="AS684" s="320"/>
      <c r="AT684" s="320"/>
      <c r="AU684" s="320"/>
      <c r="AV684" s="320"/>
      <c r="AW684" s="320"/>
      <c r="AX684" s="320"/>
      <c r="AY684" s="952"/>
      <c r="AZ684" s="36"/>
      <c r="BA684" s="36"/>
      <c r="BB684" s="36"/>
      <c r="BC684" s="36"/>
      <c r="BD684" s="36"/>
      <c r="BF684">
        <f>ROWS($U$46:U684)</f>
        <v>639</v>
      </c>
      <c r="BG684" t="str">
        <f t="shared" si="213"/>
        <v/>
      </c>
    </row>
    <row r="685" spans="15:59" ht="15" customHeight="1" x14ac:dyDescent="0.35">
      <c r="O685" s="330">
        <v>2</v>
      </c>
      <c r="P685" s="36">
        <v>1130221</v>
      </c>
      <c r="Q685" s="36">
        <v>27</v>
      </c>
      <c r="R685" s="36"/>
      <c r="S685" s="36" t="s">
        <v>1200</v>
      </c>
      <c r="T685" s="36" t="s">
        <v>760</v>
      </c>
      <c r="U685" s="36">
        <v>1068137</v>
      </c>
      <c r="V685" s="165" t="s">
        <v>88</v>
      </c>
      <c r="W685" s="36">
        <v>2</v>
      </c>
      <c r="X685" s="36">
        <v>2</v>
      </c>
      <c r="Y685" s="36">
        <v>2</v>
      </c>
      <c r="Z685" s="36">
        <v>2</v>
      </c>
      <c r="AA685" s="36">
        <v>3</v>
      </c>
      <c r="AB685" s="36">
        <v>3</v>
      </c>
      <c r="AC685" s="36"/>
      <c r="AD685" s="36"/>
      <c r="AE685" s="36"/>
      <c r="AF685" s="36"/>
      <c r="AG685" s="36"/>
      <c r="AH685" s="36">
        <v>4</v>
      </c>
      <c r="AI685" s="36">
        <v>4</v>
      </c>
      <c r="AJ685" s="36">
        <v>4</v>
      </c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953"/>
      <c r="AZ685" s="36"/>
      <c r="BA685" s="36"/>
      <c r="BB685" s="36"/>
      <c r="BC685" s="36"/>
      <c r="BD685" s="36"/>
      <c r="BF685">
        <f>ROWS($U$46:U685)</f>
        <v>640</v>
      </c>
      <c r="BG685" t="str">
        <f t="shared" si="213"/>
        <v/>
      </c>
    </row>
    <row r="686" spans="15:59" ht="15" customHeight="1" x14ac:dyDescent="0.35">
      <c r="O686" s="330">
        <v>3</v>
      </c>
      <c r="P686" s="36">
        <v>418525</v>
      </c>
      <c r="Q686" s="36">
        <v>12</v>
      </c>
      <c r="R686" s="36"/>
      <c r="S686" s="36" t="s">
        <v>1200</v>
      </c>
      <c r="T686" s="36" t="s">
        <v>760</v>
      </c>
      <c r="U686" s="36">
        <v>1068137</v>
      </c>
      <c r="V686" s="165" t="s">
        <v>89</v>
      </c>
      <c r="W686" s="36">
        <v>1</v>
      </c>
      <c r="X686" s="36">
        <v>1</v>
      </c>
      <c r="Y686" s="36">
        <v>2</v>
      </c>
      <c r="Z686" s="36">
        <v>2</v>
      </c>
      <c r="AA686" s="36">
        <v>2</v>
      </c>
      <c r="AB686" s="36">
        <v>2</v>
      </c>
      <c r="AC686" s="36">
        <v>2</v>
      </c>
      <c r="AD686" s="36">
        <v>3</v>
      </c>
      <c r="AE686" s="36">
        <v>3</v>
      </c>
      <c r="AF686" s="36"/>
      <c r="AG686" s="36"/>
      <c r="AH686" s="36">
        <v>4</v>
      </c>
      <c r="AI686" s="36">
        <v>4</v>
      </c>
      <c r="AJ686" s="36">
        <v>4</v>
      </c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953"/>
      <c r="AZ686" s="36"/>
      <c r="BA686" s="36"/>
      <c r="BB686" s="36"/>
      <c r="BC686" s="36"/>
      <c r="BD686" s="36"/>
      <c r="BF686">
        <f>ROWS($U$46:U686)</f>
        <v>641</v>
      </c>
      <c r="BG686" t="str">
        <f t="shared" si="213"/>
        <v/>
      </c>
    </row>
    <row r="687" spans="15:59" ht="15" customHeight="1" x14ac:dyDescent="0.35">
      <c r="O687" s="330">
        <v>4</v>
      </c>
      <c r="P687" s="36">
        <v>1050703</v>
      </c>
      <c r="Q687" s="36">
        <v>18</v>
      </c>
      <c r="R687" s="36"/>
      <c r="S687" s="36" t="s">
        <v>1200</v>
      </c>
      <c r="T687" s="36" t="s">
        <v>760</v>
      </c>
      <c r="U687" s="36">
        <v>1068137</v>
      </c>
      <c r="V687" s="165" t="s">
        <v>90</v>
      </c>
      <c r="W687" s="36">
        <v>2</v>
      </c>
      <c r="X687" s="36">
        <v>2</v>
      </c>
      <c r="Y687" s="36">
        <v>2</v>
      </c>
      <c r="Z687" s="36">
        <v>2</v>
      </c>
      <c r="AA687" s="36">
        <v>3</v>
      </c>
      <c r="AB687" s="36">
        <v>3</v>
      </c>
      <c r="AC687" s="36"/>
      <c r="AD687" s="36"/>
      <c r="AE687" s="36"/>
      <c r="AF687" s="36"/>
      <c r="AG687" s="36"/>
      <c r="AH687" s="36">
        <v>4</v>
      </c>
      <c r="AI687" s="36">
        <v>4</v>
      </c>
      <c r="AJ687" s="36">
        <v>4</v>
      </c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  <c r="AW687" s="36"/>
      <c r="AX687" s="36"/>
      <c r="AY687" s="953"/>
      <c r="AZ687" s="36"/>
      <c r="BA687" s="36"/>
      <c r="BB687" s="36"/>
      <c r="BC687" s="36"/>
      <c r="BD687" s="36"/>
      <c r="BF687">
        <f>ROWS($U$46:U687)</f>
        <v>642</v>
      </c>
      <c r="BG687" t="str">
        <f t="shared" ref="BG687:BG750" si="214">IF(VALUE(SUBSTITUTE($B$5,"M",""))=U687,BF687,"")</f>
        <v/>
      </c>
    </row>
    <row r="688" spans="15:59" ht="15" customHeight="1" x14ac:dyDescent="0.35">
      <c r="O688" s="330"/>
      <c r="P688" s="36"/>
      <c r="Q688" s="36"/>
      <c r="R688" s="36"/>
      <c r="S688" s="36" t="s">
        <v>1200</v>
      </c>
      <c r="T688" s="36" t="s">
        <v>760</v>
      </c>
      <c r="U688" s="36">
        <v>1068137</v>
      </c>
      <c r="V688" s="165" t="s">
        <v>91</v>
      </c>
      <c r="W688" s="36">
        <v>1</v>
      </c>
      <c r="X688" s="36">
        <v>1</v>
      </c>
      <c r="Y688" s="36">
        <v>2</v>
      </c>
      <c r="Z688" s="36">
        <v>2</v>
      </c>
      <c r="AA688" s="36">
        <v>2</v>
      </c>
      <c r="AB688" s="36">
        <v>2</v>
      </c>
      <c r="AC688" s="36">
        <v>2</v>
      </c>
      <c r="AD688" s="36">
        <v>3</v>
      </c>
      <c r="AE688" s="36">
        <v>3</v>
      </c>
      <c r="AF688" s="36"/>
      <c r="AG688" s="36"/>
      <c r="AH688" s="36">
        <v>4</v>
      </c>
      <c r="AI688" s="36">
        <v>4</v>
      </c>
      <c r="AJ688" s="36">
        <v>4</v>
      </c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  <c r="AW688" s="36"/>
      <c r="AX688" s="36"/>
      <c r="AY688" s="953"/>
      <c r="AZ688" s="36"/>
      <c r="BA688" s="36"/>
      <c r="BB688" s="36"/>
      <c r="BC688" s="36"/>
      <c r="BD688" s="36"/>
      <c r="BF688">
        <f>ROWS($U$46:U688)</f>
        <v>643</v>
      </c>
      <c r="BG688" t="str">
        <f t="shared" si="214"/>
        <v/>
      </c>
    </row>
    <row r="689" spans="15:59" ht="15" customHeight="1" thickBot="1" x14ac:dyDescent="0.4">
      <c r="O689" s="331"/>
      <c r="P689" s="328"/>
      <c r="Q689" s="328"/>
      <c r="R689" s="328"/>
      <c r="S689" s="328" t="s">
        <v>1200</v>
      </c>
      <c r="T689" s="328" t="s">
        <v>760</v>
      </c>
      <c r="U689" s="328">
        <v>1068137</v>
      </c>
      <c r="V689" s="327" t="s">
        <v>92</v>
      </c>
      <c r="W689" s="328">
        <v>2</v>
      </c>
      <c r="X689" s="328">
        <v>2</v>
      </c>
      <c r="Y689" s="328">
        <v>2</v>
      </c>
      <c r="Z689" s="328">
        <v>2</v>
      </c>
      <c r="AA689" s="328">
        <v>3</v>
      </c>
      <c r="AB689" s="328">
        <v>3</v>
      </c>
      <c r="AC689" s="328"/>
      <c r="AD689" s="328"/>
      <c r="AE689" s="328"/>
      <c r="AF689" s="328"/>
      <c r="AG689" s="328"/>
      <c r="AH689" s="328">
        <v>4</v>
      </c>
      <c r="AI689" s="328">
        <v>4</v>
      </c>
      <c r="AJ689" s="328">
        <v>4</v>
      </c>
      <c r="AK689" s="328"/>
      <c r="AL689" s="328"/>
      <c r="AM689" s="328"/>
      <c r="AN689" s="328"/>
      <c r="AO689" s="328"/>
      <c r="AP689" s="328"/>
      <c r="AQ689" s="328"/>
      <c r="AR689" s="328"/>
      <c r="AS689" s="328"/>
      <c r="AT689" s="328"/>
      <c r="AU689" s="328"/>
      <c r="AV689" s="328"/>
      <c r="AW689" s="328"/>
      <c r="AX689" s="328"/>
      <c r="AY689" s="954"/>
      <c r="AZ689" s="36"/>
      <c r="BA689" s="36"/>
      <c r="BB689" s="36"/>
      <c r="BC689" s="36"/>
      <c r="BD689" s="36"/>
      <c r="BF689">
        <f>ROWS($U$46:U689)</f>
        <v>644</v>
      </c>
      <c r="BG689" t="str">
        <f t="shared" si="214"/>
        <v/>
      </c>
    </row>
    <row r="690" spans="15:59" ht="15" customHeight="1" x14ac:dyDescent="0.35">
      <c r="O690" s="329">
        <v>1</v>
      </c>
      <c r="P690" s="320">
        <v>745338</v>
      </c>
      <c r="Q690" s="320">
        <v>27</v>
      </c>
      <c r="R690" s="320"/>
      <c r="S690" s="320" t="s">
        <v>1200</v>
      </c>
      <c r="T690" s="320" t="s">
        <v>760</v>
      </c>
      <c r="U690" s="320">
        <v>1038108</v>
      </c>
      <c r="V690" s="319" t="s">
        <v>87</v>
      </c>
      <c r="W690" s="320">
        <v>4</v>
      </c>
      <c r="X690" s="320">
        <v>2</v>
      </c>
      <c r="Y690" s="320">
        <v>2</v>
      </c>
      <c r="Z690" s="320">
        <v>1</v>
      </c>
      <c r="AA690" s="320">
        <v>1</v>
      </c>
      <c r="AB690" s="320">
        <v>1</v>
      </c>
      <c r="AC690" s="320">
        <v>1</v>
      </c>
      <c r="AD690" s="320">
        <v>1</v>
      </c>
      <c r="AE690" s="320">
        <v>3</v>
      </c>
      <c r="AF690" s="320"/>
      <c r="AG690" s="320">
        <v>5</v>
      </c>
      <c r="AH690" s="320">
        <v>5</v>
      </c>
      <c r="AI690" s="320">
        <v>5</v>
      </c>
      <c r="AJ690" s="320"/>
      <c r="AK690" s="320"/>
      <c r="AL690" s="320"/>
      <c r="AM690" s="320"/>
      <c r="AN690" s="320"/>
      <c r="AO690" s="320"/>
      <c r="AP690" s="320"/>
      <c r="AQ690" s="320"/>
      <c r="AR690" s="320"/>
      <c r="AS690" s="320"/>
      <c r="AT690" s="320"/>
      <c r="AU690" s="320"/>
      <c r="AV690" s="320"/>
      <c r="AW690" s="320"/>
      <c r="AX690" s="320"/>
      <c r="AY690" s="952"/>
      <c r="AZ690" s="36"/>
      <c r="BA690" s="36"/>
      <c r="BB690" s="36"/>
      <c r="BC690" s="36"/>
      <c r="BD690" s="36"/>
      <c r="BF690">
        <f>ROWS($U$46:U690)</f>
        <v>645</v>
      </c>
      <c r="BG690" t="str">
        <f t="shared" si="214"/>
        <v/>
      </c>
    </row>
    <row r="691" spans="15:59" ht="15" customHeight="1" x14ac:dyDescent="0.35">
      <c r="O691" s="330">
        <v>2</v>
      </c>
      <c r="P691" s="36">
        <v>745174</v>
      </c>
      <c r="Q691" s="36">
        <v>4</v>
      </c>
      <c r="R691" s="36"/>
      <c r="S691" s="36" t="s">
        <v>1200</v>
      </c>
      <c r="T691" s="36" t="s">
        <v>760</v>
      </c>
      <c r="U691" s="36">
        <v>1038108</v>
      </c>
      <c r="V691" s="165" t="s">
        <v>88</v>
      </c>
      <c r="W691" s="36">
        <v>1</v>
      </c>
      <c r="X691" s="36">
        <v>1</v>
      </c>
      <c r="Y691" s="36">
        <v>1</v>
      </c>
      <c r="Z691" s="36">
        <v>1</v>
      </c>
      <c r="AA691" s="36">
        <v>3</v>
      </c>
      <c r="AB691" s="36"/>
      <c r="AC691" s="36"/>
      <c r="AD691" s="36"/>
      <c r="AE691" s="36"/>
      <c r="AF691" s="36"/>
      <c r="AG691" s="36">
        <v>5</v>
      </c>
      <c r="AH691" s="36">
        <v>5</v>
      </c>
      <c r="AI691" s="36">
        <v>5</v>
      </c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  <c r="AW691" s="36"/>
      <c r="AX691" s="36"/>
      <c r="AY691" s="953"/>
      <c r="AZ691" s="36"/>
      <c r="BA691" s="36"/>
      <c r="BB691" s="36"/>
      <c r="BC691" s="36"/>
      <c r="BD691" s="36"/>
      <c r="BF691">
        <f>ROWS($U$46:U691)</f>
        <v>646</v>
      </c>
      <c r="BG691" t="str">
        <f t="shared" si="214"/>
        <v/>
      </c>
    </row>
    <row r="692" spans="15:59" ht="15" customHeight="1" x14ac:dyDescent="0.35">
      <c r="O692" s="330">
        <v>3</v>
      </c>
      <c r="P692" s="36">
        <v>418525</v>
      </c>
      <c r="Q692" s="36">
        <v>6</v>
      </c>
      <c r="R692" s="36"/>
      <c r="S692" s="36" t="s">
        <v>1200</v>
      </c>
      <c r="T692" s="36" t="s">
        <v>760</v>
      </c>
      <c r="U692" s="36">
        <v>1038108</v>
      </c>
      <c r="V692" s="165" t="s">
        <v>89</v>
      </c>
      <c r="W692" s="36">
        <v>4</v>
      </c>
      <c r="X692" s="36">
        <v>2</v>
      </c>
      <c r="Y692" s="36">
        <v>1</v>
      </c>
      <c r="Z692" s="36">
        <v>1</v>
      </c>
      <c r="AA692" s="36">
        <v>1</v>
      </c>
      <c r="AB692" s="36">
        <v>1</v>
      </c>
      <c r="AC692" s="36">
        <v>1</v>
      </c>
      <c r="AD692" s="36">
        <v>3</v>
      </c>
      <c r="AE692" s="36"/>
      <c r="AF692" s="36"/>
      <c r="AG692" s="36">
        <v>5</v>
      </c>
      <c r="AH692" s="36">
        <v>5</v>
      </c>
      <c r="AI692" s="36">
        <v>5</v>
      </c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  <c r="AW692" s="36"/>
      <c r="AX692" s="36"/>
      <c r="AY692" s="953"/>
      <c r="AZ692" s="36"/>
      <c r="BA692" s="36"/>
      <c r="BB692" s="36"/>
      <c r="BC692" s="36"/>
      <c r="BD692" s="36"/>
      <c r="BF692">
        <f>ROWS($U$46:U692)</f>
        <v>647</v>
      </c>
      <c r="BG692" t="str">
        <f t="shared" si="214"/>
        <v/>
      </c>
    </row>
    <row r="693" spans="15:59" ht="15" customHeight="1" x14ac:dyDescent="0.35">
      <c r="O693" s="330">
        <v>4</v>
      </c>
      <c r="P693" s="36">
        <v>871781</v>
      </c>
      <c r="Q693" s="36">
        <v>3</v>
      </c>
      <c r="R693" s="36"/>
      <c r="S693" s="36" t="s">
        <v>1200</v>
      </c>
      <c r="T693" s="36" t="s">
        <v>760</v>
      </c>
      <c r="U693" s="36">
        <v>1038108</v>
      </c>
      <c r="V693" s="165" t="s">
        <v>90</v>
      </c>
      <c r="W693" s="36">
        <v>1</v>
      </c>
      <c r="X693" s="36">
        <v>1</v>
      </c>
      <c r="Y693" s="36">
        <v>1</v>
      </c>
      <c r="Z693" s="36">
        <v>1</v>
      </c>
      <c r="AA693" s="36">
        <v>3</v>
      </c>
      <c r="AB693" s="36"/>
      <c r="AC693" s="36"/>
      <c r="AD693" s="36"/>
      <c r="AE693" s="36"/>
      <c r="AF693" s="36"/>
      <c r="AG693" s="36">
        <v>5</v>
      </c>
      <c r="AH693" s="36">
        <v>5</v>
      </c>
      <c r="AI693" s="36">
        <v>5</v>
      </c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  <c r="AW693" s="36"/>
      <c r="AX693" s="36"/>
      <c r="AY693" s="953"/>
      <c r="AZ693" s="36"/>
      <c r="BA693" s="36"/>
      <c r="BB693" s="36"/>
      <c r="BC693" s="36"/>
      <c r="BD693" s="36"/>
      <c r="BF693">
        <f>ROWS($U$46:U693)</f>
        <v>648</v>
      </c>
      <c r="BG693" t="str">
        <f t="shared" si="214"/>
        <v/>
      </c>
    </row>
    <row r="694" spans="15:59" ht="15" customHeight="1" x14ac:dyDescent="0.35">
      <c r="O694" s="330">
        <v>5</v>
      </c>
      <c r="P694" s="36">
        <v>375538</v>
      </c>
      <c r="Q694" s="36">
        <v>18</v>
      </c>
      <c r="R694" s="36"/>
      <c r="S694" s="36" t="s">
        <v>1200</v>
      </c>
      <c r="T694" s="36" t="s">
        <v>760</v>
      </c>
      <c r="U694" s="36">
        <v>1038108</v>
      </c>
      <c r="V694" s="165" t="s">
        <v>91</v>
      </c>
      <c r="W694" s="36">
        <v>4</v>
      </c>
      <c r="X694" s="36">
        <v>2</v>
      </c>
      <c r="Y694" s="36">
        <v>1</v>
      </c>
      <c r="Z694" s="36">
        <v>1</v>
      </c>
      <c r="AA694" s="36">
        <v>1</v>
      </c>
      <c r="AB694" s="36">
        <v>1</v>
      </c>
      <c r="AC694" s="36">
        <v>1</v>
      </c>
      <c r="AD694" s="36">
        <v>3</v>
      </c>
      <c r="AE694" s="36"/>
      <c r="AF694" s="36"/>
      <c r="AG694" s="36">
        <v>5</v>
      </c>
      <c r="AH694" s="36">
        <v>5</v>
      </c>
      <c r="AI694" s="36">
        <v>5</v>
      </c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953"/>
      <c r="AZ694" s="36"/>
      <c r="BA694" s="36"/>
      <c r="BB694" s="36"/>
      <c r="BC694" s="36"/>
      <c r="BD694" s="36"/>
      <c r="BF694">
        <f>ROWS($U$46:U694)</f>
        <v>649</v>
      </c>
      <c r="BG694" t="str">
        <f t="shared" si="214"/>
        <v/>
      </c>
    </row>
    <row r="695" spans="15:59" ht="15" customHeight="1" thickBot="1" x14ac:dyDescent="0.4">
      <c r="O695" s="331"/>
      <c r="P695" s="328"/>
      <c r="Q695" s="328"/>
      <c r="R695" s="328"/>
      <c r="S695" s="328" t="s">
        <v>1200</v>
      </c>
      <c r="T695" s="328" t="s">
        <v>760</v>
      </c>
      <c r="U695" s="328">
        <v>1038108</v>
      </c>
      <c r="V695" s="327" t="s">
        <v>92</v>
      </c>
      <c r="W695" s="328">
        <v>1</v>
      </c>
      <c r="X695" s="328">
        <v>1</v>
      </c>
      <c r="Y695" s="328">
        <v>1</v>
      </c>
      <c r="Z695" s="328">
        <v>1</v>
      </c>
      <c r="AA695" s="328">
        <v>3</v>
      </c>
      <c r="AB695" s="328"/>
      <c r="AC695" s="328"/>
      <c r="AD695" s="328"/>
      <c r="AE695" s="328"/>
      <c r="AF695" s="328"/>
      <c r="AG695" s="328">
        <v>5</v>
      </c>
      <c r="AH695" s="328">
        <v>5</v>
      </c>
      <c r="AI695" s="328">
        <v>5</v>
      </c>
      <c r="AJ695" s="328"/>
      <c r="AK695" s="328"/>
      <c r="AL695" s="328"/>
      <c r="AM695" s="328"/>
      <c r="AN695" s="328"/>
      <c r="AO695" s="328"/>
      <c r="AP695" s="328"/>
      <c r="AQ695" s="328"/>
      <c r="AR695" s="328"/>
      <c r="AS695" s="328"/>
      <c r="AT695" s="328"/>
      <c r="AU695" s="328"/>
      <c r="AV695" s="328"/>
      <c r="AW695" s="328"/>
      <c r="AX695" s="328"/>
      <c r="AY695" s="954"/>
      <c r="AZ695" s="36"/>
      <c r="BA695" s="36"/>
      <c r="BB695" s="36"/>
      <c r="BC695" s="36"/>
      <c r="BD695" s="36"/>
      <c r="BF695">
        <f>ROWS($U$46:U695)</f>
        <v>650</v>
      </c>
      <c r="BG695" t="str">
        <f t="shared" si="214"/>
        <v/>
      </c>
    </row>
    <row r="696" spans="15:59" ht="15" customHeight="1" x14ac:dyDescent="0.35">
      <c r="O696" s="329">
        <v>1</v>
      </c>
      <c r="P696" s="320">
        <v>933119</v>
      </c>
      <c r="Q696" s="320">
        <v>27</v>
      </c>
      <c r="R696" s="320"/>
      <c r="S696" s="320" t="s">
        <v>1200</v>
      </c>
      <c r="T696" s="320" t="s">
        <v>1298</v>
      </c>
      <c r="U696" s="320">
        <v>983003</v>
      </c>
      <c r="V696" s="319" t="s">
        <v>87</v>
      </c>
      <c r="W696" s="320">
        <v>3</v>
      </c>
      <c r="X696" s="320">
        <v>2</v>
      </c>
      <c r="Y696" s="320">
        <v>2</v>
      </c>
      <c r="Z696" s="320">
        <v>1</v>
      </c>
      <c r="AA696" s="320">
        <v>1</v>
      </c>
      <c r="AB696" s="320">
        <v>1</v>
      </c>
      <c r="AC696" s="320">
        <v>1</v>
      </c>
      <c r="AD696" s="320">
        <v>1</v>
      </c>
      <c r="AE696" s="320">
        <v>4</v>
      </c>
      <c r="AF696" s="320">
        <v>4</v>
      </c>
      <c r="AG696" s="320"/>
      <c r="AH696" s="320">
        <v>5</v>
      </c>
      <c r="AI696" s="320">
        <v>5</v>
      </c>
      <c r="AJ696" s="320">
        <v>5</v>
      </c>
      <c r="AK696" s="320"/>
      <c r="AL696" s="320"/>
      <c r="AM696" s="320"/>
      <c r="AN696" s="320"/>
      <c r="AO696" s="320"/>
      <c r="AP696" s="320"/>
      <c r="AQ696" s="320"/>
      <c r="AR696" s="320"/>
      <c r="AS696" s="320"/>
      <c r="AT696" s="320"/>
      <c r="AU696" s="320"/>
      <c r="AV696" s="320"/>
      <c r="AW696" s="320"/>
      <c r="AX696" s="320"/>
      <c r="AY696" s="952"/>
      <c r="AZ696" s="36"/>
      <c r="BA696" s="36"/>
      <c r="BB696" s="36"/>
      <c r="BC696" s="36"/>
      <c r="BD696" s="36"/>
      <c r="BF696">
        <f>ROWS($U$46:U696)</f>
        <v>651</v>
      </c>
      <c r="BG696" t="str">
        <f t="shared" si="214"/>
        <v/>
      </c>
    </row>
    <row r="697" spans="15:59" ht="15" customHeight="1" x14ac:dyDescent="0.35">
      <c r="O697" s="330">
        <v>2</v>
      </c>
      <c r="P697" s="36">
        <v>932725</v>
      </c>
      <c r="Q697" s="36">
        <v>4</v>
      </c>
      <c r="R697" s="36"/>
      <c r="S697" s="36" t="s">
        <v>1200</v>
      </c>
      <c r="T697" s="36" t="s">
        <v>1298</v>
      </c>
      <c r="U697" s="36">
        <v>983003</v>
      </c>
      <c r="V697" s="165" t="s">
        <v>88</v>
      </c>
      <c r="W697" s="36">
        <v>1</v>
      </c>
      <c r="X697" s="36">
        <v>1</v>
      </c>
      <c r="Y697" s="36">
        <v>1</v>
      </c>
      <c r="Z697" s="36">
        <v>1</v>
      </c>
      <c r="AA697" s="36">
        <v>4</v>
      </c>
      <c r="AB697" s="36">
        <v>4</v>
      </c>
      <c r="AC697" s="36"/>
      <c r="AD697" s="36"/>
      <c r="AE697" s="36"/>
      <c r="AF697" s="36"/>
      <c r="AG697" s="36"/>
      <c r="AH697" s="36">
        <v>5</v>
      </c>
      <c r="AI697" s="36">
        <v>5</v>
      </c>
      <c r="AJ697" s="36">
        <v>5</v>
      </c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  <c r="AW697" s="36"/>
      <c r="AX697" s="36"/>
      <c r="AY697" s="953"/>
      <c r="AZ697" s="36"/>
      <c r="BA697" s="36"/>
      <c r="BB697" s="36"/>
      <c r="BC697" s="36"/>
      <c r="BD697" s="36"/>
      <c r="BF697">
        <f>ROWS($U$46:U697)</f>
        <v>652</v>
      </c>
      <c r="BG697" t="str">
        <f t="shared" si="214"/>
        <v/>
      </c>
    </row>
    <row r="698" spans="15:59" ht="15" customHeight="1" x14ac:dyDescent="0.35">
      <c r="O698" s="330">
        <v>3</v>
      </c>
      <c r="P698" s="36">
        <v>733670</v>
      </c>
      <c r="Q698" s="36">
        <v>3</v>
      </c>
      <c r="R698" s="36"/>
      <c r="S698" s="36" t="s">
        <v>1200</v>
      </c>
      <c r="T698" s="36" t="s">
        <v>1298</v>
      </c>
      <c r="U698" s="36">
        <v>983003</v>
      </c>
      <c r="V698" s="165" t="s">
        <v>89</v>
      </c>
      <c r="W698" s="36">
        <v>3</v>
      </c>
      <c r="X698" s="36">
        <v>2</v>
      </c>
      <c r="Y698" s="36">
        <v>1</v>
      </c>
      <c r="Z698" s="36">
        <v>1</v>
      </c>
      <c r="AA698" s="36">
        <v>1</v>
      </c>
      <c r="AB698" s="36">
        <v>1</v>
      </c>
      <c r="AC698" s="36">
        <v>1</v>
      </c>
      <c r="AD698" s="36">
        <v>4</v>
      </c>
      <c r="AE698" s="36">
        <v>4</v>
      </c>
      <c r="AF698" s="36"/>
      <c r="AG698" s="36"/>
      <c r="AH698" s="36">
        <v>5</v>
      </c>
      <c r="AI698" s="36">
        <v>5</v>
      </c>
      <c r="AJ698" s="36">
        <v>5</v>
      </c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  <c r="AW698" s="36"/>
      <c r="AX698" s="36"/>
      <c r="AY698" s="953"/>
      <c r="AZ698" s="36"/>
      <c r="BA698" s="36"/>
      <c r="BB698" s="36"/>
      <c r="BC698" s="36"/>
      <c r="BD698" s="36"/>
      <c r="BF698">
        <f>ROWS($U$46:U698)</f>
        <v>653</v>
      </c>
      <c r="BG698" t="str">
        <f t="shared" si="214"/>
        <v/>
      </c>
    </row>
    <row r="699" spans="15:59" ht="15" customHeight="1" x14ac:dyDescent="0.35">
      <c r="O699" s="330">
        <v>4</v>
      </c>
      <c r="P699" s="36">
        <v>513509</v>
      </c>
      <c r="Q699" s="36">
        <v>12</v>
      </c>
      <c r="R699" s="36"/>
      <c r="S699" s="36" t="s">
        <v>1200</v>
      </c>
      <c r="T699" s="36" t="s">
        <v>1298</v>
      </c>
      <c r="U699" s="36">
        <v>983003</v>
      </c>
      <c r="V699" s="165" t="s">
        <v>90</v>
      </c>
      <c r="W699" s="36">
        <v>1</v>
      </c>
      <c r="X699" s="36">
        <v>1</v>
      </c>
      <c r="Y699" s="36">
        <v>1</v>
      </c>
      <c r="Z699" s="36">
        <v>1</v>
      </c>
      <c r="AA699" s="36">
        <v>4</v>
      </c>
      <c r="AB699" s="36">
        <v>4</v>
      </c>
      <c r="AC699" s="36"/>
      <c r="AD699" s="36"/>
      <c r="AE699" s="36"/>
      <c r="AF699" s="36"/>
      <c r="AG699" s="36"/>
      <c r="AH699" s="36">
        <v>5</v>
      </c>
      <c r="AI699" s="36">
        <v>5</v>
      </c>
      <c r="AJ699" s="36">
        <v>5</v>
      </c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  <c r="AW699" s="36"/>
      <c r="AX699" s="36"/>
      <c r="AY699" s="953"/>
      <c r="AZ699" s="36"/>
      <c r="BA699" s="36"/>
      <c r="BB699" s="36"/>
      <c r="BC699" s="36"/>
      <c r="BD699" s="36"/>
      <c r="BF699">
        <f>ROWS($U$46:U699)</f>
        <v>654</v>
      </c>
      <c r="BG699" t="str">
        <f t="shared" si="214"/>
        <v/>
      </c>
    </row>
    <row r="700" spans="15:59" ht="15" customHeight="1" x14ac:dyDescent="0.35">
      <c r="O700" s="330">
        <v>5</v>
      </c>
      <c r="P700" s="36">
        <v>375538</v>
      </c>
      <c r="Q700" s="36">
        <v>18</v>
      </c>
      <c r="R700" s="36"/>
      <c r="S700" s="36" t="s">
        <v>1200</v>
      </c>
      <c r="T700" s="36" t="s">
        <v>1298</v>
      </c>
      <c r="U700" s="36">
        <v>983003</v>
      </c>
      <c r="V700" s="165" t="s">
        <v>91</v>
      </c>
      <c r="W700" s="36">
        <v>3</v>
      </c>
      <c r="X700" s="36">
        <v>2</v>
      </c>
      <c r="Y700" s="36">
        <v>1</v>
      </c>
      <c r="Z700" s="36">
        <v>1</v>
      </c>
      <c r="AA700" s="36">
        <v>1</v>
      </c>
      <c r="AB700" s="36">
        <v>1</v>
      </c>
      <c r="AC700" s="36">
        <v>1</v>
      </c>
      <c r="AD700" s="36">
        <v>4</v>
      </c>
      <c r="AE700" s="36">
        <v>4</v>
      </c>
      <c r="AF700" s="36"/>
      <c r="AG700" s="36"/>
      <c r="AH700" s="36">
        <v>5</v>
      </c>
      <c r="AI700" s="36">
        <v>5</v>
      </c>
      <c r="AJ700" s="36">
        <v>5</v>
      </c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  <c r="AW700" s="36"/>
      <c r="AX700" s="36"/>
      <c r="AY700" s="953"/>
      <c r="AZ700" s="36"/>
      <c r="BA700" s="36"/>
      <c r="BB700" s="36"/>
      <c r="BC700" s="36"/>
      <c r="BD700" s="36"/>
      <c r="BF700">
        <f>ROWS($U$46:U700)</f>
        <v>655</v>
      </c>
      <c r="BG700" t="str">
        <f t="shared" si="214"/>
        <v/>
      </c>
    </row>
    <row r="701" spans="15:59" ht="15" customHeight="1" thickBot="1" x14ac:dyDescent="0.4">
      <c r="O701" s="331"/>
      <c r="P701" s="328"/>
      <c r="Q701" s="328"/>
      <c r="R701" s="328"/>
      <c r="S701" s="328" t="s">
        <v>1200</v>
      </c>
      <c r="T701" s="328" t="s">
        <v>1298</v>
      </c>
      <c r="U701" s="328">
        <v>983003</v>
      </c>
      <c r="V701" s="327" t="s">
        <v>92</v>
      </c>
      <c r="W701" s="328">
        <v>1</v>
      </c>
      <c r="X701" s="328">
        <v>1</v>
      </c>
      <c r="Y701" s="328">
        <v>1</v>
      </c>
      <c r="Z701" s="328">
        <v>1</v>
      </c>
      <c r="AA701" s="328">
        <v>4</v>
      </c>
      <c r="AB701" s="328">
        <v>4</v>
      </c>
      <c r="AC701" s="328"/>
      <c r="AD701" s="328"/>
      <c r="AE701" s="328"/>
      <c r="AF701" s="328"/>
      <c r="AG701" s="328"/>
      <c r="AH701" s="328">
        <v>5</v>
      </c>
      <c r="AI701" s="328">
        <v>5</v>
      </c>
      <c r="AJ701" s="328">
        <v>5</v>
      </c>
      <c r="AK701" s="328"/>
      <c r="AL701" s="328"/>
      <c r="AM701" s="328"/>
      <c r="AN701" s="328"/>
      <c r="AO701" s="328"/>
      <c r="AP701" s="328"/>
      <c r="AQ701" s="328"/>
      <c r="AR701" s="328"/>
      <c r="AS701" s="328"/>
      <c r="AT701" s="328"/>
      <c r="AU701" s="328"/>
      <c r="AV701" s="328"/>
      <c r="AW701" s="328"/>
      <c r="AX701" s="328"/>
      <c r="AY701" s="954"/>
      <c r="AZ701" s="36"/>
      <c r="BA701" s="36"/>
      <c r="BB701" s="36"/>
      <c r="BC701" s="36"/>
      <c r="BD701" s="36"/>
      <c r="BF701">
        <f>ROWS($U$46:U701)</f>
        <v>656</v>
      </c>
      <c r="BG701" t="str">
        <f t="shared" si="214"/>
        <v/>
      </c>
    </row>
    <row r="702" spans="15:59" ht="15" customHeight="1" x14ac:dyDescent="0.35">
      <c r="O702" s="329">
        <v>1</v>
      </c>
      <c r="P702" s="320">
        <v>1100696</v>
      </c>
      <c r="Q702" s="320">
        <v>22</v>
      </c>
      <c r="R702" s="320"/>
      <c r="S702" s="320" t="s">
        <v>1319</v>
      </c>
      <c r="T702" s="320" t="s">
        <v>1060</v>
      </c>
      <c r="U702" s="320">
        <v>1137348</v>
      </c>
      <c r="V702" s="319" t="s">
        <v>87</v>
      </c>
      <c r="W702" s="320">
        <v>3</v>
      </c>
      <c r="X702" s="320">
        <v>1</v>
      </c>
      <c r="Y702" s="320">
        <v>1</v>
      </c>
      <c r="Z702" s="320">
        <v>1</v>
      </c>
      <c r="AA702" s="320">
        <v>1</v>
      </c>
      <c r="AB702" s="320">
        <v>1</v>
      </c>
      <c r="AC702" s="320">
        <v>2</v>
      </c>
      <c r="AD702" s="320"/>
      <c r="AE702" s="320"/>
      <c r="AF702" s="320"/>
      <c r="AG702" s="320"/>
      <c r="AH702" s="320"/>
      <c r="AI702" s="320"/>
      <c r="AJ702" s="320"/>
      <c r="AK702" s="320"/>
      <c r="AL702" s="320"/>
      <c r="AM702" s="320"/>
      <c r="AN702" s="320"/>
      <c r="AO702" s="320"/>
      <c r="AP702" s="320"/>
      <c r="AQ702" s="320"/>
      <c r="AR702" s="320"/>
      <c r="AS702" s="320"/>
      <c r="AT702" s="320"/>
      <c r="AU702" s="320"/>
      <c r="AV702" s="320"/>
      <c r="AW702" s="320"/>
      <c r="AX702" s="320"/>
      <c r="AY702" s="952"/>
      <c r="AZ702" s="36"/>
      <c r="BA702" s="36"/>
      <c r="BB702" s="36"/>
      <c r="BC702" s="36"/>
      <c r="BD702" s="36"/>
      <c r="BF702">
        <f>ROWS($U$46:U702)</f>
        <v>657</v>
      </c>
      <c r="BG702" t="str">
        <f t="shared" si="214"/>
        <v/>
      </c>
    </row>
    <row r="703" spans="15:59" ht="15" customHeight="1" x14ac:dyDescent="0.35">
      <c r="O703" s="330">
        <v>2</v>
      </c>
      <c r="P703" s="36">
        <v>871781</v>
      </c>
      <c r="Q703" s="36">
        <v>6</v>
      </c>
      <c r="R703" s="36"/>
      <c r="S703" s="36" t="s">
        <v>1319</v>
      </c>
      <c r="T703" s="36" t="s">
        <v>1060</v>
      </c>
      <c r="U703" s="36">
        <v>1137348</v>
      </c>
      <c r="V703" s="165" t="s">
        <v>88</v>
      </c>
      <c r="W703" s="36">
        <v>1</v>
      </c>
      <c r="X703" s="36">
        <v>1</v>
      </c>
      <c r="Y703" s="36">
        <v>1</v>
      </c>
      <c r="Z703" s="36">
        <v>2</v>
      </c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  <c r="AW703" s="36"/>
      <c r="AX703" s="36"/>
      <c r="AY703" s="953"/>
      <c r="AZ703" s="36"/>
      <c r="BA703" s="36"/>
      <c r="BB703" s="36"/>
      <c r="BC703" s="36"/>
      <c r="BD703" s="36"/>
      <c r="BF703">
        <f>ROWS($U$46:U703)</f>
        <v>658</v>
      </c>
      <c r="BG703" t="str">
        <f t="shared" si="214"/>
        <v/>
      </c>
    </row>
    <row r="704" spans="15:59" ht="15" customHeight="1" x14ac:dyDescent="0.35">
      <c r="O704" s="330">
        <v>3</v>
      </c>
      <c r="P704" s="36">
        <v>703670</v>
      </c>
      <c r="Q704" s="36">
        <v>3</v>
      </c>
      <c r="R704" s="36"/>
      <c r="S704" s="36" t="s">
        <v>1319</v>
      </c>
      <c r="T704" s="36" t="s">
        <v>1060</v>
      </c>
      <c r="U704" s="36">
        <v>1137348</v>
      </c>
      <c r="V704" s="165" t="s">
        <v>89</v>
      </c>
      <c r="W704" s="36">
        <v>3</v>
      </c>
      <c r="X704" s="36">
        <v>1</v>
      </c>
      <c r="Y704" s="36">
        <v>1</v>
      </c>
      <c r="Z704" s="36">
        <v>1</v>
      </c>
      <c r="AA704" s="36">
        <v>1</v>
      </c>
      <c r="AB704" s="36">
        <v>2</v>
      </c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953"/>
      <c r="AZ704" s="36"/>
      <c r="BA704" s="36"/>
      <c r="BB704" s="36"/>
      <c r="BC704" s="36"/>
      <c r="BD704" s="36"/>
      <c r="BF704">
        <f>ROWS($U$46:U704)</f>
        <v>659</v>
      </c>
      <c r="BG704" t="str">
        <f t="shared" si="214"/>
        <v/>
      </c>
    </row>
    <row r="705" spans="15:59" ht="15" customHeight="1" x14ac:dyDescent="0.35">
      <c r="O705" s="330"/>
      <c r="P705" s="36"/>
      <c r="Q705" s="36"/>
      <c r="R705" s="36"/>
      <c r="S705" s="36" t="s">
        <v>1319</v>
      </c>
      <c r="T705" s="36" t="s">
        <v>1060</v>
      </c>
      <c r="U705" s="36">
        <v>1137348</v>
      </c>
      <c r="V705" s="165" t="s">
        <v>90</v>
      </c>
      <c r="W705" s="36">
        <v>1</v>
      </c>
      <c r="X705" s="36">
        <v>1</v>
      </c>
      <c r="Y705" s="36">
        <v>1</v>
      </c>
      <c r="Z705" s="36">
        <v>2</v>
      </c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953"/>
      <c r="AZ705" s="36"/>
      <c r="BA705" s="36"/>
      <c r="BB705" s="36"/>
      <c r="BC705" s="36"/>
      <c r="BD705" s="36"/>
      <c r="BF705">
        <f>ROWS($U$46:U705)</f>
        <v>660</v>
      </c>
      <c r="BG705" t="str">
        <f t="shared" si="214"/>
        <v/>
      </c>
    </row>
    <row r="706" spans="15:59" ht="15" customHeight="1" x14ac:dyDescent="0.35">
      <c r="O706" s="330"/>
      <c r="P706" s="36"/>
      <c r="Q706" s="36"/>
      <c r="R706" s="36"/>
      <c r="S706" s="36" t="s">
        <v>1319</v>
      </c>
      <c r="T706" s="36" t="s">
        <v>1060</v>
      </c>
      <c r="U706" s="36">
        <v>1137348</v>
      </c>
      <c r="V706" s="165" t="s">
        <v>91</v>
      </c>
      <c r="W706" s="36">
        <v>3</v>
      </c>
      <c r="X706" s="36">
        <v>1</v>
      </c>
      <c r="Y706" s="36">
        <v>1</v>
      </c>
      <c r="Z706" s="36">
        <v>1</v>
      </c>
      <c r="AA706" s="36">
        <v>1</v>
      </c>
      <c r="AB706" s="36">
        <v>2</v>
      </c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  <c r="AW706" s="36"/>
      <c r="AX706" s="36"/>
      <c r="AY706" s="953"/>
      <c r="AZ706" s="36"/>
      <c r="BA706" s="36"/>
      <c r="BB706" s="36"/>
      <c r="BC706" s="36"/>
      <c r="BD706" s="36"/>
      <c r="BF706">
        <f>ROWS($U$46:U706)</f>
        <v>661</v>
      </c>
      <c r="BG706" t="str">
        <f t="shared" si="214"/>
        <v/>
      </c>
    </row>
    <row r="707" spans="15:59" ht="15" customHeight="1" thickBot="1" x14ac:dyDescent="0.4">
      <c r="O707" s="485"/>
      <c r="P707" s="486"/>
      <c r="Q707" s="486"/>
      <c r="R707" s="486"/>
      <c r="S707" s="486" t="s">
        <v>1319</v>
      </c>
      <c r="T707" s="486" t="s">
        <v>1060</v>
      </c>
      <c r="U707" s="486">
        <v>1137348</v>
      </c>
      <c r="V707" s="487" t="s">
        <v>92</v>
      </c>
      <c r="W707" s="486">
        <v>1</v>
      </c>
      <c r="X707" s="486">
        <v>1</v>
      </c>
      <c r="Y707" s="486">
        <v>1</v>
      </c>
      <c r="Z707" s="486">
        <v>2</v>
      </c>
      <c r="AA707" s="486"/>
      <c r="AB707" s="486"/>
      <c r="AC707" s="486"/>
      <c r="AD707" s="486"/>
      <c r="AE707" s="486"/>
      <c r="AF707" s="486"/>
      <c r="AG707" s="486"/>
      <c r="AH707" s="486"/>
      <c r="AI707" s="486"/>
      <c r="AJ707" s="486"/>
      <c r="AK707" s="486"/>
      <c r="AL707" s="486"/>
      <c r="AM707" s="486"/>
      <c r="AN707" s="486"/>
      <c r="AO707" s="486"/>
      <c r="AP707" s="486"/>
      <c r="AQ707" s="486"/>
      <c r="AR707" s="486"/>
      <c r="AS707" s="486"/>
      <c r="AT707" s="486"/>
      <c r="AU707" s="486"/>
      <c r="AV707" s="486"/>
      <c r="AW707" s="486"/>
      <c r="AX707" s="486"/>
      <c r="AY707" s="151"/>
      <c r="AZ707" s="36"/>
      <c r="BA707" s="36"/>
      <c r="BB707" s="36"/>
      <c r="BC707" s="36"/>
      <c r="BD707" s="36"/>
      <c r="BF707">
        <f>ROWS($U$46:U707)</f>
        <v>662</v>
      </c>
      <c r="BG707" t="str">
        <f t="shared" si="214"/>
        <v/>
      </c>
    </row>
    <row r="708" spans="15:59" ht="15" customHeight="1" x14ac:dyDescent="0.35">
      <c r="O708" s="329">
        <v>1</v>
      </c>
      <c r="P708" s="320">
        <v>717749</v>
      </c>
      <c r="Q708" s="320">
        <v>31</v>
      </c>
      <c r="R708" s="320"/>
      <c r="S708" s="320" t="s">
        <v>1400</v>
      </c>
      <c r="T708" s="320" t="s">
        <v>753</v>
      </c>
      <c r="U708" s="320">
        <v>412958</v>
      </c>
      <c r="V708" s="319" t="s">
        <v>87</v>
      </c>
      <c r="W708" s="320">
        <v>1</v>
      </c>
      <c r="X708" s="320">
        <v>1</v>
      </c>
      <c r="Y708" s="320">
        <v>1</v>
      </c>
      <c r="Z708" s="320">
        <v>1</v>
      </c>
      <c r="AA708" s="320">
        <v>1</v>
      </c>
      <c r="AB708" s="320"/>
      <c r="AC708" s="320"/>
      <c r="AD708" s="320"/>
      <c r="AE708" s="320"/>
      <c r="AF708" s="320"/>
      <c r="AG708" s="320"/>
      <c r="AH708" s="320"/>
      <c r="AI708" s="320"/>
      <c r="AJ708" s="320"/>
      <c r="AK708" s="320"/>
      <c r="AL708" s="320"/>
      <c r="AM708" s="320"/>
      <c r="AN708" s="320"/>
      <c r="AO708" s="320"/>
      <c r="AP708" s="320"/>
      <c r="AQ708" s="320"/>
      <c r="AR708" s="320"/>
      <c r="AS708" s="320"/>
      <c r="AT708" s="320"/>
      <c r="AU708" s="320"/>
      <c r="AV708" s="320"/>
      <c r="AW708" s="320"/>
      <c r="AX708" s="320"/>
      <c r="AY708" s="952"/>
      <c r="AZ708" s="36"/>
      <c r="BA708" s="36"/>
      <c r="BB708" s="36"/>
      <c r="BC708" s="36"/>
      <c r="BD708" s="36"/>
      <c r="BF708">
        <f>ROWS($U$46:U708)</f>
        <v>663</v>
      </c>
      <c r="BG708" t="str">
        <f t="shared" si="214"/>
        <v/>
      </c>
    </row>
    <row r="709" spans="15:59" ht="15" customHeight="1" x14ac:dyDescent="0.35">
      <c r="O709" s="330"/>
      <c r="P709" s="36"/>
      <c r="Q709" s="36"/>
      <c r="R709" s="36"/>
      <c r="S709" s="36" t="s">
        <v>1400</v>
      </c>
      <c r="T709" s="36" t="s">
        <v>753</v>
      </c>
      <c r="U709" s="36">
        <v>412958</v>
      </c>
      <c r="V709" s="165" t="s">
        <v>88</v>
      </c>
      <c r="W709" s="36">
        <v>1</v>
      </c>
      <c r="X709" s="36">
        <v>1</v>
      </c>
      <c r="Y709" s="36">
        <v>1</v>
      </c>
      <c r="Z709" s="36">
        <v>1</v>
      </c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  <c r="AW709" s="36"/>
      <c r="AX709" s="36"/>
      <c r="AY709" s="953"/>
      <c r="AZ709" s="36"/>
      <c r="BA709" s="36"/>
      <c r="BB709" s="36"/>
      <c r="BC709" s="36"/>
      <c r="BD709" s="36"/>
      <c r="BF709">
        <f>ROWS($U$46:U709)</f>
        <v>664</v>
      </c>
      <c r="BG709" t="str">
        <f t="shared" si="214"/>
        <v/>
      </c>
    </row>
    <row r="710" spans="15:59" ht="15" customHeight="1" x14ac:dyDescent="0.35">
      <c r="O710" s="330"/>
      <c r="P710" s="36"/>
      <c r="Q710" s="36"/>
      <c r="R710" s="36"/>
      <c r="S710" s="36" t="s">
        <v>1400</v>
      </c>
      <c r="T710" s="36" t="s">
        <v>753</v>
      </c>
      <c r="U710" s="36">
        <v>412958</v>
      </c>
      <c r="V710" s="165" t="s">
        <v>89</v>
      </c>
      <c r="W710" s="36">
        <v>1</v>
      </c>
      <c r="X710" s="36">
        <v>1</v>
      </c>
      <c r="Y710" s="36">
        <v>1</v>
      </c>
      <c r="Z710" s="36">
        <v>1</v>
      </c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  <c r="AW710" s="36"/>
      <c r="AX710" s="36"/>
      <c r="AY710" s="953"/>
      <c r="AZ710" s="36"/>
      <c r="BA710" s="36"/>
      <c r="BB710" s="36"/>
      <c r="BC710" s="36"/>
      <c r="BD710" s="36"/>
      <c r="BF710">
        <f>ROWS($U$46:U710)</f>
        <v>665</v>
      </c>
      <c r="BG710" t="str">
        <f t="shared" si="214"/>
        <v/>
      </c>
    </row>
    <row r="711" spans="15:59" ht="15" customHeight="1" x14ac:dyDescent="0.35">
      <c r="O711" s="330"/>
      <c r="P711" s="36"/>
      <c r="Q711" s="36"/>
      <c r="R711" s="36"/>
      <c r="S711" s="36" t="s">
        <v>1400</v>
      </c>
      <c r="T711" s="36" t="s">
        <v>753</v>
      </c>
      <c r="U711" s="36">
        <v>412958</v>
      </c>
      <c r="V711" s="165" t="s">
        <v>90</v>
      </c>
      <c r="W711" s="36">
        <v>1</v>
      </c>
      <c r="X711" s="36">
        <v>1</v>
      </c>
      <c r="Y711" s="36">
        <v>1</v>
      </c>
      <c r="Z711" s="36">
        <v>1</v>
      </c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  <c r="AW711" s="36"/>
      <c r="AX711" s="36"/>
      <c r="AY711" s="953"/>
      <c r="AZ711" s="36"/>
      <c r="BA711" s="36"/>
      <c r="BB711" s="36"/>
      <c r="BC711" s="36"/>
      <c r="BD711" s="36"/>
      <c r="BF711">
        <f>ROWS($U$46:U711)</f>
        <v>666</v>
      </c>
      <c r="BG711" t="str">
        <f t="shared" si="214"/>
        <v/>
      </c>
    </row>
    <row r="712" spans="15:59" ht="15" customHeight="1" x14ac:dyDescent="0.35">
      <c r="O712" s="330"/>
      <c r="P712" s="36"/>
      <c r="Q712" s="36"/>
      <c r="R712" s="36"/>
      <c r="S712" s="36" t="s">
        <v>1400</v>
      </c>
      <c r="T712" s="36" t="s">
        <v>753</v>
      </c>
      <c r="U712" s="36">
        <v>412958</v>
      </c>
      <c r="V712" s="165" t="s">
        <v>91</v>
      </c>
      <c r="W712" s="36">
        <v>1</v>
      </c>
      <c r="X712" s="36">
        <v>1</v>
      </c>
      <c r="Y712" s="36">
        <v>1</v>
      </c>
      <c r="Z712" s="36">
        <v>1</v>
      </c>
      <c r="AA712" s="36">
        <v>1</v>
      </c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  <c r="AW712" s="36"/>
      <c r="AX712" s="36"/>
      <c r="AY712" s="953"/>
      <c r="AZ712" s="36"/>
      <c r="BA712" s="36"/>
      <c r="BB712" s="36"/>
      <c r="BC712" s="36"/>
      <c r="BD712" s="36"/>
      <c r="BF712">
        <f>ROWS($U$46:U712)</f>
        <v>667</v>
      </c>
      <c r="BG712" t="str">
        <f t="shared" si="214"/>
        <v/>
      </c>
    </row>
    <row r="713" spans="15:59" ht="15" customHeight="1" x14ac:dyDescent="0.35">
      <c r="O713" s="330"/>
      <c r="P713" s="36"/>
      <c r="Q713" s="36"/>
      <c r="R713" s="36"/>
      <c r="S713" s="36" t="s">
        <v>1400</v>
      </c>
      <c r="T713" s="36" t="s">
        <v>753</v>
      </c>
      <c r="U713" s="36">
        <v>412958</v>
      </c>
      <c r="V713" s="165" t="s">
        <v>92</v>
      </c>
      <c r="W713" s="36">
        <v>1</v>
      </c>
      <c r="X713" s="36">
        <v>1</v>
      </c>
      <c r="Y713" s="36">
        <v>1</v>
      </c>
      <c r="Z713" s="36">
        <v>1</v>
      </c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953"/>
      <c r="AZ713" s="36"/>
      <c r="BA713" s="36"/>
      <c r="BB713" s="36"/>
      <c r="BC713" s="36"/>
      <c r="BD713" s="36"/>
      <c r="BF713">
        <f>ROWS($U$46:U713)</f>
        <v>668</v>
      </c>
      <c r="BG713" t="str">
        <f t="shared" si="214"/>
        <v/>
      </c>
    </row>
    <row r="714" spans="15:59" ht="15" customHeight="1" thickBot="1" x14ac:dyDescent="0.4">
      <c r="O714" s="331"/>
      <c r="P714" s="328"/>
      <c r="Q714" s="328"/>
      <c r="R714" s="328"/>
      <c r="S714" s="328" t="s">
        <v>1400</v>
      </c>
      <c r="T714" s="328" t="s">
        <v>753</v>
      </c>
      <c r="U714" s="328">
        <v>412958</v>
      </c>
      <c r="V714" s="327" t="s">
        <v>111</v>
      </c>
      <c r="W714" s="328">
        <v>1</v>
      </c>
      <c r="X714" s="328">
        <v>1</v>
      </c>
      <c r="Y714" s="328">
        <v>1</v>
      </c>
      <c r="Z714" s="328">
        <v>1</v>
      </c>
      <c r="AA714" s="328">
        <v>1</v>
      </c>
      <c r="AB714" s="328"/>
      <c r="AC714" s="328"/>
      <c r="AD714" s="328"/>
      <c r="AE714" s="328"/>
      <c r="AF714" s="328"/>
      <c r="AG714" s="328"/>
      <c r="AH714" s="328"/>
      <c r="AI714" s="328"/>
      <c r="AJ714" s="328"/>
      <c r="AK714" s="328"/>
      <c r="AL714" s="328"/>
      <c r="AM714" s="328"/>
      <c r="AN714" s="328"/>
      <c r="AO714" s="328"/>
      <c r="AP714" s="328"/>
      <c r="AQ714" s="328"/>
      <c r="AR714" s="328"/>
      <c r="AS714" s="328"/>
      <c r="AT714" s="328"/>
      <c r="AU714" s="328"/>
      <c r="AV714" s="328"/>
      <c r="AW714" s="328"/>
      <c r="AX714" s="328"/>
      <c r="AY714" s="954"/>
      <c r="AZ714" s="36"/>
      <c r="BA714" s="36"/>
      <c r="BB714" s="36"/>
      <c r="BC714" s="36"/>
      <c r="BD714" s="36"/>
      <c r="BF714">
        <f>ROWS($U$46:U714)</f>
        <v>669</v>
      </c>
      <c r="BG714" t="str">
        <f t="shared" si="214"/>
        <v/>
      </c>
    </row>
    <row r="715" spans="15:59" ht="15" customHeight="1" x14ac:dyDescent="0.35">
      <c r="O715" s="329">
        <v>1</v>
      </c>
      <c r="P715" s="320">
        <v>1130198</v>
      </c>
      <c r="Q715" s="320">
        <v>50</v>
      </c>
      <c r="R715" s="320"/>
      <c r="S715" s="320" t="s">
        <v>1209</v>
      </c>
      <c r="T715" s="320" t="s">
        <v>1321</v>
      </c>
      <c r="U715" s="320">
        <v>1041191</v>
      </c>
      <c r="V715" s="319" t="s">
        <v>87</v>
      </c>
      <c r="W715" s="320">
        <v>1</v>
      </c>
      <c r="X715" s="320">
        <v>1</v>
      </c>
      <c r="Y715" s="320">
        <v>1</v>
      </c>
      <c r="Z715" s="320">
        <v>1</v>
      </c>
      <c r="AA715" s="320">
        <v>1</v>
      </c>
      <c r="AB715" s="320">
        <v>1</v>
      </c>
      <c r="AC715" s="320">
        <v>1</v>
      </c>
      <c r="AD715" s="320">
        <v>1</v>
      </c>
      <c r="AE715" s="320">
        <v>1</v>
      </c>
      <c r="AF715" s="320">
        <v>1</v>
      </c>
      <c r="AG715" s="320">
        <v>2</v>
      </c>
      <c r="AH715" s="320">
        <v>3</v>
      </c>
      <c r="AI715" s="320"/>
      <c r="AJ715" s="320">
        <v>4</v>
      </c>
      <c r="AK715" s="320">
        <v>4</v>
      </c>
      <c r="AL715" s="320">
        <v>4</v>
      </c>
      <c r="AM715" s="320">
        <v>4</v>
      </c>
      <c r="AN715" s="320">
        <v>4</v>
      </c>
      <c r="AO715" s="320"/>
      <c r="AP715" s="320"/>
      <c r="AQ715" s="320"/>
      <c r="AR715" s="320"/>
      <c r="AS715" s="320"/>
      <c r="AT715" s="320"/>
      <c r="AU715" s="320"/>
      <c r="AV715" s="320"/>
      <c r="AW715" s="320"/>
      <c r="AX715" s="320"/>
      <c r="AY715" s="952"/>
      <c r="AZ715" s="36"/>
      <c r="BA715" s="36"/>
      <c r="BB715" s="36"/>
      <c r="BC715" s="36"/>
      <c r="BD715" s="36"/>
      <c r="BF715">
        <f>ROWS($U$46:U715)</f>
        <v>670</v>
      </c>
      <c r="BG715" t="str">
        <f t="shared" si="214"/>
        <v/>
      </c>
    </row>
    <row r="716" spans="15:59" ht="15" customHeight="1" x14ac:dyDescent="0.35">
      <c r="O716" s="330">
        <v>2</v>
      </c>
      <c r="P716" s="36">
        <v>418525</v>
      </c>
      <c r="Q716" s="36">
        <v>5</v>
      </c>
      <c r="R716" s="36"/>
      <c r="S716" s="36" t="s">
        <v>1209</v>
      </c>
      <c r="T716" s="36" t="s">
        <v>1321</v>
      </c>
      <c r="U716" s="36">
        <v>1041191</v>
      </c>
      <c r="V716" s="165" t="s">
        <v>88</v>
      </c>
      <c r="W716" s="36">
        <v>1</v>
      </c>
      <c r="X716" s="36">
        <v>1</v>
      </c>
      <c r="Y716" s="36">
        <v>1</v>
      </c>
      <c r="Z716" s="36">
        <v>1</v>
      </c>
      <c r="AA716" s="36">
        <v>1</v>
      </c>
      <c r="AB716" s="36">
        <v>1</v>
      </c>
      <c r="AC716" s="36">
        <v>2</v>
      </c>
      <c r="AD716" s="36">
        <v>2</v>
      </c>
      <c r="AE716" s="36"/>
      <c r="AF716" s="36"/>
      <c r="AG716" s="36"/>
      <c r="AH716" s="36"/>
      <c r="AI716" s="36"/>
      <c r="AJ716" s="36">
        <v>4</v>
      </c>
      <c r="AK716" s="36">
        <v>4</v>
      </c>
      <c r="AL716" s="36">
        <v>4</v>
      </c>
      <c r="AM716" s="36">
        <v>4</v>
      </c>
      <c r="AN716" s="36">
        <v>4</v>
      </c>
      <c r="AO716" s="36"/>
      <c r="AP716" s="36"/>
      <c r="AQ716" s="36"/>
      <c r="AR716" s="36"/>
      <c r="AS716" s="36"/>
      <c r="AT716" s="36"/>
      <c r="AU716" s="36"/>
      <c r="AV716" s="36"/>
      <c r="AW716" s="36"/>
      <c r="AX716" s="36"/>
      <c r="AY716" s="953"/>
      <c r="AZ716" s="36"/>
      <c r="BA716" s="36"/>
      <c r="BB716" s="36"/>
      <c r="BC716" s="36"/>
      <c r="BD716" s="36"/>
      <c r="BF716">
        <f>ROWS($U$46:U716)</f>
        <v>671</v>
      </c>
      <c r="BG716" t="str">
        <f t="shared" si="214"/>
        <v/>
      </c>
    </row>
    <row r="717" spans="15:59" ht="15" customHeight="1" x14ac:dyDescent="0.35">
      <c r="O717" s="330">
        <v>3</v>
      </c>
      <c r="P717" s="36">
        <v>871781</v>
      </c>
      <c r="Q717" s="36">
        <v>3</v>
      </c>
      <c r="R717" s="36"/>
      <c r="S717" s="36" t="s">
        <v>1209</v>
      </c>
      <c r="T717" s="36" t="s">
        <v>1321</v>
      </c>
      <c r="U717" s="36">
        <v>1041191</v>
      </c>
      <c r="V717" s="165" t="s">
        <v>89</v>
      </c>
      <c r="W717" s="36">
        <v>1</v>
      </c>
      <c r="X717" s="36">
        <v>1</v>
      </c>
      <c r="Y717" s="36">
        <v>1</v>
      </c>
      <c r="Z717" s="36">
        <v>1</v>
      </c>
      <c r="AA717" s="36">
        <v>1</v>
      </c>
      <c r="AB717" s="36">
        <v>1</v>
      </c>
      <c r="AC717" s="36">
        <v>1</v>
      </c>
      <c r="AD717" s="36">
        <v>1</v>
      </c>
      <c r="AE717" s="36">
        <v>1</v>
      </c>
      <c r="AF717" s="36">
        <v>1</v>
      </c>
      <c r="AG717" s="36">
        <v>3</v>
      </c>
      <c r="AH717" s="36"/>
      <c r="AI717" s="36"/>
      <c r="AJ717" s="36">
        <v>4</v>
      </c>
      <c r="AK717" s="36">
        <v>4</v>
      </c>
      <c r="AL717" s="36">
        <v>4</v>
      </c>
      <c r="AM717" s="36">
        <v>4</v>
      </c>
      <c r="AN717" s="36">
        <v>4</v>
      </c>
      <c r="AO717" s="36">
        <v>4</v>
      </c>
      <c r="AP717" s="36"/>
      <c r="AQ717" s="36"/>
      <c r="AR717" s="36"/>
      <c r="AS717" s="36"/>
      <c r="AT717" s="36"/>
      <c r="AU717" s="36"/>
      <c r="AV717" s="36"/>
      <c r="AW717" s="36"/>
      <c r="AX717" s="36"/>
      <c r="AY717" s="953"/>
      <c r="AZ717" s="36"/>
      <c r="BA717" s="36"/>
      <c r="BB717" s="36"/>
      <c r="BC717" s="36"/>
      <c r="BD717" s="36"/>
      <c r="BF717">
        <f>ROWS($U$46:U717)</f>
        <v>672</v>
      </c>
      <c r="BG717" t="str">
        <f t="shared" si="214"/>
        <v/>
      </c>
    </row>
    <row r="718" spans="15:59" ht="15" customHeight="1" x14ac:dyDescent="0.35">
      <c r="O718" s="330">
        <v>4</v>
      </c>
      <c r="P718" s="36">
        <v>647436</v>
      </c>
      <c r="Q718" s="36">
        <v>31</v>
      </c>
      <c r="R718" s="36"/>
      <c r="S718" s="36" t="s">
        <v>1209</v>
      </c>
      <c r="T718" s="36" t="s">
        <v>1321</v>
      </c>
      <c r="U718" s="36">
        <v>1041191</v>
      </c>
      <c r="V718" s="165" t="s">
        <v>90</v>
      </c>
      <c r="W718" s="36">
        <v>1</v>
      </c>
      <c r="X718" s="36">
        <v>1</v>
      </c>
      <c r="Y718" s="36">
        <v>1</v>
      </c>
      <c r="Z718" s="36">
        <v>1</v>
      </c>
      <c r="AA718" s="36">
        <v>1</v>
      </c>
      <c r="AB718" s="36">
        <v>1</v>
      </c>
      <c r="AC718" s="36">
        <v>1</v>
      </c>
      <c r="AD718" s="36">
        <v>2</v>
      </c>
      <c r="AE718" s="36"/>
      <c r="AF718" s="36"/>
      <c r="AG718" s="36"/>
      <c r="AH718" s="36"/>
      <c r="AI718" s="36"/>
      <c r="AJ718" s="36">
        <v>4</v>
      </c>
      <c r="AK718" s="36">
        <v>4</v>
      </c>
      <c r="AL718" s="36">
        <v>4</v>
      </c>
      <c r="AM718" s="36">
        <v>4</v>
      </c>
      <c r="AN718" s="36">
        <v>4</v>
      </c>
      <c r="AO718" s="36"/>
      <c r="AP718" s="36"/>
      <c r="AQ718" s="36"/>
      <c r="AR718" s="36"/>
      <c r="AS718" s="36"/>
      <c r="AT718" s="36"/>
      <c r="AU718" s="36"/>
      <c r="AV718" s="36"/>
      <c r="AW718" s="36"/>
      <c r="AX718" s="36"/>
      <c r="AY718" s="953"/>
      <c r="AZ718" s="36"/>
      <c r="BA718" s="36"/>
      <c r="BB718" s="36"/>
      <c r="BC718" s="36"/>
      <c r="BD718" s="36"/>
      <c r="BF718">
        <f>ROWS($U$46:U718)</f>
        <v>673</v>
      </c>
      <c r="BG718" t="str">
        <f t="shared" si="214"/>
        <v/>
      </c>
    </row>
    <row r="719" spans="15:59" ht="15" customHeight="1" x14ac:dyDescent="0.35">
      <c r="O719" s="330"/>
      <c r="P719" s="36"/>
      <c r="Q719" s="36"/>
      <c r="R719" s="36"/>
      <c r="S719" s="36" t="s">
        <v>1209</v>
      </c>
      <c r="T719" s="36" t="s">
        <v>1321</v>
      </c>
      <c r="U719" s="36">
        <v>1041191</v>
      </c>
      <c r="V719" s="165" t="s">
        <v>91</v>
      </c>
      <c r="W719" s="36">
        <v>1</v>
      </c>
      <c r="X719" s="36">
        <v>1</v>
      </c>
      <c r="Y719" s="36">
        <v>1</v>
      </c>
      <c r="Z719" s="36">
        <v>1</v>
      </c>
      <c r="AA719" s="36">
        <v>1</v>
      </c>
      <c r="AB719" s="36">
        <v>1</v>
      </c>
      <c r="AC719" s="36">
        <v>1</v>
      </c>
      <c r="AD719" s="36">
        <v>1</v>
      </c>
      <c r="AE719" s="36">
        <v>1</v>
      </c>
      <c r="AF719" s="36">
        <v>1</v>
      </c>
      <c r="AG719" s="36">
        <v>3</v>
      </c>
      <c r="AH719" s="36"/>
      <c r="AI719" s="36"/>
      <c r="AJ719" s="36">
        <v>4</v>
      </c>
      <c r="AK719" s="36">
        <v>4</v>
      </c>
      <c r="AL719" s="36">
        <v>4</v>
      </c>
      <c r="AM719" s="36">
        <v>4</v>
      </c>
      <c r="AN719" s="36">
        <v>4</v>
      </c>
      <c r="AO719" s="36"/>
      <c r="AP719" s="36"/>
      <c r="AQ719" s="36"/>
      <c r="AR719" s="36"/>
      <c r="AS719" s="36"/>
      <c r="AT719" s="36"/>
      <c r="AU719" s="36"/>
      <c r="AV719" s="36"/>
      <c r="AW719" s="36"/>
      <c r="AX719" s="36"/>
      <c r="AY719" s="953"/>
      <c r="AZ719" s="36"/>
      <c r="BA719" s="36"/>
      <c r="BB719" s="36"/>
      <c r="BC719" s="36"/>
      <c r="BD719" s="36"/>
      <c r="BF719">
        <f>ROWS($U$46:U719)</f>
        <v>674</v>
      </c>
      <c r="BG719" t="str">
        <f t="shared" si="214"/>
        <v/>
      </c>
    </row>
    <row r="720" spans="15:59" ht="15" customHeight="1" thickBot="1" x14ac:dyDescent="0.4">
      <c r="O720" s="331"/>
      <c r="P720" s="328"/>
      <c r="Q720" s="328"/>
      <c r="R720" s="328"/>
      <c r="S720" s="328" t="s">
        <v>1209</v>
      </c>
      <c r="T720" s="328" t="s">
        <v>1321</v>
      </c>
      <c r="U720" s="328">
        <v>1041191</v>
      </c>
      <c r="V720" s="327" t="s">
        <v>92</v>
      </c>
      <c r="W720" s="328">
        <v>1</v>
      </c>
      <c r="X720" s="328">
        <v>1</v>
      </c>
      <c r="Y720" s="328">
        <v>1</v>
      </c>
      <c r="Z720" s="328">
        <v>1</v>
      </c>
      <c r="AA720" s="328">
        <v>1</v>
      </c>
      <c r="AB720" s="328">
        <v>1</v>
      </c>
      <c r="AC720" s="328">
        <v>1</v>
      </c>
      <c r="AD720" s="328">
        <v>2</v>
      </c>
      <c r="AE720" s="328"/>
      <c r="AF720" s="328"/>
      <c r="AG720" s="328"/>
      <c r="AH720" s="328"/>
      <c r="AI720" s="328"/>
      <c r="AJ720" s="328">
        <v>4</v>
      </c>
      <c r="AK720" s="328">
        <v>4</v>
      </c>
      <c r="AL720" s="328">
        <v>4</v>
      </c>
      <c r="AM720" s="328">
        <v>4</v>
      </c>
      <c r="AN720" s="328">
        <v>4</v>
      </c>
      <c r="AO720" s="328"/>
      <c r="AP720" s="328"/>
      <c r="AQ720" s="328"/>
      <c r="AR720" s="328"/>
      <c r="AS720" s="328"/>
      <c r="AT720" s="328"/>
      <c r="AU720" s="328"/>
      <c r="AV720" s="328"/>
      <c r="AW720" s="328"/>
      <c r="AX720" s="328"/>
      <c r="AY720" s="954"/>
      <c r="AZ720" s="36"/>
      <c r="BA720" s="36"/>
      <c r="BB720" s="36"/>
      <c r="BC720" s="36"/>
      <c r="BD720" s="36"/>
      <c r="BF720">
        <f>ROWS($U$46:U720)</f>
        <v>675</v>
      </c>
      <c r="BG720" t="str">
        <f t="shared" si="214"/>
        <v/>
      </c>
    </row>
    <row r="721" spans="15:59" ht="15" customHeight="1" x14ac:dyDescent="0.35">
      <c r="O721" s="329">
        <v>1</v>
      </c>
      <c r="P721" s="320">
        <v>1130198</v>
      </c>
      <c r="Q721" s="320">
        <v>33</v>
      </c>
      <c r="R721" s="320"/>
      <c r="S721" s="320" t="s">
        <v>1198</v>
      </c>
      <c r="T721" s="320" t="s">
        <v>1321</v>
      </c>
      <c r="U721" s="320">
        <v>1080537</v>
      </c>
      <c r="V721" s="319" t="s">
        <v>87</v>
      </c>
      <c r="W721" s="320">
        <v>1</v>
      </c>
      <c r="X721" s="320">
        <v>1</v>
      </c>
      <c r="Y721" s="320">
        <v>1</v>
      </c>
      <c r="Z721" s="320">
        <v>1</v>
      </c>
      <c r="AA721" s="320">
        <v>1</v>
      </c>
      <c r="AB721" s="320">
        <v>1</v>
      </c>
      <c r="AC721" s="320">
        <v>1</v>
      </c>
      <c r="AD721" s="320">
        <v>3</v>
      </c>
      <c r="AE721" s="320"/>
      <c r="AF721" s="320">
        <v>2</v>
      </c>
      <c r="AG721" s="320">
        <v>2</v>
      </c>
      <c r="AH721" s="320">
        <v>2</v>
      </c>
      <c r="AI721" s="320">
        <v>2</v>
      </c>
      <c r="AJ721" s="320"/>
      <c r="AK721" s="320"/>
      <c r="AL721" s="320"/>
      <c r="AM721" s="320"/>
      <c r="AN721" s="320"/>
      <c r="AO721" s="320"/>
      <c r="AP721" s="320"/>
      <c r="AQ721" s="320"/>
      <c r="AR721" s="320"/>
      <c r="AS721" s="320"/>
      <c r="AT721" s="320"/>
      <c r="AU721" s="320"/>
      <c r="AV721" s="320"/>
      <c r="AW721" s="320"/>
      <c r="AX721" s="320"/>
      <c r="AY721" s="952"/>
      <c r="AZ721" s="36"/>
      <c r="BA721" s="36"/>
      <c r="BB721" s="36"/>
      <c r="BC721" s="36"/>
      <c r="BD721" s="36"/>
      <c r="BF721">
        <f>ROWS($U$46:U721)</f>
        <v>676</v>
      </c>
      <c r="BG721" t="str">
        <f t="shared" si="214"/>
        <v/>
      </c>
    </row>
    <row r="722" spans="15:59" ht="15" customHeight="1" x14ac:dyDescent="0.35">
      <c r="O722" s="330">
        <v>2</v>
      </c>
      <c r="P722" s="36">
        <v>647435</v>
      </c>
      <c r="Q722" s="36">
        <v>23</v>
      </c>
      <c r="R722" s="36"/>
      <c r="S722" s="36" t="s">
        <v>1198</v>
      </c>
      <c r="T722" s="36" t="s">
        <v>1321</v>
      </c>
      <c r="U722" s="36">
        <v>1080537</v>
      </c>
      <c r="V722" s="165" t="s">
        <v>88</v>
      </c>
      <c r="W722" s="36">
        <v>1</v>
      </c>
      <c r="X722" s="36">
        <v>1</v>
      </c>
      <c r="Y722" s="36">
        <v>1</v>
      </c>
      <c r="Z722" s="36">
        <v>1</v>
      </c>
      <c r="AA722" s="36">
        <v>3</v>
      </c>
      <c r="AB722" s="36"/>
      <c r="AC722" s="36"/>
      <c r="AD722" s="36"/>
      <c r="AE722" s="36"/>
      <c r="AF722" s="36">
        <v>2</v>
      </c>
      <c r="AG722" s="36">
        <v>2</v>
      </c>
      <c r="AH722" s="36">
        <v>2</v>
      </c>
      <c r="AI722" s="36">
        <v>2</v>
      </c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  <c r="AW722" s="36"/>
      <c r="AX722" s="36"/>
      <c r="AY722" s="953"/>
      <c r="AZ722" s="36"/>
      <c r="BA722" s="36"/>
      <c r="BB722" s="36"/>
      <c r="BC722" s="36"/>
      <c r="BD722" s="36"/>
      <c r="BF722">
        <f>ROWS($U$46:U722)</f>
        <v>677</v>
      </c>
      <c r="BG722" t="str">
        <f t="shared" si="214"/>
        <v/>
      </c>
    </row>
    <row r="723" spans="15:59" ht="15" customHeight="1" x14ac:dyDescent="0.35">
      <c r="O723" s="330">
        <v>3</v>
      </c>
      <c r="P723" s="36">
        <v>418525</v>
      </c>
      <c r="Q723" s="36">
        <v>6</v>
      </c>
      <c r="R723" s="36"/>
      <c r="S723" s="36" t="s">
        <v>1198</v>
      </c>
      <c r="T723" s="36" t="s">
        <v>1321</v>
      </c>
      <c r="U723" s="36">
        <v>1080537</v>
      </c>
      <c r="V723" s="165" t="s">
        <v>89</v>
      </c>
      <c r="W723" s="36">
        <v>1</v>
      </c>
      <c r="X723" s="36">
        <v>1</v>
      </c>
      <c r="Y723" s="36">
        <v>1</v>
      </c>
      <c r="Z723" s="36">
        <v>1</v>
      </c>
      <c r="AA723" s="36">
        <v>1</v>
      </c>
      <c r="AB723" s="36">
        <v>1</v>
      </c>
      <c r="AC723" s="36">
        <v>3</v>
      </c>
      <c r="AD723" s="36"/>
      <c r="AE723" s="36"/>
      <c r="AF723" s="36">
        <v>2</v>
      </c>
      <c r="AG723" s="36">
        <v>2</v>
      </c>
      <c r="AH723" s="36">
        <v>2</v>
      </c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  <c r="AW723" s="36"/>
      <c r="AX723" s="36"/>
      <c r="AY723" s="953"/>
      <c r="AZ723" s="36"/>
      <c r="BA723" s="36"/>
      <c r="BB723" s="36"/>
      <c r="BC723" s="36"/>
      <c r="BD723" s="36"/>
      <c r="BF723">
        <f>ROWS($U$46:U723)</f>
        <v>678</v>
      </c>
      <c r="BG723" t="str">
        <f t="shared" si="214"/>
        <v/>
      </c>
    </row>
    <row r="724" spans="15:59" ht="15" customHeight="1" x14ac:dyDescent="0.35">
      <c r="O724" s="330"/>
      <c r="P724" s="36"/>
      <c r="Q724" s="36"/>
      <c r="R724" s="36"/>
      <c r="S724" s="36" t="s">
        <v>1198</v>
      </c>
      <c r="T724" s="36" t="s">
        <v>1321</v>
      </c>
      <c r="U724" s="36">
        <v>1080537</v>
      </c>
      <c r="V724" s="165" t="s">
        <v>90</v>
      </c>
      <c r="W724" s="36">
        <v>1</v>
      </c>
      <c r="X724" s="36">
        <v>1</v>
      </c>
      <c r="Y724" s="36">
        <v>1</v>
      </c>
      <c r="Z724" s="36">
        <v>1</v>
      </c>
      <c r="AA724" s="36">
        <v>1</v>
      </c>
      <c r="AB724" s="36">
        <v>3</v>
      </c>
      <c r="AC724" s="36"/>
      <c r="AD724" s="36"/>
      <c r="AE724" s="36"/>
      <c r="AF724" s="36">
        <v>2</v>
      </c>
      <c r="AG724" s="36">
        <v>2</v>
      </c>
      <c r="AH724" s="36">
        <v>2</v>
      </c>
      <c r="AI724" s="36">
        <v>2</v>
      </c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  <c r="AW724" s="36"/>
      <c r="AX724" s="36"/>
      <c r="AY724" s="953"/>
      <c r="AZ724" s="36"/>
      <c r="BA724" s="36"/>
      <c r="BB724" s="36"/>
      <c r="BC724" s="36"/>
      <c r="BD724" s="36"/>
      <c r="BF724">
        <f>ROWS($U$46:U724)</f>
        <v>679</v>
      </c>
      <c r="BG724" t="str">
        <f t="shared" si="214"/>
        <v/>
      </c>
    </row>
    <row r="725" spans="15:59" ht="15" customHeight="1" x14ac:dyDescent="0.35">
      <c r="O725" s="330"/>
      <c r="P725" s="36"/>
      <c r="Q725" s="36"/>
      <c r="R725" s="36"/>
      <c r="S725" s="36" t="s">
        <v>1198</v>
      </c>
      <c r="T725" s="36" t="s">
        <v>1321</v>
      </c>
      <c r="U725" s="36">
        <v>1080537</v>
      </c>
      <c r="V725" s="165" t="s">
        <v>91</v>
      </c>
      <c r="W725" s="36">
        <v>1</v>
      </c>
      <c r="X725" s="36">
        <v>1</v>
      </c>
      <c r="Y725" s="36">
        <v>1</v>
      </c>
      <c r="Z725" s="36">
        <v>1</v>
      </c>
      <c r="AA725" s="36">
        <v>1</v>
      </c>
      <c r="AB725" s="36">
        <v>1</v>
      </c>
      <c r="AC725" s="36">
        <v>1</v>
      </c>
      <c r="AD725" s="36">
        <v>3</v>
      </c>
      <c r="AE725" s="36"/>
      <c r="AF725" s="36">
        <v>2</v>
      </c>
      <c r="AG725" s="36">
        <v>2</v>
      </c>
      <c r="AH725" s="36">
        <v>2</v>
      </c>
      <c r="AI725" s="36">
        <v>2</v>
      </c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953"/>
      <c r="AZ725" s="36"/>
      <c r="BA725" s="36"/>
      <c r="BB725" s="36"/>
      <c r="BC725" s="36"/>
      <c r="BD725" s="36"/>
      <c r="BF725">
        <f>ROWS($U$46:U725)</f>
        <v>680</v>
      </c>
      <c r="BG725" t="str">
        <f t="shared" si="214"/>
        <v/>
      </c>
    </row>
    <row r="726" spans="15:59" ht="15" customHeight="1" thickBot="1" x14ac:dyDescent="0.4">
      <c r="O726" s="485"/>
      <c r="P726" s="486"/>
      <c r="Q726" s="486"/>
      <c r="R726" s="486"/>
      <c r="S726" s="486" t="s">
        <v>1198</v>
      </c>
      <c r="T726" s="486" t="s">
        <v>1321</v>
      </c>
      <c r="U726" s="486">
        <v>1080537</v>
      </c>
      <c r="V726" s="327" t="s">
        <v>92</v>
      </c>
      <c r="W726" s="328">
        <v>1</v>
      </c>
      <c r="X726" s="328">
        <v>1</v>
      </c>
      <c r="Y726" s="328">
        <v>1</v>
      </c>
      <c r="Z726" s="328">
        <v>1</v>
      </c>
      <c r="AA726" s="328">
        <v>3</v>
      </c>
      <c r="AB726" s="328"/>
      <c r="AC726" s="328"/>
      <c r="AD726" s="328"/>
      <c r="AE726" s="328"/>
      <c r="AF726" s="328">
        <v>2</v>
      </c>
      <c r="AG726" s="328">
        <v>2</v>
      </c>
      <c r="AH726" s="328">
        <v>2</v>
      </c>
      <c r="AI726" s="328">
        <v>2</v>
      </c>
      <c r="AJ726" s="328"/>
      <c r="AK726" s="328"/>
      <c r="AL726" s="328"/>
      <c r="AM726" s="328"/>
      <c r="AN726" s="328"/>
      <c r="AO726" s="328"/>
      <c r="AP726" s="328"/>
      <c r="AQ726" s="328"/>
      <c r="AR726" s="328"/>
      <c r="AS726" s="328"/>
      <c r="AT726" s="328"/>
      <c r="AU726" s="328"/>
      <c r="AV726" s="328"/>
      <c r="AW726" s="328"/>
      <c r="AX726" s="328"/>
      <c r="AY726" s="954"/>
      <c r="AZ726" s="36"/>
      <c r="BA726" s="36"/>
      <c r="BB726" s="36"/>
      <c r="BC726" s="36"/>
      <c r="BD726" s="36"/>
      <c r="BF726">
        <f>ROWS($U$46:U726)</f>
        <v>681</v>
      </c>
      <c r="BG726" t="str">
        <f t="shared" si="214"/>
        <v/>
      </c>
    </row>
    <row r="727" spans="15:59" ht="15" customHeight="1" x14ac:dyDescent="0.35">
      <c r="O727" s="353">
        <v>1</v>
      </c>
      <c r="P727" s="36">
        <v>1130198</v>
      </c>
      <c r="Q727" s="36">
        <v>33</v>
      </c>
      <c r="R727" s="36"/>
      <c r="S727" s="36" t="s">
        <v>1198</v>
      </c>
      <c r="T727" s="36" t="s">
        <v>846</v>
      </c>
      <c r="U727" s="36">
        <v>1092981</v>
      </c>
      <c r="V727" s="319" t="s">
        <v>87</v>
      </c>
      <c r="W727" s="320">
        <v>1</v>
      </c>
      <c r="X727" s="320">
        <v>1</v>
      </c>
      <c r="Y727" s="320">
        <v>1</v>
      </c>
      <c r="Z727" s="320">
        <v>1</v>
      </c>
      <c r="AA727" s="320">
        <v>1</v>
      </c>
      <c r="AB727" s="320">
        <v>1</v>
      </c>
      <c r="AC727" s="320">
        <v>1</v>
      </c>
      <c r="AD727" s="320">
        <v>3</v>
      </c>
      <c r="AE727" s="320"/>
      <c r="AF727" s="320">
        <v>2</v>
      </c>
      <c r="AG727" s="320">
        <v>2</v>
      </c>
      <c r="AH727" s="320">
        <v>2</v>
      </c>
      <c r="AI727" s="320">
        <v>2</v>
      </c>
      <c r="AJ727" s="320"/>
      <c r="AK727" s="320"/>
      <c r="AL727" s="320"/>
      <c r="AM727" s="320"/>
      <c r="AN727" s="320"/>
      <c r="AO727" s="320"/>
      <c r="AP727" s="320"/>
      <c r="AQ727" s="320"/>
      <c r="AR727" s="320"/>
      <c r="AS727" s="320"/>
      <c r="AT727" s="320"/>
      <c r="AU727" s="320"/>
      <c r="AV727" s="320"/>
      <c r="AW727" s="320"/>
      <c r="AX727" s="320"/>
      <c r="AY727" s="952"/>
      <c r="AZ727" s="36"/>
      <c r="BA727" s="36"/>
      <c r="BB727" s="36"/>
      <c r="BC727" s="36"/>
      <c r="BD727" s="36"/>
      <c r="BF727">
        <f>ROWS($U$46:U727)</f>
        <v>682</v>
      </c>
      <c r="BG727" t="str">
        <f t="shared" si="214"/>
        <v/>
      </c>
    </row>
    <row r="728" spans="15:59" ht="15" customHeight="1" x14ac:dyDescent="0.35">
      <c r="O728" s="353">
        <v>2</v>
      </c>
      <c r="P728" s="36">
        <v>647435</v>
      </c>
      <c r="Q728" s="36">
        <v>23</v>
      </c>
      <c r="R728" s="36"/>
      <c r="S728" s="36" t="s">
        <v>1198</v>
      </c>
      <c r="T728" s="36" t="s">
        <v>846</v>
      </c>
      <c r="U728" s="36">
        <v>1092981</v>
      </c>
      <c r="V728" s="165" t="s">
        <v>88</v>
      </c>
      <c r="W728" s="36">
        <v>1</v>
      </c>
      <c r="X728" s="36">
        <v>1</v>
      </c>
      <c r="Y728" s="36">
        <v>1</v>
      </c>
      <c r="Z728" s="36">
        <v>1</v>
      </c>
      <c r="AA728" s="36">
        <v>3</v>
      </c>
      <c r="AB728" s="36"/>
      <c r="AC728" s="36"/>
      <c r="AD728" s="36"/>
      <c r="AE728" s="36"/>
      <c r="AF728" s="36">
        <v>2</v>
      </c>
      <c r="AG728" s="36">
        <v>2</v>
      </c>
      <c r="AH728" s="36">
        <v>2</v>
      </c>
      <c r="AI728" s="36">
        <v>2</v>
      </c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  <c r="AW728" s="36"/>
      <c r="AX728" s="36"/>
      <c r="AY728" s="953"/>
      <c r="AZ728" s="36"/>
      <c r="BA728" s="36"/>
      <c r="BB728" s="36"/>
      <c r="BC728" s="36"/>
      <c r="BD728" s="36"/>
      <c r="BF728">
        <f>ROWS($U$46:U728)</f>
        <v>683</v>
      </c>
      <c r="BG728" t="str">
        <f t="shared" si="214"/>
        <v/>
      </c>
    </row>
    <row r="729" spans="15:59" ht="15" customHeight="1" x14ac:dyDescent="0.35">
      <c r="O729" s="353">
        <v>3</v>
      </c>
      <c r="P729" s="36">
        <v>418525</v>
      </c>
      <c r="Q729" s="36">
        <v>6</v>
      </c>
      <c r="R729" s="36"/>
      <c r="S729" s="36" t="s">
        <v>1198</v>
      </c>
      <c r="T729" s="36" t="s">
        <v>846</v>
      </c>
      <c r="U729" s="36">
        <v>1092981</v>
      </c>
      <c r="V729" s="165" t="s">
        <v>89</v>
      </c>
      <c r="W729" s="36">
        <v>1</v>
      </c>
      <c r="X729" s="36">
        <v>1</v>
      </c>
      <c r="Y729" s="36">
        <v>1</v>
      </c>
      <c r="Z729" s="36">
        <v>1</v>
      </c>
      <c r="AA729" s="36">
        <v>1</v>
      </c>
      <c r="AB729" s="36">
        <v>1</v>
      </c>
      <c r="AC729" s="36">
        <v>3</v>
      </c>
      <c r="AD729" s="36"/>
      <c r="AE729" s="36"/>
      <c r="AF729" s="36">
        <v>2</v>
      </c>
      <c r="AG729" s="36">
        <v>2</v>
      </c>
      <c r="AH729" s="36">
        <v>2</v>
      </c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  <c r="AW729" s="36"/>
      <c r="AX729" s="36"/>
      <c r="AY729" s="953"/>
      <c r="AZ729" s="36"/>
      <c r="BA729" s="36"/>
      <c r="BB729" s="36"/>
      <c r="BC729" s="36"/>
      <c r="BD729" s="36"/>
      <c r="BF729">
        <f>ROWS($U$46:U729)</f>
        <v>684</v>
      </c>
      <c r="BG729" t="str">
        <f t="shared" si="214"/>
        <v/>
      </c>
    </row>
    <row r="730" spans="15:59" ht="15" customHeight="1" x14ac:dyDescent="0.35">
      <c r="O730" s="353"/>
      <c r="P730" s="36"/>
      <c r="Q730" s="36"/>
      <c r="R730" s="36"/>
      <c r="S730" s="36" t="s">
        <v>1198</v>
      </c>
      <c r="T730" s="36" t="s">
        <v>846</v>
      </c>
      <c r="U730" s="36">
        <v>1092981</v>
      </c>
      <c r="V730" s="165" t="s">
        <v>90</v>
      </c>
      <c r="W730" s="36">
        <v>1</v>
      </c>
      <c r="X730" s="36">
        <v>1</v>
      </c>
      <c r="Y730" s="36">
        <v>1</v>
      </c>
      <c r="Z730" s="36">
        <v>1</v>
      </c>
      <c r="AA730" s="36">
        <v>1</v>
      </c>
      <c r="AB730" s="36">
        <v>3</v>
      </c>
      <c r="AC730" s="36"/>
      <c r="AD730" s="36"/>
      <c r="AE730" s="36"/>
      <c r="AF730" s="36">
        <v>2</v>
      </c>
      <c r="AG730" s="36">
        <v>2</v>
      </c>
      <c r="AH730" s="36">
        <v>2</v>
      </c>
      <c r="AI730" s="36">
        <v>2</v>
      </c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  <c r="AW730" s="36"/>
      <c r="AX730" s="36"/>
      <c r="AY730" s="953"/>
      <c r="AZ730" s="36"/>
      <c r="BA730" s="36"/>
      <c r="BB730" s="36"/>
      <c r="BC730" s="36"/>
      <c r="BD730" s="36"/>
      <c r="BF730">
        <f>ROWS($U$46:U730)</f>
        <v>685</v>
      </c>
      <c r="BG730" t="str">
        <f t="shared" si="214"/>
        <v/>
      </c>
    </row>
    <row r="731" spans="15:59" ht="15" customHeight="1" x14ac:dyDescent="0.35">
      <c r="O731" s="353"/>
      <c r="P731" s="36"/>
      <c r="Q731" s="36"/>
      <c r="R731" s="36"/>
      <c r="S731" s="36" t="s">
        <v>1198</v>
      </c>
      <c r="T731" s="36" t="s">
        <v>846</v>
      </c>
      <c r="U731" s="36">
        <v>1092981</v>
      </c>
      <c r="V731" s="165" t="s">
        <v>91</v>
      </c>
      <c r="W731" s="36">
        <v>1</v>
      </c>
      <c r="X731" s="36">
        <v>1</v>
      </c>
      <c r="Y731" s="36">
        <v>1</v>
      </c>
      <c r="Z731" s="36">
        <v>1</v>
      </c>
      <c r="AA731" s="36">
        <v>1</v>
      </c>
      <c r="AB731" s="36">
        <v>1</v>
      </c>
      <c r="AC731" s="36">
        <v>1</v>
      </c>
      <c r="AD731" s="36">
        <v>3</v>
      </c>
      <c r="AE731" s="36"/>
      <c r="AF731" s="36">
        <v>2</v>
      </c>
      <c r="AG731" s="36">
        <v>2</v>
      </c>
      <c r="AH731" s="36">
        <v>2</v>
      </c>
      <c r="AI731" s="36">
        <v>2</v>
      </c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  <c r="AW731" s="36"/>
      <c r="AX731" s="36"/>
      <c r="AY731" s="953"/>
      <c r="AZ731" s="36"/>
      <c r="BA731" s="36"/>
      <c r="BB731" s="36"/>
      <c r="BC731" s="36"/>
      <c r="BD731" s="36"/>
      <c r="BF731">
        <f>ROWS($U$46:U731)</f>
        <v>686</v>
      </c>
      <c r="BG731" t="str">
        <f t="shared" si="214"/>
        <v/>
      </c>
    </row>
    <row r="732" spans="15:59" ht="15" customHeight="1" thickBot="1" x14ac:dyDescent="0.4">
      <c r="O732" s="353"/>
      <c r="P732" s="36"/>
      <c r="Q732" s="36"/>
      <c r="R732" s="36"/>
      <c r="S732" s="36" t="s">
        <v>1198</v>
      </c>
      <c r="T732" s="36" t="s">
        <v>846</v>
      </c>
      <c r="U732" s="36">
        <v>1092981</v>
      </c>
      <c r="V732" s="327" t="s">
        <v>92</v>
      </c>
      <c r="W732" s="328">
        <v>1</v>
      </c>
      <c r="X732" s="328">
        <v>1</v>
      </c>
      <c r="Y732" s="328">
        <v>1</v>
      </c>
      <c r="Z732" s="328">
        <v>1</v>
      </c>
      <c r="AA732" s="328">
        <v>3</v>
      </c>
      <c r="AB732" s="328"/>
      <c r="AC732" s="328"/>
      <c r="AD732" s="328"/>
      <c r="AE732" s="328"/>
      <c r="AF732" s="328">
        <v>2</v>
      </c>
      <c r="AG732" s="328">
        <v>2</v>
      </c>
      <c r="AH732" s="328">
        <v>2</v>
      </c>
      <c r="AI732" s="328">
        <v>2</v>
      </c>
      <c r="AJ732" s="328"/>
      <c r="AK732" s="328"/>
      <c r="AL732" s="328"/>
      <c r="AM732" s="328"/>
      <c r="AN732" s="328"/>
      <c r="AO732" s="328"/>
      <c r="AP732" s="328"/>
      <c r="AQ732" s="328"/>
      <c r="AR732" s="328"/>
      <c r="AS732" s="328"/>
      <c r="AT732" s="328"/>
      <c r="AU732" s="328"/>
      <c r="AV732" s="328"/>
      <c r="AW732" s="328"/>
      <c r="AX732" s="328"/>
      <c r="AY732" s="954"/>
      <c r="AZ732" s="36"/>
      <c r="BA732" s="36"/>
      <c r="BB732" s="36"/>
      <c r="BC732" s="36"/>
      <c r="BD732" s="36"/>
      <c r="BF732">
        <f>ROWS($U$46:U732)</f>
        <v>687</v>
      </c>
      <c r="BG732" t="str">
        <f t="shared" si="214"/>
        <v/>
      </c>
    </row>
    <row r="733" spans="15:59" ht="15" customHeight="1" x14ac:dyDescent="0.35">
      <c r="O733" s="353"/>
      <c r="P733" s="36"/>
      <c r="Q733" s="36"/>
      <c r="R733" s="36"/>
      <c r="S733" s="36"/>
      <c r="T733" s="36"/>
      <c r="U733" s="36"/>
      <c r="V733" s="319" t="s">
        <v>87</v>
      </c>
      <c r="W733" s="320"/>
      <c r="X733" s="320"/>
      <c r="Y733" s="320"/>
      <c r="Z733" s="320"/>
      <c r="AA733" s="320"/>
      <c r="AB733" s="320"/>
      <c r="AC733" s="320"/>
      <c r="AD733" s="320"/>
      <c r="AE733" s="320"/>
      <c r="AF733" s="320"/>
      <c r="AG733" s="320"/>
      <c r="AH733" s="320"/>
      <c r="AI733" s="320"/>
      <c r="AJ733" s="320"/>
      <c r="AK733" s="320"/>
      <c r="AL733" s="320"/>
      <c r="AM733" s="320"/>
      <c r="AN733" s="320"/>
      <c r="AO733" s="320"/>
      <c r="AP733" s="320"/>
      <c r="AQ733" s="320"/>
      <c r="AR733" s="320"/>
      <c r="AS733" s="320"/>
      <c r="AT733" s="320"/>
      <c r="AU733" s="320"/>
      <c r="AV733" s="320"/>
      <c r="AW733" s="320"/>
      <c r="AX733" s="320"/>
      <c r="AY733" s="952"/>
      <c r="AZ733" s="36"/>
      <c r="BA733" s="36"/>
      <c r="BB733" s="36"/>
      <c r="BC733" s="36"/>
      <c r="BD733" s="36"/>
      <c r="BF733">
        <f>ROWS($U$46:U733)</f>
        <v>688</v>
      </c>
      <c r="BG733" t="str">
        <f t="shared" si="214"/>
        <v/>
      </c>
    </row>
    <row r="734" spans="15:59" ht="15" customHeight="1" x14ac:dyDescent="0.35">
      <c r="O734" s="353"/>
      <c r="P734" s="36"/>
      <c r="Q734" s="36"/>
      <c r="R734" s="36"/>
      <c r="S734" s="36"/>
      <c r="T734" s="36"/>
      <c r="U734" s="36"/>
      <c r="V734" s="165" t="s">
        <v>88</v>
      </c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953"/>
      <c r="AZ734" s="36"/>
      <c r="BA734" s="36"/>
      <c r="BB734" s="36"/>
      <c r="BC734" s="36"/>
      <c r="BD734" s="36"/>
      <c r="BF734">
        <f>ROWS($U$46:U734)</f>
        <v>689</v>
      </c>
      <c r="BG734" t="str">
        <f t="shared" si="214"/>
        <v/>
      </c>
    </row>
    <row r="735" spans="15:59" ht="15" customHeight="1" x14ac:dyDescent="0.35">
      <c r="O735" s="353"/>
      <c r="P735" s="36"/>
      <c r="Q735" s="36"/>
      <c r="R735" s="36"/>
      <c r="S735" s="36"/>
      <c r="T735" s="36"/>
      <c r="U735" s="36"/>
      <c r="V735" s="165" t="s">
        <v>89</v>
      </c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953"/>
      <c r="AZ735" s="36"/>
      <c r="BA735" s="36"/>
      <c r="BB735" s="36"/>
      <c r="BC735" s="36"/>
      <c r="BD735" s="36"/>
      <c r="BF735">
        <f>ROWS($U$46:U735)</f>
        <v>690</v>
      </c>
      <c r="BG735" t="str">
        <f t="shared" si="214"/>
        <v/>
      </c>
    </row>
    <row r="736" spans="15:59" ht="15" customHeight="1" x14ac:dyDescent="0.35">
      <c r="O736" s="353"/>
      <c r="P736" s="36"/>
      <c r="Q736" s="36"/>
      <c r="R736" s="36"/>
      <c r="S736" s="36"/>
      <c r="T736" s="36"/>
      <c r="U736" s="36"/>
      <c r="V736" s="165" t="s">
        <v>90</v>
      </c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  <c r="AW736" s="36"/>
      <c r="AX736" s="36"/>
      <c r="AY736" s="953"/>
      <c r="AZ736" s="36"/>
      <c r="BA736" s="36"/>
      <c r="BB736" s="36"/>
      <c r="BC736" s="36"/>
      <c r="BD736" s="36"/>
      <c r="BF736">
        <f>ROWS($U$46:U736)</f>
        <v>691</v>
      </c>
      <c r="BG736" t="str">
        <f t="shared" si="214"/>
        <v/>
      </c>
    </row>
    <row r="737" spans="15:59" ht="15" customHeight="1" x14ac:dyDescent="0.35">
      <c r="O737" s="353"/>
      <c r="P737" s="36"/>
      <c r="Q737" s="36"/>
      <c r="R737" s="36"/>
      <c r="S737" s="36"/>
      <c r="T737" s="36"/>
      <c r="U737" s="36"/>
      <c r="V737" s="165" t="s">
        <v>91</v>
      </c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  <c r="AW737" s="36"/>
      <c r="AX737" s="36"/>
      <c r="AY737" s="953"/>
      <c r="AZ737" s="36"/>
      <c r="BA737" s="36"/>
      <c r="BB737" s="36"/>
      <c r="BC737" s="36"/>
      <c r="BD737" s="36"/>
      <c r="BF737">
        <f>ROWS($U$46:U737)</f>
        <v>692</v>
      </c>
      <c r="BG737" t="str">
        <f t="shared" si="214"/>
        <v/>
      </c>
    </row>
    <row r="738" spans="15:59" ht="15" customHeight="1" thickBot="1" x14ac:dyDescent="0.4">
      <c r="O738" s="353"/>
      <c r="P738" s="36"/>
      <c r="Q738" s="36"/>
      <c r="R738" s="36"/>
      <c r="S738" s="36"/>
      <c r="T738" s="36"/>
      <c r="U738" s="36"/>
      <c r="V738" s="327" t="s">
        <v>92</v>
      </c>
      <c r="W738" s="328"/>
      <c r="X738" s="328"/>
      <c r="Y738" s="328"/>
      <c r="Z738" s="328"/>
      <c r="AA738" s="328"/>
      <c r="AB738" s="328"/>
      <c r="AC738" s="328"/>
      <c r="AD738" s="328"/>
      <c r="AE738" s="328"/>
      <c r="AF738" s="328"/>
      <c r="AG738" s="328"/>
      <c r="AH738" s="328"/>
      <c r="AI738" s="328"/>
      <c r="AJ738" s="328"/>
      <c r="AK738" s="328"/>
      <c r="AL738" s="328"/>
      <c r="AM738" s="328"/>
      <c r="AN738" s="328"/>
      <c r="AO738" s="328"/>
      <c r="AP738" s="328"/>
      <c r="AQ738" s="328"/>
      <c r="AR738" s="328"/>
      <c r="AS738" s="328"/>
      <c r="AT738" s="328"/>
      <c r="AU738" s="328"/>
      <c r="AV738" s="328"/>
      <c r="AW738" s="328"/>
      <c r="AX738" s="328"/>
      <c r="AY738" s="954"/>
      <c r="AZ738" s="36"/>
      <c r="BA738" s="36"/>
      <c r="BB738" s="36"/>
      <c r="BC738" s="36"/>
      <c r="BD738" s="36"/>
      <c r="BF738">
        <f>ROWS($U$46:U738)</f>
        <v>693</v>
      </c>
      <c r="BG738" t="str">
        <f t="shared" si="214"/>
        <v/>
      </c>
    </row>
    <row r="739" spans="15:59" ht="15" customHeight="1" x14ac:dyDescent="0.35">
      <c r="O739" s="329">
        <v>1</v>
      </c>
      <c r="P739" s="320">
        <v>1130200</v>
      </c>
      <c r="Q739" s="320">
        <v>32</v>
      </c>
      <c r="R739" s="320"/>
      <c r="S739" s="552" t="s">
        <v>1207</v>
      </c>
      <c r="T739" s="320" t="s">
        <v>748</v>
      </c>
      <c r="U739" s="320">
        <v>1142907</v>
      </c>
      <c r="V739" s="319" t="s">
        <v>87</v>
      </c>
      <c r="W739" s="320">
        <v>2</v>
      </c>
      <c r="X739" s="320">
        <v>2</v>
      </c>
      <c r="Y739" s="320">
        <v>2</v>
      </c>
      <c r="Z739" s="320">
        <v>1</v>
      </c>
      <c r="AA739" s="320">
        <v>1</v>
      </c>
      <c r="AB739" s="320">
        <v>1</v>
      </c>
      <c r="AC739" s="320">
        <v>1</v>
      </c>
      <c r="AD739" s="320">
        <v>1</v>
      </c>
      <c r="AE739" s="320">
        <v>3</v>
      </c>
      <c r="AF739" s="320">
        <v>3</v>
      </c>
      <c r="AG739" s="320">
        <v>4</v>
      </c>
      <c r="AH739" s="320"/>
      <c r="AI739" s="320"/>
      <c r="AJ739" s="320"/>
      <c r="AK739" s="320"/>
      <c r="AL739" s="320"/>
      <c r="AM739" s="320"/>
      <c r="AN739" s="320"/>
      <c r="AO739" s="320"/>
      <c r="AP739" s="320"/>
      <c r="AQ739" s="320"/>
      <c r="AR739" s="320"/>
      <c r="AS739" s="320"/>
      <c r="AT739" s="320"/>
      <c r="AU739" s="320"/>
      <c r="AV739" s="320"/>
      <c r="AW739" s="320"/>
      <c r="AX739" s="320"/>
      <c r="AY739" s="952"/>
      <c r="AZ739" s="36"/>
      <c r="BA739" s="36"/>
      <c r="BB739" s="36"/>
      <c r="BC739" s="36"/>
      <c r="BD739" s="36"/>
      <c r="BF739">
        <f>ROWS($U$46:U739)</f>
        <v>694</v>
      </c>
      <c r="BG739" t="str">
        <f t="shared" si="214"/>
        <v/>
      </c>
    </row>
    <row r="740" spans="15:59" ht="15" customHeight="1" x14ac:dyDescent="0.35">
      <c r="O740" s="330">
        <v>2</v>
      </c>
      <c r="P740" s="36">
        <v>1130198</v>
      </c>
      <c r="Q740" s="36">
        <v>9</v>
      </c>
      <c r="R740" s="36"/>
      <c r="S740" s="553" t="s">
        <v>1207</v>
      </c>
      <c r="T740" s="36" t="s">
        <v>748</v>
      </c>
      <c r="U740" s="36">
        <v>1142907</v>
      </c>
      <c r="V740" s="165" t="s">
        <v>88</v>
      </c>
      <c r="W740" s="36">
        <v>1</v>
      </c>
      <c r="X740" s="36">
        <v>1</v>
      </c>
      <c r="Y740" s="36">
        <v>1</v>
      </c>
      <c r="Z740" s="36">
        <v>1</v>
      </c>
      <c r="AA740" s="36">
        <v>3</v>
      </c>
      <c r="AB740" s="36">
        <v>3</v>
      </c>
      <c r="AC740" s="36">
        <v>4</v>
      </c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  <c r="AW740" s="36"/>
      <c r="AX740" s="36"/>
      <c r="AY740" s="953"/>
      <c r="AZ740" s="36"/>
      <c r="BA740" s="36"/>
      <c r="BB740" s="36"/>
      <c r="BC740" s="36"/>
      <c r="BD740" s="36"/>
      <c r="BF740">
        <f>ROWS($U$46:U740)</f>
        <v>695</v>
      </c>
      <c r="BG740" t="str">
        <f t="shared" si="214"/>
        <v/>
      </c>
    </row>
    <row r="741" spans="15:59" ht="15" customHeight="1" x14ac:dyDescent="0.35">
      <c r="O741" s="330">
        <v>3</v>
      </c>
      <c r="P741" s="36">
        <v>1130196</v>
      </c>
      <c r="Q741" s="36">
        <v>12</v>
      </c>
      <c r="R741" s="36"/>
      <c r="S741" s="553" t="s">
        <v>1207</v>
      </c>
      <c r="T741" s="36" t="s">
        <v>748</v>
      </c>
      <c r="U741" s="36">
        <v>1142907</v>
      </c>
      <c r="V741" s="165" t="s">
        <v>89</v>
      </c>
      <c r="W741" s="36">
        <v>2</v>
      </c>
      <c r="X741" s="36">
        <v>2</v>
      </c>
      <c r="Y741" s="36">
        <v>2</v>
      </c>
      <c r="Z741" s="36">
        <v>1</v>
      </c>
      <c r="AA741" s="36">
        <v>1</v>
      </c>
      <c r="AB741" s="36">
        <v>1</v>
      </c>
      <c r="AC741" s="36">
        <v>1</v>
      </c>
      <c r="AD741" s="36">
        <v>3</v>
      </c>
      <c r="AE741" s="36">
        <v>3</v>
      </c>
      <c r="AF741" s="36">
        <v>5</v>
      </c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  <c r="AW741" s="36"/>
      <c r="AX741" s="36"/>
      <c r="AY741" s="953"/>
      <c r="AZ741" s="36"/>
      <c r="BA741" s="36"/>
      <c r="BB741" s="36"/>
      <c r="BC741" s="36"/>
      <c r="BD741" s="36"/>
      <c r="BF741">
        <f>ROWS($U$46:U741)</f>
        <v>696</v>
      </c>
      <c r="BG741" t="str">
        <f t="shared" si="214"/>
        <v/>
      </c>
    </row>
    <row r="742" spans="15:59" ht="15" customHeight="1" x14ac:dyDescent="0.35">
      <c r="O742" s="330">
        <v>4</v>
      </c>
      <c r="P742" s="36">
        <v>871781</v>
      </c>
      <c r="Q742" s="36">
        <v>4</v>
      </c>
      <c r="R742" s="36"/>
      <c r="S742" s="553" t="s">
        <v>1207</v>
      </c>
      <c r="T742" s="36" t="s">
        <v>748</v>
      </c>
      <c r="U742" s="36">
        <v>1142907</v>
      </c>
      <c r="V742" s="165" t="s">
        <v>90</v>
      </c>
      <c r="W742" s="36">
        <v>1</v>
      </c>
      <c r="X742" s="36">
        <v>1</v>
      </c>
      <c r="Y742" s="36">
        <v>1</v>
      </c>
      <c r="Z742" s="36">
        <v>1</v>
      </c>
      <c r="AA742" s="36">
        <v>1</v>
      </c>
      <c r="AB742" s="36">
        <v>3</v>
      </c>
      <c r="AC742" s="36">
        <v>4</v>
      </c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  <c r="AW742" s="36"/>
      <c r="AX742" s="36"/>
      <c r="AY742" s="953"/>
      <c r="AZ742" s="36"/>
      <c r="BA742" s="36"/>
      <c r="BB742" s="36"/>
      <c r="BC742" s="36"/>
      <c r="BD742" s="36"/>
      <c r="BF742">
        <f>ROWS($U$46:U742)</f>
        <v>697</v>
      </c>
      <c r="BG742" t="str">
        <f t="shared" si="214"/>
        <v/>
      </c>
    </row>
    <row r="743" spans="15:59" ht="15" customHeight="1" x14ac:dyDescent="0.35">
      <c r="O743" s="330">
        <v>5</v>
      </c>
      <c r="P743" s="36">
        <v>418525</v>
      </c>
      <c r="Q743" s="36">
        <v>3</v>
      </c>
      <c r="R743" s="36"/>
      <c r="S743" s="553" t="s">
        <v>1207</v>
      </c>
      <c r="T743" s="36" t="s">
        <v>748</v>
      </c>
      <c r="U743" s="36">
        <v>1142907</v>
      </c>
      <c r="V743" s="165" t="s">
        <v>91</v>
      </c>
      <c r="W743" s="36">
        <v>2</v>
      </c>
      <c r="X743" s="36">
        <v>2</v>
      </c>
      <c r="Y743" s="36">
        <v>2</v>
      </c>
      <c r="Z743" s="36">
        <v>1</v>
      </c>
      <c r="AA743" s="36">
        <v>1</v>
      </c>
      <c r="AB743" s="36">
        <v>1</v>
      </c>
      <c r="AC743" s="36">
        <v>1</v>
      </c>
      <c r="AD743" s="36">
        <v>1</v>
      </c>
      <c r="AE743" s="36">
        <v>3</v>
      </c>
      <c r="AF743" s="36">
        <v>5</v>
      </c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  <c r="AW743" s="36"/>
      <c r="AX743" s="36"/>
      <c r="AY743" s="953"/>
      <c r="AZ743" s="36"/>
      <c r="BA743" s="36"/>
      <c r="BB743" s="36"/>
      <c r="BC743" s="36"/>
      <c r="BD743" s="36"/>
      <c r="BF743">
        <f>ROWS($U$46:U743)</f>
        <v>698</v>
      </c>
      <c r="BG743" t="str">
        <f t="shared" si="214"/>
        <v/>
      </c>
    </row>
    <row r="744" spans="15:59" ht="15" customHeight="1" x14ac:dyDescent="0.35">
      <c r="O744" s="330"/>
      <c r="P744" s="36"/>
      <c r="Q744" s="36"/>
      <c r="R744" s="36"/>
      <c r="S744" s="553" t="s">
        <v>1207</v>
      </c>
      <c r="T744" s="36" t="s">
        <v>748</v>
      </c>
      <c r="U744" s="36">
        <v>1142907</v>
      </c>
      <c r="V744" s="165" t="s">
        <v>92</v>
      </c>
      <c r="W744" s="36">
        <v>1</v>
      </c>
      <c r="X744" s="36">
        <v>1</v>
      </c>
      <c r="Y744" s="36">
        <v>1</v>
      </c>
      <c r="Z744" s="36">
        <v>1</v>
      </c>
      <c r="AA744" s="36">
        <v>1</v>
      </c>
      <c r="AB744" s="36">
        <v>3</v>
      </c>
      <c r="AC744" s="36">
        <v>3</v>
      </c>
      <c r="AD744" s="36">
        <v>4</v>
      </c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  <c r="AW744" s="36"/>
      <c r="AX744" s="36"/>
      <c r="AY744" s="953"/>
      <c r="AZ744" s="36"/>
      <c r="BA744" s="36"/>
      <c r="BB744" s="36"/>
      <c r="BC744" s="36"/>
      <c r="BD744" s="36"/>
      <c r="BF744">
        <f>ROWS($U$46:U744)</f>
        <v>699</v>
      </c>
      <c r="BG744" t="str">
        <f t="shared" si="214"/>
        <v/>
      </c>
    </row>
    <row r="745" spans="15:59" ht="15" customHeight="1" thickBot="1" x14ac:dyDescent="0.4">
      <c r="O745" s="331"/>
      <c r="P745" s="328"/>
      <c r="Q745" s="328"/>
      <c r="R745" s="328"/>
      <c r="S745" s="554" t="s">
        <v>1207</v>
      </c>
      <c r="T745" s="328" t="s">
        <v>748</v>
      </c>
      <c r="U745" s="328">
        <v>1142907</v>
      </c>
      <c r="V745" s="327" t="s">
        <v>111</v>
      </c>
      <c r="W745" s="328">
        <v>1</v>
      </c>
      <c r="X745" s="328">
        <v>1</v>
      </c>
      <c r="Y745" s="328">
        <v>1</v>
      </c>
      <c r="Z745" s="328">
        <v>1</v>
      </c>
      <c r="AA745" s="328">
        <v>3</v>
      </c>
      <c r="AB745" s="328">
        <v>3</v>
      </c>
      <c r="AC745" s="328">
        <v>5</v>
      </c>
      <c r="AD745" s="328"/>
      <c r="AE745" s="328"/>
      <c r="AF745" s="328"/>
      <c r="AG745" s="328"/>
      <c r="AH745" s="328"/>
      <c r="AI745" s="328"/>
      <c r="AJ745" s="328"/>
      <c r="AK745" s="328"/>
      <c r="AL745" s="328"/>
      <c r="AM745" s="328"/>
      <c r="AN745" s="328"/>
      <c r="AO745" s="328"/>
      <c r="AP745" s="328"/>
      <c r="AQ745" s="328"/>
      <c r="AR745" s="328"/>
      <c r="AS745" s="328"/>
      <c r="AT745" s="328"/>
      <c r="AU745" s="328"/>
      <c r="AV745" s="328"/>
      <c r="AW745" s="328"/>
      <c r="AX745" s="328"/>
      <c r="AY745" s="954"/>
      <c r="AZ745" s="36"/>
      <c r="BA745" s="36"/>
      <c r="BB745" s="36"/>
      <c r="BC745" s="36"/>
      <c r="BD745" s="36"/>
      <c r="BF745">
        <f>ROWS($U$46:U745)</f>
        <v>700</v>
      </c>
      <c r="BG745" t="str">
        <f t="shared" si="214"/>
        <v/>
      </c>
    </row>
    <row r="746" spans="15:59" ht="15" customHeight="1" x14ac:dyDescent="0.35">
      <c r="O746" s="329">
        <v>1</v>
      </c>
      <c r="P746" s="320">
        <v>983152</v>
      </c>
      <c r="Q746" s="320">
        <v>32</v>
      </c>
      <c r="R746" s="320"/>
      <c r="S746" s="552" t="s">
        <v>1207</v>
      </c>
      <c r="T746" s="320" t="s">
        <v>748</v>
      </c>
      <c r="U746" s="320">
        <v>1054398</v>
      </c>
      <c r="V746" s="319" t="s">
        <v>87</v>
      </c>
      <c r="W746" s="320">
        <v>2</v>
      </c>
      <c r="X746" s="320">
        <v>2</v>
      </c>
      <c r="Y746" s="320">
        <v>2</v>
      </c>
      <c r="Z746" s="320">
        <v>1</v>
      </c>
      <c r="AA746" s="320">
        <v>1</v>
      </c>
      <c r="AB746" s="320">
        <v>1</v>
      </c>
      <c r="AC746" s="320">
        <v>1</v>
      </c>
      <c r="AD746" s="320">
        <v>1</v>
      </c>
      <c r="AE746" s="320">
        <v>3</v>
      </c>
      <c r="AF746" s="320">
        <v>3</v>
      </c>
      <c r="AG746" s="320">
        <v>4</v>
      </c>
      <c r="AH746" s="320"/>
      <c r="AI746" s="320"/>
      <c r="AJ746" s="320"/>
      <c r="AK746" s="320"/>
      <c r="AL746" s="320"/>
      <c r="AM746" s="320"/>
      <c r="AN746" s="320"/>
      <c r="AO746" s="320"/>
      <c r="AP746" s="320"/>
      <c r="AQ746" s="320"/>
      <c r="AR746" s="320"/>
      <c r="AS746" s="320"/>
      <c r="AT746" s="320"/>
      <c r="AU746" s="320"/>
      <c r="AV746" s="320"/>
      <c r="AW746" s="320"/>
      <c r="AX746" s="320"/>
      <c r="AY746" s="952"/>
      <c r="AZ746" s="36"/>
      <c r="BA746" s="36"/>
      <c r="BB746" s="36"/>
      <c r="BC746" s="36"/>
      <c r="BD746" s="36"/>
      <c r="BF746">
        <f>ROWS($U$46:U746)</f>
        <v>701</v>
      </c>
      <c r="BG746" t="str">
        <f t="shared" si="214"/>
        <v/>
      </c>
    </row>
    <row r="747" spans="15:59" ht="15" customHeight="1" x14ac:dyDescent="0.35">
      <c r="O747" s="330">
        <v>2</v>
      </c>
      <c r="P747" s="36">
        <v>983150</v>
      </c>
      <c r="Q747" s="36">
        <v>9</v>
      </c>
      <c r="R747" s="36"/>
      <c r="S747" s="553" t="s">
        <v>1207</v>
      </c>
      <c r="T747" s="36" t="s">
        <v>748</v>
      </c>
      <c r="U747" s="36">
        <v>1054398</v>
      </c>
      <c r="V747" s="165" t="s">
        <v>88</v>
      </c>
      <c r="W747" s="36">
        <v>1</v>
      </c>
      <c r="X747" s="36">
        <v>1</v>
      </c>
      <c r="Y747" s="36">
        <v>1</v>
      </c>
      <c r="Z747" s="36">
        <v>1</v>
      </c>
      <c r="AA747" s="36">
        <v>3</v>
      </c>
      <c r="AB747" s="36">
        <v>3</v>
      </c>
      <c r="AC747" s="36">
        <v>4</v>
      </c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953"/>
      <c r="AZ747" s="36"/>
      <c r="BA747" s="36"/>
      <c r="BB747" s="36"/>
      <c r="BC747" s="36"/>
      <c r="BD747" s="36"/>
      <c r="BF747">
        <f>ROWS($U$46:U747)</f>
        <v>702</v>
      </c>
      <c r="BG747" t="str">
        <f t="shared" si="214"/>
        <v/>
      </c>
    </row>
    <row r="748" spans="15:59" ht="15" customHeight="1" x14ac:dyDescent="0.35">
      <c r="O748" s="330">
        <v>3</v>
      </c>
      <c r="P748" s="36">
        <v>983096</v>
      </c>
      <c r="Q748" s="36">
        <v>12</v>
      </c>
      <c r="R748" s="36"/>
      <c r="S748" s="553" t="s">
        <v>1207</v>
      </c>
      <c r="T748" s="36" t="s">
        <v>748</v>
      </c>
      <c r="U748" s="36">
        <v>1054398</v>
      </c>
      <c r="V748" s="165" t="s">
        <v>89</v>
      </c>
      <c r="W748" s="36">
        <v>2</v>
      </c>
      <c r="X748" s="36">
        <v>2</v>
      </c>
      <c r="Y748" s="36">
        <v>2</v>
      </c>
      <c r="Z748" s="36">
        <v>1</v>
      </c>
      <c r="AA748" s="36">
        <v>1</v>
      </c>
      <c r="AB748" s="36">
        <v>1</v>
      </c>
      <c r="AC748" s="36">
        <v>1</v>
      </c>
      <c r="AD748" s="36">
        <v>3</v>
      </c>
      <c r="AE748" s="36">
        <v>3</v>
      </c>
      <c r="AF748" s="36">
        <v>5</v>
      </c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  <c r="AW748" s="36"/>
      <c r="AX748" s="36"/>
      <c r="AY748" s="953"/>
      <c r="AZ748" s="36"/>
      <c r="BA748" s="36"/>
      <c r="BB748" s="36"/>
      <c r="BC748" s="36"/>
      <c r="BD748" s="36"/>
      <c r="BF748">
        <f>ROWS($U$46:U748)</f>
        <v>703</v>
      </c>
      <c r="BG748" t="str">
        <f t="shared" si="214"/>
        <v/>
      </c>
    </row>
    <row r="749" spans="15:59" ht="15" customHeight="1" x14ac:dyDescent="0.35">
      <c r="O749" s="330">
        <v>4</v>
      </c>
      <c r="P749" s="36">
        <v>871781</v>
      </c>
      <c r="Q749" s="36">
        <v>4</v>
      </c>
      <c r="R749" s="36"/>
      <c r="S749" s="553" t="s">
        <v>1207</v>
      </c>
      <c r="T749" s="36" t="s">
        <v>748</v>
      </c>
      <c r="U749" s="36">
        <v>1054398</v>
      </c>
      <c r="V749" s="165" t="s">
        <v>90</v>
      </c>
      <c r="W749" s="36">
        <v>1</v>
      </c>
      <c r="X749" s="36">
        <v>1</v>
      </c>
      <c r="Y749" s="36">
        <v>1</v>
      </c>
      <c r="Z749" s="36">
        <v>1</v>
      </c>
      <c r="AA749" s="36">
        <v>1</v>
      </c>
      <c r="AB749" s="36">
        <v>3</v>
      </c>
      <c r="AC749" s="36">
        <v>4</v>
      </c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  <c r="AW749" s="36"/>
      <c r="AX749" s="36"/>
      <c r="AY749" s="953"/>
      <c r="AZ749" s="36"/>
      <c r="BA749" s="36"/>
      <c r="BB749" s="36"/>
      <c r="BC749" s="36"/>
      <c r="BD749" s="36"/>
      <c r="BF749">
        <f>ROWS($U$46:U749)</f>
        <v>704</v>
      </c>
      <c r="BG749" t="str">
        <f t="shared" si="214"/>
        <v/>
      </c>
    </row>
    <row r="750" spans="15:59" ht="15" customHeight="1" x14ac:dyDescent="0.35">
      <c r="O750" s="330">
        <v>5</v>
      </c>
      <c r="P750" s="36">
        <v>418525</v>
      </c>
      <c r="Q750" s="36">
        <v>3</v>
      </c>
      <c r="R750" s="36"/>
      <c r="S750" s="553" t="s">
        <v>1207</v>
      </c>
      <c r="T750" s="36" t="s">
        <v>748</v>
      </c>
      <c r="U750" s="36">
        <v>1054398</v>
      </c>
      <c r="V750" s="165" t="s">
        <v>91</v>
      </c>
      <c r="W750" s="36">
        <v>2</v>
      </c>
      <c r="X750" s="36">
        <v>2</v>
      </c>
      <c r="Y750" s="36">
        <v>2</v>
      </c>
      <c r="Z750" s="36">
        <v>1</v>
      </c>
      <c r="AA750" s="36">
        <v>1</v>
      </c>
      <c r="AB750" s="36">
        <v>1</v>
      </c>
      <c r="AC750" s="36">
        <v>1</v>
      </c>
      <c r="AD750" s="36">
        <v>1</v>
      </c>
      <c r="AE750" s="36">
        <v>3</v>
      </c>
      <c r="AF750" s="36">
        <v>5</v>
      </c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  <c r="AW750" s="36"/>
      <c r="AX750" s="36"/>
      <c r="AY750" s="953"/>
      <c r="AZ750" s="36"/>
      <c r="BA750" s="36"/>
      <c r="BB750" s="36"/>
      <c r="BC750" s="36"/>
      <c r="BD750" s="36"/>
      <c r="BF750">
        <f>ROWS($U$46:U750)</f>
        <v>705</v>
      </c>
      <c r="BG750" t="str">
        <f t="shared" si="214"/>
        <v/>
      </c>
    </row>
    <row r="751" spans="15:59" ht="15" customHeight="1" x14ac:dyDescent="0.35">
      <c r="O751" s="330"/>
      <c r="P751" s="36"/>
      <c r="Q751" s="36"/>
      <c r="R751" s="36"/>
      <c r="S751" s="553" t="s">
        <v>1207</v>
      </c>
      <c r="T751" s="36" t="s">
        <v>748</v>
      </c>
      <c r="U751" s="36">
        <v>1054398</v>
      </c>
      <c r="V751" s="165" t="s">
        <v>92</v>
      </c>
      <c r="W751" s="36">
        <v>1</v>
      </c>
      <c r="X751" s="36">
        <v>1</v>
      </c>
      <c r="Y751" s="36">
        <v>1</v>
      </c>
      <c r="Z751" s="36">
        <v>1</v>
      </c>
      <c r="AA751" s="36">
        <v>1</v>
      </c>
      <c r="AB751" s="36">
        <v>3</v>
      </c>
      <c r="AC751" s="36">
        <v>3</v>
      </c>
      <c r="AD751" s="36">
        <v>4</v>
      </c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  <c r="AW751" s="36"/>
      <c r="AX751" s="36"/>
      <c r="AY751" s="953"/>
      <c r="AZ751" s="36"/>
      <c r="BA751" s="36"/>
      <c r="BB751" s="36"/>
      <c r="BC751" s="36"/>
      <c r="BD751" s="36"/>
      <c r="BF751">
        <f>ROWS($U$46:U751)</f>
        <v>706</v>
      </c>
      <c r="BG751" t="str">
        <f t="shared" ref="BG751:BG814" si="215">IF(VALUE(SUBSTITUTE($B$5,"M",""))=U751,BF751,"")</f>
        <v/>
      </c>
    </row>
    <row r="752" spans="15:59" ht="15" customHeight="1" thickBot="1" x14ac:dyDescent="0.4">
      <c r="O752" s="331"/>
      <c r="P752" s="328"/>
      <c r="Q752" s="328"/>
      <c r="R752" s="328"/>
      <c r="S752" s="554" t="s">
        <v>1207</v>
      </c>
      <c r="T752" s="328" t="s">
        <v>748</v>
      </c>
      <c r="U752" s="328">
        <v>1054398</v>
      </c>
      <c r="V752" s="327" t="s">
        <v>111</v>
      </c>
      <c r="W752" s="328">
        <v>1</v>
      </c>
      <c r="X752" s="328">
        <v>1</v>
      </c>
      <c r="Y752" s="328">
        <v>1</v>
      </c>
      <c r="Z752" s="328">
        <v>1</v>
      </c>
      <c r="AA752" s="328">
        <v>3</v>
      </c>
      <c r="AB752" s="328">
        <v>3</v>
      </c>
      <c r="AC752" s="328">
        <v>5</v>
      </c>
      <c r="AD752" s="328"/>
      <c r="AE752" s="328"/>
      <c r="AF752" s="328"/>
      <c r="AG752" s="328"/>
      <c r="AH752" s="328"/>
      <c r="AI752" s="328"/>
      <c r="AJ752" s="328"/>
      <c r="AK752" s="328"/>
      <c r="AL752" s="328"/>
      <c r="AM752" s="328"/>
      <c r="AN752" s="328"/>
      <c r="AO752" s="328"/>
      <c r="AP752" s="328"/>
      <c r="AQ752" s="328"/>
      <c r="AR752" s="328"/>
      <c r="AS752" s="328"/>
      <c r="AT752" s="328"/>
      <c r="AU752" s="328"/>
      <c r="AV752" s="328"/>
      <c r="AW752" s="328"/>
      <c r="AX752" s="328"/>
      <c r="AY752" s="954"/>
      <c r="AZ752" s="36"/>
      <c r="BA752" s="36"/>
      <c r="BB752" s="36"/>
      <c r="BC752" s="36"/>
      <c r="BD752" s="36"/>
      <c r="BF752">
        <f>ROWS($U$46:U752)</f>
        <v>707</v>
      </c>
      <c r="BG752" t="str">
        <f t="shared" si="215"/>
        <v/>
      </c>
    </row>
    <row r="753" spans="7:59" ht="15" customHeight="1" x14ac:dyDescent="0.35">
      <c r="O753" s="329">
        <v>1</v>
      </c>
      <c r="P753" s="320">
        <v>1130196</v>
      </c>
      <c r="Q753" s="320">
        <v>23</v>
      </c>
      <c r="R753" s="320"/>
      <c r="S753" s="552" t="s">
        <v>1319</v>
      </c>
      <c r="T753" s="320" t="s">
        <v>1361</v>
      </c>
      <c r="U753" s="320">
        <v>965522</v>
      </c>
      <c r="V753" s="319" t="s">
        <v>87</v>
      </c>
      <c r="W753" s="320">
        <v>5</v>
      </c>
      <c r="X753" s="320">
        <v>1</v>
      </c>
      <c r="Y753" s="320">
        <v>1</v>
      </c>
      <c r="Z753" s="320">
        <v>1</v>
      </c>
      <c r="AA753" s="320">
        <v>1</v>
      </c>
      <c r="AB753" s="320">
        <v>1</v>
      </c>
      <c r="AC753" s="320">
        <v>2</v>
      </c>
      <c r="AD753" s="320">
        <v>4</v>
      </c>
      <c r="AE753" s="320"/>
      <c r="AF753" s="320">
        <v>3</v>
      </c>
      <c r="AG753" s="320">
        <v>3</v>
      </c>
      <c r="AH753" s="320"/>
      <c r="AI753" s="320"/>
      <c r="AJ753" s="320"/>
      <c r="AK753" s="320"/>
      <c r="AL753" s="320"/>
      <c r="AM753" s="320"/>
      <c r="AN753" s="320"/>
      <c r="AO753" s="320"/>
      <c r="AP753" s="320"/>
      <c r="AQ753" s="320"/>
      <c r="AR753" s="320"/>
      <c r="AS753" s="320"/>
      <c r="AT753" s="320"/>
      <c r="AU753" s="320"/>
      <c r="AV753" s="320"/>
      <c r="AW753" s="320"/>
      <c r="AX753" s="320"/>
      <c r="AY753" s="952"/>
      <c r="AZ753" s="36"/>
      <c r="BA753" s="36"/>
      <c r="BB753" s="36"/>
      <c r="BC753" s="36"/>
      <c r="BD753" s="36"/>
      <c r="BF753">
        <f>ROWS($U$46:U753)</f>
        <v>708</v>
      </c>
      <c r="BG753" t="str">
        <f t="shared" si="215"/>
        <v/>
      </c>
    </row>
    <row r="754" spans="7:59" ht="15" customHeight="1" x14ac:dyDescent="0.35">
      <c r="O754" s="330">
        <v>2</v>
      </c>
      <c r="P754" s="36">
        <v>717751</v>
      </c>
      <c r="Q754" s="36">
        <v>6</v>
      </c>
      <c r="R754" s="36"/>
      <c r="S754" s="553" t="s">
        <v>1319</v>
      </c>
      <c r="T754" s="36" t="s">
        <v>1361</v>
      </c>
      <c r="U754" s="36">
        <v>965522</v>
      </c>
      <c r="V754" s="165" t="s">
        <v>88</v>
      </c>
      <c r="W754" s="36">
        <v>1</v>
      </c>
      <c r="X754" s="36">
        <v>1</v>
      </c>
      <c r="Y754" s="36">
        <v>1</v>
      </c>
      <c r="Z754" s="36">
        <v>2</v>
      </c>
      <c r="AA754" s="36">
        <v>4</v>
      </c>
      <c r="AB754" s="36"/>
      <c r="AC754" s="36"/>
      <c r="AD754" s="36"/>
      <c r="AE754" s="36"/>
      <c r="AF754" s="36">
        <v>3</v>
      </c>
      <c r="AG754" s="36">
        <v>3</v>
      </c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  <c r="AW754" s="36"/>
      <c r="AX754" s="36"/>
      <c r="AY754" s="953"/>
      <c r="AZ754" s="36"/>
      <c r="BA754" s="36"/>
      <c r="BB754" s="36"/>
      <c r="BC754" s="36"/>
      <c r="BD754" s="36"/>
      <c r="BF754">
        <f>ROWS($U$46:U754)</f>
        <v>709</v>
      </c>
      <c r="BG754" t="str">
        <f t="shared" si="215"/>
        <v/>
      </c>
    </row>
    <row r="755" spans="7:59" ht="15" customHeight="1" x14ac:dyDescent="0.35">
      <c r="O755" s="330">
        <v>3</v>
      </c>
      <c r="P755" s="36">
        <v>375538</v>
      </c>
      <c r="Q755" s="36">
        <v>12</v>
      </c>
      <c r="R755" s="36"/>
      <c r="S755" s="553" t="s">
        <v>1319</v>
      </c>
      <c r="T755" s="36" t="s">
        <v>1361</v>
      </c>
      <c r="U755" s="36">
        <v>965522</v>
      </c>
      <c r="V755" s="165" t="s">
        <v>89</v>
      </c>
      <c r="W755" s="36">
        <v>5</v>
      </c>
      <c r="X755" s="36">
        <v>1</v>
      </c>
      <c r="Y755" s="36">
        <v>1</v>
      </c>
      <c r="Z755" s="36">
        <v>1</v>
      </c>
      <c r="AA755" s="36">
        <v>1</v>
      </c>
      <c r="AB755" s="36">
        <v>2</v>
      </c>
      <c r="AC755" s="36">
        <v>4</v>
      </c>
      <c r="AD755" s="36"/>
      <c r="AE755" s="36"/>
      <c r="AF755" s="36">
        <v>3</v>
      </c>
      <c r="AG755" s="36">
        <v>3</v>
      </c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  <c r="AW755" s="36"/>
      <c r="AX755" s="36"/>
      <c r="AY755" s="953"/>
      <c r="AZ755" s="36"/>
      <c r="BA755" s="36"/>
      <c r="BB755" s="36"/>
      <c r="BC755" s="36"/>
      <c r="BD755" s="36"/>
      <c r="BF755">
        <f>ROWS($U$46:U755)</f>
        <v>710</v>
      </c>
      <c r="BG755" t="str">
        <f t="shared" si="215"/>
        <v/>
      </c>
    </row>
    <row r="756" spans="7:59" ht="15" customHeight="1" x14ac:dyDescent="0.35">
      <c r="O756" s="330">
        <v>4</v>
      </c>
      <c r="P756" s="36">
        <v>871781</v>
      </c>
      <c r="Q756" s="36">
        <v>6</v>
      </c>
      <c r="R756" s="36"/>
      <c r="S756" s="553" t="s">
        <v>1319</v>
      </c>
      <c r="T756" s="36" t="s">
        <v>1361</v>
      </c>
      <c r="U756" s="36">
        <v>965522</v>
      </c>
      <c r="V756" s="165" t="s">
        <v>90</v>
      </c>
      <c r="W756" s="36">
        <v>1</v>
      </c>
      <c r="X756" s="36">
        <v>1</v>
      </c>
      <c r="Y756" s="36">
        <v>1</v>
      </c>
      <c r="Z756" s="36">
        <v>2</v>
      </c>
      <c r="AA756" s="36">
        <v>4</v>
      </c>
      <c r="AB756" s="36"/>
      <c r="AC756" s="36"/>
      <c r="AD756" s="36"/>
      <c r="AE756" s="36"/>
      <c r="AF756" s="36">
        <v>3</v>
      </c>
      <c r="AG756" s="36">
        <v>3</v>
      </c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  <c r="AW756" s="36"/>
      <c r="AX756" s="36"/>
      <c r="AY756" s="953"/>
      <c r="AZ756" s="36"/>
      <c r="BA756" s="36"/>
      <c r="BB756" s="36"/>
      <c r="BC756" s="36"/>
      <c r="BD756" s="36"/>
      <c r="BF756">
        <f>ROWS($U$46:U756)</f>
        <v>711</v>
      </c>
      <c r="BG756" t="str">
        <f t="shared" si="215"/>
        <v/>
      </c>
    </row>
    <row r="757" spans="7:59" ht="15" customHeight="1" x14ac:dyDescent="0.35">
      <c r="O757" s="330">
        <v>5</v>
      </c>
      <c r="P757" s="36">
        <v>1134752</v>
      </c>
      <c r="Q757" s="36">
        <v>3</v>
      </c>
      <c r="R757" s="36"/>
      <c r="S757" s="553" t="s">
        <v>1319</v>
      </c>
      <c r="T757" s="36" t="s">
        <v>1361</v>
      </c>
      <c r="U757" s="36">
        <v>965522</v>
      </c>
      <c r="V757" s="165" t="s">
        <v>91</v>
      </c>
      <c r="W757" s="36">
        <v>5</v>
      </c>
      <c r="X757" s="36">
        <v>1</v>
      </c>
      <c r="Y757" s="36">
        <v>1</v>
      </c>
      <c r="Z757" s="36">
        <v>1</v>
      </c>
      <c r="AA757" s="36">
        <v>1</v>
      </c>
      <c r="AB757" s="36">
        <v>1</v>
      </c>
      <c r="AC757" s="36">
        <v>2</v>
      </c>
      <c r="AD757" s="36">
        <v>4</v>
      </c>
      <c r="AE757" s="36"/>
      <c r="AF757" s="36">
        <v>3</v>
      </c>
      <c r="AG757" s="36">
        <v>3</v>
      </c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  <c r="AW757" s="36"/>
      <c r="AX757" s="36"/>
      <c r="AY757" s="953"/>
      <c r="AZ757" s="36"/>
      <c r="BA757" s="36"/>
      <c r="BB757" s="36"/>
      <c r="BC757" s="36"/>
      <c r="BD757" s="36"/>
      <c r="BF757">
        <f>ROWS($U$46:U757)</f>
        <v>712</v>
      </c>
      <c r="BG757" t="str">
        <f t="shared" si="215"/>
        <v/>
      </c>
    </row>
    <row r="758" spans="7:59" ht="15" customHeight="1" thickBot="1" x14ac:dyDescent="0.4">
      <c r="O758" s="331"/>
      <c r="P758" s="328"/>
      <c r="Q758" s="328"/>
      <c r="R758" s="328"/>
      <c r="S758" s="554" t="s">
        <v>1319</v>
      </c>
      <c r="T758" s="328" t="s">
        <v>1361</v>
      </c>
      <c r="U758" s="328">
        <v>965522</v>
      </c>
      <c r="V758" s="327" t="s">
        <v>92</v>
      </c>
      <c r="W758" s="328">
        <v>1</v>
      </c>
      <c r="X758" s="328">
        <v>1</v>
      </c>
      <c r="Y758" s="328">
        <v>1</v>
      </c>
      <c r="Z758" s="328">
        <v>2</v>
      </c>
      <c r="AA758" s="328">
        <v>4</v>
      </c>
      <c r="AB758" s="328"/>
      <c r="AC758" s="328"/>
      <c r="AD758" s="328"/>
      <c r="AE758" s="328"/>
      <c r="AF758" s="328">
        <v>3</v>
      </c>
      <c r="AG758" s="328">
        <v>3</v>
      </c>
      <c r="AH758" s="328"/>
      <c r="AI758" s="328"/>
      <c r="AJ758" s="328"/>
      <c r="AK758" s="328"/>
      <c r="AL758" s="328"/>
      <c r="AM758" s="328"/>
      <c r="AN758" s="328"/>
      <c r="AO758" s="328"/>
      <c r="AP758" s="328"/>
      <c r="AQ758" s="328"/>
      <c r="AR758" s="328"/>
      <c r="AS758" s="328"/>
      <c r="AT758" s="328"/>
      <c r="AU758" s="328"/>
      <c r="AV758" s="328"/>
      <c r="AW758" s="328"/>
      <c r="AX758" s="328"/>
      <c r="AY758" s="954"/>
      <c r="AZ758" s="36"/>
      <c r="BA758" s="36"/>
      <c r="BB758" s="36"/>
      <c r="BC758" s="36"/>
      <c r="BD758" s="36"/>
      <c r="BF758">
        <f>ROWS($U$46:U758)</f>
        <v>713</v>
      </c>
      <c r="BG758" t="str">
        <f t="shared" si="215"/>
        <v/>
      </c>
    </row>
    <row r="759" spans="7:59" ht="15" customHeight="1" x14ac:dyDescent="0.35">
      <c r="O759" s="329">
        <v>1</v>
      </c>
      <c r="P759" s="320">
        <v>1104083</v>
      </c>
      <c r="Q759" s="320">
        <v>1</v>
      </c>
      <c r="R759" s="320"/>
      <c r="S759" s="552" t="s">
        <v>1319</v>
      </c>
      <c r="T759" s="320" t="s">
        <v>1364</v>
      </c>
      <c r="U759" s="320">
        <v>1140397</v>
      </c>
      <c r="V759" s="319" t="s">
        <v>87</v>
      </c>
      <c r="W759" s="320">
        <v>1</v>
      </c>
      <c r="X759" s="320">
        <v>3</v>
      </c>
      <c r="Y759" s="320">
        <v>2</v>
      </c>
      <c r="Z759" s="320">
        <v>2</v>
      </c>
      <c r="AA759" s="320">
        <v>2</v>
      </c>
      <c r="AB759" s="320">
        <v>3</v>
      </c>
      <c r="AC759" s="320">
        <v>4</v>
      </c>
      <c r="AD759" s="320"/>
      <c r="AE759" s="320">
        <v>5</v>
      </c>
      <c r="AF759" s="320"/>
      <c r="AG759" s="320"/>
      <c r="AH759" s="320"/>
      <c r="AI759" s="320"/>
      <c r="AJ759" s="320"/>
      <c r="AK759" s="320"/>
      <c r="AL759" s="320"/>
      <c r="AM759" s="320"/>
      <c r="AN759" s="320"/>
      <c r="AO759" s="320"/>
      <c r="AP759" s="320"/>
      <c r="AQ759" s="320"/>
      <c r="AR759" s="320"/>
      <c r="AS759" s="320"/>
      <c r="AT759" s="320"/>
      <c r="AU759" s="320"/>
      <c r="AV759" s="320"/>
      <c r="AW759" s="320"/>
      <c r="AX759" s="320"/>
      <c r="AY759" s="952"/>
      <c r="AZ759" s="36"/>
      <c r="BA759" s="36"/>
      <c r="BB759" s="36"/>
      <c r="BC759" s="36"/>
      <c r="BD759" s="36"/>
      <c r="BF759">
        <f>ROWS($U$46:U759)</f>
        <v>714</v>
      </c>
      <c r="BG759" t="str">
        <f t="shared" si="215"/>
        <v/>
      </c>
    </row>
    <row r="760" spans="7:59" ht="15" customHeight="1" x14ac:dyDescent="0.35">
      <c r="O760" s="330">
        <v>2</v>
      </c>
      <c r="P760" s="36">
        <v>1136984</v>
      </c>
      <c r="Q760" s="36">
        <v>13</v>
      </c>
      <c r="R760" s="36"/>
      <c r="S760" s="553" t="s">
        <v>1319</v>
      </c>
      <c r="T760" s="36" t="s">
        <v>1364</v>
      </c>
      <c r="U760" s="36">
        <v>1140397</v>
      </c>
      <c r="V760" s="165" t="s">
        <v>88</v>
      </c>
      <c r="W760" s="36">
        <v>2</v>
      </c>
      <c r="X760" s="36">
        <v>2</v>
      </c>
      <c r="Y760" s="36">
        <v>3</v>
      </c>
      <c r="Z760" s="36">
        <v>4</v>
      </c>
      <c r="AA760" s="36"/>
      <c r="AB760" s="36"/>
      <c r="AC760" s="36"/>
      <c r="AD760" s="36"/>
      <c r="AE760" s="36">
        <v>5</v>
      </c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  <c r="AW760" s="36"/>
      <c r="AX760" s="36"/>
      <c r="AY760" s="953"/>
      <c r="AZ760" s="36"/>
      <c r="BA760" s="36"/>
      <c r="BB760" s="36"/>
      <c r="BC760" s="36"/>
      <c r="BD760" s="36"/>
      <c r="BF760">
        <f>ROWS($U$46:U760)</f>
        <v>715</v>
      </c>
      <c r="BG760" t="str">
        <f t="shared" si="215"/>
        <v/>
      </c>
    </row>
    <row r="761" spans="7:59" ht="15" customHeight="1" x14ac:dyDescent="0.35">
      <c r="O761" s="330">
        <v>3</v>
      </c>
      <c r="P761" s="36">
        <v>1130219</v>
      </c>
      <c r="Q761" s="36">
        <v>12</v>
      </c>
      <c r="R761" s="36"/>
      <c r="S761" s="553" t="s">
        <v>1319</v>
      </c>
      <c r="T761" s="36" t="s">
        <v>1364</v>
      </c>
      <c r="U761" s="36">
        <v>1140397</v>
      </c>
      <c r="V761" s="165" t="s">
        <v>89</v>
      </c>
      <c r="W761" s="36">
        <v>3</v>
      </c>
      <c r="X761" s="36">
        <v>3</v>
      </c>
      <c r="Y761" s="36">
        <v>2</v>
      </c>
      <c r="Z761" s="36">
        <v>2</v>
      </c>
      <c r="AA761" s="36">
        <v>3</v>
      </c>
      <c r="AB761" s="36">
        <v>4</v>
      </c>
      <c r="AC761" s="36"/>
      <c r="AD761" s="36"/>
      <c r="AE761" s="36">
        <v>5</v>
      </c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  <c r="AW761" s="36"/>
      <c r="AX761" s="36"/>
      <c r="AY761" s="953"/>
      <c r="AZ761" s="36"/>
      <c r="BA761" s="36"/>
      <c r="BB761" s="36"/>
      <c r="BC761" s="36"/>
      <c r="BD761" s="36"/>
      <c r="BF761">
        <f>ROWS($U$46:U761)</f>
        <v>716</v>
      </c>
      <c r="BG761" t="str">
        <f t="shared" si="215"/>
        <v/>
      </c>
    </row>
    <row r="762" spans="7:59" ht="15" customHeight="1" x14ac:dyDescent="0.35">
      <c r="O762" s="330">
        <v>4</v>
      </c>
      <c r="P762" s="36">
        <v>418525</v>
      </c>
      <c r="Q762" s="36">
        <v>6</v>
      </c>
      <c r="R762" s="36"/>
      <c r="S762" s="553" t="s">
        <v>1319</v>
      </c>
      <c r="T762" s="36" t="s">
        <v>1364</v>
      </c>
      <c r="U762" s="36">
        <v>1140397</v>
      </c>
      <c r="V762" s="165" t="s">
        <v>90</v>
      </c>
      <c r="W762" s="36">
        <v>2</v>
      </c>
      <c r="X762" s="36">
        <v>2</v>
      </c>
      <c r="Y762" s="36">
        <v>3</v>
      </c>
      <c r="Z762" s="36">
        <v>3</v>
      </c>
      <c r="AA762" s="36">
        <v>4</v>
      </c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  <c r="AW762" s="36"/>
      <c r="AX762" s="36"/>
      <c r="AY762" s="953"/>
      <c r="AZ762" s="36"/>
      <c r="BA762" s="36"/>
      <c r="BB762" s="36"/>
      <c r="BC762" s="36"/>
      <c r="BD762" s="36"/>
      <c r="BF762">
        <f>ROWS($U$46:U762)</f>
        <v>717</v>
      </c>
      <c r="BG762" t="str">
        <f t="shared" si="215"/>
        <v/>
      </c>
    </row>
    <row r="763" spans="7:59" ht="15" customHeight="1" x14ac:dyDescent="0.35">
      <c r="O763" s="330">
        <v>5</v>
      </c>
      <c r="P763" s="36">
        <v>1101509</v>
      </c>
      <c r="Q763" s="36">
        <v>5</v>
      </c>
      <c r="R763" s="36"/>
      <c r="S763" s="553" t="s">
        <v>1319</v>
      </c>
      <c r="T763" s="36" t="s">
        <v>1364</v>
      </c>
      <c r="U763" s="36">
        <v>1140397</v>
      </c>
      <c r="V763" s="165" t="s">
        <v>91</v>
      </c>
      <c r="W763" s="36">
        <v>3</v>
      </c>
      <c r="X763" s="36">
        <v>3</v>
      </c>
      <c r="Y763" s="36">
        <v>2</v>
      </c>
      <c r="Z763" s="36">
        <v>2</v>
      </c>
      <c r="AA763" s="36">
        <v>3</v>
      </c>
      <c r="AB763" s="36">
        <v>4</v>
      </c>
      <c r="AC763" s="36"/>
      <c r="AD763" s="36"/>
      <c r="AE763" s="36">
        <v>5</v>
      </c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  <c r="AW763" s="36"/>
      <c r="AX763" s="36"/>
      <c r="AY763" s="953"/>
      <c r="AZ763" s="36"/>
      <c r="BA763" s="36"/>
      <c r="BB763" s="36"/>
      <c r="BC763" s="36"/>
      <c r="BD763" s="36"/>
      <c r="BF763">
        <f>ROWS($U$46:U763)</f>
        <v>718</v>
      </c>
      <c r="BG763" t="str">
        <f t="shared" si="215"/>
        <v/>
      </c>
    </row>
    <row r="764" spans="7:59" ht="15" customHeight="1" thickBot="1" x14ac:dyDescent="0.4">
      <c r="G764">
        <f>15*60</f>
        <v>900</v>
      </c>
      <c r="O764" s="331"/>
      <c r="P764" s="328"/>
      <c r="Q764" s="328"/>
      <c r="R764" s="328"/>
      <c r="S764" s="554" t="s">
        <v>1319</v>
      </c>
      <c r="T764" s="328" t="s">
        <v>1364</v>
      </c>
      <c r="U764" s="328">
        <v>1140397</v>
      </c>
      <c r="V764" s="327" t="s">
        <v>92</v>
      </c>
      <c r="W764" s="328">
        <v>2</v>
      </c>
      <c r="X764" s="328">
        <v>2</v>
      </c>
      <c r="Y764" s="328">
        <v>3</v>
      </c>
      <c r="Z764" s="328">
        <v>4</v>
      </c>
      <c r="AA764" s="328"/>
      <c r="AB764" s="328"/>
      <c r="AC764" s="328"/>
      <c r="AD764" s="328"/>
      <c r="AE764" s="328">
        <v>5</v>
      </c>
      <c r="AF764" s="328"/>
      <c r="AG764" s="328"/>
      <c r="AH764" s="328"/>
      <c r="AI764" s="328"/>
      <c r="AJ764" s="328"/>
      <c r="AK764" s="328"/>
      <c r="AL764" s="328"/>
      <c r="AM764" s="328"/>
      <c r="AN764" s="328"/>
      <c r="AO764" s="328"/>
      <c r="AP764" s="328"/>
      <c r="AQ764" s="328"/>
      <c r="AR764" s="328"/>
      <c r="AS764" s="328"/>
      <c r="AT764" s="328"/>
      <c r="AU764" s="328"/>
      <c r="AV764" s="328"/>
      <c r="AW764" s="328"/>
      <c r="AX764" s="328"/>
      <c r="AY764" s="954"/>
      <c r="AZ764" s="36"/>
      <c r="BA764" s="36"/>
      <c r="BB764" s="36"/>
      <c r="BC764" s="36"/>
      <c r="BD764" s="36"/>
      <c r="BF764">
        <f>ROWS($U$46:U764)</f>
        <v>719</v>
      </c>
      <c r="BG764" t="str">
        <f t="shared" si="215"/>
        <v/>
      </c>
    </row>
    <row r="765" spans="7:59" ht="15" customHeight="1" x14ac:dyDescent="0.35">
      <c r="G765">
        <f>G764/60</f>
        <v>15</v>
      </c>
      <c r="O765" s="329">
        <v>1</v>
      </c>
      <c r="P765" s="320">
        <v>907609</v>
      </c>
      <c r="Q765" s="320">
        <v>20</v>
      </c>
      <c r="R765" s="320"/>
      <c r="S765" s="552" t="s">
        <v>1319</v>
      </c>
      <c r="T765" s="320" t="s">
        <v>1372</v>
      </c>
      <c r="U765" s="320">
        <v>1135183</v>
      </c>
      <c r="V765" s="319" t="s">
        <v>87</v>
      </c>
      <c r="W765" s="320">
        <v>2</v>
      </c>
      <c r="X765" s="320">
        <v>1</v>
      </c>
      <c r="Y765" s="320">
        <v>1</v>
      </c>
      <c r="Z765" s="320">
        <v>1</v>
      </c>
      <c r="AA765" s="320">
        <v>1</v>
      </c>
      <c r="AB765" s="320">
        <v>1</v>
      </c>
      <c r="AC765" s="320">
        <v>3</v>
      </c>
      <c r="AD765" s="320">
        <v>3</v>
      </c>
      <c r="AE765" s="320"/>
      <c r="AF765" s="320"/>
      <c r="AG765" s="320"/>
      <c r="AH765" s="320"/>
      <c r="AI765" s="320"/>
      <c r="AJ765" s="320"/>
      <c r="AK765" s="320"/>
      <c r="AL765" s="320"/>
      <c r="AM765" s="320"/>
      <c r="AN765" s="320"/>
      <c r="AO765" s="320"/>
      <c r="AP765" s="320"/>
      <c r="AQ765" s="320"/>
      <c r="AR765" s="320"/>
      <c r="AS765" s="320"/>
      <c r="AT765" s="320"/>
      <c r="AU765" s="320"/>
      <c r="AV765" s="320"/>
      <c r="AW765" s="320"/>
      <c r="AX765" s="320"/>
      <c r="AY765" s="952"/>
      <c r="AZ765" s="36"/>
      <c r="BA765" s="36"/>
      <c r="BB765" s="36"/>
      <c r="BC765" s="36"/>
      <c r="BD765" s="36"/>
      <c r="BF765">
        <f>ROWS($U$46:U765)</f>
        <v>720</v>
      </c>
      <c r="BG765" t="str">
        <f t="shared" si="215"/>
        <v/>
      </c>
    </row>
    <row r="766" spans="7:59" ht="15" customHeight="1" x14ac:dyDescent="0.35">
      <c r="G766">
        <f>G765/6</f>
        <v>2.5</v>
      </c>
      <c r="O766" s="330">
        <v>2</v>
      </c>
      <c r="P766" s="36">
        <v>703670</v>
      </c>
      <c r="Q766" s="36">
        <v>3</v>
      </c>
      <c r="R766" s="36"/>
      <c r="S766" s="553" t="s">
        <v>1319</v>
      </c>
      <c r="T766" s="36" t="s">
        <v>1372</v>
      </c>
      <c r="U766" s="36">
        <v>1135183</v>
      </c>
      <c r="V766" s="165" t="s">
        <v>88</v>
      </c>
      <c r="W766" s="36">
        <v>1</v>
      </c>
      <c r="X766" s="36">
        <v>1</v>
      </c>
      <c r="Y766" s="36">
        <v>1</v>
      </c>
      <c r="Z766" s="36">
        <v>3</v>
      </c>
      <c r="AA766" s="36">
        <v>3</v>
      </c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  <c r="AW766" s="36"/>
      <c r="AX766" s="36"/>
      <c r="AY766" s="953"/>
      <c r="AZ766" s="36"/>
      <c r="BA766" s="36"/>
      <c r="BB766" s="36"/>
      <c r="BC766" s="36"/>
      <c r="BD766" s="36"/>
      <c r="BF766">
        <f>ROWS($U$46:U766)</f>
        <v>721</v>
      </c>
      <c r="BG766" t="str">
        <f t="shared" si="215"/>
        <v/>
      </c>
    </row>
    <row r="767" spans="7:59" ht="15" customHeight="1" x14ac:dyDescent="0.35">
      <c r="O767" s="330">
        <v>3</v>
      </c>
      <c r="P767" s="36">
        <v>418525</v>
      </c>
      <c r="Q767" s="36">
        <v>10</v>
      </c>
      <c r="R767" s="36"/>
      <c r="S767" s="553" t="s">
        <v>1319</v>
      </c>
      <c r="T767" s="36" t="s">
        <v>1372</v>
      </c>
      <c r="U767" s="36">
        <v>1135183</v>
      </c>
      <c r="V767" s="165" t="s">
        <v>89</v>
      </c>
      <c r="W767" s="36">
        <v>2</v>
      </c>
      <c r="X767" s="36">
        <v>1</v>
      </c>
      <c r="Y767" s="36">
        <v>1</v>
      </c>
      <c r="Z767" s="36">
        <v>1</v>
      </c>
      <c r="AA767" s="36">
        <v>1</v>
      </c>
      <c r="AB767" s="36">
        <v>3</v>
      </c>
      <c r="AC767" s="36">
        <v>3</v>
      </c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  <c r="AW767" s="36"/>
      <c r="AX767" s="36"/>
      <c r="AY767" s="953"/>
      <c r="AZ767" s="36"/>
      <c r="BA767" s="36"/>
      <c r="BB767" s="36"/>
      <c r="BC767" s="36"/>
      <c r="BD767" s="36"/>
      <c r="BF767">
        <f>ROWS($U$46:U767)</f>
        <v>722</v>
      </c>
      <c r="BG767" t="str">
        <f t="shared" si="215"/>
        <v/>
      </c>
    </row>
    <row r="768" spans="7:59" ht="15" customHeight="1" x14ac:dyDescent="0.35">
      <c r="O768" s="330"/>
      <c r="P768" s="36"/>
      <c r="Q768" s="36"/>
      <c r="R768" s="36"/>
      <c r="S768" s="553" t="s">
        <v>1319</v>
      </c>
      <c r="T768" s="36" t="s">
        <v>1372</v>
      </c>
      <c r="U768" s="36">
        <v>1135183</v>
      </c>
      <c r="V768" s="165" t="s">
        <v>90</v>
      </c>
      <c r="W768" s="36">
        <v>2</v>
      </c>
      <c r="X768" s="36">
        <v>1</v>
      </c>
      <c r="Y768" s="36">
        <v>1</v>
      </c>
      <c r="Z768" s="36">
        <v>1</v>
      </c>
      <c r="AA768" s="36">
        <v>1</v>
      </c>
      <c r="AB768" s="36">
        <v>1</v>
      </c>
      <c r="AC768" s="36">
        <v>3</v>
      </c>
      <c r="AD768" s="36">
        <v>3</v>
      </c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953"/>
      <c r="AZ768" s="36"/>
      <c r="BA768" s="36"/>
      <c r="BB768" s="36"/>
      <c r="BC768" s="36"/>
      <c r="BD768" s="36"/>
      <c r="BF768">
        <f>ROWS($U$46:U768)</f>
        <v>723</v>
      </c>
      <c r="BG768" t="str">
        <f t="shared" si="215"/>
        <v/>
      </c>
    </row>
    <row r="769" spans="15:59" ht="15" customHeight="1" thickBot="1" x14ac:dyDescent="0.4">
      <c r="O769" s="331"/>
      <c r="P769" s="328"/>
      <c r="Q769" s="328"/>
      <c r="R769" s="328"/>
      <c r="S769" s="554" t="s">
        <v>1319</v>
      </c>
      <c r="T769" s="328" t="s">
        <v>1372</v>
      </c>
      <c r="U769" s="328">
        <v>1135183</v>
      </c>
      <c r="V769" s="327" t="s">
        <v>91</v>
      </c>
      <c r="W769" s="328">
        <v>1</v>
      </c>
      <c r="X769" s="328">
        <v>1</v>
      </c>
      <c r="Y769" s="328">
        <v>1</v>
      </c>
      <c r="Z769" s="328">
        <v>3</v>
      </c>
      <c r="AA769" s="328">
        <v>3</v>
      </c>
      <c r="AB769" s="328"/>
      <c r="AC769" s="328"/>
      <c r="AD769" s="328"/>
      <c r="AE769" s="328"/>
      <c r="AF769" s="328"/>
      <c r="AG769" s="328"/>
      <c r="AH769" s="328"/>
      <c r="AI769" s="328"/>
      <c r="AJ769" s="328"/>
      <c r="AK769" s="328"/>
      <c r="AL769" s="328"/>
      <c r="AM769" s="328"/>
      <c r="AN769" s="328"/>
      <c r="AO769" s="328"/>
      <c r="AP769" s="328"/>
      <c r="AQ769" s="328"/>
      <c r="AR769" s="328"/>
      <c r="AS769" s="328"/>
      <c r="AT769" s="328"/>
      <c r="AU769" s="328"/>
      <c r="AV769" s="328"/>
      <c r="AW769" s="328"/>
      <c r="AX769" s="328"/>
      <c r="AY769" s="954"/>
      <c r="AZ769" s="36"/>
      <c r="BA769" s="36"/>
      <c r="BB769" s="36"/>
      <c r="BC769" s="36"/>
      <c r="BD769" s="36"/>
      <c r="BF769">
        <f>ROWS($U$46:U769)</f>
        <v>724</v>
      </c>
      <c r="BG769" t="str">
        <f t="shared" si="215"/>
        <v/>
      </c>
    </row>
    <row r="770" spans="15:59" ht="15" customHeight="1" x14ac:dyDescent="0.35">
      <c r="O770" s="329">
        <v>1</v>
      </c>
      <c r="P770" s="320">
        <v>745337</v>
      </c>
      <c r="Q770" s="320">
        <v>24</v>
      </c>
      <c r="R770" s="320"/>
      <c r="S770" s="552" t="s">
        <v>1200</v>
      </c>
      <c r="T770" s="320" t="s">
        <v>1374</v>
      </c>
      <c r="U770" s="320">
        <v>1007406</v>
      </c>
      <c r="V770" s="319" t="s">
        <v>87</v>
      </c>
      <c r="W770" s="320">
        <v>2</v>
      </c>
      <c r="X770" s="320">
        <v>2</v>
      </c>
      <c r="Y770" s="320">
        <v>1</v>
      </c>
      <c r="Z770" s="320">
        <v>1</v>
      </c>
      <c r="AA770" s="320">
        <v>1</v>
      </c>
      <c r="AB770" s="320">
        <v>1</v>
      </c>
      <c r="AC770" s="320">
        <v>1</v>
      </c>
      <c r="AD770" s="320">
        <v>2</v>
      </c>
      <c r="AE770" s="320"/>
      <c r="AF770" s="320"/>
      <c r="AG770" s="320"/>
      <c r="AH770" s="320"/>
      <c r="AI770" s="320"/>
      <c r="AJ770" s="320"/>
      <c r="AK770" s="320"/>
      <c r="AL770" s="320"/>
      <c r="AM770" s="320"/>
      <c r="AN770" s="320"/>
      <c r="AO770" s="320"/>
      <c r="AP770" s="320"/>
      <c r="AQ770" s="320"/>
      <c r="AR770" s="320"/>
      <c r="AS770" s="320"/>
      <c r="AT770" s="320"/>
      <c r="AU770" s="320"/>
      <c r="AV770" s="320"/>
      <c r="AW770" s="320"/>
      <c r="AX770" s="320"/>
      <c r="AY770" s="952"/>
      <c r="AZ770" s="36"/>
      <c r="BA770" s="36"/>
      <c r="BB770" s="36"/>
      <c r="BC770" s="36"/>
      <c r="BD770" s="36"/>
      <c r="BF770">
        <f>ROWS($U$46:U770)</f>
        <v>725</v>
      </c>
      <c r="BG770" t="str">
        <f t="shared" si="215"/>
        <v/>
      </c>
    </row>
    <row r="771" spans="15:59" ht="15" customHeight="1" x14ac:dyDescent="0.35">
      <c r="O771" s="330">
        <v>2</v>
      </c>
      <c r="P771" s="36">
        <v>703670</v>
      </c>
      <c r="Q771" s="36">
        <v>12</v>
      </c>
      <c r="R771" s="36"/>
      <c r="S771" s="553" t="s">
        <v>1200</v>
      </c>
      <c r="T771" s="36" t="s">
        <v>1374</v>
      </c>
      <c r="U771" s="36">
        <v>1007406</v>
      </c>
      <c r="V771" s="165" t="s">
        <v>88</v>
      </c>
      <c r="W771" s="36">
        <v>1</v>
      </c>
      <c r="X771" s="36">
        <v>1</v>
      </c>
      <c r="Y771" s="36">
        <v>1</v>
      </c>
      <c r="Z771" s="36">
        <v>1</v>
      </c>
      <c r="AA771" s="36">
        <v>2</v>
      </c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  <c r="AW771" s="36"/>
      <c r="AX771" s="36"/>
      <c r="AY771" s="953"/>
      <c r="AZ771" s="36"/>
      <c r="BA771" s="36"/>
      <c r="BB771" s="36"/>
      <c r="BC771" s="36"/>
      <c r="BD771" s="36"/>
      <c r="BF771">
        <f>ROWS($U$46:U771)</f>
        <v>726</v>
      </c>
      <c r="BG771" t="str">
        <f t="shared" si="215"/>
        <v/>
      </c>
    </row>
    <row r="772" spans="15:59" ht="15" customHeight="1" x14ac:dyDescent="0.35">
      <c r="O772" s="330"/>
      <c r="P772" s="36"/>
      <c r="Q772" s="36"/>
      <c r="R772" s="36"/>
      <c r="S772" s="553" t="s">
        <v>1200</v>
      </c>
      <c r="T772" s="36" t="s">
        <v>1374</v>
      </c>
      <c r="U772" s="36">
        <v>1007406</v>
      </c>
      <c r="V772" s="165" t="s">
        <v>89</v>
      </c>
      <c r="W772" s="36">
        <v>2</v>
      </c>
      <c r="X772" s="36">
        <v>2</v>
      </c>
      <c r="Y772" s="36">
        <v>1</v>
      </c>
      <c r="Z772" s="36">
        <v>1</v>
      </c>
      <c r="AA772" s="36">
        <v>1</v>
      </c>
      <c r="AB772" s="36">
        <v>1</v>
      </c>
      <c r="AC772" s="36">
        <v>2</v>
      </c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  <c r="AW772" s="36"/>
      <c r="AX772" s="36"/>
      <c r="AY772" s="953"/>
      <c r="AZ772" s="36"/>
      <c r="BA772" s="36"/>
      <c r="BB772" s="36"/>
      <c r="BC772" s="36"/>
      <c r="BD772" s="36"/>
      <c r="BF772">
        <f>ROWS($U$46:U772)</f>
        <v>727</v>
      </c>
      <c r="BG772" t="str">
        <f t="shared" si="215"/>
        <v/>
      </c>
    </row>
    <row r="773" spans="15:59" ht="15" customHeight="1" x14ac:dyDescent="0.35">
      <c r="O773" s="330"/>
      <c r="P773" s="36"/>
      <c r="Q773" s="36"/>
      <c r="R773" s="36"/>
      <c r="S773" s="553" t="s">
        <v>1200</v>
      </c>
      <c r="T773" s="36" t="s">
        <v>1374</v>
      </c>
      <c r="U773" s="36">
        <v>1007406</v>
      </c>
      <c r="V773" s="165" t="s">
        <v>90</v>
      </c>
      <c r="W773" s="36">
        <v>1</v>
      </c>
      <c r="X773" s="36">
        <v>1</v>
      </c>
      <c r="Y773" s="36">
        <v>1</v>
      </c>
      <c r="Z773" s="36">
        <v>1</v>
      </c>
      <c r="AA773" s="36">
        <v>2</v>
      </c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  <c r="AW773" s="36"/>
      <c r="AX773" s="36"/>
      <c r="AY773" s="953"/>
      <c r="AZ773" s="36"/>
      <c r="BA773" s="36"/>
      <c r="BB773" s="36"/>
      <c r="BC773" s="36"/>
      <c r="BD773" s="36"/>
      <c r="BF773">
        <f>ROWS($U$46:U773)</f>
        <v>728</v>
      </c>
      <c r="BG773" t="str">
        <f t="shared" si="215"/>
        <v/>
      </c>
    </row>
    <row r="774" spans="15:59" ht="15" customHeight="1" x14ac:dyDescent="0.35">
      <c r="O774" s="330"/>
      <c r="P774" s="36"/>
      <c r="Q774" s="36"/>
      <c r="R774" s="36"/>
      <c r="S774" s="553" t="s">
        <v>1200</v>
      </c>
      <c r="T774" s="36" t="s">
        <v>1374</v>
      </c>
      <c r="U774" s="36">
        <v>1007406</v>
      </c>
      <c r="V774" s="165" t="s">
        <v>91</v>
      </c>
      <c r="W774" s="36">
        <v>2</v>
      </c>
      <c r="X774" s="36">
        <v>2</v>
      </c>
      <c r="Y774" s="36">
        <v>1</v>
      </c>
      <c r="Z774" s="36">
        <v>1</v>
      </c>
      <c r="AA774" s="36">
        <v>1</v>
      </c>
      <c r="AB774" s="36">
        <v>1</v>
      </c>
      <c r="AC774" s="36">
        <v>2</v>
      </c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  <c r="AW774" s="36"/>
      <c r="AX774" s="36"/>
      <c r="AY774" s="953"/>
      <c r="AZ774" s="36"/>
      <c r="BA774" s="36"/>
      <c r="BB774" s="36"/>
      <c r="BC774" s="36"/>
      <c r="BD774" s="36"/>
      <c r="BF774">
        <f>ROWS($U$46:U774)</f>
        <v>729</v>
      </c>
      <c r="BG774" t="str">
        <f t="shared" si="215"/>
        <v/>
      </c>
    </row>
    <row r="775" spans="15:59" ht="15" customHeight="1" thickBot="1" x14ac:dyDescent="0.4">
      <c r="O775" s="331"/>
      <c r="P775" s="328"/>
      <c r="Q775" s="328"/>
      <c r="R775" s="328"/>
      <c r="S775" s="554" t="s">
        <v>1200</v>
      </c>
      <c r="T775" s="328" t="s">
        <v>1374</v>
      </c>
      <c r="U775" s="328">
        <v>1007406</v>
      </c>
      <c r="V775" s="327" t="s">
        <v>92</v>
      </c>
      <c r="W775" s="328">
        <v>1</v>
      </c>
      <c r="X775" s="328">
        <v>1</v>
      </c>
      <c r="Y775" s="328">
        <v>1</v>
      </c>
      <c r="Z775" s="328">
        <v>2</v>
      </c>
      <c r="AA775" s="328"/>
      <c r="AB775" s="328"/>
      <c r="AC775" s="328"/>
      <c r="AD775" s="328"/>
      <c r="AE775" s="328"/>
      <c r="AF775" s="328"/>
      <c r="AG775" s="328"/>
      <c r="AH775" s="328"/>
      <c r="AI775" s="328"/>
      <c r="AJ775" s="328"/>
      <c r="AK775" s="328"/>
      <c r="AL775" s="328"/>
      <c r="AM775" s="328"/>
      <c r="AN775" s="328"/>
      <c r="AO775" s="328"/>
      <c r="AP775" s="328"/>
      <c r="AQ775" s="328"/>
      <c r="AR775" s="328"/>
      <c r="AS775" s="328"/>
      <c r="AT775" s="328"/>
      <c r="AU775" s="328"/>
      <c r="AV775" s="328"/>
      <c r="AW775" s="328"/>
      <c r="AX775" s="328"/>
      <c r="AY775" s="954"/>
      <c r="AZ775" s="36"/>
      <c r="BA775" s="36"/>
      <c r="BB775" s="36"/>
      <c r="BC775" s="36"/>
      <c r="BD775" s="36"/>
      <c r="BF775">
        <f>ROWS($U$46:U775)</f>
        <v>730</v>
      </c>
      <c r="BG775" t="str">
        <f t="shared" si="215"/>
        <v/>
      </c>
    </row>
    <row r="776" spans="15:59" ht="15" customHeight="1" x14ac:dyDescent="0.35">
      <c r="O776" s="329">
        <v>1</v>
      </c>
      <c r="P776" s="320">
        <v>1130221</v>
      </c>
      <c r="Q776" s="320">
        <v>24</v>
      </c>
      <c r="R776" s="320"/>
      <c r="S776" s="552" t="s">
        <v>1200</v>
      </c>
      <c r="T776" s="320" t="s">
        <v>1374</v>
      </c>
      <c r="U776" s="320">
        <v>1104950</v>
      </c>
      <c r="V776" s="319" t="s">
        <v>87</v>
      </c>
      <c r="W776" s="320">
        <v>2</v>
      </c>
      <c r="X776" s="320">
        <v>2</v>
      </c>
      <c r="Y776" s="320">
        <v>1</v>
      </c>
      <c r="Z776" s="320">
        <v>1</v>
      </c>
      <c r="AA776" s="320">
        <v>1</v>
      </c>
      <c r="AB776" s="320">
        <v>1</v>
      </c>
      <c r="AC776" s="320">
        <v>1</v>
      </c>
      <c r="AD776" s="320">
        <v>3</v>
      </c>
      <c r="AE776" s="320"/>
      <c r="AF776" s="320"/>
      <c r="AG776" s="320"/>
      <c r="AH776" s="320"/>
      <c r="AI776" s="320"/>
      <c r="AJ776" s="320"/>
      <c r="AK776" s="320"/>
      <c r="AL776" s="320"/>
      <c r="AM776" s="320"/>
      <c r="AN776" s="320"/>
      <c r="AO776" s="320"/>
      <c r="AP776" s="320"/>
      <c r="AQ776" s="320"/>
      <c r="AR776" s="320"/>
      <c r="AS776" s="320"/>
      <c r="AT776" s="320"/>
      <c r="AU776" s="320"/>
      <c r="AV776" s="320"/>
      <c r="AW776" s="320"/>
      <c r="AX776" s="320"/>
      <c r="AY776" s="952"/>
      <c r="AZ776" s="36"/>
      <c r="BA776" s="36"/>
      <c r="BB776" s="36"/>
      <c r="BC776" s="36"/>
      <c r="BD776" s="36"/>
      <c r="BF776">
        <f>ROWS($U$46:U776)</f>
        <v>731</v>
      </c>
      <c r="BG776" t="str">
        <f t="shared" si="215"/>
        <v/>
      </c>
    </row>
    <row r="777" spans="15:59" ht="15" customHeight="1" x14ac:dyDescent="0.35">
      <c r="O777" s="330">
        <v>2</v>
      </c>
      <c r="P777" s="36">
        <v>1130219</v>
      </c>
      <c r="Q777" s="36">
        <v>6</v>
      </c>
      <c r="R777" s="36"/>
      <c r="S777" s="553" t="s">
        <v>1200</v>
      </c>
      <c r="T777" s="36" t="s">
        <v>1374</v>
      </c>
      <c r="U777" s="36">
        <v>1104950</v>
      </c>
      <c r="V777" s="165" t="s">
        <v>88</v>
      </c>
      <c r="W777" s="36">
        <v>1</v>
      </c>
      <c r="X777" s="36">
        <v>1</v>
      </c>
      <c r="Y777" s="36">
        <v>1</v>
      </c>
      <c r="Z777" s="36">
        <v>1</v>
      </c>
      <c r="AA777" s="36">
        <v>3</v>
      </c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953"/>
      <c r="AZ777" s="36"/>
      <c r="BA777" s="36"/>
      <c r="BB777" s="36"/>
      <c r="BC777" s="36"/>
      <c r="BD777" s="36"/>
      <c r="BF777">
        <f>ROWS($U$46:U777)</f>
        <v>732</v>
      </c>
      <c r="BG777" t="str">
        <f t="shared" si="215"/>
        <v/>
      </c>
    </row>
    <row r="778" spans="15:59" ht="15" customHeight="1" x14ac:dyDescent="0.35">
      <c r="O778" s="330">
        <v>3</v>
      </c>
      <c r="P778" s="36">
        <v>703670</v>
      </c>
      <c r="Q778" s="36">
        <v>6</v>
      </c>
      <c r="R778" s="36"/>
      <c r="S778" s="553" t="s">
        <v>1200</v>
      </c>
      <c r="T778" s="36" t="s">
        <v>1374</v>
      </c>
      <c r="U778" s="36">
        <v>1104950</v>
      </c>
      <c r="V778" s="165" t="s">
        <v>89</v>
      </c>
      <c r="W778" s="36">
        <v>2</v>
      </c>
      <c r="X778" s="36">
        <v>2</v>
      </c>
      <c r="Y778" s="36">
        <v>1</v>
      </c>
      <c r="Z778" s="36">
        <v>1</v>
      </c>
      <c r="AA778" s="36">
        <v>1</v>
      </c>
      <c r="AB778" s="36">
        <v>1</v>
      </c>
      <c r="AC778" s="36">
        <v>3</v>
      </c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  <c r="AW778" s="36"/>
      <c r="AX778" s="36"/>
      <c r="AY778" s="953"/>
      <c r="AZ778" s="36"/>
      <c r="BA778" s="36"/>
      <c r="BB778" s="36"/>
      <c r="BC778" s="36"/>
      <c r="BD778" s="36"/>
      <c r="BF778">
        <f>ROWS($U$46:U778)</f>
        <v>733</v>
      </c>
      <c r="BG778" t="str">
        <f t="shared" si="215"/>
        <v/>
      </c>
    </row>
    <row r="779" spans="15:59" ht="15" customHeight="1" x14ac:dyDescent="0.35">
      <c r="O779" s="330"/>
      <c r="P779" s="36"/>
      <c r="Q779" s="36"/>
      <c r="R779" s="36"/>
      <c r="S779" s="553" t="s">
        <v>1200</v>
      </c>
      <c r="T779" s="36" t="s">
        <v>1374</v>
      </c>
      <c r="U779" s="36">
        <v>1104950</v>
      </c>
      <c r="V779" s="165" t="s">
        <v>90</v>
      </c>
      <c r="W779" s="36">
        <v>1</v>
      </c>
      <c r="X779" s="36">
        <v>1</v>
      </c>
      <c r="Y779" s="36">
        <v>1</v>
      </c>
      <c r="Z779" s="36">
        <v>1</v>
      </c>
      <c r="AA779" s="36">
        <v>3</v>
      </c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  <c r="AW779" s="36"/>
      <c r="AX779" s="36"/>
      <c r="AY779" s="953"/>
      <c r="AZ779" s="36"/>
      <c r="BA779" s="36"/>
      <c r="BB779" s="36"/>
      <c r="BC779" s="36"/>
      <c r="BD779" s="36"/>
      <c r="BF779">
        <f>ROWS($U$46:U779)</f>
        <v>734</v>
      </c>
      <c r="BG779" t="str">
        <f t="shared" si="215"/>
        <v/>
      </c>
    </row>
    <row r="780" spans="15:59" ht="15" customHeight="1" x14ac:dyDescent="0.35">
      <c r="O780" s="330"/>
      <c r="P780" s="36"/>
      <c r="Q780" s="36"/>
      <c r="R780" s="36"/>
      <c r="S780" s="553" t="s">
        <v>1200</v>
      </c>
      <c r="T780" s="36" t="s">
        <v>1374</v>
      </c>
      <c r="U780" s="36">
        <v>1104950</v>
      </c>
      <c r="V780" s="165" t="s">
        <v>91</v>
      </c>
      <c r="W780" s="36">
        <v>2</v>
      </c>
      <c r="X780" s="36">
        <v>2</v>
      </c>
      <c r="Y780" s="36">
        <v>1</v>
      </c>
      <c r="Z780" s="36">
        <v>1</v>
      </c>
      <c r="AA780" s="36">
        <v>1</v>
      </c>
      <c r="AB780" s="36">
        <v>1</v>
      </c>
      <c r="AC780" s="36">
        <v>3</v>
      </c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  <c r="AW780" s="36"/>
      <c r="AX780" s="36"/>
      <c r="AY780" s="953"/>
      <c r="AZ780" s="36"/>
      <c r="BA780" s="36"/>
      <c r="BB780" s="36"/>
      <c r="BC780" s="36"/>
      <c r="BD780" s="36"/>
      <c r="BF780">
        <f>ROWS($U$46:U780)</f>
        <v>735</v>
      </c>
      <c r="BG780" t="str">
        <f t="shared" si="215"/>
        <v/>
      </c>
    </row>
    <row r="781" spans="15:59" ht="15" customHeight="1" thickBot="1" x14ac:dyDescent="0.4">
      <c r="O781" s="331"/>
      <c r="P781" s="328"/>
      <c r="Q781" s="328"/>
      <c r="R781" s="328"/>
      <c r="S781" s="554" t="s">
        <v>1200</v>
      </c>
      <c r="T781" s="328" t="s">
        <v>1374</v>
      </c>
      <c r="U781" s="328">
        <v>1104950</v>
      </c>
      <c r="V781" s="327" t="s">
        <v>92</v>
      </c>
      <c r="W781" s="328">
        <v>1</v>
      </c>
      <c r="X781" s="328">
        <v>1</v>
      </c>
      <c r="Y781" s="328">
        <v>1</v>
      </c>
      <c r="Z781" s="328">
        <v>3</v>
      </c>
      <c r="AA781" s="328"/>
      <c r="AB781" s="328"/>
      <c r="AC781" s="328"/>
      <c r="AD781" s="328"/>
      <c r="AE781" s="328"/>
      <c r="AF781" s="328"/>
      <c r="AG781" s="328"/>
      <c r="AH781" s="328"/>
      <c r="AI781" s="328"/>
      <c r="AJ781" s="328"/>
      <c r="AK781" s="328"/>
      <c r="AL781" s="328"/>
      <c r="AM781" s="328"/>
      <c r="AN781" s="328"/>
      <c r="AO781" s="328"/>
      <c r="AP781" s="328"/>
      <c r="AQ781" s="328"/>
      <c r="AR781" s="328"/>
      <c r="AS781" s="328"/>
      <c r="AT781" s="328"/>
      <c r="AU781" s="328"/>
      <c r="AV781" s="328"/>
      <c r="AW781" s="328"/>
      <c r="AX781" s="328"/>
      <c r="AY781" s="954"/>
      <c r="AZ781" s="36"/>
      <c r="BA781" s="36"/>
      <c r="BB781" s="36"/>
      <c r="BC781" s="36"/>
      <c r="BD781" s="36"/>
      <c r="BF781">
        <f>ROWS($U$46:U781)</f>
        <v>736</v>
      </c>
      <c r="BG781" t="str">
        <f t="shared" si="215"/>
        <v/>
      </c>
    </row>
    <row r="782" spans="15:59" ht="15" customHeight="1" x14ac:dyDescent="0.35">
      <c r="O782" s="329">
        <v>1</v>
      </c>
      <c r="P782" s="320">
        <v>745337</v>
      </c>
      <c r="Q782" s="320">
        <v>29</v>
      </c>
      <c r="R782" s="320"/>
      <c r="S782" s="552" t="s">
        <v>1200</v>
      </c>
      <c r="T782" s="320" t="s">
        <v>1376</v>
      </c>
      <c r="U782" s="320">
        <v>1109015</v>
      </c>
      <c r="V782" s="319" t="s">
        <v>87</v>
      </c>
      <c r="W782" s="320">
        <v>5</v>
      </c>
      <c r="X782" s="320">
        <v>4</v>
      </c>
      <c r="Y782" s="320">
        <v>4</v>
      </c>
      <c r="Z782" s="320">
        <v>1</v>
      </c>
      <c r="AA782" s="320">
        <v>1</v>
      </c>
      <c r="AB782" s="320">
        <v>1</v>
      </c>
      <c r="AC782" s="320">
        <v>1</v>
      </c>
      <c r="AD782" s="320">
        <v>1</v>
      </c>
      <c r="AE782" s="320">
        <v>2</v>
      </c>
      <c r="AF782" s="320"/>
      <c r="AG782" s="320">
        <v>3</v>
      </c>
      <c r="AH782" s="320"/>
      <c r="AI782" s="320"/>
      <c r="AJ782" s="320"/>
      <c r="AK782" s="320"/>
      <c r="AL782" s="320"/>
      <c r="AM782" s="320"/>
      <c r="AN782" s="320"/>
      <c r="AO782" s="320"/>
      <c r="AP782" s="320"/>
      <c r="AQ782" s="320"/>
      <c r="AR782" s="320"/>
      <c r="AS782" s="320"/>
      <c r="AT782" s="320"/>
      <c r="AU782" s="320"/>
      <c r="AV782" s="320"/>
      <c r="AW782" s="320"/>
      <c r="AX782" s="320"/>
      <c r="AY782" s="952"/>
      <c r="AZ782" s="36"/>
      <c r="BA782" s="36"/>
      <c r="BB782" s="36"/>
      <c r="BC782" s="36"/>
      <c r="BD782" s="36"/>
      <c r="BF782">
        <f>ROWS($U$46:U782)</f>
        <v>737</v>
      </c>
      <c r="BG782" t="str">
        <f t="shared" si="215"/>
        <v/>
      </c>
    </row>
    <row r="783" spans="15:59" ht="15" customHeight="1" x14ac:dyDescent="0.35">
      <c r="O783" s="330">
        <v>2</v>
      </c>
      <c r="P783" s="36">
        <v>871781</v>
      </c>
      <c r="Q783" s="36">
        <v>6</v>
      </c>
      <c r="R783" s="36"/>
      <c r="S783" s="553" t="s">
        <v>1200</v>
      </c>
      <c r="T783" s="36" t="s">
        <v>1376</v>
      </c>
      <c r="U783" s="36">
        <v>1109015</v>
      </c>
      <c r="V783" s="165" t="s">
        <v>88</v>
      </c>
      <c r="W783" s="36">
        <v>1</v>
      </c>
      <c r="X783" s="36">
        <v>1</v>
      </c>
      <c r="Y783" s="36">
        <v>1</v>
      </c>
      <c r="Z783" s="36">
        <v>1</v>
      </c>
      <c r="AA783" s="36">
        <v>1</v>
      </c>
      <c r="AB783" s="36">
        <v>2</v>
      </c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  <c r="AW783" s="36"/>
      <c r="AX783" s="36"/>
      <c r="AY783" s="953"/>
      <c r="AZ783" s="36"/>
      <c r="BA783" s="36"/>
      <c r="BB783" s="36"/>
      <c r="BC783" s="36"/>
      <c r="BD783" s="36"/>
      <c r="BF783">
        <f>ROWS($U$46:U783)</f>
        <v>738</v>
      </c>
      <c r="BG783" t="str">
        <f t="shared" si="215"/>
        <v/>
      </c>
    </row>
    <row r="784" spans="15:59" ht="15" customHeight="1" x14ac:dyDescent="0.35">
      <c r="O784" s="330">
        <v>3</v>
      </c>
      <c r="P784" s="36">
        <v>1037276</v>
      </c>
      <c r="Q784" s="36">
        <v>3</v>
      </c>
      <c r="R784" s="36"/>
      <c r="S784" s="553" t="s">
        <v>1200</v>
      </c>
      <c r="T784" s="36" t="s">
        <v>1376</v>
      </c>
      <c r="U784" s="36">
        <v>1109015</v>
      </c>
      <c r="V784" s="165" t="s">
        <v>89</v>
      </c>
      <c r="W784" s="36">
        <v>5</v>
      </c>
      <c r="X784" s="36">
        <v>4</v>
      </c>
      <c r="Y784" s="36">
        <v>1</v>
      </c>
      <c r="Z784" s="36">
        <v>1</v>
      </c>
      <c r="AA784" s="36">
        <v>1</v>
      </c>
      <c r="AB784" s="36">
        <v>1</v>
      </c>
      <c r="AC784" s="36">
        <v>1</v>
      </c>
      <c r="AD784" s="36">
        <v>2</v>
      </c>
      <c r="AE784" s="36"/>
      <c r="AF784" s="36"/>
      <c r="AG784" s="36">
        <v>3</v>
      </c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  <c r="AV784" s="36"/>
      <c r="AW784" s="36"/>
      <c r="AX784" s="36"/>
      <c r="AY784" s="953"/>
      <c r="AZ784" s="36"/>
      <c r="BA784" s="36"/>
      <c r="BB784" s="36"/>
      <c r="BC784" s="36"/>
      <c r="BD784" s="36"/>
      <c r="BF784">
        <f>ROWS($U$46:U784)</f>
        <v>739</v>
      </c>
      <c r="BG784" t="str">
        <f t="shared" si="215"/>
        <v/>
      </c>
    </row>
    <row r="785" spans="15:59" ht="15" customHeight="1" x14ac:dyDescent="0.35">
      <c r="O785" s="330">
        <v>4</v>
      </c>
      <c r="P785" s="36">
        <v>745173</v>
      </c>
      <c r="Q785" s="36">
        <v>4</v>
      </c>
      <c r="R785" s="36"/>
      <c r="S785" s="553" t="s">
        <v>1200</v>
      </c>
      <c r="T785" s="36" t="s">
        <v>1376</v>
      </c>
      <c r="U785" s="36">
        <v>1109015</v>
      </c>
      <c r="V785" s="165" t="s">
        <v>90</v>
      </c>
      <c r="W785" s="36">
        <v>1</v>
      </c>
      <c r="X785" s="36">
        <v>1</v>
      </c>
      <c r="Y785" s="36">
        <v>1</v>
      </c>
      <c r="Z785" s="36">
        <v>1</v>
      </c>
      <c r="AA785" s="36">
        <v>1</v>
      </c>
      <c r="AB785" s="36">
        <v>2</v>
      </c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  <c r="AW785" s="36"/>
      <c r="AX785" s="36"/>
      <c r="AY785" s="953"/>
      <c r="AZ785" s="36"/>
      <c r="BA785" s="36"/>
      <c r="BB785" s="36"/>
      <c r="BC785" s="36"/>
      <c r="BD785" s="36"/>
      <c r="BF785">
        <f>ROWS($U$46:U785)</f>
        <v>740</v>
      </c>
      <c r="BG785" t="str">
        <f t="shared" si="215"/>
        <v/>
      </c>
    </row>
    <row r="786" spans="15:59" ht="15" customHeight="1" x14ac:dyDescent="0.35">
      <c r="O786" s="330">
        <v>5</v>
      </c>
      <c r="P786" s="36">
        <v>948669</v>
      </c>
      <c r="Q786" s="36">
        <v>3</v>
      </c>
      <c r="R786" s="36"/>
      <c r="S786" s="553" t="s">
        <v>1200</v>
      </c>
      <c r="T786" s="36" t="s">
        <v>1376</v>
      </c>
      <c r="U786" s="36">
        <v>1109015</v>
      </c>
      <c r="V786" s="165" t="s">
        <v>91</v>
      </c>
      <c r="W786" s="36">
        <v>5</v>
      </c>
      <c r="X786" s="36">
        <v>4</v>
      </c>
      <c r="Y786" s="36">
        <v>1</v>
      </c>
      <c r="Z786" s="36">
        <v>1</v>
      </c>
      <c r="AA786" s="36">
        <v>1</v>
      </c>
      <c r="AB786" s="36">
        <v>1</v>
      </c>
      <c r="AC786" s="36">
        <v>1</v>
      </c>
      <c r="AD786" s="36">
        <v>6</v>
      </c>
      <c r="AE786" s="36">
        <v>2</v>
      </c>
      <c r="AF786" s="36"/>
      <c r="AG786" s="36">
        <v>3</v>
      </c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  <c r="AW786" s="36"/>
      <c r="AX786" s="36"/>
      <c r="AY786" s="953"/>
      <c r="AZ786" s="36"/>
      <c r="BA786" s="36"/>
      <c r="BB786" s="36"/>
      <c r="BC786" s="36"/>
      <c r="BD786" s="36"/>
      <c r="BF786">
        <f>ROWS($U$46:U786)</f>
        <v>741</v>
      </c>
      <c r="BG786" t="str">
        <f t="shared" si="215"/>
        <v/>
      </c>
    </row>
    <row r="787" spans="15:59" ht="15" customHeight="1" thickBot="1" x14ac:dyDescent="0.4">
      <c r="O787" s="331">
        <v>6</v>
      </c>
      <c r="P787" s="328">
        <v>418525</v>
      </c>
      <c r="Q787" s="328">
        <v>2</v>
      </c>
      <c r="R787" s="328"/>
      <c r="S787" s="554" t="s">
        <v>1200</v>
      </c>
      <c r="T787" s="328" t="s">
        <v>1376</v>
      </c>
      <c r="U787" s="328">
        <v>1109015</v>
      </c>
      <c r="V787" s="327" t="s">
        <v>92</v>
      </c>
      <c r="W787" s="328">
        <v>1</v>
      </c>
      <c r="X787" s="328">
        <v>1</v>
      </c>
      <c r="Y787" s="328">
        <v>1</v>
      </c>
      <c r="Z787" s="328">
        <v>1</v>
      </c>
      <c r="AA787" s="328">
        <v>6</v>
      </c>
      <c r="AB787" s="328">
        <v>2</v>
      </c>
      <c r="AC787" s="328"/>
      <c r="AD787" s="328"/>
      <c r="AE787" s="328"/>
      <c r="AF787" s="328"/>
      <c r="AG787" s="328"/>
      <c r="AH787" s="328"/>
      <c r="AI787" s="328"/>
      <c r="AJ787" s="328"/>
      <c r="AK787" s="328"/>
      <c r="AL787" s="328"/>
      <c r="AM787" s="328"/>
      <c r="AN787" s="328"/>
      <c r="AO787" s="328"/>
      <c r="AP787" s="328"/>
      <c r="AQ787" s="328"/>
      <c r="AR787" s="328"/>
      <c r="AS787" s="328"/>
      <c r="AT787" s="328"/>
      <c r="AU787" s="328"/>
      <c r="AV787" s="328"/>
      <c r="AW787" s="328"/>
      <c r="AX787" s="328"/>
      <c r="AY787" s="954"/>
      <c r="AZ787" s="36"/>
      <c r="BA787" s="36"/>
      <c r="BB787" s="36"/>
      <c r="BC787" s="36"/>
      <c r="BD787" s="36"/>
      <c r="BF787">
        <f>ROWS($U$46:U787)</f>
        <v>742</v>
      </c>
      <c r="BG787" t="str">
        <f t="shared" si="215"/>
        <v/>
      </c>
    </row>
    <row r="788" spans="15:59" ht="15" customHeight="1" x14ac:dyDescent="0.35">
      <c r="O788" s="329">
        <v>1</v>
      </c>
      <c r="P788" s="320">
        <v>1130221</v>
      </c>
      <c r="Q788" s="320">
        <v>43</v>
      </c>
      <c r="R788" s="320"/>
      <c r="S788" s="552" t="s">
        <v>1207</v>
      </c>
      <c r="T788" s="320" t="s">
        <v>1378</v>
      </c>
      <c r="U788" s="320">
        <v>1140887</v>
      </c>
      <c r="V788" s="319" t="s">
        <v>87</v>
      </c>
      <c r="W788" s="320">
        <v>1</v>
      </c>
      <c r="X788" s="320">
        <v>1</v>
      </c>
      <c r="Y788" s="320">
        <v>1</v>
      </c>
      <c r="Z788" s="320">
        <v>1</v>
      </c>
      <c r="AA788" s="320">
        <v>1</v>
      </c>
      <c r="AB788" s="320">
        <v>1</v>
      </c>
      <c r="AC788" s="320">
        <v>1</v>
      </c>
      <c r="AD788" s="320">
        <v>1</v>
      </c>
      <c r="AE788" s="320">
        <v>1</v>
      </c>
      <c r="AF788" s="320">
        <v>2</v>
      </c>
      <c r="AG788" s="320">
        <v>6</v>
      </c>
      <c r="AH788" s="320">
        <v>5</v>
      </c>
      <c r="AI788" s="320"/>
      <c r="AJ788" s="320">
        <v>4</v>
      </c>
      <c r="AK788" s="320">
        <v>3</v>
      </c>
      <c r="AL788" s="320">
        <v>3</v>
      </c>
      <c r="AM788" s="320">
        <v>3</v>
      </c>
      <c r="AN788" s="320"/>
      <c r="AO788" s="320"/>
      <c r="AP788" s="320"/>
      <c r="AQ788" s="320"/>
      <c r="AR788" s="320"/>
      <c r="AS788" s="320"/>
      <c r="AT788" s="320"/>
      <c r="AU788" s="320"/>
      <c r="AV788" s="320"/>
      <c r="AW788" s="320"/>
      <c r="AX788" s="320"/>
      <c r="AY788" s="952"/>
      <c r="AZ788" s="36"/>
      <c r="BA788" s="36"/>
      <c r="BB788" s="36"/>
      <c r="BC788" s="36"/>
      <c r="BD788" s="36"/>
      <c r="BF788">
        <f>ROWS($U$46:U788)</f>
        <v>743</v>
      </c>
      <c r="BG788" t="str">
        <f t="shared" si="215"/>
        <v/>
      </c>
    </row>
    <row r="789" spans="15:59" ht="15" customHeight="1" x14ac:dyDescent="0.35">
      <c r="O789" s="330">
        <v>2</v>
      </c>
      <c r="P789" s="36">
        <v>1130219</v>
      </c>
      <c r="Q789" s="36">
        <v>6</v>
      </c>
      <c r="R789" s="36"/>
      <c r="S789" s="553" t="s">
        <v>1207</v>
      </c>
      <c r="T789" s="36" t="s">
        <v>1378</v>
      </c>
      <c r="U789" s="36">
        <v>1140887</v>
      </c>
      <c r="V789" s="165" t="s">
        <v>88</v>
      </c>
      <c r="W789" s="36">
        <v>1</v>
      </c>
      <c r="X789" s="36">
        <v>1</v>
      </c>
      <c r="Y789" s="36">
        <v>1</v>
      </c>
      <c r="Z789" s="36">
        <v>1</v>
      </c>
      <c r="AA789" s="36">
        <v>1</v>
      </c>
      <c r="AB789" s="36">
        <v>1</v>
      </c>
      <c r="AC789" s="36">
        <v>2</v>
      </c>
      <c r="AD789" s="36">
        <v>6</v>
      </c>
      <c r="AE789" s="36">
        <v>5</v>
      </c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  <c r="AW789" s="36"/>
      <c r="AX789" s="36"/>
      <c r="AY789" s="953"/>
      <c r="AZ789" s="36"/>
      <c r="BA789" s="36"/>
      <c r="BB789" s="36"/>
      <c r="BC789" s="36"/>
      <c r="BD789" s="36"/>
      <c r="BF789">
        <f>ROWS($U$46:U789)</f>
        <v>744</v>
      </c>
      <c r="BG789" t="str">
        <f t="shared" si="215"/>
        <v/>
      </c>
    </row>
    <row r="790" spans="15:59" ht="15" customHeight="1" x14ac:dyDescent="0.35">
      <c r="O790" s="330">
        <v>3</v>
      </c>
      <c r="P790" s="36">
        <v>703670</v>
      </c>
      <c r="Q790" s="36">
        <v>9</v>
      </c>
      <c r="R790" s="36"/>
      <c r="S790" s="553" t="s">
        <v>1207</v>
      </c>
      <c r="T790" s="36" t="s">
        <v>1378</v>
      </c>
      <c r="U790" s="36">
        <v>1140887</v>
      </c>
      <c r="V790" s="165" t="s">
        <v>89</v>
      </c>
      <c r="W790" s="36">
        <v>1</v>
      </c>
      <c r="X790" s="36">
        <v>1</v>
      </c>
      <c r="Y790" s="36">
        <v>1</v>
      </c>
      <c r="Z790" s="36">
        <v>1</v>
      </c>
      <c r="AA790" s="36">
        <v>1</v>
      </c>
      <c r="AB790" s="36">
        <v>1</v>
      </c>
      <c r="AC790" s="36">
        <v>1</v>
      </c>
      <c r="AD790" s="36">
        <v>1</v>
      </c>
      <c r="AE790" s="36">
        <v>1</v>
      </c>
      <c r="AF790" s="36">
        <v>2</v>
      </c>
      <c r="AG790" s="36">
        <v>6</v>
      </c>
      <c r="AH790" s="36">
        <v>5</v>
      </c>
      <c r="AI790" s="36"/>
      <c r="AJ790" s="36">
        <v>4</v>
      </c>
      <c r="AK790" s="36">
        <v>3</v>
      </c>
      <c r="AL790" s="36">
        <v>3</v>
      </c>
      <c r="AM790" s="36">
        <v>3</v>
      </c>
      <c r="AN790" s="36"/>
      <c r="AO790" s="36"/>
      <c r="AP790" s="36"/>
      <c r="AQ790" s="36"/>
      <c r="AR790" s="36"/>
      <c r="AS790" s="36"/>
      <c r="AT790" s="36"/>
      <c r="AU790" s="36"/>
      <c r="AV790" s="36"/>
      <c r="AW790" s="36"/>
      <c r="AX790" s="36"/>
      <c r="AY790" s="953"/>
      <c r="AZ790" s="36"/>
      <c r="BA790" s="36"/>
      <c r="BB790" s="36"/>
      <c r="BC790" s="36"/>
      <c r="BD790" s="36"/>
      <c r="BF790">
        <f>ROWS($U$46:U790)</f>
        <v>745</v>
      </c>
      <c r="BG790" t="str">
        <f t="shared" si="215"/>
        <v/>
      </c>
    </row>
    <row r="791" spans="15:59" ht="15" customHeight="1" x14ac:dyDescent="0.35">
      <c r="O791" s="330">
        <v>4</v>
      </c>
      <c r="P791" s="36">
        <v>717749</v>
      </c>
      <c r="Q791" s="36">
        <v>3</v>
      </c>
      <c r="R791" s="36"/>
      <c r="S791" s="553" t="s">
        <v>1207</v>
      </c>
      <c r="T791" s="36" t="s">
        <v>1378</v>
      </c>
      <c r="U791" s="36">
        <v>1140887</v>
      </c>
      <c r="V791" s="165" t="s">
        <v>90</v>
      </c>
      <c r="W791" s="36">
        <v>1</v>
      </c>
      <c r="X791" s="36">
        <v>1</v>
      </c>
      <c r="Y791" s="36">
        <v>1</v>
      </c>
      <c r="Z791" s="36">
        <v>1</v>
      </c>
      <c r="AA791" s="36">
        <v>1</v>
      </c>
      <c r="AB791" s="36">
        <v>2</v>
      </c>
      <c r="AC791" s="36">
        <v>6</v>
      </c>
      <c r="AD791" s="36">
        <v>5</v>
      </c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  <c r="AW791" s="36"/>
      <c r="AX791" s="36"/>
      <c r="AY791" s="953"/>
      <c r="AZ791" s="36"/>
      <c r="BA791" s="36"/>
      <c r="BB791" s="36"/>
      <c r="BC791" s="36"/>
      <c r="BD791" s="36"/>
      <c r="BF791">
        <f>ROWS($U$46:U791)</f>
        <v>746</v>
      </c>
      <c r="BG791" t="str">
        <f t="shared" si="215"/>
        <v/>
      </c>
    </row>
    <row r="792" spans="15:59" ht="15" customHeight="1" x14ac:dyDescent="0.35">
      <c r="O792" s="330">
        <v>5</v>
      </c>
      <c r="P792" s="36">
        <v>871781</v>
      </c>
      <c r="Q792" s="36">
        <v>6</v>
      </c>
      <c r="R792" s="36"/>
      <c r="S792" s="553" t="s">
        <v>1207</v>
      </c>
      <c r="T792" s="36" t="s">
        <v>1378</v>
      </c>
      <c r="U792" s="36">
        <v>1140887</v>
      </c>
      <c r="V792" s="165" t="s">
        <v>91</v>
      </c>
      <c r="W792" s="36">
        <v>1</v>
      </c>
      <c r="X792" s="36">
        <v>1</v>
      </c>
      <c r="Y792" s="36">
        <v>1</v>
      </c>
      <c r="Z792" s="36">
        <v>1</v>
      </c>
      <c r="AA792" s="36">
        <v>1</v>
      </c>
      <c r="AB792" s="36">
        <v>1</v>
      </c>
      <c r="AC792" s="36">
        <v>1</v>
      </c>
      <c r="AD792" s="36">
        <v>1</v>
      </c>
      <c r="AE792" s="36">
        <v>1</v>
      </c>
      <c r="AF792" s="36">
        <v>2</v>
      </c>
      <c r="AG792" s="36">
        <v>6</v>
      </c>
      <c r="AH792" s="36">
        <v>5</v>
      </c>
      <c r="AI792" s="36"/>
      <c r="AJ792" s="36">
        <v>4</v>
      </c>
      <c r="AK792" s="36">
        <v>3</v>
      </c>
      <c r="AL792" s="36">
        <v>3</v>
      </c>
      <c r="AM792" s="36">
        <v>3</v>
      </c>
      <c r="AN792" s="36"/>
      <c r="AO792" s="36"/>
      <c r="AP792" s="36"/>
      <c r="AQ792" s="36"/>
      <c r="AR792" s="36"/>
      <c r="AS792" s="36"/>
      <c r="AT792" s="36"/>
      <c r="AU792" s="36"/>
      <c r="AV792" s="36"/>
      <c r="AW792" s="36"/>
      <c r="AX792" s="36"/>
      <c r="AY792" s="953"/>
      <c r="AZ792" s="36"/>
      <c r="BA792" s="36"/>
      <c r="BB792" s="36"/>
      <c r="BC792" s="36"/>
      <c r="BD792" s="36"/>
      <c r="BF792">
        <f>ROWS($U$46:U792)</f>
        <v>747</v>
      </c>
      <c r="BG792" t="str">
        <f t="shared" si="215"/>
        <v/>
      </c>
    </row>
    <row r="793" spans="15:59" ht="15" customHeight="1" thickBot="1" x14ac:dyDescent="0.4">
      <c r="O793" s="331">
        <v>6</v>
      </c>
      <c r="P793" s="328">
        <v>418525</v>
      </c>
      <c r="Q793" s="328">
        <v>6</v>
      </c>
      <c r="R793" s="328"/>
      <c r="S793" s="554" t="s">
        <v>1207</v>
      </c>
      <c r="T793" s="328" t="s">
        <v>1378</v>
      </c>
      <c r="U793" s="328">
        <v>1140887</v>
      </c>
      <c r="V793" s="327" t="s">
        <v>92</v>
      </c>
      <c r="W793" s="328">
        <v>1</v>
      </c>
      <c r="X793" s="328">
        <v>1</v>
      </c>
      <c r="Y793" s="328">
        <v>1</v>
      </c>
      <c r="Z793" s="328">
        <v>1</v>
      </c>
      <c r="AA793" s="328">
        <v>1</v>
      </c>
      <c r="AB793" s="328">
        <v>2</v>
      </c>
      <c r="AC793" s="328">
        <v>6</v>
      </c>
      <c r="AD793" s="328">
        <v>5</v>
      </c>
      <c r="AE793" s="328"/>
      <c r="AF793" s="328"/>
      <c r="AG793" s="328"/>
      <c r="AH793" s="328"/>
      <c r="AI793" s="328"/>
      <c r="AJ793" s="328"/>
      <c r="AK793" s="328"/>
      <c r="AL793" s="328"/>
      <c r="AM793" s="328"/>
      <c r="AN793" s="328"/>
      <c r="AO793" s="328"/>
      <c r="AP793" s="328"/>
      <c r="AQ793" s="328"/>
      <c r="AR793" s="328"/>
      <c r="AS793" s="328"/>
      <c r="AT793" s="328"/>
      <c r="AU793" s="328"/>
      <c r="AV793" s="328"/>
      <c r="AW793" s="328"/>
      <c r="AX793" s="328"/>
      <c r="AY793" s="954"/>
      <c r="AZ793" s="36"/>
      <c r="BA793" s="36"/>
      <c r="BB793" s="36"/>
      <c r="BC793" s="36"/>
      <c r="BD793" s="36"/>
      <c r="BF793">
        <f>ROWS($U$46:U793)</f>
        <v>748</v>
      </c>
      <c r="BG793" t="str">
        <f t="shared" si="215"/>
        <v/>
      </c>
    </row>
    <row r="794" spans="15:59" ht="15" customHeight="1" x14ac:dyDescent="0.35">
      <c r="O794" s="329">
        <v>1</v>
      </c>
      <c r="P794" s="320">
        <v>729434</v>
      </c>
      <c r="Q794" s="320">
        <v>20</v>
      </c>
      <c r="R794" s="320"/>
      <c r="S794" s="320" t="s">
        <v>1390</v>
      </c>
      <c r="T794" s="320" t="s">
        <v>1391</v>
      </c>
      <c r="U794" s="320">
        <v>695382</v>
      </c>
      <c r="V794" s="319" t="s">
        <v>87</v>
      </c>
      <c r="W794" s="320">
        <v>2</v>
      </c>
      <c r="X794" s="320">
        <v>1</v>
      </c>
      <c r="Y794" s="320">
        <v>1</v>
      </c>
      <c r="Z794" s="320">
        <v>2</v>
      </c>
      <c r="AA794" s="320"/>
      <c r="AB794" s="320"/>
      <c r="AC794" s="320"/>
      <c r="AD794" s="320"/>
      <c r="AE794" s="320"/>
      <c r="AF794" s="320"/>
      <c r="AG794" s="320"/>
      <c r="AH794" s="320"/>
      <c r="AI794" s="320"/>
      <c r="AJ794" s="320"/>
      <c r="AK794" s="320"/>
      <c r="AL794" s="320"/>
      <c r="AM794" s="320"/>
      <c r="AN794" s="320"/>
      <c r="AO794" s="320"/>
      <c r="AP794" s="320"/>
      <c r="AQ794" s="320"/>
      <c r="AR794" s="320"/>
      <c r="AS794" s="320"/>
      <c r="AT794" s="320"/>
      <c r="AU794" s="320"/>
      <c r="AV794" s="320"/>
      <c r="AW794" s="320"/>
      <c r="AX794" s="320"/>
      <c r="AY794" s="952"/>
      <c r="AZ794" s="36"/>
      <c r="BA794" s="36"/>
      <c r="BB794" s="36"/>
      <c r="BC794" s="36"/>
      <c r="BD794" s="36"/>
      <c r="BF794">
        <f>ROWS($U$46:U794)</f>
        <v>749</v>
      </c>
      <c r="BG794" t="str">
        <f t="shared" si="215"/>
        <v/>
      </c>
    </row>
    <row r="795" spans="15:59" ht="15" customHeight="1" x14ac:dyDescent="0.35">
      <c r="O795" s="330">
        <v>2</v>
      </c>
      <c r="P795" s="36">
        <v>717749</v>
      </c>
      <c r="Q795" s="36">
        <v>12</v>
      </c>
      <c r="R795" s="36"/>
      <c r="S795" s="36" t="s">
        <v>1390</v>
      </c>
      <c r="T795" s="36" t="s">
        <v>1391</v>
      </c>
      <c r="U795" s="36">
        <v>695382</v>
      </c>
      <c r="V795" s="165" t="s">
        <v>88</v>
      </c>
      <c r="W795" s="36">
        <v>1</v>
      </c>
      <c r="X795" s="36">
        <v>1</v>
      </c>
      <c r="Y795" s="36">
        <v>1</v>
      </c>
      <c r="Z795" s="36">
        <v>2</v>
      </c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  <c r="AW795" s="36"/>
      <c r="AX795" s="36"/>
      <c r="AY795" s="953"/>
      <c r="AZ795" s="36"/>
      <c r="BA795" s="36"/>
      <c r="BB795" s="36"/>
      <c r="BC795" s="36"/>
      <c r="BD795" s="36"/>
      <c r="BF795">
        <f>ROWS($U$46:U795)</f>
        <v>750</v>
      </c>
      <c r="BG795" t="str">
        <f t="shared" si="215"/>
        <v/>
      </c>
    </row>
    <row r="796" spans="15:59" ht="15" customHeight="1" x14ac:dyDescent="0.35">
      <c r="O796" s="330"/>
      <c r="P796" s="36"/>
      <c r="Q796" s="36"/>
      <c r="R796" s="36"/>
      <c r="S796" s="36" t="s">
        <v>1390</v>
      </c>
      <c r="T796" s="36" t="s">
        <v>1391</v>
      </c>
      <c r="U796" s="36">
        <v>695382</v>
      </c>
      <c r="V796" s="165" t="s">
        <v>89</v>
      </c>
      <c r="W796" s="36">
        <v>2</v>
      </c>
      <c r="X796" s="36">
        <v>1</v>
      </c>
      <c r="Y796" s="36">
        <v>1</v>
      </c>
      <c r="Z796" s="36">
        <v>2</v>
      </c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  <c r="AW796" s="36"/>
      <c r="AX796" s="36"/>
      <c r="AY796" s="953"/>
      <c r="AZ796" s="36"/>
      <c r="BA796" s="36"/>
      <c r="BB796" s="36"/>
      <c r="BC796" s="36"/>
      <c r="BD796" s="36"/>
      <c r="BF796">
        <f>ROWS($U$46:U796)</f>
        <v>751</v>
      </c>
      <c r="BG796" t="str">
        <f t="shared" si="215"/>
        <v/>
      </c>
    </row>
    <row r="797" spans="15:59" ht="15" customHeight="1" x14ac:dyDescent="0.35">
      <c r="O797" s="330"/>
      <c r="P797" s="36"/>
      <c r="Q797" s="36"/>
      <c r="R797" s="36"/>
      <c r="S797" s="36" t="s">
        <v>1390</v>
      </c>
      <c r="T797" s="36" t="s">
        <v>1391</v>
      </c>
      <c r="U797" s="36">
        <v>695382</v>
      </c>
      <c r="V797" s="165" t="s">
        <v>90</v>
      </c>
      <c r="W797" s="36">
        <v>1</v>
      </c>
      <c r="X797" s="36">
        <v>1</v>
      </c>
      <c r="Y797" s="36">
        <v>1</v>
      </c>
      <c r="Z797" s="36">
        <v>2</v>
      </c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  <c r="AX797" s="36"/>
      <c r="AY797" s="953"/>
      <c r="AZ797" s="36"/>
      <c r="BA797" s="36"/>
      <c r="BB797" s="36"/>
      <c r="BC797" s="36"/>
      <c r="BD797" s="36"/>
      <c r="BF797">
        <f>ROWS($U$46:U797)</f>
        <v>752</v>
      </c>
      <c r="BG797" t="str">
        <f t="shared" si="215"/>
        <v/>
      </c>
    </row>
    <row r="798" spans="15:59" ht="15" customHeight="1" x14ac:dyDescent="0.35">
      <c r="O798" s="330"/>
      <c r="P798" s="36"/>
      <c r="Q798" s="36"/>
      <c r="R798" s="36"/>
      <c r="S798" s="36" t="s">
        <v>1390</v>
      </c>
      <c r="T798" s="36" t="s">
        <v>1391</v>
      </c>
      <c r="U798" s="36">
        <v>695382</v>
      </c>
      <c r="V798" s="165" t="s">
        <v>91</v>
      </c>
      <c r="W798" s="36">
        <v>2</v>
      </c>
      <c r="X798" s="36">
        <v>1</v>
      </c>
      <c r="Y798" s="36">
        <v>1</v>
      </c>
      <c r="Z798" s="36">
        <v>2</v>
      </c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  <c r="AX798" s="36"/>
      <c r="AY798" s="953"/>
      <c r="AZ798" s="36"/>
      <c r="BA798" s="36"/>
      <c r="BB798" s="36"/>
      <c r="BC798" s="36"/>
      <c r="BD798" s="36"/>
      <c r="BF798">
        <f>ROWS($U$46:U798)</f>
        <v>753</v>
      </c>
      <c r="BG798" t="str">
        <f t="shared" si="215"/>
        <v/>
      </c>
    </row>
    <row r="799" spans="15:59" ht="15" customHeight="1" x14ac:dyDescent="0.35">
      <c r="O799" s="330"/>
      <c r="P799" s="36"/>
      <c r="Q799" s="36"/>
      <c r="R799" s="36"/>
      <c r="S799" s="36" t="s">
        <v>1390</v>
      </c>
      <c r="T799" s="36" t="s">
        <v>1391</v>
      </c>
      <c r="U799" s="36">
        <v>695382</v>
      </c>
      <c r="V799" s="165" t="s">
        <v>92</v>
      </c>
      <c r="W799" s="36">
        <v>1</v>
      </c>
      <c r="X799" s="36">
        <v>1</v>
      </c>
      <c r="Y799" s="36">
        <v>1</v>
      </c>
      <c r="Z799" s="36">
        <v>2</v>
      </c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  <c r="AW799" s="36"/>
      <c r="AX799" s="36"/>
      <c r="AY799" s="953"/>
      <c r="AZ799" s="36"/>
      <c r="BA799" s="36"/>
      <c r="BB799" s="36"/>
      <c r="BC799" s="36"/>
      <c r="BD799" s="36"/>
      <c r="BF799">
        <f>ROWS($U$46:U799)</f>
        <v>754</v>
      </c>
      <c r="BG799" t="str">
        <f t="shared" si="215"/>
        <v/>
      </c>
    </row>
    <row r="800" spans="15:59" ht="15" customHeight="1" x14ac:dyDescent="0.35">
      <c r="O800" s="330"/>
      <c r="P800" s="36"/>
      <c r="Q800" s="36"/>
      <c r="R800" s="36"/>
      <c r="S800" s="36" t="s">
        <v>1390</v>
      </c>
      <c r="T800" s="36" t="s">
        <v>1391</v>
      </c>
      <c r="U800" s="36">
        <v>695382</v>
      </c>
      <c r="V800" s="165" t="s">
        <v>111</v>
      </c>
      <c r="W800" s="36">
        <v>2</v>
      </c>
      <c r="X800" s="36">
        <v>1</v>
      </c>
      <c r="Y800" s="36">
        <v>1</v>
      </c>
      <c r="Z800" s="36">
        <v>2</v>
      </c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  <c r="AW800" s="36"/>
      <c r="AX800" s="36"/>
      <c r="AY800" s="953"/>
      <c r="AZ800" s="36"/>
      <c r="BA800" s="36"/>
      <c r="BB800" s="36"/>
      <c r="BC800" s="36"/>
      <c r="BD800" s="36"/>
      <c r="BF800">
        <f>ROWS($U$46:U800)</f>
        <v>755</v>
      </c>
      <c r="BG800" t="str">
        <f t="shared" si="215"/>
        <v/>
      </c>
    </row>
    <row r="801" spans="15:59" ht="15" customHeight="1" thickBot="1" x14ac:dyDescent="0.4">
      <c r="O801" s="331"/>
      <c r="P801" s="328"/>
      <c r="Q801" s="328"/>
      <c r="R801" s="328"/>
      <c r="S801" s="328" t="s">
        <v>1390</v>
      </c>
      <c r="T801" s="328" t="s">
        <v>1391</v>
      </c>
      <c r="U801" s="328">
        <v>695382</v>
      </c>
      <c r="V801" s="327" t="s">
        <v>112</v>
      </c>
      <c r="W801" s="328">
        <v>1</v>
      </c>
      <c r="X801" s="328">
        <v>1</v>
      </c>
      <c r="Y801" s="328">
        <v>1</v>
      </c>
      <c r="Z801" s="328">
        <v>2</v>
      </c>
      <c r="AA801" s="328"/>
      <c r="AB801" s="328"/>
      <c r="AC801" s="328"/>
      <c r="AD801" s="328"/>
      <c r="AE801" s="328"/>
      <c r="AF801" s="328"/>
      <c r="AG801" s="328"/>
      <c r="AH801" s="328"/>
      <c r="AI801" s="328"/>
      <c r="AJ801" s="328"/>
      <c r="AK801" s="328"/>
      <c r="AL801" s="328"/>
      <c r="AM801" s="328"/>
      <c r="AN801" s="328"/>
      <c r="AO801" s="328"/>
      <c r="AP801" s="328"/>
      <c r="AQ801" s="328"/>
      <c r="AR801" s="328"/>
      <c r="AS801" s="328"/>
      <c r="AT801" s="328"/>
      <c r="AU801" s="328"/>
      <c r="AV801" s="328"/>
      <c r="AW801" s="328"/>
      <c r="AX801" s="328"/>
      <c r="AY801" s="954"/>
      <c r="AZ801" s="36"/>
      <c r="BA801" s="36"/>
      <c r="BB801" s="36"/>
      <c r="BC801" s="36"/>
      <c r="BD801" s="36"/>
      <c r="BF801">
        <f>ROWS($U$46:U801)</f>
        <v>756</v>
      </c>
      <c r="BG801" t="str">
        <f t="shared" si="215"/>
        <v/>
      </c>
    </row>
    <row r="802" spans="15:59" ht="15" customHeight="1" x14ac:dyDescent="0.35">
      <c r="O802" s="329">
        <v>1</v>
      </c>
      <c r="P802" s="320">
        <v>745171</v>
      </c>
      <c r="Q802" s="320">
        <v>28</v>
      </c>
      <c r="R802" s="320"/>
      <c r="S802" s="320" t="s">
        <v>1393</v>
      </c>
      <c r="T802" s="320" t="s">
        <v>873</v>
      </c>
      <c r="U802" s="320">
        <v>1109629</v>
      </c>
      <c r="V802" s="319" t="s">
        <v>87</v>
      </c>
      <c r="W802" s="320">
        <v>1</v>
      </c>
      <c r="X802" s="320">
        <v>1</v>
      </c>
      <c r="Y802" s="320">
        <v>1</v>
      </c>
      <c r="Z802" s="320">
        <v>1</v>
      </c>
      <c r="AA802" s="320">
        <v>2</v>
      </c>
      <c r="AB802" s="320">
        <v>4</v>
      </c>
      <c r="AC802" s="320"/>
      <c r="AD802" s="320">
        <v>5</v>
      </c>
      <c r="AE802" s="320"/>
      <c r="AF802" s="320"/>
      <c r="AG802" s="320"/>
      <c r="AH802" s="320"/>
      <c r="AI802" s="320"/>
      <c r="AJ802" s="320"/>
      <c r="AK802" s="320"/>
      <c r="AL802" s="320"/>
      <c r="AM802" s="320"/>
      <c r="AN802" s="320"/>
      <c r="AO802" s="320"/>
      <c r="AP802" s="320"/>
      <c r="AQ802" s="320"/>
      <c r="AR802" s="320"/>
      <c r="AS802" s="320"/>
      <c r="AT802" s="320"/>
      <c r="AU802" s="320"/>
      <c r="AV802" s="320"/>
      <c r="AW802" s="320"/>
      <c r="AX802" s="320"/>
      <c r="AY802" s="952"/>
      <c r="AZ802" s="36"/>
      <c r="BA802" s="36"/>
      <c r="BB802" s="36"/>
      <c r="BC802" s="36"/>
      <c r="BD802" s="36"/>
      <c r="BF802">
        <f>ROWS($U$46:U802)</f>
        <v>757</v>
      </c>
      <c r="BG802" t="str">
        <f t="shared" si="215"/>
        <v/>
      </c>
    </row>
    <row r="803" spans="15:59" ht="15" customHeight="1" x14ac:dyDescent="0.35">
      <c r="O803" s="330">
        <v>2</v>
      </c>
      <c r="P803" s="36">
        <v>717749</v>
      </c>
      <c r="Q803" s="36">
        <v>8</v>
      </c>
      <c r="R803" s="36"/>
      <c r="S803" s="36" t="s">
        <v>1393</v>
      </c>
      <c r="T803" s="36" t="s">
        <v>873</v>
      </c>
      <c r="U803" s="36">
        <v>1109629</v>
      </c>
      <c r="V803" s="165" t="s">
        <v>88</v>
      </c>
      <c r="W803" s="36">
        <v>3</v>
      </c>
      <c r="X803" s="36">
        <v>1</v>
      </c>
      <c r="Y803" s="36">
        <v>1</v>
      </c>
      <c r="Z803" s="36">
        <v>1</v>
      </c>
      <c r="AA803" s="36">
        <v>2</v>
      </c>
      <c r="AB803" s="36">
        <v>4</v>
      </c>
      <c r="AC803" s="36"/>
      <c r="AD803" s="36">
        <v>5</v>
      </c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  <c r="AW803" s="36"/>
      <c r="AX803" s="36"/>
      <c r="AY803" s="953"/>
      <c r="AZ803" s="36"/>
      <c r="BA803" s="36"/>
      <c r="BB803" s="36"/>
      <c r="BC803" s="36"/>
      <c r="BD803" s="36"/>
      <c r="BF803">
        <f>ROWS($U$46:U803)</f>
        <v>758</v>
      </c>
      <c r="BG803" t="str">
        <f t="shared" si="215"/>
        <v/>
      </c>
    </row>
    <row r="804" spans="15:59" ht="15" customHeight="1" x14ac:dyDescent="0.35">
      <c r="O804" s="330">
        <v>3</v>
      </c>
      <c r="P804" s="36">
        <v>773383</v>
      </c>
      <c r="Q804" s="36">
        <v>4</v>
      </c>
      <c r="R804" s="36"/>
      <c r="S804" s="36" t="s">
        <v>1393</v>
      </c>
      <c r="T804" s="36" t="s">
        <v>873</v>
      </c>
      <c r="U804" s="36">
        <v>1109629</v>
      </c>
      <c r="V804" s="165" t="s">
        <v>89</v>
      </c>
      <c r="W804" s="36">
        <v>1</v>
      </c>
      <c r="X804" s="36">
        <v>1</v>
      </c>
      <c r="Y804" s="36">
        <v>1</v>
      </c>
      <c r="Z804" s="36">
        <v>1</v>
      </c>
      <c r="AA804" s="36">
        <v>2</v>
      </c>
      <c r="AB804" s="36">
        <v>4</v>
      </c>
      <c r="AC804" s="36"/>
      <c r="AD804" s="36">
        <v>5</v>
      </c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  <c r="AV804" s="36"/>
      <c r="AW804" s="36"/>
      <c r="AX804" s="36"/>
      <c r="AY804" s="953"/>
      <c r="AZ804" s="36"/>
      <c r="BA804" s="36"/>
      <c r="BB804" s="36"/>
      <c r="BC804" s="36"/>
      <c r="BD804" s="36"/>
      <c r="BF804">
        <f>ROWS($U$46:U804)</f>
        <v>759</v>
      </c>
      <c r="BG804" t="str">
        <f t="shared" si="215"/>
        <v/>
      </c>
    </row>
    <row r="805" spans="15:59" ht="15" customHeight="1" x14ac:dyDescent="0.35">
      <c r="O805" s="330">
        <v>4</v>
      </c>
      <c r="P805" s="36">
        <v>418525</v>
      </c>
      <c r="Q805" s="36">
        <v>8</v>
      </c>
      <c r="R805" s="36"/>
      <c r="S805" s="36" t="s">
        <v>1393</v>
      </c>
      <c r="T805" s="36" t="s">
        <v>873</v>
      </c>
      <c r="U805" s="36">
        <v>1109629</v>
      </c>
      <c r="V805" s="165" t="s">
        <v>90</v>
      </c>
      <c r="W805" s="36">
        <v>3</v>
      </c>
      <c r="X805" s="36">
        <v>1</v>
      </c>
      <c r="Y805" s="36">
        <v>1</v>
      </c>
      <c r="Z805" s="36">
        <v>1</v>
      </c>
      <c r="AA805" s="36">
        <v>2</v>
      </c>
      <c r="AB805" s="36">
        <v>4</v>
      </c>
      <c r="AC805" s="36"/>
      <c r="AD805" s="36">
        <v>5</v>
      </c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  <c r="AW805" s="36"/>
      <c r="AX805" s="36"/>
      <c r="AY805" s="953"/>
      <c r="AZ805" s="36"/>
      <c r="BA805" s="36"/>
      <c r="BB805" s="36"/>
      <c r="BC805" s="36"/>
      <c r="BD805" s="36"/>
      <c r="BF805">
        <f>ROWS($U$46:U805)</f>
        <v>760</v>
      </c>
      <c r="BG805" t="str">
        <f t="shared" si="215"/>
        <v/>
      </c>
    </row>
    <row r="806" spans="15:59" ht="15" customHeight="1" x14ac:dyDescent="0.35">
      <c r="O806" s="330">
        <v>5</v>
      </c>
      <c r="P806" s="36">
        <v>176086</v>
      </c>
      <c r="Q806" s="36">
        <v>8</v>
      </c>
      <c r="R806" s="36"/>
      <c r="S806" s="36" t="s">
        <v>1393</v>
      </c>
      <c r="T806" s="36" t="s">
        <v>873</v>
      </c>
      <c r="U806" s="36">
        <v>1109629</v>
      </c>
      <c r="V806" s="165" t="s">
        <v>91</v>
      </c>
      <c r="W806" s="36">
        <v>1</v>
      </c>
      <c r="X806" s="36">
        <v>1</v>
      </c>
      <c r="Y806" s="36">
        <v>1</v>
      </c>
      <c r="Z806" s="36">
        <v>1</v>
      </c>
      <c r="AA806" s="36">
        <v>2</v>
      </c>
      <c r="AB806" s="36">
        <v>4</v>
      </c>
      <c r="AC806" s="36"/>
      <c r="AD806" s="36">
        <v>5</v>
      </c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  <c r="AV806" s="36"/>
      <c r="AW806" s="36"/>
      <c r="AX806" s="36"/>
      <c r="AY806" s="953"/>
      <c r="AZ806" s="36"/>
      <c r="BA806" s="36"/>
      <c r="BB806" s="36"/>
      <c r="BC806" s="36"/>
      <c r="BD806" s="36"/>
      <c r="BF806">
        <f>ROWS($U$46:U806)</f>
        <v>761</v>
      </c>
      <c r="BG806" t="str">
        <f t="shared" si="215"/>
        <v/>
      </c>
    </row>
    <row r="807" spans="15:59" ht="15" customHeight="1" x14ac:dyDescent="0.35">
      <c r="O807" s="330"/>
      <c r="P807" s="36"/>
      <c r="Q807" s="36"/>
      <c r="R807" s="36"/>
      <c r="S807" s="36" t="s">
        <v>1393</v>
      </c>
      <c r="T807" s="36" t="s">
        <v>873</v>
      </c>
      <c r="U807" s="36">
        <v>1109629</v>
      </c>
      <c r="V807" s="165" t="s">
        <v>92</v>
      </c>
      <c r="W807" s="36">
        <v>3</v>
      </c>
      <c r="X807" s="36">
        <v>1</v>
      </c>
      <c r="Y807" s="36">
        <v>1</v>
      </c>
      <c r="Z807" s="36">
        <v>1</v>
      </c>
      <c r="AA807" s="36">
        <v>2</v>
      </c>
      <c r="AB807" s="36">
        <v>4</v>
      </c>
      <c r="AC807" s="36"/>
      <c r="AD807" s="36">
        <v>5</v>
      </c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  <c r="AW807" s="36"/>
      <c r="AX807" s="36"/>
      <c r="AY807" s="953"/>
      <c r="AZ807" s="36"/>
      <c r="BA807" s="36"/>
      <c r="BB807" s="36"/>
      <c r="BC807" s="36"/>
      <c r="BD807" s="36"/>
      <c r="BF807">
        <f>ROWS($U$46:U807)</f>
        <v>762</v>
      </c>
      <c r="BG807" t="str">
        <f t="shared" si="215"/>
        <v/>
      </c>
    </row>
    <row r="808" spans="15:59" ht="15" customHeight="1" x14ac:dyDescent="0.35">
      <c r="O808" s="330"/>
      <c r="P808" s="36"/>
      <c r="Q808" s="36"/>
      <c r="R808" s="36"/>
      <c r="S808" s="36" t="s">
        <v>1393</v>
      </c>
      <c r="T808" s="36" t="s">
        <v>873</v>
      </c>
      <c r="U808" s="36">
        <v>1109629</v>
      </c>
      <c r="V808" s="165" t="s">
        <v>111</v>
      </c>
      <c r="W808" s="36">
        <v>1</v>
      </c>
      <c r="X808" s="36">
        <v>1</v>
      </c>
      <c r="Y808" s="36">
        <v>1</v>
      </c>
      <c r="Z808" s="36">
        <v>1</v>
      </c>
      <c r="AA808" s="36">
        <v>2</v>
      </c>
      <c r="AB808" s="36">
        <v>4</v>
      </c>
      <c r="AC808" s="36"/>
      <c r="AD808" s="36">
        <v>5</v>
      </c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  <c r="AW808" s="36"/>
      <c r="AX808" s="36"/>
      <c r="AY808" s="953"/>
      <c r="AZ808" s="36"/>
      <c r="BA808" s="36"/>
      <c r="BB808" s="36"/>
      <c r="BC808" s="36"/>
      <c r="BD808" s="36"/>
      <c r="BF808">
        <f>ROWS($U$46:U808)</f>
        <v>763</v>
      </c>
      <c r="BG808" t="str">
        <f t="shared" si="215"/>
        <v/>
      </c>
    </row>
    <row r="809" spans="15:59" ht="15" customHeight="1" thickBot="1" x14ac:dyDescent="0.4">
      <c r="O809" s="331"/>
      <c r="P809" s="328"/>
      <c r="Q809" s="328"/>
      <c r="R809" s="328"/>
      <c r="S809" s="328" t="s">
        <v>1393</v>
      </c>
      <c r="T809" s="328" t="s">
        <v>873</v>
      </c>
      <c r="U809" s="328">
        <v>1109629</v>
      </c>
      <c r="V809" s="327" t="s">
        <v>112</v>
      </c>
      <c r="W809" s="328">
        <v>3</v>
      </c>
      <c r="X809" s="328">
        <v>1</v>
      </c>
      <c r="Y809" s="328">
        <v>1</v>
      </c>
      <c r="Z809" s="328">
        <v>1</v>
      </c>
      <c r="AA809" s="328">
        <v>2</v>
      </c>
      <c r="AB809" s="328">
        <v>4</v>
      </c>
      <c r="AC809" s="328"/>
      <c r="AD809" s="328">
        <v>5</v>
      </c>
      <c r="AE809" s="328"/>
      <c r="AF809" s="328"/>
      <c r="AG809" s="328"/>
      <c r="AH809" s="328"/>
      <c r="AI809" s="328"/>
      <c r="AJ809" s="328"/>
      <c r="AK809" s="328"/>
      <c r="AL809" s="328"/>
      <c r="AM809" s="328"/>
      <c r="AN809" s="328"/>
      <c r="AO809" s="328"/>
      <c r="AP809" s="328"/>
      <c r="AQ809" s="328"/>
      <c r="AR809" s="328"/>
      <c r="AS809" s="328"/>
      <c r="AT809" s="328"/>
      <c r="AU809" s="328"/>
      <c r="AV809" s="328"/>
      <c r="AW809" s="328"/>
      <c r="AX809" s="328"/>
      <c r="AY809" s="954"/>
      <c r="AZ809" s="36"/>
      <c r="BA809" s="36"/>
      <c r="BB809" s="36"/>
      <c r="BC809" s="36"/>
      <c r="BD809" s="36"/>
      <c r="BF809">
        <f>ROWS($U$46:U809)</f>
        <v>764</v>
      </c>
      <c r="BG809" t="str">
        <f t="shared" si="215"/>
        <v/>
      </c>
    </row>
    <row r="810" spans="15:59" ht="15" customHeight="1" x14ac:dyDescent="0.35">
      <c r="O810" s="329">
        <v>1</v>
      </c>
      <c r="P810" s="320">
        <v>717749</v>
      </c>
      <c r="Q810" s="320">
        <v>32</v>
      </c>
      <c r="R810" s="320"/>
      <c r="S810" s="320" t="s">
        <v>1390</v>
      </c>
      <c r="T810" s="320" t="s">
        <v>1391</v>
      </c>
      <c r="U810" s="320">
        <v>649706</v>
      </c>
      <c r="V810" s="319" t="s">
        <v>87</v>
      </c>
      <c r="W810" s="320">
        <v>1</v>
      </c>
      <c r="X810" s="320">
        <v>1</v>
      </c>
      <c r="Y810" s="320">
        <v>1</v>
      </c>
      <c r="Z810" s="320">
        <v>1</v>
      </c>
      <c r="AA810" s="320"/>
      <c r="AB810" s="320"/>
      <c r="AC810" s="320"/>
      <c r="AD810" s="320"/>
      <c r="AE810" s="320"/>
      <c r="AF810" s="320"/>
      <c r="AG810" s="320"/>
      <c r="AH810" s="320"/>
      <c r="AI810" s="320"/>
      <c r="AJ810" s="320"/>
      <c r="AK810" s="320"/>
      <c r="AL810" s="320"/>
      <c r="AM810" s="320"/>
      <c r="AN810" s="320"/>
      <c r="AO810" s="320"/>
      <c r="AP810" s="320"/>
      <c r="AQ810" s="320"/>
      <c r="AR810" s="320"/>
      <c r="AS810" s="320"/>
      <c r="AT810" s="320"/>
      <c r="AU810" s="320"/>
      <c r="AV810" s="320"/>
      <c r="AW810" s="320"/>
      <c r="AX810" s="320"/>
      <c r="AY810" s="952"/>
      <c r="AZ810" s="36"/>
      <c r="BA810" s="36"/>
      <c r="BB810" s="36"/>
      <c r="BC810" s="36"/>
      <c r="BD810" s="36"/>
      <c r="BF810">
        <f>ROWS($U$46:U810)</f>
        <v>765</v>
      </c>
      <c r="BG810" t="str">
        <f t="shared" si="215"/>
        <v/>
      </c>
    </row>
    <row r="811" spans="15:59" ht="15" customHeight="1" x14ac:dyDescent="0.35">
      <c r="O811" s="330"/>
      <c r="P811" s="36"/>
      <c r="Q811" s="36"/>
      <c r="R811" s="36"/>
      <c r="S811" s="36" t="s">
        <v>1390</v>
      </c>
      <c r="T811" s="36" t="s">
        <v>1391</v>
      </c>
      <c r="U811" s="36">
        <v>649706</v>
      </c>
      <c r="V811" s="165" t="s">
        <v>88</v>
      </c>
      <c r="W811" s="36">
        <v>1</v>
      </c>
      <c r="X811" s="36">
        <v>1</v>
      </c>
      <c r="Y811" s="36">
        <v>1</v>
      </c>
      <c r="Z811" s="36">
        <v>1</v>
      </c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  <c r="AW811" s="36"/>
      <c r="AX811" s="36"/>
      <c r="AY811" s="953"/>
      <c r="AZ811" s="36"/>
      <c r="BA811" s="36"/>
      <c r="BB811" s="36"/>
      <c r="BC811" s="36"/>
      <c r="BD811" s="36"/>
      <c r="BF811">
        <f>ROWS($U$46:U811)</f>
        <v>766</v>
      </c>
      <c r="BG811" t="str">
        <f t="shared" si="215"/>
        <v/>
      </c>
    </row>
    <row r="812" spans="15:59" ht="15" customHeight="1" x14ac:dyDescent="0.35">
      <c r="O812" s="330"/>
      <c r="P812" s="36"/>
      <c r="Q812" s="36"/>
      <c r="R812" s="36"/>
      <c r="S812" s="36" t="s">
        <v>1390</v>
      </c>
      <c r="T812" s="36" t="s">
        <v>1391</v>
      </c>
      <c r="U812" s="36">
        <v>649706</v>
      </c>
      <c r="V812" s="165" t="s">
        <v>89</v>
      </c>
      <c r="W812" s="36">
        <v>1</v>
      </c>
      <c r="X812" s="36">
        <v>1</v>
      </c>
      <c r="Y812" s="36">
        <v>1</v>
      </c>
      <c r="Z812" s="36">
        <v>1</v>
      </c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  <c r="AX812" s="36"/>
      <c r="AY812" s="953"/>
      <c r="AZ812" s="36"/>
      <c r="BA812" s="36"/>
      <c r="BB812" s="36"/>
      <c r="BC812" s="36"/>
      <c r="BD812" s="36"/>
      <c r="BF812">
        <f>ROWS($U$46:U812)</f>
        <v>767</v>
      </c>
      <c r="BG812" t="str">
        <f t="shared" si="215"/>
        <v/>
      </c>
    </row>
    <row r="813" spans="15:59" ht="15" customHeight="1" x14ac:dyDescent="0.35">
      <c r="O813" s="330"/>
      <c r="P813" s="36"/>
      <c r="Q813" s="36"/>
      <c r="R813" s="36"/>
      <c r="S813" s="36" t="s">
        <v>1390</v>
      </c>
      <c r="T813" s="36" t="s">
        <v>1391</v>
      </c>
      <c r="U813" s="36">
        <v>649706</v>
      </c>
      <c r="V813" s="165" t="s">
        <v>90</v>
      </c>
      <c r="W813" s="36">
        <v>1</v>
      </c>
      <c r="X813" s="36">
        <v>1</v>
      </c>
      <c r="Y813" s="36">
        <v>1</v>
      </c>
      <c r="Z813" s="36">
        <v>1</v>
      </c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  <c r="AW813" s="36"/>
      <c r="AX813" s="36"/>
      <c r="AY813" s="953"/>
      <c r="AZ813" s="36"/>
      <c r="BA813" s="36"/>
      <c r="BB813" s="36"/>
      <c r="BC813" s="36"/>
      <c r="BD813" s="36"/>
      <c r="BF813">
        <f>ROWS($U$46:U813)</f>
        <v>768</v>
      </c>
      <c r="BG813" t="str">
        <f t="shared" si="215"/>
        <v/>
      </c>
    </row>
    <row r="814" spans="15:59" ht="15" customHeight="1" x14ac:dyDescent="0.35">
      <c r="O814" s="330"/>
      <c r="P814" s="36"/>
      <c r="Q814" s="36"/>
      <c r="R814" s="36"/>
      <c r="S814" s="36" t="s">
        <v>1390</v>
      </c>
      <c r="T814" s="36" t="s">
        <v>1391</v>
      </c>
      <c r="U814" s="36">
        <v>649706</v>
      </c>
      <c r="V814" s="165" t="s">
        <v>91</v>
      </c>
      <c r="W814" s="36">
        <v>1</v>
      </c>
      <c r="X814" s="36">
        <v>1</v>
      </c>
      <c r="Y814" s="36">
        <v>1</v>
      </c>
      <c r="Z814" s="36">
        <v>1</v>
      </c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  <c r="AV814" s="36"/>
      <c r="AW814" s="36"/>
      <c r="AX814" s="36"/>
      <c r="AY814" s="953"/>
      <c r="AZ814" s="36"/>
      <c r="BA814" s="36"/>
      <c r="BB814" s="36"/>
      <c r="BC814" s="36"/>
      <c r="BD814" s="36"/>
      <c r="BF814">
        <f>ROWS($U$46:U814)</f>
        <v>769</v>
      </c>
      <c r="BG814" t="str">
        <f t="shared" si="215"/>
        <v/>
      </c>
    </row>
    <row r="815" spans="15:59" ht="15" customHeight="1" x14ac:dyDescent="0.35">
      <c r="O815" s="330"/>
      <c r="P815" s="36"/>
      <c r="Q815" s="36"/>
      <c r="R815" s="36"/>
      <c r="S815" s="36" t="s">
        <v>1390</v>
      </c>
      <c r="T815" s="36" t="s">
        <v>1391</v>
      </c>
      <c r="U815" s="36">
        <v>649706</v>
      </c>
      <c r="V815" s="165" t="s">
        <v>92</v>
      </c>
      <c r="W815" s="36">
        <v>1</v>
      </c>
      <c r="X815" s="36">
        <v>1</v>
      </c>
      <c r="Y815" s="36">
        <v>1</v>
      </c>
      <c r="Z815" s="36">
        <v>1</v>
      </c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  <c r="AW815" s="36"/>
      <c r="AX815" s="36"/>
      <c r="AY815" s="953"/>
      <c r="AZ815" s="36"/>
      <c r="BA815" s="36"/>
      <c r="BB815" s="36"/>
      <c r="BC815" s="36"/>
      <c r="BD815" s="36"/>
      <c r="BF815">
        <f>ROWS($U$46:U815)</f>
        <v>770</v>
      </c>
      <c r="BG815" t="str">
        <f t="shared" ref="BG815:BG878" si="216">IF(VALUE(SUBSTITUTE($B$5,"M",""))=U815,BF815,"")</f>
        <v/>
      </c>
    </row>
    <row r="816" spans="15:59" ht="15" customHeight="1" x14ac:dyDescent="0.35">
      <c r="O816" s="330"/>
      <c r="P816" s="36"/>
      <c r="Q816" s="36"/>
      <c r="R816" s="36"/>
      <c r="S816" s="36" t="s">
        <v>1390</v>
      </c>
      <c r="T816" s="36" t="s">
        <v>1391</v>
      </c>
      <c r="U816" s="36">
        <v>649706</v>
      </c>
      <c r="V816" s="165" t="s">
        <v>111</v>
      </c>
      <c r="W816" s="36">
        <v>1</v>
      </c>
      <c r="X816" s="36">
        <v>1</v>
      </c>
      <c r="Y816" s="36">
        <v>1</v>
      </c>
      <c r="Z816" s="36">
        <v>1</v>
      </c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  <c r="AW816" s="36"/>
      <c r="AX816" s="36"/>
      <c r="AY816" s="953"/>
      <c r="AZ816" s="36"/>
      <c r="BA816" s="36"/>
      <c r="BB816" s="36"/>
      <c r="BC816" s="36"/>
      <c r="BD816" s="36"/>
      <c r="BF816">
        <f>ROWS($U$46:U816)</f>
        <v>771</v>
      </c>
      <c r="BG816" t="str">
        <f t="shared" si="216"/>
        <v/>
      </c>
    </row>
    <row r="817" spans="10:59" ht="15" customHeight="1" thickBot="1" x14ac:dyDescent="0.4">
      <c r="O817" s="331"/>
      <c r="P817" s="328"/>
      <c r="Q817" s="328"/>
      <c r="R817" s="328"/>
      <c r="S817" s="328" t="s">
        <v>1390</v>
      </c>
      <c r="T817" s="328" t="s">
        <v>1391</v>
      </c>
      <c r="U817" s="328">
        <v>649706</v>
      </c>
      <c r="V817" s="327" t="s">
        <v>112</v>
      </c>
      <c r="W817" s="328">
        <v>1</v>
      </c>
      <c r="X817" s="328">
        <v>1</v>
      </c>
      <c r="Y817" s="328">
        <v>1</v>
      </c>
      <c r="Z817" s="328">
        <v>1</v>
      </c>
      <c r="AA817" s="328"/>
      <c r="AB817" s="328"/>
      <c r="AC817" s="328"/>
      <c r="AD817" s="328"/>
      <c r="AE817" s="328"/>
      <c r="AF817" s="328"/>
      <c r="AG817" s="328"/>
      <c r="AH817" s="328"/>
      <c r="AI817" s="328"/>
      <c r="AJ817" s="328"/>
      <c r="AK817" s="328"/>
      <c r="AL817" s="328"/>
      <c r="AM817" s="328"/>
      <c r="AN817" s="328"/>
      <c r="AO817" s="328"/>
      <c r="AP817" s="328"/>
      <c r="AQ817" s="328"/>
      <c r="AR817" s="328"/>
      <c r="AS817" s="328"/>
      <c r="AT817" s="328"/>
      <c r="AU817" s="328"/>
      <c r="AV817" s="328"/>
      <c r="AW817" s="328"/>
      <c r="AX817" s="328"/>
      <c r="AY817" s="954"/>
      <c r="AZ817" s="36"/>
      <c r="BA817" s="36"/>
      <c r="BB817" s="36"/>
      <c r="BC817" s="36"/>
      <c r="BD817" s="36"/>
      <c r="BF817">
        <f>ROWS($U$46:U817)</f>
        <v>772</v>
      </c>
      <c r="BG817" t="str">
        <f t="shared" si="216"/>
        <v/>
      </c>
    </row>
    <row r="818" spans="10:59" ht="15" customHeight="1" x14ac:dyDescent="0.35">
      <c r="O818" s="329">
        <v>1</v>
      </c>
      <c r="P818" s="320">
        <v>177790</v>
      </c>
      <c r="Q818" s="320">
        <v>3</v>
      </c>
      <c r="R818" s="320"/>
      <c r="S818" s="320" t="s">
        <v>1399</v>
      </c>
      <c r="T818" s="320" t="s">
        <v>1212</v>
      </c>
      <c r="U818" s="320">
        <v>376796</v>
      </c>
      <c r="V818" s="319" t="s">
        <v>87</v>
      </c>
      <c r="W818" s="320">
        <v>1</v>
      </c>
      <c r="X818" s="320">
        <v>2</v>
      </c>
      <c r="Y818" s="320">
        <v>2</v>
      </c>
      <c r="Z818" s="320">
        <v>2</v>
      </c>
      <c r="AA818" s="320">
        <v>2</v>
      </c>
      <c r="AB818" s="320"/>
      <c r="AC818" s="320"/>
      <c r="AD818" s="320"/>
      <c r="AE818" s="320"/>
      <c r="AF818" s="320"/>
      <c r="AG818" s="320"/>
      <c r="AH818" s="320"/>
      <c r="AI818" s="320"/>
      <c r="AJ818" s="320"/>
      <c r="AK818" s="320"/>
      <c r="AL818" s="320"/>
      <c r="AM818" s="320"/>
      <c r="AN818" s="320"/>
      <c r="AO818" s="320"/>
      <c r="AP818" s="320"/>
      <c r="AQ818" s="320"/>
      <c r="AR818" s="320"/>
      <c r="AS818" s="320"/>
      <c r="AT818" s="320"/>
      <c r="AU818" s="320"/>
      <c r="AV818" s="320"/>
      <c r="AW818" s="320"/>
      <c r="AX818" s="320"/>
      <c r="AY818" s="952"/>
      <c r="AZ818" s="36"/>
      <c r="BA818" s="36"/>
      <c r="BB818" s="36"/>
      <c r="BC818" s="36"/>
      <c r="BD818" s="36"/>
      <c r="BF818">
        <f>ROWS($U$46:U818)</f>
        <v>773</v>
      </c>
      <c r="BG818" t="str">
        <f t="shared" si="216"/>
        <v/>
      </c>
    </row>
    <row r="819" spans="10:59" ht="15" customHeight="1" x14ac:dyDescent="0.35">
      <c r="O819" s="330">
        <v>2</v>
      </c>
      <c r="P819" s="36">
        <v>361965</v>
      </c>
      <c r="Q819" s="36">
        <v>36</v>
      </c>
      <c r="R819" s="36"/>
      <c r="S819" s="36" t="s">
        <v>1399</v>
      </c>
      <c r="T819" s="36" t="s">
        <v>1212</v>
      </c>
      <c r="U819" s="36">
        <v>376796</v>
      </c>
      <c r="V819" s="165" t="s">
        <v>88</v>
      </c>
      <c r="W819" s="36">
        <v>2</v>
      </c>
      <c r="X819" s="36">
        <v>2</v>
      </c>
      <c r="Y819" s="36">
        <v>2</v>
      </c>
      <c r="Z819" s="36">
        <v>2</v>
      </c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  <c r="AW819" s="36"/>
      <c r="AX819" s="36"/>
      <c r="AY819" s="953"/>
      <c r="AZ819" s="36"/>
      <c r="BA819" s="36"/>
      <c r="BB819" s="36"/>
      <c r="BC819" s="36"/>
      <c r="BD819" s="36"/>
      <c r="BF819">
        <f>ROWS($U$46:U819)</f>
        <v>774</v>
      </c>
      <c r="BG819" t="str">
        <f t="shared" si="216"/>
        <v/>
      </c>
    </row>
    <row r="820" spans="10:59" ht="15" customHeight="1" x14ac:dyDescent="0.35">
      <c r="O820" s="330"/>
      <c r="P820" s="36"/>
      <c r="Q820" s="36"/>
      <c r="R820" s="36"/>
      <c r="S820" s="36" t="s">
        <v>1399</v>
      </c>
      <c r="T820" s="36" t="s">
        <v>1212</v>
      </c>
      <c r="U820" s="36">
        <v>376796</v>
      </c>
      <c r="V820" s="165" t="s">
        <v>89</v>
      </c>
      <c r="W820" s="36">
        <v>2</v>
      </c>
      <c r="X820" s="36">
        <v>2</v>
      </c>
      <c r="Y820" s="36">
        <v>2</v>
      </c>
      <c r="Z820" s="36">
        <v>2</v>
      </c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  <c r="AW820" s="36"/>
      <c r="AX820" s="36"/>
      <c r="AY820" s="953"/>
      <c r="AZ820" s="36"/>
      <c r="BA820" s="36"/>
      <c r="BB820" s="36"/>
      <c r="BC820" s="36"/>
      <c r="BD820" s="36"/>
      <c r="BF820">
        <f>ROWS($U$46:U820)</f>
        <v>775</v>
      </c>
      <c r="BG820" t="str">
        <f t="shared" si="216"/>
        <v/>
      </c>
    </row>
    <row r="821" spans="10:59" ht="15" customHeight="1" x14ac:dyDescent="0.35">
      <c r="O821" s="330"/>
      <c r="P821" s="36"/>
      <c r="Q821" s="36"/>
      <c r="R821" s="36"/>
      <c r="S821" s="36" t="s">
        <v>1399</v>
      </c>
      <c r="T821" s="36" t="s">
        <v>1212</v>
      </c>
      <c r="U821" s="36">
        <v>376796</v>
      </c>
      <c r="V821" s="165" t="s">
        <v>90</v>
      </c>
      <c r="W821" s="36">
        <v>1</v>
      </c>
      <c r="X821" s="36">
        <v>2</v>
      </c>
      <c r="Y821" s="36">
        <v>2</v>
      </c>
      <c r="Z821" s="36">
        <v>2</v>
      </c>
      <c r="AA821" s="36">
        <v>2</v>
      </c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  <c r="AX821" s="36"/>
      <c r="AY821" s="953"/>
      <c r="AZ821" s="36"/>
      <c r="BA821" s="36"/>
      <c r="BB821" s="36"/>
      <c r="BC821" s="36"/>
      <c r="BD821" s="36"/>
      <c r="BF821">
        <f>ROWS($U$46:U821)</f>
        <v>776</v>
      </c>
      <c r="BG821" t="str">
        <f t="shared" si="216"/>
        <v/>
      </c>
    </row>
    <row r="822" spans="10:59" ht="15" customHeight="1" x14ac:dyDescent="0.35">
      <c r="O822" s="330"/>
      <c r="P822" s="36"/>
      <c r="Q822" s="36"/>
      <c r="R822" s="36"/>
      <c r="S822" s="36" t="s">
        <v>1399</v>
      </c>
      <c r="T822" s="36" t="s">
        <v>1212</v>
      </c>
      <c r="U822" s="36">
        <v>376796</v>
      </c>
      <c r="V822" s="165" t="s">
        <v>91</v>
      </c>
      <c r="W822" s="36">
        <v>2</v>
      </c>
      <c r="X822" s="36">
        <v>2</v>
      </c>
      <c r="Y822" s="36">
        <v>2</v>
      </c>
      <c r="Z822" s="36">
        <v>2</v>
      </c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  <c r="AW822" s="36"/>
      <c r="AX822" s="36"/>
      <c r="AY822" s="953"/>
      <c r="AZ822" s="36"/>
      <c r="BA822" s="36"/>
      <c r="BB822" s="36"/>
      <c r="BC822" s="36"/>
      <c r="BD822" s="36"/>
      <c r="BF822">
        <f>ROWS($U$46:U822)</f>
        <v>777</v>
      </c>
      <c r="BG822" t="str">
        <f t="shared" si="216"/>
        <v/>
      </c>
    </row>
    <row r="823" spans="10:59" ht="15" customHeight="1" x14ac:dyDescent="0.35">
      <c r="O823" s="330"/>
      <c r="P823" s="36"/>
      <c r="Q823" s="36"/>
      <c r="R823" s="36"/>
      <c r="S823" s="36" t="s">
        <v>1399</v>
      </c>
      <c r="T823" s="36" t="s">
        <v>1212</v>
      </c>
      <c r="U823" s="36">
        <v>376796</v>
      </c>
      <c r="V823" s="165" t="s">
        <v>92</v>
      </c>
      <c r="W823" s="36">
        <v>2</v>
      </c>
      <c r="X823" s="36">
        <v>2</v>
      </c>
      <c r="Y823" s="36">
        <v>2</v>
      </c>
      <c r="Z823" s="36">
        <v>2</v>
      </c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  <c r="AW823" s="36"/>
      <c r="AX823" s="36"/>
      <c r="AY823" s="953"/>
      <c r="AZ823" s="36"/>
      <c r="BA823" s="36"/>
      <c r="BB823" s="36"/>
      <c r="BC823" s="36"/>
      <c r="BD823" s="36"/>
      <c r="BF823">
        <f>ROWS($U$46:U823)</f>
        <v>778</v>
      </c>
      <c r="BG823" t="str">
        <f t="shared" si="216"/>
        <v/>
      </c>
    </row>
    <row r="824" spans="10:59" ht="15" customHeight="1" x14ac:dyDescent="0.35">
      <c r="O824" s="330"/>
      <c r="P824" s="36"/>
      <c r="Q824" s="36"/>
      <c r="R824" s="36"/>
      <c r="S824" s="36" t="s">
        <v>1399</v>
      </c>
      <c r="T824" s="36" t="s">
        <v>1212</v>
      </c>
      <c r="U824" s="36">
        <v>376796</v>
      </c>
      <c r="V824" s="165" t="s">
        <v>111</v>
      </c>
      <c r="W824" s="36">
        <v>1</v>
      </c>
      <c r="X824" s="36">
        <v>2</v>
      </c>
      <c r="Y824" s="36">
        <v>2</v>
      </c>
      <c r="Z824" s="36">
        <v>2</v>
      </c>
      <c r="AA824" s="36">
        <v>2</v>
      </c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  <c r="AV824" s="36"/>
      <c r="AW824" s="36"/>
      <c r="AX824" s="36"/>
      <c r="AY824" s="953"/>
      <c r="AZ824" s="36"/>
      <c r="BA824" s="36"/>
      <c r="BB824" s="36"/>
      <c r="BC824" s="36"/>
      <c r="BD824" s="36"/>
      <c r="BF824">
        <f>ROWS($U$46:U824)</f>
        <v>779</v>
      </c>
      <c r="BG824" t="str">
        <f t="shared" si="216"/>
        <v/>
      </c>
    </row>
    <row r="825" spans="10:59" ht="15" customHeight="1" x14ac:dyDescent="0.35">
      <c r="O825" s="330"/>
      <c r="P825" s="36"/>
      <c r="Q825" s="36"/>
      <c r="R825" s="36"/>
      <c r="S825" s="36" t="s">
        <v>1399</v>
      </c>
      <c r="T825" s="36" t="s">
        <v>1212</v>
      </c>
      <c r="U825" s="36">
        <v>376796</v>
      </c>
      <c r="V825" s="165" t="s">
        <v>112</v>
      </c>
      <c r="W825" s="36">
        <v>2</v>
      </c>
      <c r="X825" s="36">
        <v>2</v>
      </c>
      <c r="Y825" s="36">
        <v>2</v>
      </c>
      <c r="Z825" s="36">
        <v>2</v>
      </c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  <c r="AV825" s="36"/>
      <c r="AW825" s="36"/>
      <c r="AX825" s="36"/>
      <c r="AY825" s="953"/>
      <c r="AZ825" s="36"/>
      <c r="BA825" s="36"/>
      <c r="BB825" s="36"/>
      <c r="BC825" s="36"/>
      <c r="BD825" s="36"/>
      <c r="BF825">
        <f>ROWS($U$46:U825)</f>
        <v>780</v>
      </c>
      <c r="BG825" t="str">
        <f t="shared" si="216"/>
        <v/>
      </c>
    </row>
    <row r="826" spans="10:59" ht="15" customHeight="1" thickBot="1" x14ac:dyDescent="0.4">
      <c r="O826" s="331"/>
      <c r="P826" s="328"/>
      <c r="Q826" s="328"/>
      <c r="R826" s="328"/>
      <c r="S826" s="328" t="s">
        <v>1399</v>
      </c>
      <c r="T826" s="328" t="s">
        <v>1212</v>
      </c>
      <c r="U826" s="328">
        <v>376796</v>
      </c>
      <c r="V826" s="327" t="s">
        <v>113</v>
      </c>
      <c r="W826" s="328">
        <v>2</v>
      </c>
      <c r="X826" s="328">
        <v>2</v>
      </c>
      <c r="Y826" s="328">
        <v>2</v>
      </c>
      <c r="Z826" s="328">
        <v>2</v>
      </c>
      <c r="AA826" s="328"/>
      <c r="AB826" s="328"/>
      <c r="AC826" s="328"/>
      <c r="AD826" s="328"/>
      <c r="AE826" s="328"/>
      <c r="AF826" s="328"/>
      <c r="AG826" s="328"/>
      <c r="AH826" s="328"/>
      <c r="AI826" s="328"/>
      <c r="AJ826" s="328"/>
      <c r="AK826" s="328"/>
      <c r="AL826" s="328"/>
      <c r="AM826" s="328"/>
      <c r="AN826" s="328"/>
      <c r="AO826" s="328"/>
      <c r="AP826" s="328"/>
      <c r="AQ826" s="328"/>
      <c r="AR826" s="328"/>
      <c r="AS826" s="328"/>
      <c r="AT826" s="328"/>
      <c r="AU826" s="328"/>
      <c r="AV826" s="328"/>
      <c r="AW826" s="328"/>
      <c r="AX826" s="328"/>
      <c r="AY826" s="954"/>
      <c r="AZ826" s="36"/>
      <c r="BA826" s="36"/>
      <c r="BB826" s="36"/>
      <c r="BC826" s="36"/>
      <c r="BD826" s="36"/>
      <c r="BF826">
        <f>ROWS($U$46:U826)</f>
        <v>781</v>
      </c>
      <c r="BG826" t="str">
        <f t="shared" si="216"/>
        <v/>
      </c>
    </row>
    <row r="827" spans="10:59" ht="15" customHeight="1" x14ac:dyDescent="0.35">
      <c r="O827" s="329">
        <v>1</v>
      </c>
      <c r="P827" s="320">
        <v>971093</v>
      </c>
      <c r="Q827" s="320">
        <v>8</v>
      </c>
      <c r="R827" s="320"/>
      <c r="S827" s="320" t="s">
        <v>1207</v>
      </c>
      <c r="T827" s="320" t="s">
        <v>1413</v>
      </c>
      <c r="U827" s="320">
        <v>1059146</v>
      </c>
      <c r="V827" s="319" t="s">
        <v>87</v>
      </c>
      <c r="W827" s="320">
        <v>1</v>
      </c>
      <c r="X827" s="320">
        <v>1</v>
      </c>
      <c r="Y827" s="320">
        <v>1</v>
      </c>
      <c r="Z827" s="320">
        <v>2</v>
      </c>
      <c r="AA827" s="320">
        <v>2</v>
      </c>
      <c r="AB827" s="320">
        <v>2</v>
      </c>
      <c r="AC827" s="320">
        <v>2</v>
      </c>
      <c r="AD827" s="320">
        <v>2</v>
      </c>
      <c r="AE827" s="320">
        <v>2</v>
      </c>
      <c r="AF827" s="320">
        <v>2</v>
      </c>
      <c r="AG827" s="320">
        <v>3</v>
      </c>
      <c r="AH827" s="320">
        <v>4</v>
      </c>
      <c r="AI827" s="320"/>
      <c r="AJ827" s="320">
        <v>5</v>
      </c>
      <c r="AK827" s="320"/>
      <c r="AL827" s="320"/>
      <c r="AM827" s="320"/>
      <c r="AN827" s="320"/>
      <c r="AO827" s="320"/>
      <c r="AP827" s="320"/>
      <c r="AQ827" s="320"/>
      <c r="AR827" s="320"/>
      <c r="AS827" s="320"/>
      <c r="AT827" s="320"/>
      <c r="AU827" s="320"/>
      <c r="AV827" s="320"/>
      <c r="AW827" s="320"/>
      <c r="AX827" s="320"/>
      <c r="AY827" s="952"/>
      <c r="AZ827" s="36"/>
      <c r="BA827" s="36"/>
      <c r="BB827" s="36"/>
      <c r="BC827" s="36"/>
      <c r="BD827" s="36"/>
      <c r="BF827">
        <f>ROWS($U$46:U827)</f>
        <v>782</v>
      </c>
      <c r="BG827" t="str">
        <f t="shared" si="216"/>
        <v/>
      </c>
    </row>
    <row r="828" spans="10:59" ht="15" customHeight="1" x14ac:dyDescent="0.35">
      <c r="J828">
        <v>0</v>
      </c>
      <c r="O828" s="330">
        <v>2</v>
      </c>
      <c r="P828" s="36">
        <v>983150</v>
      </c>
      <c r="Q828" s="36">
        <v>30</v>
      </c>
      <c r="R828" s="36"/>
      <c r="S828" s="36" t="s">
        <v>1207</v>
      </c>
      <c r="T828" s="36" t="s">
        <v>1413</v>
      </c>
      <c r="U828" s="36">
        <v>1059146</v>
      </c>
      <c r="V828" s="165" t="s">
        <v>88</v>
      </c>
      <c r="W828" s="36">
        <v>2</v>
      </c>
      <c r="X828" s="36">
        <v>2</v>
      </c>
      <c r="Y828" s="36">
        <v>2</v>
      </c>
      <c r="Z828" s="36">
        <v>2</v>
      </c>
      <c r="AA828" s="36">
        <v>2</v>
      </c>
      <c r="AB828" s="36">
        <v>2</v>
      </c>
      <c r="AC828" s="36">
        <v>3</v>
      </c>
      <c r="AD828" s="36">
        <v>4</v>
      </c>
      <c r="AE828" s="36"/>
      <c r="AF828" s="36"/>
      <c r="AG828" s="36"/>
      <c r="AH828" s="36"/>
      <c r="AI828" s="36"/>
      <c r="AJ828" s="36">
        <v>5</v>
      </c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/>
      <c r="AW828" s="36"/>
      <c r="AX828" s="36"/>
      <c r="AY828" s="953"/>
      <c r="AZ828" s="36"/>
      <c r="BA828" s="36"/>
      <c r="BB828" s="36"/>
      <c r="BC828" s="36"/>
      <c r="BD828" s="36"/>
      <c r="BF828">
        <f>ROWS($U$46:U828)</f>
        <v>783</v>
      </c>
      <c r="BG828" t="str">
        <f t="shared" si="216"/>
        <v/>
      </c>
    </row>
    <row r="829" spans="10:59" ht="15" customHeight="1" x14ac:dyDescent="0.35">
      <c r="O829" s="330">
        <v>3</v>
      </c>
      <c r="P829" s="36">
        <v>647436</v>
      </c>
      <c r="Q829" s="36">
        <v>6</v>
      </c>
      <c r="R829" s="36"/>
      <c r="S829" s="36" t="s">
        <v>1207</v>
      </c>
      <c r="T829" s="36" t="s">
        <v>1413</v>
      </c>
      <c r="U829" s="36">
        <v>1059146</v>
      </c>
      <c r="V829" s="165" t="s">
        <v>89</v>
      </c>
      <c r="W829" s="36">
        <v>1</v>
      </c>
      <c r="X829" s="36">
        <v>2</v>
      </c>
      <c r="Y829" s="36">
        <v>2</v>
      </c>
      <c r="Z829" s="36">
        <v>2</v>
      </c>
      <c r="AA829" s="36">
        <v>2</v>
      </c>
      <c r="AB829" s="36">
        <v>2</v>
      </c>
      <c r="AC829" s="36">
        <v>2</v>
      </c>
      <c r="AD829" s="36">
        <v>3</v>
      </c>
      <c r="AE829" s="36">
        <v>4</v>
      </c>
      <c r="AF829" s="36"/>
      <c r="AG829" s="36"/>
      <c r="AH829" s="36"/>
      <c r="AI829" s="36"/>
      <c r="AJ829" s="36">
        <v>5</v>
      </c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/>
      <c r="AW829" s="36"/>
      <c r="AX829" s="36"/>
      <c r="AY829" s="953"/>
      <c r="AZ829" s="36"/>
      <c r="BA829" s="36"/>
      <c r="BB829" s="36"/>
      <c r="BC829" s="36"/>
      <c r="BD829" s="36"/>
      <c r="BF829">
        <f>ROWS($U$46:U829)</f>
        <v>784</v>
      </c>
      <c r="BG829" t="str">
        <f t="shared" si="216"/>
        <v/>
      </c>
    </row>
    <row r="830" spans="10:59" ht="15" customHeight="1" x14ac:dyDescent="0.35">
      <c r="O830" s="330">
        <v>4</v>
      </c>
      <c r="P830" s="36">
        <v>871781</v>
      </c>
      <c r="Q830" s="36">
        <v>5</v>
      </c>
      <c r="R830" s="36"/>
      <c r="S830" s="36" t="s">
        <v>1207</v>
      </c>
      <c r="T830" s="36" t="s">
        <v>1413</v>
      </c>
      <c r="U830" s="36">
        <v>1059146</v>
      </c>
      <c r="V830" s="165" t="s">
        <v>90</v>
      </c>
      <c r="W830" s="36">
        <v>1</v>
      </c>
      <c r="X830" s="36">
        <v>1</v>
      </c>
      <c r="Y830" s="36">
        <v>1</v>
      </c>
      <c r="Z830" s="36">
        <v>1</v>
      </c>
      <c r="AA830" s="36">
        <v>2</v>
      </c>
      <c r="AB830" s="36">
        <v>2</v>
      </c>
      <c r="AC830" s="36">
        <v>2</v>
      </c>
      <c r="AD830" s="36">
        <v>2</v>
      </c>
      <c r="AE830" s="36">
        <v>2</v>
      </c>
      <c r="AF830" s="36">
        <v>3</v>
      </c>
      <c r="AG830" s="36">
        <v>3</v>
      </c>
      <c r="AH830" s="36">
        <v>4</v>
      </c>
      <c r="AI830" s="36"/>
      <c r="AJ830" s="36">
        <v>5</v>
      </c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  <c r="AW830" s="36"/>
      <c r="AX830" s="36"/>
      <c r="AY830" s="953"/>
      <c r="AZ830" s="36"/>
      <c r="BA830" s="36"/>
      <c r="BB830" s="36"/>
      <c r="BC830" s="36"/>
      <c r="BD830" s="36"/>
      <c r="BF830">
        <f>ROWS($U$46:U830)</f>
        <v>785</v>
      </c>
      <c r="BG830" t="str">
        <f t="shared" si="216"/>
        <v/>
      </c>
    </row>
    <row r="831" spans="10:59" ht="15" customHeight="1" thickBot="1" x14ac:dyDescent="0.4">
      <c r="O831" s="331">
        <v>5</v>
      </c>
      <c r="P831" s="328">
        <v>649901</v>
      </c>
      <c r="Q831" s="328">
        <v>5</v>
      </c>
      <c r="R831" s="328"/>
      <c r="S831" s="328" t="s">
        <v>1207</v>
      </c>
      <c r="T831" s="328" t="s">
        <v>1413</v>
      </c>
      <c r="U831" s="328">
        <v>1059146</v>
      </c>
      <c r="V831" s="327" t="s">
        <v>91</v>
      </c>
      <c r="W831" s="328">
        <v>2</v>
      </c>
      <c r="X831" s="328">
        <v>2</v>
      </c>
      <c r="Y831" s="328">
        <v>2</v>
      </c>
      <c r="Z831" s="328">
        <v>2</v>
      </c>
      <c r="AA831" s="328">
        <v>2</v>
      </c>
      <c r="AB831" s="328">
        <v>2</v>
      </c>
      <c r="AC831" s="328">
        <v>3</v>
      </c>
      <c r="AD831" s="328">
        <v>4</v>
      </c>
      <c r="AE831" s="328"/>
      <c r="AF831" s="328"/>
      <c r="AG831" s="328"/>
      <c r="AH831" s="328"/>
      <c r="AI831" s="328"/>
      <c r="AJ831" s="328">
        <v>5</v>
      </c>
      <c r="AK831" s="328"/>
      <c r="AL831" s="328"/>
      <c r="AM831" s="328"/>
      <c r="AN831" s="328"/>
      <c r="AO831" s="328"/>
      <c r="AP831" s="328"/>
      <c r="AQ831" s="328"/>
      <c r="AR831" s="328"/>
      <c r="AS831" s="328"/>
      <c r="AT831" s="328"/>
      <c r="AU831" s="328"/>
      <c r="AV831" s="328"/>
      <c r="AW831" s="328"/>
      <c r="AX831" s="328"/>
      <c r="AY831" s="954"/>
      <c r="AZ831" s="36"/>
      <c r="BA831" s="36"/>
      <c r="BB831" s="36"/>
      <c r="BC831" s="36"/>
      <c r="BD831" s="36"/>
      <c r="BF831">
        <f>ROWS($U$46:U831)</f>
        <v>786</v>
      </c>
      <c r="BG831" t="str">
        <f t="shared" si="216"/>
        <v/>
      </c>
    </row>
    <row r="832" spans="10:59" ht="15" customHeight="1" x14ac:dyDescent="0.35">
      <c r="N832">
        <f>O832*Q832</f>
        <v>44</v>
      </c>
      <c r="O832" s="329">
        <v>1</v>
      </c>
      <c r="P832" s="320">
        <v>1100741</v>
      </c>
      <c r="Q832" s="320">
        <v>44</v>
      </c>
      <c r="R832" s="320"/>
      <c r="S832" s="552">
        <v>12</v>
      </c>
      <c r="T832" s="320" t="s">
        <v>1416</v>
      </c>
      <c r="U832" s="320">
        <v>1140761</v>
      </c>
      <c r="V832" s="319" t="s">
        <v>87</v>
      </c>
      <c r="W832" s="320">
        <v>1</v>
      </c>
      <c r="X832" s="320">
        <v>1</v>
      </c>
      <c r="Y832" s="320">
        <v>1</v>
      </c>
      <c r="Z832" s="320">
        <v>1</v>
      </c>
      <c r="AA832" s="320">
        <v>1</v>
      </c>
      <c r="AB832" s="320">
        <v>1</v>
      </c>
      <c r="AC832" s="320">
        <v>1</v>
      </c>
      <c r="AD832" s="320">
        <v>1</v>
      </c>
      <c r="AE832" s="320">
        <v>1</v>
      </c>
      <c r="AF832" s="320">
        <v>2</v>
      </c>
      <c r="AG832" s="320">
        <v>4</v>
      </c>
      <c r="AH832" s="320"/>
      <c r="AI832" s="320">
        <v>2</v>
      </c>
      <c r="AJ832" s="320">
        <v>2</v>
      </c>
      <c r="AK832" s="320">
        <v>2</v>
      </c>
      <c r="AL832" s="320">
        <v>3</v>
      </c>
      <c r="AM832" s="320">
        <v>3</v>
      </c>
      <c r="AN832" s="320"/>
      <c r="AO832" s="320"/>
      <c r="AP832" s="320"/>
      <c r="AQ832" s="320"/>
      <c r="AR832" s="320"/>
      <c r="AS832" s="320"/>
      <c r="AT832" s="320"/>
      <c r="AU832" s="320"/>
      <c r="AV832" s="320"/>
      <c r="AW832" s="320"/>
      <c r="AX832" s="320"/>
      <c r="AY832" s="952"/>
      <c r="AZ832" s="36"/>
      <c r="BA832" s="36"/>
      <c r="BB832" s="36"/>
      <c r="BC832" s="36"/>
      <c r="BD832" s="36"/>
      <c r="BF832">
        <f>ROWS($U$46:U832)</f>
        <v>787</v>
      </c>
      <c r="BG832" t="str">
        <f t="shared" si="216"/>
        <v/>
      </c>
    </row>
    <row r="833" spans="14:59" ht="15" customHeight="1" x14ac:dyDescent="0.35">
      <c r="N833">
        <f>O833*Q833</f>
        <v>50</v>
      </c>
      <c r="O833" s="330">
        <v>2</v>
      </c>
      <c r="P833" s="36">
        <v>1123317</v>
      </c>
      <c r="Q833" s="36">
        <v>25</v>
      </c>
      <c r="R833" s="36"/>
      <c r="S833" s="553">
        <v>12</v>
      </c>
      <c r="T833" s="36" t="s">
        <v>1416</v>
      </c>
      <c r="U833" s="36">
        <v>1140761</v>
      </c>
      <c r="V833" s="165" t="s">
        <v>88</v>
      </c>
      <c r="W833" s="36">
        <v>1</v>
      </c>
      <c r="X833" s="36">
        <v>1</v>
      </c>
      <c r="Y833" s="36">
        <v>1</v>
      </c>
      <c r="Z833" s="36">
        <v>1</v>
      </c>
      <c r="AA833" s="36">
        <v>1</v>
      </c>
      <c r="AB833" s="36">
        <v>1</v>
      </c>
      <c r="AC833" s="36">
        <v>2</v>
      </c>
      <c r="AD833" s="36">
        <v>5</v>
      </c>
      <c r="AE833" s="36"/>
      <c r="AF833" s="36"/>
      <c r="AG833" s="36"/>
      <c r="AH833" s="36"/>
      <c r="AI833" s="36">
        <v>2</v>
      </c>
      <c r="AJ833" s="36">
        <v>2</v>
      </c>
      <c r="AK833" s="36">
        <v>2</v>
      </c>
      <c r="AL833" s="36">
        <v>2</v>
      </c>
      <c r="AM833" s="36">
        <v>3</v>
      </c>
      <c r="AN833" s="36">
        <v>3</v>
      </c>
      <c r="AO833" s="36"/>
      <c r="AP833" s="36"/>
      <c r="AQ833" s="36"/>
      <c r="AR833" s="36"/>
      <c r="AS833" s="36"/>
      <c r="AT833" s="36"/>
      <c r="AU833" s="36"/>
      <c r="AV833" s="36"/>
      <c r="AW833" s="36"/>
      <c r="AX833" s="36"/>
      <c r="AY833" s="953"/>
      <c r="AZ833" s="36"/>
      <c r="BA833" s="36"/>
      <c r="BB833" s="36"/>
      <c r="BC833" s="36"/>
      <c r="BD833" s="36"/>
      <c r="BF833">
        <f>ROWS($U$46:U833)</f>
        <v>788</v>
      </c>
      <c r="BG833" t="str">
        <f t="shared" si="216"/>
        <v/>
      </c>
    </row>
    <row r="834" spans="14:59" ht="15" customHeight="1" x14ac:dyDescent="0.35">
      <c r="N834">
        <f>O834*Q834</f>
        <v>36</v>
      </c>
      <c r="O834" s="330">
        <v>3</v>
      </c>
      <c r="P834" s="36">
        <v>647436</v>
      </c>
      <c r="Q834" s="36">
        <v>12</v>
      </c>
      <c r="R834" s="36"/>
      <c r="S834" s="553">
        <v>12</v>
      </c>
      <c r="T834" s="36" t="s">
        <v>1416</v>
      </c>
      <c r="U834" s="36">
        <v>1140761</v>
      </c>
      <c r="V834" s="165" t="s">
        <v>89</v>
      </c>
      <c r="W834" s="36">
        <v>1</v>
      </c>
      <c r="X834" s="36">
        <v>1</v>
      </c>
      <c r="Y834" s="36">
        <v>1</v>
      </c>
      <c r="Z834" s="36">
        <v>1</v>
      </c>
      <c r="AA834" s="36">
        <v>1</v>
      </c>
      <c r="AB834" s="36">
        <v>1</v>
      </c>
      <c r="AC834" s="36">
        <v>1</v>
      </c>
      <c r="AD834" s="36">
        <v>1</v>
      </c>
      <c r="AE834" s="36">
        <v>2</v>
      </c>
      <c r="AF834" s="36">
        <v>4</v>
      </c>
      <c r="AG834" s="36"/>
      <c r="AH834" s="36"/>
      <c r="AI834" s="36">
        <v>2</v>
      </c>
      <c r="AJ834" s="36">
        <v>2</v>
      </c>
      <c r="AK834" s="36">
        <v>2</v>
      </c>
      <c r="AL834" s="36">
        <v>3</v>
      </c>
      <c r="AM834" s="36">
        <v>3</v>
      </c>
      <c r="AN834" s="36"/>
      <c r="AO834" s="36"/>
      <c r="AP834" s="36"/>
      <c r="AQ834" s="36"/>
      <c r="AR834" s="36"/>
      <c r="AS834" s="36"/>
      <c r="AT834" s="36"/>
      <c r="AU834" s="36"/>
      <c r="AV834" s="36"/>
      <c r="AW834" s="36"/>
      <c r="AX834" s="36"/>
      <c r="AY834" s="953"/>
      <c r="AZ834" s="36"/>
      <c r="BA834" s="36"/>
      <c r="BB834" s="36"/>
      <c r="BC834" s="36"/>
      <c r="BD834" s="36"/>
      <c r="BF834">
        <f>ROWS($U$46:U834)</f>
        <v>789</v>
      </c>
      <c r="BG834" t="str">
        <f t="shared" si="216"/>
        <v/>
      </c>
    </row>
    <row r="835" spans="14:59" ht="15" customHeight="1" x14ac:dyDescent="0.35">
      <c r="N835">
        <f>O835*Q835</f>
        <v>12</v>
      </c>
      <c r="O835" s="330">
        <v>4</v>
      </c>
      <c r="P835" s="36">
        <v>871781</v>
      </c>
      <c r="Q835" s="36">
        <v>3</v>
      </c>
      <c r="R835" s="36"/>
      <c r="S835" s="553">
        <v>12</v>
      </c>
      <c r="T835" s="36" t="s">
        <v>1416</v>
      </c>
      <c r="U835" s="36">
        <v>1140761</v>
      </c>
      <c r="V835" s="165" t="s">
        <v>90</v>
      </c>
      <c r="W835" s="36">
        <v>1</v>
      </c>
      <c r="X835" s="36">
        <v>1</v>
      </c>
      <c r="Y835" s="36">
        <v>1</v>
      </c>
      <c r="Z835" s="36">
        <v>1</v>
      </c>
      <c r="AA835" s="36">
        <v>1</v>
      </c>
      <c r="AB835" s="36">
        <v>1</v>
      </c>
      <c r="AC835" s="36">
        <v>2</v>
      </c>
      <c r="AD835" s="36">
        <v>5</v>
      </c>
      <c r="AE835" s="36"/>
      <c r="AF835" s="36"/>
      <c r="AG835" s="36"/>
      <c r="AH835" s="36"/>
      <c r="AI835" s="36">
        <v>2</v>
      </c>
      <c r="AJ835" s="36">
        <v>2</v>
      </c>
      <c r="AK835" s="36">
        <v>2</v>
      </c>
      <c r="AL835" s="36">
        <v>3</v>
      </c>
      <c r="AM835" s="36">
        <v>3</v>
      </c>
      <c r="AN835" s="36"/>
      <c r="AO835" s="36"/>
      <c r="AP835" s="36"/>
      <c r="AQ835" s="36"/>
      <c r="AR835" s="36"/>
      <c r="AS835" s="36"/>
      <c r="AT835" s="36"/>
      <c r="AU835" s="36"/>
      <c r="AV835" s="36"/>
      <c r="AW835" s="36"/>
      <c r="AX835" s="36"/>
      <c r="AY835" s="953"/>
      <c r="AZ835" s="36"/>
      <c r="BA835" s="36"/>
      <c r="BB835" s="36"/>
      <c r="BC835" s="36"/>
      <c r="BD835" s="36"/>
      <c r="BF835">
        <f>ROWS($U$46:U835)</f>
        <v>790</v>
      </c>
      <c r="BG835" t="str">
        <f t="shared" si="216"/>
        <v/>
      </c>
    </row>
    <row r="836" spans="14:59" ht="15" customHeight="1" x14ac:dyDescent="0.35">
      <c r="N836">
        <f>O836*Q836</f>
        <v>15</v>
      </c>
      <c r="O836" s="330">
        <v>5</v>
      </c>
      <c r="P836" s="36">
        <v>418525</v>
      </c>
      <c r="Q836" s="36">
        <v>3</v>
      </c>
      <c r="R836" s="36"/>
      <c r="S836" s="553">
        <v>12</v>
      </c>
      <c r="T836" s="36" t="s">
        <v>1416</v>
      </c>
      <c r="U836" s="36">
        <v>1140761</v>
      </c>
      <c r="V836" s="165" t="s">
        <v>91</v>
      </c>
      <c r="W836" s="36">
        <v>1</v>
      </c>
      <c r="X836" s="36">
        <v>1</v>
      </c>
      <c r="Y836" s="36">
        <v>1</v>
      </c>
      <c r="Z836" s="36">
        <v>1</v>
      </c>
      <c r="AA836" s="36">
        <v>1</v>
      </c>
      <c r="AB836" s="36">
        <v>1</v>
      </c>
      <c r="AC836" s="36">
        <v>1</v>
      </c>
      <c r="AD836" s="36">
        <v>1</v>
      </c>
      <c r="AE836" s="36">
        <v>1</v>
      </c>
      <c r="AF836" s="36">
        <v>2</v>
      </c>
      <c r="AG836" s="36">
        <v>4</v>
      </c>
      <c r="AH836" s="36"/>
      <c r="AI836" s="36">
        <v>2</v>
      </c>
      <c r="AJ836" s="36">
        <v>2</v>
      </c>
      <c r="AK836" s="36">
        <v>2</v>
      </c>
      <c r="AL836" s="36">
        <v>3</v>
      </c>
      <c r="AM836" s="36">
        <v>3</v>
      </c>
      <c r="AN836" s="36"/>
      <c r="AO836" s="36"/>
      <c r="AP836" s="36"/>
      <c r="AQ836" s="36"/>
      <c r="AR836" s="36"/>
      <c r="AS836" s="36"/>
      <c r="AT836" s="36"/>
      <c r="AU836" s="36"/>
      <c r="AV836" s="36"/>
      <c r="AW836" s="36"/>
      <c r="AX836" s="36"/>
      <c r="AY836" s="953"/>
      <c r="AZ836" s="36"/>
      <c r="BA836" s="36"/>
      <c r="BB836" s="36"/>
      <c r="BC836" s="36"/>
      <c r="BD836" s="36"/>
      <c r="BF836">
        <f>ROWS($U$46:U836)</f>
        <v>791</v>
      </c>
      <c r="BG836" t="str">
        <f t="shared" si="216"/>
        <v/>
      </c>
    </row>
    <row r="837" spans="14:59" ht="15" customHeight="1" thickBot="1" x14ac:dyDescent="0.4">
      <c r="O837" s="331"/>
      <c r="P837" s="328"/>
      <c r="Q837" s="328"/>
      <c r="R837" s="328"/>
      <c r="S837" s="554">
        <v>12</v>
      </c>
      <c r="T837" s="328" t="s">
        <v>1416</v>
      </c>
      <c r="U837" s="328">
        <v>1140761</v>
      </c>
      <c r="V837" s="327" t="s">
        <v>92</v>
      </c>
      <c r="W837" s="328">
        <v>1</v>
      </c>
      <c r="X837" s="328">
        <v>1</v>
      </c>
      <c r="Y837" s="328">
        <v>1</v>
      </c>
      <c r="Z837" s="328">
        <v>1</v>
      </c>
      <c r="AA837" s="328">
        <v>1</v>
      </c>
      <c r="AB837" s="328">
        <v>1</v>
      </c>
      <c r="AC837" s="328">
        <v>2</v>
      </c>
      <c r="AD837" s="328">
        <v>5</v>
      </c>
      <c r="AE837" s="328"/>
      <c r="AF837" s="328"/>
      <c r="AG837" s="328"/>
      <c r="AH837" s="328"/>
      <c r="AI837" s="328">
        <v>2</v>
      </c>
      <c r="AJ837" s="328">
        <v>2</v>
      </c>
      <c r="AK837" s="328">
        <v>2</v>
      </c>
      <c r="AL837" s="328">
        <v>3</v>
      </c>
      <c r="AM837" s="328">
        <v>3</v>
      </c>
      <c r="AN837" s="328"/>
      <c r="AO837" s="328"/>
      <c r="AP837" s="328"/>
      <c r="AQ837" s="328"/>
      <c r="AR837" s="328"/>
      <c r="AS837" s="328"/>
      <c r="AT837" s="328"/>
      <c r="AU837" s="328"/>
      <c r="AV837" s="328"/>
      <c r="AW837" s="328"/>
      <c r="AX837" s="328"/>
      <c r="AY837" s="954"/>
      <c r="AZ837" s="36"/>
      <c r="BA837" s="36"/>
      <c r="BB837" s="36"/>
      <c r="BC837" s="36"/>
      <c r="BD837" s="36"/>
      <c r="BF837">
        <f>ROWS($U$46:U837)</f>
        <v>792</v>
      </c>
      <c r="BG837" t="str">
        <f t="shared" si="216"/>
        <v/>
      </c>
    </row>
    <row r="838" spans="14:59" ht="15" customHeight="1" x14ac:dyDescent="0.35">
      <c r="O838" s="329">
        <v>1</v>
      </c>
      <c r="P838" s="320">
        <v>1039029</v>
      </c>
      <c r="Q838" s="320">
        <v>19</v>
      </c>
      <c r="R838" s="320"/>
      <c r="S838" s="320" t="s">
        <v>1421</v>
      </c>
      <c r="T838" s="320" t="s">
        <v>1422</v>
      </c>
      <c r="U838" s="320">
        <v>1084341</v>
      </c>
      <c r="V838" s="319" t="s">
        <v>87</v>
      </c>
      <c r="W838" s="320">
        <v>2</v>
      </c>
      <c r="X838" s="320">
        <v>1</v>
      </c>
      <c r="Y838" s="320">
        <v>1</v>
      </c>
      <c r="Z838" s="320">
        <v>1</v>
      </c>
      <c r="AA838" s="320">
        <v>1</v>
      </c>
      <c r="AB838" s="320"/>
      <c r="AC838" s="320">
        <v>2</v>
      </c>
      <c r="AD838" s="320">
        <v>2</v>
      </c>
      <c r="AE838" s="320">
        <v>2</v>
      </c>
      <c r="AF838" s="320"/>
      <c r="AG838" s="320"/>
      <c r="AH838" s="320"/>
      <c r="AI838" s="320"/>
      <c r="AJ838" s="320"/>
      <c r="AK838" s="320"/>
      <c r="AL838" s="320"/>
      <c r="AM838" s="320"/>
      <c r="AN838" s="320"/>
      <c r="AO838" s="320"/>
      <c r="AP838" s="320"/>
      <c r="AQ838" s="320"/>
      <c r="AR838" s="320"/>
      <c r="AS838" s="320"/>
      <c r="AT838" s="320"/>
      <c r="AU838" s="320"/>
      <c r="AV838" s="320"/>
      <c r="AW838" s="320"/>
      <c r="AX838" s="320"/>
      <c r="AY838" s="952"/>
      <c r="AZ838" s="36"/>
      <c r="BA838" s="36"/>
      <c r="BB838" s="36"/>
      <c r="BC838" s="36"/>
      <c r="BD838" s="36"/>
      <c r="BF838">
        <f>ROWS($U$46:U838)</f>
        <v>793</v>
      </c>
      <c r="BG838" t="str">
        <f t="shared" si="216"/>
        <v/>
      </c>
    </row>
    <row r="839" spans="14:59" ht="15" customHeight="1" x14ac:dyDescent="0.35">
      <c r="O839" s="330">
        <v>2</v>
      </c>
      <c r="P839" s="36">
        <v>1050785</v>
      </c>
      <c r="Q839" s="36">
        <v>14</v>
      </c>
      <c r="R839" s="36"/>
      <c r="S839" s="36" t="s">
        <v>1421</v>
      </c>
      <c r="T839" s="36" t="s">
        <v>1422</v>
      </c>
      <c r="U839" s="36">
        <v>1084341</v>
      </c>
      <c r="V839" s="165" t="s">
        <v>88</v>
      </c>
      <c r="W839" s="36">
        <v>1</v>
      </c>
      <c r="X839" s="36">
        <v>1</v>
      </c>
      <c r="Y839" s="36">
        <v>1</v>
      </c>
      <c r="Z839" s="36"/>
      <c r="AA839" s="36"/>
      <c r="AB839" s="36"/>
      <c r="AC839" s="36">
        <v>2</v>
      </c>
      <c r="AD839" s="36">
        <v>2</v>
      </c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  <c r="AW839" s="36"/>
      <c r="AX839" s="36"/>
      <c r="AY839" s="953"/>
      <c r="AZ839" s="36"/>
      <c r="BA839" s="36"/>
      <c r="BB839" s="36"/>
      <c r="BC839" s="36"/>
      <c r="BD839" s="36"/>
      <c r="BF839">
        <f>ROWS($U$46:U839)</f>
        <v>794</v>
      </c>
      <c r="BG839" t="str">
        <f t="shared" si="216"/>
        <v/>
      </c>
    </row>
    <row r="840" spans="14:59" ht="15" customHeight="1" x14ac:dyDescent="0.35">
      <c r="O840" s="330"/>
      <c r="P840" s="36"/>
      <c r="Q840" s="36"/>
      <c r="R840" s="36"/>
      <c r="S840" s="36" t="s">
        <v>1421</v>
      </c>
      <c r="T840" s="36" t="s">
        <v>1422</v>
      </c>
      <c r="U840" s="36">
        <v>1084341</v>
      </c>
      <c r="V840" s="165" t="s">
        <v>89</v>
      </c>
      <c r="W840" s="36">
        <v>2</v>
      </c>
      <c r="X840" s="36">
        <v>1</v>
      </c>
      <c r="Y840" s="36">
        <v>1</v>
      </c>
      <c r="Z840" s="36">
        <v>1</v>
      </c>
      <c r="AA840" s="36">
        <v>1</v>
      </c>
      <c r="AB840" s="36"/>
      <c r="AC840" s="36">
        <v>2</v>
      </c>
      <c r="AD840" s="36">
        <v>2</v>
      </c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953"/>
      <c r="AZ840" s="36"/>
      <c r="BA840" s="36"/>
      <c r="BB840" s="36"/>
      <c r="BC840" s="36"/>
      <c r="BD840" s="36"/>
      <c r="BF840">
        <f>ROWS($U$46:U840)</f>
        <v>795</v>
      </c>
      <c r="BG840" t="str">
        <f t="shared" si="216"/>
        <v/>
      </c>
    </row>
    <row r="841" spans="14:59" ht="15" customHeight="1" x14ac:dyDescent="0.35">
      <c r="O841" s="330"/>
      <c r="P841" s="36"/>
      <c r="Q841" s="36"/>
      <c r="R841" s="36"/>
      <c r="S841" s="36" t="s">
        <v>1421</v>
      </c>
      <c r="T841" s="36" t="s">
        <v>1422</v>
      </c>
      <c r="U841" s="36">
        <v>1084341</v>
      </c>
      <c r="V841" s="165" t="s">
        <v>90</v>
      </c>
      <c r="W841" s="36">
        <v>2</v>
      </c>
      <c r="X841" s="36">
        <v>1</v>
      </c>
      <c r="Y841" s="36">
        <v>1</v>
      </c>
      <c r="Z841" s="36">
        <v>1</v>
      </c>
      <c r="AA841" s="36">
        <v>1</v>
      </c>
      <c r="AB841" s="36"/>
      <c r="AC841" s="36">
        <v>2</v>
      </c>
      <c r="AD841" s="36">
        <v>2</v>
      </c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953"/>
      <c r="AZ841" s="36"/>
      <c r="BA841" s="36"/>
      <c r="BB841" s="36"/>
      <c r="BC841" s="36"/>
      <c r="BD841" s="36"/>
      <c r="BF841">
        <f>ROWS($U$46:U841)</f>
        <v>796</v>
      </c>
      <c r="BG841" t="str">
        <f t="shared" si="216"/>
        <v/>
      </c>
    </row>
    <row r="842" spans="14:59" ht="15" customHeight="1" thickBot="1" x14ac:dyDescent="0.4">
      <c r="O842" s="331"/>
      <c r="P842" s="328"/>
      <c r="Q842" s="328"/>
      <c r="R842" s="328"/>
      <c r="S842" s="328" t="s">
        <v>1421</v>
      </c>
      <c r="T842" s="328" t="s">
        <v>1422</v>
      </c>
      <c r="U842" s="328">
        <v>1084341</v>
      </c>
      <c r="V842" s="327" t="s">
        <v>91</v>
      </c>
      <c r="W842" s="328">
        <v>1</v>
      </c>
      <c r="X842" s="328">
        <v>1</v>
      </c>
      <c r="Y842" s="328">
        <v>1</v>
      </c>
      <c r="Z842" s="328">
        <v>1</v>
      </c>
      <c r="AA842" s="328"/>
      <c r="AB842" s="328"/>
      <c r="AC842" s="328">
        <v>2</v>
      </c>
      <c r="AD842" s="328">
        <v>2</v>
      </c>
      <c r="AE842" s="328"/>
      <c r="AF842" s="328"/>
      <c r="AG842" s="328"/>
      <c r="AH842" s="328"/>
      <c r="AI842" s="328"/>
      <c r="AJ842" s="328"/>
      <c r="AK842" s="328"/>
      <c r="AL842" s="328"/>
      <c r="AM842" s="328"/>
      <c r="AN842" s="328"/>
      <c r="AO842" s="328"/>
      <c r="AP842" s="328"/>
      <c r="AQ842" s="328"/>
      <c r="AR842" s="328"/>
      <c r="AS842" s="328"/>
      <c r="AT842" s="328"/>
      <c r="AU842" s="328"/>
      <c r="AV842" s="328"/>
      <c r="AW842" s="328"/>
      <c r="AX842" s="328"/>
      <c r="AY842" s="954"/>
      <c r="AZ842" s="36"/>
      <c r="BA842" s="36"/>
      <c r="BB842" s="36"/>
      <c r="BC842" s="36"/>
      <c r="BD842" s="36"/>
      <c r="BF842">
        <f>ROWS($U$46:U842)</f>
        <v>797</v>
      </c>
      <c r="BG842" t="str">
        <f t="shared" si="216"/>
        <v/>
      </c>
    </row>
    <row r="843" spans="14:59" ht="15" customHeight="1" x14ac:dyDescent="0.35">
      <c r="O843" s="329">
        <v>1</v>
      </c>
      <c r="P843" s="320">
        <v>1130198</v>
      </c>
      <c r="Q843" s="320">
        <v>33</v>
      </c>
      <c r="R843" s="320"/>
      <c r="S843" s="552" t="s">
        <v>1198</v>
      </c>
      <c r="T843" s="320" t="s">
        <v>1321</v>
      </c>
      <c r="U843" s="320">
        <v>882281</v>
      </c>
      <c r="V843" s="319" t="s">
        <v>87</v>
      </c>
      <c r="W843" s="320">
        <v>1</v>
      </c>
      <c r="X843" s="320">
        <v>1</v>
      </c>
      <c r="Y843" s="320">
        <v>1</v>
      </c>
      <c r="Z843" s="320">
        <v>1</v>
      </c>
      <c r="AA843" s="320">
        <v>1</v>
      </c>
      <c r="AB843" s="320">
        <v>1</v>
      </c>
      <c r="AC843" s="320">
        <v>1</v>
      </c>
      <c r="AD843" s="320">
        <v>3</v>
      </c>
      <c r="AE843" s="320">
        <v>3</v>
      </c>
      <c r="AF843" s="320"/>
      <c r="AG843" s="320">
        <v>2</v>
      </c>
      <c r="AH843" s="320">
        <v>2</v>
      </c>
      <c r="AI843" s="320">
        <v>2</v>
      </c>
      <c r="AJ843" s="320">
        <v>2</v>
      </c>
      <c r="AK843" s="320"/>
      <c r="AL843" s="320"/>
      <c r="AM843" s="320"/>
      <c r="AN843" s="320"/>
      <c r="AO843" s="320"/>
      <c r="AP843" s="320"/>
      <c r="AQ843" s="320"/>
      <c r="AR843" s="320"/>
      <c r="AS843" s="320"/>
      <c r="AT843" s="320"/>
      <c r="AU843" s="320"/>
      <c r="AV843" s="320"/>
      <c r="AW843" s="320"/>
      <c r="AX843" s="320"/>
      <c r="AY843" s="952"/>
      <c r="AZ843" s="36"/>
      <c r="BA843" s="36"/>
      <c r="BB843" s="36"/>
      <c r="BC843" s="36"/>
      <c r="BD843" s="36"/>
      <c r="BF843">
        <f>ROWS($U$46:U843)</f>
        <v>798</v>
      </c>
      <c r="BG843" t="str">
        <f t="shared" si="216"/>
        <v/>
      </c>
    </row>
    <row r="844" spans="14:59" ht="15" customHeight="1" x14ac:dyDescent="0.35">
      <c r="O844" s="330">
        <v>2</v>
      </c>
      <c r="P844" s="36">
        <v>1130197</v>
      </c>
      <c r="Q844" s="36">
        <v>23</v>
      </c>
      <c r="R844" s="36"/>
      <c r="S844" s="553" t="s">
        <v>1198</v>
      </c>
      <c r="T844" s="36" t="s">
        <v>1321</v>
      </c>
      <c r="U844" s="36">
        <v>882281</v>
      </c>
      <c r="V844" s="165" t="s">
        <v>88</v>
      </c>
      <c r="W844" s="36">
        <v>1</v>
      </c>
      <c r="X844" s="36">
        <v>1</v>
      </c>
      <c r="Y844" s="36">
        <v>1</v>
      </c>
      <c r="Z844" s="36">
        <v>1</v>
      </c>
      <c r="AA844" s="36">
        <v>3</v>
      </c>
      <c r="AB844" s="36">
        <v>3</v>
      </c>
      <c r="AC844" s="36"/>
      <c r="AD844" s="36"/>
      <c r="AE844" s="36"/>
      <c r="AF844" s="36"/>
      <c r="AG844" s="36">
        <v>2</v>
      </c>
      <c r="AH844" s="36">
        <v>2</v>
      </c>
      <c r="AI844" s="36">
        <v>2</v>
      </c>
      <c r="AJ844" s="36">
        <v>2</v>
      </c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  <c r="AW844" s="36"/>
      <c r="AX844" s="36"/>
      <c r="AY844" s="953"/>
      <c r="AZ844" s="36"/>
      <c r="BA844" s="36"/>
      <c r="BB844" s="36"/>
      <c r="BC844" s="36"/>
      <c r="BD844" s="36"/>
      <c r="BF844">
        <f>ROWS($U$46:U844)</f>
        <v>799</v>
      </c>
      <c r="BG844" t="str">
        <f t="shared" si="216"/>
        <v/>
      </c>
    </row>
    <row r="845" spans="14:59" ht="15" customHeight="1" x14ac:dyDescent="0.35">
      <c r="O845" s="330">
        <v>3</v>
      </c>
      <c r="P845" s="36">
        <v>418525</v>
      </c>
      <c r="Q845" s="36">
        <v>12</v>
      </c>
      <c r="R845" s="36"/>
      <c r="S845" s="553" t="s">
        <v>1198</v>
      </c>
      <c r="T845" s="36" t="s">
        <v>1321</v>
      </c>
      <c r="U845" s="36">
        <v>882281</v>
      </c>
      <c r="V845" s="165" t="s">
        <v>89</v>
      </c>
      <c r="W845" s="36">
        <v>1</v>
      </c>
      <c r="X845" s="36">
        <v>1</v>
      </c>
      <c r="Y845" s="36">
        <v>1</v>
      </c>
      <c r="Z845" s="36">
        <v>1</v>
      </c>
      <c r="AA845" s="36">
        <v>1</v>
      </c>
      <c r="AB845" s="36">
        <v>1</v>
      </c>
      <c r="AC845" s="36">
        <v>3</v>
      </c>
      <c r="AD845" s="36">
        <v>3</v>
      </c>
      <c r="AE845" s="36"/>
      <c r="AF845" s="36"/>
      <c r="AG845" s="36">
        <v>2</v>
      </c>
      <c r="AH845" s="36">
        <v>2</v>
      </c>
      <c r="AI845" s="36">
        <v>2</v>
      </c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  <c r="AW845" s="36"/>
      <c r="AX845" s="36"/>
      <c r="AY845" s="953"/>
      <c r="AZ845" s="36"/>
      <c r="BA845" s="36"/>
      <c r="BB845" s="36"/>
      <c r="BC845" s="36"/>
      <c r="BD845" s="36"/>
      <c r="BF845">
        <f>ROWS($U$46:U845)</f>
        <v>800</v>
      </c>
      <c r="BG845" t="str">
        <f t="shared" si="216"/>
        <v/>
      </c>
    </row>
    <row r="846" spans="14:59" ht="15" customHeight="1" x14ac:dyDescent="0.35">
      <c r="O846" s="330"/>
      <c r="P846" s="36"/>
      <c r="Q846" s="36"/>
      <c r="R846" s="36"/>
      <c r="S846" s="553" t="s">
        <v>1198</v>
      </c>
      <c r="T846" s="36" t="s">
        <v>1321</v>
      </c>
      <c r="U846" s="36">
        <v>882281</v>
      </c>
      <c r="V846" s="165" t="s">
        <v>90</v>
      </c>
      <c r="W846" s="36">
        <v>1</v>
      </c>
      <c r="X846" s="36">
        <v>1</v>
      </c>
      <c r="Y846" s="36">
        <v>1</v>
      </c>
      <c r="Z846" s="36">
        <v>1</v>
      </c>
      <c r="AA846" s="36">
        <v>1</v>
      </c>
      <c r="AB846" s="36">
        <v>3</v>
      </c>
      <c r="AC846" s="36">
        <v>3</v>
      </c>
      <c r="AD846" s="36"/>
      <c r="AE846" s="36"/>
      <c r="AF846" s="36"/>
      <c r="AG846" s="36">
        <v>2</v>
      </c>
      <c r="AH846" s="36">
        <v>2</v>
      </c>
      <c r="AI846" s="36">
        <v>2</v>
      </c>
      <c r="AJ846" s="36">
        <v>2</v>
      </c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  <c r="AW846" s="36"/>
      <c r="AX846" s="36"/>
      <c r="AY846" s="953"/>
      <c r="AZ846" s="36"/>
      <c r="BA846" s="36"/>
      <c r="BB846" s="36"/>
      <c r="BC846" s="36"/>
      <c r="BD846" s="36"/>
      <c r="BF846">
        <f>ROWS($U$46:U846)</f>
        <v>801</v>
      </c>
      <c r="BG846" t="str">
        <f t="shared" si="216"/>
        <v/>
      </c>
    </row>
    <row r="847" spans="14:59" ht="15" customHeight="1" x14ac:dyDescent="0.35">
      <c r="O847" s="330"/>
      <c r="P847" s="36"/>
      <c r="Q847" s="36"/>
      <c r="R847" s="36"/>
      <c r="S847" s="553" t="s">
        <v>1198</v>
      </c>
      <c r="T847" s="36" t="s">
        <v>1321</v>
      </c>
      <c r="U847" s="36">
        <v>882281</v>
      </c>
      <c r="V847" s="165" t="s">
        <v>91</v>
      </c>
      <c r="W847" s="36">
        <v>1</v>
      </c>
      <c r="X847" s="36">
        <v>1</v>
      </c>
      <c r="Y847" s="36">
        <v>1</v>
      </c>
      <c r="Z847" s="36">
        <v>1</v>
      </c>
      <c r="AA847" s="36">
        <v>1</v>
      </c>
      <c r="AB847" s="36">
        <v>1</v>
      </c>
      <c r="AC847" s="36">
        <v>1</v>
      </c>
      <c r="AD847" s="36">
        <v>3</v>
      </c>
      <c r="AE847" s="36">
        <v>3</v>
      </c>
      <c r="AF847" s="36"/>
      <c r="AG847" s="36">
        <v>2</v>
      </c>
      <c r="AH847" s="36">
        <v>2</v>
      </c>
      <c r="AI847" s="36">
        <v>2</v>
      </c>
      <c r="AJ847" s="36">
        <v>2</v>
      </c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  <c r="AW847" s="36"/>
      <c r="AX847" s="36"/>
      <c r="AY847" s="953"/>
      <c r="AZ847" s="36"/>
      <c r="BA847" s="36"/>
      <c r="BB847" s="36"/>
      <c r="BC847" s="36"/>
      <c r="BD847" s="36"/>
      <c r="BF847">
        <f>ROWS($U$46:U847)</f>
        <v>802</v>
      </c>
      <c r="BG847" t="str">
        <f t="shared" si="216"/>
        <v/>
      </c>
    </row>
    <row r="848" spans="14:59" ht="15" customHeight="1" thickBot="1" x14ac:dyDescent="0.4">
      <c r="O848" s="331"/>
      <c r="P848" s="328"/>
      <c r="Q848" s="328"/>
      <c r="R848" s="328"/>
      <c r="S848" s="554" t="s">
        <v>1198</v>
      </c>
      <c r="T848" s="328" t="s">
        <v>1321</v>
      </c>
      <c r="U848" s="328">
        <v>882281</v>
      </c>
      <c r="V848" s="327" t="s">
        <v>92</v>
      </c>
      <c r="W848" s="328">
        <v>1</v>
      </c>
      <c r="X848" s="328">
        <v>1</v>
      </c>
      <c r="Y848" s="328">
        <v>1</v>
      </c>
      <c r="Z848" s="328">
        <v>1</v>
      </c>
      <c r="AA848" s="328">
        <v>3</v>
      </c>
      <c r="AB848" s="328">
        <v>3</v>
      </c>
      <c r="AC848" s="328"/>
      <c r="AD848" s="328"/>
      <c r="AE848" s="328"/>
      <c r="AF848" s="328"/>
      <c r="AG848" s="328">
        <v>2</v>
      </c>
      <c r="AH848" s="328">
        <v>2</v>
      </c>
      <c r="AI848" s="328">
        <v>2</v>
      </c>
      <c r="AJ848" s="328">
        <v>2</v>
      </c>
      <c r="AK848" s="328"/>
      <c r="AL848" s="328"/>
      <c r="AM848" s="328"/>
      <c r="AN848" s="328"/>
      <c r="AO848" s="328"/>
      <c r="AP848" s="328"/>
      <c r="AQ848" s="328"/>
      <c r="AR848" s="328"/>
      <c r="AS848" s="328"/>
      <c r="AT848" s="328"/>
      <c r="AU848" s="328"/>
      <c r="AV848" s="328"/>
      <c r="AW848" s="328"/>
      <c r="AX848" s="328"/>
      <c r="AY848" s="954"/>
      <c r="AZ848" s="36"/>
      <c r="BA848" s="36"/>
      <c r="BB848" s="36"/>
      <c r="BC848" s="36"/>
      <c r="BD848" s="36"/>
      <c r="BF848">
        <f>ROWS($U$46:U848)</f>
        <v>803</v>
      </c>
      <c r="BG848" t="str">
        <f t="shared" si="216"/>
        <v/>
      </c>
    </row>
    <row r="849" spans="11:59" ht="15" customHeight="1" x14ac:dyDescent="0.35">
      <c r="O849" s="329">
        <v>1</v>
      </c>
      <c r="P849" s="320">
        <v>745576</v>
      </c>
      <c r="Q849" s="320">
        <v>67</v>
      </c>
      <c r="R849" s="320"/>
      <c r="S849" s="320" t="s">
        <v>1130</v>
      </c>
      <c r="T849" s="320" t="s">
        <v>1428</v>
      </c>
      <c r="U849" s="320">
        <v>756668</v>
      </c>
      <c r="V849" s="319" t="s">
        <v>87</v>
      </c>
      <c r="W849" s="320">
        <v>2</v>
      </c>
      <c r="X849" s="320">
        <v>2</v>
      </c>
      <c r="Y849" s="320">
        <v>2</v>
      </c>
      <c r="Z849" s="320">
        <v>2</v>
      </c>
      <c r="AA849" s="320">
        <v>1</v>
      </c>
      <c r="AB849" s="320">
        <v>1</v>
      </c>
      <c r="AC849" s="320">
        <v>1</v>
      </c>
      <c r="AD849" s="320">
        <v>1</v>
      </c>
      <c r="AE849" s="320">
        <v>1</v>
      </c>
      <c r="AF849" s="320">
        <v>1</v>
      </c>
      <c r="AG849" s="320">
        <v>1</v>
      </c>
      <c r="AH849" s="320">
        <v>2</v>
      </c>
      <c r="AI849" s="320">
        <v>3</v>
      </c>
      <c r="AJ849" s="320">
        <v>4</v>
      </c>
      <c r="AK849" s="320">
        <v>4</v>
      </c>
      <c r="AL849" s="320"/>
      <c r="AM849" s="320">
        <v>1</v>
      </c>
      <c r="AN849" s="320">
        <v>1</v>
      </c>
      <c r="AO849" s="320">
        <v>1</v>
      </c>
      <c r="AP849" s="320">
        <v>1</v>
      </c>
      <c r="AQ849" s="320">
        <v>1</v>
      </c>
      <c r="AR849" s="320">
        <v>2</v>
      </c>
      <c r="AS849" s="320">
        <v>3</v>
      </c>
      <c r="AT849" s="320"/>
      <c r="AU849" s="320"/>
      <c r="AV849" s="320"/>
      <c r="AW849" s="320"/>
      <c r="AX849" s="320"/>
      <c r="AY849" s="952"/>
      <c r="AZ849" s="36"/>
      <c r="BA849" s="36"/>
      <c r="BB849" s="36"/>
      <c r="BC849" s="36"/>
      <c r="BD849" s="36"/>
      <c r="BF849">
        <f>ROWS($U$46:U849)</f>
        <v>804</v>
      </c>
      <c r="BG849" t="str">
        <f t="shared" si="216"/>
        <v/>
      </c>
    </row>
    <row r="850" spans="11:59" ht="15" customHeight="1" x14ac:dyDescent="0.35">
      <c r="O850" s="330">
        <v>2</v>
      </c>
      <c r="P850" s="36">
        <v>729691</v>
      </c>
      <c r="Q850" s="36">
        <v>31</v>
      </c>
      <c r="R850" s="36"/>
      <c r="S850" s="36" t="s">
        <v>1130</v>
      </c>
      <c r="T850" s="36" t="s">
        <v>1428</v>
      </c>
      <c r="U850" s="36">
        <v>756668</v>
      </c>
      <c r="V850" s="165" t="s">
        <v>88</v>
      </c>
      <c r="W850" s="36">
        <v>1</v>
      </c>
      <c r="X850" s="36">
        <v>1</v>
      </c>
      <c r="Y850" s="36">
        <v>1</v>
      </c>
      <c r="Z850" s="36">
        <v>1</v>
      </c>
      <c r="AA850" s="36">
        <v>1</v>
      </c>
      <c r="AB850" s="36">
        <v>1</v>
      </c>
      <c r="AC850" s="36">
        <v>2</v>
      </c>
      <c r="AD850" s="36">
        <v>3</v>
      </c>
      <c r="AE850" s="36">
        <v>4</v>
      </c>
      <c r="AF850" s="36">
        <v>4</v>
      </c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953"/>
      <c r="AZ850" s="36"/>
      <c r="BA850" s="36"/>
      <c r="BB850" s="36"/>
      <c r="BC850" s="36"/>
      <c r="BD850" s="36"/>
      <c r="BF850">
        <f>ROWS($U$46:U850)</f>
        <v>805</v>
      </c>
      <c r="BG850" t="str">
        <f t="shared" si="216"/>
        <v/>
      </c>
    </row>
    <row r="851" spans="11:59" ht="15" customHeight="1" x14ac:dyDescent="0.35">
      <c r="O851" s="330">
        <v>3</v>
      </c>
      <c r="P851" s="36">
        <v>179790</v>
      </c>
      <c r="Q851" s="36">
        <v>12</v>
      </c>
      <c r="R851" s="36"/>
      <c r="S851" s="36" t="s">
        <v>1130</v>
      </c>
      <c r="T851" s="36" t="s">
        <v>1428</v>
      </c>
      <c r="U851" s="36">
        <v>756668</v>
      </c>
      <c r="V851" s="165" t="s">
        <v>89</v>
      </c>
      <c r="W851" s="36">
        <v>1</v>
      </c>
      <c r="X851" s="36">
        <v>1</v>
      </c>
      <c r="Y851" s="36">
        <v>1</v>
      </c>
      <c r="Z851" s="36">
        <v>1</v>
      </c>
      <c r="AA851" s="36">
        <v>1</v>
      </c>
      <c r="AB851" s="36">
        <v>2</v>
      </c>
      <c r="AC851" s="36">
        <v>2</v>
      </c>
      <c r="AD851" s="36">
        <v>3</v>
      </c>
      <c r="AE851" s="36">
        <v>4</v>
      </c>
      <c r="AF851" s="36">
        <v>4</v>
      </c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  <c r="AW851" s="36"/>
      <c r="AX851" s="36"/>
      <c r="AY851" s="953"/>
      <c r="AZ851" s="36"/>
      <c r="BA851" s="36"/>
      <c r="BB851" s="36"/>
      <c r="BC851" s="36"/>
      <c r="BD851" s="36"/>
      <c r="BF851">
        <f>ROWS($U$46:U851)</f>
        <v>806</v>
      </c>
      <c r="BG851" t="str">
        <f t="shared" si="216"/>
        <v/>
      </c>
    </row>
    <row r="852" spans="11:59" ht="15" customHeight="1" x14ac:dyDescent="0.35">
      <c r="O852" s="330">
        <v>4</v>
      </c>
      <c r="P852" s="36">
        <v>418525</v>
      </c>
      <c r="Q852" s="36">
        <v>18</v>
      </c>
      <c r="R852" s="36"/>
      <c r="S852" s="36" t="s">
        <v>1130</v>
      </c>
      <c r="T852" s="36" t="s">
        <v>1428</v>
      </c>
      <c r="U852" s="36">
        <v>756668</v>
      </c>
      <c r="V852" s="165" t="s">
        <v>90</v>
      </c>
      <c r="W852" s="36">
        <v>2</v>
      </c>
      <c r="X852" s="36">
        <v>2</v>
      </c>
      <c r="Y852" s="36">
        <v>2</v>
      </c>
      <c r="Z852" s="36">
        <v>1</v>
      </c>
      <c r="AA852" s="36">
        <v>1</v>
      </c>
      <c r="AB852" s="36">
        <v>1</v>
      </c>
      <c r="AC852" s="36">
        <v>1</v>
      </c>
      <c r="AD852" s="36">
        <v>1</v>
      </c>
      <c r="AE852" s="36">
        <v>1</v>
      </c>
      <c r="AF852" s="36">
        <v>1</v>
      </c>
      <c r="AG852" s="36">
        <v>2</v>
      </c>
      <c r="AH852" s="36">
        <v>2</v>
      </c>
      <c r="AI852" s="36">
        <v>3</v>
      </c>
      <c r="AJ852" s="36">
        <v>4</v>
      </c>
      <c r="AK852" s="36">
        <v>4</v>
      </c>
      <c r="AL852" s="36"/>
      <c r="AM852" s="36">
        <v>1</v>
      </c>
      <c r="AN852" s="36">
        <v>1</v>
      </c>
      <c r="AO852" s="36">
        <v>1</v>
      </c>
      <c r="AP852" s="36">
        <v>1</v>
      </c>
      <c r="AQ852" s="36">
        <v>2</v>
      </c>
      <c r="AR852" s="36">
        <v>2</v>
      </c>
      <c r="AS852" s="36">
        <v>3</v>
      </c>
      <c r="AT852" s="36"/>
      <c r="AU852" s="36"/>
      <c r="AV852" s="36"/>
      <c r="AW852" s="36"/>
      <c r="AX852" s="36"/>
      <c r="AY852" s="953"/>
      <c r="AZ852" s="36"/>
      <c r="BA852" s="36"/>
      <c r="BB852" s="36"/>
      <c r="BC852" s="36"/>
      <c r="BD852" s="36"/>
      <c r="BF852">
        <f>ROWS($U$46:U852)</f>
        <v>807</v>
      </c>
      <c r="BG852" t="str">
        <f t="shared" si="216"/>
        <v/>
      </c>
    </row>
    <row r="853" spans="11:59" ht="15" customHeight="1" x14ac:dyDescent="0.35">
      <c r="O853" s="330"/>
      <c r="P853" s="36"/>
      <c r="Q853" s="36"/>
      <c r="R853" s="36"/>
      <c r="S853" s="36" t="s">
        <v>1130</v>
      </c>
      <c r="T853" s="36" t="s">
        <v>1428</v>
      </c>
      <c r="U853" s="36">
        <v>756668</v>
      </c>
      <c r="V853" s="165" t="s">
        <v>91</v>
      </c>
      <c r="W853" s="36">
        <v>1</v>
      </c>
      <c r="X853" s="36">
        <v>1</v>
      </c>
      <c r="Y853" s="36">
        <v>1</v>
      </c>
      <c r="Z853" s="36">
        <v>1</v>
      </c>
      <c r="AA853" s="36">
        <v>1</v>
      </c>
      <c r="AB853" s="36">
        <v>1</v>
      </c>
      <c r="AC853" s="36">
        <v>2</v>
      </c>
      <c r="AD853" s="36">
        <v>2</v>
      </c>
      <c r="AE853" s="36">
        <v>3</v>
      </c>
      <c r="AF853" s="36">
        <v>4</v>
      </c>
      <c r="AG853" s="36">
        <v>4</v>
      </c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  <c r="AW853" s="36"/>
      <c r="AX853" s="36"/>
      <c r="AY853" s="953"/>
      <c r="AZ853" s="36"/>
      <c r="BA853" s="36"/>
      <c r="BB853" s="36"/>
      <c r="BC853" s="36"/>
      <c r="BD853" s="36"/>
      <c r="BF853">
        <f>ROWS($U$46:U853)</f>
        <v>808</v>
      </c>
      <c r="BG853" t="str">
        <f t="shared" si="216"/>
        <v/>
      </c>
    </row>
    <row r="854" spans="11:59" ht="15" customHeight="1" x14ac:dyDescent="0.35">
      <c r="O854" s="330"/>
      <c r="P854" s="36"/>
      <c r="Q854" s="36"/>
      <c r="R854" s="36"/>
      <c r="S854" s="36" t="s">
        <v>1130</v>
      </c>
      <c r="T854" s="36" t="s">
        <v>1428</v>
      </c>
      <c r="U854" s="36">
        <v>756668</v>
      </c>
      <c r="V854" s="165" t="s">
        <v>92</v>
      </c>
      <c r="W854" s="36">
        <v>1</v>
      </c>
      <c r="X854" s="36">
        <v>1</v>
      </c>
      <c r="Y854" s="36">
        <v>1</v>
      </c>
      <c r="Z854" s="36">
        <v>1</v>
      </c>
      <c r="AA854" s="36">
        <v>1</v>
      </c>
      <c r="AB854" s="36">
        <v>2</v>
      </c>
      <c r="AC854" s="36">
        <v>2</v>
      </c>
      <c r="AD854" s="36">
        <v>3</v>
      </c>
      <c r="AE854" s="36">
        <v>4</v>
      </c>
      <c r="AF854" s="36">
        <v>4</v>
      </c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  <c r="AW854" s="36"/>
      <c r="AX854" s="36"/>
      <c r="AY854" s="953"/>
      <c r="AZ854" s="36"/>
      <c r="BA854" s="36"/>
      <c r="BB854" s="36"/>
      <c r="BC854" s="36"/>
      <c r="BD854" s="36"/>
      <c r="BF854">
        <f>ROWS($U$46:U854)</f>
        <v>809</v>
      </c>
      <c r="BG854" t="str">
        <f t="shared" si="216"/>
        <v/>
      </c>
    </row>
    <row r="855" spans="11:59" ht="15" customHeight="1" x14ac:dyDescent="0.35">
      <c r="O855" s="330"/>
      <c r="P855" s="36"/>
      <c r="Q855" s="36"/>
      <c r="R855" s="36"/>
      <c r="S855" s="36" t="s">
        <v>1130</v>
      </c>
      <c r="T855" s="36" t="s">
        <v>1428</v>
      </c>
      <c r="U855" s="36">
        <v>756668</v>
      </c>
      <c r="V855" s="165" t="s">
        <v>111</v>
      </c>
      <c r="W855" s="36">
        <v>2</v>
      </c>
      <c r="X855" s="36">
        <v>2</v>
      </c>
      <c r="Y855" s="36">
        <v>2</v>
      </c>
      <c r="Z855" s="36">
        <v>2</v>
      </c>
      <c r="AA855" s="36">
        <v>1</v>
      </c>
      <c r="AB855" s="36">
        <v>1</v>
      </c>
      <c r="AC855" s="36">
        <v>1</v>
      </c>
      <c r="AD855" s="36">
        <v>1</v>
      </c>
      <c r="AE855" s="36">
        <v>1</v>
      </c>
      <c r="AF855" s="36">
        <v>1</v>
      </c>
      <c r="AG855" s="36">
        <v>2</v>
      </c>
      <c r="AH855" s="36">
        <v>2</v>
      </c>
      <c r="AI855" s="36">
        <v>3</v>
      </c>
      <c r="AJ855" s="36">
        <v>4</v>
      </c>
      <c r="AK855" s="36">
        <v>4</v>
      </c>
      <c r="AL855" s="36"/>
      <c r="AM855" s="36">
        <v>1</v>
      </c>
      <c r="AN855" s="36">
        <v>1</v>
      </c>
      <c r="AO855" s="36">
        <v>1</v>
      </c>
      <c r="AP855" s="36">
        <v>1</v>
      </c>
      <c r="AQ855" s="36">
        <v>2</v>
      </c>
      <c r="AR855" s="36">
        <v>2</v>
      </c>
      <c r="AS855" s="36">
        <v>3</v>
      </c>
      <c r="AT855" s="36"/>
      <c r="AU855" s="36"/>
      <c r="AV855" s="36"/>
      <c r="AW855" s="36"/>
      <c r="AX855" s="36"/>
      <c r="AY855" s="953"/>
      <c r="AZ855" s="36"/>
      <c r="BA855" s="36"/>
      <c r="BB855" s="36"/>
      <c r="BC855" s="36"/>
      <c r="BD855" s="36"/>
      <c r="BF855">
        <f>ROWS($U$46:U855)</f>
        <v>810</v>
      </c>
      <c r="BG855" t="str">
        <f t="shared" si="216"/>
        <v/>
      </c>
    </row>
    <row r="856" spans="11:59" ht="15" customHeight="1" x14ac:dyDescent="0.35">
      <c r="O856" s="330"/>
      <c r="P856" s="36"/>
      <c r="Q856" s="36"/>
      <c r="R856" s="36"/>
      <c r="S856" s="36" t="s">
        <v>1130</v>
      </c>
      <c r="T856" s="36" t="s">
        <v>1428</v>
      </c>
      <c r="U856" s="36">
        <v>756668</v>
      </c>
      <c r="V856" s="165" t="s">
        <v>112</v>
      </c>
      <c r="W856" s="36">
        <v>1</v>
      </c>
      <c r="X856" s="36">
        <v>1</v>
      </c>
      <c r="Y856" s="36">
        <v>1</v>
      </c>
      <c r="Z856" s="36">
        <v>1</v>
      </c>
      <c r="AA856" s="36">
        <v>1</v>
      </c>
      <c r="AB856" s="36">
        <v>1</v>
      </c>
      <c r="AC856" s="36">
        <v>2</v>
      </c>
      <c r="AD856" s="36">
        <v>2</v>
      </c>
      <c r="AE856" s="36">
        <v>3</v>
      </c>
      <c r="AF856" s="36">
        <v>4</v>
      </c>
      <c r="AG856" s="36">
        <v>4</v>
      </c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  <c r="AW856" s="36"/>
      <c r="AX856" s="36"/>
      <c r="AY856" s="953"/>
      <c r="AZ856" s="36"/>
      <c r="BA856" s="36"/>
      <c r="BB856" s="36"/>
      <c r="BC856" s="36"/>
      <c r="BD856" s="36"/>
      <c r="BF856">
        <f>ROWS($U$46:U856)</f>
        <v>811</v>
      </c>
      <c r="BG856" t="str">
        <f t="shared" si="216"/>
        <v/>
      </c>
    </row>
    <row r="857" spans="11:59" ht="15" customHeight="1" thickBot="1" x14ac:dyDescent="0.4">
      <c r="O857" s="331"/>
      <c r="P857" s="328"/>
      <c r="Q857" s="328"/>
      <c r="R857" s="328"/>
      <c r="S857" s="328" t="s">
        <v>1130</v>
      </c>
      <c r="T857" s="328" t="s">
        <v>1428</v>
      </c>
      <c r="U857" s="328">
        <v>756668</v>
      </c>
      <c r="V857" s="327" t="s">
        <v>113</v>
      </c>
      <c r="W857" s="328">
        <v>1</v>
      </c>
      <c r="X857" s="328">
        <v>1</v>
      </c>
      <c r="Y857" s="328">
        <v>1</v>
      </c>
      <c r="Z857" s="328">
        <v>1</v>
      </c>
      <c r="AA857" s="328">
        <v>1</v>
      </c>
      <c r="AB857" s="328">
        <v>1</v>
      </c>
      <c r="AC857" s="328">
        <v>2</v>
      </c>
      <c r="AD857" s="328">
        <v>3</v>
      </c>
      <c r="AE857" s="328">
        <v>4</v>
      </c>
      <c r="AF857" s="328">
        <v>4</v>
      </c>
      <c r="AG857" s="328"/>
      <c r="AH857" s="328"/>
      <c r="AI857" s="328"/>
      <c r="AJ857" s="328"/>
      <c r="AK857" s="328"/>
      <c r="AL857" s="328"/>
      <c r="AM857" s="328"/>
      <c r="AN857" s="328"/>
      <c r="AO857" s="328"/>
      <c r="AP857" s="328"/>
      <c r="AQ857" s="328"/>
      <c r="AR857" s="328"/>
      <c r="AS857" s="328"/>
      <c r="AT857" s="328"/>
      <c r="AU857" s="328"/>
      <c r="AV857" s="328"/>
      <c r="AW857" s="328"/>
      <c r="AX857" s="328"/>
      <c r="AY857" s="954"/>
      <c r="AZ857" s="36"/>
      <c r="BA857" s="36"/>
      <c r="BB857" s="36"/>
      <c r="BC857" s="36"/>
      <c r="BD857" s="36"/>
      <c r="BF857">
        <f>ROWS($U$46:U857)</f>
        <v>812</v>
      </c>
      <c r="BG857" t="str">
        <f t="shared" si="216"/>
        <v/>
      </c>
    </row>
    <row r="858" spans="11:59" ht="15" customHeight="1" x14ac:dyDescent="0.35">
      <c r="O858" s="329">
        <v>1</v>
      </c>
      <c r="P858" s="320">
        <v>1100696</v>
      </c>
      <c r="Q858" s="320">
        <v>17</v>
      </c>
      <c r="R858" s="320"/>
      <c r="S858" s="320" t="s">
        <v>1319</v>
      </c>
      <c r="T858" s="320" t="s">
        <v>1372</v>
      </c>
      <c r="U858" s="320">
        <v>1137349</v>
      </c>
      <c r="V858" s="319" t="s">
        <v>87</v>
      </c>
      <c r="W858" s="320">
        <v>1</v>
      </c>
      <c r="X858" s="320">
        <v>1</v>
      </c>
      <c r="Y858" s="320">
        <v>1</v>
      </c>
      <c r="Z858" s="320">
        <v>1</v>
      </c>
      <c r="AA858" s="320">
        <v>1</v>
      </c>
      <c r="AB858" s="320">
        <v>3</v>
      </c>
      <c r="AC858" s="320">
        <v>2</v>
      </c>
      <c r="AD858" s="320">
        <v>2</v>
      </c>
      <c r="AE858" s="320"/>
      <c r="AF858" s="320"/>
      <c r="AG858" s="320"/>
      <c r="AH858" s="320"/>
      <c r="AI858" s="320"/>
      <c r="AJ858" s="320"/>
      <c r="AK858" s="320"/>
      <c r="AL858" s="320"/>
      <c r="AM858" s="320"/>
      <c r="AN858" s="320"/>
      <c r="AO858" s="320"/>
      <c r="AP858" s="320"/>
      <c r="AQ858" s="320"/>
      <c r="AR858" s="320"/>
      <c r="AS858" s="320"/>
      <c r="AT858" s="320"/>
      <c r="AU858" s="320"/>
      <c r="AV858" s="320"/>
      <c r="AW858" s="320"/>
      <c r="AX858" s="320"/>
      <c r="AY858" s="952"/>
      <c r="AZ858" s="36"/>
      <c r="BA858" s="36"/>
      <c r="BB858" s="36"/>
      <c r="BC858" s="36"/>
      <c r="BD858" s="36"/>
      <c r="BF858">
        <f>ROWS($U$46:U858)</f>
        <v>813</v>
      </c>
      <c r="BG858" t="str">
        <f t="shared" si="216"/>
        <v/>
      </c>
    </row>
    <row r="859" spans="11:59" ht="15" customHeight="1" x14ac:dyDescent="0.35">
      <c r="O859" s="330">
        <v>2</v>
      </c>
      <c r="P859" s="36">
        <v>418525</v>
      </c>
      <c r="Q859" s="36">
        <v>10</v>
      </c>
      <c r="R859" s="36"/>
      <c r="S859" s="36" t="s">
        <v>1319</v>
      </c>
      <c r="T859" s="36" t="s">
        <v>1372</v>
      </c>
      <c r="U859" s="36">
        <v>1137349</v>
      </c>
      <c r="V859" s="165" t="s">
        <v>88</v>
      </c>
      <c r="W859" s="36">
        <v>1</v>
      </c>
      <c r="X859" s="36">
        <v>1</v>
      </c>
      <c r="Y859" s="36">
        <v>3</v>
      </c>
      <c r="Z859" s="36">
        <v>2</v>
      </c>
      <c r="AA859" s="36">
        <v>2</v>
      </c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953"/>
      <c r="AZ859" s="36"/>
      <c r="BA859" s="36"/>
      <c r="BB859" s="36"/>
      <c r="BC859" s="36"/>
      <c r="BD859" s="36"/>
      <c r="BF859">
        <f>ROWS($U$46:U859)</f>
        <v>814</v>
      </c>
      <c r="BG859" t="str">
        <f t="shared" si="216"/>
        <v/>
      </c>
    </row>
    <row r="860" spans="11:59" ht="15" customHeight="1" x14ac:dyDescent="0.35">
      <c r="O860" s="330">
        <v>3</v>
      </c>
      <c r="P860" s="36">
        <v>1146346</v>
      </c>
      <c r="Q860" s="36">
        <v>6</v>
      </c>
      <c r="R860" s="36"/>
      <c r="S860" s="36" t="s">
        <v>1319</v>
      </c>
      <c r="T860" s="36" t="s">
        <v>1372</v>
      </c>
      <c r="U860" s="36">
        <v>1137349</v>
      </c>
      <c r="V860" s="165" t="s">
        <v>89</v>
      </c>
      <c r="W860" s="36">
        <v>1</v>
      </c>
      <c r="X860" s="36">
        <v>1</v>
      </c>
      <c r="Y860" s="36">
        <v>1</v>
      </c>
      <c r="Z860" s="36">
        <v>1</v>
      </c>
      <c r="AA860" s="36">
        <v>3</v>
      </c>
      <c r="AB860" s="36">
        <v>2</v>
      </c>
      <c r="AC860" s="36">
        <v>2</v>
      </c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953"/>
      <c r="AZ860" s="36"/>
      <c r="BA860" s="36"/>
      <c r="BB860" s="36"/>
      <c r="BC860" s="36"/>
      <c r="BD860" s="36"/>
      <c r="BF860">
        <f>ROWS($U$46:U860)</f>
        <v>815</v>
      </c>
      <c r="BG860" t="str">
        <f t="shared" si="216"/>
        <v/>
      </c>
    </row>
    <row r="861" spans="11:59" ht="15" customHeight="1" x14ac:dyDescent="0.35">
      <c r="O861" s="330"/>
      <c r="P861" s="36"/>
      <c r="Q861" s="36"/>
      <c r="R861" s="36"/>
      <c r="S861" s="36" t="s">
        <v>1319</v>
      </c>
      <c r="T861" s="36" t="s">
        <v>1372</v>
      </c>
      <c r="U861" s="36">
        <v>1137349</v>
      </c>
      <c r="V861" s="165" t="s">
        <v>90</v>
      </c>
      <c r="W861" s="36">
        <v>1</v>
      </c>
      <c r="X861" s="36">
        <v>1</v>
      </c>
      <c r="Y861" s="36">
        <v>1</v>
      </c>
      <c r="Z861" s="36">
        <v>1</v>
      </c>
      <c r="AA861" s="36">
        <v>3</v>
      </c>
      <c r="AB861" s="36">
        <v>3</v>
      </c>
      <c r="AC861" s="36">
        <v>2</v>
      </c>
      <c r="AD861" s="36">
        <v>2</v>
      </c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  <c r="AW861" s="36"/>
      <c r="AX861" s="36"/>
      <c r="AY861" s="953"/>
      <c r="AZ861" s="36"/>
      <c r="BA861" s="36"/>
      <c r="BB861" s="36"/>
      <c r="BC861" s="36"/>
      <c r="BD861" s="36"/>
      <c r="BF861">
        <f>ROWS($U$46:U861)</f>
        <v>816</v>
      </c>
      <c r="BG861" t="str">
        <f t="shared" si="216"/>
        <v/>
      </c>
    </row>
    <row r="862" spans="11:59" ht="15" customHeight="1" thickBot="1" x14ac:dyDescent="0.4">
      <c r="O862" s="331"/>
      <c r="P862" s="328"/>
      <c r="Q862" s="328"/>
      <c r="R862" s="328"/>
      <c r="S862" s="328" t="s">
        <v>1319</v>
      </c>
      <c r="T862" s="328" t="s">
        <v>1372</v>
      </c>
      <c r="U862" s="328">
        <v>1137349</v>
      </c>
      <c r="V862" s="327" t="s">
        <v>91</v>
      </c>
      <c r="W862" s="328">
        <v>1</v>
      </c>
      <c r="X862" s="328">
        <v>1</v>
      </c>
      <c r="Y862" s="328">
        <v>3</v>
      </c>
      <c r="Z862" s="328">
        <v>2</v>
      </c>
      <c r="AA862" s="328">
        <v>2</v>
      </c>
      <c r="AB862" s="328"/>
      <c r="AC862" s="328"/>
      <c r="AD862" s="328"/>
      <c r="AE862" s="328"/>
      <c r="AF862" s="328"/>
      <c r="AG862" s="328"/>
      <c r="AH862" s="328"/>
      <c r="AI862" s="328"/>
      <c r="AJ862" s="328"/>
      <c r="AK862" s="328"/>
      <c r="AL862" s="328"/>
      <c r="AM862" s="328"/>
      <c r="AN862" s="328"/>
      <c r="AO862" s="328"/>
      <c r="AP862" s="328"/>
      <c r="AQ862" s="328"/>
      <c r="AR862" s="328"/>
      <c r="AS862" s="328"/>
      <c r="AT862" s="328"/>
      <c r="AU862" s="328"/>
      <c r="AV862" s="328"/>
      <c r="AW862" s="328"/>
      <c r="AX862" s="328"/>
      <c r="AY862" s="954"/>
      <c r="AZ862" s="36"/>
      <c r="BA862" s="36"/>
      <c r="BB862" s="36"/>
      <c r="BC862" s="36"/>
      <c r="BD862" s="36"/>
      <c r="BF862">
        <f>ROWS($U$46:U862)</f>
        <v>817</v>
      </c>
      <c r="BG862" t="str">
        <f t="shared" si="216"/>
        <v/>
      </c>
    </row>
    <row r="863" spans="11:59" ht="15" customHeight="1" x14ac:dyDescent="0.35">
      <c r="O863" s="329">
        <v>1</v>
      </c>
      <c r="P863" s="320">
        <v>729691</v>
      </c>
      <c r="Q863" s="320">
        <v>90</v>
      </c>
      <c r="R863" s="320"/>
      <c r="S863" s="320" t="s">
        <v>1126</v>
      </c>
      <c r="T863" s="320" t="s">
        <v>1441</v>
      </c>
      <c r="U863" s="320">
        <v>756537</v>
      </c>
      <c r="V863" s="319" t="s">
        <v>87</v>
      </c>
      <c r="W863" s="320">
        <v>1</v>
      </c>
      <c r="X863" s="320">
        <v>1</v>
      </c>
      <c r="Y863" s="320">
        <v>1</v>
      </c>
      <c r="Z863" s="320">
        <v>1</v>
      </c>
      <c r="AA863" s="320">
        <v>1</v>
      </c>
      <c r="AB863" s="320">
        <v>1</v>
      </c>
      <c r="AC863" s="320">
        <v>1</v>
      </c>
      <c r="AD863" s="320">
        <v>1</v>
      </c>
      <c r="AE863" s="320">
        <v>1</v>
      </c>
      <c r="AF863" s="320">
        <v>1</v>
      </c>
      <c r="AG863" s="320">
        <v>1</v>
      </c>
      <c r="AH863" s="320">
        <v>1</v>
      </c>
      <c r="AI863" s="320">
        <v>1</v>
      </c>
      <c r="AJ863" s="320">
        <v>1</v>
      </c>
      <c r="AK863" s="320">
        <v>3</v>
      </c>
      <c r="AL863" s="320">
        <v>4</v>
      </c>
      <c r="AM863" s="320"/>
      <c r="AN863" s="320"/>
      <c r="AO863" s="320">
        <v>2</v>
      </c>
      <c r="AP863" s="320">
        <v>2</v>
      </c>
      <c r="AQ863" s="320">
        <v>2</v>
      </c>
      <c r="AR863" s="320">
        <v>2</v>
      </c>
      <c r="AS863" s="320">
        <v>2</v>
      </c>
      <c r="AT863" s="320">
        <v>2</v>
      </c>
      <c r="AU863" s="320"/>
      <c r="AV863" s="320"/>
      <c r="AW863" s="320"/>
      <c r="AX863" s="320"/>
      <c r="AY863" s="952"/>
      <c r="AZ863" s="36"/>
      <c r="BA863" s="36"/>
      <c r="BB863" s="36"/>
      <c r="BC863" s="36"/>
      <c r="BD863" s="36"/>
      <c r="BF863">
        <f>ROWS($U$46:U863)</f>
        <v>818</v>
      </c>
      <c r="BG863" t="str">
        <f t="shared" si="216"/>
        <v/>
      </c>
    </row>
    <row r="864" spans="11:59" ht="15" customHeight="1" x14ac:dyDescent="0.35">
      <c r="K864">
        <v>1913</v>
      </c>
      <c r="L864" s="10">
        <v>745576</v>
      </c>
      <c r="M864">
        <v>1130200</v>
      </c>
      <c r="O864" s="330">
        <v>2</v>
      </c>
      <c r="P864" s="36">
        <v>729688</v>
      </c>
      <c r="Q864" s="36">
        <v>48</v>
      </c>
      <c r="R864" s="36"/>
      <c r="S864" s="36" t="s">
        <v>1126</v>
      </c>
      <c r="T864" s="36" t="s">
        <v>1441</v>
      </c>
      <c r="U864" s="36">
        <v>756537</v>
      </c>
      <c r="V864" s="165" t="s">
        <v>88</v>
      </c>
      <c r="W864" s="36">
        <v>1</v>
      </c>
      <c r="X864" s="36">
        <v>1</v>
      </c>
      <c r="Y864" s="36">
        <v>1</v>
      </c>
      <c r="Z864" s="36">
        <v>1</v>
      </c>
      <c r="AA864" s="36">
        <v>1</v>
      </c>
      <c r="AB864" s="36">
        <v>1</v>
      </c>
      <c r="AC864" s="36">
        <v>1</v>
      </c>
      <c r="AD864" s="36">
        <v>1</v>
      </c>
      <c r="AE864" s="36">
        <v>1</v>
      </c>
      <c r="AF864" s="36">
        <v>1</v>
      </c>
      <c r="AG864" s="36">
        <v>3</v>
      </c>
      <c r="AH864" s="36">
        <v>3</v>
      </c>
      <c r="AI864" s="36"/>
      <c r="AJ864" s="36"/>
      <c r="AK864" s="36"/>
      <c r="AL864" s="36"/>
      <c r="AM864" s="36"/>
      <c r="AN864" s="36"/>
      <c r="AO864" s="36">
        <v>2</v>
      </c>
      <c r="AP864" s="36">
        <v>2</v>
      </c>
      <c r="AQ864" s="36">
        <v>2</v>
      </c>
      <c r="AR864" s="36">
        <v>2</v>
      </c>
      <c r="AS864" s="36">
        <v>2</v>
      </c>
      <c r="AT864" s="36">
        <v>2</v>
      </c>
      <c r="AU864" s="36"/>
      <c r="AV864" s="36"/>
      <c r="AW864" s="36"/>
      <c r="AX864" s="36"/>
      <c r="AY864" s="953"/>
      <c r="AZ864" s="36"/>
      <c r="BA864" s="36"/>
      <c r="BB864" s="36"/>
      <c r="BC864" s="36"/>
      <c r="BD864" s="36"/>
      <c r="BF864">
        <f>ROWS($U$46:U864)</f>
        <v>819</v>
      </c>
      <c r="BG864" t="str">
        <f t="shared" si="216"/>
        <v/>
      </c>
    </row>
    <row r="865" spans="11:59" ht="15" customHeight="1" x14ac:dyDescent="0.35">
      <c r="K865">
        <v>1613</v>
      </c>
      <c r="L865" s="10">
        <v>729691</v>
      </c>
      <c r="M865">
        <v>1130198</v>
      </c>
      <c r="O865" s="330">
        <v>3</v>
      </c>
      <c r="P865" s="36">
        <v>418525</v>
      </c>
      <c r="Q865" s="36">
        <v>12</v>
      </c>
      <c r="R865" s="36"/>
      <c r="S865" s="36" t="s">
        <v>1126</v>
      </c>
      <c r="T865" s="36" t="s">
        <v>1441</v>
      </c>
      <c r="U865" s="36">
        <v>756537</v>
      </c>
      <c r="V865" s="165" t="s">
        <v>89</v>
      </c>
      <c r="W865" s="36">
        <v>1</v>
      </c>
      <c r="X865" s="36">
        <v>1</v>
      </c>
      <c r="Y865" s="36">
        <v>1</v>
      </c>
      <c r="Z865" s="36">
        <v>1</v>
      </c>
      <c r="AA865" s="36">
        <v>1</v>
      </c>
      <c r="AB865" s="36">
        <v>1</v>
      </c>
      <c r="AC865" s="36">
        <v>1</v>
      </c>
      <c r="AD865" s="36">
        <v>1</v>
      </c>
      <c r="AE865" s="36">
        <v>1</v>
      </c>
      <c r="AF865" s="36">
        <v>1</v>
      </c>
      <c r="AG865" s="36">
        <v>3</v>
      </c>
      <c r="AH865" s="36">
        <v>4</v>
      </c>
      <c r="AI865" s="36"/>
      <c r="AJ865" s="36"/>
      <c r="AK865" s="36"/>
      <c r="AL865" s="36"/>
      <c r="AM865" s="36"/>
      <c r="AN865" s="36"/>
      <c r="AO865" s="36">
        <v>2</v>
      </c>
      <c r="AP865" s="36">
        <v>2</v>
      </c>
      <c r="AQ865" s="36">
        <v>2</v>
      </c>
      <c r="AR865" s="36">
        <v>2</v>
      </c>
      <c r="AS865" s="36">
        <v>2</v>
      </c>
      <c r="AT865" s="36">
        <v>2</v>
      </c>
      <c r="AU865" s="36"/>
      <c r="AV865" s="36"/>
      <c r="AW865" s="36"/>
      <c r="AX865" s="36"/>
      <c r="AY865" s="953"/>
      <c r="AZ865" s="36"/>
      <c r="BA865" s="36"/>
      <c r="BB865" s="36"/>
      <c r="BC865" s="36"/>
      <c r="BD865" s="36"/>
      <c r="BF865">
        <f>ROWS($U$46:U865)</f>
        <v>820</v>
      </c>
      <c r="BG865" t="str">
        <f t="shared" si="216"/>
        <v/>
      </c>
    </row>
    <row r="866" spans="11:59" ht="15" customHeight="1" x14ac:dyDescent="0.35">
      <c r="K866">
        <v>1313</v>
      </c>
      <c r="L866" s="10">
        <v>729689</v>
      </c>
      <c r="M866">
        <v>1130196</v>
      </c>
      <c r="O866" s="330">
        <v>4</v>
      </c>
      <c r="P866" s="36">
        <v>871781</v>
      </c>
      <c r="Q866" s="36">
        <v>4</v>
      </c>
      <c r="R866" s="36"/>
      <c r="S866" s="36" t="s">
        <v>1126</v>
      </c>
      <c r="T866" s="36" t="s">
        <v>1441</v>
      </c>
      <c r="U866" s="36">
        <v>756537</v>
      </c>
      <c r="V866" s="165" t="s">
        <v>90</v>
      </c>
      <c r="W866" s="36">
        <v>1</v>
      </c>
      <c r="X866" s="36">
        <v>1</v>
      </c>
      <c r="Y866" s="36">
        <v>1</v>
      </c>
      <c r="Z866" s="36">
        <v>1</v>
      </c>
      <c r="AA866" s="36">
        <v>1</v>
      </c>
      <c r="AB866" s="36">
        <v>1</v>
      </c>
      <c r="AC866" s="36">
        <v>1</v>
      </c>
      <c r="AD866" s="36">
        <v>1</v>
      </c>
      <c r="AE866" s="36">
        <v>1</v>
      </c>
      <c r="AF866" s="36">
        <v>1</v>
      </c>
      <c r="AG866" s="36">
        <v>1</v>
      </c>
      <c r="AH866" s="36">
        <v>1</v>
      </c>
      <c r="AI866" s="36">
        <v>1</v>
      </c>
      <c r="AJ866" s="36">
        <v>1</v>
      </c>
      <c r="AK866" s="36">
        <v>3</v>
      </c>
      <c r="AL866" s="36">
        <v>3</v>
      </c>
      <c r="AM866" s="36"/>
      <c r="AN866" s="36"/>
      <c r="AO866" s="36">
        <v>2</v>
      </c>
      <c r="AP866" s="36">
        <v>2</v>
      </c>
      <c r="AQ866" s="36">
        <v>2</v>
      </c>
      <c r="AR866" s="36">
        <v>2</v>
      </c>
      <c r="AS866" s="36">
        <v>2</v>
      </c>
      <c r="AT866" s="36">
        <v>2</v>
      </c>
      <c r="AU866" s="36"/>
      <c r="AV866" s="36"/>
      <c r="AW866" s="36"/>
      <c r="AX866" s="36"/>
      <c r="AY866" s="953"/>
      <c r="AZ866" s="36"/>
      <c r="BA866" s="36"/>
      <c r="BB866" s="36"/>
      <c r="BC866" s="36"/>
      <c r="BD866" s="36"/>
      <c r="BF866">
        <f>ROWS($U$46:U866)</f>
        <v>821</v>
      </c>
      <c r="BG866" t="str">
        <f t="shared" si="216"/>
        <v/>
      </c>
    </row>
    <row r="867" spans="11:59" ht="15" customHeight="1" x14ac:dyDescent="0.35">
      <c r="K867">
        <v>1308</v>
      </c>
      <c r="L867" s="10">
        <v>729688</v>
      </c>
      <c r="M867">
        <v>1134752</v>
      </c>
      <c r="O867" s="330"/>
      <c r="P867" s="36"/>
      <c r="Q867" s="36"/>
      <c r="R867" s="36"/>
      <c r="S867" s="36" t="s">
        <v>1126</v>
      </c>
      <c r="T867" s="36" t="s">
        <v>1441</v>
      </c>
      <c r="U867" s="36">
        <v>756537</v>
      </c>
      <c r="V867" s="165" t="s">
        <v>91</v>
      </c>
      <c r="W867" s="36">
        <v>1</v>
      </c>
      <c r="X867" s="36">
        <v>1</v>
      </c>
      <c r="Y867" s="36">
        <v>1</v>
      </c>
      <c r="Z867" s="36">
        <v>1</v>
      </c>
      <c r="AA867" s="36">
        <v>1</v>
      </c>
      <c r="AB867" s="36">
        <v>1</v>
      </c>
      <c r="AC867" s="36">
        <v>1</v>
      </c>
      <c r="AD867" s="36">
        <v>1</v>
      </c>
      <c r="AE867" s="36">
        <v>1</v>
      </c>
      <c r="AF867" s="36">
        <v>3</v>
      </c>
      <c r="AG867" s="36">
        <v>4</v>
      </c>
      <c r="AH867" s="36"/>
      <c r="AI867" s="36"/>
      <c r="AJ867" s="36"/>
      <c r="AK867" s="36"/>
      <c r="AL867" s="36"/>
      <c r="AM867" s="36"/>
      <c r="AN867" s="36"/>
      <c r="AO867" s="36">
        <v>2</v>
      </c>
      <c r="AP867" s="36">
        <v>2</v>
      </c>
      <c r="AQ867" s="36">
        <v>2</v>
      </c>
      <c r="AR867" s="36">
        <v>2</v>
      </c>
      <c r="AS867" s="36">
        <v>2</v>
      </c>
      <c r="AT867" s="36">
        <v>2</v>
      </c>
      <c r="AU867" s="36"/>
      <c r="AV867" s="36"/>
      <c r="AW867" s="36"/>
      <c r="AX867" s="36"/>
      <c r="AY867" s="953"/>
      <c r="AZ867" s="36"/>
      <c r="BA867" s="36"/>
      <c r="BB867" s="36"/>
      <c r="BC867" s="36"/>
      <c r="BD867" s="36"/>
      <c r="BF867">
        <f>ROWS($U$46:U867)</f>
        <v>822</v>
      </c>
      <c r="BG867" t="str">
        <f t="shared" si="216"/>
        <v/>
      </c>
    </row>
    <row r="868" spans="11:59" ht="15" customHeight="1" x14ac:dyDescent="0.35">
      <c r="O868" s="330"/>
      <c r="P868" s="36"/>
      <c r="Q868" s="36"/>
      <c r="R868" s="36"/>
      <c r="S868" s="36" t="s">
        <v>1126</v>
      </c>
      <c r="T868" s="36" t="s">
        <v>1441</v>
      </c>
      <c r="U868" s="36">
        <v>756537</v>
      </c>
      <c r="V868" s="165" t="s">
        <v>92</v>
      </c>
      <c r="W868" s="36">
        <v>1</v>
      </c>
      <c r="X868" s="36">
        <v>1</v>
      </c>
      <c r="Y868" s="36">
        <v>1</v>
      </c>
      <c r="Z868" s="36">
        <v>1</v>
      </c>
      <c r="AA868" s="36">
        <v>1</v>
      </c>
      <c r="AB868" s="36">
        <v>1</v>
      </c>
      <c r="AC868" s="36">
        <v>1</v>
      </c>
      <c r="AD868" s="36">
        <v>1</v>
      </c>
      <c r="AE868" s="36">
        <v>1</v>
      </c>
      <c r="AF868" s="36">
        <v>1</v>
      </c>
      <c r="AG868" s="36">
        <v>1</v>
      </c>
      <c r="AH868" s="36">
        <v>1</v>
      </c>
      <c r="AI868" s="36">
        <v>1</v>
      </c>
      <c r="AJ868" s="36">
        <v>1</v>
      </c>
      <c r="AK868" s="36">
        <v>3</v>
      </c>
      <c r="AL868" s="36">
        <v>3</v>
      </c>
      <c r="AM868" s="36"/>
      <c r="AN868" s="36"/>
      <c r="AO868" s="36">
        <v>2</v>
      </c>
      <c r="AP868" s="36">
        <v>2</v>
      </c>
      <c r="AQ868" s="36">
        <v>2</v>
      </c>
      <c r="AR868" s="36">
        <v>2</v>
      </c>
      <c r="AS868" s="36">
        <v>2</v>
      </c>
      <c r="AT868" s="36">
        <v>2</v>
      </c>
      <c r="AU868" s="36"/>
      <c r="AV868" s="36"/>
      <c r="AW868" s="36"/>
      <c r="AX868" s="36"/>
      <c r="AY868" s="953"/>
      <c r="AZ868" s="36"/>
      <c r="BA868" s="36"/>
      <c r="BB868" s="36"/>
      <c r="BC868" s="36"/>
      <c r="BD868" s="36"/>
      <c r="BF868">
        <f>ROWS($U$46:U868)</f>
        <v>823</v>
      </c>
      <c r="BG868" t="str">
        <f t="shared" si="216"/>
        <v/>
      </c>
    </row>
    <row r="869" spans="11:59" ht="15" customHeight="1" x14ac:dyDescent="0.35">
      <c r="O869" s="330"/>
      <c r="P869" s="36"/>
      <c r="Q869" s="36"/>
      <c r="R869" s="36"/>
      <c r="S869" s="36" t="s">
        <v>1126</v>
      </c>
      <c r="T869" s="36" t="s">
        <v>1441</v>
      </c>
      <c r="U869" s="36">
        <v>756537</v>
      </c>
      <c r="V869" s="165" t="s">
        <v>111</v>
      </c>
      <c r="W869" s="36">
        <v>1</v>
      </c>
      <c r="X869" s="36">
        <v>1</v>
      </c>
      <c r="Y869" s="36">
        <v>1</v>
      </c>
      <c r="Z869" s="36">
        <v>1</v>
      </c>
      <c r="AA869" s="36">
        <v>1</v>
      </c>
      <c r="AB869" s="36">
        <v>1</v>
      </c>
      <c r="AC869" s="36">
        <v>1</v>
      </c>
      <c r="AD869" s="36">
        <v>1</v>
      </c>
      <c r="AE869" s="36">
        <v>1</v>
      </c>
      <c r="AF869" s="36">
        <v>1</v>
      </c>
      <c r="AG869" s="36">
        <v>3</v>
      </c>
      <c r="AH869" s="36">
        <v>4</v>
      </c>
      <c r="AI869" s="36"/>
      <c r="AJ869" s="36"/>
      <c r="AK869" s="36"/>
      <c r="AL869" s="36"/>
      <c r="AM869" s="36"/>
      <c r="AN869" s="36"/>
      <c r="AO869" s="36">
        <v>2</v>
      </c>
      <c r="AP869" s="36">
        <v>2</v>
      </c>
      <c r="AQ869" s="36">
        <v>2</v>
      </c>
      <c r="AR869" s="36">
        <v>2</v>
      </c>
      <c r="AS869" s="36">
        <v>2</v>
      </c>
      <c r="AT869" s="36">
        <v>2</v>
      </c>
      <c r="AU869" s="36"/>
      <c r="AV869" s="36"/>
      <c r="AW869" s="36"/>
      <c r="AX869" s="36"/>
      <c r="AY869" s="953"/>
      <c r="AZ869" s="36"/>
      <c r="BA869" s="36"/>
      <c r="BB869" s="36"/>
      <c r="BC869" s="36"/>
      <c r="BD869" s="36"/>
      <c r="BF869">
        <f>ROWS($U$46:U869)</f>
        <v>824</v>
      </c>
      <c r="BG869" t="str">
        <f t="shared" si="216"/>
        <v/>
      </c>
    </row>
    <row r="870" spans="11:59" ht="15" customHeight="1" thickBot="1" x14ac:dyDescent="0.4">
      <c r="O870" s="331"/>
      <c r="P870" s="328"/>
      <c r="Q870" s="328"/>
      <c r="R870" s="328"/>
      <c r="S870" s="328" t="s">
        <v>1126</v>
      </c>
      <c r="T870" s="328" t="s">
        <v>1441</v>
      </c>
      <c r="U870" s="328">
        <v>756537</v>
      </c>
      <c r="V870" s="327" t="s">
        <v>112</v>
      </c>
      <c r="W870" s="328">
        <v>1</v>
      </c>
      <c r="X870" s="328">
        <v>1</v>
      </c>
      <c r="Y870" s="328">
        <v>1</v>
      </c>
      <c r="Z870" s="328">
        <v>1</v>
      </c>
      <c r="AA870" s="328">
        <v>1</v>
      </c>
      <c r="AB870" s="328">
        <v>1</v>
      </c>
      <c r="AC870" s="328">
        <v>1</v>
      </c>
      <c r="AD870" s="328">
        <v>1</v>
      </c>
      <c r="AE870" s="328">
        <v>1</v>
      </c>
      <c r="AF870" s="328">
        <v>3</v>
      </c>
      <c r="AG870" s="328">
        <v>3</v>
      </c>
      <c r="AH870" s="328"/>
      <c r="AI870" s="328"/>
      <c r="AJ870" s="328"/>
      <c r="AK870" s="328"/>
      <c r="AL870" s="328"/>
      <c r="AM870" s="328"/>
      <c r="AN870" s="328"/>
      <c r="AO870" s="328">
        <v>2</v>
      </c>
      <c r="AP870" s="328">
        <v>2</v>
      </c>
      <c r="AQ870" s="328">
        <v>2</v>
      </c>
      <c r="AR870" s="328">
        <v>2</v>
      </c>
      <c r="AS870" s="328">
        <v>2</v>
      </c>
      <c r="AT870" s="328">
        <v>2</v>
      </c>
      <c r="AU870" s="328"/>
      <c r="AV870" s="328"/>
      <c r="AW870" s="328"/>
      <c r="AX870" s="328"/>
      <c r="AY870" s="954"/>
      <c r="AZ870" s="36"/>
      <c r="BA870" s="36"/>
      <c r="BB870" s="36"/>
      <c r="BC870" s="36"/>
      <c r="BD870" s="36"/>
      <c r="BF870">
        <f>ROWS($U$46:U870)</f>
        <v>825</v>
      </c>
      <c r="BG870" t="str">
        <f t="shared" si="216"/>
        <v/>
      </c>
    </row>
    <row r="871" spans="11:59" ht="15" customHeight="1" x14ac:dyDescent="0.35">
      <c r="O871" s="329">
        <v>1</v>
      </c>
      <c r="P871" s="320">
        <v>729691</v>
      </c>
      <c r="Q871" s="320">
        <v>51</v>
      </c>
      <c r="R871" s="320"/>
      <c r="S871" s="552" t="s">
        <v>1207</v>
      </c>
      <c r="T871" s="320" t="s">
        <v>1442</v>
      </c>
      <c r="U871" s="320">
        <v>756502</v>
      </c>
      <c r="V871" s="319" t="s">
        <v>87</v>
      </c>
      <c r="W871" s="320">
        <v>1</v>
      </c>
      <c r="X871" s="320">
        <v>1</v>
      </c>
      <c r="Y871" s="320">
        <v>1</v>
      </c>
      <c r="Z871" s="320">
        <v>1</v>
      </c>
      <c r="AA871" s="320">
        <v>1</v>
      </c>
      <c r="AB871" s="320">
        <v>1</v>
      </c>
      <c r="AC871" s="320">
        <v>1</v>
      </c>
      <c r="AD871" s="320">
        <v>1</v>
      </c>
      <c r="AE871" s="320">
        <v>1</v>
      </c>
      <c r="AF871" s="320">
        <v>2</v>
      </c>
      <c r="AG871" s="320">
        <v>2</v>
      </c>
      <c r="AH871" s="320">
        <v>3</v>
      </c>
      <c r="AI871" s="320"/>
      <c r="AJ871" s="320">
        <v>4</v>
      </c>
      <c r="AK871" s="320">
        <v>4</v>
      </c>
      <c r="AL871" s="320">
        <v>4</v>
      </c>
      <c r="AM871" s="320"/>
      <c r="AN871" s="320"/>
      <c r="AO871" s="320"/>
      <c r="AP871" s="320"/>
      <c r="AQ871" s="320"/>
      <c r="AR871" s="320"/>
      <c r="AS871" s="320"/>
      <c r="AT871" s="320"/>
      <c r="AU871" s="320"/>
      <c r="AV871" s="320"/>
      <c r="AW871" s="320"/>
      <c r="AX871" s="320"/>
      <c r="AY871" s="952"/>
      <c r="AZ871" s="36"/>
      <c r="BA871" s="36"/>
      <c r="BB871" s="36"/>
      <c r="BC871" s="36"/>
      <c r="BD871" s="36"/>
      <c r="BF871">
        <f>ROWS($U$46:U871)</f>
        <v>826</v>
      </c>
      <c r="BG871" t="str">
        <f t="shared" si="216"/>
        <v/>
      </c>
    </row>
    <row r="872" spans="11:59" ht="15" customHeight="1" x14ac:dyDescent="0.35">
      <c r="O872" s="330">
        <v>2</v>
      </c>
      <c r="P872" s="36">
        <v>179692</v>
      </c>
      <c r="Q872" s="36">
        <v>14</v>
      </c>
      <c r="R872" s="36"/>
      <c r="S872" s="553" t="s">
        <v>1207</v>
      </c>
      <c r="T872" s="36" t="s">
        <v>1442</v>
      </c>
      <c r="U872" s="36">
        <v>756502</v>
      </c>
      <c r="V872" s="165" t="s">
        <v>88</v>
      </c>
      <c r="W872" s="36">
        <v>1</v>
      </c>
      <c r="X872" s="36">
        <v>1</v>
      </c>
      <c r="Y872" s="36">
        <v>1</v>
      </c>
      <c r="Z872" s="36">
        <v>1</v>
      </c>
      <c r="AA872" s="36">
        <v>1</v>
      </c>
      <c r="AB872" s="36">
        <v>1</v>
      </c>
      <c r="AC872" s="36">
        <v>2</v>
      </c>
      <c r="AD872" s="36">
        <v>2</v>
      </c>
      <c r="AE872" s="36">
        <v>3</v>
      </c>
      <c r="AF872" s="36"/>
      <c r="AG872" s="36"/>
      <c r="AH872" s="36"/>
      <c r="AI872" s="36"/>
      <c r="AJ872" s="36">
        <v>4</v>
      </c>
      <c r="AK872" s="36">
        <v>4</v>
      </c>
      <c r="AL872" s="36">
        <v>4</v>
      </c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  <c r="AW872" s="36"/>
      <c r="AX872" s="36"/>
      <c r="AY872" s="953"/>
      <c r="AZ872" s="36"/>
      <c r="BA872" s="36"/>
      <c r="BB872" s="36"/>
      <c r="BC872" s="36"/>
      <c r="BD872" s="36"/>
      <c r="BF872">
        <f>ROWS($U$46:U872)</f>
        <v>827</v>
      </c>
      <c r="BG872" t="str">
        <f t="shared" si="216"/>
        <v/>
      </c>
    </row>
    <row r="873" spans="11:59" ht="15" customHeight="1" x14ac:dyDescent="0.35">
      <c r="O873" s="330">
        <v>3</v>
      </c>
      <c r="P873" s="36">
        <v>418525</v>
      </c>
      <c r="Q873" s="36">
        <v>7</v>
      </c>
      <c r="R873" s="36"/>
      <c r="S873" s="553" t="s">
        <v>1207</v>
      </c>
      <c r="T873" s="36" t="s">
        <v>1442</v>
      </c>
      <c r="U873" s="36">
        <v>756502</v>
      </c>
      <c r="V873" s="165" t="s">
        <v>89</v>
      </c>
      <c r="W873" s="36">
        <v>1</v>
      </c>
      <c r="X873" s="36">
        <v>1</v>
      </c>
      <c r="Y873" s="36">
        <v>1</v>
      </c>
      <c r="Z873" s="36">
        <v>1</v>
      </c>
      <c r="AA873" s="36">
        <v>1</v>
      </c>
      <c r="AB873" s="36">
        <v>1</v>
      </c>
      <c r="AC873" s="36">
        <v>1</v>
      </c>
      <c r="AD873" s="36">
        <v>1</v>
      </c>
      <c r="AE873" s="36">
        <v>1</v>
      </c>
      <c r="AF873" s="36">
        <v>2</v>
      </c>
      <c r="AG873" s="36">
        <v>2</v>
      </c>
      <c r="AH873" s="36">
        <v>3</v>
      </c>
      <c r="AI873" s="36"/>
      <c r="AJ873" s="36">
        <v>4</v>
      </c>
      <c r="AK873" s="36">
        <v>4</v>
      </c>
      <c r="AL873" s="36">
        <v>4</v>
      </c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  <c r="AW873" s="36"/>
      <c r="AX873" s="36"/>
      <c r="AY873" s="953"/>
      <c r="AZ873" s="36"/>
      <c r="BA873" s="36"/>
      <c r="BB873" s="36"/>
      <c r="BC873" s="36"/>
      <c r="BD873" s="36"/>
      <c r="BF873">
        <f>ROWS($U$46:U873)</f>
        <v>828</v>
      </c>
      <c r="BG873" t="str">
        <f t="shared" si="216"/>
        <v/>
      </c>
    </row>
    <row r="874" spans="11:59" ht="15" customHeight="1" x14ac:dyDescent="0.35">
      <c r="O874" s="330">
        <v>4</v>
      </c>
      <c r="P874" s="36">
        <v>410851</v>
      </c>
      <c r="Q874" s="36">
        <v>21</v>
      </c>
      <c r="R874" s="36"/>
      <c r="S874" s="553" t="s">
        <v>1207</v>
      </c>
      <c r="T874" s="36" t="s">
        <v>1442</v>
      </c>
      <c r="U874" s="36">
        <v>756502</v>
      </c>
      <c r="V874" s="165" t="s">
        <v>90</v>
      </c>
      <c r="W874" s="36">
        <v>1</v>
      </c>
      <c r="X874" s="36">
        <v>1</v>
      </c>
      <c r="Y874" s="36">
        <v>1</v>
      </c>
      <c r="Z874" s="36">
        <v>1</v>
      </c>
      <c r="AA874" s="36">
        <v>1</v>
      </c>
      <c r="AB874" s="36">
        <v>1</v>
      </c>
      <c r="AC874" s="36">
        <v>2</v>
      </c>
      <c r="AD874" s="36">
        <v>2</v>
      </c>
      <c r="AE874" s="36">
        <v>3</v>
      </c>
      <c r="AF874" s="36"/>
      <c r="AG874" s="36"/>
      <c r="AH874" s="36"/>
      <c r="AI874" s="36"/>
      <c r="AJ874" s="36">
        <v>4</v>
      </c>
      <c r="AK874" s="36">
        <v>4</v>
      </c>
      <c r="AL874" s="36">
        <v>4</v>
      </c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  <c r="AW874" s="36"/>
      <c r="AX874" s="36"/>
      <c r="AY874" s="953"/>
      <c r="AZ874" s="36"/>
      <c r="BA874" s="36"/>
      <c r="BB874" s="36"/>
      <c r="BC874" s="36"/>
      <c r="BD874" s="36"/>
      <c r="BF874">
        <f>ROWS($U$46:U874)</f>
        <v>829</v>
      </c>
      <c r="BG874" t="str">
        <f t="shared" si="216"/>
        <v/>
      </c>
    </row>
    <row r="875" spans="11:59" ht="15" customHeight="1" x14ac:dyDescent="0.35">
      <c r="O875" s="330"/>
      <c r="P875" s="36"/>
      <c r="Q875" s="36"/>
      <c r="R875" s="36"/>
      <c r="S875" s="553" t="s">
        <v>1207</v>
      </c>
      <c r="T875" s="36" t="s">
        <v>1442</v>
      </c>
      <c r="U875" s="36">
        <v>756502</v>
      </c>
      <c r="V875" s="165" t="s">
        <v>91</v>
      </c>
      <c r="W875" s="36">
        <v>1</v>
      </c>
      <c r="X875" s="36">
        <v>1</v>
      </c>
      <c r="Y875" s="36">
        <v>1</v>
      </c>
      <c r="Z875" s="36">
        <v>1</v>
      </c>
      <c r="AA875" s="36">
        <v>1</v>
      </c>
      <c r="AB875" s="36">
        <v>1</v>
      </c>
      <c r="AC875" s="36">
        <v>1</v>
      </c>
      <c r="AD875" s="36">
        <v>1</v>
      </c>
      <c r="AE875" s="36">
        <v>1</v>
      </c>
      <c r="AF875" s="36">
        <v>2</v>
      </c>
      <c r="AG875" s="36">
        <v>2</v>
      </c>
      <c r="AH875" s="36">
        <v>3</v>
      </c>
      <c r="AI875" s="36"/>
      <c r="AJ875" s="36">
        <v>4</v>
      </c>
      <c r="AK875" s="36">
        <v>4</v>
      </c>
      <c r="AL875" s="36">
        <v>4</v>
      </c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  <c r="AW875" s="36"/>
      <c r="AX875" s="36"/>
      <c r="AY875" s="953"/>
      <c r="AZ875" s="36"/>
      <c r="BA875" s="36"/>
      <c r="BB875" s="36"/>
      <c r="BC875" s="36"/>
      <c r="BD875" s="36"/>
      <c r="BF875">
        <f>ROWS($U$46:U875)</f>
        <v>830</v>
      </c>
      <c r="BG875" t="str">
        <f t="shared" si="216"/>
        <v/>
      </c>
    </row>
    <row r="876" spans="11:59" ht="15" customHeight="1" x14ac:dyDescent="0.35">
      <c r="O876" s="330"/>
      <c r="P876" s="36"/>
      <c r="Q876" s="36"/>
      <c r="R876" s="36"/>
      <c r="S876" s="553" t="s">
        <v>1207</v>
      </c>
      <c r="T876" s="36" t="s">
        <v>1442</v>
      </c>
      <c r="U876" s="36">
        <v>756502</v>
      </c>
      <c r="V876" s="165" t="s">
        <v>92</v>
      </c>
      <c r="W876" s="36">
        <v>1</v>
      </c>
      <c r="X876" s="36">
        <v>1</v>
      </c>
      <c r="Y876" s="36">
        <v>1</v>
      </c>
      <c r="Z876" s="36">
        <v>1</v>
      </c>
      <c r="AA876" s="36">
        <v>1</v>
      </c>
      <c r="AB876" s="36">
        <v>1</v>
      </c>
      <c r="AC876" s="36">
        <v>2</v>
      </c>
      <c r="AD876" s="36">
        <v>2</v>
      </c>
      <c r="AE876" s="36">
        <v>3</v>
      </c>
      <c r="AF876" s="36"/>
      <c r="AG876" s="36"/>
      <c r="AH876" s="36"/>
      <c r="AI876" s="36"/>
      <c r="AJ876" s="36">
        <v>4</v>
      </c>
      <c r="AK876" s="36">
        <v>4</v>
      </c>
      <c r="AL876" s="36">
        <v>4</v>
      </c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  <c r="AW876" s="36"/>
      <c r="AX876" s="36"/>
      <c r="AY876" s="953"/>
      <c r="AZ876" s="36"/>
      <c r="BA876" s="36"/>
      <c r="BB876" s="36"/>
      <c r="BC876" s="36"/>
      <c r="BD876" s="36"/>
      <c r="BF876">
        <f>ROWS($U$46:U876)</f>
        <v>831</v>
      </c>
      <c r="BG876" t="str">
        <f t="shared" si="216"/>
        <v/>
      </c>
    </row>
    <row r="877" spans="11:59" ht="15" customHeight="1" thickBot="1" x14ac:dyDescent="0.4">
      <c r="O877" s="331"/>
      <c r="P877" s="328"/>
      <c r="Q877" s="328"/>
      <c r="R877" s="328"/>
      <c r="S877" s="554" t="s">
        <v>1207</v>
      </c>
      <c r="T877" s="328" t="s">
        <v>1442</v>
      </c>
      <c r="U877" s="328">
        <v>756502</v>
      </c>
      <c r="V877" s="327" t="s">
        <v>111</v>
      </c>
      <c r="W877" s="328">
        <v>1</v>
      </c>
      <c r="X877" s="328">
        <v>1</v>
      </c>
      <c r="Y877" s="328">
        <v>1</v>
      </c>
      <c r="Z877" s="328">
        <v>1</v>
      </c>
      <c r="AA877" s="328">
        <v>1</v>
      </c>
      <c r="AB877" s="328">
        <v>1</v>
      </c>
      <c r="AC877" s="328">
        <v>2</v>
      </c>
      <c r="AD877" s="328">
        <v>2</v>
      </c>
      <c r="AE877" s="328">
        <v>3</v>
      </c>
      <c r="AF877" s="328"/>
      <c r="AG877" s="328"/>
      <c r="AH877" s="328"/>
      <c r="AI877" s="328"/>
      <c r="AJ877" s="328">
        <v>4</v>
      </c>
      <c r="AK877" s="328">
        <v>4</v>
      </c>
      <c r="AL877" s="328">
        <v>4</v>
      </c>
      <c r="AM877" s="328"/>
      <c r="AN877" s="328"/>
      <c r="AO877" s="328"/>
      <c r="AP877" s="328"/>
      <c r="AQ877" s="328"/>
      <c r="AR877" s="328"/>
      <c r="AS877" s="328"/>
      <c r="AT877" s="328"/>
      <c r="AU877" s="328"/>
      <c r="AV877" s="328"/>
      <c r="AW877" s="328"/>
      <c r="AX877" s="328"/>
      <c r="AY877" s="954"/>
      <c r="AZ877" s="36"/>
      <c r="BA877" s="36"/>
      <c r="BB877" s="36"/>
      <c r="BC877" s="36"/>
      <c r="BD877" s="36"/>
      <c r="BF877">
        <f>ROWS($U$46:U877)</f>
        <v>832</v>
      </c>
      <c r="BG877" t="str">
        <f t="shared" si="216"/>
        <v/>
      </c>
    </row>
    <row r="878" spans="11:59" ht="15" customHeight="1" x14ac:dyDescent="0.35">
      <c r="O878" s="329">
        <v>1</v>
      </c>
      <c r="P878" s="320">
        <v>729691</v>
      </c>
      <c r="Q878" s="320">
        <v>51</v>
      </c>
      <c r="R878" s="320"/>
      <c r="S878" s="552" t="s">
        <v>1207</v>
      </c>
      <c r="T878" s="320" t="s">
        <v>1443</v>
      </c>
      <c r="U878" s="320">
        <v>866362</v>
      </c>
      <c r="V878" s="319" t="s">
        <v>87</v>
      </c>
      <c r="W878" s="320">
        <v>1</v>
      </c>
      <c r="X878" s="320">
        <v>1</v>
      </c>
      <c r="Y878" s="320">
        <v>1</v>
      </c>
      <c r="Z878" s="320">
        <v>1</v>
      </c>
      <c r="AA878" s="320">
        <v>1</v>
      </c>
      <c r="AB878" s="320">
        <v>1</v>
      </c>
      <c r="AC878" s="320">
        <v>1</v>
      </c>
      <c r="AD878" s="320">
        <v>1</v>
      </c>
      <c r="AE878" s="320">
        <v>1</v>
      </c>
      <c r="AF878" s="320">
        <v>2</v>
      </c>
      <c r="AG878" s="320">
        <v>2</v>
      </c>
      <c r="AH878" s="320">
        <v>3</v>
      </c>
      <c r="AI878" s="320">
        <v>4</v>
      </c>
      <c r="AJ878" s="320"/>
      <c r="AK878" s="320">
        <v>5</v>
      </c>
      <c r="AL878" s="320">
        <v>5</v>
      </c>
      <c r="AM878" s="320">
        <v>5</v>
      </c>
      <c r="AN878" s="320"/>
      <c r="AO878" s="320"/>
      <c r="AP878" s="320"/>
      <c r="AQ878" s="320"/>
      <c r="AR878" s="320"/>
      <c r="AS878" s="320"/>
      <c r="AT878" s="320"/>
      <c r="AU878" s="320"/>
      <c r="AV878" s="320"/>
      <c r="AW878" s="320"/>
      <c r="AX878" s="320"/>
      <c r="AY878" s="952"/>
      <c r="AZ878" s="36"/>
      <c r="BA878" s="36"/>
      <c r="BB878" s="36"/>
      <c r="BC878" s="36"/>
      <c r="BD878" s="36"/>
      <c r="BF878">
        <f>ROWS($U$46:U878)</f>
        <v>833</v>
      </c>
      <c r="BG878" t="str">
        <f t="shared" si="216"/>
        <v/>
      </c>
    </row>
    <row r="879" spans="11:59" ht="15" customHeight="1" x14ac:dyDescent="0.35">
      <c r="O879" s="330">
        <v>2</v>
      </c>
      <c r="P879" s="36">
        <v>729689</v>
      </c>
      <c r="Q879" s="36">
        <v>14</v>
      </c>
      <c r="R879" s="36"/>
      <c r="S879" s="553" t="s">
        <v>1207</v>
      </c>
      <c r="T879" s="36" t="s">
        <v>1443</v>
      </c>
      <c r="U879" s="36">
        <v>866362</v>
      </c>
      <c r="V879" s="165" t="s">
        <v>88</v>
      </c>
      <c r="W879" s="36">
        <v>1</v>
      </c>
      <c r="X879" s="36">
        <v>1</v>
      </c>
      <c r="Y879" s="36">
        <v>1</v>
      </c>
      <c r="Z879" s="36">
        <v>1</v>
      </c>
      <c r="AA879" s="36">
        <v>1</v>
      </c>
      <c r="AB879" s="36">
        <v>1</v>
      </c>
      <c r="AC879" s="36">
        <v>2</v>
      </c>
      <c r="AD879" s="36">
        <v>2</v>
      </c>
      <c r="AE879" s="36">
        <v>3</v>
      </c>
      <c r="AF879" s="36">
        <v>4</v>
      </c>
      <c r="AG879" s="36"/>
      <c r="AH879" s="36"/>
      <c r="AI879" s="36"/>
      <c r="AJ879" s="36"/>
      <c r="AK879" s="36">
        <v>5</v>
      </c>
      <c r="AL879" s="36">
        <v>5</v>
      </c>
      <c r="AM879" s="36">
        <v>5</v>
      </c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953"/>
      <c r="AZ879" s="36"/>
      <c r="BA879" s="36"/>
      <c r="BB879" s="36"/>
      <c r="BC879" s="36"/>
      <c r="BD879" s="36"/>
      <c r="BF879">
        <f>ROWS($U$46:U879)</f>
        <v>834</v>
      </c>
      <c r="BG879" t="str">
        <f t="shared" ref="BG879:BG942" si="217">IF(VALUE(SUBSTITUTE($B$5,"M",""))=U879,BF879,"")</f>
        <v/>
      </c>
    </row>
    <row r="880" spans="11:59" ht="15" customHeight="1" x14ac:dyDescent="0.35">
      <c r="O880" s="330">
        <v>3</v>
      </c>
      <c r="P880" s="36">
        <v>418525</v>
      </c>
      <c r="Q880" s="36">
        <v>10</v>
      </c>
      <c r="R880" s="36"/>
      <c r="S880" s="553" t="s">
        <v>1207</v>
      </c>
      <c r="T880" s="36" t="s">
        <v>1443</v>
      </c>
      <c r="U880" s="36">
        <v>866362</v>
      </c>
      <c r="V880" s="165" t="s">
        <v>89</v>
      </c>
      <c r="W880" s="36">
        <v>1</v>
      </c>
      <c r="X880" s="36">
        <v>1</v>
      </c>
      <c r="Y880" s="36">
        <v>1</v>
      </c>
      <c r="Z880" s="36">
        <v>1</v>
      </c>
      <c r="AA880" s="36">
        <v>1</v>
      </c>
      <c r="AB880" s="36">
        <v>1</v>
      </c>
      <c r="AC880" s="36">
        <v>1</v>
      </c>
      <c r="AD880" s="36">
        <v>1</v>
      </c>
      <c r="AE880" s="36">
        <v>1</v>
      </c>
      <c r="AF880" s="36">
        <v>2</v>
      </c>
      <c r="AG880" s="36">
        <v>2</v>
      </c>
      <c r="AH880" s="36">
        <v>3</v>
      </c>
      <c r="AI880" s="36">
        <v>3</v>
      </c>
      <c r="AJ880" s="36"/>
      <c r="AK880" s="36">
        <v>5</v>
      </c>
      <c r="AL880" s="36">
        <v>5</v>
      </c>
      <c r="AM880" s="36">
        <v>5</v>
      </c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953"/>
      <c r="AZ880" s="36"/>
      <c r="BA880" s="36"/>
      <c r="BB880" s="36"/>
      <c r="BC880" s="36"/>
      <c r="BD880" s="36"/>
      <c r="BF880">
        <f>ROWS($U$46:U880)</f>
        <v>835</v>
      </c>
      <c r="BG880" t="str">
        <f t="shared" si="217"/>
        <v/>
      </c>
    </row>
    <row r="881" spans="14:59" ht="15" customHeight="1" x14ac:dyDescent="0.35">
      <c r="O881" s="330">
        <v>4</v>
      </c>
      <c r="P881" s="36">
        <v>871781</v>
      </c>
      <c r="Q881" s="36">
        <v>4</v>
      </c>
      <c r="R881" s="36"/>
      <c r="S881" s="553" t="s">
        <v>1207</v>
      </c>
      <c r="T881" s="36" t="s">
        <v>1443</v>
      </c>
      <c r="U881" s="36">
        <v>866362</v>
      </c>
      <c r="V881" s="165" t="s">
        <v>90</v>
      </c>
      <c r="W881" s="36">
        <v>1</v>
      </c>
      <c r="X881" s="36">
        <v>1</v>
      </c>
      <c r="Y881" s="36">
        <v>1</v>
      </c>
      <c r="Z881" s="36">
        <v>1</v>
      </c>
      <c r="AA881" s="36">
        <v>1</v>
      </c>
      <c r="AB881" s="36">
        <v>1</v>
      </c>
      <c r="AC881" s="36">
        <v>2</v>
      </c>
      <c r="AD881" s="36">
        <v>2</v>
      </c>
      <c r="AE881" s="36">
        <v>3</v>
      </c>
      <c r="AF881" s="36">
        <v>4</v>
      </c>
      <c r="AG881" s="36"/>
      <c r="AH881" s="36"/>
      <c r="AI881" s="36"/>
      <c r="AJ881" s="36"/>
      <c r="AK881" s="36">
        <v>5</v>
      </c>
      <c r="AL881" s="36">
        <v>5</v>
      </c>
      <c r="AM881" s="36">
        <v>5</v>
      </c>
      <c r="AN881" s="36"/>
      <c r="AO881" s="36"/>
      <c r="AP881" s="36"/>
      <c r="AQ881" s="36"/>
      <c r="AR881" s="36"/>
      <c r="AS881" s="36"/>
      <c r="AT881" s="36"/>
      <c r="AU881" s="36"/>
      <c r="AV881" s="36"/>
      <c r="AW881" s="36"/>
      <c r="AX881" s="36"/>
      <c r="AY881" s="953"/>
      <c r="AZ881" s="36"/>
      <c r="BA881" s="36"/>
      <c r="BB881" s="36"/>
      <c r="BC881" s="36"/>
      <c r="BD881" s="36"/>
      <c r="BF881">
        <f>ROWS($U$46:U881)</f>
        <v>836</v>
      </c>
      <c r="BG881" t="str">
        <f t="shared" si="217"/>
        <v/>
      </c>
    </row>
    <row r="882" spans="14:59" ht="15" customHeight="1" x14ac:dyDescent="0.35">
      <c r="O882" s="330">
        <v>5</v>
      </c>
      <c r="P882" s="36">
        <v>410851</v>
      </c>
      <c r="Q882" s="36">
        <v>21</v>
      </c>
      <c r="R882" s="36"/>
      <c r="S882" s="553" t="s">
        <v>1207</v>
      </c>
      <c r="T882" s="36" t="s">
        <v>1443</v>
      </c>
      <c r="U882" s="36">
        <v>866362</v>
      </c>
      <c r="V882" s="165" t="s">
        <v>91</v>
      </c>
      <c r="W882" s="36">
        <v>1</v>
      </c>
      <c r="X882" s="36">
        <v>1</v>
      </c>
      <c r="Y882" s="36">
        <v>1</v>
      </c>
      <c r="Z882" s="36">
        <v>1</v>
      </c>
      <c r="AA882" s="36">
        <v>1</v>
      </c>
      <c r="AB882" s="36">
        <v>1</v>
      </c>
      <c r="AC882" s="36">
        <v>1</v>
      </c>
      <c r="AD882" s="36">
        <v>1</v>
      </c>
      <c r="AE882" s="36">
        <v>1</v>
      </c>
      <c r="AF882" s="36">
        <v>2</v>
      </c>
      <c r="AG882" s="36">
        <v>2</v>
      </c>
      <c r="AH882" s="36">
        <v>3</v>
      </c>
      <c r="AI882" s="36">
        <v>3</v>
      </c>
      <c r="AJ882" s="36"/>
      <c r="AK882" s="36">
        <v>5</v>
      </c>
      <c r="AL882" s="36">
        <v>5</v>
      </c>
      <c r="AM882" s="36">
        <v>5</v>
      </c>
      <c r="AN882" s="36"/>
      <c r="AO882" s="36"/>
      <c r="AP882" s="36"/>
      <c r="AQ882" s="36"/>
      <c r="AR882" s="36"/>
      <c r="AS882" s="36"/>
      <c r="AT882" s="36"/>
      <c r="AU882" s="36"/>
      <c r="AV882" s="36"/>
      <c r="AW882" s="36"/>
      <c r="AX882" s="36"/>
      <c r="AY882" s="953"/>
      <c r="AZ882" s="36"/>
      <c r="BA882" s="36"/>
      <c r="BB882" s="36"/>
      <c r="BC882" s="36"/>
      <c r="BD882" s="36"/>
      <c r="BF882">
        <f>ROWS($U$46:U882)</f>
        <v>837</v>
      </c>
      <c r="BG882" t="str">
        <f t="shared" si="217"/>
        <v/>
      </c>
    </row>
    <row r="883" spans="14:59" ht="15" customHeight="1" x14ac:dyDescent="0.35">
      <c r="O883" s="330"/>
      <c r="P883" s="36"/>
      <c r="Q883" s="36"/>
      <c r="R883" s="36"/>
      <c r="S883" s="553" t="s">
        <v>1207</v>
      </c>
      <c r="T883" s="36" t="s">
        <v>1443</v>
      </c>
      <c r="U883" s="36">
        <v>866362</v>
      </c>
      <c r="V883" s="165" t="s">
        <v>92</v>
      </c>
      <c r="W883" s="36">
        <v>1</v>
      </c>
      <c r="X883" s="36">
        <v>1</v>
      </c>
      <c r="Y883" s="36">
        <v>1</v>
      </c>
      <c r="Z883" s="36">
        <v>1</v>
      </c>
      <c r="AA883" s="36">
        <v>1</v>
      </c>
      <c r="AB883" s="36">
        <v>1</v>
      </c>
      <c r="AC883" s="36">
        <v>2</v>
      </c>
      <c r="AD883" s="36">
        <v>2</v>
      </c>
      <c r="AE883" s="36">
        <v>3</v>
      </c>
      <c r="AF883" s="36">
        <v>4</v>
      </c>
      <c r="AG883" s="36"/>
      <c r="AH883" s="36"/>
      <c r="AI883" s="36"/>
      <c r="AJ883" s="36"/>
      <c r="AK883" s="36">
        <v>5</v>
      </c>
      <c r="AL883" s="36">
        <v>5</v>
      </c>
      <c r="AM883" s="36">
        <v>5</v>
      </c>
      <c r="AN883" s="36"/>
      <c r="AO883" s="36"/>
      <c r="AP883" s="36"/>
      <c r="AQ883" s="36"/>
      <c r="AR883" s="36"/>
      <c r="AS883" s="36"/>
      <c r="AT883" s="36"/>
      <c r="AU883" s="36"/>
      <c r="AV883" s="36"/>
      <c r="AW883" s="36"/>
      <c r="AX883" s="36"/>
      <c r="AY883" s="953"/>
      <c r="AZ883" s="36"/>
      <c r="BA883" s="36"/>
      <c r="BB883" s="36"/>
      <c r="BC883" s="36"/>
      <c r="BD883" s="36"/>
      <c r="BF883">
        <f>ROWS($U$46:U883)</f>
        <v>838</v>
      </c>
      <c r="BG883" t="str">
        <f t="shared" si="217"/>
        <v/>
      </c>
    </row>
    <row r="884" spans="14:59" ht="15" customHeight="1" thickBot="1" x14ac:dyDescent="0.4">
      <c r="O884" s="331"/>
      <c r="P884" s="328"/>
      <c r="Q884" s="328"/>
      <c r="R884" s="328"/>
      <c r="S884" s="554" t="s">
        <v>1207</v>
      </c>
      <c r="T884" s="328" t="s">
        <v>1443</v>
      </c>
      <c r="U884" s="328">
        <v>866362</v>
      </c>
      <c r="V884" s="327" t="s">
        <v>111</v>
      </c>
      <c r="W884" s="328">
        <v>1</v>
      </c>
      <c r="X884" s="328">
        <v>1</v>
      </c>
      <c r="Y884" s="328">
        <v>1</v>
      </c>
      <c r="Z884" s="328">
        <v>1</v>
      </c>
      <c r="AA884" s="328">
        <v>1</v>
      </c>
      <c r="AB884" s="328">
        <v>1</v>
      </c>
      <c r="AC884" s="328">
        <v>2</v>
      </c>
      <c r="AD884" s="328">
        <v>2</v>
      </c>
      <c r="AE884" s="328">
        <v>3</v>
      </c>
      <c r="AF884" s="328">
        <v>3</v>
      </c>
      <c r="AG884" s="328"/>
      <c r="AH884" s="328"/>
      <c r="AI884" s="328"/>
      <c r="AJ884" s="328"/>
      <c r="AK884" s="328">
        <v>5</v>
      </c>
      <c r="AL884" s="328">
        <v>5</v>
      </c>
      <c r="AM884" s="328">
        <v>5</v>
      </c>
      <c r="AN884" s="328"/>
      <c r="AO884" s="328"/>
      <c r="AP884" s="328"/>
      <c r="AQ884" s="328"/>
      <c r="AR884" s="328"/>
      <c r="AS884" s="328"/>
      <c r="AT884" s="328"/>
      <c r="AU884" s="328"/>
      <c r="AV884" s="328"/>
      <c r="AW884" s="328"/>
      <c r="AX884" s="328"/>
      <c r="AY884" s="954"/>
      <c r="AZ884" s="36"/>
      <c r="BA884" s="36"/>
      <c r="BB884" s="36"/>
      <c r="BC884" s="36"/>
      <c r="BD884" s="36"/>
      <c r="BF884">
        <f>ROWS($U$46:U884)</f>
        <v>839</v>
      </c>
      <c r="BG884" t="str">
        <f t="shared" si="217"/>
        <v/>
      </c>
    </row>
    <row r="885" spans="14:59" ht="15" customHeight="1" x14ac:dyDescent="0.35">
      <c r="O885" s="329">
        <v>1</v>
      </c>
      <c r="P885" s="320">
        <v>409593</v>
      </c>
      <c r="Q885" s="320">
        <v>32</v>
      </c>
      <c r="R885" s="320"/>
      <c r="S885" s="552" t="s">
        <v>1200</v>
      </c>
      <c r="T885" s="320" t="s">
        <v>1447</v>
      </c>
      <c r="U885" s="320">
        <v>549372</v>
      </c>
      <c r="V885" s="319" t="s">
        <v>87</v>
      </c>
      <c r="W885" s="320">
        <v>1</v>
      </c>
      <c r="X885" s="320">
        <v>1</v>
      </c>
      <c r="Y885" s="320">
        <v>1</v>
      </c>
      <c r="Z885" s="320">
        <v>1</v>
      </c>
      <c r="AA885" s="320">
        <v>1</v>
      </c>
      <c r="AB885" s="320">
        <v>1</v>
      </c>
      <c r="AC885" s="320">
        <v>1</v>
      </c>
      <c r="AD885" s="320">
        <v>2</v>
      </c>
      <c r="AE885" s="320">
        <v>3</v>
      </c>
      <c r="AF885" s="320"/>
      <c r="AG885" s="320"/>
      <c r="AH885" s="320"/>
      <c r="AI885" s="320"/>
      <c r="AJ885" s="320"/>
      <c r="AK885" s="320"/>
      <c r="AL885" s="320"/>
      <c r="AM885" s="320"/>
      <c r="AN885" s="320"/>
      <c r="AO885" s="320"/>
      <c r="AP885" s="320"/>
      <c r="AQ885" s="320"/>
      <c r="AR885" s="320"/>
      <c r="AS885" s="320"/>
      <c r="AT885" s="320"/>
      <c r="AU885" s="320"/>
      <c r="AV885" s="320"/>
      <c r="AW885" s="320"/>
      <c r="AX885" s="320"/>
      <c r="AY885" s="952"/>
      <c r="AZ885" s="36"/>
      <c r="BA885" s="36"/>
      <c r="BB885" s="36"/>
      <c r="BC885" s="36"/>
      <c r="BD885" s="36"/>
      <c r="BF885">
        <f>ROWS($U$46:U885)</f>
        <v>840</v>
      </c>
      <c r="BG885" t="str">
        <f t="shared" si="217"/>
        <v/>
      </c>
    </row>
    <row r="886" spans="14:59" ht="15" customHeight="1" x14ac:dyDescent="0.35">
      <c r="O886" s="330">
        <v>2</v>
      </c>
      <c r="P886" s="36">
        <v>397470</v>
      </c>
      <c r="Q886" s="36">
        <v>6</v>
      </c>
      <c r="R886" s="36"/>
      <c r="S886" s="553" t="s">
        <v>1200</v>
      </c>
      <c r="T886" s="36" t="s">
        <v>1447</v>
      </c>
      <c r="U886" s="36">
        <v>549372</v>
      </c>
      <c r="V886" s="165" t="s">
        <v>88</v>
      </c>
      <c r="W886" s="36">
        <v>1</v>
      </c>
      <c r="X886" s="36">
        <v>1</v>
      </c>
      <c r="Y886" s="36">
        <v>1</v>
      </c>
      <c r="Z886" s="36">
        <v>1</v>
      </c>
      <c r="AA886" s="36">
        <v>2</v>
      </c>
      <c r="AB886" s="36">
        <v>3</v>
      </c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  <c r="AW886" s="36"/>
      <c r="AX886" s="36"/>
      <c r="AY886" s="953"/>
      <c r="AZ886" s="36"/>
      <c r="BA886" s="36"/>
      <c r="BB886" s="36"/>
      <c r="BC886" s="36"/>
      <c r="BD886" s="36"/>
      <c r="BF886">
        <f>ROWS($U$46:U886)</f>
        <v>841</v>
      </c>
      <c r="BG886" t="str">
        <f t="shared" si="217"/>
        <v/>
      </c>
    </row>
    <row r="887" spans="14:59" ht="15" customHeight="1" x14ac:dyDescent="0.35">
      <c r="O887" s="330">
        <v>3</v>
      </c>
      <c r="P887" s="36">
        <v>418525</v>
      </c>
      <c r="Q887" s="36">
        <v>6</v>
      </c>
      <c r="R887" s="36"/>
      <c r="S887" s="553" t="s">
        <v>1200</v>
      </c>
      <c r="T887" s="36" t="s">
        <v>1447</v>
      </c>
      <c r="U887" s="36">
        <v>549372</v>
      </c>
      <c r="V887" s="165" t="s">
        <v>89</v>
      </c>
      <c r="W887" s="36">
        <v>1</v>
      </c>
      <c r="X887" s="36">
        <v>1</v>
      </c>
      <c r="Y887" s="36">
        <v>1</v>
      </c>
      <c r="Z887" s="36">
        <v>1</v>
      </c>
      <c r="AA887" s="36">
        <v>1</v>
      </c>
      <c r="AB887" s="36">
        <v>1</v>
      </c>
      <c r="AC887" s="36">
        <v>2</v>
      </c>
      <c r="AD887" s="36">
        <v>3</v>
      </c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  <c r="AW887" s="36"/>
      <c r="AX887" s="36"/>
      <c r="AY887" s="953"/>
      <c r="AZ887" s="36"/>
      <c r="BA887" s="36"/>
      <c r="BB887" s="36"/>
      <c r="BC887" s="36"/>
      <c r="BD887" s="36"/>
      <c r="BF887">
        <f>ROWS($U$46:U887)</f>
        <v>842</v>
      </c>
      <c r="BG887" t="str">
        <f t="shared" si="217"/>
        <v/>
      </c>
    </row>
    <row r="888" spans="14:59" ht="15" customHeight="1" x14ac:dyDescent="0.35">
      <c r="O888" s="330"/>
      <c r="P888" s="36"/>
      <c r="Q888" s="36"/>
      <c r="R888" s="36"/>
      <c r="S888" s="553" t="s">
        <v>1200</v>
      </c>
      <c r="T888" s="36" t="s">
        <v>1447</v>
      </c>
      <c r="U888" s="36">
        <v>549372</v>
      </c>
      <c r="V888" s="165" t="s">
        <v>90</v>
      </c>
      <c r="W888" s="36">
        <v>1</v>
      </c>
      <c r="X888" s="36">
        <v>1</v>
      </c>
      <c r="Y888" s="36">
        <v>1</v>
      </c>
      <c r="Z888" s="36">
        <v>1</v>
      </c>
      <c r="AA888" s="36">
        <v>2</v>
      </c>
      <c r="AB888" s="36">
        <v>3</v>
      </c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  <c r="AW888" s="36"/>
      <c r="AX888" s="36"/>
      <c r="AY888" s="953"/>
      <c r="AZ888" s="36"/>
      <c r="BA888" s="36"/>
      <c r="BB888" s="36"/>
      <c r="BC888" s="36"/>
      <c r="BD888" s="36"/>
      <c r="BF888">
        <f>ROWS($U$46:U888)</f>
        <v>843</v>
      </c>
      <c r="BG888" t="str">
        <f t="shared" si="217"/>
        <v/>
      </c>
    </row>
    <row r="889" spans="14:59" ht="15" customHeight="1" x14ac:dyDescent="0.35">
      <c r="O889" s="330"/>
      <c r="P889" s="36"/>
      <c r="Q889" s="36"/>
      <c r="R889" s="36"/>
      <c r="S889" s="553" t="s">
        <v>1200</v>
      </c>
      <c r="T889" s="36" t="s">
        <v>1447</v>
      </c>
      <c r="U889" s="36">
        <v>549372</v>
      </c>
      <c r="V889" s="165" t="s">
        <v>91</v>
      </c>
      <c r="W889" s="36">
        <v>1</v>
      </c>
      <c r="X889" s="36">
        <v>1</v>
      </c>
      <c r="Y889" s="36">
        <v>1</v>
      </c>
      <c r="Z889" s="36">
        <v>1</v>
      </c>
      <c r="AA889" s="36">
        <v>1</v>
      </c>
      <c r="AB889" s="36">
        <v>1</v>
      </c>
      <c r="AC889" s="36">
        <v>1</v>
      </c>
      <c r="AD889" s="36">
        <v>2</v>
      </c>
      <c r="AE889" s="36">
        <v>3</v>
      </c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  <c r="AW889" s="36"/>
      <c r="AX889" s="36"/>
      <c r="AY889" s="953"/>
      <c r="AZ889" s="36"/>
      <c r="BA889" s="36"/>
      <c r="BB889" s="36"/>
      <c r="BC889" s="36"/>
      <c r="BD889" s="36"/>
      <c r="BF889">
        <f>ROWS($U$46:U889)</f>
        <v>844</v>
      </c>
      <c r="BG889" t="str">
        <f t="shared" si="217"/>
        <v/>
      </c>
    </row>
    <row r="890" spans="14:59" ht="15" customHeight="1" thickBot="1" x14ac:dyDescent="0.4">
      <c r="O890" s="331"/>
      <c r="P890" s="328"/>
      <c r="Q890" s="328"/>
      <c r="R890" s="328"/>
      <c r="S890" s="554" t="s">
        <v>1200</v>
      </c>
      <c r="T890" s="328" t="s">
        <v>1447</v>
      </c>
      <c r="U890" s="328">
        <v>549372</v>
      </c>
      <c r="V890" s="327" t="s">
        <v>92</v>
      </c>
      <c r="W890" s="328">
        <v>1</v>
      </c>
      <c r="X890" s="328">
        <v>1</v>
      </c>
      <c r="Y890" s="328">
        <v>1</v>
      </c>
      <c r="Z890" s="328">
        <v>1</v>
      </c>
      <c r="AA890" s="328">
        <v>2</v>
      </c>
      <c r="AB890" s="328">
        <v>3</v>
      </c>
      <c r="AC890" s="328"/>
      <c r="AD890" s="328"/>
      <c r="AE890" s="328"/>
      <c r="AF890" s="328"/>
      <c r="AG890" s="328"/>
      <c r="AH890" s="328"/>
      <c r="AI890" s="328"/>
      <c r="AJ890" s="328"/>
      <c r="AK890" s="328"/>
      <c r="AL890" s="328"/>
      <c r="AM890" s="328"/>
      <c r="AN890" s="328"/>
      <c r="AO890" s="328"/>
      <c r="AP890" s="328"/>
      <c r="AQ890" s="328"/>
      <c r="AR890" s="328"/>
      <c r="AS890" s="328"/>
      <c r="AT890" s="328"/>
      <c r="AU890" s="328"/>
      <c r="AV890" s="328"/>
      <c r="AW890" s="328"/>
      <c r="AX890" s="328"/>
      <c r="AY890" s="954"/>
      <c r="AZ890" s="36"/>
      <c r="BA890" s="36"/>
      <c r="BB890" s="36"/>
      <c r="BC890" s="36"/>
      <c r="BD890" s="36"/>
      <c r="BF890">
        <f>ROWS($U$46:U890)</f>
        <v>845</v>
      </c>
      <c r="BG890" t="str">
        <f t="shared" si="217"/>
        <v/>
      </c>
    </row>
    <row r="891" spans="14:59" ht="15" customHeight="1" x14ac:dyDescent="0.35">
      <c r="N891">
        <f>O891*Q891</f>
        <v>47</v>
      </c>
      <c r="O891" s="329">
        <v>1</v>
      </c>
      <c r="P891" s="320">
        <v>1130198</v>
      </c>
      <c r="Q891" s="320">
        <v>47</v>
      </c>
      <c r="R891" s="320"/>
      <c r="S891" s="552" t="s">
        <v>1126</v>
      </c>
      <c r="T891" s="320" t="s">
        <v>1131</v>
      </c>
      <c r="U891" s="320">
        <v>1107565</v>
      </c>
      <c r="V891" s="319" t="s">
        <v>87</v>
      </c>
      <c r="W891" s="320">
        <v>6</v>
      </c>
      <c r="X891" s="320">
        <v>6</v>
      </c>
      <c r="Y891" s="320">
        <v>6</v>
      </c>
      <c r="Z891" s="320">
        <v>6</v>
      </c>
      <c r="AA891" s="320">
        <v>6</v>
      </c>
      <c r="AB891" s="320">
        <v>7</v>
      </c>
      <c r="AC891" s="320">
        <v>7</v>
      </c>
      <c r="AD891" s="320">
        <v>1</v>
      </c>
      <c r="AE891" s="320">
        <v>1</v>
      </c>
      <c r="AF891" s="320">
        <v>1</v>
      </c>
      <c r="AG891" s="320">
        <v>1</v>
      </c>
      <c r="AH891" s="320">
        <v>1</v>
      </c>
      <c r="AI891" s="320">
        <v>1</v>
      </c>
      <c r="AJ891" s="320">
        <v>5</v>
      </c>
      <c r="AK891" s="320">
        <v>5</v>
      </c>
      <c r="AL891" s="320"/>
      <c r="AM891" s="320">
        <v>4</v>
      </c>
      <c r="AN891" s="320">
        <v>4</v>
      </c>
      <c r="AO891" s="320">
        <v>4</v>
      </c>
      <c r="AP891" s="320">
        <v>4</v>
      </c>
      <c r="AQ891" s="320">
        <v>3</v>
      </c>
      <c r="AR891" s="320">
        <v>3</v>
      </c>
      <c r="AS891" s="320">
        <v>3</v>
      </c>
      <c r="AT891" s="320">
        <v>3</v>
      </c>
      <c r="AU891" s="320">
        <v>3</v>
      </c>
      <c r="AV891" s="320">
        <v>4</v>
      </c>
      <c r="AW891" s="952">
        <v>2</v>
      </c>
      <c r="AX891" s="36">
        <v>2</v>
      </c>
      <c r="AY891" s="36">
        <v>2</v>
      </c>
      <c r="AZ891" s="36">
        <v>2</v>
      </c>
      <c r="BA891" s="36">
        <v>2</v>
      </c>
      <c r="BB891">
        <v>2</v>
      </c>
      <c r="BD891" s="36"/>
      <c r="BF891">
        <f>ROWS($U$46:U891)</f>
        <v>846</v>
      </c>
      <c r="BG891" t="str">
        <f t="shared" si="217"/>
        <v/>
      </c>
    </row>
    <row r="892" spans="14:59" ht="15" customHeight="1" x14ac:dyDescent="0.35">
      <c r="N892">
        <f t="shared" ref="N892:N897" si="218">O892*Q892</f>
        <v>84</v>
      </c>
      <c r="O892" s="330">
        <v>2</v>
      </c>
      <c r="P892" s="36">
        <v>410851</v>
      </c>
      <c r="Q892" s="36">
        <v>42</v>
      </c>
      <c r="R892" s="36"/>
      <c r="S892" s="553" t="s">
        <v>1126</v>
      </c>
      <c r="T892" s="36" t="s">
        <v>1131</v>
      </c>
      <c r="U892" s="36">
        <v>1107565</v>
      </c>
      <c r="V892" s="165" t="s">
        <v>88</v>
      </c>
      <c r="W892" s="36">
        <v>7</v>
      </c>
      <c r="X892" s="36">
        <v>1</v>
      </c>
      <c r="Y892" s="36">
        <v>1</v>
      </c>
      <c r="Z892" s="36">
        <v>1</v>
      </c>
      <c r="AA892" s="36">
        <v>1</v>
      </c>
      <c r="AB892" s="36">
        <v>1</v>
      </c>
      <c r="AC892" s="36">
        <v>1</v>
      </c>
      <c r="AD892" s="36">
        <v>5</v>
      </c>
      <c r="AE892">
        <v>5</v>
      </c>
      <c r="AF892" s="36"/>
      <c r="AG892" s="36"/>
      <c r="AH892" s="36"/>
      <c r="AI892" s="36"/>
      <c r="AJ892" s="36"/>
      <c r="AK892" s="36"/>
      <c r="AL892" s="36"/>
      <c r="AM892" s="36">
        <v>4</v>
      </c>
      <c r="AN892" s="36">
        <v>3</v>
      </c>
      <c r="AO892" s="36">
        <v>3</v>
      </c>
      <c r="AP892" s="36">
        <v>3</v>
      </c>
      <c r="AQ892" s="36">
        <v>3</v>
      </c>
      <c r="AR892" s="36">
        <v>3</v>
      </c>
      <c r="AS892" s="36">
        <v>4</v>
      </c>
      <c r="AT892" s="36">
        <v>2</v>
      </c>
      <c r="AU892" s="36">
        <v>2</v>
      </c>
      <c r="AV892" s="36">
        <v>2</v>
      </c>
      <c r="AW892" s="953">
        <v>2</v>
      </c>
      <c r="AX892" s="36">
        <v>2</v>
      </c>
      <c r="AY892" s="36">
        <v>2</v>
      </c>
      <c r="AZ892" s="36"/>
      <c r="BA892" s="36"/>
      <c r="BD892" s="36"/>
      <c r="BF892">
        <f>ROWS($U$46:U892)</f>
        <v>847</v>
      </c>
      <c r="BG892" t="str">
        <f t="shared" si="217"/>
        <v/>
      </c>
    </row>
    <row r="893" spans="14:59" ht="15" customHeight="1" x14ac:dyDescent="0.35">
      <c r="N893">
        <f t="shared" si="218"/>
        <v>117</v>
      </c>
      <c r="O893" s="330">
        <v>3</v>
      </c>
      <c r="P893" s="36">
        <v>971088</v>
      </c>
      <c r="Q893" s="36">
        <v>39</v>
      </c>
      <c r="R893" s="36"/>
      <c r="S893" s="553" t="s">
        <v>1126</v>
      </c>
      <c r="T893" s="36" t="s">
        <v>1131</v>
      </c>
      <c r="U893" s="36">
        <v>1107565</v>
      </c>
      <c r="V893" s="165" t="s">
        <v>89</v>
      </c>
      <c r="W893" s="36">
        <v>6</v>
      </c>
      <c r="X893" s="36">
        <v>6</v>
      </c>
      <c r="Y893" s="36">
        <v>6</v>
      </c>
      <c r="Z893" s="36">
        <v>6</v>
      </c>
      <c r="AA893" s="36">
        <v>7</v>
      </c>
      <c r="AB893" s="36">
        <v>7</v>
      </c>
      <c r="AC893" s="36">
        <v>1</v>
      </c>
      <c r="AD893" s="36">
        <v>1</v>
      </c>
      <c r="AE893" s="36">
        <v>1</v>
      </c>
      <c r="AF893" s="36">
        <v>1</v>
      </c>
      <c r="AG893" s="36">
        <v>1</v>
      </c>
      <c r="AH893" s="36">
        <v>1</v>
      </c>
      <c r="AI893" s="36">
        <v>1</v>
      </c>
      <c r="AJ893">
        <v>5</v>
      </c>
      <c r="AK893" s="36">
        <v>5</v>
      </c>
      <c r="AL893" s="36"/>
      <c r="AM893" s="36">
        <v>4</v>
      </c>
      <c r="AN893" s="36">
        <v>4</v>
      </c>
      <c r="AO893" s="36">
        <v>4</v>
      </c>
      <c r="AP893" s="36">
        <v>4</v>
      </c>
      <c r="AQ893" s="36">
        <v>3</v>
      </c>
      <c r="AR893" s="36">
        <v>3</v>
      </c>
      <c r="AS893" s="36">
        <v>3</v>
      </c>
      <c r="AT893" s="36">
        <v>3</v>
      </c>
      <c r="AU893" s="36">
        <v>3</v>
      </c>
      <c r="AV893" s="36">
        <v>4</v>
      </c>
      <c r="AW893" s="953">
        <v>2</v>
      </c>
      <c r="AX893" s="36">
        <v>2</v>
      </c>
      <c r="AY893" s="36">
        <v>2</v>
      </c>
      <c r="AZ893" s="36">
        <v>2</v>
      </c>
      <c r="BA893" s="36">
        <v>2</v>
      </c>
      <c r="BB893">
        <v>2</v>
      </c>
      <c r="BD893" s="36"/>
      <c r="BF893">
        <f>ROWS($U$46:U893)</f>
        <v>848</v>
      </c>
      <c r="BG893" t="str">
        <f t="shared" si="217"/>
        <v/>
      </c>
    </row>
    <row r="894" spans="14:59" ht="15" customHeight="1" x14ac:dyDescent="0.35">
      <c r="N894">
        <f t="shared" si="218"/>
        <v>92</v>
      </c>
      <c r="O894" s="330">
        <v>4</v>
      </c>
      <c r="P894" s="36">
        <v>179733</v>
      </c>
      <c r="Q894" s="36">
        <v>23</v>
      </c>
      <c r="R894" s="36"/>
      <c r="S894" s="553" t="s">
        <v>1126</v>
      </c>
      <c r="T894" s="36" t="s">
        <v>1131</v>
      </c>
      <c r="U894" s="36">
        <v>1107565</v>
      </c>
      <c r="V894" s="165" t="s">
        <v>90</v>
      </c>
      <c r="W894" s="36">
        <v>7</v>
      </c>
      <c r="X894" s="36">
        <v>1</v>
      </c>
      <c r="Y894" s="36">
        <v>1</v>
      </c>
      <c r="Z894" s="36">
        <v>1</v>
      </c>
      <c r="AA894" s="36">
        <v>1</v>
      </c>
      <c r="AB894" s="36">
        <v>1</v>
      </c>
      <c r="AC894" s="36">
        <v>1</v>
      </c>
      <c r="AD894" s="36">
        <v>1</v>
      </c>
      <c r="AE894" s="36">
        <v>5</v>
      </c>
      <c r="AF894">
        <v>5</v>
      </c>
      <c r="AG894" s="36"/>
      <c r="AH894" s="36"/>
      <c r="AI894" s="36"/>
      <c r="AJ894" s="36"/>
      <c r="AK894" s="36"/>
      <c r="AL894" s="36"/>
      <c r="AM894" s="36">
        <v>4</v>
      </c>
      <c r="AN894" s="36">
        <v>3</v>
      </c>
      <c r="AO894" s="36">
        <v>3</v>
      </c>
      <c r="AP894" s="36">
        <v>3</v>
      </c>
      <c r="AQ894" s="36">
        <v>3</v>
      </c>
      <c r="AR894" s="36">
        <v>3</v>
      </c>
      <c r="AS894" s="36">
        <v>3</v>
      </c>
      <c r="AT894" s="36">
        <v>4</v>
      </c>
      <c r="AU894" s="36">
        <v>2</v>
      </c>
      <c r="AV894" s="36">
        <v>2</v>
      </c>
      <c r="AW894" s="953">
        <v>2</v>
      </c>
      <c r="AX894" s="36">
        <v>2</v>
      </c>
      <c r="AY894" s="36">
        <v>2</v>
      </c>
      <c r="AZ894" s="36">
        <v>2</v>
      </c>
      <c r="BA894" s="36"/>
      <c r="BD894" s="36"/>
      <c r="BF894">
        <f>ROWS($U$46:U894)</f>
        <v>849</v>
      </c>
      <c r="BG894" t="str">
        <f t="shared" si="217"/>
        <v/>
      </c>
    </row>
    <row r="895" spans="14:59" ht="15" customHeight="1" x14ac:dyDescent="0.35">
      <c r="N895">
        <f t="shared" si="218"/>
        <v>70</v>
      </c>
      <c r="O895" s="330">
        <v>5</v>
      </c>
      <c r="P895" s="36">
        <v>418525</v>
      </c>
      <c r="Q895" s="36">
        <v>14</v>
      </c>
      <c r="R895" s="36"/>
      <c r="S895" s="553" t="s">
        <v>1126</v>
      </c>
      <c r="T895" s="36" t="s">
        <v>1131</v>
      </c>
      <c r="U895" s="36">
        <v>1107565</v>
      </c>
      <c r="V895" s="165" t="s">
        <v>91</v>
      </c>
      <c r="W895" s="36">
        <v>6</v>
      </c>
      <c r="X895" s="36">
        <v>6</v>
      </c>
      <c r="Y895" s="36">
        <v>6</v>
      </c>
      <c r="Z895" s="36">
        <v>6</v>
      </c>
      <c r="AA895" s="36">
        <v>7</v>
      </c>
      <c r="AB895" s="36">
        <v>7</v>
      </c>
      <c r="AC895" s="36">
        <v>1</v>
      </c>
      <c r="AD895" s="36">
        <v>1</v>
      </c>
      <c r="AE895" s="36">
        <v>1</v>
      </c>
      <c r="AF895" s="36">
        <v>1</v>
      </c>
      <c r="AG895" s="36">
        <v>1</v>
      </c>
      <c r="AH895" s="36">
        <v>1</v>
      </c>
      <c r="AI895" s="36">
        <v>1</v>
      </c>
      <c r="AJ895">
        <v>5</v>
      </c>
      <c r="AK895" s="36">
        <v>5</v>
      </c>
      <c r="AL895" s="36"/>
      <c r="AM895" s="36">
        <v>4</v>
      </c>
      <c r="AN895" s="36">
        <v>4</v>
      </c>
      <c r="AO895" s="36">
        <v>4</v>
      </c>
      <c r="AP895" s="36">
        <v>4</v>
      </c>
      <c r="AQ895" s="36">
        <v>3</v>
      </c>
      <c r="AR895" s="36">
        <v>3</v>
      </c>
      <c r="AS895" s="36">
        <v>3</v>
      </c>
      <c r="AT895" s="36">
        <v>3</v>
      </c>
      <c r="AU895" s="36">
        <v>3</v>
      </c>
      <c r="AV895" s="36">
        <v>3</v>
      </c>
      <c r="AW895" s="953">
        <v>4</v>
      </c>
      <c r="AX895" s="36">
        <v>2</v>
      </c>
      <c r="AY895" s="36">
        <v>2</v>
      </c>
      <c r="AZ895" s="36">
        <v>2</v>
      </c>
      <c r="BA895" s="36">
        <v>2</v>
      </c>
      <c r="BB895">
        <v>2</v>
      </c>
      <c r="BC895">
        <v>2</v>
      </c>
      <c r="BD895" s="36"/>
      <c r="BF895">
        <f>ROWS($U$46:U895)</f>
        <v>850</v>
      </c>
      <c r="BG895" t="str">
        <f t="shared" si="217"/>
        <v/>
      </c>
    </row>
    <row r="896" spans="14:59" ht="15" customHeight="1" x14ac:dyDescent="0.35">
      <c r="N896">
        <f t="shared" si="218"/>
        <v>78</v>
      </c>
      <c r="O896" s="330">
        <v>6</v>
      </c>
      <c r="P896" s="36">
        <v>1130204</v>
      </c>
      <c r="Q896" s="36">
        <v>13</v>
      </c>
      <c r="R896" s="36"/>
      <c r="S896" s="553" t="s">
        <v>1126</v>
      </c>
      <c r="T896" s="36" t="s">
        <v>1131</v>
      </c>
      <c r="U896" s="36">
        <v>1107565</v>
      </c>
      <c r="V896" s="165" t="s">
        <v>92</v>
      </c>
      <c r="W896" s="36">
        <v>7</v>
      </c>
      <c r="X896" s="36">
        <v>1</v>
      </c>
      <c r="Y896" s="36">
        <v>1</v>
      </c>
      <c r="Z896" s="36">
        <v>1</v>
      </c>
      <c r="AA896" s="36">
        <v>1</v>
      </c>
      <c r="AB896" s="36">
        <v>1</v>
      </c>
      <c r="AC896" s="36">
        <v>1</v>
      </c>
      <c r="AD896" s="36">
        <v>1</v>
      </c>
      <c r="AE896" s="36">
        <v>5</v>
      </c>
      <c r="AF896">
        <v>5</v>
      </c>
      <c r="AG896" s="36"/>
      <c r="AH896" s="36"/>
      <c r="AI896" s="36"/>
      <c r="AJ896" s="36"/>
      <c r="AK896" s="36"/>
      <c r="AL896" s="36"/>
      <c r="AM896" s="36">
        <v>4</v>
      </c>
      <c r="AN896" s="36">
        <v>3</v>
      </c>
      <c r="AO896" s="36">
        <v>3</v>
      </c>
      <c r="AP896" s="36">
        <v>3</v>
      </c>
      <c r="AQ896" s="36">
        <v>3</v>
      </c>
      <c r="AR896" s="36">
        <v>3</v>
      </c>
      <c r="AS896" s="36">
        <v>3</v>
      </c>
      <c r="AT896" s="36">
        <v>4</v>
      </c>
      <c r="AU896" s="36">
        <v>2</v>
      </c>
      <c r="AV896" s="36">
        <v>2</v>
      </c>
      <c r="AW896" s="953">
        <v>2</v>
      </c>
      <c r="AX896" s="36">
        <v>2</v>
      </c>
      <c r="AY896" s="36">
        <v>2</v>
      </c>
      <c r="AZ896" s="36">
        <v>2</v>
      </c>
      <c r="BA896" s="36"/>
      <c r="BD896" s="36"/>
      <c r="BF896">
        <f>ROWS($U$46:U896)</f>
        <v>851</v>
      </c>
      <c r="BG896" t="str">
        <f t="shared" si="217"/>
        <v/>
      </c>
    </row>
    <row r="897" spans="14:59" ht="15" customHeight="1" thickBot="1" x14ac:dyDescent="0.4">
      <c r="N897">
        <f t="shared" si="218"/>
        <v>70</v>
      </c>
      <c r="O897" s="331">
        <v>7</v>
      </c>
      <c r="P897" s="328">
        <v>761246</v>
      </c>
      <c r="Q897" s="328">
        <v>10</v>
      </c>
      <c r="R897" s="328"/>
      <c r="S897" s="554" t="s">
        <v>1126</v>
      </c>
      <c r="T897" s="328" t="s">
        <v>1131</v>
      </c>
      <c r="U897" s="328">
        <v>1107565</v>
      </c>
      <c r="V897" s="327" t="s">
        <v>111</v>
      </c>
      <c r="W897" s="328">
        <v>7</v>
      </c>
      <c r="X897" s="328">
        <v>1</v>
      </c>
      <c r="Y897" s="328">
        <v>1</v>
      </c>
      <c r="Z897" s="328">
        <v>1</v>
      </c>
      <c r="AA897" s="328">
        <v>1</v>
      </c>
      <c r="AB897" s="328">
        <v>1</v>
      </c>
      <c r="AC897" s="328">
        <v>1</v>
      </c>
      <c r="AD897" s="328">
        <v>1</v>
      </c>
      <c r="AE897" s="328">
        <v>5</v>
      </c>
      <c r="AF897">
        <v>5</v>
      </c>
      <c r="AG897" s="328"/>
      <c r="AH897" s="328"/>
      <c r="AI897" s="328"/>
      <c r="AJ897" s="328"/>
      <c r="AK897" s="328"/>
      <c r="AL897" s="328"/>
      <c r="AM897" s="328">
        <v>4</v>
      </c>
      <c r="AN897" s="328">
        <v>3</v>
      </c>
      <c r="AO897" s="328">
        <v>3</v>
      </c>
      <c r="AP897" s="328">
        <v>3</v>
      </c>
      <c r="AQ897" s="328">
        <v>3</v>
      </c>
      <c r="AR897" s="328">
        <v>3</v>
      </c>
      <c r="AS897" s="328">
        <v>3</v>
      </c>
      <c r="AT897" s="328">
        <v>4</v>
      </c>
      <c r="AU897" s="328">
        <v>2</v>
      </c>
      <c r="AV897" s="328">
        <v>2</v>
      </c>
      <c r="AW897" s="954">
        <v>2</v>
      </c>
      <c r="AX897" s="36">
        <v>2</v>
      </c>
      <c r="AY897" s="36">
        <v>2</v>
      </c>
      <c r="AZ897" s="36">
        <v>2</v>
      </c>
      <c r="BA897" s="36"/>
      <c r="BD897" s="36"/>
      <c r="BF897">
        <f>ROWS($U$46:U897)</f>
        <v>852</v>
      </c>
      <c r="BG897" t="str">
        <f t="shared" si="217"/>
        <v/>
      </c>
    </row>
    <row r="898" spans="14:59" ht="15" customHeight="1" x14ac:dyDescent="0.35">
      <c r="O898" s="329">
        <v>1</v>
      </c>
      <c r="P898" s="320">
        <v>729691</v>
      </c>
      <c r="Q898" s="320">
        <v>80</v>
      </c>
      <c r="R898" s="320"/>
      <c r="S898" s="552" t="s">
        <v>1130</v>
      </c>
      <c r="T898" s="320" t="s">
        <v>1131</v>
      </c>
      <c r="U898" s="320">
        <v>1137355</v>
      </c>
      <c r="V898" s="319" t="s">
        <v>87</v>
      </c>
      <c r="W898" s="320">
        <v>1</v>
      </c>
      <c r="X898" s="320">
        <v>1</v>
      </c>
      <c r="Y898" s="320">
        <v>1</v>
      </c>
      <c r="Z898" s="320">
        <v>1</v>
      </c>
      <c r="AA898" s="320">
        <v>1</v>
      </c>
      <c r="AB898" s="320">
        <v>1</v>
      </c>
      <c r="AC898" s="320">
        <v>1</v>
      </c>
      <c r="AD898" s="320">
        <v>1</v>
      </c>
      <c r="AE898" s="320">
        <v>1</v>
      </c>
      <c r="AF898" s="320">
        <v>1</v>
      </c>
      <c r="AG898" s="320">
        <v>1</v>
      </c>
      <c r="AH898" s="320">
        <v>1</v>
      </c>
      <c r="AI898" s="320">
        <v>1</v>
      </c>
      <c r="AJ898" s="320">
        <v>1</v>
      </c>
      <c r="AK898" s="320">
        <v>1</v>
      </c>
      <c r="AL898" s="320">
        <v>5</v>
      </c>
      <c r="AM898" s="320">
        <v>3</v>
      </c>
      <c r="AN898" s="320">
        <v>3</v>
      </c>
      <c r="AO898" s="320">
        <v>3</v>
      </c>
      <c r="AP898" s="320">
        <v>3</v>
      </c>
      <c r="AQ898" s="320">
        <v>5</v>
      </c>
      <c r="AR898" s="320"/>
      <c r="AS898" s="320">
        <v>2</v>
      </c>
      <c r="AT898" s="320">
        <v>2</v>
      </c>
      <c r="AU898" s="320">
        <v>2</v>
      </c>
      <c r="AV898" s="320">
        <v>2</v>
      </c>
      <c r="AW898" s="320">
        <v>4</v>
      </c>
      <c r="AX898" s="320">
        <v>4</v>
      </c>
      <c r="AY898" s="952">
        <v>4</v>
      </c>
      <c r="AZ898" s="36">
        <v>4</v>
      </c>
      <c r="BA898" s="36">
        <v>2</v>
      </c>
      <c r="BB898" s="36">
        <v>2</v>
      </c>
      <c r="BC898" s="36">
        <v>2</v>
      </c>
      <c r="BD898" s="36"/>
      <c r="BF898">
        <f>ROWS($U$46:U898)</f>
        <v>853</v>
      </c>
      <c r="BG898" t="str">
        <f t="shared" si="217"/>
        <v/>
      </c>
    </row>
    <row r="899" spans="14:59" ht="15" customHeight="1" x14ac:dyDescent="0.35">
      <c r="O899" s="330">
        <v>2</v>
      </c>
      <c r="P899" s="36">
        <v>179734</v>
      </c>
      <c r="Q899" s="36">
        <v>35</v>
      </c>
      <c r="R899" s="36"/>
      <c r="S899" s="553" t="s">
        <v>1130</v>
      </c>
      <c r="T899" s="36" t="s">
        <v>1131</v>
      </c>
      <c r="U899" s="36">
        <v>1137355</v>
      </c>
      <c r="V899" s="165" t="s">
        <v>88</v>
      </c>
      <c r="W899" s="36">
        <v>1</v>
      </c>
      <c r="X899" s="36">
        <v>1</v>
      </c>
      <c r="Y899" s="36">
        <v>1</v>
      </c>
      <c r="Z899" s="36">
        <v>1</v>
      </c>
      <c r="AA899" s="36">
        <v>1</v>
      </c>
      <c r="AB899" s="36">
        <v>1</v>
      </c>
      <c r="AC899" s="36">
        <v>1</v>
      </c>
      <c r="AD899" s="36">
        <v>1</v>
      </c>
      <c r="AE899" s="36">
        <v>1</v>
      </c>
      <c r="AF899" s="36">
        <v>1</v>
      </c>
      <c r="AG899" s="36">
        <v>5</v>
      </c>
      <c r="AH899" s="36">
        <v>3</v>
      </c>
      <c r="AI899" s="36">
        <v>3</v>
      </c>
      <c r="AJ899" s="36">
        <v>3</v>
      </c>
      <c r="AK899" s="36">
        <v>3</v>
      </c>
      <c r="AL899" s="36">
        <v>5</v>
      </c>
      <c r="AM899" s="36"/>
      <c r="AN899" s="36"/>
      <c r="AO899" s="36"/>
      <c r="AP899" s="36"/>
      <c r="AQ899" s="36"/>
      <c r="AR899" s="36"/>
      <c r="AS899" s="36">
        <v>2</v>
      </c>
      <c r="AT899" s="36">
        <v>4</v>
      </c>
      <c r="AU899" s="36">
        <v>4</v>
      </c>
      <c r="AV899" s="36">
        <v>4</v>
      </c>
      <c r="AW899" s="36">
        <v>4</v>
      </c>
      <c r="AX899" s="36">
        <v>2</v>
      </c>
      <c r="AY899" s="953"/>
      <c r="AZ899" s="36"/>
      <c r="BA899" s="36"/>
      <c r="BB899" s="36"/>
      <c r="BC899" s="36"/>
      <c r="BD899" s="36"/>
      <c r="BF899">
        <f>ROWS($U$46:U899)</f>
        <v>854</v>
      </c>
      <c r="BG899" t="str">
        <f t="shared" si="217"/>
        <v/>
      </c>
    </row>
    <row r="900" spans="14:59" ht="15" customHeight="1" x14ac:dyDescent="0.35">
      <c r="O900" s="330">
        <v>3</v>
      </c>
      <c r="P900" s="36">
        <v>410851</v>
      </c>
      <c r="Q900" s="36">
        <v>28</v>
      </c>
      <c r="R900" s="36"/>
      <c r="S900" s="553" t="s">
        <v>1130</v>
      </c>
      <c r="T900" s="36" t="s">
        <v>1131</v>
      </c>
      <c r="U900" s="36">
        <v>1137355</v>
      </c>
      <c r="V900" s="165" t="s">
        <v>89</v>
      </c>
      <c r="W900" s="36">
        <v>1</v>
      </c>
      <c r="X900" s="36">
        <v>1</v>
      </c>
      <c r="Y900" s="36">
        <v>1</v>
      </c>
      <c r="Z900" s="36">
        <v>1</v>
      </c>
      <c r="AA900" s="36">
        <v>1</v>
      </c>
      <c r="AB900" s="36">
        <v>1</v>
      </c>
      <c r="AC900" s="36">
        <v>1</v>
      </c>
      <c r="AD900" s="36">
        <v>1</v>
      </c>
      <c r="AE900" s="36">
        <v>1</v>
      </c>
      <c r="AF900" s="36">
        <v>1</v>
      </c>
      <c r="AG900" s="36">
        <v>1</v>
      </c>
      <c r="AH900" s="36">
        <v>1</v>
      </c>
      <c r="AI900" s="36">
        <v>1</v>
      </c>
      <c r="AJ900" s="36">
        <v>1</v>
      </c>
      <c r="AK900" s="36">
        <v>5</v>
      </c>
      <c r="AL900" s="36">
        <v>3</v>
      </c>
      <c r="AM900" s="36">
        <v>3</v>
      </c>
      <c r="AN900" s="36">
        <v>3</v>
      </c>
      <c r="AO900" s="36">
        <v>3</v>
      </c>
      <c r="AP900" s="36">
        <v>5</v>
      </c>
      <c r="AQ900" s="36"/>
      <c r="AR900" s="36"/>
      <c r="AS900" s="36">
        <v>2</v>
      </c>
      <c r="AT900" s="36">
        <v>2</v>
      </c>
      <c r="AU900" s="36">
        <v>2</v>
      </c>
      <c r="AV900" s="36">
        <v>2</v>
      </c>
      <c r="AW900" s="36">
        <v>4</v>
      </c>
      <c r="AX900" s="36">
        <v>4</v>
      </c>
      <c r="AY900" s="953">
        <v>4</v>
      </c>
      <c r="AZ900" s="36">
        <v>4</v>
      </c>
      <c r="BA900" s="36">
        <v>2</v>
      </c>
      <c r="BB900" s="36">
        <v>2</v>
      </c>
      <c r="BC900" s="36">
        <v>2</v>
      </c>
      <c r="BD900" s="36"/>
      <c r="BF900">
        <f>ROWS($U$46:U900)</f>
        <v>855</v>
      </c>
      <c r="BG900" t="str">
        <f t="shared" si="217"/>
        <v/>
      </c>
    </row>
    <row r="901" spans="14:59" ht="15" customHeight="1" x14ac:dyDescent="0.35">
      <c r="O901" s="330">
        <v>4</v>
      </c>
      <c r="P901" s="36">
        <v>853551</v>
      </c>
      <c r="Q901" s="36">
        <v>27</v>
      </c>
      <c r="R901" s="36"/>
      <c r="S901" s="553" t="s">
        <v>1130</v>
      </c>
      <c r="T901" s="36" t="s">
        <v>1131</v>
      </c>
      <c r="U901" s="36">
        <v>1137355</v>
      </c>
      <c r="V901" s="165" t="s">
        <v>90</v>
      </c>
      <c r="W901" s="36">
        <v>1</v>
      </c>
      <c r="X901" s="36">
        <v>1</v>
      </c>
      <c r="Y901" s="36">
        <v>1</v>
      </c>
      <c r="Z901" s="36">
        <v>1</v>
      </c>
      <c r="AA901" s="36">
        <v>1</v>
      </c>
      <c r="AB901" s="36">
        <v>1</v>
      </c>
      <c r="AC901" s="36">
        <v>1</v>
      </c>
      <c r="AD901" s="36">
        <v>1</v>
      </c>
      <c r="AE901" s="36">
        <v>1</v>
      </c>
      <c r="AF901" s="36">
        <v>5</v>
      </c>
      <c r="AG901" s="36">
        <v>3</v>
      </c>
      <c r="AH901" s="36">
        <v>3</v>
      </c>
      <c r="AI901" s="36">
        <v>3</v>
      </c>
      <c r="AJ901" s="36">
        <v>3</v>
      </c>
      <c r="AK901" s="36">
        <v>5</v>
      </c>
      <c r="AL901" s="36"/>
      <c r="AM901" s="36"/>
      <c r="AN901" s="36"/>
      <c r="AO901" s="36"/>
      <c r="AP901" s="36"/>
      <c r="AQ901" s="36"/>
      <c r="AR901" s="36"/>
      <c r="AS901" s="36">
        <v>2</v>
      </c>
      <c r="AT901" s="36">
        <v>2</v>
      </c>
      <c r="AU901" s="36">
        <v>4</v>
      </c>
      <c r="AV901" s="36">
        <v>4</v>
      </c>
      <c r="AW901" s="36">
        <v>4</v>
      </c>
      <c r="AX901" s="36">
        <v>2</v>
      </c>
      <c r="AY901" s="953">
        <v>2</v>
      </c>
      <c r="AZ901" s="36"/>
      <c r="BA901" s="36"/>
      <c r="BB901" s="36"/>
      <c r="BC901" s="36"/>
      <c r="BD901" s="36"/>
      <c r="BF901">
        <f>ROWS($U$46:U901)</f>
        <v>856</v>
      </c>
      <c r="BG901" t="str">
        <f t="shared" si="217"/>
        <v/>
      </c>
    </row>
    <row r="902" spans="14:59" ht="15" customHeight="1" x14ac:dyDescent="0.35">
      <c r="O902" s="330">
        <v>5</v>
      </c>
      <c r="P902" s="36">
        <v>418525</v>
      </c>
      <c r="Q902" s="36">
        <v>14</v>
      </c>
      <c r="R902" s="36"/>
      <c r="S902" s="553" t="s">
        <v>1130</v>
      </c>
      <c r="T902" s="36" t="s">
        <v>1131</v>
      </c>
      <c r="U902" s="36">
        <v>1137355</v>
      </c>
      <c r="V902" s="165" t="s">
        <v>91</v>
      </c>
      <c r="W902" s="36">
        <v>1</v>
      </c>
      <c r="X902" s="36">
        <v>1</v>
      </c>
      <c r="Y902" s="36">
        <v>1</v>
      </c>
      <c r="Z902" s="36">
        <v>1</v>
      </c>
      <c r="AA902" s="36">
        <v>1</v>
      </c>
      <c r="AB902" s="36">
        <v>1</v>
      </c>
      <c r="AC902" s="36">
        <v>1</v>
      </c>
      <c r="AD902" s="36">
        <v>1</v>
      </c>
      <c r="AE902" s="36">
        <v>1</v>
      </c>
      <c r="AF902" s="36">
        <v>1</v>
      </c>
      <c r="AG902" s="36">
        <v>1</v>
      </c>
      <c r="AH902" s="36">
        <v>1</v>
      </c>
      <c r="AI902" s="36">
        <v>1</v>
      </c>
      <c r="AJ902" s="36">
        <v>1</v>
      </c>
      <c r="AK902" s="36">
        <v>5</v>
      </c>
      <c r="AL902" s="36">
        <v>3</v>
      </c>
      <c r="AM902" s="36">
        <v>3</v>
      </c>
      <c r="AN902" s="36">
        <v>3</v>
      </c>
      <c r="AO902" s="36">
        <v>3</v>
      </c>
      <c r="AP902" s="36">
        <v>5</v>
      </c>
      <c r="AQ902" s="36"/>
      <c r="AR902" s="36"/>
      <c r="AS902" s="36">
        <v>2</v>
      </c>
      <c r="AT902" s="36">
        <v>2</v>
      </c>
      <c r="AU902" s="36">
        <v>2</v>
      </c>
      <c r="AV902" s="36">
        <v>2</v>
      </c>
      <c r="AW902" s="36">
        <v>4</v>
      </c>
      <c r="AX902" s="36">
        <v>4</v>
      </c>
      <c r="AY902" s="953">
        <v>4</v>
      </c>
      <c r="AZ902" s="36">
        <v>4</v>
      </c>
      <c r="BA902" s="36">
        <v>2</v>
      </c>
      <c r="BB902" s="36">
        <v>2</v>
      </c>
      <c r="BC902" s="36">
        <v>2</v>
      </c>
      <c r="BD902" s="36"/>
      <c r="BF902">
        <f>ROWS($U$46:U902)</f>
        <v>857</v>
      </c>
      <c r="BG902" t="str">
        <f t="shared" si="217"/>
        <v/>
      </c>
    </row>
    <row r="903" spans="14:59" ht="15" customHeight="1" x14ac:dyDescent="0.35">
      <c r="O903" s="330"/>
      <c r="P903" s="36"/>
      <c r="Q903" s="36"/>
      <c r="R903" s="36"/>
      <c r="S903" s="553" t="s">
        <v>1130</v>
      </c>
      <c r="T903" s="36" t="s">
        <v>1131</v>
      </c>
      <c r="U903" s="36">
        <v>1137355</v>
      </c>
      <c r="V903" s="165" t="s">
        <v>92</v>
      </c>
      <c r="W903" s="36">
        <v>1</v>
      </c>
      <c r="X903" s="36">
        <v>1</v>
      </c>
      <c r="Y903" s="36">
        <v>1</v>
      </c>
      <c r="Z903" s="36">
        <v>1</v>
      </c>
      <c r="AA903" s="36">
        <v>1</v>
      </c>
      <c r="AB903" s="36">
        <v>1</v>
      </c>
      <c r="AC903" s="36">
        <v>1</v>
      </c>
      <c r="AD903" s="36">
        <v>1</v>
      </c>
      <c r="AE903" s="36">
        <v>5</v>
      </c>
      <c r="AF903" s="36">
        <v>3</v>
      </c>
      <c r="AG903" s="36">
        <v>3</v>
      </c>
      <c r="AH903" s="36">
        <v>3</v>
      </c>
      <c r="AI903" s="36">
        <v>3</v>
      </c>
      <c r="AJ903" s="36">
        <v>5</v>
      </c>
      <c r="AK903" s="36"/>
      <c r="AL903" s="36"/>
      <c r="AM903" s="36"/>
      <c r="AN903" s="36"/>
      <c r="AO903" s="36"/>
      <c r="AP903" s="36"/>
      <c r="AQ903" s="36"/>
      <c r="AR903" s="36"/>
      <c r="AS903" s="36">
        <v>2</v>
      </c>
      <c r="AT903" s="36">
        <v>2</v>
      </c>
      <c r="AU903" s="36">
        <v>4</v>
      </c>
      <c r="AV903" s="36">
        <v>4</v>
      </c>
      <c r="AW903" s="36">
        <v>4</v>
      </c>
      <c r="AX903" s="36">
        <v>4</v>
      </c>
      <c r="AY903" s="953">
        <v>2</v>
      </c>
      <c r="AZ903" s="36">
        <v>2</v>
      </c>
      <c r="BA903" s="36"/>
      <c r="BB903" s="36"/>
      <c r="BC903" s="36"/>
      <c r="BD903" s="36"/>
      <c r="BF903">
        <f>ROWS($U$46:U903)</f>
        <v>858</v>
      </c>
      <c r="BG903" t="str">
        <f t="shared" si="217"/>
        <v/>
      </c>
    </row>
    <row r="904" spans="14:59" ht="15" customHeight="1" thickBot="1" x14ac:dyDescent="0.4">
      <c r="O904" s="331"/>
      <c r="P904" s="328"/>
      <c r="Q904" s="328"/>
      <c r="R904" s="328"/>
      <c r="S904" s="554" t="s">
        <v>1130</v>
      </c>
      <c r="T904" s="328" t="s">
        <v>1131</v>
      </c>
      <c r="U904" s="328">
        <v>1137355</v>
      </c>
      <c r="V904" s="327" t="s">
        <v>111</v>
      </c>
      <c r="W904" s="328">
        <v>1</v>
      </c>
      <c r="X904" s="328">
        <v>1</v>
      </c>
      <c r="Y904" s="328">
        <v>1</v>
      </c>
      <c r="Z904" s="328">
        <v>1</v>
      </c>
      <c r="AA904" s="328">
        <v>1</v>
      </c>
      <c r="AB904" s="328">
        <v>1</v>
      </c>
      <c r="AC904" s="328">
        <v>1</v>
      </c>
      <c r="AD904" s="328">
        <v>1</v>
      </c>
      <c r="AE904" s="328">
        <v>1</v>
      </c>
      <c r="AF904" s="328">
        <v>1</v>
      </c>
      <c r="AG904" s="328">
        <v>5</v>
      </c>
      <c r="AH904" s="328">
        <v>3</v>
      </c>
      <c r="AI904" s="328">
        <v>3</v>
      </c>
      <c r="AJ904" s="328">
        <v>3</v>
      </c>
      <c r="AK904" s="328">
        <v>3</v>
      </c>
      <c r="AL904" s="328">
        <v>5</v>
      </c>
      <c r="AM904" s="328"/>
      <c r="AN904" s="328"/>
      <c r="AO904" s="328"/>
      <c r="AP904" s="328"/>
      <c r="AQ904" s="328"/>
      <c r="AR904" s="328"/>
      <c r="AS904" s="328">
        <v>2</v>
      </c>
      <c r="AT904" s="328">
        <v>2</v>
      </c>
      <c r="AU904" s="328">
        <v>4</v>
      </c>
      <c r="AV904" s="328">
        <v>4</v>
      </c>
      <c r="AW904" s="328">
        <v>4</v>
      </c>
      <c r="AX904" s="328">
        <v>4</v>
      </c>
      <c r="AY904" s="954">
        <v>2</v>
      </c>
      <c r="AZ904" s="36">
        <v>2</v>
      </c>
      <c r="BA904" s="36">
        <v>2</v>
      </c>
      <c r="BB904" s="36"/>
      <c r="BC904" s="36"/>
      <c r="BD904" s="36"/>
      <c r="BF904">
        <f>ROWS($U$46:U904)</f>
        <v>859</v>
      </c>
      <c r="BG904" t="str">
        <f t="shared" si="217"/>
        <v/>
      </c>
    </row>
    <row r="905" spans="14:59" ht="15" customHeight="1" thickBot="1" x14ac:dyDescent="0.4">
      <c r="N905" s="934" t="s">
        <v>1937</v>
      </c>
      <c r="O905" s="329">
        <v>1</v>
      </c>
      <c r="P905" s="320">
        <v>1130200</v>
      </c>
      <c r="Q905" s="320">
        <v>54</v>
      </c>
      <c r="R905" s="320"/>
      <c r="S905" s="320" t="s">
        <v>1209</v>
      </c>
      <c r="T905" s="320" t="s">
        <v>1210</v>
      </c>
      <c r="U905" s="320">
        <v>1005462</v>
      </c>
      <c r="V905" s="319" t="s">
        <v>87</v>
      </c>
      <c r="W905" s="320">
        <v>2</v>
      </c>
      <c r="X905" s="320">
        <v>2</v>
      </c>
      <c r="Y905" s="320">
        <v>2</v>
      </c>
      <c r="Z905" s="320">
        <v>1</v>
      </c>
      <c r="AA905" s="320">
        <v>1</v>
      </c>
      <c r="AB905" s="320">
        <v>1</v>
      </c>
      <c r="AC905" s="320">
        <v>1</v>
      </c>
      <c r="AD905" s="320">
        <v>1</v>
      </c>
      <c r="AE905" s="320">
        <v>1</v>
      </c>
      <c r="AF905" s="320">
        <v>4</v>
      </c>
      <c r="AG905" s="320"/>
      <c r="AH905" s="320">
        <v>1</v>
      </c>
      <c r="AI905" s="320">
        <v>3</v>
      </c>
      <c r="AJ905" s="320">
        <v>3</v>
      </c>
      <c r="AK905" s="320">
        <v>3</v>
      </c>
      <c r="AL905" s="320"/>
      <c r="AM905" s="320"/>
      <c r="AN905" s="320"/>
      <c r="AO905" s="320"/>
      <c r="AP905" s="320"/>
      <c r="AQ905" s="320"/>
      <c r="AR905" s="320"/>
      <c r="AS905" s="320"/>
      <c r="AT905" s="320"/>
      <c r="AU905" s="320"/>
      <c r="AV905" s="320"/>
      <c r="AW905" s="320"/>
      <c r="AX905" s="320"/>
      <c r="AY905" s="952"/>
      <c r="AZ905" s="36"/>
      <c r="BA905" s="36"/>
      <c r="BB905" s="36"/>
      <c r="BC905" s="36"/>
      <c r="BD905" s="36"/>
      <c r="BF905">
        <f>ROWS($U$46:U905)</f>
        <v>860</v>
      </c>
      <c r="BG905" t="str">
        <f t="shared" si="217"/>
        <v/>
      </c>
    </row>
    <row r="906" spans="14:59" ht="15" customHeight="1" x14ac:dyDescent="0.35">
      <c r="O906" s="330">
        <v>2</v>
      </c>
      <c r="P906" s="36">
        <v>1130198</v>
      </c>
      <c r="Q906" s="36">
        <v>9</v>
      </c>
      <c r="R906" s="36"/>
      <c r="S906" s="36" t="s">
        <v>1209</v>
      </c>
      <c r="T906" s="36" t="s">
        <v>1210</v>
      </c>
      <c r="U906" s="36">
        <v>1005462</v>
      </c>
      <c r="V906" s="165" t="s">
        <v>88</v>
      </c>
      <c r="W906" s="36">
        <v>1</v>
      </c>
      <c r="X906" s="36">
        <v>1</v>
      </c>
      <c r="Y906" s="36">
        <v>1</v>
      </c>
      <c r="Z906" s="36">
        <v>1</v>
      </c>
      <c r="AA906" s="36">
        <v>1</v>
      </c>
      <c r="AB906" s="36">
        <v>1</v>
      </c>
      <c r="AC906" s="36">
        <v>5</v>
      </c>
      <c r="AD906" s="36"/>
      <c r="AE906" s="36"/>
      <c r="AF906" s="36"/>
      <c r="AG906" s="36"/>
      <c r="AH906" s="36">
        <v>3</v>
      </c>
      <c r="AI906" s="36">
        <v>3</v>
      </c>
      <c r="AJ906" s="36">
        <v>3</v>
      </c>
      <c r="AK906" s="36">
        <v>3</v>
      </c>
      <c r="AL906" s="36">
        <v>3</v>
      </c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  <c r="AW906" s="36"/>
      <c r="AX906" s="36"/>
      <c r="AY906" s="953"/>
      <c r="AZ906" s="36"/>
      <c r="BA906" s="36"/>
      <c r="BB906" s="36"/>
      <c r="BC906" s="36"/>
      <c r="BD906" s="36"/>
      <c r="BF906">
        <f>ROWS($U$46:U906)</f>
        <v>861</v>
      </c>
      <c r="BG906" t="str">
        <f t="shared" si="217"/>
        <v/>
      </c>
    </row>
    <row r="907" spans="14:59" ht="15" customHeight="1" x14ac:dyDescent="0.35">
      <c r="O907" s="330">
        <v>3</v>
      </c>
      <c r="P907" s="36">
        <v>708306</v>
      </c>
      <c r="Q907" s="36">
        <v>28</v>
      </c>
      <c r="R907" s="36"/>
      <c r="S907" s="36" t="s">
        <v>1209</v>
      </c>
      <c r="T907" s="36" t="s">
        <v>1210</v>
      </c>
      <c r="U907" s="36">
        <v>1005462</v>
      </c>
      <c r="V907" s="165" t="s">
        <v>89</v>
      </c>
      <c r="W907" s="36">
        <v>1</v>
      </c>
      <c r="X907" s="36">
        <v>1</v>
      </c>
      <c r="Y907" s="36">
        <v>1</v>
      </c>
      <c r="Z907" s="36">
        <v>1</v>
      </c>
      <c r="AA907" s="36">
        <v>1</v>
      </c>
      <c r="AB907" s="36">
        <v>1</v>
      </c>
      <c r="AC907" s="36">
        <v>4</v>
      </c>
      <c r="AD907" s="36"/>
      <c r="AE907" s="36"/>
      <c r="AF907" s="36"/>
      <c r="AG907" s="36"/>
      <c r="AH907" s="36">
        <v>3</v>
      </c>
      <c r="AI907" s="36">
        <v>3</v>
      </c>
      <c r="AJ907" s="36">
        <v>3</v>
      </c>
      <c r="AK907" s="36">
        <v>3</v>
      </c>
      <c r="AL907" s="36">
        <v>3</v>
      </c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  <c r="AW907" s="36"/>
      <c r="AX907" s="36"/>
      <c r="AY907" s="953"/>
      <c r="AZ907" s="36"/>
      <c r="BA907" s="36"/>
      <c r="BB907" s="36"/>
      <c r="BC907" s="36"/>
      <c r="BD907" s="36"/>
      <c r="BF907">
        <f>ROWS($U$46:U907)</f>
        <v>862</v>
      </c>
      <c r="BG907" t="str">
        <f t="shared" si="217"/>
        <v/>
      </c>
    </row>
    <row r="908" spans="14:59" ht="15" customHeight="1" x14ac:dyDescent="0.35">
      <c r="O908" s="330">
        <v>4</v>
      </c>
      <c r="P908" s="36">
        <v>871781</v>
      </c>
      <c r="Q908" s="36">
        <v>4</v>
      </c>
      <c r="R908" s="36"/>
      <c r="S908" s="36" t="s">
        <v>1209</v>
      </c>
      <c r="T908" s="36" t="s">
        <v>1210</v>
      </c>
      <c r="U908" s="36">
        <v>1005462</v>
      </c>
      <c r="V908" s="165" t="s">
        <v>90</v>
      </c>
      <c r="W908" s="36">
        <v>2</v>
      </c>
      <c r="X908" s="36">
        <v>2</v>
      </c>
      <c r="Y908" s="36">
        <v>2</v>
      </c>
      <c r="Z908" s="36">
        <v>1</v>
      </c>
      <c r="AA908" s="36">
        <v>1</v>
      </c>
      <c r="AB908" s="36">
        <v>1</v>
      </c>
      <c r="AC908" s="36">
        <v>1</v>
      </c>
      <c r="AD908" s="36">
        <v>1</v>
      </c>
      <c r="AE908" s="36">
        <v>1</v>
      </c>
      <c r="AF908" s="36">
        <v>5</v>
      </c>
      <c r="AG908" s="36"/>
      <c r="AH908" s="36">
        <v>1</v>
      </c>
      <c r="AI908" s="36">
        <v>3</v>
      </c>
      <c r="AJ908" s="36">
        <v>3</v>
      </c>
      <c r="AK908" s="36">
        <v>3</v>
      </c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  <c r="AW908" s="36"/>
      <c r="AX908" s="36"/>
      <c r="AY908" s="953"/>
      <c r="AZ908" s="36"/>
      <c r="BA908" s="36"/>
      <c r="BB908" s="36"/>
      <c r="BC908" s="36"/>
      <c r="BD908" s="36"/>
      <c r="BF908">
        <f>ROWS($U$46:U908)</f>
        <v>863</v>
      </c>
      <c r="BG908" t="str">
        <f t="shared" si="217"/>
        <v/>
      </c>
    </row>
    <row r="909" spans="14:59" ht="15" customHeight="1" x14ac:dyDescent="0.35">
      <c r="O909" s="330">
        <v>5</v>
      </c>
      <c r="P909" s="36">
        <v>418525</v>
      </c>
      <c r="Q909" s="36">
        <v>4</v>
      </c>
      <c r="R909" s="36"/>
      <c r="S909" s="36" t="s">
        <v>1209</v>
      </c>
      <c r="T909" s="36" t="s">
        <v>1210</v>
      </c>
      <c r="U909" s="36">
        <v>1005462</v>
      </c>
      <c r="V909" s="165" t="s">
        <v>91</v>
      </c>
      <c r="W909" s="36">
        <v>1</v>
      </c>
      <c r="X909" s="36">
        <v>1</v>
      </c>
      <c r="Y909" s="36">
        <v>1</v>
      </c>
      <c r="Z909" s="36">
        <v>1</v>
      </c>
      <c r="AA909" s="36">
        <v>1</v>
      </c>
      <c r="AB909" s="36">
        <v>1</v>
      </c>
      <c r="AC909" s="36">
        <v>4</v>
      </c>
      <c r="AD909" s="36"/>
      <c r="AE909" s="36"/>
      <c r="AF909" s="36"/>
      <c r="AG909" s="36"/>
      <c r="AH909" s="36">
        <v>1</v>
      </c>
      <c r="AI909" s="36">
        <v>3</v>
      </c>
      <c r="AJ909" s="36">
        <v>3</v>
      </c>
      <c r="AK909" s="36">
        <v>3</v>
      </c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  <c r="AW909" s="36"/>
      <c r="AX909" s="36"/>
      <c r="AY909" s="953"/>
      <c r="AZ909" s="36"/>
      <c r="BA909" s="36"/>
      <c r="BB909" s="36"/>
      <c r="BC909" s="36"/>
      <c r="BD909" s="36"/>
      <c r="BF909">
        <f>ROWS($U$46:U909)</f>
        <v>864</v>
      </c>
      <c r="BG909" t="str">
        <f t="shared" si="217"/>
        <v/>
      </c>
    </row>
    <row r="910" spans="14:59" ht="15" customHeight="1" x14ac:dyDescent="0.35">
      <c r="O910" s="330"/>
      <c r="P910" s="36"/>
      <c r="Q910" s="36"/>
      <c r="R910" s="36"/>
      <c r="S910" s="36" t="s">
        <v>1209</v>
      </c>
      <c r="T910" s="36" t="s">
        <v>1210</v>
      </c>
      <c r="U910" s="36">
        <v>1005462</v>
      </c>
      <c r="V910" s="165" t="s">
        <v>92</v>
      </c>
      <c r="W910" s="36">
        <v>2</v>
      </c>
      <c r="X910" s="36">
        <v>2</v>
      </c>
      <c r="Y910" s="36">
        <v>2</v>
      </c>
      <c r="Z910" s="36">
        <v>1</v>
      </c>
      <c r="AA910" s="36">
        <v>1</v>
      </c>
      <c r="AB910" s="36">
        <v>1</v>
      </c>
      <c r="AC910" s="36">
        <v>1</v>
      </c>
      <c r="AD910" s="36">
        <v>1</v>
      </c>
      <c r="AE910" s="36">
        <v>1</v>
      </c>
      <c r="AF910" s="36">
        <v>5</v>
      </c>
      <c r="AG910" s="36"/>
      <c r="AH910" s="36">
        <v>1</v>
      </c>
      <c r="AI910" s="36">
        <v>3</v>
      </c>
      <c r="AJ910" s="36">
        <v>3</v>
      </c>
      <c r="AK910" s="36">
        <v>3</v>
      </c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953"/>
      <c r="AZ910" s="36"/>
      <c r="BA910" s="36"/>
      <c r="BB910" s="36"/>
      <c r="BC910" s="36"/>
      <c r="BD910" s="36"/>
      <c r="BF910">
        <f>ROWS($U$46:U910)</f>
        <v>865</v>
      </c>
      <c r="BG910" t="str">
        <f t="shared" si="217"/>
        <v/>
      </c>
    </row>
    <row r="911" spans="14:59" ht="15" customHeight="1" x14ac:dyDescent="0.35">
      <c r="O911" s="330"/>
      <c r="P911" s="36"/>
      <c r="Q911" s="36"/>
      <c r="R911" s="36"/>
      <c r="S911" s="36" t="s">
        <v>1209</v>
      </c>
      <c r="T911" s="36" t="s">
        <v>1210</v>
      </c>
      <c r="U911" s="36">
        <v>1005462</v>
      </c>
      <c r="V911" s="165" t="s">
        <v>111</v>
      </c>
      <c r="W911" s="36">
        <v>1</v>
      </c>
      <c r="X911" s="36">
        <v>1</v>
      </c>
      <c r="Y911" s="36">
        <v>1</v>
      </c>
      <c r="Z911" s="36">
        <v>1</v>
      </c>
      <c r="AA911" s="36">
        <v>1</v>
      </c>
      <c r="AB911" s="36">
        <v>1</v>
      </c>
      <c r="AC911" s="36">
        <v>4</v>
      </c>
      <c r="AD911" s="36"/>
      <c r="AE911" s="36"/>
      <c r="AF911" s="36"/>
      <c r="AG911" s="36"/>
      <c r="AH911" s="36">
        <v>1</v>
      </c>
      <c r="AI911" s="36">
        <v>3</v>
      </c>
      <c r="AJ911" s="36">
        <v>3</v>
      </c>
      <c r="AK911" s="36">
        <v>3</v>
      </c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953"/>
      <c r="AZ911" s="36"/>
      <c r="BA911" s="36"/>
      <c r="BB911" s="36"/>
      <c r="BC911" s="36"/>
      <c r="BD911" s="36"/>
      <c r="BF911">
        <f>ROWS($U$46:U911)</f>
        <v>866</v>
      </c>
      <c r="BG911" t="str">
        <f t="shared" si="217"/>
        <v/>
      </c>
    </row>
    <row r="912" spans="14:59" ht="15" customHeight="1" thickBot="1" x14ac:dyDescent="0.4">
      <c r="O912" s="331"/>
      <c r="P912" s="328"/>
      <c r="Q912" s="328"/>
      <c r="R912" s="328"/>
      <c r="S912" s="328" t="s">
        <v>1209</v>
      </c>
      <c r="T912" s="328" t="s">
        <v>1210</v>
      </c>
      <c r="U912" s="328">
        <v>1005462</v>
      </c>
      <c r="V912" s="327" t="s">
        <v>112</v>
      </c>
      <c r="W912" s="328">
        <v>1</v>
      </c>
      <c r="X912" s="328">
        <v>1</v>
      </c>
      <c r="Y912" s="328">
        <v>1</v>
      </c>
      <c r="Z912" s="328">
        <v>1</v>
      </c>
      <c r="AA912" s="328">
        <v>1</v>
      </c>
      <c r="AB912" s="328">
        <v>1</v>
      </c>
      <c r="AC912" s="328">
        <v>5</v>
      </c>
      <c r="AD912" s="328"/>
      <c r="AE912" s="328"/>
      <c r="AF912" s="328"/>
      <c r="AG912" s="328"/>
      <c r="AH912" s="328">
        <v>1</v>
      </c>
      <c r="AI912" s="328">
        <v>3</v>
      </c>
      <c r="AJ912" s="328">
        <v>3</v>
      </c>
      <c r="AK912" s="328">
        <v>3</v>
      </c>
      <c r="AL912" s="328"/>
      <c r="AM912" s="328"/>
      <c r="AN912" s="328"/>
      <c r="AO912" s="328"/>
      <c r="AP912" s="328"/>
      <c r="AQ912" s="328"/>
      <c r="AR912" s="328"/>
      <c r="AS912" s="328"/>
      <c r="AT912" s="328"/>
      <c r="AU912" s="328"/>
      <c r="AV912" s="328"/>
      <c r="AW912" s="328"/>
      <c r="AX912" s="328"/>
      <c r="AY912" s="954"/>
      <c r="AZ912" s="36"/>
      <c r="BA912" s="36"/>
      <c r="BB912" s="36"/>
      <c r="BC912" s="36"/>
      <c r="BD912" s="36"/>
      <c r="BF912">
        <f>ROWS($U$46:U912)</f>
        <v>867</v>
      </c>
      <c r="BG912" t="str">
        <f t="shared" si="217"/>
        <v/>
      </c>
    </row>
    <row r="913" spans="15:59" ht="15" customHeight="1" x14ac:dyDescent="0.35">
      <c r="O913" s="329">
        <v>1</v>
      </c>
      <c r="P913" s="320">
        <v>1130198</v>
      </c>
      <c r="Q913" s="320">
        <v>147</v>
      </c>
      <c r="R913" s="320"/>
      <c r="S913" s="320" t="s">
        <v>1126</v>
      </c>
      <c r="T913" s="320" t="s">
        <v>1127</v>
      </c>
      <c r="U913" s="320">
        <v>942738</v>
      </c>
      <c r="V913" s="319" t="s">
        <v>87</v>
      </c>
      <c r="W913" s="320">
        <v>1</v>
      </c>
      <c r="X913" s="320">
        <v>1</v>
      </c>
      <c r="Y913" s="320">
        <v>1</v>
      </c>
      <c r="Z913" s="320">
        <v>1</v>
      </c>
      <c r="AA913" s="320">
        <v>1</v>
      </c>
      <c r="AB913" s="320">
        <v>1</v>
      </c>
      <c r="AC913" s="320">
        <v>1</v>
      </c>
      <c r="AD913" s="320">
        <v>1</v>
      </c>
      <c r="AE913" s="320">
        <v>1</v>
      </c>
      <c r="AF913" s="320">
        <v>1</v>
      </c>
      <c r="AG913" s="320">
        <v>1</v>
      </c>
      <c r="AH913" s="320">
        <v>1</v>
      </c>
      <c r="AI913" s="320">
        <v>1</v>
      </c>
      <c r="AJ913" s="320">
        <v>1</v>
      </c>
      <c r="AK913" s="320">
        <v>1</v>
      </c>
      <c r="AL913" s="320">
        <v>2</v>
      </c>
      <c r="AM913" s="320">
        <v>2</v>
      </c>
      <c r="AN913" s="320"/>
      <c r="AO913" s="320">
        <v>1</v>
      </c>
      <c r="AP913" s="320">
        <v>1</v>
      </c>
      <c r="AQ913" s="320">
        <v>1</v>
      </c>
      <c r="AR913" s="320">
        <v>1</v>
      </c>
      <c r="AS913" s="320">
        <v>1</v>
      </c>
      <c r="AT913" s="320">
        <v>1</v>
      </c>
      <c r="AU913" s="320">
        <v>1</v>
      </c>
      <c r="AV913" s="320"/>
      <c r="AW913" s="320"/>
      <c r="AX913" s="320"/>
      <c r="AY913" s="952"/>
      <c r="AZ913" s="36"/>
      <c r="BA913" s="36"/>
      <c r="BB913" s="36"/>
      <c r="BC913" s="36"/>
      <c r="BD913" s="36"/>
      <c r="BF913">
        <f>ROWS($U$46:U913)</f>
        <v>868</v>
      </c>
      <c r="BG913" t="str">
        <f t="shared" si="217"/>
        <v/>
      </c>
    </row>
    <row r="914" spans="15:59" ht="15" customHeight="1" x14ac:dyDescent="0.35">
      <c r="O914" s="330">
        <v>2</v>
      </c>
      <c r="P914" s="36">
        <v>418525</v>
      </c>
      <c r="Q914" s="36">
        <v>16</v>
      </c>
      <c r="R914" s="36"/>
      <c r="S914" s="36" t="s">
        <v>1126</v>
      </c>
      <c r="T914" s="36" t="s">
        <v>1127</v>
      </c>
      <c r="U914" s="36">
        <v>942738</v>
      </c>
      <c r="V914" s="165" t="s">
        <v>88</v>
      </c>
      <c r="W914" s="36">
        <v>1</v>
      </c>
      <c r="X914" s="36">
        <v>1</v>
      </c>
      <c r="Y914" s="36">
        <v>1</v>
      </c>
      <c r="Z914" s="36">
        <v>1</v>
      </c>
      <c r="AA914" s="36">
        <v>1</v>
      </c>
      <c r="AB914" s="36">
        <v>1</v>
      </c>
      <c r="AC914" s="36">
        <v>1</v>
      </c>
      <c r="AD914" s="36">
        <v>1</v>
      </c>
      <c r="AE914" s="36">
        <v>1</v>
      </c>
      <c r="AF914" s="36">
        <v>1</v>
      </c>
      <c r="AG914" s="36">
        <v>2</v>
      </c>
      <c r="AH914" s="36">
        <v>2</v>
      </c>
      <c r="AI914" s="36"/>
      <c r="AJ914" s="36"/>
      <c r="AK914" s="36"/>
      <c r="AL914" s="36"/>
      <c r="AM914" s="36"/>
      <c r="AN914" s="36"/>
      <c r="AO914" s="36">
        <v>1</v>
      </c>
      <c r="AP914" s="36">
        <v>1</v>
      </c>
      <c r="AQ914" s="36">
        <v>1</v>
      </c>
      <c r="AR914" s="36">
        <v>1</v>
      </c>
      <c r="AS914" s="36">
        <v>1</v>
      </c>
      <c r="AT914" s="36">
        <v>1</v>
      </c>
      <c r="AU914" s="36">
        <v>1</v>
      </c>
      <c r="AV914" s="36"/>
      <c r="AW914" s="36"/>
      <c r="AX914" s="36"/>
      <c r="AY914" s="953"/>
      <c r="AZ914" s="36"/>
      <c r="BA914" s="36"/>
      <c r="BB914" s="36"/>
      <c r="BC914" s="36"/>
      <c r="BD914" s="36"/>
      <c r="BF914">
        <f>ROWS($U$46:U914)</f>
        <v>869</v>
      </c>
      <c r="BG914" t="str">
        <f t="shared" si="217"/>
        <v/>
      </c>
    </row>
    <row r="915" spans="15:59" ht="15" customHeight="1" x14ac:dyDescent="0.35">
      <c r="O915" s="330"/>
      <c r="P915" s="36"/>
      <c r="Q915" s="36"/>
      <c r="R915" s="36"/>
      <c r="S915" s="36" t="s">
        <v>1126</v>
      </c>
      <c r="T915" s="36" t="s">
        <v>1127</v>
      </c>
      <c r="U915" s="36">
        <v>942738</v>
      </c>
      <c r="V915" s="165" t="s">
        <v>89</v>
      </c>
      <c r="W915" s="36">
        <v>1</v>
      </c>
      <c r="X915" s="36">
        <v>1</v>
      </c>
      <c r="Y915" s="36">
        <v>1</v>
      </c>
      <c r="Z915" s="36">
        <v>1</v>
      </c>
      <c r="AA915" s="36">
        <v>1</v>
      </c>
      <c r="AB915" s="36">
        <v>1</v>
      </c>
      <c r="AC915" s="36">
        <v>1</v>
      </c>
      <c r="AD915" s="36">
        <v>1</v>
      </c>
      <c r="AE915" s="36">
        <v>1</v>
      </c>
      <c r="AF915" s="36">
        <v>2</v>
      </c>
      <c r="AG915" s="36">
        <v>2</v>
      </c>
      <c r="AH915" s="36"/>
      <c r="AI915" s="36"/>
      <c r="AJ915" s="36"/>
      <c r="AK915" s="36"/>
      <c r="AL915" s="36"/>
      <c r="AM915" s="36"/>
      <c r="AN915" s="36"/>
      <c r="AO915" s="36">
        <v>1</v>
      </c>
      <c r="AP915" s="36">
        <v>1</v>
      </c>
      <c r="AQ915" s="36">
        <v>1</v>
      </c>
      <c r="AR915" s="36">
        <v>1</v>
      </c>
      <c r="AS915" s="36">
        <v>1</v>
      </c>
      <c r="AT915" s="36">
        <v>1</v>
      </c>
      <c r="AU915" s="36">
        <v>1</v>
      </c>
      <c r="AV915" s="36"/>
      <c r="AW915" s="36"/>
      <c r="AX915" s="36"/>
      <c r="AY915" s="953"/>
      <c r="AZ915" s="36"/>
      <c r="BA915" s="36"/>
      <c r="BB915" s="36"/>
      <c r="BC915" s="36"/>
      <c r="BD915" s="36"/>
      <c r="BF915">
        <f>ROWS($U$46:U915)</f>
        <v>870</v>
      </c>
      <c r="BG915" t="str">
        <f t="shared" si="217"/>
        <v/>
      </c>
    </row>
    <row r="916" spans="15:59" ht="15" customHeight="1" x14ac:dyDescent="0.35">
      <c r="O916" s="330"/>
      <c r="P916" s="36"/>
      <c r="Q916" s="36"/>
      <c r="R916" s="36"/>
      <c r="S916" s="36" t="s">
        <v>1126</v>
      </c>
      <c r="T916" s="36" t="s">
        <v>1127</v>
      </c>
      <c r="U916" s="36">
        <v>942738</v>
      </c>
      <c r="V916" s="165" t="s">
        <v>90</v>
      </c>
      <c r="W916" s="36">
        <v>1</v>
      </c>
      <c r="X916" s="36">
        <v>1</v>
      </c>
      <c r="Y916" s="36">
        <v>1</v>
      </c>
      <c r="Z916" s="36">
        <v>1</v>
      </c>
      <c r="AA916" s="36">
        <v>1</v>
      </c>
      <c r="AB916" s="36">
        <v>1</v>
      </c>
      <c r="AC916" s="36">
        <v>1</v>
      </c>
      <c r="AD916" s="36">
        <v>1</v>
      </c>
      <c r="AE916" s="36">
        <v>1</v>
      </c>
      <c r="AF916" s="36">
        <v>1</v>
      </c>
      <c r="AG916" s="36">
        <v>1</v>
      </c>
      <c r="AH916" s="36">
        <v>1</v>
      </c>
      <c r="AI916" s="36">
        <v>1</v>
      </c>
      <c r="AJ916" s="36">
        <v>1</v>
      </c>
      <c r="AK916" s="36">
        <v>2</v>
      </c>
      <c r="AL916" s="36">
        <v>2</v>
      </c>
      <c r="AM916" s="36"/>
      <c r="AN916" s="36"/>
      <c r="AO916" s="36">
        <v>1</v>
      </c>
      <c r="AP916" s="36">
        <v>1</v>
      </c>
      <c r="AQ916" s="36">
        <v>1</v>
      </c>
      <c r="AR916" s="36">
        <v>1</v>
      </c>
      <c r="AS916" s="36">
        <v>1</v>
      </c>
      <c r="AT916" s="36">
        <v>1</v>
      </c>
      <c r="AU916" s="36">
        <v>1</v>
      </c>
      <c r="AV916" s="36"/>
      <c r="AW916" s="36"/>
      <c r="AX916" s="36"/>
      <c r="AY916" s="953"/>
      <c r="AZ916" s="36"/>
      <c r="BA916" s="36"/>
      <c r="BB916" s="36"/>
      <c r="BC916" s="36"/>
      <c r="BD916" s="36"/>
      <c r="BF916">
        <f>ROWS($U$46:U916)</f>
        <v>871</v>
      </c>
      <c r="BG916" t="str">
        <f t="shared" si="217"/>
        <v/>
      </c>
    </row>
    <row r="917" spans="15:59" ht="15" customHeight="1" x14ac:dyDescent="0.35">
      <c r="O917" s="330"/>
      <c r="P917" s="36"/>
      <c r="Q917" s="36"/>
      <c r="R917" s="36"/>
      <c r="S917" s="36" t="s">
        <v>1126</v>
      </c>
      <c r="T917" s="36" t="s">
        <v>1127</v>
      </c>
      <c r="U917" s="36">
        <v>942738</v>
      </c>
      <c r="V917" s="165" t="s">
        <v>91</v>
      </c>
      <c r="W917" s="36">
        <v>1</v>
      </c>
      <c r="X917" s="36">
        <v>1</v>
      </c>
      <c r="Y917" s="36">
        <v>1</v>
      </c>
      <c r="Z917" s="36">
        <v>1</v>
      </c>
      <c r="AA917" s="36">
        <v>1</v>
      </c>
      <c r="AB917" s="36">
        <v>1</v>
      </c>
      <c r="AC917" s="36">
        <v>1</v>
      </c>
      <c r="AD917" s="36">
        <v>1</v>
      </c>
      <c r="AE917" s="36">
        <v>1</v>
      </c>
      <c r="AF917" s="36">
        <v>1</v>
      </c>
      <c r="AG917" s="36">
        <v>2</v>
      </c>
      <c r="AH917" s="36">
        <v>2</v>
      </c>
      <c r="AI917" s="36"/>
      <c r="AJ917" s="36"/>
      <c r="AK917" s="36"/>
      <c r="AL917" s="36"/>
      <c r="AM917" s="36"/>
      <c r="AN917" s="36"/>
      <c r="AO917" s="36">
        <v>1</v>
      </c>
      <c r="AP917" s="36">
        <v>1</v>
      </c>
      <c r="AQ917" s="36">
        <v>1</v>
      </c>
      <c r="AR917" s="36">
        <v>1</v>
      </c>
      <c r="AS917" s="36">
        <v>1</v>
      </c>
      <c r="AT917" s="36">
        <v>1</v>
      </c>
      <c r="AU917" s="36">
        <v>1</v>
      </c>
      <c r="AV917" s="36"/>
      <c r="AW917" s="36"/>
      <c r="AX917" s="36"/>
      <c r="AY917" s="953"/>
      <c r="AZ917" s="36"/>
      <c r="BA917" s="36"/>
      <c r="BB917" s="36"/>
      <c r="BC917" s="36"/>
      <c r="BD917" s="36"/>
      <c r="BF917">
        <f>ROWS($U$46:U917)</f>
        <v>872</v>
      </c>
      <c r="BG917" t="str">
        <f t="shared" si="217"/>
        <v/>
      </c>
    </row>
    <row r="918" spans="15:59" ht="15" customHeight="1" x14ac:dyDescent="0.35">
      <c r="O918" s="330"/>
      <c r="P918" s="36"/>
      <c r="Q918" s="36"/>
      <c r="R918" s="36"/>
      <c r="S918" s="36" t="s">
        <v>1126</v>
      </c>
      <c r="T918" s="36" t="s">
        <v>1127</v>
      </c>
      <c r="U918" s="36">
        <v>942738</v>
      </c>
      <c r="V918" s="165" t="s">
        <v>92</v>
      </c>
      <c r="W918" s="36">
        <v>1</v>
      </c>
      <c r="X918" s="36">
        <v>1</v>
      </c>
      <c r="Y918" s="36">
        <v>1</v>
      </c>
      <c r="Z918" s="36">
        <v>1</v>
      </c>
      <c r="AA918" s="36">
        <v>1</v>
      </c>
      <c r="AB918" s="36">
        <v>1</v>
      </c>
      <c r="AC918" s="36">
        <v>1</v>
      </c>
      <c r="AD918" s="36">
        <v>1</v>
      </c>
      <c r="AE918" s="36">
        <v>1</v>
      </c>
      <c r="AF918" s="36">
        <v>1</v>
      </c>
      <c r="AG918" s="36">
        <v>1</v>
      </c>
      <c r="AH918" s="36">
        <v>1</v>
      </c>
      <c r="AI918" s="36">
        <v>1</v>
      </c>
      <c r="AJ918" s="36">
        <v>1</v>
      </c>
      <c r="AK918" s="36">
        <v>1</v>
      </c>
      <c r="AL918" s="36">
        <v>2</v>
      </c>
      <c r="AM918" s="36">
        <v>2</v>
      </c>
      <c r="AN918" s="36"/>
      <c r="AO918" s="36">
        <v>1</v>
      </c>
      <c r="AP918" s="36">
        <v>1</v>
      </c>
      <c r="AQ918" s="36">
        <v>1</v>
      </c>
      <c r="AR918" s="36">
        <v>1</v>
      </c>
      <c r="AS918" s="36">
        <v>1</v>
      </c>
      <c r="AT918" s="36">
        <v>1</v>
      </c>
      <c r="AU918" s="36">
        <v>1</v>
      </c>
      <c r="AV918" s="36"/>
      <c r="AW918" s="36"/>
      <c r="AX918" s="36"/>
      <c r="AY918" s="953"/>
      <c r="AZ918" s="36"/>
      <c r="BA918" s="36"/>
      <c r="BB918" s="36"/>
      <c r="BC918" s="36"/>
      <c r="BD918" s="36"/>
      <c r="BF918">
        <f>ROWS($U$46:U918)</f>
        <v>873</v>
      </c>
      <c r="BG918" t="str">
        <f t="shared" si="217"/>
        <v/>
      </c>
    </row>
    <row r="919" spans="15:59" ht="15" customHeight="1" x14ac:dyDescent="0.35">
      <c r="O919" s="330"/>
      <c r="P919" s="36"/>
      <c r="Q919" s="36"/>
      <c r="R919" s="36"/>
      <c r="S919" s="36" t="s">
        <v>1126</v>
      </c>
      <c r="T919" s="36" t="s">
        <v>1127</v>
      </c>
      <c r="U919" s="36">
        <v>942738</v>
      </c>
      <c r="V919" s="165" t="s">
        <v>111</v>
      </c>
      <c r="W919" s="36">
        <v>1</v>
      </c>
      <c r="X919" s="36">
        <v>1</v>
      </c>
      <c r="Y919" s="36">
        <v>1</v>
      </c>
      <c r="Z919" s="36">
        <v>1</v>
      </c>
      <c r="AA919" s="36">
        <v>1</v>
      </c>
      <c r="AB919" s="36">
        <v>1</v>
      </c>
      <c r="AC919" s="36">
        <v>1</v>
      </c>
      <c r="AD919" s="36">
        <v>1</v>
      </c>
      <c r="AE919" s="36">
        <v>1</v>
      </c>
      <c r="AF919" s="36">
        <v>1</v>
      </c>
      <c r="AG919" s="36">
        <v>2</v>
      </c>
      <c r="AH919" s="36">
        <v>2</v>
      </c>
      <c r="AI919" s="36"/>
      <c r="AJ919" s="36"/>
      <c r="AK919" s="36"/>
      <c r="AL919" s="36"/>
      <c r="AM919" s="36"/>
      <c r="AN919" s="36"/>
      <c r="AO919" s="36">
        <v>1</v>
      </c>
      <c r="AP919" s="36">
        <v>1</v>
      </c>
      <c r="AQ919" s="36">
        <v>1</v>
      </c>
      <c r="AR919" s="36">
        <v>1</v>
      </c>
      <c r="AS919" s="36">
        <v>1</v>
      </c>
      <c r="AT919" s="36">
        <v>1</v>
      </c>
      <c r="AU919" s="36"/>
      <c r="AV919" s="36"/>
      <c r="AW919" s="36"/>
      <c r="AX919" s="36"/>
      <c r="AY919" s="953"/>
      <c r="AZ919" s="36"/>
      <c r="BA919" s="36"/>
      <c r="BB919" s="36"/>
      <c r="BC919" s="36"/>
      <c r="BD919" s="36"/>
      <c r="BF919">
        <f>ROWS($U$46:U919)</f>
        <v>874</v>
      </c>
      <c r="BG919" t="str">
        <f t="shared" si="217"/>
        <v/>
      </c>
    </row>
    <row r="920" spans="15:59" ht="15" customHeight="1" thickBot="1" x14ac:dyDescent="0.4">
      <c r="O920" s="331"/>
      <c r="P920" s="328"/>
      <c r="Q920" s="328"/>
      <c r="R920" s="328"/>
      <c r="S920" s="328" t="s">
        <v>1126</v>
      </c>
      <c r="T920" s="328" t="s">
        <v>1127</v>
      </c>
      <c r="U920" s="328">
        <v>942738</v>
      </c>
      <c r="V920" s="327" t="s">
        <v>112</v>
      </c>
      <c r="W920" s="328">
        <v>1</v>
      </c>
      <c r="X920" s="328">
        <v>1</v>
      </c>
      <c r="Y920" s="328">
        <v>1</v>
      </c>
      <c r="Z920" s="328">
        <v>1</v>
      </c>
      <c r="AA920" s="328">
        <v>1</v>
      </c>
      <c r="AB920" s="328">
        <v>1</v>
      </c>
      <c r="AC920" s="328">
        <v>1</v>
      </c>
      <c r="AD920" s="328">
        <v>1</v>
      </c>
      <c r="AE920" s="328">
        <v>1</v>
      </c>
      <c r="AF920" s="328">
        <v>2</v>
      </c>
      <c r="AG920" s="328">
        <v>2</v>
      </c>
      <c r="AH920" s="328"/>
      <c r="AI920" s="328"/>
      <c r="AJ920" s="328"/>
      <c r="AK920" s="328"/>
      <c r="AL920" s="328"/>
      <c r="AM920" s="328"/>
      <c r="AN920" s="328"/>
      <c r="AO920" s="328">
        <v>1</v>
      </c>
      <c r="AP920" s="328">
        <v>1</v>
      </c>
      <c r="AQ920" s="328">
        <v>1</v>
      </c>
      <c r="AR920" s="328">
        <v>1</v>
      </c>
      <c r="AS920" s="328">
        <v>1</v>
      </c>
      <c r="AT920" s="328">
        <v>1</v>
      </c>
      <c r="AU920" s="328">
        <v>1</v>
      </c>
      <c r="AV920" s="328"/>
      <c r="AW920" s="328"/>
      <c r="AX920" s="328"/>
      <c r="AY920" s="954"/>
      <c r="AZ920" s="36"/>
      <c r="BA920" s="36"/>
      <c r="BB920" s="36"/>
      <c r="BC920" s="36"/>
      <c r="BD920" s="36"/>
      <c r="BF920">
        <f>ROWS($U$46:U920)</f>
        <v>875</v>
      </c>
      <c r="BG920" t="str">
        <f t="shared" si="217"/>
        <v/>
      </c>
    </row>
    <row r="921" spans="15:59" ht="15" customHeight="1" x14ac:dyDescent="0.35">
      <c r="O921" s="329">
        <v>1</v>
      </c>
      <c r="P921" s="320">
        <v>1130198</v>
      </c>
      <c r="Q921" s="320">
        <v>77</v>
      </c>
      <c r="R921" s="320"/>
      <c r="S921" s="320" t="s">
        <v>1209</v>
      </c>
      <c r="T921" s="320" t="s">
        <v>1210</v>
      </c>
      <c r="U921" s="320">
        <v>1020531</v>
      </c>
      <c r="V921" s="319" t="s">
        <v>87</v>
      </c>
      <c r="W921" s="320">
        <v>4</v>
      </c>
      <c r="X921" s="320">
        <v>4</v>
      </c>
      <c r="Y921" s="320">
        <v>4</v>
      </c>
      <c r="Z921" s="320">
        <v>2</v>
      </c>
      <c r="AA921" s="320">
        <v>2</v>
      </c>
      <c r="AB921" s="320">
        <v>2</v>
      </c>
      <c r="AC921" s="320">
        <v>1</v>
      </c>
      <c r="AD921" s="320">
        <v>1</v>
      </c>
      <c r="AE921" s="320">
        <v>1</v>
      </c>
      <c r="AF921" s="320">
        <v>1</v>
      </c>
      <c r="AG921" s="320">
        <v>1</v>
      </c>
      <c r="AH921" s="320">
        <v>3</v>
      </c>
      <c r="AI921" s="320"/>
      <c r="AJ921" s="320">
        <v>5</v>
      </c>
      <c r="AK921" s="320">
        <v>1</v>
      </c>
      <c r="AL921" s="320">
        <v>1</v>
      </c>
      <c r="AM921" s="320">
        <v>1</v>
      </c>
      <c r="AN921" s="320">
        <v>1</v>
      </c>
      <c r="AO921" s="320">
        <v>1</v>
      </c>
      <c r="AP921" s="320">
        <v>1</v>
      </c>
      <c r="AQ921" s="320"/>
      <c r="AR921" s="320"/>
      <c r="AS921" s="320"/>
      <c r="AT921" s="320"/>
      <c r="AU921" s="320"/>
      <c r="AV921" s="320"/>
      <c r="AW921" s="320"/>
      <c r="AX921" s="320"/>
      <c r="AY921" s="952"/>
      <c r="AZ921" s="36"/>
      <c r="BA921" s="36"/>
      <c r="BB921" s="36"/>
      <c r="BC921" s="36"/>
      <c r="BD921" s="36"/>
      <c r="BF921">
        <f>ROWS($U$46:U921)</f>
        <v>876</v>
      </c>
      <c r="BG921" t="str">
        <f t="shared" si="217"/>
        <v/>
      </c>
    </row>
    <row r="922" spans="15:59" ht="15" customHeight="1" x14ac:dyDescent="0.35">
      <c r="O922" s="330">
        <v>2</v>
      </c>
      <c r="P922" s="36">
        <v>1130200</v>
      </c>
      <c r="Q922" s="36">
        <v>24</v>
      </c>
      <c r="R922" s="36"/>
      <c r="S922" s="36" t="s">
        <v>1209</v>
      </c>
      <c r="T922" s="36" t="s">
        <v>1210</v>
      </c>
      <c r="U922" s="36">
        <v>1020531</v>
      </c>
      <c r="V922" s="165" t="s">
        <v>88</v>
      </c>
      <c r="W922" s="36">
        <v>2</v>
      </c>
      <c r="X922" s="36">
        <v>2</v>
      </c>
      <c r="Y922" s="36">
        <v>2</v>
      </c>
      <c r="Z922" s="36">
        <v>1</v>
      </c>
      <c r="AA922" s="36">
        <v>1</v>
      </c>
      <c r="AB922" s="36">
        <v>1</v>
      </c>
      <c r="AC922" s="36">
        <v>1</v>
      </c>
      <c r="AD922" s="36">
        <v>3</v>
      </c>
      <c r="AE922" s="36"/>
      <c r="AF922" s="36"/>
      <c r="AG922" s="36"/>
      <c r="AH922" s="36"/>
      <c r="AI922" s="36"/>
      <c r="AJ922" s="36">
        <v>5</v>
      </c>
      <c r="AK922" s="36">
        <v>1</v>
      </c>
      <c r="AL922" s="36">
        <v>1</v>
      </c>
      <c r="AM922" s="36">
        <v>1</v>
      </c>
      <c r="AN922" s="36">
        <v>1</v>
      </c>
      <c r="AO922" s="36">
        <v>1</v>
      </c>
      <c r="AP922" s="36">
        <v>1</v>
      </c>
      <c r="AQ922" s="36"/>
      <c r="AR922" s="36"/>
      <c r="AS922" s="36"/>
      <c r="AT922" s="36"/>
      <c r="AU922" s="36"/>
      <c r="AV922" s="36"/>
      <c r="AW922" s="36"/>
      <c r="AX922" s="36"/>
      <c r="AY922" s="953"/>
      <c r="AZ922" s="36"/>
      <c r="BA922" s="36"/>
      <c r="BB922" s="36"/>
      <c r="BC922" s="36"/>
      <c r="BD922" s="36"/>
      <c r="BF922">
        <f>ROWS($U$46:U922)</f>
        <v>877</v>
      </c>
      <c r="BG922" t="str">
        <f t="shared" si="217"/>
        <v/>
      </c>
    </row>
    <row r="923" spans="15:59" ht="15" customHeight="1" x14ac:dyDescent="0.35">
      <c r="O923" s="330">
        <v>3</v>
      </c>
      <c r="P923" s="36">
        <v>418525</v>
      </c>
      <c r="Q923" s="36">
        <v>8</v>
      </c>
      <c r="R923" s="36"/>
      <c r="S923" s="36" t="s">
        <v>1209</v>
      </c>
      <c r="T923" s="36" t="s">
        <v>1210</v>
      </c>
      <c r="U923" s="36">
        <v>1020531</v>
      </c>
      <c r="V923" s="165" t="s">
        <v>89</v>
      </c>
      <c r="W923" s="36">
        <v>2</v>
      </c>
      <c r="X923" s="36">
        <v>2</v>
      </c>
      <c r="Y923" s="36">
        <v>2</v>
      </c>
      <c r="Z923" s="36">
        <v>1</v>
      </c>
      <c r="AA923" s="36">
        <v>1</v>
      </c>
      <c r="AB923" s="36">
        <v>1</v>
      </c>
      <c r="AC923" s="36">
        <v>1</v>
      </c>
      <c r="AD923" s="36">
        <v>3</v>
      </c>
      <c r="AE923" s="36"/>
      <c r="AF923" s="36"/>
      <c r="AG923" s="36"/>
      <c r="AH923" s="36"/>
      <c r="AI923" s="36"/>
      <c r="AJ923" s="36">
        <v>5</v>
      </c>
      <c r="AK923" s="36">
        <v>1</v>
      </c>
      <c r="AL923" s="36">
        <v>1</v>
      </c>
      <c r="AM923" s="36">
        <v>1</v>
      </c>
      <c r="AN923" s="36">
        <v>1</v>
      </c>
      <c r="AO923" s="36">
        <v>1</v>
      </c>
      <c r="AP923" s="36"/>
      <c r="AQ923" s="36"/>
      <c r="AR923" s="36"/>
      <c r="AS923" s="36"/>
      <c r="AT923" s="36"/>
      <c r="AU923" s="36"/>
      <c r="AV923" s="36"/>
      <c r="AW923" s="36"/>
      <c r="AX923" s="36"/>
      <c r="AY923" s="953"/>
      <c r="AZ923" s="36"/>
      <c r="BA923" s="36"/>
      <c r="BB923" s="36"/>
      <c r="BC923" s="36"/>
      <c r="BD923" s="36"/>
      <c r="BF923">
        <f>ROWS($U$46:U923)</f>
        <v>878</v>
      </c>
      <c r="BG923" t="str">
        <f t="shared" si="217"/>
        <v/>
      </c>
    </row>
    <row r="924" spans="15:59" ht="15" customHeight="1" x14ac:dyDescent="0.35">
      <c r="O924" s="330">
        <v>4</v>
      </c>
      <c r="P924" s="36">
        <v>1100741</v>
      </c>
      <c r="Q924" s="36">
        <v>9</v>
      </c>
      <c r="R924" s="36"/>
      <c r="S924" s="36" t="s">
        <v>1209</v>
      </c>
      <c r="T924" s="36" t="s">
        <v>1210</v>
      </c>
      <c r="U924" s="36">
        <v>1020531</v>
      </c>
      <c r="V924" s="165" t="s">
        <v>90</v>
      </c>
      <c r="W924" s="36">
        <v>4</v>
      </c>
      <c r="X924" s="36">
        <v>4</v>
      </c>
      <c r="Y924" s="36">
        <v>4</v>
      </c>
      <c r="Z924" s="36">
        <v>2</v>
      </c>
      <c r="AA924" s="36">
        <v>2</v>
      </c>
      <c r="AB924" s="36">
        <v>2</v>
      </c>
      <c r="AC924" s="36">
        <v>1</v>
      </c>
      <c r="AD924" s="36">
        <v>1</v>
      </c>
      <c r="AE924" s="36">
        <v>1</v>
      </c>
      <c r="AF924" s="36">
        <v>1</v>
      </c>
      <c r="AG924" s="36">
        <v>3</v>
      </c>
      <c r="AH924" s="36"/>
      <c r="AI924" s="36"/>
      <c r="AJ924" s="36">
        <v>5</v>
      </c>
      <c r="AK924" s="36">
        <v>1</v>
      </c>
      <c r="AL924" s="36">
        <v>1</v>
      </c>
      <c r="AM924" s="36">
        <v>1</v>
      </c>
      <c r="AN924" s="36">
        <v>1</v>
      </c>
      <c r="AO924" s="36">
        <v>1</v>
      </c>
      <c r="AP924" s="36"/>
      <c r="AQ924" s="36"/>
      <c r="AR924" s="36"/>
      <c r="AS924" s="36"/>
      <c r="AT924" s="36"/>
      <c r="AU924" s="36"/>
      <c r="AV924" s="36"/>
      <c r="AW924" s="36"/>
      <c r="AX924" s="36"/>
      <c r="AY924" s="953"/>
      <c r="AZ924" s="36"/>
      <c r="BA924" s="36"/>
      <c r="BB924" s="36"/>
      <c r="BC924" s="36"/>
      <c r="BD924" s="36"/>
      <c r="BF924">
        <f>ROWS($U$46:U924)</f>
        <v>879</v>
      </c>
      <c r="BG924" t="str">
        <f t="shared" si="217"/>
        <v/>
      </c>
    </row>
    <row r="925" spans="15:59" ht="15" customHeight="1" x14ac:dyDescent="0.35">
      <c r="O925" s="330">
        <v>5</v>
      </c>
      <c r="P925" s="36">
        <v>1130197</v>
      </c>
      <c r="Q925" s="36">
        <v>8</v>
      </c>
      <c r="R925" s="36"/>
      <c r="S925" s="36" t="s">
        <v>1209</v>
      </c>
      <c r="T925" s="36" t="s">
        <v>1210</v>
      </c>
      <c r="U925" s="36">
        <v>1020531</v>
      </c>
      <c r="V925" s="165" t="s">
        <v>91</v>
      </c>
      <c r="W925" s="36">
        <v>2</v>
      </c>
      <c r="X925" s="36">
        <v>2</v>
      </c>
      <c r="Y925" s="36">
        <v>2</v>
      </c>
      <c r="Z925" s="36">
        <v>1</v>
      </c>
      <c r="AA925" s="36">
        <v>1</v>
      </c>
      <c r="AB925" s="36">
        <v>1</v>
      </c>
      <c r="AC925" s="36">
        <v>1</v>
      </c>
      <c r="AD925" s="36">
        <v>3</v>
      </c>
      <c r="AE925" s="36"/>
      <c r="AF925" s="36"/>
      <c r="AG925" s="36"/>
      <c r="AH925" s="36"/>
      <c r="AI925" s="36"/>
      <c r="AJ925" s="36">
        <v>5</v>
      </c>
      <c r="AK925" s="36">
        <v>1</v>
      </c>
      <c r="AL925" s="36">
        <v>1</v>
      </c>
      <c r="AM925" s="36">
        <v>1</v>
      </c>
      <c r="AN925" s="36">
        <v>1</v>
      </c>
      <c r="AO925" s="36">
        <v>1</v>
      </c>
      <c r="AP925" s="36"/>
      <c r="AQ925" s="36"/>
      <c r="AR925" s="36"/>
      <c r="AS925" s="36"/>
      <c r="AT925" s="36"/>
      <c r="AU925" s="36"/>
      <c r="AV925" s="36"/>
      <c r="AW925" s="36"/>
      <c r="AX925" s="36"/>
      <c r="AY925" s="953"/>
      <c r="AZ925" s="36"/>
      <c r="BA925" s="36"/>
      <c r="BB925" s="36"/>
      <c r="BC925" s="36"/>
      <c r="BD925" s="36"/>
      <c r="BF925">
        <f>ROWS($U$46:U925)</f>
        <v>880</v>
      </c>
      <c r="BG925" t="str">
        <f t="shared" si="217"/>
        <v/>
      </c>
    </row>
    <row r="926" spans="15:59" ht="15" customHeight="1" x14ac:dyDescent="0.35">
      <c r="O926" s="330"/>
      <c r="P926" s="36"/>
      <c r="Q926" s="36"/>
      <c r="R926" s="36"/>
      <c r="S926" s="36" t="s">
        <v>1209</v>
      </c>
      <c r="T926" s="36" t="s">
        <v>1210</v>
      </c>
      <c r="U926" s="36">
        <v>1020531</v>
      </c>
      <c r="V926" s="165" t="s">
        <v>92</v>
      </c>
      <c r="W926" s="36">
        <v>4</v>
      </c>
      <c r="X926" s="36">
        <v>4</v>
      </c>
      <c r="Y926" s="36">
        <v>4</v>
      </c>
      <c r="Z926" s="36">
        <v>2</v>
      </c>
      <c r="AA926" s="36">
        <v>2</v>
      </c>
      <c r="AB926" s="36">
        <v>2</v>
      </c>
      <c r="AC926" s="36">
        <v>1</v>
      </c>
      <c r="AD926" s="36">
        <v>1</v>
      </c>
      <c r="AE926" s="36">
        <v>1</v>
      </c>
      <c r="AF926" s="36">
        <v>1</v>
      </c>
      <c r="AG926" s="36">
        <v>3</v>
      </c>
      <c r="AH926" s="36"/>
      <c r="AI926" s="36"/>
      <c r="AJ926" s="36">
        <v>5</v>
      </c>
      <c r="AK926" s="36">
        <v>1</v>
      </c>
      <c r="AL926" s="36">
        <v>1</v>
      </c>
      <c r="AM926" s="36">
        <v>1</v>
      </c>
      <c r="AN926" s="36">
        <v>1</v>
      </c>
      <c r="AO926" s="36">
        <v>1</v>
      </c>
      <c r="AP926" s="36"/>
      <c r="AQ926" s="36"/>
      <c r="AR926" s="36"/>
      <c r="AS926" s="36"/>
      <c r="AT926" s="36"/>
      <c r="AU926" s="36"/>
      <c r="AV926" s="36"/>
      <c r="AW926" s="36"/>
      <c r="AX926" s="36"/>
      <c r="AY926" s="953"/>
      <c r="AZ926" s="36"/>
      <c r="BA926" s="36"/>
      <c r="BB926" s="36"/>
      <c r="BC926" s="36"/>
      <c r="BD926" s="36"/>
      <c r="BF926">
        <f>ROWS($U$46:U926)</f>
        <v>881</v>
      </c>
      <c r="BG926" t="str">
        <f t="shared" si="217"/>
        <v/>
      </c>
    </row>
    <row r="927" spans="15:59" ht="15" customHeight="1" x14ac:dyDescent="0.35">
      <c r="O927" s="330"/>
      <c r="P927" s="36"/>
      <c r="Q927" s="36"/>
      <c r="R927" s="36"/>
      <c r="S927" s="36" t="s">
        <v>1209</v>
      </c>
      <c r="T927" s="36" t="s">
        <v>1210</v>
      </c>
      <c r="U927" s="36">
        <v>1020531</v>
      </c>
      <c r="V927" s="165" t="s">
        <v>111</v>
      </c>
      <c r="W927" s="36">
        <v>2</v>
      </c>
      <c r="X927" s="36">
        <v>2</v>
      </c>
      <c r="Y927" s="36">
        <v>2</v>
      </c>
      <c r="Z927" s="36">
        <v>1</v>
      </c>
      <c r="AA927" s="36">
        <v>1</v>
      </c>
      <c r="AB927" s="36">
        <v>1</v>
      </c>
      <c r="AC927" s="36">
        <v>1</v>
      </c>
      <c r="AD927" s="36">
        <v>3</v>
      </c>
      <c r="AE927" s="36"/>
      <c r="AF927" s="36"/>
      <c r="AG927" s="36"/>
      <c r="AH927" s="36"/>
      <c r="AI927" s="36"/>
      <c r="AJ927" s="36">
        <v>5</v>
      </c>
      <c r="AK927" s="36">
        <v>1</v>
      </c>
      <c r="AL927" s="36">
        <v>1</v>
      </c>
      <c r="AM927" s="36">
        <v>1</v>
      </c>
      <c r="AN927" s="36">
        <v>1</v>
      </c>
      <c r="AO927" s="36">
        <v>1</v>
      </c>
      <c r="AP927" s="36"/>
      <c r="AQ927" s="36"/>
      <c r="AR927" s="36"/>
      <c r="AS927" s="36"/>
      <c r="AT927" s="36"/>
      <c r="AU927" s="36"/>
      <c r="AV927" s="36"/>
      <c r="AW927" s="36"/>
      <c r="AX927" s="36"/>
      <c r="AY927" s="953"/>
      <c r="AZ927" s="36"/>
      <c r="BA927" s="36"/>
      <c r="BB927" s="36"/>
      <c r="BC927" s="36"/>
      <c r="BD927" s="36"/>
      <c r="BF927">
        <f>ROWS($U$46:U927)</f>
        <v>882</v>
      </c>
      <c r="BG927" t="str">
        <f t="shared" si="217"/>
        <v/>
      </c>
    </row>
    <row r="928" spans="15:59" ht="15" customHeight="1" thickBot="1" x14ac:dyDescent="0.4">
      <c r="O928" s="331"/>
      <c r="P928" s="328"/>
      <c r="Q928" s="328"/>
      <c r="R928" s="328"/>
      <c r="S928" s="328" t="s">
        <v>1209</v>
      </c>
      <c r="T928" s="328" t="s">
        <v>1210</v>
      </c>
      <c r="U928" s="328">
        <v>1020531</v>
      </c>
      <c r="V928" s="327" t="s">
        <v>112</v>
      </c>
      <c r="W928" s="328">
        <v>2</v>
      </c>
      <c r="X928" s="328">
        <v>2</v>
      </c>
      <c r="Y928" s="328">
        <v>2</v>
      </c>
      <c r="Z928" s="328">
        <v>1</v>
      </c>
      <c r="AA928" s="328">
        <v>1</v>
      </c>
      <c r="AB928" s="328">
        <v>1</v>
      </c>
      <c r="AC928" s="328">
        <v>1</v>
      </c>
      <c r="AD928" s="328">
        <v>1</v>
      </c>
      <c r="AE928" s="328">
        <v>3</v>
      </c>
      <c r="AF928" s="328"/>
      <c r="AG928" s="328"/>
      <c r="AH928" s="328"/>
      <c r="AI928" s="328"/>
      <c r="AJ928" s="328">
        <v>5</v>
      </c>
      <c r="AK928" s="328">
        <v>1</v>
      </c>
      <c r="AL928" s="328">
        <v>1</v>
      </c>
      <c r="AM928" s="328">
        <v>1</v>
      </c>
      <c r="AN928" s="328">
        <v>1</v>
      </c>
      <c r="AO928" s="328">
        <v>1</v>
      </c>
      <c r="AP928" s="328">
        <v>1</v>
      </c>
      <c r="AQ928" s="328"/>
      <c r="AR928" s="328"/>
      <c r="AS928" s="328"/>
      <c r="AT928" s="328"/>
      <c r="AU928" s="328"/>
      <c r="AV928" s="328"/>
      <c r="AW928" s="328"/>
      <c r="AX928" s="328"/>
      <c r="AY928" s="954"/>
      <c r="AZ928" s="36"/>
      <c r="BA928" s="36"/>
      <c r="BB928" s="36"/>
      <c r="BC928" s="36"/>
      <c r="BD928" s="36"/>
      <c r="BF928">
        <f>ROWS($U$46:U928)</f>
        <v>883</v>
      </c>
      <c r="BG928" t="str">
        <f t="shared" si="217"/>
        <v/>
      </c>
    </row>
    <row r="929" spans="15:59" ht="15" customHeight="1" x14ac:dyDescent="0.35">
      <c r="O929" s="329">
        <v>1</v>
      </c>
      <c r="P929" s="320">
        <v>1130198</v>
      </c>
      <c r="Q929" s="320">
        <v>147</v>
      </c>
      <c r="R929" s="320"/>
      <c r="S929" s="320" t="s">
        <v>1126</v>
      </c>
      <c r="T929" s="320" t="s">
        <v>1127</v>
      </c>
      <c r="U929" s="320">
        <v>1058252</v>
      </c>
      <c r="V929" s="319" t="s">
        <v>87</v>
      </c>
      <c r="W929" s="320">
        <v>1</v>
      </c>
      <c r="X929" s="320">
        <v>1</v>
      </c>
      <c r="Y929" s="320">
        <v>1</v>
      </c>
      <c r="Z929" s="320">
        <v>1</v>
      </c>
      <c r="AA929" s="320">
        <v>1</v>
      </c>
      <c r="AB929" s="320">
        <v>1</v>
      </c>
      <c r="AC929" s="320">
        <v>1</v>
      </c>
      <c r="AD929" s="320">
        <v>1</v>
      </c>
      <c r="AE929" s="320">
        <v>1</v>
      </c>
      <c r="AF929" s="320">
        <v>1</v>
      </c>
      <c r="AG929" s="320">
        <v>1</v>
      </c>
      <c r="AH929" s="320">
        <v>1</v>
      </c>
      <c r="AI929" s="320">
        <v>1</v>
      </c>
      <c r="AJ929" s="320">
        <v>1</v>
      </c>
      <c r="AK929" s="320">
        <v>1</v>
      </c>
      <c r="AL929" s="320">
        <v>2</v>
      </c>
      <c r="AM929" s="320"/>
      <c r="AN929" s="320">
        <v>1</v>
      </c>
      <c r="AO929" s="320">
        <v>1</v>
      </c>
      <c r="AP929" s="320">
        <v>1</v>
      </c>
      <c r="AQ929" s="320">
        <v>1</v>
      </c>
      <c r="AR929" s="320">
        <v>1</v>
      </c>
      <c r="AS929" s="320">
        <v>1</v>
      </c>
      <c r="AT929" s="320">
        <v>1</v>
      </c>
      <c r="AU929" s="320"/>
      <c r="AV929" s="320"/>
      <c r="AW929" s="320"/>
      <c r="AX929" s="320"/>
      <c r="AY929" s="952"/>
      <c r="AZ929" s="36"/>
      <c r="BA929" s="36"/>
      <c r="BB929" s="36"/>
      <c r="BC929" s="36"/>
      <c r="BD929" s="36"/>
      <c r="BF929">
        <f>ROWS($U$46:U929)</f>
        <v>884</v>
      </c>
      <c r="BG929" t="str">
        <f t="shared" si="217"/>
        <v/>
      </c>
    </row>
    <row r="930" spans="15:59" ht="15" customHeight="1" x14ac:dyDescent="0.35">
      <c r="O930" s="330">
        <v>2</v>
      </c>
      <c r="P930" s="36">
        <v>418525</v>
      </c>
      <c r="Q930" s="36">
        <v>8</v>
      </c>
      <c r="R930" s="36"/>
      <c r="S930" s="36" t="s">
        <v>1126</v>
      </c>
      <c r="T930" s="36" t="s">
        <v>1127</v>
      </c>
      <c r="U930" s="36">
        <v>1058252</v>
      </c>
      <c r="V930" s="165" t="s">
        <v>88</v>
      </c>
      <c r="W930" s="36">
        <v>1</v>
      </c>
      <c r="X930" s="36">
        <v>1</v>
      </c>
      <c r="Y930" s="36">
        <v>1</v>
      </c>
      <c r="Z930" s="36">
        <v>1</v>
      </c>
      <c r="AA930" s="36">
        <v>1</v>
      </c>
      <c r="AB930" s="36">
        <v>1</v>
      </c>
      <c r="AC930" s="36">
        <v>1</v>
      </c>
      <c r="AD930" s="36">
        <v>1</v>
      </c>
      <c r="AE930" s="36">
        <v>1</v>
      </c>
      <c r="AF930" s="36">
        <v>1</v>
      </c>
      <c r="AG930" s="36">
        <v>2</v>
      </c>
      <c r="AH930" s="36"/>
      <c r="AI930" s="36"/>
      <c r="AJ930" s="36"/>
      <c r="AK930" s="36"/>
      <c r="AL930" s="36"/>
      <c r="AM930" s="36"/>
      <c r="AN930" s="36">
        <v>1</v>
      </c>
      <c r="AO930" s="36">
        <v>1</v>
      </c>
      <c r="AP930" s="36">
        <v>1</v>
      </c>
      <c r="AQ930" s="36">
        <v>1</v>
      </c>
      <c r="AR930" s="36">
        <v>1</v>
      </c>
      <c r="AS930" s="36">
        <v>1</v>
      </c>
      <c r="AT930" s="36">
        <v>1</v>
      </c>
      <c r="AU930" s="36"/>
      <c r="AV930" s="36"/>
      <c r="AW930" s="36"/>
      <c r="AX930" s="36"/>
      <c r="AY930" s="953"/>
      <c r="AZ930" s="36"/>
      <c r="BA930" s="36"/>
      <c r="BB930" s="36"/>
      <c r="BC930" s="36"/>
      <c r="BD930" s="36"/>
      <c r="BF930">
        <f>ROWS($U$46:U930)</f>
        <v>885</v>
      </c>
      <c r="BG930" t="str">
        <f t="shared" si="217"/>
        <v/>
      </c>
    </row>
    <row r="931" spans="15:59" ht="15" customHeight="1" x14ac:dyDescent="0.35">
      <c r="O931" s="330"/>
      <c r="P931" s="36"/>
      <c r="Q931" s="36"/>
      <c r="R931" s="36"/>
      <c r="S931" s="36" t="s">
        <v>1126</v>
      </c>
      <c r="T931" s="36" t="s">
        <v>1127</v>
      </c>
      <c r="U931" s="36">
        <v>1058252</v>
      </c>
      <c r="V931" s="165" t="s">
        <v>89</v>
      </c>
      <c r="W931" s="36">
        <v>1</v>
      </c>
      <c r="X931" s="36">
        <v>1</v>
      </c>
      <c r="Y931" s="36">
        <v>1</v>
      </c>
      <c r="Z931" s="36">
        <v>1</v>
      </c>
      <c r="AA931" s="36">
        <v>1</v>
      </c>
      <c r="AB931" s="36">
        <v>1</v>
      </c>
      <c r="AC931" s="36">
        <v>1</v>
      </c>
      <c r="AD931" s="36">
        <v>1</v>
      </c>
      <c r="AE931" s="36">
        <v>1</v>
      </c>
      <c r="AF931" s="36">
        <v>2</v>
      </c>
      <c r="AG931" s="36"/>
      <c r="AH931" s="36"/>
      <c r="AI931" s="36"/>
      <c r="AJ931" s="36"/>
      <c r="AK931" s="36"/>
      <c r="AL931" s="36"/>
      <c r="AM931" s="36"/>
      <c r="AN931" s="36">
        <v>1</v>
      </c>
      <c r="AO931" s="36">
        <v>1</v>
      </c>
      <c r="AP931" s="36">
        <v>1</v>
      </c>
      <c r="AQ931" s="36">
        <v>1</v>
      </c>
      <c r="AR931" s="36">
        <v>1</v>
      </c>
      <c r="AS931" s="36">
        <v>1</v>
      </c>
      <c r="AT931" s="36">
        <v>1</v>
      </c>
      <c r="AU931" s="36"/>
      <c r="AV931" s="36"/>
      <c r="AW931" s="36"/>
      <c r="AX931" s="36"/>
      <c r="AY931" s="953"/>
      <c r="AZ931" s="36"/>
      <c r="BA931" s="36"/>
      <c r="BB931" s="36"/>
      <c r="BC931" s="36"/>
      <c r="BD931" s="36"/>
      <c r="BF931">
        <f>ROWS($U$46:U931)</f>
        <v>886</v>
      </c>
      <c r="BG931" t="str">
        <f t="shared" si="217"/>
        <v/>
      </c>
    </row>
    <row r="932" spans="15:59" ht="15" customHeight="1" x14ac:dyDescent="0.35">
      <c r="O932" s="330"/>
      <c r="P932" s="36"/>
      <c r="Q932" s="36"/>
      <c r="R932" s="36"/>
      <c r="S932" s="36" t="s">
        <v>1126</v>
      </c>
      <c r="T932" s="36" t="s">
        <v>1127</v>
      </c>
      <c r="U932" s="36">
        <v>1058252</v>
      </c>
      <c r="V932" s="165" t="s">
        <v>90</v>
      </c>
      <c r="W932" s="36">
        <v>1</v>
      </c>
      <c r="X932" s="36">
        <v>1</v>
      </c>
      <c r="Y932" s="36">
        <v>1</v>
      </c>
      <c r="Z932" s="36">
        <v>1</v>
      </c>
      <c r="AA932" s="36">
        <v>1</v>
      </c>
      <c r="AB932" s="36">
        <v>1</v>
      </c>
      <c r="AC932" s="36">
        <v>1</v>
      </c>
      <c r="AD932" s="36">
        <v>1</v>
      </c>
      <c r="AE932" s="36">
        <v>1</v>
      </c>
      <c r="AF932" s="36">
        <v>1</v>
      </c>
      <c r="AG932" s="36">
        <v>1</v>
      </c>
      <c r="AH932" s="36">
        <v>1</v>
      </c>
      <c r="AI932" s="36">
        <v>1</v>
      </c>
      <c r="AJ932" s="36">
        <v>1</v>
      </c>
      <c r="AK932" s="36">
        <v>2</v>
      </c>
      <c r="AL932" s="36"/>
      <c r="AM932" s="36"/>
      <c r="AN932" s="36">
        <v>1</v>
      </c>
      <c r="AO932" s="36">
        <v>1</v>
      </c>
      <c r="AP932" s="36">
        <v>1</v>
      </c>
      <c r="AQ932" s="36">
        <v>1</v>
      </c>
      <c r="AR932" s="36">
        <v>1</v>
      </c>
      <c r="AS932" s="36">
        <v>1</v>
      </c>
      <c r="AT932" s="36">
        <v>1</v>
      </c>
      <c r="AU932" s="36"/>
      <c r="AV932" s="36"/>
      <c r="AW932" s="36"/>
      <c r="AX932" s="36"/>
      <c r="AY932" s="953"/>
      <c r="AZ932" s="36"/>
      <c r="BA932" s="36"/>
      <c r="BB932" s="36"/>
      <c r="BC932" s="36"/>
      <c r="BD932" s="36"/>
      <c r="BF932">
        <f>ROWS($U$46:U932)</f>
        <v>887</v>
      </c>
      <c r="BG932" t="str">
        <f t="shared" si="217"/>
        <v/>
      </c>
    </row>
    <row r="933" spans="15:59" ht="15" customHeight="1" x14ac:dyDescent="0.35">
      <c r="O933" s="330"/>
      <c r="P933" s="36"/>
      <c r="Q933" s="36"/>
      <c r="R933" s="36"/>
      <c r="S933" s="36" t="s">
        <v>1126</v>
      </c>
      <c r="T933" s="36" t="s">
        <v>1127</v>
      </c>
      <c r="U933" s="36">
        <v>1058252</v>
      </c>
      <c r="V933" s="165" t="s">
        <v>91</v>
      </c>
      <c r="W933" s="36">
        <v>1</v>
      </c>
      <c r="X933" s="36">
        <v>1</v>
      </c>
      <c r="Y933" s="36">
        <v>1</v>
      </c>
      <c r="Z933" s="36">
        <v>1</v>
      </c>
      <c r="AA933" s="36">
        <v>1</v>
      </c>
      <c r="AB933" s="36">
        <v>1</v>
      </c>
      <c r="AC933" s="36">
        <v>1</v>
      </c>
      <c r="AD933" s="36">
        <v>1</v>
      </c>
      <c r="AE933" s="36">
        <v>1</v>
      </c>
      <c r="AF933" s="36">
        <v>1</v>
      </c>
      <c r="AG933" s="36">
        <v>2</v>
      </c>
      <c r="AH933" s="36"/>
      <c r="AI933" s="36"/>
      <c r="AJ933" s="36"/>
      <c r="AK933" s="36"/>
      <c r="AL933" s="36"/>
      <c r="AM933" s="36"/>
      <c r="AN933" s="36">
        <v>1</v>
      </c>
      <c r="AO933" s="36">
        <v>1</v>
      </c>
      <c r="AP933" s="36">
        <v>1</v>
      </c>
      <c r="AQ933" s="36">
        <v>1</v>
      </c>
      <c r="AR933" s="36">
        <v>1</v>
      </c>
      <c r="AS933" s="36">
        <v>1</v>
      </c>
      <c r="AT933" s="36">
        <v>1</v>
      </c>
      <c r="AU933" s="36"/>
      <c r="AV933" s="36"/>
      <c r="AW933" s="36"/>
      <c r="AX933" s="36"/>
      <c r="AY933" s="953"/>
      <c r="AZ933" s="36"/>
      <c r="BA933" s="36"/>
      <c r="BB933" s="36"/>
      <c r="BC933" s="36"/>
      <c r="BD933" s="36"/>
      <c r="BF933">
        <f>ROWS($U$46:U933)</f>
        <v>888</v>
      </c>
      <c r="BG933" t="str">
        <f t="shared" si="217"/>
        <v/>
      </c>
    </row>
    <row r="934" spans="15:59" ht="15" customHeight="1" x14ac:dyDescent="0.35">
      <c r="O934" s="330"/>
      <c r="P934" s="36"/>
      <c r="Q934" s="36"/>
      <c r="R934" s="36"/>
      <c r="S934" s="36" t="s">
        <v>1126</v>
      </c>
      <c r="T934" s="36" t="s">
        <v>1127</v>
      </c>
      <c r="U934" s="36">
        <v>1058252</v>
      </c>
      <c r="V934" s="165" t="s">
        <v>92</v>
      </c>
      <c r="W934" s="36">
        <v>1</v>
      </c>
      <c r="X934" s="36">
        <v>1</v>
      </c>
      <c r="Y934" s="36">
        <v>1</v>
      </c>
      <c r="Z934" s="36">
        <v>1</v>
      </c>
      <c r="AA934" s="36">
        <v>1</v>
      </c>
      <c r="AB934" s="36">
        <v>1</v>
      </c>
      <c r="AC934" s="36">
        <v>1</v>
      </c>
      <c r="AD934" s="36">
        <v>1</v>
      </c>
      <c r="AE934" s="36">
        <v>1</v>
      </c>
      <c r="AF934" s="36">
        <v>1</v>
      </c>
      <c r="AG934" s="36">
        <v>1</v>
      </c>
      <c r="AH934" s="36">
        <v>1</v>
      </c>
      <c r="AI934" s="36">
        <v>1</v>
      </c>
      <c r="AJ934" s="36">
        <v>1</v>
      </c>
      <c r="AK934" s="36">
        <v>1</v>
      </c>
      <c r="AL934" s="36">
        <v>2</v>
      </c>
      <c r="AM934" s="36"/>
      <c r="AN934" s="36">
        <v>1</v>
      </c>
      <c r="AO934" s="36">
        <v>1</v>
      </c>
      <c r="AP934" s="36">
        <v>1</v>
      </c>
      <c r="AQ934" s="36">
        <v>1</v>
      </c>
      <c r="AR934" s="36">
        <v>1</v>
      </c>
      <c r="AS934" s="36">
        <v>1</v>
      </c>
      <c r="AT934" s="36">
        <v>1</v>
      </c>
      <c r="AU934" s="36"/>
      <c r="AV934" s="36"/>
      <c r="AW934" s="36"/>
      <c r="AX934" s="36"/>
      <c r="AY934" s="953"/>
      <c r="AZ934" s="36"/>
      <c r="BA934" s="36"/>
      <c r="BB934" s="36"/>
      <c r="BC934" s="36"/>
      <c r="BD934" s="36"/>
      <c r="BF934">
        <f>ROWS($U$46:U934)</f>
        <v>889</v>
      </c>
      <c r="BG934" t="str">
        <f t="shared" si="217"/>
        <v/>
      </c>
    </row>
    <row r="935" spans="15:59" ht="15" customHeight="1" x14ac:dyDescent="0.35">
      <c r="O935" s="330"/>
      <c r="P935" s="36"/>
      <c r="Q935" s="36"/>
      <c r="R935" s="36"/>
      <c r="S935" s="36" t="s">
        <v>1126</v>
      </c>
      <c r="T935" s="36" t="s">
        <v>1127</v>
      </c>
      <c r="U935" s="36">
        <v>1058252</v>
      </c>
      <c r="V935" s="165" t="s">
        <v>111</v>
      </c>
      <c r="W935" s="36">
        <v>1</v>
      </c>
      <c r="X935" s="36">
        <v>1</v>
      </c>
      <c r="Y935" s="36">
        <v>1</v>
      </c>
      <c r="Z935" s="36">
        <v>1</v>
      </c>
      <c r="AA935" s="36">
        <v>1</v>
      </c>
      <c r="AB935" s="36">
        <v>1</v>
      </c>
      <c r="AC935" s="36">
        <v>1</v>
      </c>
      <c r="AD935" s="36">
        <v>1</v>
      </c>
      <c r="AE935" s="36">
        <v>1</v>
      </c>
      <c r="AF935" s="36">
        <v>1</v>
      </c>
      <c r="AG935" s="36">
        <v>2</v>
      </c>
      <c r="AH935" s="36"/>
      <c r="AI935" s="36"/>
      <c r="AJ935" s="36"/>
      <c r="AK935" s="36"/>
      <c r="AL935" s="36"/>
      <c r="AM935" s="36"/>
      <c r="AN935" s="36">
        <v>1</v>
      </c>
      <c r="AO935" s="36">
        <v>1</v>
      </c>
      <c r="AP935" s="36">
        <v>1</v>
      </c>
      <c r="AQ935" s="36">
        <v>1</v>
      </c>
      <c r="AR935" s="36">
        <v>1</v>
      </c>
      <c r="AS935" s="36">
        <v>1</v>
      </c>
      <c r="AT935" s="36"/>
      <c r="AU935" s="36"/>
      <c r="AV935" s="36"/>
      <c r="AW935" s="36"/>
      <c r="AX935" s="36"/>
      <c r="AY935" s="953"/>
      <c r="AZ935" s="36"/>
      <c r="BA935" s="36"/>
      <c r="BB935" s="36"/>
      <c r="BC935" s="36"/>
      <c r="BD935" s="36"/>
      <c r="BF935">
        <f>ROWS($U$46:U935)</f>
        <v>890</v>
      </c>
      <c r="BG935" t="str">
        <f t="shared" si="217"/>
        <v/>
      </c>
    </row>
    <row r="936" spans="15:59" ht="15" customHeight="1" thickBot="1" x14ac:dyDescent="0.4">
      <c r="O936" s="331"/>
      <c r="P936" s="328"/>
      <c r="Q936" s="328"/>
      <c r="R936" s="328"/>
      <c r="S936" s="328" t="s">
        <v>1126</v>
      </c>
      <c r="T936" s="328" t="s">
        <v>1127</v>
      </c>
      <c r="U936" s="328">
        <v>1058252</v>
      </c>
      <c r="V936" s="327" t="s">
        <v>112</v>
      </c>
      <c r="W936" s="328">
        <v>1</v>
      </c>
      <c r="X936" s="328">
        <v>1</v>
      </c>
      <c r="Y936" s="328">
        <v>1</v>
      </c>
      <c r="Z936" s="328">
        <v>1</v>
      </c>
      <c r="AA936" s="328">
        <v>1</v>
      </c>
      <c r="AB936" s="328">
        <v>1</v>
      </c>
      <c r="AC936" s="328">
        <v>1</v>
      </c>
      <c r="AD936" s="328">
        <v>1</v>
      </c>
      <c r="AE936" s="328">
        <v>1</v>
      </c>
      <c r="AF936" s="328">
        <v>2</v>
      </c>
      <c r="AG936" s="328"/>
      <c r="AH936" s="328"/>
      <c r="AI936" s="328"/>
      <c r="AJ936" s="328"/>
      <c r="AK936" s="328"/>
      <c r="AL936" s="328"/>
      <c r="AM936" s="328"/>
      <c r="AN936" s="328">
        <v>1</v>
      </c>
      <c r="AO936" s="328">
        <v>1</v>
      </c>
      <c r="AP936" s="328">
        <v>1</v>
      </c>
      <c r="AQ936" s="328">
        <v>1</v>
      </c>
      <c r="AR936" s="328">
        <v>1</v>
      </c>
      <c r="AS936" s="328">
        <v>1</v>
      </c>
      <c r="AT936" s="328">
        <v>1</v>
      </c>
      <c r="AU936" s="328"/>
      <c r="AV936" s="328"/>
      <c r="AW936" s="328"/>
      <c r="AX936" s="328"/>
      <c r="AY936" s="954"/>
      <c r="AZ936" s="36"/>
      <c r="BA936" s="36"/>
      <c r="BB936" s="36"/>
      <c r="BC936" s="36"/>
      <c r="BD936" s="36"/>
      <c r="BF936">
        <f>ROWS($U$46:U936)</f>
        <v>891</v>
      </c>
      <c r="BG936" t="str">
        <f t="shared" si="217"/>
        <v/>
      </c>
    </row>
    <row r="937" spans="15:59" ht="15" customHeight="1" x14ac:dyDescent="0.35">
      <c r="O937" s="329">
        <v>1</v>
      </c>
      <c r="P937" s="320">
        <v>1130198</v>
      </c>
      <c r="Q937" s="320">
        <v>97</v>
      </c>
      <c r="R937" s="320"/>
      <c r="S937" s="320" t="s">
        <v>1126</v>
      </c>
      <c r="T937" s="320" t="s">
        <v>1127</v>
      </c>
      <c r="U937" s="320">
        <v>1060889</v>
      </c>
      <c r="V937" s="319" t="s">
        <v>87</v>
      </c>
      <c r="W937" s="320">
        <v>1</v>
      </c>
      <c r="X937" s="320">
        <v>1</v>
      </c>
      <c r="Y937" s="320">
        <v>1</v>
      </c>
      <c r="Z937" s="320">
        <v>1</v>
      </c>
      <c r="AA937" s="320">
        <v>1</v>
      </c>
      <c r="AB937" s="320">
        <v>1</v>
      </c>
      <c r="AC937" s="320">
        <v>1</v>
      </c>
      <c r="AD937" s="320">
        <v>1</v>
      </c>
      <c r="AE937" s="320">
        <v>1</v>
      </c>
      <c r="AF937" s="320">
        <v>1</v>
      </c>
      <c r="AG937" s="320">
        <v>1</v>
      </c>
      <c r="AH937" s="320">
        <v>1</v>
      </c>
      <c r="AI937" s="320">
        <v>1</v>
      </c>
      <c r="AJ937" s="320">
        <v>1</v>
      </c>
      <c r="AK937" s="320">
        <v>3</v>
      </c>
      <c r="AL937" s="320"/>
      <c r="AM937" s="320">
        <v>1</v>
      </c>
      <c r="AN937" s="320">
        <v>1</v>
      </c>
      <c r="AO937" s="320">
        <v>2</v>
      </c>
      <c r="AP937" s="320">
        <v>2</v>
      </c>
      <c r="AQ937" s="320">
        <v>2</v>
      </c>
      <c r="AR937" s="320">
        <v>2</v>
      </c>
      <c r="AS937" s="320">
        <v>2</v>
      </c>
      <c r="AT937" s="320"/>
      <c r="AU937" s="320"/>
      <c r="AV937" s="320"/>
      <c r="AW937" s="320"/>
      <c r="AX937" s="320"/>
      <c r="AY937" s="952"/>
      <c r="AZ937" s="36"/>
      <c r="BA937" s="36"/>
      <c r="BB937" s="36"/>
      <c r="BC937" s="36"/>
      <c r="BD937" s="36"/>
      <c r="BF937">
        <f>ROWS($U$46:U937)</f>
        <v>892</v>
      </c>
      <c r="BG937" t="str">
        <f t="shared" si="217"/>
        <v/>
      </c>
    </row>
    <row r="938" spans="15:59" ht="15" customHeight="1" x14ac:dyDescent="0.35">
      <c r="O938" s="330">
        <v>2</v>
      </c>
      <c r="P938" s="36">
        <v>647436</v>
      </c>
      <c r="Q938" s="36">
        <v>40</v>
      </c>
      <c r="R938" s="36"/>
      <c r="S938" s="36" t="s">
        <v>1126</v>
      </c>
      <c r="T938" s="36" t="s">
        <v>1127</v>
      </c>
      <c r="U938" s="36">
        <v>1060889</v>
      </c>
      <c r="V938" s="165" t="s">
        <v>88</v>
      </c>
      <c r="W938" s="36">
        <v>1</v>
      </c>
      <c r="X938" s="36">
        <v>1</v>
      </c>
      <c r="Y938" s="36">
        <v>1</v>
      </c>
      <c r="Z938" s="36">
        <v>1</v>
      </c>
      <c r="AA938" s="36">
        <v>1</v>
      </c>
      <c r="AB938" s="36">
        <v>1</v>
      </c>
      <c r="AC938" s="36">
        <v>1</v>
      </c>
      <c r="AD938" s="36">
        <v>1</v>
      </c>
      <c r="AE938" s="36">
        <v>1</v>
      </c>
      <c r="AF938" s="36">
        <v>3</v>
      </c>
      <c r="AG938" s="36"/>
      <c r="AH938" s="36"/>
      <c r="AI938" s="36"/>
      <c r="AJ938" s="36"/>
      <c r="AK938" s="36"/>
      <c r="AL938" s="36"/>
      <c r="AM938" s="36">
        <v>1</v>
      </c>
      <c r="AN938" s="36">
        <v>1</v>
      </c>
      <c r="AO938" s="36">
        <v>2</v>
      </c>
      <c r="AP938" s="36">
        <v>2</v>
      </c>
      <c r="AQ938" s="36">
        <v>2</v>
      </c>
      <c r="AR938" s="36">
        <v>2</v>
      </c>
      <c r="AS938" s="36">
        <v>2</v>
      </c>
      <c r="AT938" s="36"/>
      <c r="AU938" s="36"/>
      <c r="AV938" s="36"/>
      <c r="AW938" s="36"/>
      <c r="AX938" s="36"/>
      <c r="AY938" s="953"/>
      <c r="AZ938" s="36"/>
      <c r="BA938" s="36"/>
      <c r="BB938" s="36"/>
      <c r="BC938" s="36"/>
      <c r="BD938" s="36"/>
      <c r="BF938">
        <f>ROWS($U$46:U938)</f>
        <v>893</v>
      </c>
      <c r="BG938" t="str">
        <f t="shared" si="217"/>
        <v/>
      </c>
    </row>
    <row r="939" spans="15:59" ht="15" customHeight="1" x14ac:dyDescent="0.35">
      <c r="O939" s="330">
        <v>3</v>
      </c>
      <c r="P939" s="36">
        <v>418525</v>
      </c>
      <c r="Q939" s="36">
        <v>8</v>
      </c>
      <c r="R939" s="36"/>
      <c r="S939" s="36" t="s">
        <v>1126</v>
      </c>
      <c r="T939" s="36" t="s">
        <v>1127</v>
      </c>
      <c r="U939" s="36">
        <v>1060889</v>
      </c>
      <c r="V939" s="165" t="s">
        <v>89</v>
      </c>
      <c r="W939" s="36">
        <v>1</v>
      </c>
      <c r="X939" s="36">
        <v>1</v>
      </c>
      <c r="Y939" s="36">
        <v>1</v>
      </c>
      <c r="Z939" s="36">
        <v>1</v>
      </c>
      <c r="AA939" s="36">
        <v>1</v>
      </c>
      <c r="AB939" s="36">
        <v>1</v>
      </c>
      <c r="AC939" s="36">
        <v>1</v>
      </c>
      <c r="AD939" s="36">
        <v>1</v>
      </c>
      <c r="AE939" s="36">
        <v>1</v>
      </c>
      <c r="AF939" s="36">
        <v>3</v>
      </c>
      <c r="AG939" s="36"/>
      <c r="AH939" s="36"/>
      <c r="AI939" s="36"/>
      <c r="AJ939" s="36"/>
      <c r="AK939" s="36"/>
      <c r="AL939" s="36"/>
      <c r="AM939" s="36">
        <v>1</v>
      </c>
      <c r="AN939" s="36">
        <v>1</v>
      </c>
      <c r="AO939" s="36">
        <v>2</v>
      </c>
      <c r="AP939" s="36">
        <v>2</v>
      </c>
      <c r="AQ939" s="36">
        <v>2</v>
      </c>
      <c r="AR939" s="36">
        <v>2</v>
      </c>
      <c r="AS939" s="36">
        <v>2</v>
      </c>
      <c r="AT939" s="36"/>
      <c r="AU939" s="36"/>
      <c r="AV939" s="36"/>
      <c r="AW939" s="36"/>
      <c r="AX939" s="36"/>
      <c r="AY939" s="953"/>
      <c r="AZ939" s="36"/>
      <c r="BA939" s="36"/>
      <c r="BB939" s="36"/>
      <c r="BC939" s="36"/>
      <c r="BD939" s="36"/>
      <c r="BF939">
        <f>ROWS($U$46:U939)</f>
        <v>894</v>
      </c>
      <c r="BG939" t="str">
        <f t="shared" si="217"/>
        <v/>
      </c>
    </row>
    <row r="940" spans="15:59" ht="15" customHeight="1" x14ac:dyDescent="0.35">
      <c r="O940" s="330"/>
      <c r="P940" s="36"/>
      <c r="Q940" s="36"/>
      <c r="R940" s="36"/>
      <c r="S940" s="36" t="s">
        <v>1126</v>
      </c>
      <c r="T940" s="36" t="s">
        <v>1127</v>
      </c>
      <c r="U940" s="36">
        <v>1060889</v>
      </c>
      <c r="V940" s="165" t="s">
        <v>90</v>
      </c>
      <c r="W940" s="36">
        <v>1</v>
      </c>
      <c r="X940" s="36">
        <v>1</v>
      </c>
      <c r="Y940" s="36">
        <v>1</v>
      </c>
      <c r="Z940" s="36">
        <v>1</v>
      </c>
      <c r="AA940" s="36">
        <v>1</v>
      </c>
      <c r="AB940" s="36">
        <v>1</v>
      </c>
      <c r="AC940" s="36">
        <v>1</v>
      </c>
      <c r="AD940" s="36">
        <v>1</v>
      </c>
      <c r="AE940" s="36">
        <v>1</v>
      </c>
      <c r="AF940" s="36">
        <v>1</v>
      </c>
      <c r="AG940" s="36">
        <v>1</v>
      </c>
      <c r="AH940" s="36">
        <v>1</v>
      </c>
      <c r="AI940" s="36">
        <v>1</v>
      </c>
      <c r="AJ940" s="36">
        <v>3</v>
      </c>
      <c r="AK940" s="36"/>
      <c r="AL940" s="36"/>
      <c r="AM940" s="36">
        <v>1</v>
      </c>
      <c r="AN940" s="36">
        <v>2</v>
      </c>
      <c r="AO940" s="36">
        <v>2</v>
      </c>
      <c r="AP940" s="36">
        <v>2</v>
      </c>
      <c r="AQ940" s="36">
        <v>2</v>
      </c>
      <c r="AR940" s="36">
        <v>2</v>
      </c>
      <c r="AS940" s="36"/>
      <c r="AT940" s="36"/>
      <c r="AU940" s="36"/>
      <c r="AV940" s="36"/>
      <c r="AW940" s="36"/>
      <c r="AX940" s="36"/>
      <c r="AY940" s="953"/>
      <c r="AZ940" s="36"/>
      <c r="BA940" s="36"/>
      <c r="BB940" s="36"/>
      <c r="BC940" s="36"/>
      <c r="BD940" s="36"/>
      <c r="BF940">
        <f>ROWS($U$46:U940)</f>
        <v>895</v>
      </c>
      <c r="BG940" t="str">
        <f t="shared" si="217"/>
        <v/>
      </c>
    </row>
    <row r="941" spans="15:59" ht="15" customHeight="1" x14ac:dyDescent="0.35">
      <c r="O941" s="330"/>
      <c r="P941" s="36"/>
      <c r="Q941" s="36"/>
      <c r="R941" s="36"/>
      <c r="S941" s="36" t="s">
        <v>1126</v>
      </c>
      <c r="T941" s="36" t="s">
        <v>1127</v>
      </c>
      <c r="U941" s="36">
        <v>1060889</v>
      </c>
      <c r="V941" s="165" t="s">
        <v>91</v>
      </c>
      <c r="W941" s="36">
        <v>1</v>
      </c>
      <c r="X941" s="36">
        <v>1</v>
      </c>
      <c r="Y941" s="36">
        <v>1</v>
      </c>
      <c r="Z941" s="36">
        <v>1</v>
      </c>
      <c r="AA941" s="36">
        <v>1</v>
      </c>
      <c r="AB941" s="36">
        <v>1</v>
      </c>
      <c r="AC941" s="36">
        <v>1</v>
      </c>
      <c r="AD941" s="36">
        <v>1</v>
      </c>
      <c r="AE941" s="36">
        <v>1</v>
      </c>
      <c r="AF941" s="36">
        <v>3</v>
      </c>
      <c r="AG941" s="36"/>
      <c r="AH941" s="36"/>
      <c r="AI941" s="36"/>
      <c r="AJ941" s="36"/>
      <c r="AK941" s="36"/>
      <c r="AL941" s="36"/>
      <c r="AM941" s="36">
        <v>1</v>
      </c>
      <c r="AN941" s="36">
        <v>2</v>
      </c>
      <c r="AO941" s="36">
        <v>2</v>
      </c>
      <c r="AP941" s="36">
        <v>2</v>
      </c>
      <c r="AQ941" s="36">
        <v>2</v>
      </c>
      <c r="AR941" s="36">
        <v>2</v>
      </c>
      <c r="AS941" s="36"/>
      <c r="AT941" s="36"/>
      <c r="AU941" s="36"/>
      <c r="AV941" s="36"/>
      <c r="AW941" s="36"/>
      <c r="AX941" s="36"/>
      <c r="AY941" s="953"/>
      <c r="AZ941" s="36"/>
      <c r="BA941" s="36"/>
      <c r="BB941" s="36"/>
      <c r="BC941" s="36"/>
      <c r="BD941" s="36"/>
      <c r="BF941">
        <f>ROWS($U$46:U941)</f>
        <v>896</v>
      </c>
      <c r="BG941" t="str">
        <f t="shared" si="217"/>
        <v/>
      </c>
    </row>
    <row r="942" spans="15:59" ht="15" customHeight="1" x14ac:dyDescent="0.35">
      <c r="O942" s="330"/>
      <c r="P942" s="36"/>
      <c r="Q942" s="36"/>
      <c r="R942" s="36"/>
      <c r="S942" s="36" t="s">
        <v>1126</v>
      </c>
      <c r="T942" s="36" t="s">
        <v>1127</v>
      </c>
      <c r="U942" s="36">
        <v>1060889</v>
      </c>
      <c r="V942" s="165" t="s">
        <v>92</v>
      </c>
      <c r="W942" s="36">
        <v>1</v>
      </c>
      <c r="X942" s="36">
        <v>1</v>
      </c>
      <c r="Y942" s="36">
        <v>1</v>
      </c>
      <c r="Z942" s="36">
        <v>1</v>
      </c>
      <c r="AA942" s="36">
        <v>1</v>
      </c>
      <c r="AB942" s="36">
        <v>1</v>
      </c>
      <c r="AC942" s="36">
        <v>1</v>
      </c>
      <c r="AD942" s="36">
        <v>1</v>
      </c>
      <c r="AE942" s="36">
        <v>1</v>
      </c>
      <c r="AF942" s="36">
        <v>1</v>
      </c>
      <c r="AG942" s="36">
        <v>1</v>
      </c>
      <c r="AH942" s="36">
        <v>1</v>
      </c>
      <c r="AI942" s="36">
        <v>1</v>
      </c>
      <c r="AJ942" s="36">
        <v>3</v>
      </c>
      <c r="AK942" s="36"/>
      <c r="AL942" s="36"/>
      <c r="AM942" s="36">
        <v>1</v>
      </c>
      <c r="AN942" s="36">
        <v>2</v>
      </c>
      <c r="AO942" s="36">
        <v>2</v>
      </c>
      <c r="AP942" s="36">
        <v>2</v>
      </c>
      <c r="AQ942" s="36">
        <v>2</v>
      </c>
      <c r="AR942" s="36">
        <v>2</v>
      </c>
      <c r="AS942" s="36"/>
      <c r="AT942" s="36"/>
      <c r="AU942" s="36"/>
      <c r="AV942" s="36"/>
      <c r="AW942" s="36"/>
      <c r="AX942" s="36"/>
      <c r="AY942" s="953"/>
      <c r="AZ942" s="36"/>
      <c r="BA942" s="36"/>
      <c r="BB942" s="36"/>
      <c r="BC942" s="36"/>
      <c r="BD942" s="36"/>
      <c r="BF942">
        <f>ROWS($U$46:U942)</f>
        <v>897</v>
      </c>
      <c r="BG942" t="str">
        <f t="shared" si="217"/>
        <v/>
      </c>
    </row>
    <row r="943" spans="15:59" ht="15" customHeight="1" x14ac:dyDescent="0.35">
      <c r="O943" s="330"/>
      <c r="P943" s="36"/>
      <c r="Q943" s="36"/>
      <c r="R943" s="36"/>
      <c r="S943" s="36" t="s">
        <v>1126</v>
      </c>
      <c r="T943" s="36" t="s">
        <v>1127</v>
      </c>
      <c r="U943" s="36">
        <v>1060889</v>
      </c>
      <c r="V943" s="165" t="s">
        <v>111</v>
      </c>
      <c r="W943" s="36">
        <v>1</v>
      </c>
      <c r="X943" s="36">
        <v>1</v>
      </c>
      <c r="Y943" s="36">
        <v>1</v>
      </c>
      <c r="Z943" s="36">
        <v>1</v>
      </c>
      <c r="AA943" s="36">
        <v>1</v>
      </c>
      <c r="AB943" s="36">
        <v>1</v>
      </c>
      <c r="AC943" s="36">
        <v>1</v>
      </c>
      <c r="AD943" s="36">
        <v>1</v>
      </c>
      <c r="AE943" s="36">
        <v>1</v>
      </c>
      <c r="AF943" s="36">
        <v>1</v>
      </c>
      <c r="AG943" s="36">
        <v>3</v>
      </c>
      <c r="AH943" s="36"/>
      <c r="AI943" s="36"/>
      <c r="AJ943" s="36"/>
      <c r="AK943" s="36"/>
      <c r="AL943" s="36"/>
      <c r="AM943" s="36">
        <v>1</v>
      </c>
      <c r="AN943" s="36">
        <v>2</v>
      </c>
      <c r="AO943" s="36">
        <v>2</v>
      </c>
      <c r="AP943" s="36">
        <v>2</v>
      </c>
      <c r="AQ943" s="36">
        <v>2</v>
      </c>
      <c r="AR943" s="36">
        <v>2</v>
      </c>
      <c r="AS943" s="36"/>
      <c r="AT943" s="36"/>
      <c r="AU943" s="36"/>
      <c r="AV943" s="36"/>
      <c r="AW943" s="36"/>
      <c r="AX943" s="36"/>
      <c r="AY943" s="953"/>
      <c r="AZ943" s="36"/>
      <c r="BA943" s="36"/>
      <c r="BB943" s="36"/>
      <c r="BC943" s="36"/>
      <c r="BD943" s="36"/>
      <c r="BF943">
        <f>ROWS($U$46:U943)</f>
        <v>898</v>
      </c>
      <c r="BG943" t="str">
        <f t="shared" ref="BG943:BG1006" si="219">IF(VALUE(SUBSTITUTE($B$5,"M",""))=U943,BF943,"")</f>
        <v/>
      </c>
    </row>
    <row r="944" spans="15:59" ht="15" customHeight="1" thickBot="1" x14ac:dyDescent="0.4">
      <c r="O944" s="331"/>
      <c r="P944" s="328"/>
      <c r="Q944" s="328"/>
      <c r="R944" s="328"/>
      <c r="S944" s="328" t="s">
        <v>1126</v>
      </c>
      <c r="T944" s="328" t="s">
        <v>1127</v>
      </c>
      <c r="U944" s="328">
        <v>1060889</v>
      </c>
      <c r="V944" s="327" t="s">
        <v>112</v>
      </c>
      <c r="W944" s="328">
        <v>1</v>
      </c>
      <c r="X944" s="328">
        <v>1</v>
      </c>
      <c r="Y944" s="328">
        <v>1</v>
      </c>
      <c r="Z944" s="328">
        <v>1</v>
      </c>
      <c r="AA944" s="328">
        <v>1</v>
      </c>
      <c r="AB944" s="328">
        <v>1</v>
      </c>
      <c r="AC944" s="328">
        <v>1</v>
      </c>
      <c r="AD944" s="328">
        <v>1</v>
      </c>
      <c r="AE944" s="328">
        <v>1</v>
      </c>
      <c r="AF944" s="328">
        <v>3</v>
      </c>
      <c r="AG944" s="328"/>
      <c r="AH944" s="328"/>
      <c r="AI944" s="328"/>
      <c r="AJ944" s="328"/>
      <c r="AK944" s="328"/>
      <c r="AL944" s="328"/>
      <c r="AM944" s="328">
        <v>1</v>
      </c>
      <c r="AN944" s="328">
        <v>2</v>
      </c>
      <c r="AO944" s="328">
        <v>2</v>
      </c>
      <c r="AP944" s="328">
        <v>2</v>
      </c>
      <c r="AQ944" s="328">
        <v>2</v>
      </c>
      <c r="AR944" s="328">
        <v>2</v>
      </c>
      <c r="AS944" s="328"/>
      <c r="AT944" s="328"/>
      <c r="AU944" s="328"/>
      <c r="AV944" s="328"/>
      <c r="AW944" s="328"/>
      <c r="AX944" s="328"/>
      <c r="AY944" s="954"/>
      <c r="AZ944" s="36"/>
      <c r="BA944" s="36"/>
      <c r="BB944" s="36"/>
      <c r="BC944" s="36"/>
      <c r="BD944" s="36"/>
      <c r="BF944">
        <f>ROWS($U$46:U944)</f>
        <v>899</v>
      </c>
      <c r="BG944" t="str">
        <f t="shared" si="219"/>
        <v/>
      </c>
    </row>
    <row r="945" spans="15:59" ht="15" customHeight="1" x14ac:dyDescent="0.35">
      <c r="O945" s="329">
        <v>1</v>
      </c>
      <c r="P945" s="320">
        <v>1100696</v>
      </c>
      <c r="Q945" s="320">
        <v>16</v>
      </c>
      <c r="R945" s="320"/>
      <c r="S945" s="552" t="s">
        <v>1319</v>
      </c>
      <c r="T945" s="320" t="s">
        <v>1464</v>
      </c>
      <c r="U945" s="320">
        <v>1162241</v>
      </c>
      <c r="V945" s="319" t="s">
        <v>87</v>
      </c>
      <c r="W945" s="320">
        <v>1</v>
      </c>
      <c r="X945" s="320">
        <v>1</v>
      </c>
      <c r="Y945" s="320">
        <v>1</v>
      </c>
      <c r="Z945" s="320">
        <v>1</v>
      </c>
      <c r="AA945" s="320">
        <v>1</v>
      </c>
      <c r="AB945" s="320">
        <v>1</v>
      </c>
      <c r="AC945" s="320">
        <v>2</v>
      </c>
      <c r="AD945" s="320"/>
      <c r="AE945" s="320"/>
      <c r="AF945" s="320"/>
      <c r="AG945" s="320"/>
      <c r="AH945" s="320"/>
      <c r="AI945" s="320"/>
      <c r="AJ945" s="320"/>
      <c r="AK945" s="320"/>
      <c r="AL945" s="320"/>
      <c r="AM945" s="320"/>
      <c r="AN945" s="320"/>
      <c r="AO945" s="320"/>
      <c r="AP945" s="320"/>
      <c r="AQ945" s="320"/>
      <c r="AR945" s="320"/>
      <c r="AS945" s="320"/>
      <c r="AT945" s="320"/>
      <c r="AU945" s="320"/>
      <c r="AV945" s="320"/>
      <c r="AW945" s="320"/>
      <c r="AX945" s="320"/>
      <c r="AY945" s="952"/>
      <c r="AZ945" s="36"/>
      <c r="BA945" s="36"/>
      <c r="BB945" s="36"/>
      <c r="BC945" s="36"/>
      <c r="BD945" s="36"/>
      <c r="BF945">
        <f>ROWS($U$46:U945)</f>
        <v>900</v>
      </c>
      <c r="BG945" t="str">
        <f t="shared" si="219"/>
        <v/>
      </c>
    </row>
    <row r="946" spans="15:59" ht="15" customHeight="1" x14ac:dyDescent="0.35">
      <c r="O946" s="330">
        <v>2</v>
      </c>
      <c r="P946" s="36">
        <v>871781</v>
      </c>
      <c r="Q946" s="36">
        <v>6</v>
      </c>
      <c r="R946" s="36"/>
      <c r="S946" s="553" t="s">
        <v>1319</v>
      </c>
      <c r="T946" s="36" t="s">
        <v>1464</v>
      </c>
      <c r="U946" s="36">
        <v>1162241</v>
      </c>
      <c r="V946" s="165" t="s">
        <v>88</v>
      </c>
      <c r="W946" s="36">
        <v>3</v>
      </c>
      <c r="X946" s="36">
        <v>3</v>
      </c>
      <c r="Y946" s="36">
        <v>3</v>
      </c>
      <c r="Z946" s="36">
        <v>2</v>
      </c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953"/>
      <c r="AZ946" s="36"/>
      <c r="BA946" s="36"/>
      <c r="BB946" s="36"/>
      <c r="BC946" s="36"/>
      <c r="BD946" s="36"/>
      <c r="BF946">
        <f>ROWS($U$46:U946)</f>
        <v>901</v>
      </c>
      <c r="BG946" t="str">
        <f t="shared" si="219"/>
        <v/>
      </c>
    </row>
    <row r="947" spans="15:59" ht="15" customHeight="1" x14ac:dyDescent="0.35">
      <c r="O947" s="330">
        <v>3</v>
      </c>
      <c r="P947" s="36">
        <v>1145493</v>
      </c>
      <c r="Q947" s="36">
        <v>9</v>
      </c>
      <c r="R947" s="36"/>
      <c r="S947" s="553" t="s">
        <v>1319</v>
      </c>
      <c r="T947" s="36" t="s">
        <v>1464</v>
      </c>
      <c r="U947" s="36">
        <v>1162241</v>
      </c>
      <c r="V947" s="165" t="s">
        <v>89</v>
      </c>
      <c r="W947" s="36">
        <v>1</v>
      </c>
      <c r="X947" s="36">
        <v>1</v>
      </c>
      <c r="Y947" s="36">
        <v>1</v>
      </c>
      <c r="Z947" s="36">
        <v>1</v>
      </c>
      <c r="AA947" s="36">
        <v>1</v>
      </c>
      <c r="AB947" s="36">
        <v>2</v>
      </c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  <c r="AW947" s="36"/>
      <c r="AX947" s="36"/>
      <c r="AY947" s="953"/>
      <c r="AZ947" s="36"/>
      <c r="BA947" s="36"/>
      <c r="BB947" s="36"/>
      <c r="BC947" s="36"/>
      <c r="BD947" s="36"/>
      <c r="BF947">
        <f>ROWS($U$46:U947)</f>
        <v>902</v>
      </c>
      <c r="BG947" t="str">
        <f t="shared" si="219"/>
        <v/>
      </c>
    </row>
    <row r="948" spans="15:59" ht="15" customHeight="1" x14ac:dyDescent="0.35">
      <c r="O948" s="330"/>
      <c r="P948" s="36"/>
      <c r="Q948" s="36"/>
      <c r="R948" s="36"/>
      <c r="S948" s="553" t="s">
        <v>1319</v>
      </c>
      <c r="T948" s="36" t="s">
        <v>1464</v>
      </c>
      <c r="U948" s="36">
        <v>1162241</v>
      </c>
      <c r="V948" s="165" t="s">
        <v>90</v>
      </c>
      <c r="W948" s="36">
        <v>3</v>
      </c>
      <c r="X948" s="36">
        <v>3</v>
      </c>
      <c r="Y948" s="36">
        <v>3</v>
      </c>
      <c r="Z948" s="36">
        <v>2</v>
      </c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  <c r="AW948" s="36"/>
      <c r="AX948" s="36"/>
      <c r="AY948" s="953"/>
      <c r="AZ948" s="36"/>
      <c r="BA948" s="36"/>
      <c r="BB948" s="36"/>
      <c r="BC948" s="36"/>
      <c r="BD948" s="36"/>
      <c r="BF948">
        <f>ROWS($U$46:U948)</f>
        <v>903</v>
      </c>
      <c r="BG948" t="str">
        <f t="shared" si="219"/>
        <v/>
      </c>
    </row>
    <row r="949" spans="15:59" ht="15" customHeight="1" x14ac:dyDescent="0.35">
      <c r="O949" s="330"/>
      <c r="P949" s="36"/>
      <c r="Q949" s="36"/>
      <c r="R949" s="36"/>
      <c r="S949" s="553" t="s">
        <v>1319</v>
      </c>
      <c r="T949" s="36" t="s">
        <v>1464</v>
      </c>
      <c r="U949" s="36">
        <v>1162241</v>
      </c>
      <c r="V949" s="165" t="s">
        <v>91</v>
      </c>
      <c r="W949" s="36">
        <v>1</v>
      </c>
      <c r="X949" s="36">
        <v>1</v>
      </c>
      <c r="Y949" s="36">
        <v>1</v>
      </c>
      <c r="Z949" s="36">
        <v>1</v>
      </c>
      <c r="AA949" s="36">
        <v>1</v>
      </c>
      <c r="AB949" s="36">
        <v>2</v>
      </c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  <c r="AW949" s="36"/>
      <c r="AX949" s="36"/>
      <c r="AY949" s="953"/>
      <c r="AZ949" s="36"/>
      <c r="BA949" s="36"/>
      <c r="BB949" s="36"/>
      <c r="BC949" s="36"/>
      <c r="BD949" s="36"/>
      <c r="BF949">
        <f>ROWS($U$46:U949)</f>
        <v>904</v>
      </c>
      <c r="BG949" t="str">
        <f t="shared" si="219"/>
        <v/>
      </c>
    </row>
    <row r="950" spans="15:59" ht="15" customHeight="1" thickBot="1" x14ac:dyDescent="0.4">
      <c r="O950" s="331"/>
      <c r="P950" s="328"/>
      <c r="Q950" s="328"/>
      <c r="R950" s="328"/>
      <c r="S950" s="554" t="s">
        <v>1319</v>
      </c>
      <c r="T950" s="328" t="s">
        <v>1464</v>
      </c>
      <c r="U950" s="328">
        <v>1162241</v>
      </c>
      <c r="V950" s="327" t="s">
        <v>92</v>
      </c>
      <c r="W950" s="328">
        <v>3</v>
      </c>
      <c r="X950" s="328">
        <v>3</v>
      </c>
      <c r="Y950" s="328">
        <v>3</v>
      </c>
      <c r="Z950" s="328">
        <v>2</v>
      </c>
      <c r="AA950" s="328"/>
      <c r="AB950" s="328"/>
      <c r="AC950" s="328"/>
      <c r="AD950" s="328"/>
      <c r="AE950" s="328"/>
      <c r="AF950" s="328"/>
      <c r="AG950" s="328"/>
      <c r="AH950" s="328"/>
      <c r="AI950" s="328"/>
      <c r="AJ950" s="328"/>
      <c r="AK950" s="328"/>
      <c r="AL950" s="328"/>
      <c r="AM950" s="328"/>
      <c r="AN950" s="328"/>
      <c r="AO950" s="328"/>
      <c r="AP950" s="328"/>
      <c r="AQ950" s="328"/>
      <c r="AR950" s="328"/>
      <c r="AS950" s="328"/>
      <c r="AT950" s="328"/>
      <c r="AU950" s="328"/>
      <c r="AV950" s="328"/>
      <c r="AW950" s="328"/>
      <c r="AX950" s="328"/>
      <c r="AY950" s="954"/>
      <c r="AZ950" s="36"/>
      <c r="BA950" s="36"/>
      <c r="BB950" s="36"/>
      <c r="BC950" s="36"/>
      <c r="BD950" s="36"/>
      <c r="BF950">
        <f>ROWS($U$46:U950)</f>
        <v>905</v>
      </c>
      <c r="BG950" t="str">
        <f t="shared" si="219"/>
        <v/>
      </c>
    </row>
    <row r="951" spans="15:59" ht="15" customHeight="1" x14ac:dyDescent="0.35">
      <c r="O951" s="329">
        <v>1</v>
      </c>
      <c r="P951" s="320"/>
      <c r="Q951" s="320"/>
      <c r="R951" s="320"/>
      <c r="S951" s="552"/>
      <c r="T951" s="320"/>
      <c r="U951" s="320"/>
      <c r="V951" s="319" t="s">
        <v>87</v>
      </c>
      <c r="W951" s="320"/>
      <c r="X951" s="320"/>
      <c r="Y951" s="320"/>
      <c r="Z951" s="320"/>
      <c r="AA951" s="320"/>
      <c r="AB951" s="320"/>
      <c r="AC951" s="320"/>
      <c r="AD951" s="320"/>
      <c r="AE951" s="320"/>
      <c r="AF951" s="320"/>
      <c r="AG951" s="320"/>
      <c r="AH951" s="320"/>
      <c r="AI951" s="320"/>
      <c r="AJ951" s="320"/>
      <c r="AK951" s="320"/>
      <c r="AL951" s="320"/>
      <c r="AM951" s="320"/>
      <c r="AN951" s="320"/>
      <c r="AO951" s="320"/>
      <c r="AP951" s="320"/>
      <c r="AQ951" s="320"/>
      <c r="AR951" s="320"/>
      <c r="AS951" s="320"/>
      <c r="AT951" s="320"/>
      <c r="AU951" s="320"/>
      <c r="AV951" s="320"/>
      <c r="AW951" s="320"/>
      <c r="AX951" s="320"/>
      <c r="AY951" s="952"/>
      <c r="AZ951" s="36"/>
      <c r="BA951" s="36"/>
      <c r="BB951" s="36"/>
      <c r="BC951" s="36"/>
      <c r="BD951" s="36"/>
      <c r="BF951">
        <f>ROWS($U$46:U951)</f>
        <v>906</v>
      </c>
      <c r="BG951" t="str">
        <f t="shared" si="219"/>
        <v/>
      </c>
    </row>
    <row r="952" spans="15:59" ht="15" customHeight="1" x14ac:dyDescent="0.35">
      <c r="O952" s="330">
        <v>2</v>
      </c>
      <c r="P952" s="36"/>
      <c r="Q952" s="36"/>
      <c r="R952" s="36"/>
      <c r="S952" s="553"/>
      <c r="T952" s="36"/>
      <c r="U952" s="36"/>
      <c r="V952" s="165" t="s">
        <v>88</v>
      </c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  <c r="AW952" s="36"/>
      <c r="AX952" s="36"/>
      <c r="AY952" s="953"/>
      <c r="AZ952" s="36"/>
      <c r="BA952" s="36"/>
      <c r="BB952" s="36"/>
      <c r="BC952" s="36"/>
      <c r="BD952" s="36"/>
      <c r="BF952">
        <f>ROWS($U$46:U952)</f>
        <v>907</v>
      </c>
      <c r="BG952" t="str">
        <f t="shared" si="219"/>
        <v/>
      </c>
    </row>
    <row r="953" spans="15:59" ht="15" customHeight="1" x14ac:dyDescent="0.35">
      <c r="O953" s="330">
        <v>3</v>
      </c>
      <c r="P953" s="36"/>
      <c r="Q953" s="36"/>
      <c r="R953" s="36"/>
      <c r="S953" s="553"/>
      <c r="T953" s="36"/>
      <c r="U953" s="36"/>
      <c r="V953" s="165" t="s">
        <v>89</v>
      </c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  <c r="AW953" s="36"/>
      <c r="AX953" s="36"/>
      <c r="AY953" s="953"/>
      <c r="AZ953" s="36"/>
      <c r="BA953" s="36"/>
      <c r="BB953" s="36"/>
      <c r="BC953" s="36"/>
      <c r="BD953" s="36"/>
      <c r="BF953">
        <f>ROWS($U$46:U953)</f>
        <v>908</v>
      </c>
      <c r="BG953" t="str">
        <f t="shared" si="219"/>
        <v/>
      </c>
    </row>
    <row r="954" spans="15:59" ht="15" customHeight="1" x14ac:dyDescent="0.35">
      <c r="O954" s="330"/>
      <c r="P954" s="36"/>
      <c r="Q954" s="36"/>
      <c r="R954" s="36"/>
      <c r="S954" s="553"/>
      <c r="T954" s="36"/>
      <c r="U954" s="36"/>
      <c r="V954" s="165" t="s">
        <v>90</v>
      </c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  <c r="AW954" s="36"/>
      <c r="AX954" s="36"/>
      <c r="AY954" s="953"/>
      <c r="AZ954" s="36"/>
      <c r="BA954" s="36"/>
      <c r="BB954" s="36"/>
      <c r="BC954" s="36"/>
      <c r="BD954" s="36"/>
      <c r="BF954">
        <f>ROWS($U$46:U954)</f>
        <v>909</v>
      </c>
      <c r="BG954" t="str">
        <f t="shared" si="219"/>
        <v/>
      </c>
    </row>
    <row r="955" spans="15:59" ht="15" customHeight="1" x14ac:dyDescent="0.35">
      <c r="O955" s="330"/>
      <c r="P955" s="36"/>
      <c r="Q955" s="36"/>
      <c r="R955" s="36"/>
      <c r="T955" s="36"/>
      <c r="U955" s="36"/>
      <c r="V955" s="165" t="s">
        <v>91</v>
      </c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  <c r="AW955" s="36"/>
      <c r="AX955" s="36"/>
      <c r="AY955" s="953"/>
      <c r="AZ955" s="36"/>
      <c r="BA955" s="36"/>
      <c r="BB955" s="36"/>
      <c r="BC955" s="36"/>
      <c r="BD955" s="36"/>
      <c r="BF955">
        <f>ROWS($U$46:U955)</f>
        <v>910</v>
      </c>
      <c r="BG955" t="str">
        <f t="shared" si="219"/>
        <v/>
      </c>
    </row>
    <row r="956" spans="15:59" ht="15" customHeight="1" thickBot="1" x14ac:dyDescent="0.4">
      <c r="O956" s="331"/>
      <c r="P956" s="328"/>
      <c r="Q956" s="328"/>
      <c r="R956" s="328"/>
      <c r="S956" s="554"/>
      <c r="T956" s="328"/>
      <c r="U956" s="328"/>
      <c r="V956" s="327" t="s">
        <v>92</v>
      </c>
      <c r="W956" s="328"/>
      <c r="X956" s="328"/>
      <c r="Y956" s="328"/>
      <c r="Z956" s="328"/>
      <c r="AA956" s="328"/>
      <c r="AB956" s="328"/>
      <c r="AC956" s="328"/>
      <c r="AD956" s="328"/>
      <c r="AE956" s="328"/>
      <c r="AF956" s="328"/>
      <c r="AG956" s="328"/>
      <c r="AH956" s="328"/>
      <c r="AI956" s="328"/>
      <c r="AJ956" s="328"/>
      <c r="AK956" s="328"/>
      <c r="AL956" s="328"/>
      <c r="AM956" s="328"/>
      <c r="AN956" s="328"/>
      <c r="AO956" s="328"/>
      <c r="AP956" s="328"/>
      <c r="AQ956" s="328"/>
      <c r="AR956" s="328"/>
      <c r="AS956" s="328"/>
      <c r="AT956" s="328"/>
      <c r="AU956" s="328"/>
      <c r="AV956" s="328"/>
      <c r="AW956" s="328"/>
      <c r="AX956" s="328"/>
      <c r="AY956" s="954"/>
      <c r="AZ956" s="36"/>
      <c r="BA956" s="36"/>
      <c r="BB956" s="36"/>
      <c r="BC956" s="36"/>
      <c r="BD956" s="36"/>
      <c r="BF956">
        <f>ROWS($U$46:U956)</f>
        <v>911</v>
      </c>
      <c r="BG956" t="str">
        <f t="shared" si="219"/>
        <v/>
      </c>
    </row>
    <row r="957" spans="15:59" ht="15" customHeight="1" x14ac:dyDescent="0.35">
      <c r="O957" s="329">
        <v>1</v>
      </c>
      <c r="P957" s="320">
        <v>1130200</v>
      </c>
      <c r="Q957" s="320">
        <v>70</v>
      </c>
      <c r="R957" s="320"/>
      <c r="S957" s="552" t="s">
        <v>1130</v>
      </c>
      <c r="T957" s="320" t="s">
        <v>1468</v>
      </c>
      <c r="U957" s="320">
        <v>886362</v>
      </c>
      <c r="V957" s="319" t="s">
        <v>87</v>
      </c>
      <c r="W957" s="320">
        <v>2</v>
      </c>
      <c r="X957" s="320">
        <v>2</v>
      </c>
      <c r="Y957" s="320">
        <v>2</v>
      </c>
      <c r="Z957" s="320">
        <v>2</v>
      </c>
      <c r="AA957" s="320">
        <v>1</v>
      </c>
      <c r="AB957" s="320">
        <v>1</v>
      </c>
      <c r="AC957" s="320">
        <v>1</v>
      </c>
      <c r="AD957" s="320">
        <v>1</v>
      </c>
      <c r="AE957" s="320">
        <v>1</v>
      </c>
      <c r="AF957" s="320">
        <v>1</v>
      </c>
      <c r="AG957" s="320">
        <v>2</v>
      </c>
      <c r="AH957" s="320">
        <v>2</v>
      </c>
      <c r="AI957" s="320">
        <v>3</v>
      </c>
      <c r="AJ957" s="320">
        <v>4</v>
      </c>
      <c r="AK957" s="320">
        <v>4</v>
      </c>
      <c r="AL957" s="320"/>
      <c r="AM957" s="320">
        <v>1</v>
      </c>
      <c r="AN957" s="320">
        <v>1</v>
      </c>
      <c r="AO957" s="320">
        <v>1</v>
      </c>
      <c r="AP957" s="320">
        <v>1</v>
      </c>
      <c r="AQ957" s="320">
        <v>2</v>
      </c>
      <c r="AR957" s="320">
        <v>2</v>
      </c>
      <c r="AS957" s="320">
        <v>3</v>
      </c>
      <c r="AT957" s="320"/>
      <c r="AU957" s="320"/>
      <c r="AV957" s="320"/>
      <c r="AW957" s="320"/>
      <c r="AX957" s="320"/>
      <c r="AY957" s="952"/>
      <c r="AZ957" s="36"/>
      <c r="BA957" s="36"/>
      <c r="BB957" s="36"/>
      <c r="BC957" s="36"/>
      <c r="BD957" s="36"/>
      <c r="BF957">
        <f>ROWS($U$46:U957)</f>
        <v>912</v>
      </c>
      <c r="BG957" t="str">
        <f t="shared" si="219"/>
        <v/>
      </c>
    </row>
    <row r="958" spans="15:59" ht="15" customHeight="1" x14ac:dyDescent="0.35">
      <c r="O958" s="330">
        <v>2</v>
      </c>
      <c r="P958" s="36">
        <v>1130198</v>
      </c>
      <c r="Q958" s="36">
        <v>35</v>
      </c>
      <c r="R958" s="36"/>
      <c r="S958" s="553" t="s">
        <v>1130</v>
      </c>
      <c r="T958" s="36" t="s">
        <v>1468</v>
      </c>
      <c r="U958" s="36">
        <v>886362</v>
      </c>
      <c r="V958" s="165" t="s">
        <v>88</v>
      </c>
      <c r="W958" s="36">
        <v>1</v>
      </c>
      <c r="X958" s="36">
        <v>1</v>
      </c>
      <c r="Y958" s="36">
        <v>1</v>
      </c>
      <c r="Z958" s="36">
        <v>1</v>
      </c>
      <c r="AA958" s="36">
        <v>1</v>
      </c>
      <c r="AB958" s="36">
        <v>2</v>
      </c>
      <c r="AC958" s="36">
        <v>2</v>
      </c>
      <c r="AD958" s="36">
        <v>3</v>
      </c>
      <c r="AE958" s="36">
        <v>4</v>
      </c>
      <c r="AF958" s="36">
        <v>4</v>
      </c>
      <c r="AG958" s="36"/>
      <c r="AH958" s="36"/>
      <c r="AI958" s="36"/>
      <c r="AJ958" s="36"/>
      <c r="AK958" s="36"/>
      <c r="AL958" s="36"/>
      <c r="AM958" s="36">
        <v>1</v>
      </c>
      <c r="AN958" s="36">
        <v>1</v>
      </c>
      <c r="AO958" s="36">
        <v>1</v>
      </c>
      <c r="AP958" s="36">
        <v>1</v>
      </c>
      <c r="AQ958" s="36">
        <v>2</v>
      </c>
      <c r="AR958" s="36">
        <v>2</v>
      </c>
      <c r="AS958" s="36">
        <v>3</v>
      </c>
      <c r="AT958" s="36"/>
      <c r="AU958" s="36"/>
      <c r="AV958" s="36"/>
      <c r="AW958" s="36"/>
      <c r="AX958" s="36"/>
      <c r="AY958" s="953"/>
      <c r="AZ958" s="36"/>
      <c r="BA958" s="36"/>
      <c r="BB958" s="36"/>
      <c r="BC958" s="36"/>
      <c r="BD958" s="36"/>
      <c r="BF958">
        <f>ROWS($U$46:U958)</f>
        <v>913</v>
      </c>
      <c r="BG958" t="str">
        <f t="shared" si="219"/>
        <v/>
      </c>
    </row>
    <row r="959" spans="15:59" ht="15" customHeight="1" x14ac:dyDescent="0.35">
      <c r="O959" s="330">
        <v>3</v>
      </c>
      <c r="P959" s="36">
        <v>647436</v>
      </c>
      <c r="Q959" s="36">
        <v>14</v>
      </c>
      <c r="R959" s="36"/>
      <c r="S959" s="553" t="s">
        <v>1130</v>
      </c>
      <c r="T959" s="36" t="s">
        <v>1468</v>
      </c>
      <c r="U959" s="36">
        <v>886362</v>
      </c>
      <c r="V959" s="165" t="s">
        <v>89</v>
      </c>
      <c r="W959" s="36">
        <v>1</v>
      </c>
      <c r="X959" s="36">
        <v>1</v>
      </c>
      <c r="Y959" s="36">
        <v>1</v>
      </c>
      <c r="Z959" s="36">
        <v>1</v>
      </c>
      <c r="AA959" s="36">
        <v>1</v>
      </c>
      <c r="AB959" s="36">
        <v>1</v>
      </c>
      <c r="AC959" s="36">
        <v>2</v>
      </c>
      <c r="AD959" s="36">
        <v>3</v>
      </c>
      <c r="AE959" s="36">
        <v>4</v>
      </c>
      <c r="AF959" s="36">
        <v>4</v>
      </c>
      <c r="AG959" s="36"/>
      <c r="AH959" s="36"/>
      <c r="AI959" s="36"/>
      <c r="AJ959" s="36"/>
      <c r="AK959" s="36"/>
      <c r="AL959" s="36"/>
      <c r="AM959" s="36">
        <v>1</v>
      </c>
      <c r="AN959" s="36">
        <v>1</v>
      </c>
      <c r="AO959" s="36">
        <v>1</v>
      </c>
      <c r="AP959" s="36">
        <v>1</v>
      </c>
      <c r="AQ959" s="36">
        <v>1</v>
      </c>
      <c r="AR959" s="36">
        <v>2</v>
      </c>
      <c r="AS959" s="36">
        <v>3</v>
      </c>
      <c r="AT959" s="36"/>
      <c r="AU959" s="36"/>
      <c r="AV959" s="36"/>
      <c r="AW959" s="36"/>
      <c r="AX959" s="36"/>
      <c r="AY959" s="953"/>
      <c r="AZ959" s="36"/>
      <c r="BA959" s="36"/>
      <c r="BB959" s="36"/>
      <c r="BC959" s="36"/>
      <c r="BD959" s="36"/>
      <c r="BF959">
        <f>ROWS($U$46:U959)</f>
        <v>914</v>
      </c>
      <c r="BG959" t="str">
        <f t="shared" si="219"/>
        <v/>
      </c>
    </row>
    <row r="960" spans="15:59" ht="15" customHeight="1" x14ac:dyDescent="0.35">
      <c r="O960" s="330">
        <v>4</v>
      </c>
      <c r="P960" s="36">
        <v>418525</v>
      </c>
      <c r="Q960" s="36">
        <v>14</v>
      </c>
      <c r="R960" s="36"/>
      <c r="S960" s="553" t="s">
        <v>1130</v>
      </c>
      <c r="T960" s="36" t="s">
        <v>1468</v>
      </c>
      <c r="U960" s="36">
        <v>886362</v>
      </c>
      <c r="V960" s="165" t="s">
        <v>90</v>
      </c>
      <c r="W960" s="36">
        <v>2</v>
      </c>
      <c r="X960" s="36">
        <v>2</v>
      </c>
      <c r="Y960" s="36">
        <v>2</v>
      </c>
      <c r="Z960" s="36">
        <v>1</v>
      </c>
      <c r="AA960" s="36">
        <v>1</v>
      </c>
      <c r="AB960" s="36">
        <v>1</v>
      </c>
      <c r="AC960" s="36">
        <v>1</v>
      </c>
      <c r="AD960" s="36">
        <v>1</v>
      </c>
      <c r="AE960" s="36">
        <v>1</v>
      </c>
      <c r="AF960" s="36">
        <v>1</v>
      </c>
      <c r="AG960" s="36">
        <v>2</v>
      </c>
      <c r="AH960" s="36">
        <v>3</v>
      </c>
      <c r="AI960" s="36">
        <v>4</v>
      </c>
      <c r="AJ960" s="36">
        <v>4</v>
      </c>
      <c r="AK960" s="36"/>
      <c r="AL960" s="36"/>
      <c r="AM960" s="36">
        <v>1</v>
      </c>
      <c r="AN960" s="36">
        <v>1</v>
      </c>
      <c r="AO960" s="36">
        <v>1</v>
      </c>
      <c r="AP960" s="36">
        <v>1</v>
      </c>
      <c r="AQ960" s="36">
        <v>1</v>
      </c>
      <c r="AR960" s="36">
        <v>2</v>
      </c>
      <c r="AS960" s="36">
        <v>3</v>
      </c>
      <c r="AT960" s="36"/>
      <c r="AU960" s="36"/>
      <c r="AV960" s="36"/>
      <c r="AW960" s="36"/>
      <c r="AX960" s="36"/>
      <c r="AY960" s="953"/>
      <c r="AZ960" s="36"/>
      <c r="BA960" s="36"/>
      <c r="BB960" s="36"/>
      <c r="BC960" s="36"/>
      <c r="BD960" s="36"/>
      <c r="BF960">
        <f>ROWS($U$46:U960)</f>
        <v>915</v>
      </c>
      <c r="BG960" t="str">
        <f t="shared" si="219"/>
        <v/>
      </c>
    </row>
    <row r="961" spans="15:59" ht="15" customHeight="1" x14ac:dyDescent="0.35">
      <c r="O961" s="330"/>
      <c r="P961" s="36"/>
      <c r="Q961" s="36"/>
      <c r="R961" s="36"/>
      <c r="S961" s="553" t="s">
        <v>1130</v>
      </c>
      <c r="T961" s="36" t="s">
        <v>1468</v>
      </c>
      <c r="U961" s="36">
        <v>886362</v>
      </c>
      <c r="V961" s="165" t="s">
        <v>91</v>
      </c>
      <c r="W961" s="36">
        <v>1</v>
      </c>
      <c r="X961" s="36">
        <v>1</v>
      </c>
      <c r="Y961" s="36">
        <v>1</v>
      </c>
      <c r="Z961" s="36">
        <v>1</v>
      </c>
      <c r="AA961" s="36">
        <v>1</v>
      </c>
      <c r="AB961" s="36">
        <v>2</v>
      </c>
      <c r="AC961" s="36">
        <v>2</v>
      </c>
      <c r="AD961" s="36">
        <v>3</v>
      </c>
      <c r="AE961" s="36">
        <v>4</v>
      </c>
      <c r="AF961" s="36">
        <v>4</v>
      </c>
      <c r="AG961" s="36"/>
      <c r="AH961" s="36"/>
      <c r="AI961" s="36"/>
      <c r="AJ961" s="36"/>
      <c r="AK961" s="36"/>
      <c r="AL961" s="36"/>
      <c r="AM961" s="36">
        <v>1</v>
      </c>
      <c r="AN961" s="36">
        <v>1</v>
      </c>
      <c r="AO961" s="36">
        <v>1</v>
      </c>
      <c r="AP961" s="36">
        <v>1</v>
      </c>
      <c r="AQ961" s="36">
        <v>2</v>
      </c>
      <c r="AR961" s="36">
        <v>2</v>
      </c>
      <c r="AS961" s="36">
        <v>3</v>
      </c>
      <c r="AT961" s="36"/>
      <c r="AU961" s="36"/>
      <c r="AV961" s="36"/>
      <c r="AW961" s="36"/>
      <c r="AX961" s="36"/>
      <c r="AY961" s="953"/>
      <c r="AZ961" s="36"/>
      <c r="BA961" s="36"/>
      <c r="BB961" s="36"/>
      <c r="BC961" s="36"/>
      <c r="BD961" s="36"/>
      <c r="BF961">
        <f>ROWS($U$46:U961)</f>
        <v>916</v>
      </c>
      <c r="BG961" t="str">
        <f t="shared" si="219"/>
        <v/>
      </c>
    </row>
    <row r="962" spans="15:59" ht="15" customHeight="1" x14ac:dyDescent="0.35">
      <c r="O962" s="330"/>
      <c r="P962" s="36"/>
      <c r="Q962" s="36"/>
      <c r="R962" s="36"/>
      <c r="S962" s="553" t="s">
        <v>1130</v>
      </c>
      <c r="T962" s="36" t="s">
        <v>1468</v>
      </c>
      <c r="U962" s="36">
        <v>886362</v>
      </c>
      <c r="V962" s="165" t="s">
        <v>92</v>
      </c>
      <c r="W962" s="36">
        <v>2</v>
      </c>
      <c r="X962" s="36">
        <v>2</v>
      </c>
      <c r="Y962" s="36">
        <v>2</v>
      </c>
      <c r="Z962" s="36">
        <v>2</v>
      </c>
      <c r="AA962" s="36">
        <v>1</v>
      </c>
      <c r="AB962" s="36">
        <v>1</v>
      </c>
      <c r="AC962" s="36">
        <v>1</v>
      </c>
      <c r="AD962" s="36">
        <v>1</v>
      </c>
      <c r="AE962" s="36">
        <v>1</v>
      </c>
      <c r="AF962" s="36">
        <v>1</v>
      </c>
      <c r="AG962" s="36">
        <v>2</v>
      </c>
      <c r="AH962" s="36">
        <v>2</v>
      </c>
      <c r="AI962" s="36">
        <v>3</v>
      </c>
      <c r="AJ962" s="36">
        <v>4</v>
      </c>
      <c r="AK962" s="36">
        <v>4</v>
      </c>
      <c r="AL962" s="36"/>
      <c r="AM962" s="36">
        <v>1</v>
      </c>
      <c r="AN962" s="36">
        <v>1</v>
      </c>
      <c r="AO962" s="36">
        <v>1</v>
      </c>
      <c r="AP962" s="36">
        <v>1</v>
      </c>
      <c r="AQ962" s="36">
        <v>2</v>
      </c>
      <c r="AR962" s="36">
        <v>2</v>
      </c>
      <c r="AS962" s="36">
        <v>3</v>
      </c>
      <c r="AT962" s="36"/>
      <c r="AU962" s="36"/>
      <c r="AV962" s="36"/>
      <c r="AW962" s="36"/>
      <c r="AX962" s="36"/>
      <c r="AY962" s="953"/>
      <c r="AZ962" s="36"/>
      <c r="BA962" s="36"/>
      <c r="BB962" s="36"/>
      <c r="BC962" s="36"/>
      <c r="BD962" s="36"/>
      <c r="BF962">
        <f>ROWS($U$46:U962)</f>
        <v>917</v>
      </c>
      <c r="BG962" t="str">
        <f t="shared" si="219"/>
        <v/>
      </c>
    </row>
    <row r="963" spans="15:59" ht="15" customHeight="1" thickBot="1" x14ac:dyDescent="0.4">
      <c r="O963" s="331"/>
      <c r="P963" s="328"/>
      <c r="Q963" s="328"/>
      <c r="R963" s="328"/>
      <c r="S963" s="554" t="s">
        <v>1130</v>
      </c>
      <c r="T963" s="328" t="s">
        <v>1468</v>
      </c>
      <c r="U963" s="328">
        <v>886362</v>
      </c>
      <c r="V963" s="327" t="s">
        <v>111</v>
      </c>
      <c r="W963" s="328">
        <v>1</v>
      </c>
      <c r="X963" s="328">
        <v>1</v>
      </c>
      <c r="Y963" s="328">
        <v>1</v>
      </c>
      <c r="Z963" s="328">
        <v>1</v>
      </c>
      <c r="AA963" s="328">
        <v>1</v>
      </c>
      <c r="AB963" s="328">
        <v>2</v>
      </c>
      <c r="AC963" s="328">
        <v>2</v>
      </c>
      <c r="AD963" s="328">
        <v>3</v>
      </c>
      <c r="AE963" s="328">
        <v>4</v>
      </c>
      <c r="AF963" s="328">
        <v>4</v>
      </c>
      <c r="AG963" s="328"/>
      <c r="AH963" s="328"/>
      <c r="AI963" s="328"/>
      <c r="AJ963" s="328"/>
      <c r="AK963" s="328"/>
      <c r="AL963" s="328"/>
      <c r="AM963" s="328">
        <v>1</v>
      </c>
      <c r="AN963" s="328">
        <v>1</v>
      </c>
      <c r="AO963" s="328">
        <v>1</v>
      </c>
      <c r="AP963" s="328">
        <v>1</v>
      </c>
      <c r="AQ963" s="328">
        <v>2</v>
      </c>
      <c r="AR963" s="328">
        <v>2</v>
      </c>
      <c r="AS963" s="328">
        <v>3</v>
      </c>
      <c r="AT963" s="328"/>
      <c r="AU963" s="328"/>
      <c r="AV963" s="328"/>
      <c r="AW963" s="328"/>
      <c r="AX963" s="328"/>
      <c r="AY963" s="954"/>
      <c r="AZ963" s="36"/>
      <c r="BA963" s="36"/>
      <c r="BB963" s="36"/>
      <c r="BC963" s="36"/>
      <c r="BD963" s="36"/>
      <c r="BF963">
        <f>ROWS($U$46:U963)</f>
        <v>918</v>
      </c>
      <c r="BG963" t="str">
        <f t="shared" si="219"/>
        <v/>
      </c>
    </row>
    <row r="964" spans="15:59" ht="15" customHeight="1" x14ac:dyDescent="0.35">
      <c r="O964" s="329">
        <v>1</v>
      </c>
      <c r="P964" s="320">
        <v>1130200</v>
      </c>
      <c r="Q964" s="320">
        <v>36</v>
      </c>
      <c r="R964" s="320"/>
      <c r="S964" s="320" t="s">
        <v>1209</v>
      </c>
      <c r="T964" s="320" t="s">
        <v>1210</v>
      </c>
      <c r="U964" s="320">
        <v>1000708</v>
      </c>
      <c r="V964" s="319" t="s">
        <v>87</v>
      </c>
      <c r="W964" s="320">
        <v>2</v>
      </c>
      <c r="X964" s="320">
        <v>2</v>
      </c>
      <c r="Y964" s="320">
        <v>2</v>
      </c>
      <c r="Z964" s="320">
        <v>1</v>
      </c>
      <c r="AA964" s="320">
        <v>1</v>
      </c>
      <c r="AB964" s="320">
        <v>1</v>
      </c>
      <c r="AC964" s="320">
        <v>1</v>
      </c>
      <c r="AD964" s="320">
        <v>1</v>
      </c>
      <c r="AE964" s="320">
        <v>4</v>
      </c>
      <c r="AF964" s="320">
        <v>5</v>
      </c>
      <c r="AG964" s="320">
        <v>6</v>
      </c>
      <c r="AH964" s="320"/>
      <c r="AI964" s="320">
        <v>3</v>
      </c>
      <c r="AJ964" s="320">
        <v>3</v>
      </c>
      <c r="AK964" s="320"/>
      <c r="AL964" s="320"/>
      <c r="AM964" s="320"/>
      <c r="AN964" s="320"/>
      <c r="AO964" s="320"/>
      <c r="AP964" s="320"/>
      <c r="AQ964" s="320"/>
      <c r="AR964" s="320"/>
      <c r="AS964" s="320"/>
      <c r="AT964" s="320"/>
      <c r="AU964" s="320"/>
      <c r="AV964" s="320"/>
      <c r="AW964" s="320"/>
      <c r="AX964" s="320"/>
      <c r="AY964" s="952"/>
      <c r="AZ964" s="36"/>
      <c r="BA964" s="36"/>
      <c r="BB964" s="36"/>
      <c r="BC964" s="36"/>
      <c r="BD964" s="36"/>
      <c r="BF964">
        <f>ROWS($U$46:U964)</f>
        <v>919</v>
      </c>
      <c r="BG964" t="str">
        <f t="shared" si="219"/>
        <v/>
      </c>
    </row>
    <row r="965" spans="15:59" ht="15" customHeight="1" x14ac:dyDescent="0.35">
      <c r="O965" s="330">
        <v>2</v>
      </c>
      <c r="P965" s="36">
        <v>1130198</v>
      </c>
      <c r="Q965" s="36">
        <v>13</v>
      </c>
      <c r="R965" s="36"/>
      <c r="S965" s="36" t="s">
        <v>1209</v>
      </c>
      <c r="T965" s="36" t="s">
        <v>1210</v>
      </c>
      <c r="U965" s="36">
        <v>1000708</v>
      </c>
      <c r="V965" s="165" t="s">
        <v>88</v>
      </c>
      <c r="W965" s="36">
        <v>1</v>
      </c>
      <c r="X965" s="36">
        <v>1</v>
      </c>
      <c r="Y965" s="36">
        <v>1</v>
      </c>
      <c r="Z965" s="36">
        <v>1</v>
      </c>
      <c r="AA965" s="36">
        <v>2</v>
      </c>
      <c r="AB965" s="36">
        <v>4</v>
      </c>
      <c r="AC965" s="36">
        <v>5</v>
      </c>
      <c r="AD965" s="36">
        <v>6</v>
      </c>
      <c r="AE965" s="36"/>
      <c r="AF965" s="36"/>
      <c r="AG965" s="36"/>
      <c r="AH965" s="36"/>
      <c r="AI965" s="36">
        <v>3</v>
      </c>
      <c r="AJ965" s="36">
        <v>3</v>
      </c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  <c r="AW965" s="36"/>
      <c r="AX965" s="36"/>
      <c r="AY965" s="953"/>
      <c r="AZ965" s="36"/>
      <c r="BA965" s="36"/>
      <c r="BB965" s="36"/>
      <c r="BC965" s="36"/>
      <c r="BD965" s="36"/>
      <c r="BF965">
        <f>ROWS($U$46:U965)</f>
        <v>920</v>
      </c>
      <c r="BG965" t="str">
        <f t="shared" si="219"/>
        <v/>
      </c>
    </row>
    <row r="966" spans="15:59" ht="15" customHeight="1" x14ac:dyDescent="0.35">
      <c r="O966" s="330">
        <v>3</v>
      </c>
      <c r="P966" s="36">
        <v>375538</v>
      </c>
      <c r="Q966" s="36">
        <v>16</v>
      </c>
      <c r="R966" s="36"/>
      <c r="S966" s="36" t="s">
        <v>1209</v>
      </c>
      <c r="T966" s="36" t="s">
        <v>1210</v>
      </c>
      <c r="U966" s="36">
        <v>1000708</v>
      </c>
      <c r="V966" s="165" t="s">
        <v>89</v>
      </c>
      <c r="W966" s="36">
        <v>1</v>
      </c>
      <c r="X966" s="36">
        <v>1</v>
      </c>
      <c r="Y966" s="36">
        <v>1</v>
      </c>
      <c r="Z966" s="36">
        <v>1</v>
      </c>
      <c r="AA966" s="36">
        <v>2</v>
      </c>
      <c r="AB966" s="36">
        <v>4</v>
      </c>
      <c r="AC966" s="36">
        <v>5</v>
      </c>
      <c r="AD966" s="36">
        <v>6</v>
      </c>
      <c r="AE966" s="36"/>
      <c r="AF966" s="36"/>
      <c r="AG966" s="36"/>
      <c r="AH966" s="36"/>
      <c r="AI966" s="36">
        <v>3</v>
      </c>
      <c r="AJ966" s="36">
        <v>3</v>
      </c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  <c r="AW966" s="36"/>
      <c r="AX966" s="36"/>
      <c r="AY966" s="953"/>
      <c r="AZ966" s="36"/>
      <c r="BA966" s="36"/>
      <c r="BB966" s="36"/>
      <c r="BC966" s="36"/>
      <c r="BD966" s="36"/>
      <c r="BF966">
        <f>ROWS($U$46:U966)</f>
        <v>921</v>
      </c>
      <c r="BG966" t="str">
        <f t="shared" si="219"/>
        <v/>
      </c>
    </row>
    <row r="967" spans="15:59" ht="15" customHeight="1" x14ac:dyDescent="0.35">
      <c r="O967" s="330">
        <v>4</v>
      </c>
      <c r="P967" s="36">
        <v>647436</v>
      </c>
      <c r="Q967" s="36">
        <v>8</v>
      </c>
      <c r="R967" s="36"/>
      <c r="S967" s="36" t="s">
        <v>1209</v>
      </c>
      <c r="T967" s="36" t="s">
        <v>1210</v>
      </c>
      <c r="U967" s="36">
        <v>1000708</v>
      </c>
      <c r="V967" s="165" t="s">
        <v>90</v>
      </c>
      <c r="W967" s="36">
        <v>2</v>
      </c>
      <c r="X967" s="36">
        <v>2</v>
      </c>
      <c r="Y967" s="36">
        <v>2</v>
      </c>
      <c r="Z967" s="36">
        <v>1</v>
      </c>
      <c r="AA967" s="36">
        <v>1</v>
      </c>
      <c r="AB967" s="36">
        <v>1</v>
      </c>
      <c r="AC967" s="36">
        <v>1</v>
      </c>
      <c r="AD967" s="36">
        <v>2</v>
      </c>
      <c r="AE967" s="36">
        <v>4</v>
      </c>
      <c r="AF967" s="36">
        <v>5</v>
      </c>
      <c r="AG967" s="36">
        <v>6</v>
      </c>
      <c r="AH967" s="36"/>
      <c r="AI967" s="36">
        <v>3</v>
      </c>
      <c r="AJ967" s="36">
        <v>3</v>
      </c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  <c r="AW967" s="36"/>
      <c r="AX967" s="36"/>
      <c r="AY967" s="953"/>
      <c r="AZ967" s="36"/>
      <c r="BA967" s="36"/>
      <c r="BB967" s="36"/>
      <c r="BC967" s="36"/>
      <c r="BD967" s="36"/>
      <c r="BF967">
        <f>ROWS($U$46:U967)</f>
        <v>922</v>
      </c>
      <c r="BG967" t="str">
        <f t="shared" si="219"/>
        <v/>
      </c>
    </row>
    <row r="968" spans="15:59" ht="15" customHeight="1" x14ac:dyDescent="0.35">
      <c r="O968" s="330">
        <v>5</v>
      </c>
      <c r="P968" s="36">
        <v>418525</v>
      </c>
      <c r="Q968" s="36">
        <v>8</v>
      </c>
      <c r="R968" s="36"/>
      <c r="S968" s="36" t="s">
        <v>1209</v>
      </c>
      <c r="T968" s="36" t="s">
        <v>1210</v>
      </c>
      <c r="U968" s="36">
        <v>1000708</v>
      </c>
      <c r="V968" s="165" t="s">
        <v>91</v>
      </c>
      <c r="W968" s="36">
        <v>1</v>
      </c>
      <c r="X968" s="36">
        <v>1</v>
      </c>
      <c r="Y968" s="36">
        <v>1</v>
      </c>
      <c r="Z968" s="36">
        <v>1</v>
      </c>
      <c r="AA968" s="36">
        <v>2</v>
      </c>
      <c r="AB968" s="36">
        <v>4</v>
      </c>
      <c r="AC968" s="36">
        <v>5</v>
      </c>
      <c r="AD968" s="36">
        <v>6</v>
      </c>
      <c r="AE968" s="36"/>
      <c r="AF968" s="36"/>
      <c r="AG968" s="36"/>
      <c r="AH968" s="36"/>
      <c r="AI968" s="36">
        <v>3</v>
      </c>
      <c r="AJ968" s="36">
        <v>3</v>
      </c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  <c r="AX968" s="36"/>
      <c r="AY968" s="953"/>
      <c r="AZ968" s="36"/>
      <c r="BA968" s="36"/>
      <c r="BB968" s="36"/>
      <c r="BC968" s="36"/>
      <c r="BD968" s="36"/>
      <c r="BF968">
        <f>ROWS($U$46:U968)</f>
        <v>923</v>
      </c>
      <c r="BG968" t="str">
        <f t="shared" si="219"/>
        <v/>
      </c>
    </row>
    <row r="969" spans="15:59" ht="15" customHeight="1" x14ac:dyDescent="0.35">
      <c r="O969" s="330">
        <v>6</v>
      </c>
      <c r="P969" s="36">
        <v>871781</v>
      </c>
      <c r="Q969" s="36">
        <v>8</v>
      </c>
      <c r="R969" s="36"/>
      <c r="S969" s="36" t="s">
        <v>1209</v>
      </c>
      <c r="T969" s="36" t="s">
        <v>1210</v>
      </c>
      <c r="U969" s="36">
        <v>1000708</v>
      </c>
      <c r="V969" s="165" t="s">
        <v>92</v>
      </c>
      <c r="W969" s="36">
        <v>2</v>
      </c>
      <c r="X969" s="36">
        <v>2</v>
      </c>
      <c r="Y969" s="36">
        <v>2</v>
      </c>
      <c r="Z969" s="36">
        <v>1</v>
      </c>
      <c r="AA969" s="36">
        <v>1</v>
      </c>
      <c r="AB969" s="36">
        <v>1</v>
      </c>
      <c r="AC969" s="36">
        <v>1</v>
      </c>
      <c r="AD969" s="36">
        <v>1</v>
      </c>
      <c r="AE969" s="36">
        <v>4</v>
      </c>
      <c r="AF969" s="36">
        <v>5</v>
      </c>
      <c r="AG969" s="36">
        <v>6</v>
      </c>
      <c r="AH969" s="36"/>
      <c r="AI969" s="36">
        <v>3</v>
      </c>
      <c r="AJ969" s="36">
        <v>3</v>
      </c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953"/>
      <c r="AZ969" s="36"/>
      <c r="BA969" s="36"/>
      <c r="BB969" s="36"/>
      <c r="BC969" s="36"/>
      <c r="BD969" s="36"/>
      <c r="BF969">
        <f>ROWS($U$46:U969)</f>
        <v>924</v>
      </c>
      <c r="BG969" t="str">
        <f t="shared" si="219"/>
        <v/>
      </c>
    </row>
    <row r="970" spans="15:59" ht="15" customHeight="1" x14ac:dyDescent="0.35">
      <c r="O970" s="330"/>
      <c r="P970" s="36"/>
      <c r="Q970" s="36"/>
      <c r="R970" s="36"/>
      <c r="S970" s="36" t="s">
        <v>1209</v>
      </c>
      <c r="T970" s="36" t="s">
        <v>1210</v>
      </c>
      <c r="U970" s="36">
        <v>1000708</v>
      </c>
      <c r="V970" s="165" t="s">
        <v>111</v>
      </c>
      <c r="W970" s="36">
        <v>1</v>
      </c>
      <c r="X970" s="36">
        <v>1</v>
      </c>
      <c r="Y970" s="36">
        <v>1</v>
      </c>
      <c r="Z970" s="36">
        <v>1</v>
      </c>
      <c r="AA970" s="36">
        <v>1</v>
      </c>
      <c r="AB970" s="36">
        <v>4</v>
      </c>
      <c r="AC970" s="36">
        <v>5</v>
      </c>
      <c r="AD970" s="36">
        <v>6</v>
      </c>
      <c r="AE970" s="36"/>
      <c r="AF970" s="36"/>
      <c r="AG970" s="36"/>
      <c r="AH970" s="36"/>
      <c r="AI970" s="36">
        <v>3</v>
      </c>
      <c r="AJ970" s="36">
        <v>3</v>
      </c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  <c r="AW970" s="36"/>
      <c r="AX970" s="36"/>
      <c r="AY970" s="953"/>
      <c r="AZ970" s="36"/>
      <c r="BA970" s="36"/>
      <c r="BB970" s="36"/>
      <c r="BC970" s="36"/>
      <c r="BD970" s="36"/>
      <c r="BF970">
        <f>ROWS($U$46:U970)</f>
        <v>925</v>
      </c>
      <c r="BG970" t="str">
        <f t="shared" si="219"/>
        <v/>
      </c>
    </row>
    <row r="971" spans="15:59" ht="15" customHeight="1" thickBot="1" x14ac:dyDescent="0.4">
      <c r="O971" s="331"/>
      <c r="P971" s="328"/>
      <c r="Q971" s="328"/>
      <c r="R971" s="328"/>
      <c r="S971" s="328" t="s">
        <v>1209</v>
      </c>
      <c r="T971" s="328" t="s">
        <v>1210</v>
      </c>
      <c r="U971" s="328">
        <v>1000708</v>
      </c>
      <c r="V971" s="327" t="s">
        <v>112</v>
      </c>
      <c r="W971" s="328">
        <v>1</v>
      </c>
      <c r="X971" s="328">
        <v>1</v>
      </c>
      <c r="Y971" s="328">
        <v>1</v>
      </c>
      <c r="Z971" s="328">
        <v>1</v>
      </c>
      <c r="AA971" s="328">
        <v>1</v>
      </c>
      <c r="AB971" s="328">
        <v>4</v>
      </c>
      <c r="AC971" s="328">
        <v>5</v>
      </c>
      <c r="AD971" s="328">
        <v>6</v>
      </c>
      <c r="AE971" s="328"/>
      <c r="AF971" s="328"/>
      <c r="AG971" s="328"/>
      <c r="AH971" s="328"/>
      <c r="AI971" s="328">
        <v>3</v>
      </c>
      <c r="AJ971" s="328">
        <v>3</v>
      </c>
      <c r="AK971" s="328"/>
      <c r="AL971" s="328"/>
      <c r="AM971" s="328"/>
      <c r="AN971" s="328"/>
      <c r="AO971" s="328"/>
      <c r="AP971" s="328"/>
      <c r="AQ971" s="328"/>
      <c r="AR971" s="328"/>
      <c r="AS971" s="328"/>
      <c r="AT971" s="328"/>
      <c r="AU971" s="328"/>
      <c r="AV971" s="328"/>
      <c r="AW971" s="328"/>
      <c r="AX971" s="328"/>
      <c r="AY971" s="954"/>
      <c r="AZ971" s="36"/>
      <c r="BA971" s="36"/>
      <c r="BB971" s="36"/>
      <c r="BC971" s="36"/>
      <c r="BD971" s="36"/>
      <c r="BF971">
        <f>ROWS($U$46:U971)</f>
        <v>926</v>
      </c>
      <c r="BG971" t="str">
        <f t="shared" si="219"/>
        <v/>
      </c>
    </row>
    <row r="972" spans="15:59" ht="15" customHeight="1" x14ac:dyDescent="0.35">
      <c r="O972" s="329">
        <v>1</v>
      </c>
      <c r="P972" s="320">
        <v>1130198</v>
      </c>
      <c r="Q972" s="320">
        <v>67</v>
      </c>
      <c r="R972" s="320"/>
      <c r="S972" s="552" t="s">
        <v>1126</v>
      </c>
      <c r="T972" s="320" t="s">
        <v>1481</v>
      </c>
      <c r="U972" s="320">
        <v>1094728</v>
      </c>
      <c r="V972" s="319" t="s">
        <v>87</v>
      </c>
      <c r="W972" s="320">
        <v>4</v>
      </c>
      <c r="X972" s="320">
        <v>1</v>
      </c>
      <c r="Y972" s="320">
        <v>1</v>
      </c>
      <c r="Z972" s="320">
        <v>1</v>
      </c>
      <c r="AA972" s="320">
        <v>1</v>
      </c>
      <c r="AB972" s="320">
        <v>1</v>
      </c>
      <c r="AC972" s="320">
        <v>1</v>
      </c>
      <c r="AD972" s="320">
        <v>1</v>
      </c>
      <c r="AE972" s="320">
        <v>1</v>
      </c>
      <c r="AF972" s="320">
        <v>1</v>
      </c>
      <c r="AG972" s="320">
        <v>1</v>
      </c>
      <c r="AH972" s="320">
        <v>1</v>
      </c>
      <c r="AI972" s="320">
        <v>1</v>
      </c>
      <c r="AJ972" s="320">
        <v>1</v>
      </c>
      <c r="AK972" s="320">
        <v>2</v>
      </c>
      <c r="AL972" s="320"/>
      <c r="AM972" s="320">
        <v>3</v>
      </c>
      <c r="AN972" s="320">
        <v>3</v>
      </c>
      <c r="AO972" s="320">
        <v>3</v>
      </c>
      <c r="AP972" s="320"/>
      <c r="AQ972" s="320"/>
      <c r="AR972" s="320"/>
      <c r="AS972" s="320"/>
      <c r="AT972" s="320"/>
      <c r="AU972" s="320"/>
      <c r="AV972" s="320"/>
      <c r="AW972" s="320"/>
      <c r="AX972" s="320"/>
      <c r="AY972" s="952"/>
      <c r="AZ972" s="36"/>
      <c r="BA972" s="36"/>
      <c r="BB972" s="36"/>
      <c r="BC972" s="36"/>
      <c r="BD972" s="36"/>
      <c r="BF972">
        <f>ROWS($U$46:U972)</f>
        <v>927</v>
      </c>
      <c r="BG972" t="str">
        <f t="shared" si="219"/>
        <v/>
      </c>
    </row>
    <row r="973" spans="15:59" ht="15" customHeight="1" x14ac:dyDescent="0.35">
      <c r="O973" s="330">
        <v>2</v>
      </c>
      <c r="P973" s="36">
        <v>1130196</v>
      </c>
      <c r="Q973" s="36">
        <v>10</v>
      </c>
      <c r="R973" s="36"/>
      <c r="S973" s="553" t="s">
        <v>1126</v>
      </c>
      <c r="T973" s="36" t="s">
        <v>1481</v>
      </c>
      <c r="U973" s="36">
        <v>1094728</v>
      </c>
      <c r="V973" s="165" t="s">
        <v>88</v>
      </c>
      <c r="W973" s="36">
        <v>1</v>
      </c>
      <c r="X973" s="36">
        <v>1</v>
      </c>
      <c r="Y973" s="36">
        <v>1</v>
      </c>
      <c r="Z973" s="36">
        <v>1</v>
      </c>
      <c r="AA973" s="36">
        <v>1</v>
      </c>
      <c r="AB973" s="36">
        <v>1</v>
      </c>
      <c r="AC973" s="36">
        <v>1</v>
      </c>
      <c r="AD973" s="36">
        <v>1</v>
      </c>
      <c r="AE973" s="36">
        <v>2</v>
      </c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  <c r="AW973" s="36"/>
      <c r="AX973" s="36"/>
      <c r="AY973" s="953"/>
      <c r="AZ973" s="36"/>
      <c r="BA973" s="36"/>
      <c r="BB973" s="36"/>
      <c r="BC973" s="36"/>
      <c r="BD973" s="36"/>
      <c r="BF973">
        <f>ROWS($U$46:U973)</f>
        <v>928</v>
      </c>
      <c r="BG973" t="str">
        <f t="shared" si="219"/>
        <v/>
      </c>
    </row>
    <row r="974" spans="15:59" ht="15" customHeight="1" x14ac:dyDescent="0.35">
      <c r="O974" s="330">
        <v>3</v>
      </c>
      <c r="P974" s="36">
        <v>1037276</v>
      </c>
      <c r="Q974" s="36">
        <v>9</v>
      </c>
      <c r="R974" s="36"/>
      <c r="S974" s="553" t="s">
        <v>1126</v>
      </c>
      <c r="T974" s="36" t="s">
        <v>1481</v>
      </c>
      <c r="U974" s="36">
        <v>1094728</v>
      </c>
      <c r="V974" s="165" t="s">
        <v>89</v>
      </c>
      <c r="W974" s="36">
        <v>4</v>
      </c>
      <c r="X974" s="36">
        <v>1</v>
      </c>
      <c r="Y974" s="36">
        <v>1</v>
      </c>
      <c r="Z974" s="36">
        <v>1</v>
      </c>
      <c r="AA974" s="36">
        <v>1</v>
      </c>
      <c r="AB974" s="36">
        <v>1</v>
      </c>
      <c r="AC974" s="36">
        <v>1</v>
      </c>
      <c r="AD974" s="36">
        <v>1</v>
      </c>
      <c r="AE974" s="36">
        <v>1</v>
      </c>
      <c r="AF974" s="36">
        <v>1</v>
      </c>
      <c r="AG974" s="36">
        <v>1</v>
      </c>
      <c r="AH974" s="36">
        <v>1</v>
      </c>
      <c r="AI974" s="36">
        <v>1</v>
      </c>
      <c r="AJ974" s="36">
        <v>2</v>
      </c>
      <c r="AK974" s="36"/>
      <c r="AL974" s="36"/>
      <c r="AM974" s="36">
        <v>3</v>
      </c>
      <c r="AN974" s="36">
        <v>3</v>
      </c>
      <c r="AO974" s="36">
        <v>3</v>
      </c>
      <c r="AP974" s="36"/>
      <c r="AQ974" s="36"/>
      <c r="AR974" s="36"/>
      <c r="AS974" s="36"/>
      <c r="AT974" s="36"/>
      <c r="AU974" s="36"/>
      <c r="AV974" s="36"/>
      <c r="AW974" s="36"/>
      <c r="AX974" s="36"/>
      <c r="AY974" s="953"/>
      <c r="AZ974" s="36"/>
      <c r="BA974" s="36"/>
      <c r="BB974" s="36"/>
      <c r="BC974" s="36"/>
      <c r="BD974" s="36"/>
      <c r="BF974">
        <f>ROWS($U$46:U974)</f>
        <v>929</v>
      </c>
      <c r="BG974" t="str">
        <f t="shared" si="219"/>
        <v/>
      </c>
    </row>
    <row r="975" spans="15:59" ht="15" customHeight="1" x14ac:dyDescent="0.35">
      <c r="O975" s="330">
        <v>4</v>
      </c>
      <c r="P975" s="36">
        <v>647436</v>
      </c>
      <c r="Q975" s="36">
        <v>3</v>
      </c>
      <c r="R975" s="36"/>
      <c r="S975" s="553" t="s">
        <v>1126</v>
      </c>
      <c r="T975" s="36" t="s">
        <v>1481</v>
      </c>
      <c r="U975" s="36">
        <v>1094728</v>
      </c>
      <c r="V975" s="165" t="s">
        <v>90</v>
      </c>
      <c r="W975" s="36">
        <v>1</v>
      </c>
      <c r="X975" s="36">
        <v>1</v>
      </c>
      <c r="Y975" s="36">
        <v>1</v>
      </c>
      <c r="Z975" s="36">
        <v>1</v>
      </c>
      <c r="AA975" s="36">
        <v>1</v>
      </c>
      <c r="AB975" s="36">
        <v>1</v>
      </c>
      <c r="AC975" s="36">
        <v>1</v>
      </c>
      <c r="AD975" s="36">
        <v>1</v>
      </c>
      <c r="AE975" s="36">
        <v>2</v>
      </c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  <c r="AW975" s="36"/>
      <c r="AX975" s="36"/>
      <c r="AY975" s="953"/>
      <c r="AZ975" s="36"/>
      <c r="BA975" s="36"/>
      <c r="BB975" s="36"/>
      <c r="BC975" s="36"/>
      <c r="BD975" s="36"/>
      <c r="BF975">
        <f>ROWS($U$46:U975)</f>
        <v>930</v>
      </c>
      <c r="BG975" t="str">
        <f t="shared" si="219"/>
        <v/>
      </c>
    </row>
    <row r="976" spans="15:59" ht="15" customHeight="1" x14ac:dyDescent="0.35">
      <c r="O976" s="330"/>
      <c r="P976" s="36"/>
      <c r="Q976" s="36"/>
      <c r="R976" s="36"/>
      <c r="S976" s="553" t="s">
        <v>1126</v>
      </c>
      <c r="T976" s="36" t="s">
        <v>1481</v>
      </c>
      <c r="U976" s="36">
        <v>1094728</v>
      </c>
      <c r="V976" s="165" t="s">
        <v>91</v>
      </c>
      <c r="W976" s="36">
        <v>4</v>
      </c>
      <c r="X976" s="36">
        <v>1</v>
      </c>
      <c r="Y976" s="36">
        <v>1</v>
      </c>
      <c r="Z976" s="36">
        <v>1</v>
      </c>
      <c r="AA976" s="36">
        <v>1</v>
      </c>
      <c r="AB976" s="36">
        <v>1</v>
      </c>
      <c r="AC976" s="36">
        <v>1</v>
      </c>
      <c r="AD976" s="36">
        <v>1</v>
      </c>
      <c r="AE976" s="36">
        <v>1</v>
      </c>
      <c r="AF976" s="36">
        <v>1</v>
      </c>
      <c r="AG976" s="36">
        <v>1</v>
      </c>
      <c r="AH976" s="36">
        <v>1</v>
      </c>
      <c r="AI976" s="36">
        <v>1</v>
      </c>
      <c r="AJ976" s="36">
        <v>2</v>
      </c>
      <c r="AK976" s="36">
        <v>2</v>
      </c>
      <c r="AL976" s="36"/>
      <c r="AM976" s="36">
        <v>3</v>
      </c>
      <c r="AN976" s="36">
        <v>3</v>
      </c>
      <c r="AO976" s="36">
        <v>3</v>
      </c>
      <c r="AP976" s="36"/>
      <c r="AQ976" s="36"/>
      <c r="AR976" s="36"/>
      <c r="AS976" s="36"/>
      <c r="AT976" s="36"/>
      <c r="AU976" s="36"/>
      <c r="AV976" s="36"/>
      <c r="AW976" s="36"/>
      <c r="AX976" s="36"/>
      <c r="AY976" s="953"/>
      <c r="AZ976" s="36"/>
      <c r="BA976" s="36"/>
      <c r="BB976" s="36"/>
      <c r="BC976" s="36"/>
      <c r="BD976" s="36"/>
      <c r="BF976">
        <f>ROWS($U$46:U976)</f>
        <v>931</v>
      </c>
      <c r="BG976" t="str">
        <f t="shared" si="219"/>
        <v/>
      </c>
    </row>
    <row r="977" spans="9:59" ht="15" customHeight="1" x14ac:dyDescent="0.35">
      <c r="O977" s="330"/>
      <c r="P977" s="36"/>
      <c r="Q977" s="36"/>
      <c r="R977" s="36"/>
      <c r="S977" s="553" t="s">
        <v>1126</v>
      </c>
      <c r="T977" s="36" t="s">
        <v>1481</v>
      </c>
      <c r="U977" s="36">
        <v>1094728</v>
      </c>
      <c r="V977" s="165" t="s">
        <v>92</v>
      </c>
      <c r="W977" s="36">
        <v>1</v>
      </c>
      <c r="X977" s="36">
        <v>1</v>
      </c>
      <c r="Y977" s="36">
        <v>1</v>
      </c>
      <c r="Z977" s="36">
        <v>1</v>
      </c>
      <c r="AA977" s="36">
        <v>1</v>
      </c>
      <c r="AB977" s="36">
        <v>1</v>
      </c>
      <c r="AC977" s="36">
        <v>1</v>
      </c>
      <c r="AD977" s="36">
        <v>2</v>
      </c>
      <c r="AE977" s="36">
        <v>2</v>
      </c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953"/>
      <c r="AZ977" s="36"/>
      <c r="BA977" s="36"/>
      <c r="BB977" s="36"/>
      <c r="BC977" s="36"/>
      <c r="BD977" s="36"/>
      <c r="BF977">
        <f>ROWS($U$46:U977)</f>
        <v>932</v>
      </c>
      <c r="BG977" t="str">
        <f t="shared" si="219"/>
        <v/>
      </c>
    </row>
    <row r="978" spans="9:59" ht="15" customHeight="1" thickBot="1" x14ac:dyDescent="0.4">
      <c r="I978" t="s">
        <v>1486</v>
      </c>
      <c r="O978" s="331"/>
      <c r="P978" s="328"/>
      <c r="Q978" s="328"/>
      <c r="R978" s="328"/>
      <c r="S978" s="554" t="s">
        <v>1126</v>
      </c>
      <c r="T978" s="328" t="s">
        <v>1481</v>
      </c>
      <c r="U978" s="328">
        <v>1094728</v>
      </c>
      <c r="V978" s="327" t="s">
        <v>111</v>
      </c>
      <c r="W978" s="328">
        <v>1</v>
      </c>
      <c r="X978" s="328">
        <v>1</v>
      </c>
      <c r="Y978" s="328">
        <v>1</v>
      </c>
      <c r="Z978" s="328">
        <v>1</v>
      </c>
      <c r="AA978" s="328">
        <v>1</v>
      </c>
      <c r="AB978" s="328">
        <v>1</v>
      </c>
      <c r="AC978" s="328">
        <v>1</v>
      </c>
      <c r="AD978" s="328">
        <v>2</v>
      </c>
      <c r="AE978" s="328">
        <v>2</v>
      </c>
      <c r="AF978" s="328"/>
      <c r="AG978" s="328"/>
      <c r="AH978" s="328"/>
      <c r="AI978" s="328"/>
      <c r="AJ978" s="328"/>
      <c r="AK978" s="328"/>
      <c r="AL978" s="328"/>
      <c r="AM978" s="328"/>
      <c r="AN978" s="328"/>
      <c r="AO978" s="328"/>
      <c r="AP978" s="328"/>
      <c r="AQ978" s="328"/>
      <c r="AR978" s="328"/>
      <c r="AS978" s="328"/>
      <c r="AT978" s="328"/>
      <c r="AU978" s="328"/>
      <c r="AV978" s="328"/>
      <c r="AW978" s="328"/>
      <c r="AX978" s="328"/>
      <c r="AY978" s="954"/>
      <c r="AZ978" s="36"/>
      <c r="BA978" s="36"/>
      <c r="BB978" s="36"/>
      <c r="BC978" s="36"/>
      <c r="BD978" s="36"/>
      <c r="BF978">
        <f>ROWS($U$46:U978)</f>
        <v>933</v>
      </c>
      <c r="BG978" t="str">
        <f t="shared" si="219"/>
        <v/>
      </c>
    </row>
    <row r="979" spans="9:59" ht="15" customHeight="1" x14ac:dyDescent="0.35">
      <c r="I979">
        <v>2</v>
      </c>
      <c r="J979">
        <v>2</v>
      </c>
      <c r="K979">
        <v>2</v>
      </c>
      <c r="L979" s="10">
        <v>2</v>
      </c>
      <c r="M979">
        <v>2</v>
      </c>
      <c r="O979" s="329">
        <v>1</v>
      </c>
      <c r="P979" s="320">
        <v>1130200</v>
      </c>
      <c r="Q979" s="320">
        <v>78</v>
      </c>
      <c r="R979" s="320"/>
      <c r="S979" s="320" t="s">
        <v>1482</v>
      </c>
      <c r="T979" s="320" t="s">
        <v>1483</v>
      </c>
      <c r="U979" s="320">
        <v>1108207</v>
      </c>
      <c r="V979" s="319" t="s">
        <v>87</v>
      </c>
      <c r="W979" s="320">
        <v>1</v>
      </c>
      <c r="X979" s="320">
        <v>1</v>
      </c>
      <c r="Y979" s="320">
        <v>1</v>
      </c>
      <c r="Z979" s="320">
        <v>1</v>
      </c>
      <c r="AA979" s="320">
        <v>1</v>
      </c>
      <c r="AB979" s="320">
        <v>1</v>
      </c>
      <c r="AC979" s="320">
        <v>1</v>
      </c>
      <c r="AD979" s="320">
        <v>1</v>
      </c>
      <c r="AE979" s="320">
        <v>5</v>
      </c>
      <c r="AF979" s="320">
        <v>5</v>
      </c>
      <c r="AG979" s="320">
        <v>5</v>
      </c>
      <c r="AH979" s="320">
        <v>1</v>
      </c>
      <c r="AI979" s="320">
        <v>1</v>
      </c>
      <c r="AJ979" s="320">
        <v>1</v>
      </c>
      <c r="AK979" s="320">
        <v>1</v>
      </c>
      <c r="AL979" s="320">
        <v>1</v>
      </c>
      <c r="AM979" s="320">
        <v>6</v>
      </c>
      <c r="AN979" s="320">
        <v>3</v>
      </c>
      <c r="AO979" s="320">
        <v>3</v>
      </c>
      <c r="AP979" s="320">
        <v>3</v>
      </c>
      <c r="AQ979" s="320">
        <v>3</v>
      </c>
      <c r="AR979" s="320">
        <v>3</v>
      </c>
      <c r="AS979" s="320">
        <v>3</v>
      </c>
      <c r="AT979" s="320">
        <v>6</v>
      </c>
      <c r="AU979" s="320"/>
      <c r="AV979" s="320">
        <v>2</v>
      </c>
      <c r="AW979" s="320">
        <v>2</v>
      </c>
      <c r="AX979" s="320">
        <v>2</v>
      </c>
      <c r="AY979" s="952">
        <v>2</v>
      </c>
      <c r="AZ979" s="36">
        <v>2</v>
      </c>
      <c r="BA979" s="36">
        <v>2</v>
      </c>
      <c r="BB979" s="36">
        <v>2</v>
      </c>
      <c r="BC979" s="36">
        <v>4</v>
      </c>
      <c r="BD979" s="36">
        <v>4</v>
      </c>
      <c r="BE979">
        <v>4</v>
      </c>
      <c r="BF979">
        <f>ROWS($U$46:U979)</f>
        <v>934</v>
      </c>
      <c r="BG979" t="str">
        <f t="shared" si="219"/>
        <v/>
      </c>
    </row>
    <row r="980" spans="9:59" ht="15" customHeight="1" x14ac:dyDescent="0.35">
      <c r="O980" s="330">
        <v>2</v>
      </c>
      <c r="P980" s="36">
        <v>179734</v>
      </c>
      <c r="Q980" s="36">
        <v>75</v>
      </c>
      <c r="R980" s="36"/>
      <c r="S980" s="36" t="s">
        <v>1482</v>
      </c>
      <c r="T980" s="36" t="s">
        <v>1483</v>
      </c>
      <c r="U980" s="36">
        <v>1108207</v>
      </c>
      <c r="V980" s="165" t="s">
        <v>88</v>
      </c>
      <c r="W980" s="36">
        <v>1</v>
      </c>
      <c r="X980" s="36">
        <v>1</v>
      </c>
      <c r="Y980" s="36">
        <v>1</v>
      </c>
      <c r="Z980" s="36">
        <v>5</v>
      </c>
      <c r="AA980" s="36">
        <v>5</v>
      </c>
      <c r="AB980" s="36">
        <v>5</v>
      </c>
      <c r="AC980" s="36">
        <v>1</v>
      </c>
      <c r="AD980" s="36">
        <v>1</v>
      </c>
      <c r="AE980" s="36">
        <v>1</v>
      </c>
      <c r="AF980" s="36">
        <v>1</v>
      </c>
      <c r="AG980" s="36">
        <v>6</v>
      </c>
      <c r="AH980" s="36">
        <v>3</v>
      </c>
      <c r="AI980" s="36">
        <v>3</v>
      </c>
      <c r="AJ980" s="36">
        <v>3</v>
      </c>
      <c r="AK980" s="36">
        <v>3</v>
      </c>
      <c r="AL980" s="36">
        <v>3</v>
      </c>
      <c r="AM980" s="36">
        <v>3</v>
      </c>
      <c r="AN980" s="36"/>
      <c r="AO980" s="36"/>
      <c r="AP980" s="36"/>
      <c r="AQ980" s="36"/>
      <c r="AR980" s="36"/>
      <c r="AS980" s="36"/>
      <c r="AT980" s="36"/>
      <c r="AU980" s="36"/>
      <c r="AV980" s="36">
        <v>2</v>
      </c>
      <c r="AW980" s="36">
        <v>2</v>
      </c>
      <c r="AX980" s="36">
        <v>2</v>
      </c>
      <c r="AY980" s="953">
        <v>4</v>
      </c>
      <c r="AZ980" s="36">
        <v>4</v>
      </c>
      <c r="BA980" s="36">
        <v>4</v>
      </c>
      <c r="BB980" s="36">
        <v>2</v>
      </c>
      <c r="BC980" s="36">
        <v>2</v>
      </c>
      <c r="BD980" s="36">
        <v>2</v>
      </c>
      <c r="BE980">
        <v>2</v>
      </c>
      <c r="BF980">
        <f>ROWS($U$46:U980)</f>
        <v>935</v>
      </c>
      <c r="BG980" t="str">
        <f t="shared" si="219"/>
        <v/>
      </c>
    </row>
    <row r="981" spans="9:59" ht="15" customHeight="1" x14ac:dyDescent="0.35">
      <c r="O981" s="330">
        <v>3</v>
      </c>
      <c r="P981" s="36">
        <v>410851</v>
      </c>
      <c r="Q981" s="36">
        <v>54</v>
      </c>
      <c r="R981" s="36"/>
      <c r="S981" s="36" t="s">
        <v>1482</v>
      </c>
      <c r="T981" s="36" t="s">
        <v>1483</v>
      </c>
      <c r="U981" s="36">
        <v>1108207</v>
      </c>
      <c r="V981" s="165" t="s">
        <v>89</v>
      </c>
      <c r="W981" s="36">
        <v>1</v>
      </c>
      <c r="X981" s="36">
        <v>1</v>
      </c>
      <c r="Y981" s="36">
        <v>5</v>
      </c>
      <c r="Z981" s="36">
        <v>5</v>
      </c>
      <c r="AA981" s="36">
        <v>5</v>
      </c>
      <c r="AB981" s="36">
        <v>1</v>
      </c>
      <c r="AC981" s="36">
        <v>1</v>
      </c>
      <c r="AD981" s="36">
        <v>1</v>
      </c>
      <c r="AE981" s="36">
        <v>1</v>
      </c>
      <c r="AF981" s="36">
        <v>6</v>
      </c>
      <c r="AG981" s="36">
        <v>3</v>
      </c>
      <c r="AH981" s="36">
        <v>3</v>
      </c>
      <c r="AI981" s="36">
        <v>3</v>
      </c>
      <c r="AJ981" s="36">
        <v>3</v>
      </c>
      <c r="AK981" s="36">
        <v>3</v>
      </c>
      <c r="AL981" s="36">
        <v>3</v>
      </c>
      <c r="AM981" s="36">
        <v>6</v>
      </c>
      <c r="AN981" s="36"/>
      <c r="AO981" s="36"/>
      <c r="AP981" s="36"/>
      <c r="AQ981" s="36"/>
      <c r="AR981" s="36"/>
      <c r="AS981" s="36"/>
      <c r="AT981" s="36"/>
      <c r="AU981" s="36"/>
      <c r="AV981" s="36">
        <v>2</v>
      </c>
      <c r="AW981" s="36">
        <v>2</v>
      </c>
      <c r="AX981" s="36">
        <v>4</v>
      </c>
      <c r="AY981" s="953">
        <v>4</v>
      </c>
      <c r="AZ981" s="36">
        <v>4</v>
      </c>
      <c r="BA981" s="36">
        <v>2</v>
      </c>
      <c r="BB981" s="36">
        <v>2</v>
      </c>
      <c r="BC981" s="36">
        <v>2</v>
      </c>
      <c r="BD981" s="36">
        <v>2</v>
      </c>
      <c r="BF981">
        <f>ROWS($U$46:U981)</f>
        <v>936</v>
      </c>
      <c r="BG981" t="str">
        <f t="shared" si="219"/>
        <v/>
      </c>
    </row>
    <row r="982" spans="9:59" ht="15" customHeight="1" x14ac:dyDescent="0.35">
      <c r="I982">
        <v>2</v>
      </c>
      <c r="J982">
        <v>2</v>
      </c>
      <c r="K982">
        <v>2</v>
      </c>
      <c r="L982" s="10">
        <v>2</v>
      </c>
      <c r="O982" s="330">
        <v>4</v>
      </c>
      <c r="P982" s="36">
        <v>983152</v>
      </c>
      <c r="Q982" s="36">
        <v>27</v>
      </c>
      <c r="R982" s="36"/>
      <c r="S982" s="36" t="s">
        <v>1482</v>
      </c>
      <c r="T982" s="36" t="s">
        <v>1483</v>
      </c>
      <c r="U982" s="36">
        <v>1108207</v>
      </c>
      <c r="V982" s="165" t="s">
        <v>90</v>
      </c>
      <c r="W982" s="36">
        <v>1</v>
      </c>
      <c r="X982" s="36">
        <v>1</v>
      </c>
      <c r="Y982" s="36">
        <v>1</v>
      </c>
      <c r="Z982" s="36">
        <v>1</v>
      </c>
      <c r="AA982" s="36">
        <v>1</v>
      </c>
      <c r="AB982" s="36">
        <v>1</v>
      </c>
      <c r="AC982" s="36">
        <v>1</v>
      </c>
      <c r="AD982" s="36">
        <v>1</v>
      </c>
      <c r="AE982" s="36">
        <v>5</v>
      </c>
      <c r="AF982" s="36">
        <v>5</v>
      </c>
      <c r="AG982" s="36">
        <v>5</v>
      </c>
      <c r="AH982" s="36">
        <v>1</v>
      </c>
      <c r="AI982" s="36">
        <v>1</v>
      </c>
      <c r="AJ982" s="36">
        <v>1</v>
      </c>
      <c r="AK982" s="36">
        <v>1</v>
      </c>
      <c r="AL982" s="36">
        <v>6</v>
      </c>
      <c r="AM982" s="36">
        <v>3</v>
      </c>
      <c r="AN982" s="36">
        <v>3</v>
      </c>
      <c r="AO982" s="36">
        <v>3</v>
      </c>
      <c r="AP982" s="36">
        <v>3</v>
      </c>
      <c r="AQ982" s="36">
        <v>3</v>
      </c>
      <c r="AR982" s="36">
        <v>3</v>
      </c>
      <c r="AS982" s="36">
        <v>6</v>
      </c>
      <c r="AT982" s="36"/>
      <c r="AU982" s="36"/>
      <c r="AV982" s="36">
        <v>2</v>
      </c>
      <c r="AW982" s="36">
        <v>2</v>
      </c>
      <c r="AX982" s="36">
        <v>2</v>
      </c>
      <c r="AY982" s="953">
        <v>2</v>
      </c>
      <c r="AZ982" s="36">
        <v>2</v>
      </c>
      <c r="BA982" s="36">
        <v>2</v>
      </c>
      <c r="BB982" s="36">
        <v>2</v>
      </c>
      <c r="BC982" s="36">
        <v>4</v>
      </c>
      <c r="BD982" s="36">
        <v>4</v>
      </c>
      <c r="BE982">
        <v>4</v>
      </c>
      <c r="BF982">
        <f>ROWS($U$46:U982)</f>
        <v>937</v>
      </c>
      <c r="BG982" t="str">
        <f t="shared" si="219"/>
        <v/>
      </c>
    </row>
    <row r="983" spans="9:59" ht="15" customHeight="1" x14ac:dyDescent="0.35">
      <c r="O983" s="330">
        <v>5</v>
      </c>
      <c r="P983" s="36">
        <v>1039064</v>
      </c>
      <c r="Q983" s="36">
        <v>27</v>
      </c>
      <c r="R983" s="36"/>
      <c r="S983" s="36" t="s">
        <v>1482</v>
      </c>
      <c r="T983" s="36" t="s">
        <v>1483</v>
      </c>
      <c r="U983" s="36">
        <v>1108207</v>
      </c>
      <c r="V983" s="165" t="s">
        <v>91</v>
      </c>
      <c r="W983" s="36">
        <v>1</v>
      </c>
      <c r="X983" s="36">
        <v>1</v>
      </c>
      <c r="Y983" s="36">
        <v>1</v>
      </c>
      <c r="Z983" s="36">
        <v>5</v>
      </c>
      <c r="AA983" s="36">
        <v>5</v>
      </c>
      <c r="AB983" s="36">
        <v>5</v>
      </c>
      <c r="AC983" s="36">
        <v>1</v>
      </c>
      <c r="AD983" s="36">
        <v>1</v>
      </c>
      <c r="AE983" s="36">
        <v>1</v>
      </c>
      <c r="AF983" s="36">
        <v>1</v>
      </c>
      <c r="AG983" s="36">
        <v>6</v>
      </c>
      <c r="AH983" s="36">
        <v>3</v>
      </c>
      <c r="AI983" s="36">
        <v>3</v>
      </c>
      <c r="AJ983" s="36">
        <v>3</v>
      </c>
      <c r="AK983" s="36">
        <v>3</v>
      </c>
      <c r="AL983" s="36">
        <v>3</v>
      </c>
      <c r="AM983" s="36">
        <v>3</v>
      </c>
      <c r="AN983" s="36">
        <v>6</v>
      </c>
      <c r="AO983" s="36"/>
      <c r="AP983" s="36"/>
      <c r="AQ983" s="36"/>
      <c r="AR983" s="36"/>
      <c r="AS983" s="36"/>
      <c r="AT983" s="36"/>
      <c r="AU983" s="36"/>
      <c r="AV983" s="36">
        <v>2</v>
      </c>
      <c r="AW983" s="36">
        <v>2</v>
      </c>
      <c r="AX983" s="36">
        <v>2</v>
      </c>
      <c r="AY983" s="953">
        <v>4</v>
      </c>
      <c r="AZ983" s="36">
        <v>4</v>
      </c>
      <c r="BA983" s="36">
        <v>4</v>
      </c>
      <c r="BB983" s="36">
        <v>2</v>
      </c>
      <c r="BC983" s="36">
        <v>2</v>
      </c>
      <c r="BD983" s="36">
        <v>2</v>
      </c>
      <c r="BE983">
        <v>2</v>
      </c>
      <c r="BF983">
        <f>ROWS($U$46:U983)</f>
        <v>938</v>
      </c>
      <c r="BG983" t="str">
        <f t="shared" si="219"/>
        <v/>
      </c>
    </row>
    <row r="984" spans="9:59" ht="15" customHeight="1" x14ac:dyDescent="0.35">
      <c r="O984" s="330">
        <v>6</v>
      </c>
      <c r="P984" s="36">
        <v>418525</v>
      </c>
      <c r="Q984" s="36">
        <v>18</v>
      </c>
      <c r="R984" s="36"/>
      <c r="S984" s="36" t="s">
        <v>1482</v>
      </c>
      <c r="T984" s="36" t="s">
        <v>1483</v>
      </c>
      <c r="U984" s="36">
        <v>1108207</v>
      </c>
      <c r="V984" s="165" t="s">
        <v>92</v>
      </c>
      <c r="W984" s="36">
        <v>1</v>
      </c>
      <c r="X984" s="36">
        <v>1</v>
      </c>
      <c r="Y984" s="36">
        <v>5</v>
      </c>
      <c r="Z984" s="36">
        <v>5</v>
      </c>
      <c r="AA984" s="36">
        <v>5</v>
      </c>
      <c r="AB984" s="36">
        <v>1</v>
      </c>
      <c r="AC984" s="36">
        <v>1</v>
      </c>
      <c r="AD984" s="36">
        <v>1</v>
      </c>
      <c r="AE984" s="36">
        <v>1</v>
      </c>
      <c r="AF984" s="36">
        <v>6</v>
      </c>
      <c r="AG984" s="36">
        <v>3</v>
      </c>
      <c r="AH984" s="36">
        <v>3</v>
      </c>
      <c r="AI984" s="36">
        <v>3</v>
      </c>
      <c r="AJ984" s="36">
        <v>3</v>
      </c>
      <c r="AK984" s="36">
        <v>3</v>
      </c>
      <c r="AL984" s="36">
        <v>3</v>
      </c>
      <c r="AM984" s="36">
        <v>6</v>
      </c>
      <c r="AN984" s="36"/>
      <c r="AO984" s="36"/>
      <c r="AP984" s="36"/>
      <c r="AQ984" s="36"/>
      <c r="AR984" s="36"/>
      <c r="AS984" s="36"/>
      <c r="AT984" s="36"/>
      <c r="AU984" s="36"/>
      <c r="AV984" s="36">
        <v>2</v>
      </c>
      <c r="AW984" s="36">
        <v>2</v>
      </c>
      <c r="AX984" s="36">
        <v>4</v>
      </c>
      <c r="AY984" s="953">
        <v>4</v>
      </c>
      <c r="AZ984" s="36">
        <v>4</v>
      </c>
      <c r="BA984" s="36">
        <v>2</v>
      </c>
      <c r="BB984" s="36">
        <v>2</v>
      </c>
      <c r="BC984" s="36">
        <v>2</v>
      </c>
      <c r="BD984" s="36">
        <v>2</v>
      </c>
      <c r="BF984">
        <f>ROWS($U$46:U984)</f>
        <v>939</v>
      </c>
      <c r="BG984" t="str">
        <f t="shared" si="219"/>
        <v/>
      </c>
    </row>
    <row r="985" spans="9:59" ht="15" customHeight="1" x14ac:dyDescent="0.35">
      <c r="I985">
        <v>2</v>
      </c>
      <c r="J985">
        <v>2</v>
      </c>
      <c r="K985">
        <v>2</v>
      </c>
      <c r="L985" s="10">
        <v>2</v>
      </c>
      <c r="O985" s="330"/>
      <c r="P985" s="36"/>
      <c r="Q985" s="36"/>
      <c r="R985" s="36"/>
      <c r="S985" s="36" t="s">
        <v>1482</v>
      </c>
      <c r="T985" s="36" t="s">
        <v>1483</v>
      </c>
      <c r="U985" s="36">
        <v>1108207</v>
      </c>
      <c r="V985" s="165" t="s">
        <v>111</v>
      </c>
      <c r="W985" s="36">
        <v>1</v>
      </c>
      <c r="X985" s="36">
        <v>1</v>
      </c>
      <c r="Y985" s="36">
        <v>1</v>
      </c>
      <c r="Z985" s="36">
        <v>1</v>
      </c>
      <c r="AA985" s="36">
        <v>1</v>
      </c>
      <c r="AB985" s="36">
        <v>1</v>
      </c>
      <c r="AC985" s="36">
        <v>1</v>
      </c>
      <c r="AD985" s="36">
        <v>1</v>
      </c>
      <c r="AE985" s="36">
        <v>5</v>
      </c>
      <c r="AF985" s="36">
        <v>5</v>
      </c>
      <c r="AG985" s="36">
        <v>5</v>
      </c>
      <c r="AH985" s="36">
        <v>1</v>
      </c>
      <c r="AI985" s="36">
        <v>1</v>
      </c>
      <c r="AJ985" s="36">
        <v>1</v>
      </c>
      <c r="AK985" s="36">
        <v>1</v>
      </c>
      <c r="AL985" s="36">
        <v>6</v>
      </c>
      <c r="AM985" s="36">
        <v>3</v>
      </c>
      <c r="AN985" s="36">
        <v>3</v>
      </c>
      <c r="AO985" s="36">
        <v>3</v>
      </c>
      <c r="AP985" s="36">
        <v>3</v>
      </c>
      <c r="AQ985" s="36">
        <v>3</v>
      </c>
      <c r="AR985" s="36">
        <v>3</v>
      </c>
      <c r="AS985" s="36">
        <v>6</v>
      </c>
      <c r="AT985" s="36"/>
      <c r="AU985" s="36"/>
      <c r="AV985" s="36">
        <v>2</v>
      </c>
      <c r="AW985" s="36">
        <v>2</v>
      </c>
      <c r="AX985" s="36">
        <v>2</v>
      </c>
      <c r="AY985" s="953">
        <v>2</v>
      </c>
      <c r="AZ985" s="36">
        <v>2</v>
      </c>
      <c r="BA985" s="36">
        <v>2</v>
      </c>
      <c r="BB985" s="36">
        <v>2</v>
      </c>
      <c r="BC985" s="36">
        <v>4</v>
      </c>
      <c r="BD985" s="36">
        <v>4</v>
      </c>
      <c r="BE985">
        <v>4</v>
      </c>
      <c r="BF985">
        <f>ROWS($U$46:U985)</f>
        <v>940</v>
      </c>
      <c r="BG985" t="str">
        <f t="shared" si="219"/>
        <v/>
      </c>
    </row>
    <row r="986" spans="9:59" ht="15" customHeight="1" x14ac:dyDescent="0.35">
      <c r="I986">
        <v>2</v>
      </c>
      <c r="O986" s="330"/>
      <c r="P986" s="36"/>
      <c r="Q986" s="36"/>
      <c r="R986" s="36"/>
      <c r="S986" s="36" t="s">
        <v>1482</v>
      </c>
      <c r="T986" s="36" t="s">
        <v>1483</v>
      </c>
      <c r="U986" s="36">
        <v>1108207</v>
      </c>
      <c r="V986" s="165" t="s">
        <v>112</v>
      </c>
      <c r="W986" s="36">
        <v>1</v>
      </c>
      <c r="X986" s="36">
        <v>1</v>
      </c>
      <c r="Y986" s="36">
        <v>1</v>
      </c>
      <c r="Z986" s="36">
        <v>5</v>
      </c>
      <c r="AA986" s="36">
        <v>5</v>
      </c>
      <c r="AB986" s="36">
        <v>5</v>
      </c>
      <c r="AC986" s="36">
        <v>1</v>
      </c>
      <c r="AD986" s="36">
        <v>1</v>
      </c>
      <c r="AE986" s="36">
        <v>1</v>
      </c>
      <c r="AF986" s="36">
        <v>1</v>
      </c>
      <c r="AG986" s="36">
        <v>1</v>
      </c>
      <c r="AH986" s="36">
        <v>6</v>
      </c>
      <c r="AI986" s="36">
        <v>3</v>
      </c>
      <c r="AJ986" s="36">
        <v>3</v>
      </c>
      <c r="AK986" s="36">
        <v>3</v>
      </c>
      <c r="AL986" s="36">
        <v>3</v>
      </c>
      <c r="AM986" s="36">
        <v>3</v>
      </c>
      <c r="AN986" s="36">
        <v>3</v>
      </c>
      <c r="AO986" s="36">
        <v>6</v>
      </c>
      <c r="AP986" s="36"/>
      <c r="AQ986" s="36"/>
      <c r="AR986" s="36"/>
      <c r="AS986" s="36"/>
      <c r="AT986" s="36"/>
      <c r="AU986" s="36"/>
      <c r="AV986" s="36">
        <v>2</v>
      </c>
      <c r="AW986" s="36">
        <v>2</v>
      </c>
      <c r="AX986" s="36">
        <v>2</v>
      </c>
      <c r="AY986" s="953">
        <v>4</v>
      </c>
      <c r="AZ986" s="36">
        <v>4</v>
      </c>
      <c r="BA986" s="36">
        <v>4</v>
      </c>
      <c r="BB986" s="36">
        <v>2</v>
      </c>
      <c r="BC986" s="36">
        <v>2</v>
      </c>
      <c r="BD986" s="36">
        <v>2</v>
      </c>
      <c r="BE986">
        <v>2</v>
      </c>
      <c r="BF986">
        <f>ROWS($U$46:U986)</f>
        <v>941</v>
      </c>
      <c r="BG986" t="str">
        <f t="shared" si="219"/>
        <v/>
      </c>
    </row>
    <row r="987" spans="9:59" ht="15" customHeight="1" thickBot="1" x14ac:dyDescent="0.4">
      <c r="O987" s="331"/>
      <c r="P987" s="328"/>
      <c r="Q987" s="328"/>
      <c r="R987" s="328"/>
      <c r="S987" s="328" t="s">
        <v>1482</v>
      </c>
      <c r="T987" s="328" t="s">
        <v>1483</v>
      </c>
      <c r="U987" s="328">
        <v>1108207</v>
      </c>
      <c r="V987" s="327" t="s">
        <v>113</v>
      </c>
      <c r="W987" s="328">
        <v>1</v>
      </c>
      <c r="X987" s="328">
        <v>1</v>
      </c>
      <c r="Y987" s="328">
        <v>5</v>
      </c>
      <c r="Z987" s="328">
        <v>5</v>
      </c>
      <c r="AA987" s="328">
        <v>5</v>
      </c>
      <c r="AB987" s="328">
        <v>1</v>
      </c>
      <c r="AC987" s="328">
        <v>1</v>
      </c>
      <c r="AD987" s="328">
        <v>1</v>
      </c>
      <c r="AE987" s="328">
        <v>1</v>
      </c>
      <c r="AF987" s="328">
        <v>1</v>
      </c>
      <c r="AG987" s="328">
        <v>6</v>
      </c>
      <c r="AH987" s="328">
        <v>3</v>
      </c>
      <c r="AI987" s="328">
        <v>3</v>
      </c>
      <c r="AJ987" s="328">
        <v>3</v>
      </c>
      <c r="AK987" s="328">
        <v>3</v>
      </c>
      <c r="AL987" s="328">
        <v>3</v>
      </c>
      <c r="AM987" s="328">
        <v>3</v>
      </c>
      <c r="AN987" s="328">
        <v>6</v>
      </c>
      <c r="AO987" s="328"/>
      <c r="AP987" s="328"/>
      <c r="AQ987" s="328"/>
      <c r="AR987" s="328"/>
      <c r="AS987" s="328"/>
      <c r="AT987" s="328"/>
      <c r="AU987" s="328"/>
      <c r="AV987" s="328">
        <v>2</v>
      </c>
      <c r="AW987" s="328">
        <v>2</v>
      </c>
      <c r="AX987" s="328">
        <v>4</v>
      </c>
      <c r="AY987" s="954">
        <v>4</v>
      </c>
      <c r="AZ987" s="36">
        <v>4</v>
      </c>
      <c r="BA987" s="36">
        <v>2</v>
      </c>
      <c r="BB987" s="36">
        <v>2</v>
      </c>
      <c r="BC987" s="36">
        <v>2</v>
      </c>
      <c r="BD987" s="36">
        <v>2</v>
      </c>
      <c r="BE987">
        <v>2</v>
      </c>
      <c r="BF987">
        <f>ROWS($U$46:U987)</f>
        <v>942</v>
      </c>
      <c r="BG987" t="str">
        <f t="shared" si="219"/>
        <v/>
      </c>
    </row>
    <row r="988" spans="9:59" ht="15" customHeight="1" x14ac:dyDescent="0.35">
      <c r="O988" s="329">
        <v>1</v>
      </c>
      <c r="P988" s="320">
        <v>1100696</v>
      </c>
      <c r="Q988" s="320">
        <v>9</v>
      </c>
      <c r="R988" s="320"/>
      <c r="S988" s="552" t="s">
        <v>1319</v>
      </c>
      <c r="T988" s="320" t="s">
        <v>1464</v>
      </c>
      <c r="U988" s="320">
        <v>1149944</v>
      </c>
      <c r="V988" s="319" t="s">
        <v>87</v>
      </c>
      <c r="W988" s="320">
        <v>1</v>
      </c>
      <c r="X988" s="320">
        <v>3</v>
      </c>
      <c r="Y988" s="320">
        <v>3</v>
      </c>
      <c r="Z988" s="320">
        <v>3</v>
      </c>
      <c r="AA988" s="320">
        <v>3</v>
      </c>
      <c r="AB988" s="320">
        <v>1</v>
      </c>
      <c r="AC988" s="320">
        <v>2</v>
      </c>
      <c r="AD988" s="320"/>
      <c r="AE988" s="320"/>
      <c r="AF988" s="320"/>
      <c r="AG988" s="320"/>
      <c r="AH988" s="320"/>
      <c r="AI988" s="320"/>
      <c r="AJ988" s="320"/>
      <c r="AK988" s="320"/>
      <c r="AL988" s="320"/>
      <c r="AM988" s="320"/>
      <c r="AN988" s="320"/>
      <c r="AO988" s="320"/>
      <c r="AP988" s="320"/>
      <c r="AQ988" s="320"/>
      <c r="AR988" s="320"/>
      <c r="AS988" s="320"/>
      <c r="AT988" s="320"/>
      <c r="AU988" s="320"/>
      <c r="AV988" s="320"/>
      <c r="AW988" s="320"/>
      <c r="AX988" s="320"/>
      <c r="AY988" s="952"/>
      <c r="AZ988" s="36"/>
      <c r="BA988" s="36"/>
      <c r="BB988" s="36"/>
      <c r="BC988" s="36"/>
      <c r="BD988" s="36"/>
      <c r="BF988">
        <f>ROWS($U$46:U988)</f>
        <v>943</v>
      </c>
      <c r="BG988" t="str">
        <f t="shared" si="219"/>
        <v/>
      </c>
    </row>
    <row r="989" spans="9:59" ht="15" customHeight="1" x14ac:dyDescent="0.35">
      <c r="O989" s="330">
        <v>2</v>
      </c>
      <c r="P989" s="36">
        <v>871781</v>
      </c>
      <c r="Q989" s="36">
        <v>6</v>
      </c>
      <c r="R989" s="36"/>
      <c r="S989" s="553" t="s">
        <v>1319</v>
      </c>
      <c r="T989" s="36" t="s">
        <v>1464</v>
      </c>
      <c r="U989" s="36">
        <v>1149944</v>
      </c>
      <c r="V989" s="165" t="s">
        <v>88</v>
      </c>
      <c r="W989" s="36">
        <v>3</v>
      </c>
      <c r="X989" s="36">
        <v>3</v>
      </c>
      <c r="Y989" s="36">
        <v>1</v>
      </c>
      <c r="Z989" s="36">
        <v>2</v>
      </c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  <c r="AW989" s="36"/>
      <c r="AX989" s="36"/>
      <c r="AY989" s="953"/>
      <c r="AZ989" s="36"/>
      <c r="BA989" s="36"/>
      <c r="BB989" s="36"/>
      <c r="BC989" s="36"/>
      <c r="BD989" s="36"/>
      <c r="BF989">
        <f>ROWS($U$46:U989)</f>
        <v>944</v>
      </c>
      <c r="BG989" t="str">
        <f t="shared" si="219"/>
        <v/>
      </c>
    </row>
    <row r="990" spans="9:59" ht="15" customHeight="1" x14ac:dyDescent="0.35">
      <c r="O990" s="330">
        <v>3</v>
      </c>
      <c r="P990" s="36">
        <v>1146740</v>
      </c>
      <c r="Q990" s="36">
        <v>21</v>
      </c>
      <c r="R990" s="36"/>
      <c r="S990" s="553" t="s">
        <v>1319</v>
      </c>
      <c r="T990" s="36" t="s">
        <v>1464</v>
      </c>
      <c r="U990" s="36">
        <v>1149944</v>
      </c>
      <c r="V990" s="165" t="s">
        <v>89</v>
      </c>
      <c r="W990" s="36">
        <v>1</v>
      </c>
      <c r="X990" s="36">
        <v>3</v>
      </c>
      <c r="Y990" s="36">
        <v>3</v>
      </c>
      <c r="Z990" s="36">
        <v>3</v>
      </c>
      <c r="AA990" s="36">
        <v>1</v>
      </c>
      <c r="AB990" s="36">
        <v>2</v>
      </c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  <c r="AW990" s="36"/>
      <c r="AX990" s="36"/>
      <c r="AY990" s="953"/>
      <c r="AZ990" s="36"/>
      <c r="BA990" s="36"/>
      <c r="BB990" s="36"/>
      <c r="BC990" s="36"/>
      <c r="BD990" s="36"/>
      <c r="BF990">
        <f>ROWS($U$46:U990)</f>
        <v>945</v>
      </c>
      <c r="BG990" t="str">
        <f t="shared" si="219"/>
        <v/>
      </c>
    </row>
    <row r="991" spans="9:59" ht="15" customHeight="1" x14ac:dyDescent="0.35">
      <c r="O991" s="330"/>
      <c r="P991" s="36"/>
      <c r="Q991" s="36"/>
      <c r="R991" s="36"/>
      <c r="S991" s="553" t="s">
        <v>1319</v>
      </c>
      <c r="T991" s="36" t="s">
        <v>1464</v>
      </c>
      <c r="U991" s="36">
        <v>1149944</v>
      </c>
      <c r="V991" s="165" t="s">
        <v>90</v>
      </c>
      <c r="W991" s="36">
        <v>3</v>
      </c>
      <c r="X991" s="36">
        <v>3</v>
      </c>
      <c r="Y991" s="36">
        <v>1</v>
      </c>
      <c r="Z991" s="36">
        <v>2</v>
      </c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  <c r="AW991" s="36"/>
      <c r="AX991" s="36"/>
      <c r="AY991" s="953"/>
      <c r="AZ991" s="36"/>
      <c r="BA991" s="36"/>
      <c r="BB991" s="36"/>
      <c r="BC991" s="36"/>
      <c r="BD991" s="36"/>
      <c r="BF991">
        <f>ROWS($U$46:U991)</f>
        <v>946</v>
      </c>
      <c r="BG991" t="str">
        <f t="shared" si="219"/>
        <v/>
      </c>
    </row>
    <row r="992" spans="9:59" ht="15" customHeight="1" x14ac:dyDescent="0.35">
      <c r="O992" s="330"/>
      <c r="P992" s="36"/>
      <c r="Q992" s="36"/>
      <c r="R992" s="36"/>
      <c r="S992" t="s">
        <v>1319</v>
      </c>
      <c r="T992" s="36" t="s">
        <v>1464</v>
      </c>
      <c r="U992" s="36">
        <v>1149944</v>
      </c>
      <c r="V992" s="165" t="s">
        <v>91</v>
      </c>
      <c r="W992" s="36">
        <v>1</v>
      </c>
      <c r="X992" s="36">
        <v>3</v>
      </c>
      <c r="Y992" s="36">
        <v>3</v>
      </c>
      <c r="Z992" s="36">
        <v>3</v>
      </c>
      <c r="AA992" s="36">
        <v>1</v>
      </c>
      <c r="AB992" s="36">
        <v>2</v>
      </c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  <c r="AX992" s="36"/>
      <c r="AY992" s="953"/>
      <c r="AZ992" s="36"/>
      <c r="BA992" s="36"/>
      <c r="BB992" s="36"/>
      <c r="BC992" s="36"/>
      <c r="BD992" s="36"/>
      <c r="BF992">
        <f>ROWS($U$46:U992)</f>
        <v>947</v>
      </c>
      <c r="BG992" t="str">
        <f t="shared" si="219"/>
        <v/>
      </c>
    </row>
    <row r="993" spans="5:59" ht="15" customHeight="1" thickBot="1" x14ac:dyDescent="0.4">
      <c r="O993" s="331"/>
      <c r="P993" s="328"/>
      <c r="Q993" s="328"/>
      <c r="R993" s="328"/>
      <c r="S993" s="554" t="s">
        <v>1319</v>
      </c>
      <c r="T993" s="328" t="s">
        <v>1464</v>
      </c>
      <c r="U993" s="328">
        <v>1149944</v>
      </c>
      <c r="V993" s="327" t="s">
        <v>92</v>
      </c>
      <c r="W993" s="328">
        <v>3</v>
      </c>
      <c r="X993" s="328">
        <v>3</v>
      </c>
      <c r="Y993" s="328">
        <v>1</v>
      </c>
      <c r="Z993" s="328">
        <v>2</v>
      </c>
      <c r="AA993" s="328"/>
      <c r="AB993" s="328"/>
      <c r="AC993" s="328"/>
      <c r="AD993" s="328"/>
      <c r="AE993" s="328"/>
      <c r="AF993" s="328"/>
      <c r="AG993" s="328"/>
      <c r="AH993" s="328"/>
      <c r="AI993" s="328"/>
      <c r="AJ993" s="328"/>
      <c r="AK993" s="328"/>
      <c r="AL993" s="328"/>
      <c r="AM993" s="328"/>
      <c r="AN993" s="328"/>
      <c r="AO993" s="328"/>
      <c r="AP993" s="328"/>
      <c r="AQ993" s="328"/>
      <c r="AR993" s="328"/>
      <c r="AS993" s="328"/>
      <c r="AT993" s="328"/>
      <c r="AU993" s="328"/>
      <c r="AV993" s="328"/>
      <c r="AW993" s="328"/>
      <c r="AX993" s="328"/>
      <c r="AY993" s="954"/>
      <c r="AZ993" s="36"/>
      <c r="BA993" s="36"/>
      <c r="BB993" s="36"/>
      <c r="BC993" s="36"/>
      <c r="BD993" s="36"/>
      <c r="BF993">
        <f>ROWS($U$46:U993)</f>
        <v>948</v>
      </c>
      <c r="BG993" t="str">
        <f t="shared" si="219"/>
        <v/>
      </c>
    </row>
    <row r="994" spans="5:59" ht="15" customHeight="1" x14ac:dyDescent="0.35">
      <c r="O994" s="329">
        <v>1</v>
      </c>
      <c r="P994" s="320">
        <v>1039034</v>
      </c>
      <c r="Q994" s="320">
        <v>32</v>
      </c>
      <c r="R994" s="320"/>
      <c r="S994" s="552" t="s">
        <v>1198</v>
      </c>
      <c r="T994" s="320" t="s">
        <v>1180</v>
      </c>
      <c r="U994" s="320">
        <v>1056029</v>
      </c>
      <c r="V994" s="319" t="s">
        <v>87</v>
      </c>
      <c r="W994" s="320">
        <v>2</v>
      </c>
      <c r="X994" s="320">
        <v>2</v>
      </c>
      <c r="Y994" s="320">
        <v>2</v>
      </c>
      <c r="Z994" s="320">
        <v>2</v>
      </c>
      <c r="AA994" s="320">
        <v>1</v>
      </c>
      <c r="AB994" s="320">
        <v>1</v>
      </c>
      <c r="AC994" s="320">
        <v>1</v>
      </c>
      <c r="AD994" s="320">
        <v>1</v>
      </c>
      <c r="AE994" s="320">
        <v>4</v>
      </c>
      <c r="AF994" s="320"/>
      <c r="AG994" s="320">
        <v>3</v>
      </c>
      <c r="AH994" s="320">
        <v>3</v>
      </c>
      <c r="AI994" s="320">
        <v>3</v>
      </c>
      <c r="AJ994" s="320">
        <v>3</v>
      </c>
      <c r="AK994" s="320"/>
      <c r="AL994" s="320"/>
      <c r="AM994" s="320"/>
      <c r="AN994" s="320"/>
      <c r="AO994" s="320"/>
      <c r="AP994" s="320"/>
      <c r="AQ994" s="320"/>
      <c r="AR994" s="320"/>
      <c r="AS994" s="320"/>
      <c r="AT994" s="320"/>
      <c r="AU994" s="320"/>
      <c r="AV994" s="320"/>
      <c r="AW994" s="320"/>
      <c r="AX994" s="320"/>
      <c r="AY994" s="952"/>
      <c r="AZ994" s="36"/>
      <c r="BA994" s="36"/>
      <c r="BB994" s="36"/>
      <c r="BC994" s="36"/>
      <c r="BD994" s="36"/>
      <c r="BF994">
        <f>ROWS($U$46:U994)</f>
        <v>949</v>
      </c>
      <c r="BG994" t="str">
        <f t="shared" si="219"/>
        <v/>
      </c>
    </row>
    <row r="995" spans="5:59" ht="15" customHeight="1" x14ac:dyDescent="0.35">
      <c r="O995" s="330">
        <v>2</v>
      </c>
      <c r="P995" s="36">
        <v>1039058</v>
      </c>
      <c r="Q995" s="36">
        <v>15</v>
      </c>
      <c r="R995" s="36"/>
      <c r="S995" s="553" t="s">
        <v>1198</v>
      </c>
      <c r="T995" s="36" t="s">
        <v>1180</v>
      </c>
      <c r="U995" s="36">
        <v>1056029</v>
      </c>
      <c r="V995" s="165" t="s">
        <v>88</v>
      </c>
      <c r="W995" s="36">
        <v>2</v>
      </c>
      <c r="X995" s="36">
        <v>1</v>
      </c>
      <c r="Y995" s="36">
        <v>1</v>
      </c>
      <c r="Z995" s="36">
        <v>1</v>
      </c>
      <c r="AA995" s="36">
        <v>1</v>
      </c>
      <c r="AB995" s="36">
        <v>1</v>
      </c>
      <c r="AC995" s="36">
        <v>4</v>
      </c>
      <c r="AD995" s="36"/>
      <c r="AE995" s="36"/>
      <c r="AF995" s="36"/>
      <c r="AG995" s="36">
        <v>3</v>
      </c>
      <c r="AH995" s="36">
        <v>3</v>
      </c>
      <c r="AI995" s="36">
        <v>3</v>
      </c>
      <c r="AJ995" s="36">
        <v>3</v>
      </c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  <c r="AW995" s="36"/>
      <c r="AX995" s="36"/>
      <c r="AY995" s="953"/>
      <c r="AZ995" s="36"/>
      <c r="BA995" s="36"/>
      <c r="BB995" s="36"/>
      <c r="BC995" s="36"/>
      <c r="BD995" s="36"/>
      <c r="BF995">
        <f>ROWS($U$46:U995)</f>
        <v>950</v>
      </c>
      <c r="BG995" t="str">
        <f t="shared" si="219"/>
        <v/>
      </c>
    </row>
    <row r="996" spans="5:59" ht="15" customHeight="1" x14ac:dyDescent="0.35">
      <c r="O996" s="330">
        <v>3</v>
      </c>
      <c r="P996" s="36">
        <v>1039033</v>
      </c>
      <c r="Q996" s="36">
        <v>28</v>
      </c>
      <c r="R996" s="36"/>
      <c r="S996" s="553" t="s">
        <v>1198</v>
      </c>
      <c r="T996" s="36" t="s">
        <v>1180</v>
      </c>
      <c r="U996" s="36">
        <v>1056029</v>
      </c>
      <c r="V996" s="165" t="s">
        <v>89</v>
      </c>
      <c r="W996" s="36">
        <v>2</v>
      </c>
      <c r="X996" s="36">
        <v>2</v>
      </c>
      <c r="Y996" s="36">
        <v>2</v>
      </c>
      <c r="Z996" s="36">
        <v>1</v>
      </c>
      <c r="AA996" s="36">
        <v>1</v>
      </c>
      <c r="AB996" s="36">
        <v>1</v>
      </c>
      <c r="AC996" s="36">
        <v>1</v>
      </c>
      <c r="AD996" s="36">
        <v>1</v>
      </c>
      <c r="AE996" s="36">
        <v>4</v>
      </c>
      <c r="AF996" s="36"/>
      <c r="AG996" s="36">
        <v>3</v>
      </c>
      <c r="AH996" s="36">
        <v>3</v>
      </c>
      <c r="AI996" s="36">
        <v>3</v>
      </c>
      <c r="AJ996" s="36">
        <v>3</v>
      </c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  <c r="AW996" s="36"/>
      <c r="AX996" s="36"/>
      <c r="AY996" s="953"/>
      <c r="AZ996" s="36"/>
      <c r="BA996" s="36"/>
      <c r="BB996" s="36"/>
      <c r="BC996" s="36"/>
      <c r="BD996" s="36"/>
      <c r="BF996">
        <f>ROWS($U$46:U996)</f>
        <v>951</v>
      </c>
      <c r="BG996" t="str">
        <f t="shared" si="219"/>
        <v/>
      </c>
    </row>
    <row r="997" spans="5:59" ht="15" customHeight="1" x14ac:dyDescent="0.35">
      <c r="O997" s="330">
        <v>4</v>
      </c>
      <c r="P997" s="36">
        <v>418525</v>
      </c>
      <c r="Q997" s="36">
        <v>7</v>
      </c>
      <c r="R997" s="36"/>
      <c r="S997" s="553" t="s">
        <v>1198</v>
      </c>
      <c r="T997" s="36" t="s">
        <v>1180</v>
      </c>
      <c r="U997" s="36">
        <v>1056029</v>
      </c>
      <c r="V997" s="165" t="s">
        <v>90</v>
      </c>
      <c r="W997" s="36">
        <v>2</v>
      </c>
      <c r="X997" s="36">
        <v>1</v>
      </c>
      <c r="Y997" s="36">
        <v>1</v>
      </c>
      <c r="Z997" s="36">
        <v>1</v>
      </c>
      <c r="AA997" s="36">
        <v>1</v>
      </c>
      <c r="AB997" s="36">
        <v>1</v>
      </c>
      <c r="AC997" s="36">
        <v>4</v>
      </c>
      <c r="AD997" s="36"/>
      <c r="AE997" s="36"/>
      <c r="AF997" s="36"/>
      <c r="AG997" s="36">
        <v>3</v>
      </c>
      <c r="AH997" s="36">
        <v>3</v>
      </c>
      <c r="AI997" s="36">
        <v>3</v>
      </c>
      <c r="AJ997" s="36">
        <v>3</v>
      </c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  <c r="AV997" s="36"/>
      <c r="AW997" s="36"/>
      <c r="AX997" s="36"/>
      <c r="AY997" s="953"/>
      <c r="AZ997" s="36"/>
      <c r="BA997" s="36"/>
      <c r="BB997" s="36"/>
      <c r="BC997" s="36"/>
      <c r="BD997" s="36"/>
      <c r="BF997">
        <f>ROWS($U$46:U997)</f>
        <v>952</v>
      </c>
      <c r="BG997" t="str">
        <f t="shared" si="219"/>
        <v/>
      </c>
    </row>
    <row r="998" spans="5:59" ht="15" customHeight="1" x14ac:dyDescent="0.35">
      <c r="O998" s="330"/>
      <c r="P998" s="36"/>
      <c r="Q998" s="36"/>
      <c r="R998" s="36"/>
      <c r="S998" s="553" t="s">
        <v>1198</v>
      </c>
      <c r="T998" s="36" t="s">
        <v>1180</v>
      </c>
      <c r="U998" s="36">
        <v>1056029</v>
      </c>
      <c r="V998" s="165" t="s">
        <v>91</v>
      </c>
      <c r="W998" s="36">
        <v>2</v>
      </c>
      <c r="X998" s="36">
        <v>2</v>
      </c>
      <c r="Y998" s="36">
        <v>2</v>
      </c>
      <c r="Z998" s="36">
        <v>1</v>
      </c>
      <c r="AA998" s="36">
        <v>1</v>
      </c>
      <c r="AB998" s="36">
        <v>1</v>
      </c>
      <c r="AC998" s="36">
        <v>1</v>
      </c>
      <c r="AD998" s="36">
        <v>1</v>
      </c>
      <c r="AE998" s="36">
        <v>4</v>
      </c>
      <c r="AF998" s="36"/>
      <c r="AG998" s="36">
        <v>3</v>
      </c>
      <c r="AH998" s="36">
        <v>3</v>
      </c>
      <c r="AI998" s="36">
        <v>3</v>
      </c>
      <c r="AJ998" s="36">
        <v>3</v>
      </c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  <c r="AW998" s="36"/>
      <c r="AX998" s="36"/>
      <c r="AY998" s="953"/>
      <c r="AZ998" s="36"/>
      <c r="BA998" s="36"/>
      <c r="BB998" s="36"/>
      <c r="BC998" s="36"/>
      <c r="BD998" s="36"/>
      <c r="BF998">
        <f>ROWS($U$46:U998)</f>
        <v>953</v>
      </c>
      <c r="BG998" t="str">
        <f t="shared" si="219"/>
        <v/>
      </c>
    </row>
    <row r="999" spans="5:59" ht="15" customHeight="1" x14ac:dyDescent="0.35">
      <c r="O999" s="330"/>
      <c r="P999" s="36"/>
      <c r="Q999" s="36"/>
      <c r="R999" s="36"/>
      <c r="S999" s="553" t="s">
        <v>1198</v>
      </c>
      <c r="T999" s="36" t="s">
        <v>1180</v>
      </c>
      <c r="U999" s="36">
        <v>1056029</v>
      </c>
      <c r="V999" s="165" t="s">
        <v>92</v>
      </c>
      <c r="W999" s="36">
        <v>2</v>
      </c>
      <c r="X999" s="36">
        <v>2</v>
      </c>
      <c r="Y999" s="36">
        <v>1</v>
      </c>
      <c r="Z999" s="36">
        <v>1</v>
      </c>
      <c r="AA999" s="36">
        <v>1</v>
      </c>
      <c r="AB999" s="36">
        <v>1</v>
      </c>
      <c r="AC999" s="36">
        <v>4</v>
      </c>
      <c r="AD999" s="36"/>
      <c r="AE999" s="36"/>
      <c r="AF999" s="36"/>
      <c r="AG999" s="36">
        <v>3</v>
      </c>
      <c r="AH999" s="36">
        <v>3</v>
      </c>
      <c r="AI999" s="36">
        <v>3</v>
      </c>
      <c r="AJ999" s="36">
        <v>3</v>
      </c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  <c r="AW999" s="36"/>
      <c r="AX999" s="36"/>
      <c r="AY999" s="953"/>
      <c r="AZ999" s="36"/>
      <c r="BA999" s="36"/>
      <c r="BB999" s="36"/>
      <c r="BC999" s="36"/>
      <c r="BD999" s="36"/>
      <c r="BF999">
        <f>ROWS($U$46:U999)</f>
        <v>954</v>
      </c>
      <c r="BG999" t="str">
        <f t="shared" si="219"/>
        <v/>
      </c>
    </row>
    <row r="1000" spans="5:59" ht="15" customHeight="1" thickBot="1" x14ac:dyDescent="0.4">
      <c r="O1000" s="331"/>
      <c r="P1000" s="328"/>
      <c r="Q1000" s="328"/>
      <c r="R1000" s="328"/>
      <c r="S1000" s="554" t="s">
        <v>1198</v>
      </c>
      <c r="T1000" s="328" t="s">
        <v>1180</v>
      </c>
      <c r="U1000" s="328">
        <v>1056029</v>
      </c>
      <c r="V1000" s="327" t="s">
        <v>111</v>
      </c>
      <c r="W1000" s="328">
        <v>2</v>
      </c>
      <c r="X1000" s="328">
        <v>1</v>
      </c>
      <c r="Y1000" s="328">
        <v>1</v>
      </c>
      <c r="Z1000" s="328">
        <v>1</v>
      </c>
      <c r="AA1000" s="328">
        <v>1</v>
      </c>
      <c r="AB1000" s="328">
        <v>4</v>
      </c>
      <c r="AC1000" s="328"/>
      <c r="AD1000" s="328"/>
      <c r="AE1000" s="328"/>
      <c r="AF1000" s="328"/>
      <c r="AG1000" s="328">
        <v>3</v>
      </c>
      <c r="AH1000" s="328">
        <v>3</v>
      </c>
      <c r="AI1000" s="328">
        <v>3</v>
      </c>
      <c r="AJ1000" s="328">
        <v>3</v>
      </c>
      <c r="AK1000" s="328"/>
      <c r="AL1000" s="328"/>
      <c r="AM1000" s="328"/>
      <c r="AN1000" s="328"/>
      <c r="AO1000" s="328"/>
      <c r="AP1000" s="328"/>
      <c r="AQ1000" s="328"/>
      <c r="AR1000" s="328"/>
      <c r="AS1000" s="328"/>
      <c r="AT1000" s="328"/>
      <c r="AU1000" s="328"/>
      <c r="AV1000" s="328"/>
      <c r="AW1000" s="328"/>
      <c r="AX1000" s="328"/>
      <c r="AY1000" s="954"/>
      <c r="AZ1000" s="36"/>
      <c r="BA1000" s="36"/>
      <c r="BB1000" s="36"/>
      <c r="BC1000" s="36"/>
      <c r="BD1000" s="36"/>
      <c r="BF1000">
        <f>ROWS($U$46:U1000)</f>
        <v>955</v>
      </c>
      <c r="BG1000" t="str">
        <f t="shared" si="219"/>
        <v/>
      </c>
    </row>
    <row r="1001" spans="5:59" x14ac:dyDescent="0.35">
      <c r="O1001" s="329">
        <v>1</v>
      </c>
      <c r="P1001" s="320">
        <v>1145493</v>
      </c>
      <c r="Q1001" s="320">
        <v>23</v>
      </c>
      <c r="R1001" s="320"/>
      <c r="S1001" s="552" t="s">
        <v>1319</v>
      </c>
      <c r="T1001" s="320" t="s">
        <v>1372</v>
      </c>
      <c r="U1001" s="320">
        <v>1150007</v>
      </c>
      <c r="V1001" s="319" t="s">
        <v>87</v>
      </c>
      <c r="W1001" s="320">
        <v>1</v>
      </c>
      <c r="X1001" s="320">
        <v>1</v>
      </c>
      <c r="Y1001" s="320">
        <v>1</v>
      </c>
      <c r="Z1001" s="320">
        <v>1</v>
      </c>
      <c r="AA1001" s="320">
        <v>1</v>
      </c>
      <c r="AB1001" s="320">
        <v>1</v>
      </c>
      <c r="AC1001" s="320">
        <v>2</v>
      </c>
      <c r="AD1001" s="320">
        <v>2</v>
      </c>
      <c r="AE1001" s="320"/>
      <c r="AF1001" s="320"/>
      <c r="AG1001" s="320"/>
      <c r="AH1001" s="320"/>
      <c r="AI1001" s="320"/>
      <c r="AJ1001" s="320"/>
      <c r="AK1001" s="320"/>
      <c r="AL1001" s="320"/>
      <c r="AM1001" s="320"/>
      <c r="AN1001" s="320"/>
      <c r="AO1001" s="320"/>
      <c r="AP1001" s="320"/>
      <c r="AQ1001" s="320"/>
      <c r="AR1001" s="320"/>
      <c r="AS1001" s="320"/>
      <c r="AT1001" s="320"/>
      <c r="AU1001" s="320"/>
      <c r="AV1001" s="320"/>
      <c r="AW1001" s="320"/>
      <c r="AX1001" s="320"/>
      <c r="AY1001" s="952"/>
      <c r="AZ1001" s="36"/>
      <c r="BA1001" s="36"/>
      <c r="BB1001" s="36"/>
      <c r="BC1001" s="36"/>
      <c r="BD1001" s="36"/>
      <c r="BF1001">
        <f>ROWS($U$46:U1001)</f>
        <v>956</v>
      </c>
      <c r="BG1001" t="str">
        <f t="shared" si="219"/>
        <v/>
      </c>
    </row>
    <row r="1002" spans="5:59" x14ac:dyDescent="0.35">
      <c r="O1002" s="330">
        <v>2</v>
      </c>
      <c r="P1002" s="36">
        <v>418525</v>
      </c>
      <c r="Q1002" s="36">
        <v>10</v>
      </c>
      <c r="R1002" s="36"/>
      <c r="S1002" s="553" t="s">
        <v>1319</v>
      </c>
      <c r="T1002" s="36" t="s">
        <v>1372</v>
      </c>
      <c r="U1002" s="36">
        <v>1150007</v>
      </c>
      <c r="V1002" s="165" t="s">
        <v>88</v>
      </c>
      <c r="W1002" s="36">
        <v>1</v>
      </c>
      <c r="X1002" s="36">
        <v>1</v>
      </c>
      <c r="Y1002" s="36">
        <v>1</v>
      </c>
      <c r="Z1002" s="36">
        <v>2</v>
      </c>
      <c r="AA1002" s="36">
        <v>2</v>
      </c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  <c r="AV1002" s="36"/>
      <c r="AW1002" s="36"/>
      <c r="AX1002" s="36"/>
      <c r="AY1002" s="953"/>
      <c r="AZ1002" s="36"/>
      <c r="BA1002" s="36"/>
      <c r="BB1002" s="36"/>
      <c r="BC1002" s="36"/>
      <c r="BD1002" s="36"/>
      <c r="BF1002">
        <f>ROWS($U$46:U1002)</f>
        <v>957</v>
      </c>
      <c r="BG1002" t="str">
        <f t="shared" si="219"/>
        <v/>
      </c>
    </row>
    <row r="1003" spans="5:59" x14ac:dyDescent="0.35">
      <c r="N1003" t="s">
        <v>1498</v>
      </c>
      <c r="O1003" s="330"/>
      <c r="P1003" s="36"/>
      <c r="Q1003" s="36"/>
      <c r="R1003" s="36"/>
      <c r="S1003" s="553" t="s">
        <v>1319</v>
      </c>
      <c r="T1003" s="36" t="s">
        <v>1372</v>
      </c>
      <c r="U1003" s="36">
        <v>1150007</v>
      </c>
      <c r="V1003" s="165" t="s">
        <v>89</v>
      </c>
      <c r="W1003" s="36">
        <v>1</v>
      </c>
      <c r="X1003" s="36">
        <v>1</v>
      </c>
      <c r="Y1003" s="36">
        <v>1</v>
      </c>
      <c r="Z1003" s="36">
        <v>1</v>
      </c>
      <c r="AA1003" s="36">
        <v>1</v>
      </c>
      <c r="AB1003" s="36">
        <v>2</v>
      </c>
      <c r="AC1003" s="36">
        <v>2</v>
      </c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  <c r="AV1003" s="36"/>
      <c r="AW1003" s="36"/>
      <c r="AX1003" s="36"/>
      <c r="AY1003" s="953"/>
      <c r="AZ1003" s="36"/>
      <c r="BA1003" s="36"/>
      <c r="BB1003" s="36"/>
      <c r="BC1003" s="36"/>
      <c r="BD1003" s="36"/>
      <c r="BF1003">
        <f>ROWS($U$46:U1003)</f>
        <v>958</v>
      </c>
      <c r="BG1003" t="str">
        <f t="shared" si="219"/>
        <v/>
      </c>
    </row>
    <row r="1004" spans="5:59" x14ac:dyDescent="0.35">
      <c r="O1004" s="330"/>
      <c r="P1004" s="36"/>
      <c r="Q1004" s="36"/>
      <c r="R1004" s="36"/>
      <c r="S1004" s="553" t="s">
        <v>1319</v>
      </c>
      <c r="T1004" s="36" t="s">
        <v>1372</v>
      </c>
      <c r="U1004" s="36">
        <v>1150007</v>
      </c>
      <c r="V1004" s="165" t="s">
        <v>90</v>
      </c>
      <c r="W1004" s="36">
        <v>1</v>
      </c>
      <c r="X1004" s="36">
        <v>1</v>
      </c>
      <c r="Y1004" s="36">
        <v>1</v>
      </c>
      <c r="Z1004" s="36">
        <v>1</v>
      </c>
      <c r="AA1004" s="36">
        <v>1</v>
      </c>
      <c r="AB1004" s="36">
        <v>1</v>
      </c>
      <c r="AC1004" s="36">
        <v>2</v>
      </c>
      <c r="AD1004" s="36">
        <v>2</v>
      </c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  <c r="AV1004" s="36"/>
      <c r="AW1004" s="36"/>
      <c r="AX1004" s="36"/>
      <c r="AY1004" s="953"/>
      <c r="AZ1004" s="36"/>
      <c r="BA1004" s="36"/>
      <c r="BB1004" s="36"/>
      <c r="BC1004" s="36"/>
      <c r="BD1004" s="36"/>
      <c r="BF1004">
        <f>ROWS($U$46:U1004)</f>
        <v>959</v>
      </c>
      <c r="BG1004" t="str">
        <f t="shared" si="219"/>
        <v/>
      </c>
    </row>
    <row r="1005" spans="5:59" ht="15" thickBot="1" x14ac:dyDescent="0.4">
      <c r="O1005" s="331"/>
      <c r="P1005" s="328"/>
      <c r="Q1005" s="328"/>
      <c r="R1005" s="328"/>
      <c r="S1005" s="554" t="s">
        <v>1319</v>
      </c>
      <c r="T1005" s="328" t="s">
        <v>1372</v>
      </c>
      <c r="U1005" s="328">
        <v>1150007</v>
      </c>
      <c r="V1005" s="327" t="s">
        <v>91</v>
      </c>
      <c r="W1005" s="328">
        <v>1</v>
      </c>
      <c r="X1005" s="328">
        <v>1</v>
      </c>
      <c r="Y1005" s="328">
        <v>1</v>
      </c>
      <c r="Z1005" s="328">
        <v>2</v>
      </c>
      <c r="AA1005" s="328">
        <v>2</v>
      </c>
      <c r="AB1005" s="328"/>
      <c r="AC1005" s="328"/>
      <c r="AD1005" s="328"/>
      <c r="AE1005" s="328"/>
      <c r="AF1005" s="328"/>
      <c r="AG1005" s="328"/>
      <c r="AH1005" s="328"/>
      <c r="AI1005" s="328"/>
      <c r="AJ1005" s="328"/>
      <c r="AK1005" s="328"/>
      <c r="AL1005" s="328"/>
      <c r="AM1005" s="328"/>
      <c r="AN1005" s="328"/>
      <c r="AO1005" s="328"/>
      <c r="AP1005" s="328"/>
      <c r="AQ1005" s="328"/>
      <c r="AR1005" s="328"/>
      <c r="AS1005" s="328"/>
      <c r="AT1005" s="328"/>
      <c r="AU1005" s="328"/>
      <c r="AV1005" s="328"/>
      <c r="AW1005" s="328"/>
      <c r="AX1005" s="328"/>
      <c r="AY1005" s="954"/>
      <c r="AZ1005" s="36"/>
      <c r="BA1005" s="36"/>
      <c r="BB1005" s="36"/>
      <c r="BC1005" s="36"/>
      <c r="BD1005" s="36"/>
      <c r="BF1005">
        <f>ROWS($U$46:U1005)</f>
        <v>960</v>
      </c>
      <c r="BG1005" t="str">
        <f t="shared" si="219"/>
        <v/>
      </c>
    </row>
    <row r="1006" spans="5:59" x14ac:dyDescent="0.35">
      <c r="E1006" s="1132"/>
      <c r="F1006" s="1132"/>
      <c r="M1006" s="1132"/>
      <c r="N1006" s="1135"/>
      <c r="O1006" s="329">
        <v>1</v>
      </c>
      <c r="P1006" s="320">
        <v>1130198</v>
      </c>
      <c r="Q1006" s="320">
        <v>28</v>
      </c>
      <c r="R1006" s="320"/>
      <c r="S1006" s="552" t="s">
        <v>1200</v>
      </c>
      <c r="T1006" s="320" t="s">
        <v>1544</v>
      </c>
      <c r="U1006" s="320">
        <v>959209</v>
      </c>
      <c r="V1006" s="319" t="s">
        <v>87</v>
      </c>
      <c r="W1006" s="320">
        <v>2</v>
      </c>
      <c r="X1006" s="320">
        <v>2</v>
      </c>
      <c r="Y1006" s="320">
        <v>2</v>
      </c>
      <c r="Z1006" s="320">
        <v>1</v>
      </c>
      <c r="AA1006" s="320">
        <v>1</v>
      </c>
      <c r="AB1006" s="320">
        <v>1</v>
      </c>
      <c r="AC1006" s="320">
        <v>1</v>
      </c>
      <c r="AD1006" s="320">
        <v>1</v>
      </c>
      <c r="AE1006" s="320">
        <v>6</v>
      </c>
      <c r="AF1006" s="320">
        <v>4</v>
      </c>
      <c r="AG1006" s="320"/>
      <c r="AH1006" s="320">
        <v>5</v>
      </c>
      <c r="AI1006" s="320">
        <v>5</v>
      </c>
      <c r="AJ1006" s="320">
        <v>3</v>
      </c>
      <c r="AK1006" s="320">
        <v>3</v>
      </c>
      <c r="AL1006" s="320">
        <v>3</v>
      </c>
      <c r="AM1006" s="320"/>
      <c r="AN1006" s="320"/>
      <c r="AO1006" s="320"/>
      <c r="AP1006" s="320"/>
      <c r="AQ1006" s="320"/>
      <c r="AR1006" s="320"/>
      <c r="AS1006" s="320"/>
      <c r="AT1006" s="320"/>
      <c r="AU1006" s="320"/>
      <c r="AV1006" s="320"/>
      <c r="AW1006" s="320"/>
      <c r="AX1006" s="320"/>
      <c r="AY1006" s="952"/>
      <c r="AZ1006" s="36"/>
      <c r="BA1006" s="36"/>
      <c r="BB1006" s="36"/>
      <c r="BC1006" s="36"/>
      <c r="BD1006" s="36"/>
      <c r="BF1006">
        <f>ROWS($U$46:U1006)</f>
        <v>961</v>
      </c>
      <c r="BG1006" t="str">
        <f t="shared" si="219"/>
        <v/>
      </c>
    </row>
    <row r="1007" spans="5:59" x14ac:dyDescent="0.35">
      <c r="O1007" s="330">
        <v>2</v>
      </c>
      <c r="P1007" s="36">
        <v>1130197</v>
      </c>
      <c r="Q1007" s="36">
        <v>9</v>
      </c>
      <c r="R1007" s="36"/>
      <c r="S1007" s="553" t="s">
        <v>1200</v>
      </c>
      <c r="T1007" s="36" t="s">
        <v>1544</v>
      </c>
      <c r="U1007" s="36">
        <v>959209</v>
      </c>
      <c r="V1007" s="165" t="s">
        <v>88</v>
      </c>
      <c r="W1007" s="36">
        <v>1</v>
      </c>
      <c r="X1007" s="36">
        <v>1</v>
      </c>
      <c r="Y1007" s="36">
        <v>1</v>
      </c>
      <c r="Z1007" s="36">
        <v>1</v>
      </c>
      <c r="AA1007" s="36">
        <v>1</v>
      </c>
      <c r="AB1007" s="36">
        <v>6</v>
      </c>
      <c r="AC1007" s="36">
        <v>6</v>
      </c>
      <c r="AD1007" s="36"/>
      <c r="AE1007" s="36"/>
      <c r="AF1007" s="36"/>
      <c r="AG1007" s="36"/>
      <c r="AH1007" s="36">
        <v>3</v>
      </c>
      <c r="AI1007" s="36">
        <v>3</v>
      </c>
      <c r="AJ1007" s="36">
        <v>3</v>
      </c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  <c r="AV1007" s="36"/>
      <c r="AW1007" s="36"/>
      <c r="AX1007" s="36"/>
      <c r="AY1007" s="953"/>
      <c r="AZ1007" s="36"/>
      <c r="BA1007" s="36"/>
      <c r="BB1007" s="36"/>
      <c r="BC1007" s="36"/>
      <c r="BD1007" s="36"/>
      <c r="BF1007">
        <f>ROWS($U$46:U1007)</f>
        <v>962</v>
      </c>
      <c r="BG1007" t="str">
        <f t="shared" ref="BG1007:BG1070" si="220">IF(VALUE(SUBSTITUTE($B$5,"M",""))=U1007,BF1007,"")</f>
        <v/>
      </c>
    </row>
    <row r="1008" spans="5:59" x14ac:dyDescent="0.35">
      <c r="O1008" s="330">
        <v>3</v>
      </c>
      <c r="P1008" s="36">
        <v>1134752</v>
      </c>
      <c r="Q1008" s="36">
        <v>18</v>
      </c>
      <c r="R1008" s="36"/>
      <c r="S1008" s="553" t="s">
        <v>1200</v>
      </c>
      <c r="T1008" s="36" t="s">
        <v>1544</v>
      </c>
      <c r="U1008" s="36">
        <v>959209</v>
      </c>
      <c r="V1008" s="165" t="s">
        <v>89</v>
      </c>
      <c r="W1008" s="36">
        <v>2</v>
      </c>
      <c r="X1008" s="36">
        <v>2</v>
      </c>
      <c r="Y1008" s="36">
        <v>2</v>
      </c>
      <c r="Z1008" s="36">
        <v>1</v>
      </c>
      <c r="AA1008" s="36">
        <v>1</v>
      </c>
      <c r="AB1008" s="36">
        <v>1</v>
      </c>
      <c r="AC1008" s="36">
        <v>1</v>
      </c>
      <c r="AD1008" s="36">
        <v>6</v>
      </c>
      <c r="AE1008" s="36">
        <v>4</v>
      </c>
      <c r="AF1008" s="36"/>
      <c r="AG1008" s="36"/>
      <c r="AH1008" s="36">
        <v>5</v>
      </c>
      <c r="AI1008" s="36">
        <v>5</v>
      </c>
      <c r="AJ1008" s="36">
        <v>3</v>
      </c>
      <c r="AK1008" s="36">
        <v>3</v>
      </c>
      <c r="AL1008" s="36">
        <v>3</v>
      </c>
      <c r="AM1008" s="36"/>
      <c r="AN1008" s="36"/>
      <c r="AO1008" s="36"/>
      <c r="AP1008" s="36"/>
      <c r="AQ1008" s="36"/>
      <c r="AR1008" s="36"/>
      <c r="AS1008" s="36"/>
      <c r="AT1008" s="36"/>
      <c r="AU1008" s="36"/>
      <c r="AV1008" s="36"/>
      <c r="AW1008" s="36"/>
      <c r="AX1008" s="36"/>
      <c r="AY1008" s="953"/>
      <c r="AZ1008" s="36"/>
      <c r="BA1008" s="36"/>
      <c r="BB1008" s="36"/>
      <c r="BC1008" s="36"/>
      <c r="BD1008" s="36"/>
      <c r="BF1008">
        <f>ROWS($U$46:U1008)</f>
        <v>963</v>
      </c>
      <c r="BG1008" t="str">
        <f t="shared" si="220"/>
        <v/>
      </c>
    </row>
    <row r="1009" spans="15:59" x14ac:dyDescent="0.35">
      <c r="O1009" s="330">
        <v>4</v>
      </c>
      <c r="P1009" s="36">
        <v>871781</v>
      </c>
      <c r="Q1009" s="36">
        <v>3</v>
      </c>
      <c r="R1009" s="36"/>
      <c r="S1009" s="553" t="s">
        <v>1200</v>
      </c>
      <c r="T1009" s="36" t="s">
        <v>1544</v>
      </c>
      <c r="U1009" s="36">
        <v>959209</v>
      </c>
      <c r="V1009" s="165" t="s">
        <v>90</v>
      </c>
      <c r="W1009" s="36">
        <v>1</v>
      </c>
      <c r="X1009" s="36">
        <v>1</v>
      </c>
      <c r="Y1009" s="36">
        <v>1</v>
      </c>
      <c r="Z1009" s="36">
        <v>1</v>
      </c>
      <c r="AA1009" s="36">
        <v>1</v>
      </c>
      <c r="AB1009" s="36">
        <v>6</v>
      </c>
      <c r="AC1009" s="36">
        <v>6</v>
      </c>
      <c r="AD1009" s="36"/>
      <c r="AE1009" s="36"/>
      <c r="AF1009" s="36"/>
      <c r="AG1009" s="36"/>
      <c r="AH1009" s="36">
        <v>3</v>
      </c>
      <c r="AI1009" s="36">
        <v>3</v>
      </c>
      <c r="AJ1009" s="36">
        <v>3</v>
      </c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  <c r="AV1009" s="36"/>
      <c r="AW1009" s="36"/>
      <c r="AX1009" s="36"/>
      <c r="AY1009" s="953"/>
      <c r="AZ1009" s="36"/>
      <c r="BA1009" s="36"/>
      <c r="BB1009" s="36"/>
      <c r="BC1009" s="36"/>
      <c r="BD1009" s="36"/>
      <c r="BF1009">
        <f>ROWS($U$46:U1009)</f>
        <v>964</v>
      </c>
      <c r="BG1009" t="str">
        <f t="shared" si="220"/>
        <v/>
      </c>
    </row>
    <row r="1010" spans="15:59" x14ac:dyDescent="0.35">
      <c r="O1010" s="330">
        <v>5</v>
      </c>
      <c r="P1010" s="36">
        <v>625854</v>
      </c>
      <c r="Q1010" s="36">
        <v>6</v>
      </c>
      <c r="R1010" s="36"/>
      <c r="S1010" t="s">
        <v>1200</v>
      </c>
      <c r="T1010" s="36" t="s">
        <v>1544</v>
      </c>
      <c r="U1010" s="36">
        <v>959209</v>
      </c>
      <c r="V1010" s="165" t="s">
        <v>91</v>
      </c>
      <c r="W1010" s="36">
        <v>2</v>
      </c>
      <c r="X1010" s="36">
        <v>2</v>
      </c>
      <c r="Y1010" s="36">
        <v>2</v>
      </c>
      <c r="Z1010" s="36">
        <v>1</v>
      </c>
      <c r="AA1010" s="36">
        <v>1</v>
      </c>
      <c r="AB1010" s="36">
        <v>1</v>
      </c>
      <c r="AC1010" s="36">
        <v>1</v>
      </c>
      <c r="AD1010" s="36">
        <v>6</v>
      </c>
      <c r="AE1010" s="36">
        <v>4</v>
      </c>
      <c r="AF1010" s="36"/>
      <c r="AG1010" s="36"/>
      <c r="AH1010" s="36">
        <v>5</v>
      </c>
      <c r="AI1010" s="36">
        <v>5</v>
      </c>
      <c r="AJ1010" s="36">
        <v>3</v>
      </c>
      <c r="AK1010" s="36">
        <v>3</v>
      </c>
      <c r="AL1010" s="36">
        <v>3</v>
      </c>
      <c r="AM1010" s="36"/>
      <c r="AN1010" s="36"/>
      <c r="AO1010" s="36"/>
      <c r="AP1010" s="36"/>
      <c r="AQ1010" s="36"/>
      <c r="AR1010" s="36"/>
      <c r="AS1010" s="36"/>
      <c r="AT1010" s="36"/>
      <c r="AU1010" s="36"/>
      <c r="AV1010" s="36"/>
      <c r="AW1010" s="36"/>
      <c r="AX1010" s="36"/>
      <c r="AY1010" s="953"/>
      <c r="AZ1010" s="36"/>
      <c r="BA1010" s="36"/>
      <c r="BB1010" s="36"/>
      <c r="BC1010" s="36"/>
      <c r="BD1010" s="36"/>
      <c r="BF1010">
        <f>ROWS($U$46:U1010)</f>
        <v>965</v>
      </c>
      <c r="BG1010" t="str">
        <f t="shared" si="220"/>
        <v/>
      </c>
    </row>
    <row r="1011" spans="15:59" ht="15" thickBot="1" x14ac:dyDescent="0.4">
      <c r="O1011" s="330">
        <v>6</v>
      </c>
      <c r="P1011" s="328">
        <v>418525</v>
      </c>
      <c r="Q1011" s="328">
        <v>9</v>
      </c>
      <c r="R1011" s="328"/>
      <c r="S1011" s="554" t="s">
        <v>1200</v>
      </c>
      <c r="T1011" s="328" t="s">
        <v>1544</v>
      </c>
      <c r="U1011" s="328">
        <v>959209</v>
      </c>
      <c r="V1011" s="327" t="s">
        <v>92</v>
      </c>
      <c r="W1011" s="328">
        <v>1</v>
      </c>
      <c r="X1011" s="328">
        <v>1</v>
      </c>
      <c r="Y1011" s="328">
        <v>1</v>
      </c>
      <c r="Z1011" s="328">
        <v>1</v>
      </c>
      <c r="AA1011" s="328">
        <v>1</v>
      </c>
      <c r="AB1011" s="328">
        <v>6</v>
      </c>
      <c r="AC1011" s="328">
        <v>6</v>
      </c>
      <c r="AD1011" s="328"/>
      <c r="AE1011" s="328"/>
      <c r="AF1011" s="328"/>
      <c r="AG1011" s="328"/>
      <c r="AH1011" s="328">
        <v>3</v>
      </c>
      <c r="AI1011" s="328">
        <v>3</v>
      </c>
      <c r="AJ1011" s="328">
        <v>3</v>
      </c>
      <c r="AK1011" s="328"/>
      <c r="AL1011" s="328"/>
      <c r="AM1011" s="328"/>
      <c r="AN1011" s="328"/>
      <c r="AO1011" s="328"/>
      <c r="AP1011" s="328"/>
      <c r="AQ1011" s="328"/>
      <c r="AR1011" s="328"/>
      <c r="AS1011" s="328"/>
      <c r="AT1011" s="328"/>
      <c r="AU1011" s="328"/>
      <c r="AV1011" s="328"/>
      <c r="AW1011" s="328"/>
      <c r="AX1011" s="328"/>
      <c r="AY1011" s="954"/>
      <c r="AZ1011" s="36"/>
      <c r="BA1011" s="36"/>
      <c r="BB1011" s="36"/>
      <c r="BC1011" s="36"/>
      <c r="BD1011" s="36"/>
      <c r="BF1011">
        <f>ROWS($U$46:U1011)</f>
        <v>966</v>
      </c>
      <c r="BG1011" t="str">
        <f t="shared" si="220"/>
        <v/>
      </c>
    </row>
    <row r="1012" spans="15:59" x14ac:dyDescent="0.35">
      <c r="O1012" s="329">
        <v>1</v>
      </c>
      <c r="P1012" s="320">
        <v>1039064</v>
      </c>
      <c r="Q1012" s="320">
        <v>43</v>
      </c>
      <c r="R1012" s="320"/>
      <c r="S1012" s="320" t="s">
        <v>1209</v>
      </c>
      <c r="T1012" s="320" t="s">
        <v>1545</v>
      </c>
      <c r="U1012" s="320">
        <v>1097591</v>
      </c>
      <c r="V1012" s="319" t="s">
        <v>87</v>
      </c>
      <c r="W1012" s="320">
        <v>3</v>
      </c>
      <c r="X1012" s="320">
        <v>3</v>
      </c>
      <c r="Y1012" s="320">
        <v>3</v>
      </c>
      <c r="Z1012" s="320">
        <v>1</v>
      </c>
      <c r="AA1012" s="320">
        <v>1</v>
      </c>
      <c r="AB1012" s="320">
        <v>1</v>
      </c>
      <c r="AC1012" s="320">
        <v>1</v>
      </c>
      <c r="AD1012" s="320">
        <v>1</v>
      </c>
      <c r="AE1012" s="320">
        <v>1</v>
      </c>
      <c r="AF1012" s="320">
        <v>2</v>
      </c>
      <c r="AG1012" s="320">
        <v>4</v>
      </c>
      <c r="AH1012" s="320"/>
      <c r="AI1012" s="320">
        <v>2</v>
      </c>
      <c r="AJ1012" s="320">
        <v>2</v>
      </c>
      <c r="AK1012" s="320">
        <v>2</v>
      </c>
      <c r="AL1012" s="320">
        <v>2</v>
      </c>
      <c r="AM1012" s="320"/>
      <c r="AN1012" s="320"/>
      <c r="AO1012" s="320"/>
      <c r="AP1012" s="320"/>
      <c r="AQ1012" s="320"/>
      <c r="AR1012" s="320"/>
      <c r="AS1012" s="320"/>
      <c r="AT1012" s="320"/>
      <c r="AU1012" s="320"/>
      <c r="AV1012" s="320"/>
      <c r="AW1012" s="320"/>
      <c r="AX1012" s="320"/>
      <c r="AY1012" s="952"/>
      <c r="AZ1012" s="36"/>
      <c r="BA1012" s="36"/>
      <c r="BB1012" s="36"/>
      <c r="BC1012" s="36"/>
      <c r="BD1012" s="36"/>
      <c r="BF1012">
        <f>ROWS($U$46:U1012)</f>
        <v>967</v>
      </c>
      <c r="BG1012" t="str">
        <f t="shared" si="220"/>
        <v/>
      </c>
    </row>
    <row r="1013" spans="15:59" x14ac:dyDescent="0.35">
      <c r="O1013" s="330">
        <v>2</v>
      </c>
      <c r="P1013" s="36">
        <v>983152</v>
      </c>
      <c r="Q1013" s="36">
        <v>46</v>
      </c>
      <c r="R1013" s="36"/>
      <c r="S1013" s="36" t="s">
        <v>1209</v>
      </c>
      <c r="T1013" s="36" t="s">
        <v>1545</v>
      </c>
      <c r="U1013" s="36">
        <v>1097591</v>
      </c>
      <c r="V1013" s="165" t="s">
        <v>88</v>
      </c>
      <c r="W1013" s="36">
        <v>1</v>
      </c>
      <c r="X1013" s="36">
        <v>1</v>
      </c>
      <c r="Y1013" s="36">
        <v>1</v>
      </c>
      <c r="Z1013" s="36">
        <v>1</v>
      </c>
      <c r="AA1013" s="36">
        <v>1</v>
      </c>
      <c r="AB1013" s="36">
        <v>2</v>
      </c>
      <c r="AC1013" s="36">
        <v>2</v>
      </c>
      <c r="AD1013" s="36">
        <v>5</v>
      </c>
      <c r="AE1013" s="36"/>
      <c r="AF1013" s="36"/>
      <c r="AG1013" s="36"/>
      <c r="AH1013" s="36"/>
      <c r="AI1013" s="36">
        <v>2</v>
      </c>
      <c r="AJ1013" s="36">
        <v>2</v>
      </c>
      <c r="AK1013" s="36">
        <v>2</v>
      </c>
      <c r="AL1013" s="36">
        <v>2</v>
      </c>
      <c r="AM1013" s="36">
        <v>2</v>
      </c>
      <c r="AN1013" s="36"/>
      <c r="AO1013" s="36"/>
      <c r="AP1013" s="36"/>
      <c r="AQ1013" s="36"/>
      <c r="AR1013" s="36"/>
      <c r="AS1013" s="36"/>
      <c r="AT1013" s="36"/>
      <c r="AU1013" s="36"/>
      <c r="AV1013" s="36"/>
      <c r="AW1013" s="36"/>
      <c r="AX1013" s="36"/>
      <c r="AY1013" s="953"/>
      <c r="AZ1013" s="36"/>
      <c r="BA1013" s="36"/>
      <c r="BB1013" s="36"/>
      <c r="BC1013" s="36"/>
      <c r="BD1013" s="36"/>
      <c r="BF1013">
        <f>ROWS($U$46:U1013)</f>
        <v>968</v>
      </c>
      <c r="BG1013" t="str">
        <f t="shared" si="220"/>
        <v/>
      </c>
    </row>
    <row r="1014" spans="15:59" x14ac:dyDescent="0.35">
      <c r="O1014" s="330">
        <v>3</v>
      </c>
      <c r="P1014" s="36">
        <v>1039060</v>
      </c>
      <c r="Q1014" s="36">
        <v>9</v>
      </c>
      <c r="R1014" s="36"/>
      <c r="S1014" s="36" t="s">
        <v>1209</v>
      </c>
      <c r="T1014" s="36" t="s">
        <v>1545</v>
      </c>
      <c r="U1014" s="36">
        <v>1097591</v>
      </c>
      <c r="V1014" s="165" t="s">
        <v>89</v>
      </c>
      <c r="W1014" s="36">
        <v>1</v>
      </c>
      <c r="X1014" s="36">
        <v>1</v>
      </c>
      <c r="Y1014" s="36">
        <v>1</v>
      </c>
      <c r="Z1014" s="36">
        <v>1</v>
      </c>
      <c r="AA1014" s="36">
        <v>1</v>
      </c>
      <c r="AB1014" s="36">
        <v>2</v>
      </c>
      <c r="AC1014" s="36">
        <v>2</v>
      </c>
      <c r="AD1014" s="36">
        <v>4</v>
      </c>
      <c r="AE1014" s="36"/>
      <c r="AF1014" s="36"/>
      <c r="AG1014" s="36"/>
      <c r="AH1014" s="36"/>
      <c r="AI1014" s="36">
        <v>2</v>
      </c>
      <c r="AJ1014" s="36">
        <v>2</v>
      </c>
      <c r="AK1014" s="36">
        <v>2</v>
      </c>
      <c r="AL1014" s="36">
        <v>2</v>
      </c>
      <c r="AM1014" s="36">
        <v>2</v>
      </c>
      <c r="AN1014" s="36"/>
      <c r="AO1014" s="36"/>
      <c r="AP1014" s="36"/>
      <c r="AQ1014" s="36"/>
      <c r="AR1014" s="36"/>
      <c r="AS1014" s="36"/>
      <c r="AT1014" s="36"/>
      <c r="AU1014" s="36"/>
      <c r="AV1014" s="36"/>
      <c r="AW1014" s="36"/>
      <c r="AX1014" s="36"/>
      <c r="AY1014" s="953"/>
      <c r="AZ1014" s="36"/>
      <c r="BA1014" s="36"/>
      <c r="BB1014" s="36"/>
      <c r="BC1014" s="36"/>
      <c r="BD1014" s="36"/>
      <c r="BF1014">
        <f>ROWS($U$46:U1014)</f>
        <v>969</v>
      </c>
      <c r="BG1014" t="str">
        <f t="shared" si="220"/>
        <v/>
      </c>
    </row>
    <row r="1015" spans="15:59" x14ac:dyDescent="0.35">
      <c r="O1015" s="330">
        <v>4</v>
      </c>
      <c r="P1015" s="36">
        <v>871781</v>
      </c>
      <c r="Q1015" s="36">
        <v>4</v>
      </c>
      <c r="R1015" s="36"/>
      <c r="S1015" s="36" t="s">
        <v>1209</v>
      </c>
      <c r="T1015" s="36" t="s">
        <v>1545</v>
      </c>
      <c r="U1015" s="36">
        <v>1097591</v>
      </c>
      <c r="V1015" s="165" t="s">
        <v>90</v>
      </c>
      <c r="W1015" s="36">
        <v>3</v>
      </c>
      <c r="X1015" s="36">
        <v>3</v>
      </c>
      <c r="Y1015" s="36">
        <v>3</v>
      </c>
      <c r="Z1015" s="36">
        <v>1</v>
      </c>
      <c r="AA1015" s="36">
        <v>1</v>
      </c>
      <c r="AB1015" s="36">
        <v>1</v>
      </c>
      <c r="AC1015" s="36">
        <v>1</v>
      </c>
      <c r="AD1015" s="36">
        <v>1</v>
      </c>
      <c r="AE1015" s="36">
        <v>2</v>
      </c>
      <c r="AF1015" s="36">
        <v>2</v>
      </c>
      <c r="AG1015" s="36">
        <v>5</v>
      </c>
      <c r="AH1015" s="36"/>
      <c r="AI1015" s="36">
        <v>2</v>
      </c>
      <c r="AJ1015" s="36">
        <v>2</v>
      </c>
      <c r="AK1015" s="36">
        <v>2</v>
      </c>
      <c r="AL1015" s="36">
        <v>2</v>
      </c>
      <c r="AM1015" s="36"/>
      <c r="AN1015" s="36"/>
      <c r="AO1015" s="36"/>
      <c r="AP1015" s="36"/>
      <c r="AQ1015" s="36"/>
      <c r="AR1015" s="36"/>
      <c r="AS1015" s="36"/>
      <c r="AT1015" s="36"/>
      <c r="AU1015" s="36"/>
      <c r="AV1015" s="36"/>
      <c r="AW1015" s="36"/>
      <c r="AX1015" s="36"/>
      <c r="AY1015" s="953"/>
      <c r="AZ1015" s="36"/>
      <c r="BA1015" s="36"/>
      <c r="BB1015" s="36"/>
      <c r="BC1015" s="36"/>
      <c r="BD1015" s="36"/>
      <c r="BF1015">
        <f>ROWS($U$46:U1015)</f>
        <v>970</v>
      </c>
      <c r="BG1015" t="str">
        <f t="shared" si="220"/>
        <v/>
      </c>
    </row>
    <row r="1016" spans="15:59" x14ac:dyDescent="0.35">
      <c r="O1016" s="330">
        <v>5</v>
      </c>
      <c r="P1016" s="36">
        <v>418525</v>
      </c>
      <c r="Q1016" s="36">
        <v>4</v>
      </c>
      <c r="R1016" s="36"/>
      <c r="S1016" s="36" t="s">
        <v>1209</v>
      </c>
      <c r="T1016" s="36" t="s">
        <v>1545</v>
      </c>
      <c r="U1016" s="36">
        <v>1097591</v>
      </c>
      <c r="V1016" s="165" t="s">
        <v>91</v>
      </c>
      <c r="W1016" s="36">
        <v>1</v>
      </c>
      <c r="X1016" s="36">
        <v>1</v>
      </c>
      <c r="Y1016" s="36">
        <v>1</v>
      </c>
      <c r="Z1016" s="36">
        <v>1</v>
      </c>
      <c r="AA1016" s="36">
        <v>1</v>
      </c>
      <c r="AB1016" s="36">
        <v>2</v>
      </c>
      <c r="AC1016" s="36">
        <v>2</v>
      </c>
      <c r="AD1016" s="36">
        <v>4</v>
      </c>
      <c r="AE1016" s="36"/>
      <c r="AF1016" s="36"/>
      <c r="AG1016" s="36"/>
      <c r="AH1016" s="36"/>
      <c r="AI1016" s="36">
        <v>2</v>
      </c>
      <c r="AJ1016" s="36">
        <v>2</v>
      </c>
      <c r="AK1016" s="36">
        <v>2</v>
      </c>
      <c r="AL1016" s="36">
        <v>2</v>
      </c>
      <c r="AM1016" s="36"/>
      <c r="AN1016" s="36"/>
      <c r="AO1016" s="36"/>
      <c r="AP1016" s="36"/>
      <c r="AQ1016" s="36"/>
      <c r="AR1016" s="36"/>
      <c r="AS1016" s="36"/>
      <c r="AT1016" s="36"/>
      <c r="AU1016" s="36"/>
      <c r="AV1016" s="36"/>
      <c r="AW1016" s="36"/>
      <c r="AX1016" s="36"/>
      <c r="AY1016" s="953"/>
      <c r="AZ1016" s="36"/>
      <c r="BA1016" s="36"/>
      <c r="BB1016" s="36"/>
      <c r="BC1016" s="36"/>
      <c r="BD1016" s="36"/>
      <c r="BF1016">
        <f>ROWS($U$46:U1016)</f>
        <v>971</v>
      </c>
      <c r="BG1016" t="str">
        <f t="shared" si="220"/>
        <v/>
      </c>
    </row>
    <row r="1017" spans="15:59" x14ac:dyDescent="0.35">
      <c r="O1017" s="330"/>
      <c r="P1017" s="36"/>
      <c r="Q1017" s="36"/>
      <c r="R1017" s="36"/>
      <c r="S1017" s="36" t="s">
        <v>1209</v>
      </c>
      <c r="T1017" s="36" t="s">
        <v>1545</v>
      </c>
      <c r="U1017" s="36">
        <v>1097591</v>
      </c>
      <c r="V1017" s="165" t="s">
        <v>92</v>
      </c>
      <c r="W1017" s="36">
        <v>3</v>
      </c>
      <c r="X1017" s="36">
        <v>3</v>
      </c>
      <c r="Y1017" s="36">
        <v>3</v>
      </c>
      <c r="Z1017" s="36">
        <v>1</v>
      </c>
      <c r="AA1017" s="36">
        <v>1</v>
      </c>
      <c r="AB1017" s="36">
        <v>1</v>
      </c>
      <c r="AC1017" s="36">
        <v>1</v>
      </c>
      <c r="AD1017" s="36">
        <v>1</v>
      </c>
      <c r="AE1017" s="36">
        <v>1</v>
      </c>
      <c r="AF1017" s="36">
        <v>2</v>
      </c>
      <c r="AG1017" s="36">
        <v>5</v>
      </c>
      <c r="AH1017" s="36"/>
      <c r="AI1017" s="36">
        <v>2</v>
      </c>
      <c r="AJ1017" s="36">
        <v>2</v>
      </c>
      <c r="AK1017" s="36">
        <v>2</v>
      </c>
      <c r="AL1017" s="36">
        <v>2</v>
      </c>
      <c r="AM1017" s="36"/>
      <c r="AN1017" s="36"/>
      <c r="AO1017" s="36"/>
      <c r="AP1017" s="36"/>
      <c r="AQ1017" s="36"/>
      <c r="AR1017" s="36"/>
      <c r="AS1017" s="36"/>
      <c r="AT1017" s="36"/>
      <c r="AU1017" s="36"/>
      <c r="AV1017" s="36"/>
      <c r="AW1017" s="36"/>
      <c r="AX1017" s="36"/>
      <c r="AY1017" s="953"/>
      <c r="AZ1017" s="36"/>
      <c r="BA1017" s="36"/>
      <c r="BB1017" s="36"/>
      <c r="BC1017" s="36"/>
      <c r="BD1017" s="36"/>
      <c r="BF1017">
        <f>ROWS($U$46:U1017)</f>
        <v>972</v>
      </c>
      <c r="BG1017" t="str">
        <f t="shared" si="220"/>
        <v/>
      </c>
    </row>
    <row r="1018" spans="15:59" x14ac:dyDescent="0.35">
      <c r="O1018" s="330"/>
      <c r="P1018" s="36"/>
      <c r="Q1018" s="36"/>
      <c r="R1018" s="36"/>
      <c r="S1018" s="36" t="s">
        <v>1209</v>
      </c>
      <c r="T1018" s="36" t="s">
        <v>1545</v>
      </c>
      <c r="U1018" s="36">
        <v>1097591</v>
      </c>
      <c r="V1018" s="165" t="s">
        <v>111</v>
      </c>
      <c r="W1018" s="36">
        <v>1</v>
      </c>
      <c r="X1018" s="36">
        <v>1</v>
      </c>
      <c r="Y1018" s="36">
        <v>1</v>
      </c>
      <c r="Z1018" s="36">
        <v>1</v>
      </c>
      <c r="AA1018" s="36">
        <v>1</v>
      </c>
      <c r="AB1018" s="36">
        <v>1</v>
      </c>
      <c r="AC1018" s="36">
        <v>2</v>
      </c>
      <c r="AD1018" s="36">
        <v>4</v>
      </c>
      <c r="AE1018" s="36"/>
      <c r="AF1018" s="36"/>
      <c r="AG1018" s="36"/>
      <c r="AH1018" s="36"/>
      <c r="AI1018" s="36">
        <v>2</v>
      </c>
      <c r="AJ1018" s="36">
        <v>2</v>
      </c>
      <c r="AK1018" s="36">
        <v>2</v>
      </c>
      <c r="AL1018" s="36">
        <v>2</v>
      </c>
      <c r="AM1018" s="36"/>
      <c r="AN1018" s="36"/>
      <c r="AO1018" s="36"/>
      <c r="AP1018" s="36"/>
      <c r="AQ1018" s="36"/>
      <c r="AR1018" s="36"/>
      <c r="AS1018" s="36"/>
      <c r="AT1018" s="36"/>
      <c r="AU1018" s="36"/>
      <c r="AV1018" s="36"/>
      <c r="AW1018" s="36"/>
      <c r="AX1018" s="36"/>
      <c r="AY1018" s="953"/>
      <c r="AZ1018" s="36"/>
      <c r="BA1018" s="36"/>
      <c r="BB1018" s="36"/>
      <c r="BC1018" s="36"/>
      <c r="BD1018" s="36"/>
      <c r="BF1018">
        <f>ROWS($U$46:U1018)</f>
        <v>973</v>
      </c>
      <c r="BG1018" t="str">
        <f t="shared" si="220"/>
        <v/>
      </c>
    </row>
    <row r="1019" spans="15:59" ht="15" thickBot="1" x14ac:dyDescent="0.4">
      <c r="O1019" s="331"/>
      <c r="P1019" s="328"/>
      <c r="Q1019" s="328"/>
      <c r="R1019" s="328"/>
      <c r="S1019" s="328" t="s">
        <v>1209</v>
      </c>
      <c r="T1019" s="328" t="s">
        <v>1545</v>
      </c>
      <c r="U1019" s="328">
        <v>1097591</v>
      </c>
      <c r="V1019" s="327" t="s">
        <v>112</v>
      </c>
      <c r="W1019" s="328">
        <v>1</v>
      </c>
      <c r="X1019" s="328">
        <v>1</v>
      </c>
      <c r="Y1019" s="328">
        <v>1</v>
      </c>
      <c r="Z1019" s="328">
        <v>1</v>
      </c>
      <c r="AA1019" s="328">
        <v>1</v>
      </c>
      <c r="AB1019" s="328">
        <v>2</v>
      </c>
      <c r="AC1019" s="328">
        <v>5</v>
      </c>
      <c r="AD1019" s="328"/>
      <c r="AE1019" s="328"/>
      <c r="AF1019" s="328"/>
      <c r="AG1019" s="328"/>
      <c r="AH1019" s="328"/>
      <c r="AI1019" s="328">
        <v>2</v>
      </c>
      <c r="AJ1019" s="328">
        <v>2</v>
      </c>
      <c r="AK1019" s="328">
        <v>2</v>
      </c>
      <c r="AL1019" s="328">
        <v>2</v>
      </c>
      <c r="AM1019" s="328"/>
      <c r="AN1019" s="328"/>
      <c r="AO1019" s="328"/>
      <c r="AP1019" s="328"/>
      <c r="AQ1019" s="328"/>
      <c r="AR1019" s="328"/>
      <c r="AS1019" s="328"/>
      <c r="AT1019" s="328"/>
      <c r="AU1019" s="328"/>
      <c r="AV1019" s="328"/>
      <c r="AW1019" s="328"/>
      <c r="AX1019" s="328"/>
      <c r="AY1019" s="954"/>
      <c r="AZ1019" s="36"/>
      <c r="BA1019" s="36"/>
      <c r="BB1019" s="36"/>
      <c r="BC1019" s="36"/>
      <c r="BD1019" s="36"/>
      <c r="BF1019">
        <f>ROWS($U$46:U1019)</f>
        <v>974</v>
      </c>
      <c r="BG1019" t="str">
        <f t="shared" si="220"/>
        <v/>
      </c>
    </row>
    <row r="1020" spans="15:59" x14ac:dyDescent="0.35">
      <c r="O1020" s="329">
        <v>1</v>
      </c>
      <c r="P1020" s="320">
        <v>1130198</v>
      </c>
      <c r="Q1020" s="320">
        <v>20</v>
      </c>
      <c r="R1020" s="320"/>
      <c r="S1020" s="552" t="s">
        <v>1198</v>
      </c>
      <c r="T1020" s="320" t="s">
        <v>1546</v>
      </c>
      <c r="U1020" s="320">
        <v>1098918</v>
      </c>
      <c r="V1020" s="319" t="s">
        <v>87</v>
      </c>
      <c r="W1020" s="320">
        <v>2</v>
      </c>
      <c r="X1020" s="320">
        <v>2</v>
      </c>
      <c r="Y1020" s="320">
        <v>3</v>
      </c>
      <c r="Z1020" s="320">
        <v>1</v>
      </c>
      <c r="AA1020" s="320">
        <v>1</v>
      </c>
      <c r="AB1020" s="320">
        <v>1</v>
      </c>
      <c r="AC1020" s="320">
        <v>4</v>
      </c>
      <c r="AD1020" s="320">
        <v>4</v>
      </c>
      <c r="AE1020" s="320"/>
      <c r="AF1020" s="320"/>
      <c r="AG1020" s="320"/>
      <c r="AH1020" s="320"/>
      <c r="AI1020" s="320"/>
      <c r="AJ1020" s="320"/>
      <c r="AK1020" s="320"/>
      <c r="AL1020" s="320"/>
      <c r="AM1020" s="320"/>
      <c r="AN1020" s="320"/>
      <c r="AO1020" s="320"/>
      <c r="AP1020" s="320"/>
      <c r="AQ1020" s="320"/>
      <c r="AR1020" s="320"/>
      <c r="AS1020" s="320"/>
      <c r="AT1020" s="320"/>
      <c r="AU1020" s="320"/>
      <c r="AV1020" s="320"/>
      <c r="AW1020" s="320"/>
      <c r="AX1020" s="320"/>
      <c r="AY1020" s="952"/>
      <c r="AZ1020" s="36"/>
      <c r="BA1020" s="36"/>
      <c r="BB1020" s="36"/>
      <c r="BC1020" s="36"/>
      <c r="BD1020" s="36"/>
      <c r="BF1020">
        <f>ROWS($U$46:U1020)</f>
        <v>975</v>
      </c>
      <c r="BG1020" t="str">
        <f t="shared" si="220"/>
        <v/>
      </c>
    </row>
    <row r="1021" spans="15:59" x14ac:dyDescent="0.35">
      <c r="O1021" s="330">
        <v>2</v>
      </c>
      <c r="P1021" s="36">
        <v>1130204</v>
      </c>
      <c r="Q1021" s="36">
        <v>9</v>
      </c>
      <c r="R1021" s="36"/>
      <c r="S1021" s="553" t="s">
        <v>1198</v>
      </c>
      <c r="T1021" s="36" t="s">
        <v>1546</v>
      </c>
      <c r="U1021" s="36">
        <v>1098918</v>
      </c>
      <c r="V1021" s="165" t="s">
        <v>88</v>
      </c>
      <c r="W1021" s="36">
        <v>2</v>
      </c>
      <c r="X1021" s="36">
        <v>2</v>
      </c>
      <c r="Y1021" s="36">
        <v>1</v>
      </c>
      <c r="Z1021" s="36">
        <v>1</v>
      </c>
      <c r="AA1021" s="36">
        <v>1</v>
      </c>
      <c r="AB1021" s="36">
        <v>4</v>
      </c>
      <c r="AC1021" s="36">
        <v>4</v>
      </c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  <c r="AV1021" s="36"/>
      <c r="AW1021" s="36"/>
      <c r="AX1021" s="36"/>
      <c r="AY1021" s="953"/>
      <c r="AZ1021" s="36"/>
      <c r="BA1021" s="36"/>
      <c r="BB1021" s="36"/>
      <c r="BC1021" s="36"/>
      <c r="BD1021" s="36"/>
      <c r="BF1021">
        <f>ROWS($U$46:U1021)</f>
        <v>976</v>
      </c>
      <c r="BG1021" t="str">
        <f t="shared" si="220"/>
        <v/>
      </c>
    </row>
    <row r="1022" spans="15:59" x14ac:dyDescent="0.35">
      <c r="O1022" s="330">
        <v>3</v>
      </c>
      <c r="P1022" s="36">
        <v>761246</v>
      </c>
      <c r="Q1022" s="36">
        <v>2</v>
      </c>
      <c r="R1022" s="36"/>
      <c r="S1022" s="553" t="s">
        <v>1198</v>
      </c>
      <c r="T1022" s="36" t="s">
        <v>1546</v>
      </c>
      <c r="U1022" s="36">
        <v>1098918</v>
      </c>
      <c r="V1022" s="165" t="s">
        <v>89</v>
      </c>
      <c r="W1022" s="36">
        <v>2</v>
      </c>
      <c r="X1022" s="36">
        <v>2</v>
      </c>
      <c r="Y1022" s="36">
        <v>1</v>
      </c>
      <c r="Z1022" s="36">
        <v>1</v>
      </c>
      <c r="AA1022" s="36">
        <v>1</v>
      </c>
      <c r="AB1022" s="36">
        <v>1</v>
      </c>
      <c r="AC1022" s="36">
        <v>4</v>
      </c>
      <c r="AD1022" s="36">
        <v>4</v>
      </c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  <c r="AV1022" s="36"/>
      <c r="AW1022" s="36"/>
      <c r="AX1022" s="36"/>
      <c r="AY1022" s="953"/>
      <c r="AZ1022" s="36"/>
      <c r="BA1022" s="36"/>
      <c r="BB1022" s="36"/>
      <c r="BC1022" s="36"/>
      <c r="BD1022" s="36"/>
      <c r="BF1022">
        <f>ROWS($U$46:U1022)</f>
        <v>977</v>
      </c>
      <c r="BG1022" t="str">
        <f t="shared" si="220"/>
        <v/>
      </c>
    </row>
    <row r="1023" spans="15:59" x14ac:dyDescent="0.35">
      <c r="O1023" s="330">
        <v>4</v>
      </c>
      <c r="P1023" s="36">
        <v>418525</v>
      </c>
      <c r="Q1023" s="36">
        <v>12</v>
      </c>
      <c r="R1023" s="36"/>
      <c r="S1023" s="553" t="s">
        <v>1198</v>
      </c>
      <c r="T1023" s="36" t="s">
        <v>1546</v>
      </c>
      <c r="U1023" s="36">
        <v>1098918</v>
      </c>
      <c r="V1023" s="165" t="s">
        <v>90</v>
      </c>
      <c r="W1023" s="36">
        <v>2</v>
      </c>
      <c r="X1023" s="36">
        <v>1</v>
      </c>
      <c r="Y1023" s="36">
        <v>1</v>
      </c>
      <c r="Z1023" s="36">
        <v>1</v>
      </c>
      <c r="AA1023" s="36">
        <v>4</v>
      </c>
      <c r="AB1023" s="36">
        <v>4</v>
      </c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  <c r="AV1023" s="36"/>
      <c r="AW1023" s="36"/>
      <c r="AX1023" s="36"/>
      <c r="AY1023" s="953"/>
      <c r="AZ1023" s="36"/>
      <c r="BA1023" s="36"/>
      <c r="BB1023" s="36"/>
      <c r="BC1023" s="36"/>
      <c r="BD1023" s="36"/>
      <c r="BF1023">
        <f>ROWS($U$46:U1023)</f>
        <v>978</v>
      </c>
      <c r="BG1023" t="str">
        <f t="shared" si="220"/>
        <v/>
      </c>
    </row>
    <row r="1024" spans="15:59" x14ac:dyDescent="0.35">
      <c r="O1024" s="330"/>
      <c r="P1024" s="36"/>
      <c r="Q1024" s="36"/>
      <c r="R1024" s="36"/>
      <c r="S1024" t="s">
        <v>1198</v>
      </c>
      <c r="T1024" s="36" t="s">
        <v>1546</v>
      </c>
      <c r="U1024" s="36">
        <v>1098918</v>
      </c>
      <c r="V1024" s="165" t="s">
        <v>91</v>
      </c>
      <c r="W1024" s="36">
        <v>2</v>
      </c>
      <c r="X1024" s="36">
        <v>2</v>
      </c>
      <c r="Y1024" s="36">
        <v>3</v>
      </c>
      <c r="Z1024" s="36">
        <v>1</v>
      </c>
      <c r="AA1024" s="36">
        <v>1</v>
      </c>
      <c r="AB1024" s="36">
        <v>1</v>
      </c>
      <c r="AC1024" s="36">
        <v>4</v>
      </c>
      <c r="AD1024" s="36">
        <v>4</v>
      </c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  <c r="AV1024" s="36"/>
      <c r="AW1024" s="36"/>
      <c r="AX1024" s="36"/>
      <c r="AY1024" s="953"/>
      <c r="AZ1024" s="36"/>
      <c r="BA1024" s="36"/>
      <c r="BB1024" s="36"/>
      <c r="BC1024" s="36"/>
      <c r="BD1024" s="36"/>
      <c r="BF1024">
        <f>ROWS($U$46:U1024)</f>
        <v>979</v>
      </c>
      <c r="BG1024" t="str">
        <f t="shared" si="220"/>
        <v/>
      </c>
    </row>
    <row r="1025" spans="15:59" ht="15" thickBot="1" x14ac:dyDescent="0.4">
      <c r="O1025" s="331"/>
      <c r="P1025" s="328"/>
      <c r="Q1025" s="328"/>
      <c r="R1025" s="328"/>
      <c r="S1025" s="554" t="s">
        <v>1198</v>
      </c>
      <c r="T1025" s="328" t="s">
        <v>1546</v>
      </c>
      <c r="U1025" s="328">
        <v>1098918</v>
      </c>
      <c r="V1025" s="327" t="s">
        <v>92</v>
      </c>
      <c r="W1025" s="328">
        <v>1</v>
      </c>
      <c r="X1025" s="328">
        <v>1</v>
      </c>
      <c r="Y1025" s="328">
        <v>1</v>
      </c>
      <c r="Z1025" s="328">
        <v>1</v>
      </c>
      <c r="AA1025" s="328">
        <v>4</v>
      </c>
      <c r="AB1025" s="328">
        <v>4</v>
      </c>
      <c r="AC1025" s="328"/>
      <c r="AD1025" s="328"/>
      <c r="AE1025" s="328"/>
      <c r="AF1025" s="328"/>
      <c r="AG1025" s="328"/>
      <c r="AH1025" s="328"/>
      <c r="AI1025" s="328"/>
      <c r="AJ1025" s="328"/>
      <c r="AK1025" s="328"/>
      <c r="AL1025" s="328"/>
      <c r="AM1025" s="328"/>
      <c r="AN1025" s="328"/>
      <c r="AO1025" s="328"/>
      <c r="AP1025" s="328"/>
      <c r="AQ1025" s="328"/>
      <c r="AR1025" s="328"/>
      <c r="AS1025" s="328"/>
      <c r="AT1025" s="328"/>
      <c r="AU1025" s="328"/>
      <c r="AV1025" s="328"/>
      <c r="AW1025" s="328"/>
      <c r="AX1025" s="328"/>
      <c r="AY1025" s="954"/>
      <c r="AZ1025" s="36"/>
      <c r="BA1025" s="36"/>
      <c r="BB1025" s="36"/>
      <c r="BC1025" s="36"/>
      <c r="BD1025" s="36"/>
      <c r="BF1025">
        <f>ROWS($U$46:U1025)</f>
        <v>980</v>
      </c>
      <c r="BG1025" t="str">
        <f t="shared" si="220"/>
        <v/>
      </c>
    </row>
    <row r="1026" spans="15:59" x14ac:dyDescent="0.35">
      <c r="O1026" s="329">
        <v>1</v>
      </c>
      <c r="P1026" s="320">
        <v>1130198</v>
      </c>
      <c r="Q1026" s="320">
        <v>33</v>
      </c>
      <c r="R1026" s="320"/>
      <c r="S1026" s="552" t="s">
        <v>1198</v>
      </c>
      <c r="T1026" s="320" t="s">
        <v>1547</v>
      </c>
      <c r="U1026" s="320">
        <v>1093763</v>
      </c>
      <c r="V1026" s="319" t="s">
        <v>87</v>
      </c>
      <c r="W1026" s="320">
        <v>1</v>
      </c>
      <c r="X1026" s="320">
        <v>1</v>
      </c>
      <c r="Y1026" s="320">
        <v>1</v>
      </c>
      <c r="Z1026" s="320">
        <v>1</v>
      </c>
      <c r="AA1026" s="320">
        <v>1</v>
      </c>
      <c r="AB1026" s="320">
        <v>1</v>
      </c>
      <c r="AC1026" s="320">
        <v>1</v>
      </c>
      <c r="AD1026" s="320">
        <v>3</v>
      </c>
      <c r="AE1026" s="320"/>
      <c r="AF1026" s="320">
        <v>2</v>
      </c>
      <c r="AG1026" s="320">
        <v>2</v>
      </c>
      <c r="AH1026" s="320">
        <v>2</v>
      </c>
      <c r="AI1026" s="320">
        <v>2</v>
      </c>
      <c r="AJ1026" s="320"/>
      <c r="AK1026" s="320"/>
      <c r="AL1026" s="320"/>
      <c r="AM1026" s="320"/>
      <c r="AN1026" s="320"/>
      <c r="AO1026" s="320"/>
      <c r="AP1026" s="320"/>
      <c r="AQ1026" s="320"/>
      <c r="AR1026" s="320"/>
      <c r="AS1026" s="320"/>
      <c r="AT1026" s="320"/>
      <c r="AU1026" s="320"/>
      <c r="AV1026" s="320"/>
      <c r="AW1026" s="320"/>
      <c r="AX1026" s="320"/>
      <c r="AY1026" s="952"/>
      <c r="AZ1026" s="36"/>
      <c r="BA1026" s="36"/>
      <c r="BB1026" s="36"/>
      <c r="BC1026" s="36"/>
      <c r="BD1026" s="36"/>
      <c r="BF1026">
        <f>ROWS($U$46:U1026)</f>
        <v>981</v>
      </c>
      <c r="BG1026" t="str">
        <f t="shared" si="220"/>
        <v/>
      </c>
    </row>
    <row r="1027" spans="15:59" x14ac:dyDescent="0.35">
      <c r="O1027" s="330">
        <v>2</v>
      </c>
      <c r="P1027" s="36">
        <v>647435</v>
      </c>
      <c r="Q1027" s="36">
        <v>23</v>
      </c>
      <c r="R1027" s="36"/>
      <c r="S1027" s="553" t="s">
        <v>1198</v>
      </c>
      <c r="T1027" s="36" t="s">
        <v>1547</v>
      </c>
      <c r="U1027" s="36">
        <v>1093763</v>
      </c>
      <c r="V1027" s="165" t="s">
        <v>88</v>
      </c>
      <c r="W1027" s="36">
        <v>1</v>
      </c>
      <c r="X1027" s="36">
        <v>1</v>
      </c>
      <c r="Y1027" s="36">
        <v>1</v>
      </c>
      <c r="Z1027" s="36">
        <v>1</v>
      </c>
      <c r="AA1027" s="36">
        <v>3</v>
      </c>
      <c r="AB1027" s="36"/>
      <c r="AC1027" s="36"/>
      <c r="AD1027" s="36"/>
      <c r="AE1027" s="36"/>
      <c r="AF1027" s="36">
        <v>2</v>
      </c>
      <c r="AG1027" s="36">
        <v>2</v>
      </c>
      <c r="AH1027" s="36">
        <v>2</v>
      </c>
      <c r="AI1027" s="36">
        <v>2</v>
      </c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  <c r="AV1027" s="36"/>
      <c r="AW1027" s="36"/>
      <c r="AX1027" s="36"/>
      <c r="AY1027" s="953"/>
      <c r="AZ1027" s="36"/>
      <c r="BA1027" s="36"/>
      <c r="BB1027" s="36"/>
      <c r="BC1027" s="36"/>
      <c r="BD1027" s="36"/>
      <c r="BF1027">
        <f>ROWS($U$46:U1027)</f>
        <v>982</v>
      </c>
      <c r="BG1027" t="str">
        <f t="shared" si="220"/>
        <v/>
      </c>
    </row>
    <row r="1028" spans="15:59" x14ac:dyDescent="0.35">
      <c r="O1028" s="330">
        <v>3</v>
      </c>
      <c r="P1028" s="36">
        <v>418525</v>
      </c>
      <c r="Q1028" s="36">
        <v>6</v>
      </c>
      <c r="R1028" s="36"/>
      <c r="S1028" s="553" t="s">
        <v>1198</v>
      </c>
      <c r="T1028" s="36" t="s">
        <v>1547</v>
      </c>
      <c r="U1028" s="36">
        <v>1093763</v>
      </c>
      <c r="V1028" s="165" t="s">
        <v>89</v>
      </c>
      <c r="W1028" s="36">
        <v>1</v>
      </c>
      <c r="X1028" s="36">
        <v>1</v>
      </c>
      <c r="Y1028" s="36">
        <v>1</v>
      </c>
      <c r="Z1028" s="36">
        <v>1</v>
      </c>
      <c r="AA1028" s="36">
        <v>1</v>
      </c>
      <c r="AB1028" s="36">
        <v>1</v>
      </c>
      <c r="AC1028" s="36">
        <v>3</v>
      </c>
      <c r="AD1028" s="36"/>
      <c r="AE1028" s="36"/>
      <c r="AF1028" s="36">
        <v>2</v>
      </c>
      <c r="AG1028" s="36">
        <v>2</v>
      </c>
      <c r="AH1028" s="36">
        <v>2</v>
      </c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  <c r="AV1028" s="36"/>
      <c r="AW1028" s="36"/>
      <c r="AX1028" s="36"/>
      <c r="AY1028" s="953"/>
      <c r="AZ1028" s="36"/>
      <c r="BA1028" s="36"/>
      <c r="BB1028" s="36"/>
      <c r="BC1028" s="36"/>
      <c r="BD1028" s="36"/>
      <c r="BF1028">
        <f>ROWS($U$46:U1028)</f>
        <v>983</v>
      </c>
      <c r="BG1028" t="str">
        <f t="shared" si="220"/>
        <v/>
      </c>
    </row>
    <row r="1029" spans="15:59" x14ac:dyDescent="0.35">
      <c r="O1029" s="330"/>
      <c r="P1029" s="36"/>
      <c r="Q1029" s="36"/>
      <c r="R1029" s="36"/>
      <c r="S1029" s="553" t="s">
        <v>1198</v>
      </c>
      <c r="T1029" s="36" t="s">
        <v>1547</v>
      </c>
      <c r="U1029" s="36">
        <v>1093763</v>
      </c>
      <c r="V1029" s="165" t="s">
        <v>90</v>
      </c>
      <c r="W1029" s="36">
        <v>1</v>
      </c>
      <c r="X1029" s="36">
        <v>1</v>
      </c>
      <c r="Y1029" s="36">
        <v>1</v>
      </c>
      <c r="Z1029" s="36">
        <v>1</v>
      </c>
      <c r="AA1029" s="36">
        <v>1</v>
      </c>
      <c r="AB1029" s="36">
        <v>3</v>
      </c>
      <c r="AC1029" s="36"/>
      <c r="AD1029" s="36"/>
      <c r="AE1029" s="36"/>
      <c r="AF1029" s="36">
        <v>2</v>
      </c>
      <c r="AG1029" s="36">
        <v>2</v>
      </c>
      <c r="AH1029" s="36">
        <v>2</v>
      </c>
      <c r="AI1029" s="36">
        <v>2</v>
      </c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  <c r="AV1029" s="36"/>
      <c r="AW1029" s="36"/>
      <c r="AX1029" s="36"/>
      <c r="AY1029" s="953"/>
      <c r="AZ1029" s="36"/>
      <c r="BA1029" s="36"/>
      <c r="BB1029" s="36"/>
      <c r="BC1029" s="36"/>
      <c r="BD1029" s="36"/>
      <c r="BF1029">
        <f>ROWS($U$46:U1029)</f>
        <v>984</v>
      </c>
      <c r="BG1029" t="str">
        <f t="shared" si="220"/>
        <v/>
      </c>
    </row>
    <row r="1030" spans="15:59" x14ac:dyDescent="0.35">
      <c r="O1030" s="330"/>
      <c r="P1030" s="36"/>
      <c r="Q1030" s="36"/>
      <c r="R1030" s="36"/>
      <c r="S1030" t="s">
        <v>1198</v>
      </c>
      <c r="T1030" s="36" t="s">
        <v>1547</v>
      </c>
      <c r="U1030" s="36">
        <v>1093763</v>
      </c>
      <c r="V1030" s="165" t="s">
        <v>91</v>
      </c>
      <c r="W1030" s="36">
        <v>1</v>
      </c>
      <c r="X1030" s="36">
        <v>1</v>
      </c>
      <c r="Y1030" s="36">
        <v>1</v>
      </c>
      <c r="Z1030" s="36">
        <v>1</v>
      </c>
      <c r="AA1030" s="36">
        <v>1</v>
      </c>
      <c r="AB1030" s="36">
        <v>1</v>
      </c>
      <c r="AC1030" s="36">
        <v>1</v>
      </c>
      <c r="AD1030" s="36">
        <v>3</v>
      </c>
      <c r="AE1030" s="36"/>
      <c r="AF1030" s="36">
        <v>2</v>
      </c>
      <c r="AG1030" s="36">
        <v>2</v>
      </c>
      <c r="AH1030" s="36">
        <v>2</v>
      </c>
      <c r="AI1030" s="36">
        <v>2</v>
      </c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  <c r="AV1030" s="36"/>
      <c r="AW1030" s="36"/>
      <c r="AX1030" s="36"/>
      <c r="AY1030" s="953"/>
      <c r="AZ1030" s="36"/>
      <c r="BA1030" s="36"/>
      <c r="BB1030" s="36"/>
      <c r="BC1030" s="36"/>
      <c r="BD1030" s="36"/>
      <c r="BF1030">
        <f>ROWS($U$46:U1030)</f>
        <v>985</v>
      </c>
      <c r="BG1030" t="str">
        <f t="shared" si="220"/>
        <v/>
      </c>
    </row>
    <row r="1031" spans="15:59" ht="15" thickBot="1" x14ac:dyDescent="0.4">
      <c r="O1031" s="330"/>
      <c r="P1031" s="328"/>
      <c r="Q1031" s="328"/>
      <c r="R1031" s="328"/>
      <c r="S1031" s="554" t="s">
        <v>1198</v>
      </c>
      <c r="T1031" s="328" t="s">
        <v>1547</v>
      </c>
      <c r="U1031" s="328">
        <v>1093763</v>
      </c>
      <c r="V1031" s="327" t="s">
        <v>92</v>
      </c>
      <c r="W1031" s="328">
        <v>1</v>
      </c>
      <c r="X1031" s="328">
        <v>1</v>
      </c>
      <c r="Y1031" s="328">
        <v>1</v>
      </c>
      <c r="Z1031" s="328">
        <v>1</v>
      </c>
      <c r="AA1031" s="328">
        <v>3</v>
      </c>
      <c r="AB1031" s="328"/>
      <c r="AC1031" s="328"/>
      <c r="AD1031" s="328"/>
      <c r="AE1031" s="328"/>
      <c r="AF1031" s="328">
        <v>2</v>
      </c>
      <c r="AG1031" s="328">
        <v>2</v>
      </c>
      <c r="AH1031" s="328">
        <v>2</v>
      </c>
      <c r="AI1031" s="328">
        <v>2</v>
      </c>
      <c r="AJ1031" s="328"/>
      <c r="AK1031" s="328"/>
      <c r="AL1031" s="328"/>
      <c r="AM1031" s="328"/>
      <c r="AN1031" s="328"/>
      <c r="AO1031" s="328"/>
      <c r="AP1031" s="328"/>
      <c r="AQ1031" s="328"/>
      <c r="AR1031" s="328"/>
      <c r="AS1031" s="328"/>
      <c r="AT1031" s="328"/>
      <c r="AU1031" s="328"/>
      <c r="AV1031" s="328"/>
      <c r="AW1031" s="328"/>
      <c r="AX1031" s="328"/>
      <c r="AY1031" s="954"/>
      <c r="AZ1031" s="36"/>
      <c r="BA1031" s="36"/>
      <c r="BB1031" s="36"/>
      <c r="BC1031" s="36"/>
      <c r="BD1031" s="36"/>
      <c r="BF1031">
        <f>ROWS($U$46:U1031)</f>
        <v>986</v>
      </c>
      <c r="BG1031" t="str">
        <f t="shared" si="220"/>
        <v/>
      </c>
    </row>
    <row r="1032" spans="15:59" x14ac:dyDescent="0.35">
      <c r="O1032" s="329">
        <v>1</v>
      </c>
      <c r="P1032" s="320">
        <v>853551</v>
      </c>
      <c r="Q1032" s="320">
        <v>156</v>
      </c>
      <c r="R1032" s="320"/>
      <c r="S1032" s="320" t="s">
        <v>1126</v>
      </c>
      <c r="T1032" s="320" t="s">
        <v>1548</v>
      </c>
      <c r="U1032" s="320">
        <v>1023917</v>
      </c>
      <c r="V1032" s="319" t="s">
        <v>87</v>
      </c>
      <c r="W1032" s="320">
        <v>1</v>
      </c>
      <c r="X1032" s="320">
        <v>1</v>
      </c>
      <c r="Y1032" s="320">
        <v>1</v>
      </c>
      <c r="Z1032" s="320">
        <v>1</v>
      </c>
      <c r="AA1032" s="320">
        <v>1</v>
      </c>
      <c r="AB1032" s="320">
        <v>1</v>
      </c>
      <c r="AC1032" s="320">
        <v>1</v>
      </c>
      <c r="AD1032" s="320">
        <v>1</v>
      </c>
      <c r="AE1032" s="320">
        <v>1</v>
      </c>
      <c r="AF1032" s="320">
        <v>1</v>
      </c>
      <c r="AG1032" s="320">
        <v>1</v>
      </c>
      <c r="AH1032" s="320">
        <v>1</v>
      </c>
      <c r="AI1032" s="320">
        <v>1</v>
      </c>
      <c r="AJ1032" s="320">
        <v>1</v>
      </c>
      <c r="AK1032" s="320">
        <v>1</v>
      </c>
      <c r="AL1032" s="320">
        <v>3</v>
      </c>
      <c r="AM1032" s="320"/>
      <c r="AN1032" s="320">
        <v>2</v>
      </c>
      <c r="AO1032" s="320">
        <v>2</v>
      </c>
      <c r="AP1032" s="320">
        <v>2</v>
      </c>
      <c r="AQ1032" s="320">
        <v>1</v>
      </c>
      <c r="AR1032" s="320">
        <v>1</v>
      </c>
      <c r="AS1032" s="320">
        <v>1</v>
      </c>
      <c r="AT1032" s="320">
        <v>1</v>
      </c>
      <c r="AU1032" s="320">
        <v>1</v>
      </c>
      <c r="AV1032" s="320">
        <v>1</v>
      </c>
      <c r="AW1032" s="320">
        <v>1</v>
      </c>
      <c r="AX1032" s="320">
        <v>1</v>
      </c>
      <c r="AY1032" s="952"/>
      <c r="AZ1032" s="36"/>
      <c r="BA1032" s="36"/>
      <c r="BB1032" s="36"/>
      <c r="BC1032" s="36"/>
      <c r="BD1032" s="36"/>
      <c r="BF1032">
        <f>ROWS($U$46:U1032)</f>
        <v>987</v>
      </c>
      <c r="BG1032" t="str">
        <f t="shared" si="220"/>
        <v/>
      </c>
    </row>
    <row r="1033" spans="15:59" x14ac:dyDescent="0.35">
      <c r="O1033" s="330">
        <v>2</v>
      </c>
      <c r="P1033" s="36">
        <v>887499</v>
      </c>
      <c r="Q1033" s="36">
        <v>16</v>
      </c>
      <c r="R1033" s="36"/>
      <c r="S1033" s="36" t="s">
        <v>1126</v>
      </c>
      <c r="T1033" s="36" t="s">
        <v>1548</v>
      </c>
      <c r="U1033" s="36">
        <v>1023917</v>
      </c>
      <c r="V1033" s="165" t="s">
        <v>88</v>
      </c>
      <c r="W1033" s="36">
        <v>1</v>
      </c>
      <c r="X1033" s="36">
        <v>1</v>
      </c>
      <c r="Y1033" s="36">
        <v>1</v>
      </c>
      <c r="Z1033" s="36">
        <v>1</v>
      </c>
      <c r="AA1033" s="36">
        <v>1</v>
      </c>
      <c r="AB1033" s="36">
        <v>1</v>
      </c>
      <c r="AC1033" s="36">
        <v>1</v>
      </c>
      <c r="AD1033" s="36">
        <v>1</v>
      </c>
      <c r="AE1033" s="36">
        <v>1</v>
      </c>
      <c r="AF1033" s="36">
        <v>1</v>
      </c>
      <c r="AG1033" s="36">
        <v>3</v>
      </c>
      <c r="AH1033" s="36"/>
      <c r="AI1033" s="36"/>
      <c r="AJ1033" s="36"/>
      <c r="AK1033" s="36"/>
      <c r="AL1033" s="36"/>
      <c r="AM1033" s="36"/>
      <c r="AN1033" s="36">
        <v>2</v>
      </c>
      <c r="AO1033" s="36">
        <v>2</v>
      </c>
      <c r="AP1033" s="36">
        <v>1</v>
      </c>
      <c r="AQ1033" s="36">
        <v>1</v>
      </c>
      <c r="AR1033" s="36">
        <v>1</v>
      </c>
      <c r="AS1033" s="36">
        <v>1</v>
      </c>
      <c r="AT1033" s="36">
        <v>1</v>
      </c>
      <c r="AU1033" s="36">
        <v>1</v>
      </c>
      <c r="AV1033" s="36">
        <v>1</v>
      </c>
      <c r="AW1033" s="36">
        <v>1</v>
      </c>
      <c r="AX1033" s="36"/>
      <c r="AY1033" s="953"/>
      <c r="AZ1033" s="36"/>
      <c r="BA1033" s="36"/>
      <c r="BB1033" s="36"/>
      <c r="BC1033" s="36"/>
      <c r="BD1033" s="36"/>
      <c r="BF1033">
        <f>ROWS($U$46:U1033)</f>
        <v>988</v>
      </c>
      <c r="BG1033" t="str">
        <f t="shared" si="220"/>
        <v/>
      </c>
    </row>
    <row r="1034" spans="15:59" x14ac:dyDescent="0.35">
      <c r="O1034" s="330">
        <v>3</v>
      </c>
      <c r="P1034" s="36">
        <v>418525</v>
      </c>
      <c r="Q1034" s="36">
        <v>8</v>
      </c>
      <c r="R1034" s="36"/>
      <c r="S1034" s="36" t="s">
        <v>1126</v>
      </c>
      <c r="T1034" s="36" t="s">
        <v>1548</v>
      </c>
      <c r="U1034" s="36">
        <v>1023917</v>
      </c>
      <c r="V1034" s="165" t="s">
        <v>89</v>
      </c>
      <c r="W1034" s="36">
        <v>1</v>
      </c>
      <c r="X1034" s="36">
        <v>1</v>
      </c>
      <c r="Y1034" s="36">
        <v>1</v>
      </c>
      <c r="Z1034" s="36">
        <v>1</v>
      </c>
      <c r="AA1034" s="36">
        <v>1</v>
      </c>
      <c r="AB1034" s="36">
        <v>1</v>
      </c>
      <c r="AC1034" s="36">
        <v>1</v>
      </c>
      <c r="AD1034" s="36">
        <v>1</v>
      </c>
      <c r="AE1034" s="36">
        <v>1</v>
      </c>
      <c r="AF1034" s="36">
        <v>1</v>
      </c>
      <c r="AG1034" s="36">
        <v>3</v>
      </c>
      <c r="AH1034" s="36"/>
      <c r="AI1034" s="36"/>
      <c r="AJ1034" s="36"/>
      <c r="AK1034" s="36"/>
      <c r="AL1034" s="36"/>
      <c r="AM1034" s="36"/>
      <c r="AN1034" s="36">
        <v>2</v>
      </c>
      <c r="AO1034" s="36">
        <v>2</v>
      </c>
      <c r="AP1034" s="36">
        <v>1</v>
      </c>
      <c r="AQ1034" s="36">
        <v>1</v>
      </c>
      <c r="AR1034" s="36">
        <v>1</v>
      </c>
      <c r="AS1034" s="36">
        <v>1</v>
      </c>
      <c r="AT1034" s="36">
        <v>1</v>
      </c>
      <c r="AU1034" s="36">
        <v>1</v>
      </c>
      <c r="AV1034" s="36">
        <v>1</v>
      </c>
      <c r="AW1034" s="36">
        <v>1</v>
      </c>
      <c r="AX1034" s="36"/>
      <c r="AY1034" s="953"/>
      <c r="AZ1034" s="36"/>
      <c r="BA1034" s="36"/>
      <c r="BB1034" s="36"/>
      <c r="BC1034" s="36"/>
      <c r="BD1034" s="36"/>
      <c r="BF1034">
        <f>ROWS($U$46:U1034)</f>
        <v>989</v>
      </c>
      <c r="BG1034" t="str">
        <f t="shared" si="220"/>
        <v/>
      </c>
    </row>
    <row r="1035" spans="15:59" x14ac:dyDescent="0.35">
      <c r="O1035" s="330"/>
      <c r="P1035" s="36"/>
      <c r="Q1035" s="36"/>
      <c r="R1035" s="36"/>
      <c r="S1035" s="36" t="s">
        <v>1126</v>
      </c>
      <c r="T1035" s="36" t="s">
        <v>1548</v>
      </c>
      <c r="U1035" s="36">
        <v>1023917</v>
      </c>
      <c r="V1035" s="165" t="s">
        <v>90</v>
      </c>
      <c r="W1035" s="36">
        <v>1</v>
      </c>
      <c r="X1035" s="36">
        <v>1</v>
      </c>
      <c r="Y1035" s="36">
        <v>1</v>
      </c>
      <c r="Z1035" s="36">
        <v>1</v>
      </c>
      <c r="AA1035" s="36">
        <v>1</v>
      </c>
      <c r="AB1035" s="36">
        <v>1</v>
      </c>
      <c r="AC1035" s="36">
        <v>1</v>
      </c>
      <c r="AD1035" s="36">
        <v>1</v>
      </c>
      <c r="AE1035" s="36">
        <v>1</v>
      </c>
      <c r="AF1035" s="36">
        <v>1</v>
      </c>
      <c r="AG1035" s="36">
        <v>1</v>
      </c>
      <c r="AH1035" s="36">
        <v>1</v>
      </c>
      <c r="AI1035" s="36">
        <v>1</v>
      </c>
      <c r="AJ1035" s="36">
        <v>1</v>
      </c>
      <c r="AK1035" s="36">
        <v>3</v>
      </c>
      <c r="AL1035" s="36"/>
      <c r="AM1035" s="36"/>
      <c r="AN1035" s="36">
        <v>2</v>
      </c>
      <c r="AO1035" s="36">
        <v>2</v>
      </c>
      <c r="AP1035" s="36">
        <v>1</v>
      </c>
      <c r="AQ1035" s="36">
        <v>1</v>
      </c>
      <c r="AR1035" s="36">
        <v>1</v>
      </c>
      <c r="AS1035" s="36">
        <v>1</v>
      </c>
      <c r="AT1035" s="36">
        <v>1</v>
      </c>
      <c r="AU1035" s="36">
        <v>1</v>
      </c>
      <c r="AV1035" s="36">
        <v>1</v>
      </c>
      <c r="AW1035" s="36">
        <v>1</v>
      </c>
      <c r="AX1035" s="36"/>
      <c r="AY1035" s="953"/>
      <c r="AZ1035" s="36"/>
      <c r="BA1035" s="36"/>
      <c r="BB1035" s="36"/>
      <c r="BC1035" s="36"/>
      <c r="BD1035" s="36"/>
      <c r="BF1035">
        <f>ROWS($U$46:U1035)</f>
        <v>990</v>
      </c>
      <c r="BG1035" t="str">
        <f t="shared" si="220"/>
        <v/>
      </c>
    </row>
    <row r="1036" spans="15:59" x14ac:dyDescent="0.35">
      <c r="O1036" s="330"/>
      <c r="P1036" s="36"/>
      <c r="Q1036" s="36"/>
      <c r="R1036" s="36"/>
      <c r="S1036" s="36" t="s">
        <v>1126</v>
      </c>
      <c r="T1036" s="36" t="s">
        <v>1548</v>
      </c>
      <c r="U1036" s="36">
        <v>1023917</v>
      </c>
      <c r="V1036" s="165" t="s">
        <v>91</v>
      </c>
      <c r="W1036" s="36">
        <v>1</v>
      </c>
      <c r="X1036" s="36">
        <v>1</v>
      </c>
      <c r="Y1036" s="36">
        <v>1</v>
      </c>
      <c r="Z1036" s="36">
        <v>1</v>
      </c>
      <c r="AA1036" s="36">
        <v>1</v>
      </c>
      <c r="AB1036" s="36">
        <v>1</v>
      </c>
      <c r="AC1036" s="36">
        <v>1</v>
      </c>
      <c r="AD1036" s="36">
        <v>1</v>
      </c>
      <c r="AE1036" s="36">
        <v>1</v>
      </c>
      <c r="AF1036" s="36">
        <v>3</v>
      </c>
      <c r="AG1036" s="36"/>
      <c r="AH1036" s="36"/>
      <c r="AI1036" s="36"/>
      <c r="AJ1036" s="36"/>
      <c r="AK1036" s="36"/>
      <c r="AL1036" s="36"/>
      <c r="AM1036" s="36"/>
      <c r="AN1036" s="36">
        <v>2</v>
      </c>
      <c r="AO1036" s="36">
        <v>1</v>
      </c>
      <c r="AP1036" s="36">
        <v>1</v>
      </c>
      <c r="AQ1036" s="36">
        <v>1</v>
      </c>
      <c r="AR1036" s="36">
        <v>1</v>
      </c>
      <c r="AS1036" s="36">
        <v>1</v>
      </c>
      <c r="AT1036" s="36">
        <v>1</v>
      </c>
      <c r="AU1036" s="36">
        <v>1</v>
      </c>
      <c r="AV1036" s="36">
        <v>1</v>
      </c>
      <c r="AW1036" s="36"/>
      <c r="AX1036" s="36"/>
      <c r="AY1036" s="953"/>
      <c r="AZ1036" s="36"/>
      <c r="BA1036" s="36"/>
      <c r="BB1036" s="36"/>
      <c r="BC1036" s="36"/>
      <c r="BD1036" s="36"/>
      <c r="BF1036">
        <f>ROWS($U$46:U1036)</f>
        <v>991</v>
      </c>
      <c r="BG1036" t="str">
        <f t="shared" si="220"/>
        <v/>
      </c>
    </row>
    <row r="1037" spans="15:59" x14ac:dyDescent="0.35">
      <c r="O1037" s="330"/>
      <c r="P1037" s="36"/>
      <c r="Q1037" s="36"/>
      <c r="R1037" s="36"/>
      <c r="S1037" s="36" t="s">
        <v>1126</v>
      </c>
      <c r="T1037" s="36" t="s">
        <v>1548</v>
      </c>
      <c r="U1037" s="36">
        <v>1023917</v>
      </c>
      <c r="V1037" s="165" t="s">
        <v>92</v>
      </c>
      <c r="W1037" s="36">
        <v>1</v>
      </c>
      <c r="X1037" s="36">
        <v>1</v>
      </c>
      <c r="Y1037" s="36">
        <v>1</v>
      </c>
      <c r="Z1037" s="36">
        <v>1</v>
      </c>
      <c r="AA1037" s="36">
        <v>1</v>
      </c>
      <c r="AB1037" s="36">
        <v>1</v>
      </c>
      <c r="AC1037" s="36">
        <v>1</v>
      </c>
      <c r="AD1037" s="36">
        <v>1</v>
      </c>
      <c r="AE1037" s="36">
        <v>1</v>
      </c>
      <c r="AF1037" s="36">
        <v>1</v>
      </c>
      <c r="AG1037" s="36">
        <v>1</v>
      </c>
      <c r="AH1037" s="36">
        <v>1</v>
      </c>
      <c r="AI1037" s="36">
        <v>1</v>
      </c>
      <c r="AJ1037" s="36">
        <v>1</v>
      </c>
      <c r="AK1037" s="36">
        <v>3</v>
      </c>
      <c r="AL1037" s="36"/>
      <c r="AM1037" s="36"/>
      <c r="AN1037" s="36">
        <v>2</v>
      </c>
      <c r="AO1037" s="36">
        <v>2</v>
      </c>
      <c r="AP1037" s="36">
        <v>1</v>
      </c>
      <c r="AQ1037" s="36">
        <v>1</v>
      </c>
      <c r="AR1037" s="36">
        <v>1</v>
      </c>
      <c r="AS1037" s="36">
        <v>1</v>
      </c>
      <c r="AT1037" s="36">
        <v>1</v>
      </c>
      <c r="AU1037" s="36">
        <v>1</v>
      </c>
      <c r="AV1037" s="36">
        <v>1</v>
      </c>
      <c r="AW1037" s="36">
        <v>1</v>
      </c>
      <c r="AX1037" s="36"/>
      <c r="AY1037" s="953"/>
      <c r="AZ1037" s="36"/>
      <c r="BA1037" s="36"/>
      <c r="BB1037" s="36"/>
      <c r="BC1037" s="36"/>
      <c r="BD1037" s="36"/>
      <c r="BF1037">
        <f>ROWS($U$46:U1037)</f>
        <v>992</v>
      </c>
      <c r="BG1037" t="str">
        <f t="shared" si="220"/>
        <v/>
      </c>
    </row>
    <row r="1038" spans="15:59" x14ac:dyDescent="0.35">
      <c r="O1038" s="330"/>
      <c r="P1038" s="36"/>
      <c r="Q1038" s="36"/>
      <c r="R1038" s="36"/>
      <c r="S1038" s="36" t="s">
        <v>1126</v>
      </c>
      <c r="T1038" s="36" t="s">
        <v>1548</v>
      </c>
      <c r="U1038" s="36">
        <v>1023917</v>
      </c>
      <c r="V1038" s="165" t="s">
        <v>111</v>
      </c>
      <c r="W1038" s="36">
        <v>1</v>
      </c>
      <c r="X1038" s="36">
        <v>1</v>
      </c>
      <c r="Y1038" s="36">
        <v>1</v>
      </c>
      <c r="Z1038" s="36">
        <v>1</v>
      </c>
      <c r="AA1038" s="36">
        <v>1</v>
      </c>
      <c r="AB1038" s="36">
        <v>1</v>
      </c>
      <c r="AC1038" s="36">
        <v>1</v>
      </c>
      <c r="AD1038" s="36">
        <v>1</v>
      </c>
      <c r="AE1038" s="36">
        <v>1</v>
      </c>
      <c r="AF1038" s="36">
        <v>1</v>
      </c>
      <c r="AG1038" s="36">
        <v>3</v>
      </c>
      <c r="AH1038" s="36"/>
      <c r="AI1038" s="36"/>
      <c r="AJ1038" s="36"/>
      <c r="AK1038" s="36"/>
      <c r="AL1038" s="36"/>
      <c r="AM1038" s="36"/>
      <c r="AN1038" s="36">
        <v>2</v>
      </c>
      <c r="AO1038" s="36">
        <v>2</v>
      </c>
      <c r="AP1038" s="36">
        <v>1</v>
      </c>
      <c r="AQ1038" s="36">
        <v>1</v>
      </c>
      <c r="AR1038" s="36">
        <v>1</v>
      </c>
      <c r="AS1038" s="36">
        <v>1</v>
      </c>
      <c r="AT1038" s="36">
        <v>1</v>
      </c>
      <c r="AU1038" s="36">
        <v>1</v>
      </c>
      <c r="AV1038" s="36">
        <v>1</v>
      </c>
      <c r="AW1038" s="36">
        <v>1</v>
      </c>
      <c r="AX1038" s="36"/>
      <c r="AY1038" s="953"/>
      <c r="AZ1038" s="36"/>
      <c r="BA1038" s="36"/>
      <c r="BB1038" s="36"/>
      <c r="BC1038" s="36"/>
      <c r="BD1038" s="36"/>
      <c r="BF1038">
        <f>ROWS($U$46:U1038)</f>
        <v>993</v>
      </c>
      <c r="BG1038" t="str">
        <f t="shared" si="220"/>
        <v/>
      </c>
    </row>
    <row r="1039" spans="15:59" ht="15" thickBot="1" x14ac:dyDescent="0.4">
      <c r="O1039" s="331"/>
      <c r="P1039" s="328"/>
      <c r="Q1039" s="328"/>
      <c r="R1039" s="328"/>
      <c r="S1039" s="328" t="s">
        <v>1126</v>
      </c>
      <c r="T1039" s="328" t="s">
        <v>1548</v>
      </c>
      <c r="U1039" s="328">
        <v>1023917</v>
      </c>
      <c r="V1039" s="327" t="s">
        <v>112</v>
      </c>
      <c r="W1039" s="328">
        <v>1</v>
      </c>
      <c r="X1039" s="328">
        <v>1</v>
      </c>
      <c r="Y1039" s="328">
        <v>1</v>
      </c>
      <c r="Z1039" s="328">
        <v>1</v>
      </c>
      <c r="AA1039" s="328">
        <v>1</v>
      </c>
      <c r="AB1039" s="328">
        <v>1</v>
      </c>
      <c r="AC1039" s="328">
        <v>1</v>
      </c>
      <c r="AD1039" s="328">
        <v>1</v>
      </c>
      <c r="AE1039" s="328">
        <v>1</v>
      </c>
      <c r="AF1039" s="328">
        <v>1</v>
      </c>
      <c r="AG1039" s="328">
        <v>3</v>
      </c>
      <c r="AH1039" s="328"/>
      <c r="AI1039" s="328"/>
      <c r="AJ1039" s="328"/>
      <c r="AK1039" s="328"/>
      <c r="AL1039" s="328"/>
      <c r="AM1039" s="328"/>
      <c r="AN1039" s="328">
        <v>2</v>
      </c>
      <c r="AO1039" s="328">
        <v>2</v>
      </c>
      <c r="AP1039" s="328">
        <v>1</v>
      </c>
      <c r="AQ1039" s="328">
        <v>1</v>
      </c>
      <c r="AR1039" s="328">
        <v>1</v>
      </c>
      <c r="AS1039" s="328">
        <v>1</v>
      </c>
      <c r="AT1039" s="328">
        <v>1</v>
      </c>
      <c r="AU1039" s="328">
        <v>1</v>
      </c>
      <c r="AV1039" s="328">
        <v>1</v>
      </c>
      <c r="AW1039" s="328">
        <v>1</v>
      </c>
      <c r="AX1039" s="328"/>
      <c r="AY1039" s="954"/>
      <c r="AZ1039" s="36"/>
      <c r="BA1039" s="36"/>
      <c r="BB1039" s="36"/>
      <c r="BC1039" s="36"/>
      <c r="BD1039" s="36"/>
      <c r="BF1039">
        <f>ROWS($U$46:U1039)</f>
        <v>994</v>
      </c>
      <c r="BG1039" t="str">
        <f t="shared" si="220"/>
        <v/>
      </c>
    </row>
    <row r="1040" spans="15:59" x14ac:dyDescent="0.35">
      <c r="O1040" s="329">
        <v>1</v>
      </c>
      <c r="P1040" s="320">
        <v>1130198</v>
      </c>
      <c r="Q1040" s="320">
        <v>74</v>
      </c>
      <c r="R1040" s="320"/>
      <c r="S1040" s="552" t="s">
        <v>1126</v>
      </c>
      <c r="T1040" s="320" t="s">
        <v>1180</v>
      </c>
      <c r="U1040" s="320">
        <v>1083976</v>
      </c>
      <c r="V1040" s="319" t="s">
        <v>87</v>
      </c>
      <c r="W1040" s="320">
        <v>1</v>
      </c>
      <c r="X1040" s="320">
        <v>1</v>
      </c>
      <c r="Y1040" s="320">
        <v>1</v>
      </c>
      <c r="Z1040" s="320">
        <v>1</v>
      </c>
      <c r="AA1040" s="320">
        <v>1</v>
      </c>
      <c r="AB1040" s="320">
        <v>1</v>
      </c>
      <c r="AC1040" s="320">
        <v>1</v>
      </c>
      <c r="AD1040" s="320">
        <v>1</v>
      </c>
      <c r="AE1040" s="320">
        <v>1</v>
      </c>
      <c r="AF1040" s="320">
        <v>1</v>
      </c>
      <c r="AG1040" s="320">
        <v>1</v>
      </c>
      <c r="AH1040" s="320">
        <v>1</v>
      </c>
      <c r="AI1040" s="320">
        <v>1</v>
      </c>
      <c r="AJ1040" s="320">
        <v>4</v>
      </c>
      <c r="AK1040" s="320"/>
      <c r="AL1040" s="320">
        <v>2</v>
      </c>
      <c r="AM1040" s="320">
        <v>2</v>
      </c>
      <c r="AN1040" s="320">
        <v>2</v>
      </c>
      <c r="AO1040" s="320">
        <v>2</v>
      </c>
      <c r="AP1040" s="320">
        <v>3</v>
      </c>
      <c r="AQ1040" s="320">
        <v>3</v>
      </c>
      <c r="AR1040" s="320">
        <v>3</v>
      </c>
      <c r="AS1040" s="320"/>
      <c r="AT1040" s="320"/>
      <c r="AU1040" s="320"/>
      <c r="AV1040" s="320"/>
      <c r="AW1040" s="320"/>
      <c r="AX1040" s="320"/>
      <c r="AY1040" s="952"/>
      <c r="AZ1040" s="36"/>
      <c r="BA1040" s="36"/>
      <c r="BB1040" s="36"/>
      <c r="BC1040" s="36"/>
      <c r="BD1040" s="36"/>
      <c r="BF1040">
        <f>ROWS($U$46:U1040)</f>
        <v>995</v>
      </c>
      <c r="BG1040" t="str">
        <f t="shared" si="220"/>
        <v/>
      </c>
    </row>
    <row r="1041" spans="15:59" x14ac:dyDescent="0.35">
      <c r="O1041" s="330">
        <v>2</v>
      </c>
      <c r="P1041" s="36">
        <v>983150</v>
      </c>
      <c r="Q1041" s="36">
        <v>33</v>
      </c>
      <c r="R1041" s="36"/>
      <c r="S1041" s="553" t="s">
        <v>1126</v>
      </c>
      <c r="T1041" s="36" t="s">
        <v>1180</v>
      </c>
      <c r="U1041" s="36">
        <v>1083976</v>
      </c>
      <c r="V1041" s="165" t="s">
        <v>88</v>
      </c>
      <c r="W1041" s="36">
        <v>1</v>
      </c>
      <c r="X1041" s="36">
        <v>1</v>
      </c>
      <c r="Y1041" s="36">
        <v>1</v>
      </c>
      <c r="Z1041" s="36">
        <v>1</v>
      </c>
      <c r="AA1041" s="36">
        <v>1</v>
      </c>
      <c r="AB1041" s="36">
        <v>1</v>
      </c>
      <c r="AC1041" s="36">
        <v>1</v>
      </c>
      <c r="AD1041" s="36">
        <v>1</v>
      </c>
      <c r="AE1041" s="36">
        <v>1</v>
      </c>
      <c r="AF1041" s="36">
        <v>4</v>
      </c>
      <c r="AG1041" s="36"/>
      <c r="AH1041" s="36"/>
      <c r="AI1041" s="36"/>
      <c r="AJ1041" s="36"/>
      <c r="AK1041" s="36"/>
      <c r="AL1041" s="36">
        <v>2</v>
      </c>
      <c r="AM1041" s="36">
        <v>2</v>
      </c>
      <c r="AN1041" s="36">
        <v>2</v>
      </c>
      <c r="AO1041" s="36">
        <v>2</v>
      </c>
      <c r="AP1041" s="36">
        <v>2</v>
      </c>
      <c r="AQ1041" s="36">
        <v>3</v>
      </c>
      <c r="AR1041" s="36">
        <v>3</v>
      </c>
      <c r="AS1041" s="36">
        <v>3</v>
      </c>
      <c r="AT1041" s="36"/>
      <c r="AU1041" s="36"/>
      <c r="AV1041" s="36"/>
      <c r="AW1041" s="36"/>
      <c r="AX1041" s="36"/>
      <c r="AY1041" s="953"/>
      <c r="AZ1041" s="36"/>
      <c r="BA1041" s="36"/>
      <c r="BB1041" s="36"/>
      <c r="BC1041" s="36"/>
      <c r="BD1041" s="36"/>
      <c r="BF1041">
        <f>ROWS($U$46:U1041)</f>
        <v>996</v>
      </c>
      <c r="BG1041" t="str">
        <f t="shared" si="220"/>
        <v/>
      </c>
    </row>
    <row r="1042" spans="15:59" x14ac:dyDescent="0.35">
      <c r="O1042" s="330">
        <v>3</v>
      </c>
      <c r="P1042" s="36">
        <v>625854</v>
      </c>
      <c r="Q1042" s="36">
        <v>21</v>
      </c>
      <c r="R1042" s="36"/>
      <c r="S1042" s="553" t="s">
        <v>1126</v>
      </c>
      <c r="T1042" s="36" t="s">
        <v>1180</v>
      </c>
      <c r="U1042" s="36">
        <v>1083976</v>
      </c>
      <c r="V1042" s="165" t="s">
        <v>89</v>
      </c>
      <c r="W1042" s="36">
        <v>1</v>
      </c>
      <c r="X1042" s="36">
        <v>1</v>
      </c>
      <c r="Y1042" s="36">
        <v>1</v>
      </c>
      <c r="Z1042" s="36">
        <v>1</v>
      </c>
      <c r="AA1042" s="36">
        <v>1</v>
      </c>
      <c r="AB1042" s="36">
        <v>1</v>
      </c>
      <c r="AC1042" s="36">
        <v>1</v>
      </c>
      <c r="AD1042" s="36">
        <v>1</v>
      </c>
      <c r="AE1042" s="36">
        <v>1</v>
      </c>
      <c r="AF1042" s="36">
        <v>1</v>
      </c>
      <c r="AG1042" s="36">
        <v>1</v>
      </c>
      <c r="AH1042" s="36">
        <v>1</v>
      </c>
      <c r="AI1042" s="36">
        <v>1</v>
      </c>
      <c r="AJ1042" s="36">
        <v>4</v>
      </c>
      <c r="AK1042" s="36"/>
      <c r="AL1042" s="36">
        <v>2</v>
      </c>
      <c r="AM1042" s="36">
        <v>2</v>
      </c>
      <c r="AN1042" s="36">
        <v>2</v>
      </c>
      <c r="AO1042" s="36">
        <v>2</v>
      </c>
      <c r="AP1042" s="36">
        <v>2</v>
      </c>
      <c r="AQ1042" s="36">
        <v>3</v>
      </c>
      <c r="AR1042" s="36">
        <v>3</v>
      </c>
      <c r="AS1042" s="36">
        <v>3</v>
      </c>
      <c r="AT1042" s="36"/>
      <c r="AU1042" s="36"/>
      <c r="AV1042" s="36"/>
      <c r="AW1042" s="36"/>
      <c r="AX1042" s="36"/>
      <c r="AY1042" s="953"/>
      <c r="AZ1042" s="36"/>
      <c r="BA1042" s="36"/>
      <c r="BB1042" s="36"/>
      <c r="BC1042" s="36"/>
      <c r="BD1042" s="36"/>
      <c r="BF1042">
        <f>ROWS($U$46:U1042)</f>
        <v>997</v>
      </c>
      <c r="BG1042" t="str">
        <f t="shared" si="220"/>
        <v/>
      </c>
    </row>
    <row r="1043" spans="15:59" x14ac:dyDescent="0.35">
      <c r="O1043" s="330">
        <v>4</v>
      </c>
      <c r="P1043" s="36">
        <v>418525</v>
      </c>
      <c r="Q1043" s="36">
        <v>7</v>
      </c>
      <c r="R1043" s="36"/>
      <c r="S1043" s="553" t="s">
        <v>1126</v>
      </c>
      <c r="T1043" s="36" t="s">
        <v>1180</v>
      </c>
      <c r="U1043" s="36">
        <v>1083976</v>
      </c>
      <c r="V1043" s="165" t="s">
        <v>90</v>
      </c>
      <c r="W1043" s="36">
        <v>1</v>
      </c>
      <c r="X1043" s="36">
        <v>1</v>
      </c>
      <c r="Y1043" s="36">
        <v>1</v>
      </c>
      <c r="Z1043" s="36">
        <v>1</v>
      </c>
      <c r="AA1043" s="36">
        <v>1</v>
      </c>
      <c r="AB1043" s="36">
        <v>1</v>
      </c>
      <c r="AC1043" s="36">
        <v>1</v>
      </c>
      <c r="AD1043" s="36">
        <v>1</v>
      </c>
      <c r="AE1043" s="36">
        <v>1</v>
      </c>
      <c r="AF1043" s="36">
        <v>4</v>
      </c>
      <c r="AG1043" s="36"/>
      <c r="AH1043" s="36"/>
      <c r="AI1043" s="36"/>
      <c r="AJ1043" s="36"/>
      <c r="AK1043" s="36"/>
      <c r="AL1043" s="36">
        <v>2</v>
      </c>
      <c r="AM1043" s="36">
        <v>2</v>
      </c>
      <c r="AN1043" s="36">
        <v>2</v>
      </c>
      <c r="AO1043" s="36">
        <v>2</v>
      </c>
      <c r="AP1043" s="36">
        <v>2</v>
      </c>
      <c r="AQ1043" s="36">
        <v>3</v>
      </c>
      <c r="AR1043" s="36">
        <v>3</v>
      </c>
      <c r="AS1043" s="36">
        <v>3</v>
      </c>
      <c r="AT1043" s="36"/>
      <c r="AU1043" s="36"/>
      <c r="AV1043" s="36"/>
      <c r="AW1043" s="36"/>
      <c r="AX1043" s="36"/>
      <c r="AY1043" s="953"/>
      <c r="AZ1043" s="36"/>
      <c r="BA1043" s="36"/>
      <c r="BB1043" s="36"/>
      <c r="BC1043" s="36"/>
      <c r="BD1043" s="36"/>
      <c r="BF1043">
        <f>ROWS($U$46:U1043)</f>
        <v>998</v>
      </c>
      <c r="BG1043" t="str">
        <f t="shared" si="220"/>
        <v/>
      </c>
    </row>
    <row r="1044" spans="15:59" x14ac:dyDescent="0.35">
      <c r="O1044" s="330"/>
      <c r="P1044" s="36"/>
      <c r="Q1044" s="36"/>
      <c r="R1044" s="36"/>
      <c r="S1044" s="553" t="s">
        <v>1126</v>
      </c>
      <c r="T1044" s="36" t="s">
        <v>1180</v>
      </c>
      <c r="U1044" s="36">
        <v>1083976</v>
      </c>
      <c r="V1044" s="165" t="s">
        <v>91</v>
      </c>
      <c r="W1044" s="36">
        <v>1</v>
      </c>
      <c r="X1044" s="36">
        <v>1</v>
      </c>
      <c r="Y1044" s="36">
        <v>1</v>
      </c>
      <c r="Z1044" s="36">
        <v>1</v>
      </c>
      <c r="AA1044" s="36">
        <v>1</v>
      </c>
      <c r="AB1044" s="36">
        <v>1</v>
      </c>
      <c r="AC1044" s="36">
        <v>1</v>
      </c>
      <c r="AD1044" s="36">
        <v>1</v>
      </c>
      <c r="AE1044" s="36">
        <v>1</v>
      </c>
      <c r="AF1044" s="36">
        <v>1</v>
      </c>
      <c r="AG1044" s="36">
        <v>1</v>
      </c>
      <c r="AH1044" s="36">
        <v>1</v>
      </c>
      <c r="AI1044" s="36">
        <v>1</v>
      </c>
      <c r="AJ1044" s="36">
        <v>4</v>
      </c>
      <c r="AK1044" s="36"/>
      <c r="AL1044" s="36">
        <v>2</v>
      </c>
      <c r="AM1044" s="36">
        <v>2</v>
      </c>
      <c r="AN1044" s="36">
        <v>2</v>
      </c>
      <c r="AO1044" s="36">
        <v>2</v>
      </c>
      <c r="AP1044" s="36">
        <v>2</v>
      </c>
      <c r="AQ1044" s="36">
        <v>3</v>
      </c>
      <c r="AR1044" s="36">
        <v>3</v>
      </c>
      <c r="AS1044" s="36">
        <v>3</v>
      </c>
      <c r="AT1044" s="36"/>
      <c r="AU1044" s="36"/>
      <c r="AV1044" s="36"/>
      <c r="AW1044" s="36"/>
      <c r="AX1044" s="36"/>
      <c r="AY1044" s="953"/>
      <c r="AZ1044" s="36"/>
      <c r="BA1044" s="36"/>
      <c r="BB1044" s="36"/>
      <c r="BC1044" s="36"/>
      <c r="BD1044" s="36"/>
      <c r="BF1044">
        <f>ROWS($U$46:U1044)</f>
        <v>999</v>
      </c>
      <c r="BG1044" t="str">
        <f t="shared" si="220"/>
        <v/>
      </c>
    </row>
    <row r="1045" spans="15:59" x14ac:dyDescent="0.35">
      <c r="O1045" s="330"/>
      <c r="P1045" s="36"/>
      <c r="Q1045" s="36"/>
      <c r="R1045" s="36"/>
      <c r="S1045" s="553" t="s">
        <v>1126</v>
      </c>
      <c r="T1045" s="36" t="s">
        <v>1180</v>
      </c>
      <c r="U1045" s="36">
        <v>1083976</v>
      </c>
      <c r="V1045" s="165" t="s">
        <v>92</v>
      </c>
      <c r="W1045" s="36">
        <v>1</v>
      </c>
      <c r="X1045" s="36">
        <v>1</v>
      </c>
      <c r="Y1045" s="36">
        <v>1</v>
      </c>
      <c r="Z1045" s="36">
        <v>1</v>
      </c>
      <c r="AA1045" s="36">
        <v>1</v>
      </c>
      <c r="AB1045" s="36">
        <v>1</v>
      </c>
      <c r="AC1045" s="36">
        <v>1</v>
      </c>
      <c r="AD1045" s="36">
        <v>1</v>
      </c>
      <c r="AE1045" s="36">
        <v>1</v>
      </c>
      <c r="AF1045" s="36">
        <v>4</v>
      </c>
      <c r="AG1045" s="36"/>
      <c r="AH1045" s="36"/>
      <c r="AI1045" s="36"/>
      <c r="AJ1045" s="36"/>
      <c r="AK1045" s="36"/>
      <c r="AL1045" s="36">
        <v>2</v>
      </c>
      <c r="AM1045" s="36">
        <v>2</v>
      </c>
      <c r="AN1045" s="36">
        <v>2</v>
      </c>
      <c r="AO1045" s="36">
        <v>2</v>
      </c>
      <c r="AP1045" s="36">
        <v>2</v>
      </c>
      <c r="AQ1045" s="36">
        <v>3</v>
      </c>
      <c r="AR1045" s="36">
        <v>3</v>
      </c>
      <c r="AS1045" s="36">
        <v>3</v>
      </c>
      <c r="AT1045" s="36"/>
      <c r="AU1045" s="36"/>
      <c r="AV1045" s="36"/>
      <c r="AW1045" s="36"/>
      <c r="AX1045" s="36"/>
      <c r="AY1045" s="953"/>
      <c r="AZ1045" s="36"/>
      <c r="BA1045" s="36"/>
      <c r="BB1045" s="36"/>
      <c r="BC1045" s="36"/>
      <c r="BD1045" s="36"/>
      <c r="BF1045">
        <f>ROWS($U$46:U1045)</f>
        <v>1000</v>
      </c>
      <c r="BG1045" t="str">
        <f t="shared" si="220"/>
        <v/>
      </c>
    </row>
    <row r="1046" spans="15:59" ht="15" thickBot="1" x14ac:dyDescent="0.4">
      <c r="O1046" s="331"/>
      <c r="P1046" s="328"/>
      <c r="Q1046" s="328"/>
      <c r="R1046" s="328"/>
      <c r="S1046" s="554" t="s">
        <v>1126</v>
      </c>
      <c r="T1046" s="328" t="s">
        <v>1180</v>
      </c>
      <c r="U1046" s="328">
        <v>1083976</v>
      </c>
      <c r="V1046" s="327" t="s">
        <v>111</v>
      </c>
      <c r="W1046" s="328">
        <v>1</v>
      </c>
      <c r="X1046" s="328">
        <v>1</v>
      </c>
      <c r="Y1046" s="328">
        <v>1</v>
      </c>
      <c r="Z1046" s="328">
        <v>1</v>
      </c>
      <c r="AA1046" s="328">
        <v>1</v>
      </c>
      <c r="AB1046" s="328">
        <v>1</v>
      </c>
      <c r="AC1046" s="328">
        <v>1</v>
      </c>
      <c r="AD1046" s="328">
        <v>1</v>
      </c>
      <c r="AE1046" s="328">
        <v>4</v>
      </c>
      <c r="AF1046" s="328"/>
      <c r="AG1046" s="328"/>
      <c r="AH1046" s="328"/>
      <c r="AI1046" s="328"/>
      <c r="AJ1046" s="328"/>
      <c r="AK1046" s="328"/>
      <c r="AL1046" s="328">
        <v>2</v>
      </c>
      <c r="AM1046" s="328">
        <v>2</v>
      </c>
      <c r="AN1046" s="328">
        <v>2</v>
      </c>
      <c r="AO1046" s="328">
        <v>2</v>
      </c>
      <c r="AP1046" s="328">
        <v>3</v>
      </c>
      <c r="AQ1046" s="328">
        <v>3</v>
      </c>
      <c r="AR1046" s="328">
        <v>3</v>
      </c>
      <c r="AS1046" s="328"/>
      <c r="AT1046" s="328"/>
      <c r="AU1046" s="328"/>
      <c r="AV1046" s="328"/>
      <c r="AW1046" s="328"/>
      <c r="AX1046" s="328"/>
      <c r="AY1046" s="954"/>
      <c r="AZ1046" s="36"/>
      <c r="BA1046" s="36"/>
      <c r="BB1046" s="36"/>
      <c r="BC1046" s="36"/>
      <c r="BD1046" s="36"/>
      <c r="BF1046">
        <f>ROWS($U$46:U1046)</f>
        <v>1001</v>
      </c>
      <c r="BG1046" t="str">
        <f t="shared" si="220"/>
        <v/>
      </c>
    </row>
    <row r="1047" spans="15:59" x14ac:dyDescent="0.35">
      <c r="O1047" s="329">
        <v>1</v>
      </c>
      <c r="P1047" s="320">
        <v>1130194</v>
      </c>
      <c r="Q1047" s="320">
        <v>26</v>
      </c>
      <c r="R1047" s="320"/>
      <c r="S1047" s="552" t="s">
        <v>1421</v>
      </c>
      <c r="T1047" s="320" t="s">
        <v>1422</v>
      </c>
      <c r="U1047" s="320">
        <v>960723</v>
      </c>
      <c r="V1047" s="319" t="s">
        <v>87</v>
      </c>
      <c r="W1047" s="320">
        <v>2</v>
      </c>
      <c r="X1047" s="320">
        <v>2</v>
      </c>
      <c r="Y1047" s="320">
        <v>2</v>
      </c>
      <c r="Z1047" s="320">
        <v>1</v>
      </c>
      <c r="AA1047" s="320">
        <v>1</v>
      </c>
      <c r="AB1047" s="320">
        <v>3</v>
      </c>
      <c r="AC1047" s="320">
        <v>3</v>
      </c>
      <c r="AD1047" s="320"/>
      <c r="AE1047" s="320">
        <v>1</v>
      </c>
      <c r="AF1047" s="320">
        <v>1</v>
      </c>
      <c r="AG1047" s="320">
        <v>1</v>
      </c>
      <c r="AH1047" s="320"/>
      <c r="AI1047" s="320"/>
      <c r="AJ1047" s="320"/>
      <c r="AK1047" s="320"/>
      <c r="AL1047" s="320"/>
      <c r="AM1047" s="320"/>
      <c r="AN1047" s="320"/>
      <c r="AO1047" s="320"/>
      <c r="AP1047" s="320"/>
      <c r="AQ1047" s="320"/>
      <c r="AR1047" s="320"/>
      <c r="AS1047" s="320"/>
      <c r="AT1047" s="320"/>
      <c r="AU1047" s="320"/>
      <c r="AV1047" s="320"/>
      <c r="AW1047" s="320"/>
      <c r="AX1047" s="320"/>
      <c r="AY1047" s="952"/>
      <c r="AZ1047" s="36"/>
      <c r="BA1047" s="36"/>
      <c r="BB1047" s="36"/>
      <c r="BC1047" s="36"/>
      <c r="BD1047" s="36"/>
      <c r="BF1047">
        <f>ROWS($U$46:U1047)</f>
        <v>1002</v>
      </c>
      <c r="BG1047" t="str">
        <f t="shared" si="220"/>
        <v/>
      </c>
    </row>
    <row r="1048" spans="15:59" x14ac:dyDescent="0.35">
      <c r="O1048" s="330">
        <v>2</v>
      </c>
      <c r="P1048" s="36">
        <v>1130193</v>
      </c>
      <c r="Q1048" s="36">
        <v>8</v>
      </c>
      <c r="R1048" s="36"/>
      <c r="S1048" s="553" t="s">
        <v>1421</v>
      </c>
      <c r="T1048" s="36" t="s">
        <v>1422</v>
      </c>
      <c r="U1048" s="36">
        <v>960723</v>
      </c>
      <c r="V1048" s="165" t="s">
        <v>88</v>
      </c>
      <c r="W1048" s="36">
        <v>1</v>
      </c>
      <c r="X1048" s="36">
        <v>1</v>
      </c>
      <c r="Y1048" s="36">
        <v>1</v>
      </c>
      <c r="Z1048" s="36">
        <v>3</v>
      </c>
      <c r="AA1048" s="36">
        <v>3</v>
      </c>
      <c r="AB1048" s="36"/>
      <c r="AC1048" s="36"/>
      <c r="AD1048" s="36"/>
      <c r="AE1048" s="36">
        <v>1</v>
      </c>
      <c r="AF1048" s="36">
        <v>1</v>
      </c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  <c r="AV1048" s="36"/>
      <c r="AW1048" s="36"/>
      <c r="AX1048" s="36"/>
      <c r="AY1048" s="953"/>
      <c r="AZ1048" s="36"/>
      <c r="BA1048" s="36"/>
      <c r="BB1048" s="36"/>
      <c r="BC1048" s="36"/>
      <c r="BD1048" s="36"/>
      <c r="BF1048">
        <f>ROWS($U$46:U1048)</f>
        <v>1003</v>
      </c>
      <c r="BG1048" t="str">
        <f t="shared" si="220"/>
        <v/>
      </c>
    </row>
    <row r="1049" spans="15:59" x14ac:dyDescent="0.35">
      <c r="O1049" s="330">
        <v>3</v>
      </c>
      <c r="P1049" s="36">
        <v>882800</v>
      </c>
      <c r="Q1049" s="36">
        <v>10</v>
      </c>
      <c r="R1049" s="36"/>
      <c r="S1049" s="553" t="s">
        <v>1421</v>
      </c>
      <c r="T1049" s="36" t="s">
        <v>1422</v>
      </c>
      <c r="U1049" s="36">
        <v>960723</v>
      </c>
      <c r="V1049" s="165" t="s">
        <v>89</v>
      </c>
      <c r="W1049" s="36">
        <v>2</v>
      </c>
      <c r="X1049" s="36">
        <v>1</v>
      </c>
      <c r="Y1049" s="36">
        <v>1</v>
      </c>
      <c r="Z1049" s="36">
        <v>1</v>
      </c>
      <c r="AA1049" s="36">
        <v>3</v>
      </c>
      <c r="AB1049" s="36">
        <v>3</v>
      </c>
      <c r="AC1049" s="36"/>
      <c r="AD1049" s="36"/>
      <c r="AE1049" s="36">
        <v>1</v>
      </c>
      <c r="AF1049" s="36">
        <v>1</v>
      </c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  <c r="AV1049" s="36"/>
      <c r="AW1049" s="36"/>
      <c r="AX1049" s="36"/>
      <c r="AY1049" s="953"/>
      <c r="AZ1049" s="36"/>
      <c r="BA1049" s="36"/>
      <c r="BB1049" s="36"/>
      <c r="BC1049" s="36"/>
      <c r="BD1049" s="36"/>
      <c r="BF1049">
        <f>ROWS($U$46:U1049)</f>
        <v>1004</v>
      </c>
      <c r="BG1049" t="str">
        <f t="shared" si="220"/>
        <v/>
      </c>
    </row>
    <row r="1050" spans="15:59" x14ac:dyDescent="0.35">
      <c r="O1050" s="330"/>
      <c r="P1050" s="36"/>
      <c r="Q1050" s="36"/>
      <c r="R1050" s="36"/>
      <c r="S1050" s="553" t="s">
        <v>1421</v>
      </c>
      <c r="T1050" s="36" t="s">
        <v>1422</v>
      </c>
      <c r="U1050" s="36">
        <v>960723</v>
      </c>
      <c r="V1050" s="165" t="s">
        <v>90</v>
      </c>
      <c r="W1050" s="36">
        <v>2</v>
      </c>
      <c r="X1050" s="36">
        <v>2</v>
      </c>
      <c r="Y1050" s="36">
        <v>1</v>
      </c>
      <c r="Z1050" s="36">
        <v>1</v>
      </c>
      <c r="AA1050" s="36">
        <v>1</v>
      </c>
      <c r="AB1050" s="36">
        <v>3</v>
      </c>
      <c r="AC1050" s="36">
        <v>3</v>
      </c>
      <c r="AD1050" s="36"/>
      <c r="AE1050" s="36">
        <v>1</v>
      </c>
      <c r="AF1050" s="36">
        <v>1</v>
      </c>
      <c r="AG1050" s="36">
        <v>1</v>
      </c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  <c r="AV1050" s="36"/>
      <c r="AW1050" s="36"/>
      <c r="AX1050" s="36"/>
      <c r="AY1050" s="953"/>
      <c r="AZ1050" s="36"/>
      <c r="BA1050" s="36"/>
      <c r="BB1050" s="36"/>
      <c r="BC1050" s="36"/>
      <c r="BD1050" s="36"/>
      <c r="BF1050">
        <f>ROWS($U$46:U1050)</f>
        <v>1005</v>
      </c>
      <c r="BG1050" t="str">
        <f t="shared" si="220"/>
        <v/>
      </c>
    </row>
    <row r="1051" spans="15:59" ht="15" thickBot="1" x14ac:dyDescent="0.4">
      <c r="O1051" s="331"/>
      <c r="P1051" s="328"/>
      <c r="Q1051" s="328"/>
      <c r="R1051" s="328"/>
      <c r="S1051" s="554" t="s">
        <v>1421</v>
      </c>
      <c r="T1051" s="328" t="s">
        <v>1422</v>
      </c>
      <c r="U1051" s="328">
        <v>960723</v>
      </c>
      <c r="V1051" s="327" t="s">
        <v>91</v>
      </c>
      <c r="W1051" s="328">
        <v>2</v>
      </c>
      <c r="X1051" s="328">
        <v>2</v>
      </c>
      <c r="Y1051" s="328">
        <v>1</v>
      </c>
      <c r="Z1051" s="328">
        <v>1</v>
      </c>
      <c r="AA1051" s="328">
        <v>3</v>
      </c>
      <c r="AB1051" s="328">
        <v>3</v>
      </c>
      <c r="AC1051" s="328"/>
      <c r="AD1051" s="328"/>
      <c r="AE1051" s="328">
        <v>1</v>
      </c>
      <c r="AF1051" s="328">
        <v>1</v>
      </c>
      <c r="AG1051" s="328">
        <v>1</v>
      </c>
      <c r="AH1051" s="328"/>
      <c r="AI1051" s="328"/>
      <c r="AJ1051" s="328"/>
      <c r="AK1051" s="328"/>
      <c r="AL1051" s="328"/>
      <c r="AM1051" s="328"/>
      <c r="AN1051" s="328"/>
      <c r="AO1051" s="328"/>
      <c r="AP1051" s="328"/>
      <c r="AQ1051" s="328"/>
      <c r="AR1051" s="328"/>
      <c r="AS1051" s="328"/>
      <c r="AT1051" s="328"/>
      <c r="AU1051" s="328"/>
      <c r="AV1051" s="328"/>
      <c r="AW1051" s="328"/>
      <c r="AX1051" s="328"/>
      <c r="AY1051" s="954"/>
      <c r="AZ1051" s="36"/>
      <c r="BA1051" s="36"/>
      <c r="BB1051" s="36"/>
      <c r="BC1051" s="36"/>
      <c r="BD1051" s="36"/>
      <c r="BF1051">
        <f>ROWS($U$46:U1051)</f>
        <v>1006</v>
      </c>
      <c r="BG1051" t="str">
        <f t="shared" si="220"/>
        <v/>
      </c>
    </row>
    <row r="1052" spans="15:59" x14ac:dyDescent="0.35">
      <c r="O1052" s="329">
        <v>1</v>
      </c>
      <c r="P1052" s="320">
        <v>1130200</v>
      </c>
      <c r="Q1052" s="320">
        <v>87</v>
      </c>
      <c r="R1052" s="320"/>
      <c r="S1052" s="320" t="s">
        <v>1482</v>
      </c>
      <c r="T1052" s="320" t="s">
        <v>1552</v>
      </c>
      <c r="U1052" s="320">
        <v>1094991</v>
      </c>
      <c r="V1052" s="319" t="s">
        <v>87</v>
      </c>
      <c r="W1052" s="320">
        <v>4</v>
      </c>
      <c r="X1052" s="320">
        <v>4</v>
      </c>
      <c r="Y1052" s="320">
        <v>4</v>
      </c>
      <c r="Z1052" s="320">
        <v>4</v>
      </c>
      <c r="AA1052" s="320">
        <v>3</v>
      </c>
      <c r="AB1052" s="320">
        <v>3</v>
      </c>
      <c r="AC1052" s="320">
        <v>3</v>
      </c>
      <c r="AD1052" s="320">
        <v>1</v>
      </c>
      <c r="AE1052" s="320">
        <v>1</v>
      </c>
      <c r="AF1052" s="320">
        <v>1</v>
      </c>
      <c r="AG1052" s="320">
        <v>1</v>
      </c>
      <c r="AH1052" s="320">
        <v>1</v>
      </c>
      <c r="AI1052" s="320">
        <v>1</v>
      </c>
      <c r="AJ1052" s="320">
        <v>1</v>
      </c>
      <c r="AK1052" s="320">
        <v>1</v>
      </c>
      <c r="AL1052" s="320">
        <v>1</v>
      </c>
      <c r="AM1052" s="320">
        <v>1</v>
      </c>
      <c r="AN1052" s="320">
        <v>1</v>
      </c>
      <c r="AO1052" s="320">
        <v>5</v>
      </c>
      <c r="AP1052" s="320">
        <v>7</v>
      </c>
      <c r="AQ1052" s="320">
        <v>6</v>
      </c>
      <c r="AR1052" s="320">
        <v>6</v>
      </c>
      <c r="AS1052" s="320">
        <v>6</v>
      </c>
      <c r="AT1052" s="320">
        <v>2</v>
      </c>
      <c r="AU1052" s="320">
        <v>2</v>
      </c>
      <c r="AV1052" s="320">
        <v>2</v>
      </c>
      <c r="AW1052" s="320">
        <v>2</v>
      </c>
      <c r="AX1052" s="320">
        <v>2</v>
      </c>
      <c r="AY1052" s="952">
        <v>2</v>
      </c>
      <c r="AZ1052" s="36">
        <v>2</v>
      </c>
      <c r="BA1052" s="36">
        <v>2</v>
      </c>
      <c r="BB1052" s="36">
        <v>2</v>
      </c>
      <c r="BC1052" s="36">
        <v>2</v>
      </c>
      <c r="BD1052" s="36">
        <v>2</v>
      </c>
      <c r="BF1052">
        <f>ROWS($U$46:U1052)</f>
        <v>1007</v>
      </c>
      <c r="BG1052" t="str">
        <f t="shared" si="220"/>
        <v/>
      </c>
    </row>
    <row r="1053" spans="15:59" x14ac:dyDescent="0.35">
      <c r="O1053" s="330">
        <v>2</v>
      </c>
      <c r="P1053" s="36">
        <v>708306</v>
      </c>
      <c r="Q1053" s="36">
        <v>63</v>
      </c>
      <c r="R1053" s="36"/>
      <c r="S1053" s="36" t="s">
        <v>1482</v>
      </c>
      <c r="T1053" s="36" t="s">
        <v>1552</v>
      </c>
      <c r="U1053" s="36">
        <v>1094991</v>
      </c>
      <c r="V1053" s="165" t="s">
        <v>88</v>
      </c>
      <c r="W1053" s="36">
        <v>3</v>
      </c>
      <c r="X1053" s="36">
        <v>1</v>
      </c>
      <c r="Y1053" s="36">
        <v>1</v>
      </c>
      <c r="Z1053" s="36">
        <v>1</v>
      </c>
      <c r="AA1053" s="36">
        <v>1</v>
      </c>
      <c r="AB1053" s="36">
        <v>1</v>
      </c>
      <c r="AC1053" s="36">
        <v>1</v>
      </c>
      <c r="AD1053" s="36">
        <v>1</v>
      </c>
      <c r="AE1053" s="36">
        <v>1</v>
      </c>
      <c r="AF1053" s="36">
        <v>1</v>
      </c>
      <c r="AG1053" s="36">
        <v>1</v>
      </c>
      <c r="AH1053" s="36">
        <v>1</v>
      </c>
      <c r="AI1053" s="36">
        <v>5</v>
      </c>
      <c r="AJ1053" s="36">
        <v>5</v>
      </c>
      <c r="AK1053" s="36"/>
      <c r="AL1053" s="36"/>
      <c r="AM1053" s="36"/>
      <c r="AN1053" s="36"/>
      <c r="AO1053" s="36"/>
      <c r="AP1053" s="36"/>
      <c r="AQ1053" s="36">
        <v>2</v>
      </c>
      <c r="AR1053" s="36">
        <v>2</v>
      </c>
      <c r="AS1053" s="36">
        <v>2</v>
      </c>
      <c r="AT1053" s="36">
        <v>2</v>
      </c>
      <c r="AU1053" s="36">
        <v>2</v>
      </c>
      <c r="AV1053" s="36">
        <v>6</v>
      </c>
      <c r="AW1053" s="36">
        <v>6</v>
      </c>
      <c r="AX1053" s="36">
        <v>6</v>
      </c>
      <c r="AY1053" s="953">
        <v>6</v>
      </c>
      <c r="AZ1053" s="36">
        <v>6</v>
      </c>
      <c r="BA1053" s="36">
        <v>6</v>
      </c>
      <c r="BB1053" s="36"/>
      <c r="BC1053" s="36"/>
      <c r="BD1053" s="36"/>
      <c r="BF1053">
        <f>ROWS($U$46:U1053)</f>
        <v>1008</v>
      </c>
      <c r="BG1053" t="str">
        <f t="shared" si="220"/>
        <v/>
      </c>
    </row>
    <row r="1054" spans="15:59" x14ac:dyDescent="0.35">
      <c r="O1054" s="330">
        <v>3</v>
      </c>
      <c r="P1054" s="36">
        <v>755975</v>
      </c>
      <c r="Q1054" s="36">
        <v>16</v>
      </c>
      <c r="R1054" s="36"/>
      <c r="S1054" s="36" t="s">
        <v>1482</v>
      </c>
      <c r="T1054" s="36" t="s">
        <v>1552</v>
      </c>
      <c r="U1054" s="36">
        <v>1094991</v>
      </c>
      <c r="V1054" s="165" t="s">
        <v>89</v>
      </c>
      <c r="W1054" s="36">
        <v>4</v>
      </c>
      <c r="X1054" s="36">
        <v>4</v>
      </c>
      <c r="Y1054" s="36">
        <v>4</v>
      </c>
      <c r="Z1054" s="36">
        <v>3</v>
      </c>
      <c r="AA1054" s="36">
        <v>3</v>
      </c>
      <c r="AB1054" s="36">
        <v>3</v>
      </c>
      <c r="AC1054" s="36">
        <v>1</v>
      </c>
      <c r="AD1054" s="36">
        <v>1</v>
      </c>
      <c r="AE1054" s="36">
        <v>1</v>
      </c>
      <c r="AF1054" s="36">
        <v>1</v>
      </c>
      <c r="AG1054" s="36">
        <v>1</v>
      </c>
      <c r="AH1054" s="36">
        <v>1</v>
      </c>
      <c r="AI1054" s="36">
        <v>1</v>
      </c>
      <c r="AJ1054" s="36">
        <v>1</v>
      </c>
      <c r="AK1054" s="36">
        <v>1</v>
      </c>
      <c r="AL1054" s="36">
        <v>1</v>
      </c>
      <c r="AM1054" s="36">
        <v>1</v>
      </c>
      <c r="AN1054" s="36">
        <v>5</v>
      </c>
      <c r="AO1054" s="36">
        <v>7</v>
      </c>
      <c r="AP1054" s="36"/>
      <c r="AQ1054" s="36">
        <v>6</v>
      </c>
      <c r="AR1054" s="36">
        <v>6</v>
      </c>
      <c r="AS1054" s="36">
        <v>6</v>
      </c>
      <c r="AT1054" s="36">
        <v>2</v>
      </c>
      <c r="AU1054" s="36">
        <v>2</v>
      </c>
      <c r="AV1054" s="36">
        <v>2</v>
      </c>
      <c r="AW1054" s="36">
        <v>2</v>
      </c>
      <c r="AX1054" s="36">
        <v>2</v>
      </c>
      <c r="AY1054" s="953">
        <v>2</v>
      </c>
      <c r="AZ1054" s="36">
        <v>2</v>
      </c>
      <c r="BA1054" s="36">
        <v>2</v>
      </c>
      <c r="BB1054" s="36">
        <v>2</v>
      </c>
      <c r="BC1054" s="36">
        <v>2</v>
      </c>
      <c r="BD1054" s="36">
        <v>2</v>
      </c>
      <c r="BF1054">
        <f>ROWS($U$46:U1054)</f>
        <v>1009</v>
      </c>
      <c r="BG1054" t="str">
        <f t="shared" si="220"/>
        <v/>
      </c>
    </row>
    <row r="1055" spans="15:59" x14ac:dyDescent="0.35">
      <c r="O1055" s="330">
        <v>4</v>
      </c>
      <c r="P1055" s="36">
        <v>745338</v>
      </c>
      <c r="Q1055" s="36">
        <v>13</v>
      </c>
      <c r="R1055" s="36"/>
      <c r="S1055" s="36" t="s">
        <v>1482</v>
      </c>
      <c r="T1055" s="36" t="s">
        <v>1552</v>
      </c>
      <c r="U1055" s="36">
        <v>1094991</v>
      </c>
      <c r="V1055" s="165" t="s">
        <v>90</v>
      </c>
      <c r="W1055" s="36">
        <v>3</v>
      </c>
      <c r="X1055" s="36">
        <v>1</v>
      </c>
      <c r="Y1055" s="36">
        <v>1</v>
      </c>
      <c r="Z1055" s="36">
        <v>1</v>
      </c>
      <c r="AA1055" s="36">
        <v>1</v>
      </c>
      <c r="AB1055" s="36">
        <v>1</v>
      </c>
      <c r="AC1055" s="36">
        <v>1</v>
      </c>
      <c r="AD1055" s="36">
        <v>1</v>
      </c>
      <c r="AE1055" s="36">
        <v>1</v>
      </c>
      <c r="AF1055" s="36">
        <v>1</v>
      </c>
      <c r="AG1055" s="36">
        <v>1</v>
      </c>
      <c r="AH1055" s="36">
        <v>1</v>
      </c>
      <c r="AI1055" s="36">
        <v>5</v>
      </c>
      <c r="AJ1055" s="36">
        <v>5</v>
      </c>
      <c r="AK1055" s="36"/>
      <c r="AL1055" s="36"/>
      <c r="AM1055" s="36"/>
      <c r="AN1055" s="36"/>
      <c r="AO1055" s="36"/>
      <c r="AP1055" s="36"/>
      <c r="AQ1055" s="36">
        <v>2</v>
      </c>
      <c r="AR1055" s="36">
        <v>2</v>
      </c>
      <c r="AS1055" s="36">
        <v>2</v>
      </c>
      <c r="AT1055" s="36">
        <v>2</v>
      </c>
      <c r="AU1055" s="36">
        <v>2</v>
      </c>
      <c r="AV1055" s="36">
        <v>6</v>
      </c>
      <c r="AW1055" s="36">
        <v>6</v>
      </c>
      <c r="AX1055" s="36">
        <v>6</v>
      </c>
      <c r="AY1055" s="953">
        <v>6</v>
      </c>
      <c r="AZ1055" s="36">
        <v>6</v>
      </c>
      <c r="BA1055" s="36">
        <v>6</v>
      </c>
      <c r="BB1055" s="36"/>
      <c r="BC1055" s="36"/>
      <c r="BD1055" s="36"/>
      <c r="BF1055">
        <f>ROWS($U$46:U1055)</f>
        <v>1010</v>
      </c>
      <c r="BG1055" t="str">
        <f t="shared" si="220"/>
        <v/>
      </c>
    </row>
    <row r="1056" spans="15:59" x14ac:dyDescent="0.35">
      <c r="O1056" s="330">
        <v>5</v>
      </c>
      <c r="P1056" s="36">
        <v>418525</v>
      </c>
      <c r="Q1056" s="36">
        <v>12</v>
      </c>
      <c r="R1056" s="36"/>
      <c r="S1056" s="36" t="s">
        <v>1482</v>
      </c>
      <c r="T1056" s="36" t="s">
        <v>1552</v>
      </c>
      <c r="U1056" s="36">
        <v>1094991</v>
      </c>
      <c r="V1056" s="165" t="s">
        <v>91</v>
      </c>
      <c r="W1056" s="36">
        <v>4</v>
      </c>
      <c r="X1056" s="36">
        <v>4</v>
      </c>
      <c r="Y1056" s="36">
        <v>4</v>
      </c>
      <c r="Z1056" s="36">
        <v>3</v>
      </c>
      <c r="AA1056" s="36">
        <v>3</v>
      </c>
      <c r="AB1056" s="36">
        <v>3</v>
      </c>
      <c r="AC1056" s="36">
        <v>1</v>
      </c>
      <c r="AD1056" s="36">
        <v>1</v>
      </c>
      <c r="AE1056" s="36">
        <v>1</v>
      </c>
      <c r="AF1056" s="36">
        <v>1</v>
      </c>
      <c r="AG1056" s="36">
        <v>1</v>
      </c>
      <c r="AH1056" s="36">
        <v>1</v>
      </c>
      <c r="AI1056" s="36">
        <v>1</v>
      </c>
      <c r="AJ1056" s="36">
        <v>1</v>
      </c>
      <c r="AK1056" s="36">
        <v>1</v>
      </c>
      <c r="AL1056" s="36">
        <v>1</v>
      </c>
      <c r="AM1056" s="36">
        <v>1</v>
      </c>
      <c r="AN1056" s="36">
        <v>5</v>
      </c>
      <c r="AO1056" s="36">
        <v>7</v>
      </c>
      <c r="AP1056" s="36"/>
      <c r="AQ1056" s="36">
        <v>6</v>
      </c>
      <c r="AR1056" s="36">
        <v>6</v>
      </c>
      <c r="AS1056" s="36">
        <v>6</v>
      </c>
      <c r="AT1056" s="36">
        <v>2</v>
      </c>
      <c r="AU1056" s="36">
        <v>2</v>
      </c>
      <c r="AV1056" s="36">
        <v>2</v>
      </c>
      <c r="AW1056" s="36">
        <v>2</v>
      </c>
      <c r="AX1056" s="36">
        <v>2</v>
      </c>
      <c r="AY1056" s="953">
        <v>2</v>
      </c>
      <c r="AZ1056" s="36">
        <v>2</v>
      </c>
      <c r="BA1056" s="36">
        <v>2</v>
      </c>
      <c r="BB1056" s="36">
        <v>2</v>
      </c>
      <c r="BC1056" s="36">
        <v>2</v>
      </c>
      <c r="BD1056" s="36">
        <v>2</v>
      </c>
      <c r="BF1056">
        <f>ROWS($U$46:U1056)</f>
        <v>1011</v>
      </c>
      <c r="BG1056" t="str">
        <f t="shared" si="220"/>
        <v/>
      </c>
    </row>
    <row r="1057" spans="15:59" x14ac:dyDescent="0.35">
      <c r="O1057" s="330">
        <v>6</v>
      </c>
      <c r="P1057" s="36">
        <v>179734</v>
      </c>
      <c r="Q1057" s="36">
        <v>36</v>
      </c>
      <c r="R1057" s="36"/>
      <c r="S1057" s="36" t="s">
        <v>1482</v>
      </c>
      <c r="T1057" s="36" t="s">
        <v>1552</v>
      </c>
      <c r="U1057" s="36">
        <v>1094991</v>
      </c>
      <c r="V1057" s="165" t="s">
        <v>92</v>
      </c>
      <c r="W1057" s="36">
        <v>3</v>
      </c>
      <c r="X1057" s="36">
        <v>1</v>
      </c>
      <c r="Y1057" s="36">
        <v>1</v>
      </c>
      <c r="Z1057" s="36">
        <v>1</v>
      </c>
      <c r="AA1057" s="36">
        <v>1</v>
      </c>
      <c r="AB1057" s="36">
        <v>1</v>
      </c>
      <c r="AC1057" s="36">
        <v>1</v>
      </c>
      <c r="AD1057" s="36">
        <v>1</v>
      </c>
      <c r="AE1057" s="36">
        <v>1</v>
      </c>
      <c r="AF1057" s="36">
        <v>1</v>
      </c>
      <c r="AG1057" s="36">
        <v>1</v>
      </c>
      <c r="AH1057" s="36">
        <v>1</v>
      </c>
      <c r="AI1057" s="36">
        <v>5</v>
      </c>
      <c r="AJ1057" s="36">
        <v>5</v>
      </c>
      <c r="AK1057" s="36"/>
      <c r="AL1057" s="36"/>
      <c r="AM1057" s="36"/>
      <c r="AN1057" s="36"/>
      <c r="AO1057" s="36"/>
      <c r="AP1057" s="36"/>
      <c r="AQ1057" s="36">
        <v>2</v>
      </c>
      <c r="AR1057" s="36">
        <v>2</v>
      </c>
      <c r="AS1057" s="36">
        <v>2</v>
      </c>
      <c r="AT1057" s="36">
        <v>2</v>
      </c>
      <c r="AU1057" s="36">
        <v>2</v>
      </c>
      <c r="AV1057" s="36">
        <v>6</v>
      </c>
      <c r="AW1057" s="36">
        <v>6</v>
      </c>
      <c r="AX1057" s="36">
        <v>6</v>
      </c>
      <c r="AY1057" s="953">
        <v>6</v>
      </c>
      <c r="AZ1057" s="36">
        <v>6</v>
      </c>
      <c r="BA1057" s="36">
        <v>6</v>
      </c>
      <c r="BB1057" s="36"/>
      <c r="BC1057" s="36"/>
      <c r="BD1057" s="36"/>
      <c r="BF1057">
        <f>ROWS($U$46:U1057)</f>
        <v>1012</v>
      </c>
      <c r="BG1057" t="str">
        <f t="shared" si="220"/>
        <v/>
      </c>
    </row>
    <row r="1058" spans="15:59" x14ac:dyDescent="0.35">
      <c r="O1058" s="330">
        <v>7</v>
      </c>
      <c r="P1058" s="36">
        <v>871781</v>
      </c>
      <c r="Q1058" s="36">
        <v>4</v>
      </c>
      <c r="R1058" s="36"/>
      <c r="S1058" s="36" t="s">
        <v>1482</v>
      </c>
      <c r="T1058" s="36" t="s">
        <v>1552</v>
      </c>
      <c r="U1058" s="36">
        <v>1094991</v>
      </c>
      <c r="V1058" s="165" t="s">
        <v>111</v>
      </c>
      <c r="W1058" s="36">
        <v>4</v>
      </c>
      <c r="X1058" s="36">
        <v>4</v>
      </c>
      <c r="Y1058" s="36">
        <v>4</v>
      </c>
      <c r="Z1058" s="36">
        <v>3</v>
      </c>
      <c r="AA1058" s="36">
        <v>3</v>
      </c>
      <c r="AB1058" s="36">
        <v>3</v>
      </c>
      <c r="AC1058" s="36">
        <v>1</v>
      </c>
      <c r="AD1058" s="36">
        <v>1</v>
      </c>
      <c r="AE1058" s="36">
        <v>1</v>
      </c>
      <c r="AF1058" s="36">
        <v>1</v>
      </c>
      <c r="AG1058" s="36">
        <v>1</v>
      </c>
      <c r="AH1058" s="36">
        <v>1</v>
      </c>
      <c r="AI1058" s="36">
        <v>1</v>
      </c>
      <c r="AJ1058" s="36">
        <v>1</v>
      </c>
      <c r="AK1058" s="36">
        <v>1</v>
      </c>
      <c r="AL1058" s="36">
        <v>1</v>
      </c>
      <c r="AM1058" s="36">
        <v>5</v>
      </c>
      <c r="AN1058" s="36">
        <v>7</v>
      </c>
      <c r="AO1058" s="36"/>
      <c r="AP1058" s="36"/>
      <c r="AQ1058" s="36">
        <v>6</v>
      </c>
      <c r="AR1058" s="36">
        <v>6</v>
      </c>
      <c r="AS1058" s="36">
        <v>6</v>
      </c>
      <c r="AT1058" s="36">
        <v>2</v>
      </c>
      <c r="AU1058" s="36">
        <v>2</v>
      </c>
      <c r="AV1058" s="36">
        <v>2</v>
      </c>
      <c r="AW1058" s="36">
        <v>2</v>
      </c>
      <c r="AX1058" s="36">
        <v>2</v>
      </c>
      <c r="AY1058" s="953">
        <v>2</v>
      </c>
      <c r="AZ1058" s="36">
        <v>2</v>
      </c>
      <c r="BA1058" s="36">
        <v>2</v>
      </c>
      <c r="BB1058" s="36">
        <v>2</v>
      </c>
      <c r="BC1058" s="36">
        <v>2</v>
      </c>
      <c r="BD1058" s="36"/>
      <c r="BF1058">
        <f>ROWS($U$46:U1058)</f>
        <v>1013</v>
      </c>
      <c r="BG1058" t="str">
        <f t="shared" si="220"/>
        <v/>
      </c>
    </row>
    <row r="1059" spans="15:59" ht="15" thickBot="1" x14ac:dyDescent="0.4">
      <c r="O1059" s="331">
        <v>8</v>
      </c>
      <c r="P1059" s="328">
        <v>410851</v>
      </c>
      <c r="Q1059" s="328">
        <v>56</v>
      </c>
      <c r="R1059" s="328"/>
      <c r="S1059" s="328" t="s">
        <v>1482</v>
      </c>
      <c r="T1059" s="328" t="s">
        <v>1552</v>
      </c>
      <c r="U1059" s="328">
        <v>1094991</v>
      </c>
      <c r="V1059" s="327" t="s">
        <v>112</v>
      </c>
      <c r="W1059" s="328">
        <v>3</v>
      </c>
      <c r="X1059" s="328">
        <v>1</v>
      </c>
      <c r="Y1059" s="328">
        <v>1</v>
      </c>
      <c r="Z1059" s="328">
        <v>1</v>
      </c>
      <c r="AA1059" s="328">
        <v>1</v>
      </c>
      <c r="AB1059" s="328">
        <v>1</v>
      </c>
      <c r="AC1059" s="328">
        <v>1</v>
      </c>
      <c r="AD1059" s="328">
        <v>1</v>
      </c>
      <c r="AE1059" s="328">
        <v>1</v>
      </c>
      <c r="AF1059" s="328">
        <v>1</v>
      </c>
      <c r="AG1059" s="328">
        <v>1</v>
      </c>
      <c r="AH1059" s="328">
        <v>1</v>
      </c>
      <c r="AI1059" s="328">
        <v>5</v>
      </c>
      <c r="AJ1059" s="328">
        <v>5</v>
      </c>
      <c r="AK1059" s="328"/>
      <c r="AL1059" s="328"/>
      <c r="AM1059" s="328"/>
      <c r="AN1059" s="328"/>
      <c r="AO1059" s="328"/>
      <c r="AP1059" s="328"/>
      <c r="AQ1059" s="328">
        <v>2</v>
      </c>
      <c r="AR1059" s="328">
        <v>2</v>
      </c>
      <c r="AS1059" s="328">
        <v>2</v>
      </c>
      <c r="AT1059" s="328">
        <v>2</v>
      </c>
      <c r="AU1059" s="328">
        <v>2</v>
      </c>
      <c r="AV1059" s="328">
        <v>6</v>
      </c>
      <c r="AW1059" s="328">
        <v>6</v>
      </c>
      <c r="AX1059" s="328">
        <v>6</v>
      </c>
      <c r="AY1059" s="954">
        <v>6</v>
      </c>
      <c r="AZ1059" s="36">
        <v>6</v>
      </c>
      <c r="BA1059" s="36">
        <v>6</v>
      </c>
      <c r="BB1059" s="36"/>
      <c r="BC1059" s="36"/>
      <c r="BD1059" s="36"/>
      <c r="BF1059">
        <f>ROWS($U$46:U1059)</f>
        <v>1014</v>
      </c>
      <c r="BG1059" t="str">
        <f t="shared" si="220"/>
        <v/>
      </c>
    </row>
    <row r="1060" spans="15:59" x14ac:dyDescent="0.35">
      <c r="O1060" s="329">
        <v>1</v>
      </c>
      <c r="P1060" s="320">
        <v>1100759</v>
      </c>
      <c r="Q1060" s="320">
        <v>52</v>
      </c>
      <c r="R1060" s="320"/>
      <c r="S1060" s="552" t="s">
        <v>1209</v>
      </c>
      <c r="T1060" s="320" t="s">
        <v>1553</v>
      </c>
      <c r="U1060" s="320">
        <v>1095217</v>
      </c>
      <c r="V1060" s="319" t="s">
        <v>87</v>
      </c>
      <c r="W1060" s="320">
        <v>1</v>
      </c>
      <c r="X1060" s="320">
        <v>1</v>
      </c>
      <c r="Y1060" s="320">
        <v>1</v>
      </c>
      <c r="Z1060" s="320">
        <v>1</v>
      </c>
      <c r="AA1060" s="320">
        <v>1</v>
      </c>
      <c r="AB1060" s="320">
        <v>1</v>
      </c>
      <c r="AC1060" s="320">
        <v>1</v>
      </c>
      <c r="AD1060" s="320">
        <v>1</v>
      </c>
      <c r="AE1060" s="320">
        <v>1</v>
      </c>
      <c r="AF1060" s="320">
        <v>3</v>
      </c>
      <c r="AG1060" s="320"/>
      <c r="AH1060" s="320">
        <v>2</v>
      </c>
      <c r="AI1060" s="320">
        <v>2</v>
      </c>
      <c r="AJ1060" s="320">
        <v>2</v>
      </c>
      <c r="AK1060" s="320">
        <v>2</v>
      </c>
      <c r="AL1060" s="320">
        <v>2</v>
      </c>
      <c r="AM1060" s="320"/>
      <c r="AN1060" s="320"/>
      <c r="AO1060" s="320"/>
      <c r="AP1060" s="320"/>
      <c r="AQ1060" s="320"/>
      <c r="AR1060" s="320"/>
      <c r="AS1060" s="320"/>
      <c r="AT1060" s="320"/>
      <c r="AU1060" s="320"/>
      <c r="AV1060" s="320"/>
      <c r="AW1060" s="320"/>
      <c r="AX1060" s="320"/>
      <c r="AY1060" s="952"/>
      <c r="AZ1060" s="36"/>
      <c r="BA1060" s="36"/>
      <c r="BB1060" s="36"/>
      <c r="BC1060" s="36"/>
      <c r="BD1060" s="36"/>
      <c r="BF1060">
        <f>ROWS($U$46:U1060)</f>
        <v>1015</v>
      </c>
      <c r="BG1060" t="str">
        <f t="shared" si="220"/>
        <v/>
      </c>
    </row>
    <row r="1061" spans="15:59" x14ac:dyDescent="0.35">
      <c r="O1061" s="330">
        <v>2</v>
      </c>
      <c r="P1061" s="36">
        <v>708306</v>
      </c>
      <c r="Q1061" s="36">
        <v>35</v>
      </c>
      <c r="R1061" s="36"/>
      <c r="S1061" s="553" t="s">
        <v>1209</v>
      </c>
      <c r="T1061" s="36" t="s">
        <v>1553</v>
      </c>
      <c r="U1061" s="36">
        <v>1095217</v>
      </c>
      <c r="V1061" s="165" t="s">
        <v>88</v>
      </c>
      <c r="W1061" s="36">
        <v>1</v>
      </c>
      <c r="X1061" s="36">
        <v>1</v>
      </c>
      <c r="Y1061" s="36">
        <v>1</v>
      </c>
      <c r="Z1061" s="36">
        <v>1</v>
      </c>
      <c r="AA1061" s="36">
        <v>1</v>
      </c>
      <c r="AB1061" s="36">
        <v>1</v>
      </c>
      <c r="AC1061" s="36">
        <v>3</v>
      </c>
      <c r="AD1061" s="36"/>
      <c r="AE1061" s="36"/>
      <c r="AF1061" s="36"/>
      <c r="AG1061" s="36"/>
      <c r="AH1061" s="36">
        <v>2</v>
      </c>
      <c r="AI1061" s="36">
        <v>2</v>
      </c>
      <c r="AJ1061" s="36">
        <v>2</v>
      </c>
      <c r="AK1061" s="36">
        <v>2</v>
      </c>
      <c r="AL1061" s="36">
        <v>2</v>
      </c>
      <c r="AM1061" s="36"/>
      <c r="AN1061" s="36"/>
      <c r="AO1061" s="36"/>
      <c r="AP1061" s="36"/>
      <c r="AQ1061" s="36"/>
      <c r="AR1061" s="36"/>
      <c r="AS1061" s="36"/>
      <c r="AT1061" s="36"/>
      <c r="AU1061" s="36"/>
      <c r="AV1061" s="36"/>
      <c r="AW1061" s="36"/>
      <c r="AX1061" s="36"/>
      <c r="AY1061" s="953"/>
      <c r="AZ1061" s="36"/>
      <c r="BA1061" s="36"/>
      <c r="BB1061" s="36"/>
      <c r="BC1061" s="36"/>
      <c r="BD1061" s="36"/>
      <c r="BF1061">
        <f>ROWS($U$46:U1061)</f>
        <v>1016</v>
      </c>
      <c r="BG1061" t="str">
        <f t="shared" si="220"/>
        <v/>
      </c>
    </row>
    <row r="1062" spans="15:59" x14ac:dyDescent="0.35">
      <c r="O1062" s="330">
        <v>3</v>
      </c>
      <c r="P1062" s="36">
        <v>871781</v>
      </c>
      <c r="Q1062" s="36">
        <v>4</v>
      </c>
      <c r="R1062" s="36"/>
      <c r="S1062" s="553" t="s">
        <v>1209</v>
      </c>
      <c r="T1062" s="36" t="s">
        <v>1553</v>
      </c>
      <c r="U1062" s="36">
        <v>1095217</v>
      </c>
      <c r="V1062" s="165" t="s">
        <v>89</v>
      </c>
      <c r="W1062" s="36">
        <v>1</v>
      </c>
      <c r="X1062" s="36">
        <v>1</v>
      </c>
      <c r="Y1062" s="36">
        <v>1</v>
      </c>
      <c r="Z1062" s="36">
        <v>1</v>
      </c>
      <c r="AA1062" s="36">
        <v>1</v>
      </c>
      <c r="AB1062" s="36">
        <v>1</v>
      </c>
      <c r="AC1062" s="36">
        <v>1</v>
      </c>
      <c r="AD1062" s="36">
        <v>1</v>
      </c>
      <c r="AE1062" s="36">
        <v>1</v>
      </c>
      <c r="AF1062" s="36">
        <v>4</v>
      </c>
      <c r="AG1062" s="36"/>
      <c r="AH1062" s="36">
        <v>2</v>
      </c>
      <c r="AI1062" s="36">
        <v>2</v>
      </c>
      <c r="AJ1062" s="36">
        <v>2</v>
      </c>
      <c r="AK1062" s="36">
        <v>2</v>
      </c>
      <c r="AL1062" s="36">
        <v>2</v>
      </c>
      <c r="AM1062" s="36"/>
      <c r="AN1062" s="36"/>
      <c r="AO1062" s="36"/>
      <c r="AP1062" s="36"/>
      <c r="AQ1062" s="36"/>
      <c r="AR1062" s="36"/>
      <c r="AS1062" s="36"/>
      <c r="AT1062" s="36"/>
      <c r="AU1062" s="36"/>
      <c r="AV1062" s="36"/>
      <c r="AW1062" s="36"/>
      <c r="AX1062" s="36"/>
      <c r="AY1062" s="953"/>
      <c r="AZ1062" s="36"/>
      <c r="BA1062" s="36"/>
      <c r="BB1062" s="36"/>
      <c r="BC1062" s="36"/>
      <c r="BD1062" s="36"/>
      <c r="BF1062">
        <f>ROWS($U$46:U1062)</f>
        <v>1017</v>
      </c>
      <c r="BG1062" t="str">
        <f t="shared" si="220"/>
        <v/>
      </c>
    </row>
    <row r="1063" spans="15:59" x14ac:dyDescent="0.35">
      <c r="O1063" s="330">
        <v>4</v>
      </c>
      <c r="P1063" s="36">
        <v>418525</v>
      </c>
      <c r="Q1063" s="36">
        <v>3</v>
      </c>
      <c r="R1063" s="36"/>
      <c r="S1063" s="553" t="s">
        <v>1209</v>
      </c>
      <c r="T1063" s="36" t="s">
        <v>1553</v>
      </c>
      <c r="U1063" s="36">
        <v>1095217</v>
      </c>
      <c r="V1063" s="165" t="s">
        <v>90</v>
      </c>
      <c r="W1063" s="36">
        <v>1</v>
      </c>
      <c r="X1063" s="36">
        <v>1</v>
      </c>
      <c r="Y1063" s="36">
        <v>1</v>
      </c>
      <c r="Z1063" s="36">
        <v>1</v>
      </c>
      <c r="AA1063" s="36">
        <v>1</v>
      </c>
      <c r="AB1063" s="36">
        <v>1</v>
      </c>
      <c r="AC1063" s="36">
        <v>3</v>
      </c>
      <c r="AD1063" s="36"/>
      <c r="AE1063" s="36"/>
      <c r="AF1063" s="36"/>
      <c r="AG1063" s="36"/>
      <c r="AH1063" s="36">
        <v>2</v>
      </c>
      <c r="AI1063" s="36">
        <v>2</v>
      </c>
      <c r="AJ1063" s="36">
        <v>2</v>
      </c>
      <c r="AK1063" s="36">
        <v>2</v>
      </c>
      <c r="AL1063" s="36">
        <v>2</v>
      </c>
      <c r="AM1063" s="36"/>
      <c r="AN1063" s="36"/>
      <c r="AO1063" s="36"/>
      <c r="AP1063" s="36"/>
      <c r="AQ1063" s="36"/>
      <c r="AR1063" s="36"/>
      <c r="AS1063" s="36"/>
      <c r="AT1063" s="36"/>
      <c r="AU1063" s="36"/>
      <c r="AV1063" s="36"/>
      <c r="AW1063" s="36"/>
      <c r="AX1063" s="36"/>
      <c r="AY1063" s="953"/>
      <c r="AZ1063" s="36"/>
      <c r="BA1063" s="36"/>
      <c r="BB1063" s="36"/>
      <c r="BC1063" s="36"/>
      <c r="BD1063" s="36"/>
      <c r="BF1063">
        <f>ROWS($U$46:U1063)</f>
        <v>1018</v>
      </c>
      <c r="BG1063" t="str">
        <f t="shared" si="220"/>
        <v/>
      </c>
    </row>
    <row r="1064" spans="15:59" x14ac:dyDescent="0.35">
      <c r="O1064" s="330"/>
      <c r="P1064" s="36"/>
      <c r="Q1064" s="36"/>
      <c r="R1064" s="36"/>
      <c r="S1064" s="553" t="s">
        <v>1209</v>
      </c>
      <c r="T1064" s="36" t="s">
        <v>1553</v>
      </c>
      <c r="U1064" s="36">
        <v>1095217</v>
      </c>
      <c r="V1064" s="165" t="s">
        <v>91</v>
      </c>
      <c r="W1064" s="36">
        <v>1</v>
      </c>
      <c r="X1064" s="36">
        <v>1</v>
      </c>
      <c r="Y1064" s="36">
        <v>1</v>
      </c>
      <c r="Z1064" s="36">
        <v>1</v>
      </c>
      <c r="AA1064" s="36">
        <v>1</v>
      </c>
      <c r="AB1064" s="36">
        <v>1</v>
      </c>
      <c r="AC1064" s="36">
        <v>1</v>
      </c>
      <c r="AD1064" s="36">
        <v>1</v>
      </c>
      <c r="AE1064" s="36">
        <v>1</v>
      </c>
      <c r="AF1064" s="36">
        <v>4</v>
      </c>
      <c r="AG1064" s="36"/>
      <c r="AH1064" s="36">
        <v>2</v>
      </c>
      <c r="AI1064" s="36">
        <v>2</v>
      </c>
      <c r="AJ1064" s="36">
        <v>2</v>
      </c>
      <c r="AK1064" s="36">
        <v>2</v>
      </c>
      <c r="AL1064" s="36">
        <v>2</v>
      </c>
      <c r="AM1064" s="36"/>
      <c r="AN1064" s="36"/>
      <c r="AO1064" s="36"/>
      <c r="AP1064" s="36"/>
      <c r="AQ1064" s="36"/>
      <c r="AR1064" s="36"/>
      <c r="AS1064" s="36"/>
      <c r="AT1064" s="36"/>
      <c r="AU1064" s="36"/>
      <c r="AV1064" s="36"/>
      <c r="AW1064" s="36"/>
      <c r="AX1064" s="36"/>
      <c r="AY1064" s="953"/>
      <c r="AZ1064" s="36"/>
      <c r="BA1064" s="36"/>
      <c r="BB1064" s="36"/>
      <c r="BC1064" s="36"/>
      <c r="BD1064" s="36"/>
      <c r="BF1064">
        <f>ROWS($U$46:U1064)</f>
        <v>1019</v>
      </c>
      <c r="BG1064" t="str">
        <f t="shared" si="220"/>
        <v/>
      </c>
    </row>
    <row r="1065" spans="15:59" x14ac:dyDescent="0.35">
      <c r="O1065" s="330"/>
      <c r="P1065" s="36"/>
      <c r="Q1065" s="36"/>
      <c r="R1065" s="36"/>
      <c r="S1065" s="553" t="s">
        <v>1209</v>
      </c>
      <c r="T1065" s="36" t="s">
        <v>1553</v>
      </c>
      <c r="U1065" s="36">
        <v>1095217</v>
      </c>
      <c r="V1065" s="165" t="s">
        <v>92</v>
      </c>
      <c r="W1065" s="36">
        <v>1</v>
      </c>
      <c r="X1065" s="36">
        <v>1</v>
      </c>
      <c r="Y1065" s="36">
        <v>1</v>
      </c>
      <c r="Z1065" s="36">
        <v>1</v>
      </c>
      <c r="AA1065" s="36">
        <v>1</v>
      </c>
      <c r="AB1065" s="36">
        <v>1</v>
      </c>
      <c r="AC1065" s="36">
        <v>3</v>
      </c>
      <c r="AD1065" s="36"/>
      <c r="AE1065" s="36"/>
      <c r="AF1065" s="36"/>
      <c r="AG1065" s="36"/>
      <c r="AH1065" s="36">
        <v>2</v>
      </c>
      <c r="AI1065" s="36">
        <v>2</v>
      </c>
      <c r="AJ1065" s="36">
        <v>2</v>
      </c>
      <c r="AK1065" s="36">
        <v>2</v>
      </c>
      <c r="AL1065" s="36">
        <v>2</v>
      </c>
      <c r="AM1065" s="36"/>
      <c r="AN1065" s="36"/>
      <c r="AO1065" s="36"/>
      <c r="AP1065" s="36"/>
      <c r="AQ1065" s="36"/>
      <c r="AR1065" s="36"/>
      <c r="AS1065" s="36"/>
      <c r="AT1065" s="36"/>
      <c r="AU1065" s="36"/>
      <c r="AV1065" s="36"/>
      <c r="AW1065" s="36"/>
      <c r="AX1065" s="36"/>
      <c r="AY1065" s="953"/>
      <c r="AZ1065" s="36"/>
      <c r="BA1065" s="36"/>
      <c r="BB1065" s="36"/>
      <c r="BC1065" s="36"/>
      <c r="BD1065" s="36"/>
      <c r="BF1065">
        <f>ROWS($U$46:U1065)</f>
        <v>1020</v>
      </c>
      <c r="BG1065" t="str">
        <f t="shared" si="220"/>
        <v/>
      </c>
    </row>
    <row r="1066" spans="15:59" ht="15" thickBot="1" x14ac:dyDescent="0.4">
      <c r="O1066" s="331"/>
      <c r="P1066" s="328"/>
      <c r="Q1066" s="328"/>
      <c r="R1066" s="328"/>
      <c r="S1066" s="554" t="s">
        <v>1209</v>
      </c>
      <c r="T1066" s="328" t="s">
        <v>1553</v>
      </c>
      <c r="U1066" s="328">
        <v>1095217</v>
      </c>
      <c r="V1066" s="327" t="s">
        <v>111</v>
      </c>
      <c r="W1066" s="328">
        <v>1</v>
      </c>
      <c r="X1066" s="328">
        <v>1</v>
      </c>
      <c r="Y1066" s="328">
        <v>1</v>
      </c>
      <c r="Z1066" s="328">
        <v>1</v>
      </c>
      <c r="AA1066" s="328">
        <v>1</v>
      </c>
      <c r="AB1066" s="328">
        <v>1</v>
      </c>
      <c r="AC1066" s="328">
        <v>1</v>
      </c>
      <c r="AD1066" s="328">
        <v>4</v>
      </c>
      <c r="AE1066" s="328"/>
      <c r="AF1066" s="328"/>
      <c r="AG1066" s="328"/>
      <c r="AH1066" s="328">
        <v>2</v>
      </c>
      <c r="AI1066" s="328">
        <v>2</v>
      </c>
      <c r="AJ1066" s="328">
        <v>2</v>
      </c>
      <c r="AK1066" s="328">
        <v>2</v>
      </c>
      <c r="AL1066" s="328">
        <v>2</v>
      </c>
      <c r="AM1066" s="328"/>
      <c r="AN1066" s="328"/>
      <c r="AO1066" s="328"/>
      <c r="AP1066" s="328"/>
      <c r="AQ1066" s="328"/>
      <c r="AR1066" s="328"/>
      <c r="AS1066" s="328"/>
      <c r="AT1066" s="328"/>
      <c r="AU1066" s="328"/>
      <c r="AV1066" s="328"/>
      <c r="AW1066" s="328"/>
      <c r="AX1066" s="328"/>
      <c r="AY1066" s="954"/>
      <c r="AZ1066" s="36"/>
      <c r="BA1066" s="36"/>
      <c r="BB1066" s="36"/>
      <c r="BC1066" s="36"/>
      <c r="BD1066" s="36"/>
      <c r="BF1066">
        <f>ROWS($U$46:U1066)</f>
        <v>1021</v>
      </c>
      <c r="BG1066" t="str">
        <f t="shared" si="220"/>
        <v/>
      </c>
    </row>
    <row r="1067" spans="15:59" x14ac:dyDescent="0.35">
      <c r="O1067" s="329">
        <v>1</v>
      </c>
      <c r="P1067" s="320">
        <v>1130200</v>
      </c>
      <c r="Q1067" s="320">
        <v>25</v>
      </c>
      <c r="R1067" s="320"/>
      <c r="S1067" s="552" t="s">
        <v>1209</v>
      </c>
      <c r="T1067" s="320" t="s">
        <v>1554</v>
      </c>
      <c r="U1067" s="320">
        <v>1085745</v>
      </c>
      <c r="V1067" s="319" t="s">
        <v>87</v>
      </c>
      <c r="W1067" s="320">
        <v>4</v>
      </c>
      <c r="X1067" s="320">
        <v>4</v>
      </c>
      <c r="Y1067" s="320">
        <v>4</v>
      </c>
      <c r="Z1067" s="320">
        <v>5</v>
      </c>
      <c r="AA1067" s="320">
        <v>1</v>
      </c>
      <c r="AB1067" s="320">
        <v>1</v>
      </c>
      <c r="AC1067" s="320">
        <v>1</v>
      </c>
      <c r="AD1067" s="320">
        <v>1</v>
      </c>
      <c r="AE1067" s="320">
        <v>2</v>
      </c>
      <c r="AF1067" s="320"/>
      <c r="AG1067" s="320">
        <v>3</v>
      </c>
      <c r="AH1067" s="320">
        <v>3</v>
      </c>
      <c r="AI1067" s="320">
        <v>3</v>
      </c>
      <c r="AJ1067" s="320">
        <v>3</v>
      </c>
      <c r="AK1067" s="320">
        <v>3</v>
      </c>
      <c r="AL1067" s="320"/>
      <c r="AM1067" s="320"/>
      <c r="AN1067" s="320"/>
      <c r="AO1067" s="320"/>
      <c r="AP1067" s="320"/>
      <c r="AQ1067" s="320"/>
      <c r="AR1067" s="320"/>
      <c r="AS1067" s="320"/>
      <c r="AT1067" s="320"/>
      <c r="AU1067" s="320"/>
      <c r="AV1067" s="320"/>
      <c r="AW1067" s="320"/>
      <c r="AX1067" s="320"/>
      <c r="AY1067" s="952"/>
      <c r="AZ1067" s="36"/>
      <c r="BA1067" s="36"/>
      <c r="BB1067" s="36"/>
      <c r="BC1067" s="36"/>
      <c r="BD1067" s="36"/>
      <c r="BF1067">
        <f>ROWS($U$46:U1067)</f>
        <v>1022</v>
      </c>
      <c r="BG1067" t="str">
        <f t="shared" si="220"/>
        <v/>
      </c>
    </row>
    <row r="1068" spans="15:59" x14ac:dyDescent="0.35">
      <c r="O1068" s="330">
        <v>2</v>
      </c>
      <c r="P1068" s="36">
        <v>1130198</v>
      </c>
      <c r="Q1068" s="36">
        <v>7</v>
      </c>
      <c r="R1068" s="36"/>
      <c r="S1068" s="553" t="s">
        <v>1209</v>
      </c>
      <c r="T1068" s="36" t="s">
        <v>1554</v>
      </c>
      <c r="U1068" s="36">
        <v>1085745</v>
      </c>
      <c r="V1068" s="165" t="s">
        <v>88</v>
      </c>
      <c r="W1068" s="36">
        <v>5</v>
      </c>
      <c r="X1068" s="36">
        <v>1</v>
      </c>
      <c r="Y1068" s="36">
        <v>1</v>
      </c>
      <c r="Z1068" s="36">
        <v>1</v>
      </c>
      <c r="AA1068" s="36">
        <v>2</v>
      </c>
      <c r="AB1068" s="36"/>
      <c r="AC1068" s="36"/>
      <c r="AD1068" s="36"/>
      <c r="AE1068" s="36"/>
      <c r="AF1068" s="36"/>
      <c r="AG1068" s="36">
        <v>3</v>
      </c>
      <c r="AH1068" s="36">
        <v>3</v>
      </c>
      <c r="AI1068" s="36">
        <v>3</v>
      </c>
      <c r="AJ1068" s="36">
        <v>3</v>
      </c>
      <c r="AK1068" s="36">
        <v>3</v>
      </c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  <c r="AV1068" s="36"/>
      <c r="AW1068" s="36"/>
      <c r="AX1068" s="36"/>
      <c r="AY1068" s="953"/>
      <c r="AZ1068" s="36"/>
      <c r="BA1068" s="36"/>
      <c r="BB1068" s="36"/>
      <c r="BC1068" s="36"/>
      <c r="BD1068" s="36"/>
      <c r="BF1068">
        <f>ROWS($U$46:U1068)</f>
        <v>1023</v>
      </c>
      <c r="BG1068" t="str">
        <f t="shared" si="220"/>
        <v/>
      </c>
    </row>
    <row r="1069" spans="15:59" x14ac:dyDescent="0.35">
      <c r="O1069" s="330">
        <v>3</v>
      </c>
      <c r="P1069" s="36">
        <v>179734</v>
      </c>
      <c r="Q1069" s="36">
        <v>35</v>
      </c>
      <c r="R1069" s="36"/>
      <c r="S1069" s="553" t="s">
        <v>1209</v>
      </c>
      <c r="T1069" s="36" t="s">
        <v>1554</v>
      </c>
      <c r="U1069" s="36">
        <v>1085745</v>
      </c>
      <c r="V1069" s="165" t="s">
        <v>89</v>
      </c>
      <c r="W1069" s="36">
        <v>4</v>
      </c>
      <c r="X1069" s="36">
        <v>4</v>
      </c>
      <c r="Y1069" s="36">
        <v>4</v>
      </c>
      <c r="Z1069" s="36">
        <v>1</v>
      </c>
      <c r="AA1069" s="36">
        <v>1</v>
      </c>
      <c r="AB1069" s="36">
        <v>1</v>
      </c>
      <c r="AC1069" s="36">
        <v>1</v>
      </c>
      <c r="AD1069" s="36">
        <v>2</v>
      </c>
      <c r="AE1069" s="36"/>
      <c r="AF1069" s="36"/>
      <c r="AG1069" s="36">
        <v>3</v>
      </c>
      <c r="AH1069" s="36">
        <v>3</v>
      </c>
      <c r="AI1069" s="36">
        <v>3</v>
      </c>
      <c r="AJ1069" s="36">
        <v>3</v>
      </c>
      <c r="AK1069" s="36">
        <v>3</v>
      </c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  <c r="AV1069" s="36"/>
      <c r="AW1069" s="36"/>
      <c r="AX1069" s="36"/>
      <c r="AY1069" s="953"/>
      <c r="AZ1069" s="36"/>
      <c r="BA1069" s="36"/>
      <c r="BB1069" s="36"/>
      <c r="BC1069" s="36"/>
      <c r="BD1069" s="36"/>
      <c r="BF1069">
        <f>ROWS($U$46:U1069)</f>
        <v>1024</v>
      </c>
      <c r="BG1069" t="str">
        <f t="shared" si="220"/>
        <v/>
      </c>
    </row>
    <row r="1070" spans="15:59" x14ac:dyDescent="0.35">
      <c r="O1070" s="330">
        <v>4</v>
      </c>
      <c r="P1070" s="36">
        <v>1130204</v>
      </c>
      <c r="Q1070" s="36">
        <v>9</v>
      </c>
      <c r="R1070" s="36"/>
      <c r="S1070" s="553" t="s">
        <v>1209</v>
      </c>
      <c r="T1070" s="36" t="s">
        <v>1554</v>
      </c>
      <c r="U1070" s="36">
        <v>1085745</v>
      </c>
      <c r="V1070" s="165" t="s">
        <v>90</v>
      </c>
      <c r="W1070" s="36">
        <v>5</v>
      </c>
      <c r="X1070" s="36">
        <v>1</v>
      </c>
      <c r="Y1070" s="36">
        <v>1</v>
      </c>
      <c r="Z1070" s="36">
        <v>1</v>
      </c>
      <c r="AA1070" s="36">
        <v>2</v>
      </c>
      <c r="AB1070" s="36"/>
      <c r="AC1070" s="36"/>
      <c r="AD1070" s="36"/>
      <c r="AE1070" s="36"/>
      <c r="AF1070" s="36"/>
      <c r="AG1070" s="36">
        <v>3</v>
      </c>
      <c r="AH1070" s="36">
        <v>3</v>
      </c>
      <c r="AI1070" s="36">
        <v>3</v>
      </c>
      <c r="AJ1070" s="36">
        <v>3</v>
      </c>
      <c r="AK1070" s="36">
        <v>3</v>
      </c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  <c r="AV1070" s="36"/>
      <c r="AW1070" s="36"/>
      <c r="AX1070" s="36"/>
      <c r="AY1070" s="953"/>
      <c r="AZ1070" s="36"/>
      <c r="BA1070" s="36"/>
      <c r="BB1070" s="36"/>
      <c r="BC1070" s="36"/>
      <c r="BD1070" s="36"/>
      <c r="BF1070">
        <f>ROWS($U$46:U1070)</f>
        <v>1025</v>
      </c>
      <c r="BG1070" t="str">
        <f t="shared" si="220"/>
        <v/>
      </c>
    </row>
    <row r="1071" spans="15:59" x14ac:dyDescent="0.35">
      <c r="O1071" s="330">
        <v>5</v>
      </c>
      <c r="P1071" s="36">
        <v>1130206</v>
      </c>
      <c r="Q1071" s="36">
        <v>6</v>
      </c>
      <c r="R1071" s="36"/>
      <c r="S1071" s="553" t="s">
        <v>1209</v>
      </c>
      <c r="T1071" s="36" t="s">
        <v>1554</v>
      </c>
      <c r="U1071" s="36">
        <v>1085745</v>
      </c>
      <c r="V1071" s="165" t="s">
        <v>91</v>
      </c>
      <c r="W1071" s="36">
        <v>4</v>
      </c>
      <c r="X1071" s="36">
        <v>4</v>
      </c>
      <c r="Y1071" s="36">
        <v>4</v>
      </c>
      <c r="Z1071" s="36">
        <v>5</v>
      </c>
      <c r="AA1071" s="36">
        <v>1</v>
      </c>
      <c r="AB1071" s="36">
        <v>1</v>
      </c>
      <c r="AC1071" s="36">
        <v>1</v>
      </c>
      <c r="AD1071" s="36">
        <v>2</v>
      </c>
      <c r="AE1071" s="36"/>
      <c r="AF1071" s="36"/>
      <c r="AG1071" s="36">
        <v>3</v>
      </c>
      <c r="AH1071" s="36">
        <v>3</v>
      </c>
      <c r="AI1071" s="36">
        <v>3</v>
      </c>
      <c r="AJ1071" s="36">
        <v>3</v>
      </c>
      <c r="AK1071" s="36">
        <v>3</v>
      </c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  <c r="AV1071" s="36"/>
      <c r="AW1071" s="36"/>
      <c r="AX1071" s="36"/>
      <c r="AY1071" s="953"/>
      <c r="AZ1071" s="36"/>
      <c r="BA1071" s="36"/>
      <c r="BB1071" s="36"/>
      <c r="BC1071" s="36"/>
      <c r="BD1071" s="36"/>
      <c r="BF1071">
        <f>ROWS($U$46:U1071)</f>
        <v>1026</v>
      </c>
      <c r="BG1071" t="str">
        <f t="shared" ref="BG1071:BG1134" si="221">IF(VALUE(SUBSTITUTE($B$5,"M",""))=U1071,BF1071,"")</f>
        <v/>
      </c>
    </row>
    <row r="1072" spans="15:59" x14ac:dyDescent="0.35">
      <c r="O1072" s="330"/>
      <c r="P1072" s="36"/>
      <c r="Q1072" s="36"/>
      <c r="R1072" s="36"/>
      <c r="S1072" s="553" t="s">
        <v>1209</v>
      </c>
      <c r="T1072" s="36" t="s">
        <v>1554</v>
      </c>
      <c r="U1072" s="36">
        <v>1085745</v>
      </c>
      <c r="V1072" s="165" t="s">
        <v>92</v>
      </c>
      <c r="W1072" s="36">
        <v>5</v>
      </c>
      <c r="X1072" s="36">
        <v>1</v>
      </c>
      <c r="Y1072" s="36">
        <v>1</v>
      </c>
      <c r="Z1072" s="36">
        <v>1</v>
      </c>
      <c r="AA1072" s="36">
        <v>1</v>
      </c>
      <c r="AB1072" s="36">
        <v>2</v>
      </c>
      <c r="AC1072" s="36"/>
      <c r="AD1072" s="36"/>
      <c r="AE1072" s="36"/>
      <c r="AF1072" s="36"/>
      <c r="AG1072" s="36">
        <v>3</v>
      </c>
      <c r="AH1072" s="36">
        <v>3</v>
      </c>
      <c r="AI1072" s="36">
        <v>3</v>
      </c>
      <c r="AJ1072" s="36">
        <v>3</v>
      </c>
      <c r="AK1072" s="36">
        <v>3</v>
      </c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  <c r="AV1072" s="36"/>
      <c r="AW1072" s="36"/>
      <c r="AX1072" s="36"/>
      <c r="AY1072" s="953"/>
      <c r="AZ1072" s="36"/>
      <c r="BA1072" s="36"/>
      <c r="BB1072" s="36"/>
      <c r="BC1072" s="36"/>
      <c r="BD1072" s="36"/>
      <c r="BF1072">
        <f>ROWS($U$46:U1072)</f>
        <v>1027</v>
      </c>
      <c r="BG1072" t="str">
        <f t="shared" si="221"/>
        <v/>
      </c>
    </row>
    <row r="1073" spans="13:59" ht="15" thickBot="1" x14ac:dyDescent="0.4">
      <c r="O1073" s="331"/>
      <c r="P1073" s="328"/>
      <c r="Q1073" s="328"/>
      <c r="R1073" s="328"/>
      <c r="S1073" s="554" t="s">
        <v>1209</v>
      </c>
      <c r="T1073" s="328" t="s">
        <v>1554</v>
      </c>
      <c r="U1073" s="328">
        <v>1085745</v>
      </c>
      <c r="V1073" s="327" t="s">
        <v>111</v>
      </c>
      <c r="W1073" s="328">
        <v>5</v>
      </c>
      <c r="X1073" s="328">
        <v>1</v>
      </c>
      <c r="Y1073" s="328">
        <v>1</v>
      </c>
      <c r="Z1073" s="328">
        <v>1</v>
      </c>
      <c r="AA1073" s="328">
        <v>1</v>
      </c>
      <c r="AB1073" s="328">
        <v>2</v>
      </c>
      <c r="AC1073" s="328"/>
      <c r="AD1073" s="328"/>
      <c r="AE1073" s="328"/>
      <c r="AF1073" s="328"/>
      <c r="AG1073" s="328">
        <v>3</v>
      </c>
      <c r="AH1073" s="328">
        <v>3</v>
      </c>
      <c r="AI1073" s="328">
        <v>3</v>
      </c>
      <c r="AJ1073" s="328">
        <v>3</v>
      </c>
      <c r="AK1073" s="328">
        <v>3</v>
      </c>
      <c r="AL1073" s="328"/>
      <c r="AM1073" s="328"/>
      <c r="AN1073" s="328"/>
      <c r="AO1073" s="328"/>
      <c r="AP1073" s="328"/>
      <c r="AQ1073" s="328"/>
      <c r="AR1073" s="328"/>
      <c r="AS1073" s="328"/>
      <c r="AT1073" s="328"/>
      <c r="AU1073" s="328"/>
      <c r="AV1073" s="328"/>
      <c r="AW1073" s="328"/>
      <c r="AX1073" s="328"/>
      <c r="AY1073" s="954"/>
      <c r="AZ1073" s="36"/>
      <c r="BA1073" s="36"/>
      <c r="BB1073" s="36"/>
      <c r="BC1073" s="36"/>
      <c r="BD1073" s="36"/>
      <c r="BF1073">
        <f>ROWS($U$46:U1073)</f>
        <v>1028</v>
      </c>
      <c r="BG1073" t="str">
        <f t="shared" si="221"/>
        <v/>
      </c>
    </row>
    <row r="1074" spans="13:59" x14ac:dyDescent="0.35">
      <c r="O1074" s="329">
        <v>1</v>
      </c>
      <c r="P1074" s="320">
        <v>1100696</v>
      </c>
      <c r="Q1074" s="320">
        <v>23</v>
      </c>
      <c r="R1074" s="320"/>
      <c r="S1074" s="552" t="s">
        <v>1319</v>
      </c>
      <c r="T1074" s="320" t="s">
        <v>1372</v>
      </c>
      <c r="U1074" s="320">
        <v>1170939</v>
      </c>
      <c r="V1074" s="319" t="s">
        <v>87</v>
      </c>
      <c r="W1074" s="320">
        <v>1</v>
      </c>
      <c r="X1074" s="320">
        <v>1</v>
      </c>
      <c r="Y1074" s="320">
        <v>1</v>
      </c>
      <c r="Z1074" s="320">
        <v>1</v>
      </c>
      <c r="AA1074" s="320">
        <v>1</v>
      </c>
      <c r="AB1074" s="320">
        <v>1</v>
      </c>
      <c r="AC1074" s="320">
        <v>2</v>
      </c>
      <c r="AD1074" s="320">
        <v>2</v>
      </c>
      <c r="AE1074" s="320"/>
      <c r="AF1074" s="320"/>
      <c r="AG1074" s="320"/>
      <c r="AH1074" s="320"/>
      <c r="AI1074" s="320"/>
      <c r="AJ1074" s="320"/>
      <c r="AK1074" s="320"/>
      <c r="AL1074" s="320"/>
      <c r="AM1074" s="320"/>
      <c r="AN1074" s="320"/>
      <c r="AO1074" s="320"/>
      <c r="AP1074" s="320"/>
      <c r="AQ1074" s="320"/>
      <c r="AR1074" s="320"/>
      <c r="AS1074" s="320"/>
      <c r="AT1074" s="320"/>
      <c r="AU1074" s="320"/>
      <c r="AV1074" s="320"/>
      <c r="AW1074" s="320"/>
      <c r="AX1074" s="320"/>
      <c r="AY1074" s="952"/>
      <c r="AZ1074" s="36"/>
      <c r="BA1074" s="36"/>
      <c r="BB1074" s="36"/>
      <c r="BC1074" s="36"/>
      <c r="BD1074" s="36"/>
      <c r="BF1074">
        <f>ROWS($U$46:U1074)</f>
        <v>1029</v>
      </c>
      <c r="BG1074" t="str">
        <f t="shared" si="221"/>
        <v/>
      </c>
    </row>
    <row r="1075" spans="13:59" x14ac:dyDescent="0.35">
      <c r="O1075" s="330">
        <v>2</v>
      </c>
      <c r="P1075" s="36">
        <v>418525</v>
      </c>
      <c r="Q1075" s="36">
        <v>10</v>
      </c>
      <c r="R1075" s="36"/>
      <c r="S1075" s="553" t="s">
        <v>1319</v>
      </c>
      <c r="T1075" s="36" t="s">
        <v>1372</v>
      </c>
      <c r="U1075" s="36">
        <v>1170939</v>
      </c>
      <c r="V1075" s="165" t="s">
        <v>88</v>
      </c>
      <c r="W1075" s="36">
        <v>1</v>
      </c>
      <c r="X1075" s="36">
        <v>1</v>
      </c>
      <c r="Y1075" s="36">
        <v>1</v>
      </c>
      <c r="Z1075" s="36">
        <v>2</v>
      </c>
      <c r="AA1075" s="36">
        <v>2</v>
      </c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  <c r="AV1075" s="36"/>
      <c r="AW1075" s="36"/>
      <c r="AX1075" s="36"/>
      <c r="AY1075" s="953"/>
      <c r="AZ1075" s="36"/>
      <c r="BA1075" s="36"/>
      <c r="BB1075" s="36"/>
      <c r="BC1075" s="36"/>
      <c r="BD1075" s="36"/>
      <c r="BF1075">
        <f>ROWS($U$46:U1075)</f>
        <v>1030</v>
      </c>
      <c r="BG1075" t="str">
        <f t="shared" si="221"/>
        <v/>
      </c>
    </row>
    <row r="1076" spans="13:59" x14ac:dyDescent="0.35">
      <c r="O1076" s="330"/>
      <c r="P1076" s="36"/>
      <c r="Q1076" s="36"/>
      <c r="R1076" s="36"/>
      <c r="S1076" s="553" t="s">
        <v>1319</v>
      </c>
      <c r="T1076" s="36" t="s">
        <v>1372</v>
      </c>
      <c r="U1076" s="36">
        <v>1170939</v>
      </c>
      <c r="V1076" s="165" t="s">
        <v>89</v>
      </c>
      <c r="W1076" s="36">
        <v>1</v>
      </c>
      <c r="X1076" s="36">
        <v>1</v>
      </c>
      <c r="Y1076" s="36">
        <v>1</v>
      </c>
      <c r="Z1076" s="36">
        <v>1</v>
      </c>
      <c r="AA1076" s="36">
        <v>1</v>
      </c>
      <c r="AB1076" s="36">
        <v>2</v>
      </c>
      <c r="AC1076" s="36">
        <v>2</v>
      </c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  <c r="AV1076" s="36"/>
      <c r="AW1076" s="36"/>
      <c r="AX1076" s="36"/>
      <c r="AY1076" s="953"/>
      <c r="AZ1076" s="36"/>
      <c r="BA1076" s="36"/>
      <c r="BB1076" s="36"/>
      <c r="BC1076" s="36"/>
      <c r="BD1076" s="36"/>
      <c r="BF1076">
        <f>ROWS($U$46:U1076)</f>
        <v>1031</v>
      </c>
      <c r="BG1076" t="str">
        <f t="shared" si="221"/>
        <v/>
      </c>
    </row>
    <row r="1077" spans="13:59" x14ac:dyDescent="0.35">
      <c r="O1077" s="330"/>
      <c r="P1077" s="36"/>
      <c r="Q1077" s="36"/>
      <c r="R1077" s="36"/>
      <c r="S1077" s="553" t="s">
        <v>1319</v>
      </c>
      <c r="T1077" s="36" t="s">
        <v>1372</v>
      </c>
      <c r="U1077" s="36">
        <v>1170939</v>
      </c>
      <c r="V1077" s="165" t="s">
        <v>90</v>
      </c>
      <c r="W1077" s="36">
        <v>1</v>
      </c>
      <c r="X1077" s="36">
        <v>1</v>
      </c>
      <c r="Y1077" s="36">
        <v>1</v>
      </c>
      <c r="Z1077" s="36">
        <v>1</v>
      </c>
      <c r="AA1077" s="36">
        <v>1</v>
      </c>
      <c r="AB1077" s="36">
        <v>1</v>
      </c>
      <c r="AC1077" s="36">
        <v>2</v>
      </c>
      <c r="AD1077" s="36">
        <v>2</v>
      </c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  <c r="AV1077" s="36"/>
      <c r="AW1077" s="36"/>
      <c r="AX1077" s="36"/>
      <c r="AY1077" s="953"/>
      <c r="AZ1077" s="36"/>
      <c r="BA1077" s="36"/>
      <c r="BB1077" s="36"/>
      <c r="BC1077" s="36"/>
      <c r="BD1077" s="36"/>
      <c r="BF1077">
        <f>ROWS($U$46:U1077)</f>
        <v>1032</v>
      </c>
      <c r="BG1077" t="str">
        <f t="shared" si="221"/>
        <v/>
      </c>
    </row>
    <row r="1078" spans="13:59" ht="15" thickBot="1" x14ac:dyDescent="0.4">
      <c r="O1078" s="331"/>
      <c r="P1078" s="328"/>
      <c r="Q1078" s="328"/>
      <c r="R1078" s="328"/>
      <c r="S1078" s="554" t="s">
        <v>1319</v>
      </c>
      <c r="T1078" s="328" t="s">
        <v>1372</v>
      </c>
      <c r="U1078" s="328">
        <v>1170939</v>
      </c>
      <c r="V1078" s="327" t="s">
        <v>91</v>
      </c>
      <c r="W1078" s="328">
        <v>1</v>
      </c>
      <c r="X1078" s="328">
        <v>1</v>
      </c>
      <c r="Y1078" s="328">
        <v>1</v>
      </c>
      <c r="Z1078" s="328">
        <v>2</v>
      </c>
      <c r="AA1078" s="328">
        <v>2</v>
      </c>
      <c r="AB1078" s="328"/>
      <c r="AC1078" s="328"/>
      <c r="AD1078" s="328"/>
      <c r="AE1078" s="328"/>
      <c r="AF1078" s="328"/>
      <c r="AG1078" s="328"/>
      <c r="AH1078" s="328"/>
      <c r="AI1078" s="328"/>
      <c r="AJ1078" s="328"/>
      <c r="AK1078" s="328"/>
      <c r="AL1078" s="328"/>
      <c r="AM1078" s="328"/>
      <c r="AN1078" s="328"/>
      <c r="AO1078" s="328"/>
      <c r="AP1078" s="328"/>
      <c r="AQ1078" s="328"/>
      <c r="AR1078" s="328"/>
      <c r="AS1078" s="328"/>
      <c r="AT1078" s="328"/>
      <c r="AU1078" s="328"/>
      <c r="AV1078" s="328"/>
      <c r="AW1078" s="328"/>
      <c r="AX1078" s="328"/>
      <c r="AY1078" s="954"/>
      <c r="AZ1078" s="36"/>
      <c r="BA1078" s="36"/>
      <c r="BB1078" s="36"/>
      <c r="BC1078" s="36"/>
      <c r="BD1078" s="36"/>
      <c r="BF1078">
        <f>ROWS($U$46:U1078)</f>
        <v>1033</v>
      </c>
      <c r="BG1078" t="str">
        <f t="shared" si="221"/>
        <v/>
      </c>
    </row>
    <row r="1079" spans="13:59" x14ac:dyDescent="0.35">
      <c r="O1079" s="329">
        <v>1</v>
      </c>
      <c r="P1079" s="320">
        <v>1145493</v>
      </c>
      <c r="Q1079" s="320">
        <v>23</v>
      </c>
      <c r="R1079" s="320"/>
      <c r="S1079" s="552" t="s">
        <v>1319</v>
      </c>
      <c r="T1079" s="320" t="s">
        <v>1372</v>
      </c>
      <c r="U1079" s="320">
        <v>1174282</v>
      </c>
      <c r="V1079" s="319" t="s">
        <v>87</v>
      </c>
      <c r="W1079" s="320">
        <v>1</v>
      </c>
      <c r="X1079" s="320">
        <v>1</v>
      </c>
      <c r="Y1079" s="320">
        <v>1</v>
      </c>
      <c r="Z1079" s="320">
        <v>1</v>
      </c>
      <c r="AA1079" s="320">
        <v>1</v>
      </c>
      <c r="AB1079" s="320">
        <v>1</v>
      </c>
      <c r="AC1079" s="320">
        <v>2</v>
      </c>
      <c r="AD1079" s="320">
        <v>2</v>
      </c>
      <c r="AE1079" s="320"/>
      <c r="AF1079" s="320"/>
      <c r="AG1079" s="320"/>
      <c r="AH1079" s="320"/>
      <c r="AI1079" s="320"/>
      <c r="AJ1079" s="320"/>
      <c r="AK1079" s="320"/>
      <c r="AL1079" s="320"/>
      <c r="AM1079" s="320"/>
      <c r="AN1079" s="320"/>
      <c r="AO1079" s="320"/>
      <c r="AP1079" s="320"/>
      <c r="AQ1079" s="320"/>
      <c r="AR1079" s="320"/>
      <c r="AS1079" s="320"/>
      <c r="AT1079" s="320"/>
      <c r="AU1079" s="320"/>
      <c r="AV1079" s="320"/>
      <c r="AW1079" s="320"/>
      <c r="AX1079" s="320"/>
      <c r="AY1079" s="952"/>
      <c r="AZ1079" s="36"/>
      <c r="BA1079" s="36"/>
      <c r="BB1079" s="36"/>
      <c r="BC1079" s="36"/>
      <c r="BD1079" s="36"/>
      <c r="BF1079">
        <f>ROWS($U$46:U1079)</f>
        <v>1034</v>
      </c>
      <c r="BG1079" t="str">
        <f t="shared" si="221"/>
        <v/>
      </c>
    </row>
    <row r="1080" spans="13:59" x14ac:dyDescent="0.35">
      <c r="O1080" s="330">
        <v>2</v>
      </c>
      <c r="P1080" s="36">
        <v>418525</v>
      </c>
      <c r="Q1080" s="36">
        <v>10</v>
      </c>
      <c r="R1080" s="36"/>
      <c r="S1080" s="553" t="s">
        <v>1319</v>
      </c>
      <c r="T1080" s="36" t="s">
        <v>1372</v>
      </c>
      <c r="U1080" s="36">
        <v>1174282</v>
      </c>
      <c r="V1080" s="165" t="s">
        <v>88</v>
      </c>
      <c r="W1080" s="36">
        <v>1</v>
      </c>
      <c r="X1080" s="36">
        <v>1</v>
      </c>
      <c r="Y1080" s="36">
        <v>1</v>
      </c>
      <c r="Z1080" s="36">
        <v>2</v>
      </c>
      <c r="AA1080" s="36">
        <v>2</v>
      </c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  <c r="AV1080" s="36"/>
      <c r="AW1080" s="36"/>
      <c r="AX1080" s="36"/>
      <c r="AY1080" s="953"/>
      <c r="AZ1080" s="36"/>
      <c r="BA1080" s="36"/>
      <c r="BB1080" s="36"/>
      <c r="BC1080" s="36"/>
      <c r="BD1080" s="36"/>
      <c r="BF1080">
        <f>ROWS($U$46:U1080)</f>
        <v>1035</v>
      </c>
      <c r="BG1080" t="str">
        <f t="shared" si="221"/>
        <v/>
      </c>
    </row>
    <row r="1081" spans="13:59" x14ac:dyDescent="0.35">
      <c r="O1081" s="330"/>
      <c r="P1081" s="36"/>
      <c r="Q1081" s="36"/>
      <c r="R1081" s="36"/>
      <c r="S1081" s="553" t="s">
        <v>1319</v>
      </c>
      <c r="T1081" s="36" t="s">
        <v>1372</v>
      </c>
      <c r="U1081" s="36">
        <v>1174282</v>
      </c>
      <c r="V1081" s="165" t="s">
        <v>89</v>
      </c>
      <c r="W1081" s="36">
        <v>1</v>
      </c>
      <c r="X1081" s="36">
        <v>1</v>
      </c>
      <c r="Y1081" s="36">
        <v>1</v>
      </c>
      <c r="Z1081" s="36">
        <v>1</v>
      </c>
      <c r="AA1081" s="36">
        <v>1</v>
      </c>
      <c r="AB1081" s="36">
        <v>2</v>
      </c>
      <c r="AC1081" s="36">
        <v>2</v>
      </c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  <c r="AV1081" s="36"/>
      <c r="AW1081" s="36"/>
      <c r="AX1081" s="36"/>
      <c r="AY1081" s="953"/>
      <c r="AZ1081" s="36"/>
      <c r="BA1081" s="36"/>
      <c r="BB1081" s="36"/>
      <c r="BC1081" s="36"/>
      <c r="BD1081" s="36"/>
      <c r="BF1081">
        <f>ROWS($U$46:U1081)</f>
        <v>1036</v>
      </c>
      <c r="BG1081" t="str">
        <f t="shared" si="221"/>
        <v/>
      </c>
    </row>
    <row r="1082" spans="13:59" x14ac:dyDescent="0.35">
      <c r="M1082">
        <v>1170939</v>
      </c>
      <c r="O1082" s="330"/>
      <c r="P1082" s="36"/>
      <c r="Q1082" s="36"/>
      <c r="R1082" s="36"/>
      <c r="S1082" s="553" t="s">
        <v>1319</v>
      </c>
      <c r="T1082" s="36" t="s">
        <v>1372</v>
      </c>
      <c r="U1082" s="36">
        <v>1174282</v>
      </c>
      <c r="V1082" s="165" t="s">
        <v>90</v>
      </c>
      <c r="W1082" s="36">
        <v>1</v>
      </c>
      <c r="X1082" s="36">
        <v>1</v>
      </c>
      <c r="Y1082" s="36">
        <v>1</v>
      </c>
      <c r="Z1082" s="36">
        <v>1</v>
      </c>
      <c r="AA1082" s="36">
        <v>1</v>
      </c>
      <c r="AB1082" s="36">
        <v>1</v>
      </c>
      <c r="AC1082" s="36">
        <v>2</v>
      </c>
      <c r="AD1082" s="36">
        <v>2</v>
      </c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  <c r="AV1082" s="36"/>
      <c r="AW1082" s="36"/>
      <c r="AX1082" s="36"/>
      <c r="AY1082" s="953"/>
      <c r="AZ1082" s="36"/>
      <c r="BA1082" s="36"/>
      <c r="BB1082" s="36"/>
      <c r="BC1082" s="36"/>
      <c r="BD1082" s="36"/>
      <c r="BF1082">
        <f>ROWS($U$46:U1082)</f>
        <v>1037</v>
      </c>
      <c r="BG1082" t="str">
        <f t="shared" si="221"/>
        <v/>
      </c>
    </row>
    <row r="1083" spans="13:59" ht="15" thickBot="1" x14ac:dyDescent="0.4">
      <c r="M1083">
        <v>1174282</v>
      </c>
      <c r="O1083" s="331"/>
      <c r="P1083" s="328"/>
      <c r="Q1083" s="328"/>
      <c r="R1083" s="328"/>
      <c r="S1083" s="554" t="s">
        <v>1319</v>
      </c>
      <c r="T1083" s="328" t="s">
        <v>1372</v>
      </c>
      <c r="U1083" s="328">
        <v>1174282</v>
      </c>
      <c r="V1083" s="327" t="s">
        <v>91</v>
      </c>
      <c r="W1083" s="328">
        <v>1</v>
      </c>
      <c r="X1083" s="328">
        <v>1</v>
      </c>
      <c r="Y1083" s="328">
        <v>1</v>
      </c>
      <c r="Z1083" s="328">
        <v>2</v>
      </c>
      <c r="AA1083" s="328">
        <v>2</v>
      </c>
      <c r="AB1083" s="328"/>
      <c r="AC1083" s="328"/>
      <c r="AD1083" s="328"/>
      <c r="AE1083" s="328"/>
      <c r="AF1083" s="328"/>
      <c r="AG1083" s="328"/>
      <c r="AH1083" s="328"/>
      <c r="AI1083" s="328"/>
      <c r="AJ1083" s="328"/>
      <c r="AK1083" s="328"/>
      <c r="AL1083" s="328"/>
      <c r="AM1083" s="328"/>
      <c r="AN1083" s="328"/>
      <c r="AO1083" s="328"/>
      <c r="AP1083" s="328"/>
      <c r="AQ1083" s="328"/>
      <c r="AR1083" s="328"/>
      <c r="AS1083" s="328"/>
      <c r="AT1083" s="328"/>
      <c r="AU1083" s="328"/>
      <c r="AV1083" s="328"/>
      <c r="AW1083" s="328"/>
      <c r="AX1083" s="328"/>
      <c r="AY1083" s="954"/>
      <c r="AZ1083" s="36"/>
      <c r="BA1083" s="36"/>
      <c r="BB1083" s="36"/>
      <c r="BC1083" s="36"/>
      <c r="BD1083" s="36"/>
      <c r="BF1083">
        <f>ROWS($U$46:U1083)</f>
        <v>1038</v>
      </c>
      <c r="BG1083" t="str">
        <f t="shared" si="221"/>
        <v/>
      </c>
    </row>
    <row r="1084" spans="13:59" x14ac:dyDescent="0.35">
      <c r="O1084" s="329">
        <v>1</v>
      </c>
      <c r="P1084" s="320">
        <v>1130198</v>
      </c>
      <c r="Q1084" s="320">
        <v>33</v>
      </c>
      <c r="R1084" s="320"/>
      <c r="S1084" s="552" t="s">
        <v>1198</v>
      </c>
      <c r="T1084" s="320" t="s">
        <v>1321</v>
      </c>
      <c r="U1084" s="320">
        <v>1176919</v>
      </c>
      <c r="V1084" s="319" t="s">
        <v>87</v>
      </c>
      <c r="W1084" s="320">
        <v>1</v>
      </c>
      <c r="X1084" s="320">
        <v>1</v>
      </c>
      <c r="Y1084" s="320">
        <v>1</v>
      </c>
      <c r="Z1084" s="320">
        <v>1</v>
      </c>
      <c r="AA1084" s="320">
        <v>1</v>
      </c>
      <c r="AB1084" s="320">
        <v>1</v>
      </c>
      <c r="AC1084" s="320">
        <v>1</v>
      </c>
      <c r="AD1084" s="320">
        <v>3</v>
      </c>
      <c r="AE1084" s="320"/>
      <c r="AF1084" s="320">
        <v>2</v>
      </c>
      <c r="AG1084" s="320">
        <v>2</v>
      </c>
      <c r="AH1084" s="320">
        <v>2</v>
      </c>
      <c r="AI1084" s="320">
        <v>2</v>
      </c>
      <c r="AJ1084" s="320"/>
      <c r="AK1084" s="320"/>
      <c r="AL1084" s="320"/>
      <c r="AM1084" s="320"/>
      <c r="AN1084" s="320"/>
      <c r="AO1084" s="320"/>
      <c r="AP1084" s="320"/>
      <c r="AQ1084" s="320"/>
      <c r="AR1084" s="320"/>
      <c r="AS1084" s="320"/>
      <c r="AT1084" s="320"/>
      <c r="AU1084" s="320"/>
      <c r="AV1084" s="320"/>
      <c r="AW1084" s="320"/>
      <c r="AX1084" s="320"/>
      <c r="AY1084" s="952"/>
      <c r="AZ1084" s="36"/>
      <c r="BA1084" s="36"/>
      <c r="BB1084" s="36"/>
      <c r="BC1084" s="36"/>
      <c r="BD1084" s="36"/>
      <c r="BF1084">
        <f>ROWS($U$46:U1084)</f>
        <v>1039</v>
      </c>
      <c r="BG1084" t="str">
        <f t="shared" si="221"/>
        <v/>
      </c>
    </row>
    <row r="1085" spans="13:59" x14ac:dyDescent="0.35">
      <c r="O1085" s="330">
        <v>2</v>
      </c>
      <c r="P1085" s="36">
        <v>1130197</v>
      </c>
      <c r="Q1085" s="36">
        <v>23</v>
      </c>
      <c r="R1085" s="36"/>
      <c r="S1085" s="553" t="s">
        <v>1198</v>
      </c>
      <c r="T1085" s="36" t="s">
        <v>1321</v>
      </c>
      <c r="U1085" s="36">
        <v>1176919</v>
      </c>
      <c r="V1085" s="165" t="s">
        <v>88</v>
      </c>
      <c r="W1085" s="36">
        <v>1</v>
      </c>
      <c r="X1085" s="36">
        <v>1</v>
      </c>
      <c r="Y1085" s="36">
        <v>1</v>
      </c>
      <c r="Z1085" s="36">
        <v>1</v>
      </c>
      <c r="AA1085" s="36">
        <v>3</v>
      </c>
      <c r="AB1085" s="36"/>
      <c r="AC1085" s="36"/>
      <c r="AD1085" s="36"/>
      <c r="AE1085" s="36"/>
      <c r="AF1085" s="36">
        <v>2</v>
      </c>
      <c r="AG1085" s="36">
        <v>2</v>
      </c>
      <c r="AH1085" s="36">
        <v>2</v>
      </c>
      <c r="AI1085" s="36">
        <v>2</v>
      </c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  <c r="AV1085" s="36"/>
      <c r="AW1085" s="36"/>
      <c r="AX1085" s="36"/>
      <c r="AY1085" s="953"/>
      <c r="AZ1085" s="36"/>
      <c r="BA1085" s="36"/>
      <c r="BB1085" s="36"/>
      <c r="BC1085" s="36"/>
      <c r="BD1085" s="36"/>
      <c r="BF1085">
        <f>ROWS($U$46:U1085)</f>
        <v>1040</v>
      </c>
      <c r="BG1085" t="str">
        <f t="shared" si="221"/>
        <v/>
      </c>
    </row>
    <row r="1086" spans="13:59" x14ac:dyDescent="0.35">
      <c r="O1086" s="330">
        <v>3</v>
      </c>
      <c r="P1086" s="36">
        <v>418525</v>
      </c>
      <c r="Q1086" s="36">
        <v>6</v>
      </c>
      <c r="R1086" s="36"/>
      <c r="S1086" s="553" t="s">
        <v>1198</v>
      </c>
      <c r="T1086" s="36" t="s">
        <v>1321</v>
      </c>
      <c r="U1086" s="36">
        <v>1176919</v>
      </c>
      <c r="V1086" s="165" t="s">
        <v>89</v>
      </c>
      <c r="W1086" s="36">
        <v>1</v>
      </c>
      <c r="X1086" s="36">
        <v>1</v>
      </c>
      <c r="Y1086" s="36">
        <v>1</v>
      </c>
      <c r="Z1086" s="36">
        <v>1</v>
      </c>
      <c r="AA1086" s="36">
        <v>1</v>
      </c>
      <c r="AB1086" s="36">
        <v>1</v>
      </c>
      <c r="AC1086" s="36">
        <v>3</v>
      </c>
      <c r="AD1086" s="36"/>
      <c r="AE1086" s="36"/>
      <c r="AF1086" s="36">
        <v>2</v>
      </c>
      <c r="AG1086" s="36">
        <v>2</v>
      </c>
      <c r="AH1086" s="36">
        <v>2</v>
      </c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  <c r="AV1086" s="36"/>
      <c r="AW1086" s="36"/>
      <c r="AX1086" s="36"/>
      <c r="AY1086" s="953"/>
      <c r="AZ1086" s="36"/>
      <c r="BA1086" s="36"/>
      <c r="BB1086" s="36"/>
      <c r="BC1086" s="36"/>
      <c r="BD1086" s="36"/>
      <c r="BF1086">
        <f>ROWS($U$46:U1086)</f>
        <v>1041</v>
      </c>
      <c r="BG1086" t="str">
        <f t="shared" si="221"/>
        <v/>
      </c>
    </row>
    <row r="1087" spans="13:59" x14ac:dyDescent="0.35">
      <c r="O1087" s="330"/>
      <c r="P1087" s="36"/>
      <c r="Q1087" s="36"/>
      <c r="R1087" s="36"/>
      <c r="S1087" s="553" t="s">
        <v>1198</v>
      </c>
      <c r="T1087" s="36" t="s">
        <v>1321</v>
      </c>
      <c r="U1087" s="36">
        <v>1176919</v>
      </c>
      <c r="V1087" s="165" t="s">
        <v>90</v>
      </c>
      <c r="W1087" s="36">
        <v>1</v>
      </c>
      <c r="X1087" s="36">
        <v>1</v>
      </c>
      <c r="Y1087" s="36">
        <v>1</v>
      </c>
      <c r="Z1087" s="36">
        <v>1</v>
      </c>
      <c r="AA1087" s="36">
        <v>1</v>
      </c>
      <c r="AB1087" s="36">
        <v>3</v>
      </c>
      <c r="AC1087" s="36"/>
      <c r="AD1087" s="36"/>
      <c r="AE1087" s="36"/>
      <c r="AF1087" s="36">
        <v>2</v>
      </c>
      <c r="AG1087" s="36">
        <v>2</v>
      </c>
      <c r="AH1087" s="36">
        <v>2</v>
      </c>
      <c r="AI1087" s="36">
        <v>2</v>
      </c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  <c r="AV1087" s="36"/>
      <c r="AW1087" s="36"/>
      <c r="AX1087" s="36"/>
      <c r="AY1087" s="953"/>
      <c r="AZ1087" s="36"/>
      <c r="BA1087" s="36"/>
      <c r="BB1087" s="36"/>
      <c r="BC1087" s="36"/>
      <c r="BD1087" s="36"/>
      <c r="BF1087">
        <f>ROWS($U$46:U1087)</f>
        <v>1042</v>
      </c>
      <c r="BG1087" t="str">
        <f t="shared" si="221"/>
        <v/>
      </c>
    </row>
    <row r="1088" spans="13:59" x14ac:dyDescent="0.35">
      <c r="O1088" s="330"/>
      <c r="P1088" s="36"/>
      <c r="Q1088" s="36"/>
      <c r="R1088" s="36"/>
      <c r="S1088" s="553" t="s">
        <v>1198</v>
      </c>
      <c r="T1088" s="36" t="s">
        <v>1321</v>
      </c>
      <c r="U1088" s="36">
        <v>1176919</v>
      </c>
      <c r="V1088" s="165" t="s">
        <v>91</v>
      </c>
      <c r="W1088" s="36">
        <v>1</v>
      </c>
      <c r="X1088" s="36">
        <v>1</v>
      </c>
      <c r="Y1088" s="36">
        <v>1</v>
      </c>
      <c r="Z1088" s="36">
        <v>1</v>
      </c>
      <c r="AA1088" s="36">
        <v>1</v>
      </c>
      <c r="AB1088" s="36">
        <v>1</v>
      </c>
      <c r="AC1088" s="36">
        <v>1</v>
      </c>
      <c r="AD1088" s="36">
        <v>3</v>
      </c>
      <c r="AE1088" s="36"/>
      <c r="AF1088" s="36">
        <v>2</v>
      </c>
      <c r="AG1088" s="36">
        <v>2</v>
      </c>
      <c r="AH1088" s="36">
        <v>2</v>
      </c>
      <c r="AI1088" s="36">
        <v>2</v>
      </c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  <c r="AV1088" s="36"/>
      <c r="AW1088" s="36"/>
      <c r="AX1088" s="36"/>
      <c r="AY1088" s="953"/>
      <c r="AZ1088" s="36"/>
      <c r="BA1088" s="36"/>
      <c r="BB1088" s="36"/>
      <c r="BC1088" s="36"/>
      <c r="BD1088" s="36"/>
      <c r="BF1088">
        <f>ROWS($U$46:U1088)</f>
        <v>1043</v>
      </c>
      <c r="BG1088" t="str">
        <f t="shared" si="221"/>
        <v/>
      </c>
    </row>
    <row r="1089" spans="15:59" ht="15" thickBot="1" x14ac:dyDescent="0.4">
      <c r="O1089" s="331"/>
      <c r="P1089" s="328"/>
      <c r="Q1089" s="328"/>
      <c r="R1089" s="328"/>
      <c r="S1089" s="554" t="s">
        <v>1198</v>
      </c>
      <c r="T1089" s="328" t="s">
        <v>1321</v>
      </c>
      <c r="U1089" s="328">
        <v>1176919</v>
      </c>
      <c r="V1089" s="327" t="s">
        <v>92</v>
      </c>
      <c r="W1089" s="328">
        <v>1</v>
      </c>
      <c r="X1089" s="328">
        <v>1</v>
      </c>
      <c r="Y1089" s="328">
        <v>1</v>
      </c>
      <c r="Z1089" s="328">
        <v>1</v>
      </c>
      <c r="AA1089" s="328">
        <v>3</v>
      </c>
      <c r="AB1089" s="328"/>
      <c r="AC1089" s="328"/>
      <c r="AD1089" s="328"/>
      <c r="AE1089" s="328"/>
      <c r="AF1089" s="328">
        <v>2</v>
      </c>
      <c r="AG1089" s="328">
        <v>2</v>
      </c>
      <c r="AH1089" s="328">
        <v>2</v>
      </c>
      <c r="AI1089" s="328">
        <v>2</v>
      </c>
      <c r="AJ1089" s="328"/>
      <c r="AK1089" s="328"/>
      <c r="AL1089" s="328"/>
      <c r="AM1089" s="328"/>
      <c r="AN1089" s="328"/>
      <c r="AO1089" s="328"/>
      <c r="AP1089" s="328"/>
      <c r="AQ1089" s="328"/>
      <c r="AR1089" s="328"/>
      <c r="AS1089" s="328"/>
      <c r="AT1089" s="328"/>
      <c r="AU1089" s="328"/>
      <c r="AV1089" s="328"/>
      <c r="AW1089" s="328"/>
      <c r="AX1089" s="328"/>
      <c r="AY1089" s="954"/>
      <c r="AZ1089" s="36"/>
      <c r="BA1089" s="36"/>
      <c r="BB1089" s="36"/>
      <c r="BC1089" s="36"/>
      <c r="BD1089" s="36"/>
      <c r="BF1089">
        <f>ROWS($U$46:U1089)</f>
        <v>1044</v>
      </c>
      <c r="BG1089" t="str">
        <f t="shared" si="221"/>
        <v/>
      </c>
    </row>
    <row r="1090" spans="15:59" x14ac:dyDescent="0.35">
      <c r="O1090" s="329">
        <v>1</v>
      </c>
      <c r="P1090" s="320">
        <v>1130198</v>
      </c>
      <c r="Q1090" s="320">
        <v>15</v>
      </c>
      <c r="R1090" s="320"/>
      <c r="S1090" s="552" t="s">
        <v>1200</v>
      </c>
      <c r="T1090" s="320" t="s">
        <v>1839</v>
      </c>
      <c r="U1090" s="320">
        <v>1159702</v>
      </c>
      <c r="V1090" s="319" t="s">
        <v>87</v>
      </c>
      <c r="W1090" s="320">
        <v>2</v>
      </c>
      <c r="X1090" s="320">
        <v>2</v>
      </c>
      <c r="Y1090" s="320">
        <v>1</v>
      </c>
      <c r="Z1090" s="320">
        <v>1</v>
      </c>
      <c r="AA1090" s="320">
        <v>1</v>
      </c>
      <c r="AB1090" s="320">
        <v>2</v>
      </c>
      <c r="AC1090" s="320"/>
      <c r="AD1090" s="320">
        <v>4</v>
      </c>
      <c r="AE1090" s="320">
        <v>3</v>
      </c>
      <c r="AF1090" s="320"/>
      <c r="AG1090" s="320"/>
      <c r="AH1090" s="320"/>
      <c r="AI1090" s="320"/>
      <c r="AJ1090" s="320"/>
      <c r="AK1090" s="320"/>
      <c r="AL1090" s="320"/>
      <c r="AM1090" s="320"/>
      <c r="AN1090" s="320"/>
      <c r="AO1090" s="320"/>
      <c r="AP1090" s="320"/>
      <c r="AQ1090" s="320"/>
      <c r="AR1090" s="320"/>
      <c r="AS1090" s="320"/>
      <c r="AT1090" s="320"/>
      <c r="AU1090" s="320"/>
      <c r="AV1090" s="320"/>
      <c r="AW1090" s="320"/>
      <c r="AX1090" s="320"/>
      <c r="AY1090" s="952"/>
      <c r="AZ1090" s="36"/>
      <c r="BA1090" s="36"/>
      <c r="BB1090" s="36"/>
      <c r="BC1090" s="36"/>
      <c r="BD1090" s="36"/>
      <c r="BF1090">
        <f>ROWS($U$46:U1090)</f>
        <v>1045</v>
      </c>
      <c r="BG1090" t="str">
        <f t="shared" si="221"/>
        <v/>
      </c>
    </row>
    <row r="1091" spans="15:59" x14ac:dyDescent="0.35">
      <c r="O1091" s="330">
        <v>2</v>
      </c>
      <c r="P1091" s="36">
        <v>1130196</v>
      </c>
      <c r="Q1091" s="36">
        <v>11</v>
      </c>
      <c r="R1091" s="36"/>
      <c r="S1091" s="553" t="s">
        <v>1200</v>
      </c>
      <c r="T1091" s="36" t="s">
        <v>1839</v>
      </c>
      <c r="U1091" s="36">
        <v>1159702</v>
      </c>
      <c r="V1091" s="165" t="s">
        <v>88</v>
      </c>
      <c r="W1091" s="36">
        <v>1</v>
      </c>
      <c r="X1091" s="36">
        <v>1</v>
      </c>
      <c r="Y1091" s="36">
        <v>1</v>
      </c>
      <c r="Z1091" s="36">
        <v>2</v>
      </c>
      <c r="AA1091" s="36"/>
      <c r="AB1091" s="36"/>
      <c r="AC1091" s="36"/>
      <c r="AD1091" s="36">
        <v>4</v>
      </c>
      <c r="AE1091" s="36">
        <v>3</v>
      </c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  <c r="AV1091" s="36"/>
      <c r="AW1091" s="36"/>
      <c r="AX1091" s="36"/>
      <c r="AY1091" s="953"/>
      <c r="AZ1091" s="36"/>
      <c r="BA1091" s="36"/>
      <c r="BB1091" s="36"/>
      <c r="BC1091" s="36"/>
      <c r="BD1091" s="36"/>
      <c r="BF1091">
        <f>ROWS($U$46:U1091)</f>
        <v>1046</v>
      </c>
      <c r="BG1091" t="str">
        <f t="shared" si="221"/>
        <v/>
      </c>
    </row>
    <row r="1092" spans="15:59" x14ac:dyDescent="0.35">
      <c r="O1092" s="330">
        <v>3</v>
      </c>
      <c r="P1092" s="36">
        <v>717751</v>
      </c>
      <c r="Q1092" s="36">
        <v>5</v>
      </c>
      <c r="R1092" s="36"/>
      <c r="S1092" s="553" t="s">
        <v>1200</v>
      </c>
      <c r="T1092" s="36" t="s">
        <v>1839</v>
      </c>
      <c r="U1092" s="36">
        <v>1159702</v>
      </c>
      <c r="V1092" s="165" t="s">
        <v>89</v>
      </c>
      <c r="W1092" s="36">
        <v>2</v>
      </c>
      <c r="X1092" s="36">
        <v>2</v>
      </c>
      <c r="Y1092" s="36">
        <v>1</v>
      </c>
      <c r="Z1092" s="36">
        <v>1</v>
      </c>
      <c r="AA1092" s="36">
        <v>1</v>
      </c>
      <c r="AB1092" s="36">
        <v>2</v>
      </c>
      <c r="AC1092" s="36"/>
      <c r="AD1092" s="36">
        <v>4</v>
      </c>
      <c r="AE1092" s="36">
        <v>3</v>
      </c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  <c r="AV1092" s="36"/>
      <c r="AW1092" s="36"/>
      <c r="AX1092" s="36"/>
      <c r="AY1092" s="953"/>
      <c r="AZ1092" s="36"/>
      <c r="BA1092" s="36"/>
      <c r="BB1092" s="36"/>
      <c r="BC1092" s="36"/>
      <c r="BD1092" s="36"/>
      <c r="BF1092">
        <f>ROWS($U$46:U1092)</f>
        <v>1047</v>
      </c>
      <c r="BG1092" t="str">
        <f t="shared" si="221"/>
        <v/>
      </c>
    </row>
    <row r="1093" spans="15:59" x14ac:dyDescent="0.35">
      <c r="O1093" s="330">
        <v>4</v>
      </c>
      <c r="P1093" s="36">
        <v>1078371</v>
      </c>
      <c r="Q1093" s="36">
        <v>5</v>
      </c>
      <c r="R1093" s="36"/>
      <c r="S1093" s="553" t="s">
        <v>1200</v>
      </c>
      <c r="T1093" s="36" t="s">
        <v>1839</v>
      </c>
      <c r="U1093" s="36">
        <v>1159702</v>
      </c>
      <c r="V1093" s="165" t="s">
        <v>90</v>
      </c>
      <c r="W1093" s="36">
        <v>2</v>
      </c>
      <c r="X1093" s="36">
        <v>2</v>
      </c>
      <c r="Y1093" s="36">
        <v>1</v>
      </c>
      <c r="Z1093" s="36">
        <v>1</v>
      </c>
      <c r="AA1093" s="36">
        <v>1</v>
      </c>
      <c r="AB1093" s="36">
        <v>2</v>
      </c>
      <c r="AC1093" s="36"/>
      <c r="AD1093" s="36">
        <v>4</v>
      </c>
      <c r="AE1093" s="36">
        <v>3</v>
      </c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  <c r="AV1093" s="36"/>
      <c r="AW1093" s="36"/>
      <c r="AX1093" s="36"/>
      <c r="AY1093" s="953"/>
      <c r="AZ1093" s="36"/>
      <c r="BA1093" s="36"/>
      <c r="BB1093" s="36"/>
      <c r="BC1093" s="36"/>
      <c r="BD1093" s="36"/>
      <c r="BF1093">
        <f>ROWS($U$46:U1093)</f>
        <v>1048</v>
      </c>
      <c r="BG1093" t="str">
        <f t="shared" si="221"/>
        <v/>
      </c>
    </row>
    <row r="1094" spans="15:59" ht="15" thickBot="1" x14ac:dyDescent="0.4">
      <c r="O1094" s="331"/>
      <c r="P1094" s="328"/>
      <c r="Q1094" s="328"/>
      <c r="R1094" s="328"/>
      <c r="S1094" s="554" t="s">
        <v>1200</v>
      </c>
      <c r="T1094" s="328" t="s">
        <v>1839</v>
      </c>
      <c r="U1094" s="328">
        <v>1159702</v>
      </c>
      <c r="V1094" s="327" t="s">
        <v>91</v>
      </c>
      <c r="W1094" s="328">
        <v>1</v>
      </c>
      <c r="X1094" s="328">
        <v>1</v>
      </c>
      <c r="Y1094" s="328">
        <v>1</v>
      </c>
      <c r="Z1094" s="328">
        <v>2</v>
      </c>
      <c r="AA1094" s="328"/>
      <c r="AB1094" s="328"/>
      <c r="AC1094" s="328"/>
      <c r="AD1094" s="328">
        <v>4</v>
      </c>
      <c r="AE1094" s="328">
        <v>3</v>
      </c>
      <c r="AF1094" s="328"/>
      <c r="AG1094" s="328"/>
      <c r="AH1094" s="328"/>
      <c r="AI1094" s="328"/>
      <c r="AJ1094" s="328"/>
      <c r="AK1094" s="328"/>
      <c r="AL1094" s="328"/>
      <c r="AM1094" s="328"/>
      <c r="AN1094" s="328"/>
      <c r="AO1094" s="328"/>
      <c r="AP1094" s="328"/>
      <c r="AQ1094" s="328"/>
      <c r="AR1094" s="328"/>
      <c r="AS1094" s="328"/>
      <c r="AT1094" s="328"/>
      <c r="AU1094" s="328"/>
      <c r="AV1094" s="328"/>
      <c r="AW1094" s="328"/>
      <c r="AX1094" s="328"/>
      <c r="AY1094" s="954"/>
      <c r="AZ1094" s="36"/>
      <c r="BA1094" s="36"/>
      <c r="BB1094" s="36"/>
      <c r="BC1094" s="36"/>
      <c r="BD1094" s="36"/>
      <c r="BF1094">
        <f>ROWS($U$46:U1094)</f>
        <v>1049</v>
      </c>
      <c r="BG1094" t="str">
        <f t="shared" si="221"/>
        <v/>
      </c>
    </row>
    <row r="1095" spans="15:59" x14ac:dyDescent="0.35">
      <c r="O1095" s="329">
        <v>1</v>
      </c>
      <c r="P1095" s="320">
        <v>1130200</v>
      </c>
      <c r="Q1095" s="320">
        <v>33</v>
      </c>
      <c r="R1095" s="320"/>
      <c r="S1095" s="552" t="s">
        <v>1207</v>
      </c>
      <c r="T1095" s="320" t="s">
        <v>1843</v>
      </c>
      <c r="U1095" s="320">
        <v>1138896</v>
      </c>
      <c r="V1095" s="319" t="s">
        <v>87</v>
      </c>
      <c r="W1095" s="320">
        <v>2</v>
      </c>
      <c r="X1095" s="320">
        <v>2</v>
      </c>
      <c r="Y1095" s="320">
        <v>2</v>
      </c>
      <c r="Z1095" s="320">
        <v>2</v>
      </c>
      <c r="AA1095" s="320">
        <v>1</v>
      </c>
      <c r="AB1095" s="320">
        <v>1</v>
      </c>
      <c r="AC1095" s="320">
        <v>1</v>
      </c>
      <c r="AD1095" s="320">
        <v>1</v>
      </c>
      <c r="AE1095" s="320">
        <v>2</v>
      </c>
      <c r="AF1095" s="320">
        <v>2</v>
      </c>
      <c r="AG1095" s="320">
        <v>3</v>
      </c>
      <c r="AH1095" s="320"/>
      <c r="AI1095" s="320"/>
      <c r="AJ1095" s="320"/>
      <c r="AK1095" s="320"/>
      <c r="AL1095" s="320"/>
      <c r="AM1095" s="320"/>
      <c r="AN1095" s="320"/>
      <c r="AO1095" s="320"/>
      <c r="AP1095" s="320"/>
      <c r="AQ1095" s="320"/>
      <c r="AR1095" s="320"/>
      <c r="AS1095" s="320"/>
      <c r="AT1095" s="320"/>
      <c r="AU1095" s="320"/>
      <c r="AV1095" s="320"/>
      <c r="AW1095" s="320"/>
      <c r="AX1095" s="320"/>
      <c r="AY1095" s="952"/>
      <c r="AZ1095" s="36"/>
      <c r="BA1095" s="36"/>
      <c r="BB1095" s="36"/>
      <c r="BC1095" s="36"/>
      <c r="BD1095" s="36"/>
      <c r="BF1095">
        <f>ROWS($U$46:U1095)</f>
        <v>1050</v>
      </c>
      <c r="BG1095" t="str">
        <f t="shared" si="221"/>
        <v/>
      </c>
    </row>
    <row r="1096" spans="15:59" x14ac:dyDescent="0.35">
      <c r="O1096" s="330">
        <v>2</v>
      </c>
      <c r="P1096" s="36">
        <v>1130198</v>
      </c>
      <c r="Q1096" s="36">
        <v>20</v>
      </c>
      <c r="R1096" s="36"/>
      <c r="S1096" s="553" t="s">
        <v>1207</v>
      </c>
      <c r="T1096" s="36" t="s">
        <v>1843</v>
      </c>
      <c r="U1096" s="36">
        <v>1138896</v>
      </c>
      <c r="V1096" s="165" t="s">
        <v>88</v>
      </c>
      <c r="W1096" s="36">
        <v>1</v>
      </c>
      <c r="X1096" s="36">
        <v>1</v>
      </c>
      <c r="Y1096" s="36">
        <v>1</v>
      </c>
      <c r="Z1096" s="36">
        <v>1</v>
      </c>
      <c r="AA1096" s="36">
        <v>1</v>
      </c>
      <c r="AB1096" s="36">
        <v>2</v>
      </c>
      <c r="AC1096" s="36">
        <v>3</v>
      </c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  <c r="AV1096" s="36"/>
      <c r="AW1096" s="36"/>
      <c r="AX1096" s="36"/>
      <c r="AY1096" s="953"/>
      <c r="AZ1096" s="36"/>
      <c r="BA1096" s="36"/>
      <c r="BB1096" s="36"/>
      <c r="BC1096" s="36"/>
      <c r="BD1096" s="36"/>
      <c r="BF1096">
        <f>ROWS($U$46:U1096)</f>
        <v>1051</v>
      </c>
      <c r="BG1096" t="str">
        <f t="shared" si="221"/>
        <v/>
      </c>
    </row>
    <row r="1097" spans="15:59" x14ac:dyDescent="0.35">
      <c r="O1097" s="330">
        <v>3</v>
      </c>
      <c r="P1097" s="36">
        <v>871781</v>
      </c>
      <c r="Q1097" s="36">
        <v>7</v>
      </c>
      <c r="R1097" s="36"/>
      <c r="S1097" s="553" t="s">
        <v>1207</v>
      </c>
      <c r="T1097" s="36" t="s">
        <v>1843</v>
      </c>
      <c r="U1097" s="36">
        <v>1138896</v>
      </c>
      <c r="V1097" s="165" t="s">
        <v>89</v>
      </c>
      <c r="W1097" s="36">
        <v>2</v>
      </c>
      <c r="X1097" s="36">
        <v>2</v>
      </c>
      <c r="Y1097" s="36">
        <v>2</v>
      </c>
      <c r="Z1097" s="36">
        <v>1</v>
      </c>
      <c r="AA1097" s="36">
        <v>1</v>
      </c>
      <c r="AB1097" s="36">
        <v>1</v>
      </c>
      <c r="AC1097" s="36">
        <v>1</v>
      </c>
      <c r="AD1097" s="36">
        <v>1</v>
      </c>
      <c r="AE1097" s="36">
        <v>2</v>
      </c>
      <c r="AF1097" s="36">
        <v>3</v>
      </c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  <c r="AV1097" s="36"/>
      <c r="AW1097" s="36"/>
      <c r="AX1097" s="36"/>
      <c r="AY1097" s="953"/>
      <c r="AZ1097" s="36"/>
      <c r="BA1097" s="36"/>
      <c r="BB1097" s="36"/>
      <c r="BC1097" s="36"/>
      <c r="BD1097" s="36"/>
      <c r="BF1097">
        <f>ROWS($U$46:U1097)</f>
        <v>1052</v>
      </c>
      <c r="BG1097" t="str">
        <f t="shared" si="221"/>
        <v/>
      </c>
    </row>
    <row r="1098" spans="15:59" x14ac:dyDescent="0.35">
      <c r="O1098" s="330"/>
      <c r="P1098" s="36"/>
      <c r="Q1098" s="36"/>
      <c r="R1098" s="36"/>
      <c r="S1098" s="553" t="s">
        <v>1207</v>
      </c>
      <c r="T1098" s="36" t="s">
        <v>1843</v>
      </c>
      <c r="U1098" s="36">
        <v>1138896</v>
      </c>
      <c r="V1098" s="165" t="s">
        <v>90</v>
      </c>
      <c r="W1098" s="36">
        <v>1</v>
      </c>
      <c r="X1098" s="36">
        <v>1</v>
      </c>
      <c r="Y1098" s="36">
        <v>1</v>
      </c>
      <c r="Z1098" s="36">
        <v>1</v>
      </c>
      <c r="AA1098" s="36">
        <v>1</v>
      </c>
      <c r="AB1098" s="36">
        <v>2</v>
      </c>
      <c r="AC1098" s="36">
        <v>3</v>
      </c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  <c r="AV1098" s="36"/>
      <c r="AW1098" s="36"/>
      <c r="AX1098" s="36"/>
      <c r="AY1098" s="953"/>
      <c r="AZ1098" s="36"/>
      <c r="BA1098" s="36"/>
      <c r="BB1098" s="36"/>
      <c r="BC1098" s="36"/>
      <c r="BD1098" s="36"/>
      <c r="BF1098">
        <f>ROWS($U$46:U1098)</f>
        <v>1053</v>
      </c>
      <c r="BG1098" t="str">
        <f t="shared" si="221"/>
        <v/>
      </c>
    </row>
    <row r="1099" spans="15:59" x14ac:dyDescent="0.35">
      <c r="O1099" s="330"/>
      <c r="P1099" s="36"/>
      <c r="Q1099" s="36"/>
      <c r="R1099" s="36"/>
      <c r="S1099" s="553" t="s">
        <v>1207</v>
      </c>
      <c r="T1099" s="36" t="s">
        <v>1843</v>
      </c>
      <c r="U1099" s="36">
        <v>1138896</v>
      </c>
      <c r="V1099" s="165" t="s">
        <v>91</v>
      </c>
      <c r="W1099" s="36">
        <v>2</v>
      </c>
      <c r="X1099" s="36">
        <v>2</v>
      </c>
      <c r="Y1099" s="36">
        <v>2</v>
      </c>
      <c r="Z1099" s="36">
        <v>1</v>
      </c>
      <c r="AA1099" s="36">
        <v>1</v>
      </c>
      <c r="AB1099" s="36">
        <v>1</v>
      </c>
      <c r="AC1099" s="36">
        <v>1</v>
      </c>
      <c r="AD1099" s="36">
        <v>1</v>
      </c>
      <c r="AE1099" s="36">
        <v>2</v>
      </c>
      <c r="AF1099" s="36">
        <v>3</v>
      </c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  <c r="AV1099" s="36"/>
      <c r="AW1099" s="36"/>
      <c r="AX1099" s="36"/>
      <c r="AY1099" s="953"/>
      <c r="AZ1099" s="36"/>
      <c r="BA1099" s="36"/>
      <c r="BB1099" s="36"/>
      <c r="BC1099" s="36"/>
      <c r="BD1099" s="36"/>
      <c r="BF1099">
        <f>ROWS($U$46:U1099)</f>
        <v>1054</v>
      </c>
      <c r="BG1099" t="str">
        <f t="shared" si="221"/>
        <v/>
      </c>
    </row>
    <row r="1100" spans="15:59" x14ac:dyDescent="0.35">
      <c r="O1100" s="330"/>
      <c r="P1100" s="36"/>
      <c r="Q1100" s="36"/>
      <c r="R1100" s="36"/>
      <c r="S1100" s="553" t="s">
        <v>1207</v>
      </c>
      <c r="T1100" s="36" t="s">
        <v>1843</v>
      </c>
      <c r="U1100" s="36">
        <v>1138896</v>
      </c>
      <c r="V1100" s="165" t="s">
        <v>92</v>
      </c>
      <c r="W1100" s="36">
        <v>1</v>
      </c>
      <c r="X1100" s="36">
        <v>1</v>
      </c>
      <c r="Y1100" s="36">
        <v>1</v>
      </c>
      <c r="Z1100" s="36">
        <v>1</v>
      </c>
      <c r="AA1100" s="36">
        <v>1</v>
      </c>
      <c r="AB1100" s="36">
        <v>2</v>
      </c>
      <c r="AC1100" s="36">
        <v>2</v>
      </c>
      <c r="AD1100" s="36">
        <v>3</v>
      </c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  <c r="AV1100" s="36"/>
      <c r="AW1100" s="36"/>
      <c r="AX1100" s="36"/>
      <c r="AY1100" s="953"/>
      <c r="AZ1100" s="36"/>
      <c r="BA1100" s="36"/>
      <c r="BB1100" s="36"/>
      <c r="BC1100" s="36"/>
      <c r="BD1100" s="36"/>
      <c r="BF1100">
        <f>ROWS($U$46:U1100)</f>
        <v>1055</v>
      </c>
      <c r="BG1100" t="str">
        <f t="shared" si="221"/>
        <v/>
      </c>
    </row>
    <row r="1101" spans="15:59" ht="15" thickBot="1" x14ac:dyDescent="0.4">
      <c r="O1101" s="331"/>
      <c r="P1101" s="328"/>
      <c r="Q1101" s="328"/>
      <c r="R1101" s="328"/>
      <c r="S1101" s="554" t="s">
        <v>1207</v>
      </c>
      <c r="T1101" s="328" t="s">
        <v>1843</v>
      </c>
      <c r="U1101" s="328">
        <v>1138896</v>
      </c>
      <c r="V1101" s="327" t="s">
        <v>111</v>
      </c>
      <c r="W1101" s="328">
        <v>1</v>
      </c>
      <c r="X1101" s="328">
        <v>1</v>
      </c>
      <c r="Y1101" s="328">
        <v>1</v>
      </c>
      <c r="Z1101" s="328">
        <v>1</v>
      </c>
      <c r="AA1101" s="328">
        <v>2</v>
      </c>
      <c r="AB1101" s="328">
        <v>2</v>
      </c>
      <c r="AC1101" s="328">
        <v>3</v>
      </c>
      <c r="AD1101" s="328"/>
      <c r="AE1101" s="328"/>
      <c r="AF1101" s="328"/>
      <c r="AG1101" s="328"/>
      <c r="AH1101" s="328"/>
      <c r="AI1101" s="328"/>
      <c r="AJ1101" s="328"/>
      <c r="AK1101" s="328"/>
      <c r="AL1101" s="328"/>
      <c r="AM1101" s="328"/>
      <c r="AN1101" s="328"/>
      <c r="AO1101" s="328"/>
      <c r="AP1101" s="328"/>
      <c r="AQ1101" s="328"/>
      <c r="AR1101" s="328"/>
      <c r="AS1101" s="328"/>
      <c r="AT1101" s="328"/>
      <c r="AU1101" s="328"/>
      <c r="AV1101" s="328"/>
      <c r="AW1101" s="328"/>
      <c r="AX1101" s="328"/>
      <c r="AY1101" s="954"/>
      <c r="AZ1101" s="36"/>
      <c r="BA1101" s="36"/>
      <c r="BB1101" s="36"/>
      <c r="BC1101" s="36"/>
      <c r="BD1101" s="36"/>
      <c r="BF1101">
        <f>ROWS($U$46:U1101)</f>
        <v>1056</v>
      </c>
      <c r="BG1101" t="str">
        <f t="shared" si="221"/>
        <v/>
      </c>
    </row>
    <row r="1102" spans="15:59" x14ac:dyDescent="0.35">
      <c r="O1102" s="329">
        <v>1</v>
      </c>
      <c r="P1102" s="320">
        <v>1144821</v>
      </c>
      <c r="Q1102" s="320">
        <v>33</v>
      </c>
      <c r="R1102" s="320"/>
      <c r="S1102" s="320" t="s">
        <v>1198</v>
      </c>
      <c r="T1102" s="320" t="s">
        <v>846</v>
      </c>
      <c r="U1102" s="320">
        <v>1147796</v>
      </c>
      <c r="V1102" s="319" t="s">
        <v>87</v>
      </c>
      <c r="W1102" s="320">
        <v>1</v>
      </c>
      <c r="X1102" s="320">
        <v>1</v>
      </c>
      <c r="Y1102" s="320">
        <v>1</v>
      </c>
      <c r="Z1102" s="320">
        <v>1</v>
      </c>
      <c r="AA1102" s="320">
        <v>1</v>
      </c>
      <c r="AB1102" s="320">
        <v>1</v>
      </c>
      <c r="AC1102" s="320">
        <v>1</v>
      </c>
      <c r="AD1102" s="320">
        <v>3</v>
      </c>
      <c r="AE1102" s="320"/>
      <c r="AF1102" s="320">
        <v>2</v>
      </c>
      <c r="AG1102" s="320">
        <v>2</v>
      </c>
      <c r="AH1102" s="320">
        <v>2</v>
      </c>
      <c r="AI1102" s="320">
        <v>2</v>
      </c>
      <c r="AJ1102" s="320"/>
      <c r="AK1102" s="320"/>
      <c r="AL1102" s="320"/>
      <c r="AM1102" s="320"/>
      <c r="AN1102" s="320"/>
      <c r="AO1102" s="320"/>
      <c r="AP1102" s="320"/>
      <c r="AQ1102" s="320"/>
      <c r="AR1102" s="320"/>
      <c r="AS1102" s="320"/>
      <c r="AT1102" s="320"/>
      <c r="AU1102" s="320"/>
      <c r="AV1102" s="320"/>
      <c r="AW1102" s="320"/>
      <c r="AX1102" s="320"/>
      <c r="AY1102" s="952"/>
      <c r="AZ1102" s="36"/>
      <c r="BA1102" s="36"/>
      <c r="BB1102" s="36"/>
      <c r="BC1102" s="36"/>
      <c r="BD1102" s="36"/>
      <c r="BF1102">
        <f>ROWS($U$46:U1102)</f>
        <v>1057</v>
      </c>
      <c r="BG1102" t="str">
        <f t="shared" si="221"/>
        <v/>
      </c>
    </row>
    <row r="1103" spans="15:59" x14ac:dyDescent="0.35">
      <c r="O1103" s="330">
        <v>2</v>
      </c>
      <c r="P1103" s="36">
        <v>1014939</v>
      </c>
      <c r="Q1103" s="36">
        <v>23</v>
      </c>
      <c r="R1103" s="36"/>
      <c r="S1103" s="36" t="s">
        <v>1198</v>
      </c>
      <c r="T1103" s="36" t="s">
        <v>846</v>
      </c>
      <c r="U1103" s="36">
        <v>1147796</v>
      </c>
      <c r="V1103" s="165" t="s">
        <v>88</v>
      </c>
      <c r="W1103" s="36">
        <v>1</v>
      </c>
      <c r="X1103" s="36">
        <v>1</v>
      </c>
      <c r="Y1103" s="36">
        <v>1</v>
      </c>
      <c r="Z1103" s="36">
        <v>1</v>
      </c>
      <c r="AA1103" s="36">
        <v>3</v>
      </c>
      <c r="AB1103" s="36"/>
      <c r="AC1103" s="36"/>
      <c r="AD1103" s="36"/>
      <c r="AE1103" s="36"/>
      <c r="AF1103" s="36">
        <v>2</v>
      </c>
      <c r="AG1103" s="36">
        <v>2</v>
      </c>
      <c r="AH1103" s="36">
        <v>2</v>
      </c>
      <c r="AI1103" s="36">
        <v>2</v>
      </c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  <c r="AV1103" s="36"/>
      <c r="AW1103" s="36"/>
      <c r="AX1103" s="36"/>
      <c r="AY1103" s="953"/>
      <c r="AZ1103" s="36"/>
      <c r="BA1103" s="36"/>
      <c r="BB1103" s="36"/>
      <c r="BC1103" s="36"/>
      <c r="BD1103" s="36"/>
      <c r="BF1103">
        <f>ROWS($U$46:U1103)</f>
        <v>1058</v>
      </c>
      <c r="BG1103" t="str">
        <f t="shared" si="221"/>
        <v/>
      </c>
    </row>
    <row r="1104" spans="15:59" x14ac:dyDescent="0.35">
      <c r="O1104" s="330">
        <v>3</v>
      </c>
      <c r="P1104" s="36">
        <v>418525</v>
      </c>
      <c r="Q1104" s="36">
        <v>6</v>
      </c>
      <c r="R1104" s="36"/>
      <c r="S1104" s="36" t="s">
        <v>1198</v>
      </c>
      <c r="T1104" s="36" t="s">
        <v>846</v>
      </c>
      <c r="U1104" s="36">
        <v>1147796</v>
      </c>
      <c r="V1104" s="165" t="s">
        <v>89</v>
      </c>
      <c r="W1104" s="36">
        <v>1</v>
      </c>
      <c r="X1104" s="36">
        <v>1</v>
      </c>
      <c r="Y1104" s="36">
        <v>1</v>
      </c>
      <c r="Z1104" s="36">
        <v>1</v>
      </c>
      <c r="AA1104" s="36">
        <v>1</v>
      </c>
      <c r="AB1104" s="36">
        <v>1</v>
      </c>
      <c r="AC1104" s="36">
        <v>3</v>
      </c>
      <c r="AD1104" s="36"/>
      <c r="AE1104" s="36"/>
      <c r="AF1104" s="36">
        <v>2</v>
      </c>
      <c r="AG1104" s="36">
        <v>2</v>
      </c>
      <c r="AH1104" s="36">
        <v>2</v>
      </c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  <c r="AV1104" s="36"/>
      <c r="AW1104" s="36"/>
      <c r="AX1104" s="36"/>
      <c r="AY1104" s="953"/>
      <c r="AZ1104" s="36"/>
      <c r="BA1104" s="36"/>
      <c r="BB1104" s="36"/>
      <c r="BC1104" s="36"/>
      <c r="BD1104" s="36"/>
      <c r="BF1104">
        <f>ROWS($U$46:U1104)</f>
        <v>1059</v>
      </c>
      <c r="BG1104" t="str">
        <f t="shared" si="221"/>
        <v/>
      </c>
    </row>
    <row r="1105" spans="15:59" x14ac:dyDescent="0.35">
      <c r="O1105" s="330"/>
      <c r="P1105" s="36"/>
      <c r="Q1105" s="36"/>
      <c r="R1105" s="36"/>
      <c r="S1105" s="36" t="s">
        <v>1198</v>
      </c>
      <c r="T1105" s="36" t="s">
        <v>846</v>
      </c>
      <c r="U1105" s="36">
        <v>1147796</v>
      </c>
      <c r="V1105" s="165" t="s">
        <v>90</v>
      </c>
      <c r="W1105" s="36">
        <v>1</v>
      </c>
      <c r="X1105" s="36">
        <v>1</v>
      </c>
      <c r="Y1105" s="36">
        <v>1</v>
      </c>
      <c r="Z1105" s="36">
        <v>1</v>
      </c>
      <c r="AA1105" s="36">
        <v>1</v>
      </c>
      <c r="AB1105" s="36">
        <v>3</v>
      </c>
      <c r="AC1105" s="36"/>
      <c r="AD1105" s="36"/>
      <c r="AE1105" s="36"/>
      <c r="AF1105" s="36">
        <v>2</v>
      </c>
      <c r="AG1105" s="36">
        <v>2</v>
      </c>
      <c r="AH1105" s="36">
        <v>2</v>
      </c>
      <c r="AI1105" s="36">
        <v>2</v>
      </c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  <c r="AV1105" s="36"/>
      <c r="AW1105" s="36"/>
      <c r="AX1105" s="36"/>
      <c r="AY1105" s="953"/>
      <c r="AZ1105" s="36"/>
      <c r="BA1105" s="36"/>
      <c r="BB1105" s="36"/>
      <c r="BC1105" s="36"/>
      <c r="BD1105" s="36"/>
      <c r="BF1105">
        <f>ROWS($U$46:U1105)</f>
        <v>1060</v>
      </c>
      <c r="BG1105" t="str">
        <f t="shared" si="221"/>
        <v/>
      </c>
    </row>
    <row r="1106" spans="15:59" x14ac:dyDescent="0.35">
      <c r="O1106" s="330"/>
      <c r="P1106" s="36"/>
      <c r="Q1106" s="36"/>
      <c r="R1106" s="36"/>
      <c r="S1106" s="36" t="s">
        <v>1198</v>
      </c>
      <c r="T1106" s="36" t="s">
        <v>846</v>
      </c>
      <c r="U1106" s="36">
        <v>1147796</v>
      </c>
      <c r="V1106" s="165" t="s">
        <v>91</v>
      </c>
      <c r="W1106" s="36">
        <v>1</v>
      </c>
      <c r="X1106" s="36">
        <v>1</v>
      </c>
      <c r="Y1106" s="36">
        <v>1</v>
      </c>
      <c r="Z1106" s="36">
        <v>1</v>
      </c>
      <c r="AA1106" s="36">
        <v>1</v>
      </c>
      <c r="AB1106" s="36">
        <v>1</v>
      </c>
      <c r="AC1106" s="36">
        <v>1</v>
      </c>
      <c r="AD1106" s="36">
        <v>3</v>
      </c>
      <c r="AE1106" s="36"/>
      <c r="AF1106" s="36">
        <v>2</v>
      </c>
      <c r="AG1106" s="36">
        <v>2</v>
      </c>
      <c r="AH1106" s="36">
        <v>2</v>
      </c>
      <c r="AI1106" s="36">
        <v>2</v>
      </c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  <c r="AV1106" s="36"/>
      <c r="AW1106" s="36"/>
      <c r="AX1106" s="36"/>
      <c r="AY1106" s="953"/>
      <c r="AZ1106" s="36"/>
      <c r="BA1106" s="36"/>
      <c r="BB1106" s="36"/>
      <c r="BC1106" s="36"/>
      <c r="BD1106" s="36"/>
      <c r="BF1106">
        <f>ROWS($U$46:U1106)</f>
        <v>1061</v>
      </c>
      <c r="BG1106" t="str">
        <f t="shared" si="221"/>
        <v/>
      </c>
    </row>
    <row r="1107" spans="15:59" ht="15" thickBot="1" x14ac:dyDescent="0.4">
      <c r="O1107" s="331"/>
      <c r="P1107" s="328"/>
      <c r="Q1107" s="328"/>
      <c r="R1107" s="328"/>
      <c r="S1107" s="328" t="s">
        <v>1198</v>
      </c>
      <c r="T1107" s="328" t="s">
        <v>846</v>
      </c>
      <c r="U1107" s="328">
        <v>1147796</v>
      </c>
      <c r="V1107" s="327" t="s">
        <v>92</v>
      </c>
      <c r="W1107" s="328">
        <v>1</v>
      </c>
      <c r="X1107" s="328">
        <v>1</v>
      </c>
      <c r="Y1107" s="328">
        <v>1</v>
      </c>
      <c r="Z1107" s="328">
        <v>1</v>
      </c>
      <c r="AA1107" s="328">
        <v>3</v>
      </c>
      <c r="AB1107" s="328"/>
      <c r="AC1107" s="328"/>
      <c r="AD1107" s="328"/>
      <c r="AE1107" s="328"/>
      <c r="AF1107" s="328">
        <v>2</v>
      </c>
      <c r="AG1107" s="328">
        <v>2</v>
      </c>
      <c r="AH1107" s="328">
        <v>2</v>
      </c>
      <c r="AI1107" s="328">
        <v>2</v>
      </c>
      <c r="AJ1107" s="328"/>
      <c r="AK1107" s="328"/>
      <c r="AL1107" s="328"/>
      <c r="AM1107" s="328"/>
      <c r="AN1107" s="328"/>
      <c r="AO1107" s="328"/>
      <c r="AP1107" s="328"/>
      <c r="AQ1107" s="328"/>
      <c r="AR1107" s="328"/>
      <c r="AS1107" s="328"/>
      <c r="AT1107" s="328"/>
      <c r="AU1107" s="328"/>
      <c r="AV1107" s="328"/>
      <c r="AW1107" s="328"/>
      <c r="AX1107" s="328"/>
      <c r="AY1107" s="954"/>
      <c r="AZ1107" s="36"/>
      <c r="BA1107" s="36"/>
      <c r="BB1107" s="36"/>
      <c r="BC1107" s="36"/>
      <c r="BD1107" s="36"/>
      <c r="BF1107">
        <f>ROWS($U$46:U1107)</f>
        <v>1062</v>
      </c>
      <c r="BG1107" t="str">
        <f t="shared" si="221"/>
        <v/>
      </c>
    </row>
    <row r="1108" spans="15:59" x14ac:dyDescent="0.35">
      <c r="O1108" s="329">
        <v>1</v>
      </c>
      <c r="P1108" s="320">
        <v>1130198</v>
      </c>
      <c r="Q1108" s="320">
        <v>28</v>
      </c>
      <c r="R1108" s="320"/>
      <c r="S1108" s="320" t="s">
        <v>1200</v>
      </c>
      <c r="T1108" s="320" t="s">
        <v>1846</v>
      </c>
      <c r="U1108" s="320">
        <v>1135558</v>
      </c>
      <c r="V1108" s="319" t="s">
        <v>87</v>
      </c>
      <c r="W1108" s="320">
        <v>3</v>
      </c>
      <c r="X1108" s="320">
        <v>2</v>
      </c>
      <c r="Y1108" s="320">
        <v>1</v>
      </c>
      <c r="Z1108" s="320">
        <v>1</v>
      </c>
      <c r="AA1108" s="320">
        <v>1</v>
      </c>
      <c r="AB1108" s="320">
        <v>1</v>
      </c>
      <c r="AC1108" s="320">
        <v>1</v>
      </c>
      <c r="AD1108" s="320">
        <v>4</v>
      </c>
      <c r="AE1108" s="320"/>
      <c r="AF1108" s="320"/>
      <c r="AG1108" s="320"/>
      <c r="AH1108" s="320"/>
      <c r="AI1108" s="320"/>
      <c r="AJ1108" s="320"/>
      <c r="AK1108" s="320"/>
      <c r="AL1108" s="320"/>
      <c r="AM1108" s="320"/>
      <c r="AN1108" s="320"/>
      <c r="AO1108" s="320"/>
      <c r="AP1108" s="320"/>
      <c r="AQ1108" s="320"/>
      <c r="AR1108" s="320"/>
      <c r="AS1108" s="320"/>
      <c r="AT1108" s="320"/>
      <c r="AU1108" s="320"/>
      <c r="AV1108" s="320"/>
      <c r="AW1108" s="320"/>
      <c r="AX1108" s="320"/>
      <c r="AY1108" s="952"/>
      <c r="AZ1108" s="36"/>
      <c r="BA1108" s="36"/>
      <c r="BB1108" s="36"/>
      <c r="BC1108" s="36"/>
      <c r="BD1108" s="36"/>
      <c r="BF1108">
        <f>ROWS($U$46:U1108)</f>
        <v>1063</v>
      </c>
      <c r="BG1108" t="str">
        <f t="shared" si="221"/>
        <v/>
      </c>
    </row>
    <row r="1109" spans="15:59" x14ac:dyDescent="0.35">
      <c r="O1109" s="330">
        <v>2</v>
      </c>
      <c r="P1109" s="36">
        <v>1130196</v>
      </c>
      <c r="Q1109" s="36">
        <v>3</v>
      </c>
      <c r="R1109" s="36"/>
      <c r="S1109" s="36" t="s">
        <v>1200</v>
      </c>
      <c r="T1109" s="36" t="s">
        <v>1846</v>
      </c>
      <c r="U1109" s="36">
        <v>1135558</v>
      </c>
      <c r="V1109" s="165" t="s">
        <v>88</v>
      </c>
      <c r="W1109" s="36">
        <v>1</v>
      </c>
      <c r="X1109" s="36">
        <v>1</v>
      </c>
      <c r="Y1109" s="36">
        <v>1</v>
      </c>
      <c r="Z1109" s="36">
        <v>1</v>
      </c>
      <c r="AA1109" s="36">
        <v>4</v>
      </c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  <c r="AV1109" s="36"/>
      <c r="AW1109" s="36"/>
      <c r="AX1109" s="36"/>
      <c r="AY1109" s="953"/>
      <c r="AZ1109" s="36"/>
      <c r="BA1109" s="36"/>
      <c r="BB1109" s="36"/>
      <c r="BC1109" s="36"/>
      <c r="BD1109" s="36"/>
      <c r="BF1109">
        <f>ROWS($U$46:U1109)</f>
        <v>1064</v>
      </c>
      <c r="BG1109" t="str">
        <f t="shared" si="221"/>
        <v/>
      </c>
    </row>
    <row r="1110" spans="15:59" x14ac:dyDescent="0.35">
      <c r="O1110" s="330">
        <v>3</v>
      </c>
      <c r="P1110" s="36">
        <v>871781</v>
      </c>
      <c r="Q1110" s="36">
        <v>3</v>
      </c>
      <c r="R1110" s="36"/>
      <c r="S1110" s="36" t="s">
        <v>1200</v>
      </c>
      <c r="T1110" s="36" t="s">
        <v>1846</v>
      </c>
      <c r="U1110" s="36">
        <v>1135558</v>
      </c>
      <c r="V1110" s="165" t="s">
        <v>89</v>
      </c>
      <c r="W1110" s="36">
        <v>3</v>
      </c>
      <c r="X1110" s="36">
        <v>2</v>
      </c>
      <c r="Y1110" s="36">
        <v>1</v>
      </c>
      <c r="Z1110" s="36">
        <v>1</v>
      </c>
      <c r="AA1110" s="36">
        <v>1</v>
      </c>
      <c r="AB1110" s="36">
        <v>1</v>
      </c>
      <c r="AC1110" s="36">
        <v>1</v>
      </c>
      <c r="AD1110" s="36">
        <v>4</v>
      </c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  <c r="AV1110" s="36"/>
      <c r="AW1110" s="36"/>
      <c r="AX1110" s="36"/>
      <c r="AY1110" s="953"/>
      <c r="AZ1110" s="36"/>
      <c r="BA1110" s="36"/>
      <c r="BB1110" s="36"/>
      <c r="BC1110" s="36"/>
      <c r="BD1110" s="36"/>
      <c r="BF1110">
        <f>ROWS($U$46:U1110)</f>
        <v>1065</v>
      </c>
      <c r="BG1110" t="str">
        <f t="shared" si="221"/>
        <v/>
      </c>
    </row>
    <row r="1111" spans="15:59" x14ac:dyDescent="0.35">
      <c r="O1111" s="330">
        <v>4</v>
      </c>
      <c r="P1111" s="36">
        <v>418525</v>
      </c>
      <c r="Q1111" s="36">
        <v>6</v>
      </c>
      <c r="R1111" s="36"/>
      <c r="S1111" s="36" t="s">
        <v>1200</v>
      </c>
      <c r="T1111" s="36" t="s">
        <v>1846</v>
      </c>
      <c r="U1111" s="36">
        <v>1135558</v>
      </c>
      <c r="V1111" s="165" t="s">
        <v>90</v>
      </c>
      <c r="W1111" s="36">
        <v>1</v>
      </c>
      <c r="X1111" s="36">
        <v>1</v>
      </c>
      <c r="Y1111" s="36">
        <v>1</v>
      </c>
      <c r="Z1111" s="36">
        <v>1</v>
      </c>
      <c r="AA1111" s="36">
        <v>1</v>
      </c>
      <c r="AB1111" s="36">
        <v>4</v>
      </c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  <c r="AV1111" s="36"/>
      <c r="AW1111" s="36"/>
      <c r="AX1111" s="36"/>
      <c r="AY1111" s="953"/>
      <c r="AZ1111" s="36"/>
      <c r="BA1111" s="36"/>
      <c r="BB1111" s="36"/>
      <c r="BC1111" s="36"/>
      <c r="BD1111" s="36"/>
      <c r="BF1111">
        <f>ROWS($U$46:U1111)</f>
        <v>1066</v>
      </c>
      <c r="BG1111" t="str">
        <f t="shared" si="221"/>
        <v/>
      </c>
    </row>
    <row r="1112" spans="15:59" x14ac:dyDescent="0.35">
      <c r="O1112" s="330"/>
      <c r="P1112" s="36"/>
      <c r="Q1112" s="36"/>
      <c r="R1112" s="36"/>
      <c r="S1112" s="36" t="s">
        <v>1200</v>
      </c>
      <c r="T1112" s="36" t="s">
        <v>1846</v>
      </c>
      <c r="U1112" s="36">
        <v>1135558</v>
      </c>
      <c r="V1112" s="165" t="s">
        <v>91</v>
      </c>
      <c r="W1112" s="36">
        <v>3</v>
      </c>
      <c r="X1112" s="36">
        <v>2</v>
      </c>
      <c r="Y1112" s="36">
        <v>1</v>
      </c>
      <c r="Z1112" s="36">
        <v>1</v>
      </c>
      <c r="AA1112" s="36">
        <v>1</v>
      </c>
      <c r="AB1112" s="36">
        <v>1</v>
      </c>
      <c r="AC1112" s="36">
        <v>1</v>
      </c>
      <c r="AD1112" s="36">
        <v>4</v>
      </c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  <c r="AV1112" s="36"/>
      <c r="AW1112" s="36"/>
      <c r="AX1112" s="36"/>
      <c r="AY1112" s="953"/>
      <c r="AZ1112" s="36"/>
      <c r="BA1112" s="36"/>
      <c r="BB1112" s="36"/>
      <c r="BC1112" s="36"/>
      <c r="BD1112" s="36"/>
      <c r="BF1112">
        <f>ROWS($U$46:U1112)</f>
        <v>1067</v>
      </c>
      <c r="BG1112" t="str">
        <f t="shared" si="221"/>
        <v/>
      </c>
    </row>
    <row r="1113" spans="15:59" ht="15" thickBot="1" x14ac:dyDescent="0.4">
      <c r="O1113" s="331"/>
      <c r="P1113" s="328"/>
      <c r="Q1113" s="328"/>
      <c r="R1113" s="328"/>
      <c r="S1113" s="328" t="s">
        <v>1200</v>
      </c>
      <c r="T1113" s="328" t="s">
        <v>1846</v>
      </c>
      <c r="U1113" s="328">
        <v>1135558</v>
      </c>
      <c r="V1113" s="327" t="s">
        <v>92</v>
      </c>
      <c r="W1113" s="328">
        <v>1</v>
      </c>
      <c r="X1113" s="328">
        <v>1</v>
      </c>
      <c r="Y1113" s="328">
        <v>1</v>
      </c>
      <c r="Z1113" s="328">
        <v>1</v>
      </c>
      <c r="AA1113" s="328">
        <v>4</v>
      </c>
      <c r="AB1113" s="328"/>
      <c r="AC1113" s="328"/>
      <c r="AD1113" s="328"/>
      <c r="AE1113" s="328"/>
      <c r="AF1113" s="328"/>
      <c r="AG1113" s="328"/>
      <c r="AH1113" s="328"/>
      <c r="AI1113" s="328"/>
      <c r="AJ1113" s="328"/>
      <c r="AK1113" s="328"/>
      <c r="AL1113" s="328"/>
      <c r="AM1113" s="328"/>
      <c r="AN1113" s="328"/>
      <c r="AO1113" s="328"/>
      <c r="AP1113" s="328"/>
      <c r="AQ1113" s="328"/>
      <c r="AR1113" s="328"/>
      <c r="AS1113" s="328"/>
      <c r="AT1113" s="328"/>
      <c r="AU1113" s="328"/>
      <c r="AV1113" s="328"/>
      <c r="AW1113" s="328"/>
      <c r="AX1113" s="328"/>
      <c r="AY1113" s="954"/>
      <c r="AZ1113" s="36"/>
      <c r="BA1113" s="36"/>
      <c r="BB1113" s="36"/>
      <c r="BC1113" s="36"/>
      <c r="BD1113" s="36"/>
      <c r="BF1113">
        <f>ROWS($U$46:U1113)</f>
        <v>1068</v>
      </c>
      <c r="BG1113" t="str">
        <f t="shared" si="221"/>
        <v/>
      </c>
    </row>
    <row r="1114" spans="15:59" x14ac:dyDescent="0.35">
      <c r="O1114" s="329">
        <v>1</v>
      </c>
      <c r="P1114" s="320">
        <v>1130217</v>
      </c>
      <c r="Q1114" s="320">
        <v>19</v>
      </c>
      <c r="R1114" s="320"/>
      <c r="S1114" s="552">
        <v>3.625</v>
      </c>
      <c r="T1114" s="320" t="s">
        <v>1422</v>
      </c>
      <c r="U1114" s="320">
        <v>1096183</v>
      </c>
      <c r="V1114" s="319" t="s">
        <v>87</v>
      </c>
      <c r="W1114" s="320">
        <v>2</v>
      </c>
      <c r="X1114" s="320">
        <v>1</v>
      </c>
      <c r="Y1114" s="320">
        <v>1</v>
      </c>
      <c r="Z1114" s="320">
        <v>1</v>
      </c>
      <c r="AA1114" s="320">
        <v>1</v>
      </c>
      <c r="AB1114" s="320"/>
      <c r="AC1114" s="320">
        <v>2</v>
      </c>
      <c r="AD1114" s="320">
        <v>2</v>
      </c>
      <c r="AE1114" s="320">
        <v>2</v>
      </c>
      <c r="AF1114" s="320"/>
      <c r="AG1114" s="320"/>
      <c r="AH1114" s="320"/>
      <c r="AI1114" s="320"/>
      <c r="AJ1114" s="320"/>
      <c r="AK1114" s="320"/>
      <c r="AL1114" s="320"/>
      <c r="AM1114" s="320"/>
      <c r="AN1114" s="320"/>
      <c r="AO1114" s="320"/>
      <c r="AP1114" s="320"/>
      <c r="AQ1114" s="320"/>
      <c r="AR1114" s="320"/>
      <c r="AS1114" s="320"/>
      <c r="AT1114" s="320"/>
      <c r="AU1114" s="320"/>
      <c r="AV1114" s="320"/>
      <c r="AW1114" s="320"/>
      <c r="AX1114" s="320"/>
      <c r="AY1114" s="952"/>
      <c r="AZ1114" s="36"/>
      <c r="BA1114" s="36"/>
      <c r="BB1114" s="36"/>
      <c r="BC1114" s="36"/>
      <c r="BD1114" s="36"/>
      <c r="BF1114">
        <f>ROWS($U$46:U1114)</f>
        <v>1069</v>
      </c>
      <c r="BG1114" t="str">
        <f t="shared" si="221"/>
        <v/>
      </c>
    </row>
    <row r="1115" spans="15:59" x14ac:dyDescent="0.35">
      <c r="O1115" s="330">
        <v>2</v>
      </c>
      <c r="P1115" s="36">
        <v>1129936</v>
      </c>
      <c r="Q1115" s="36">
        <v>14</v>
      </c>
      <c r="R1115" s="36"/>
      <c r="S1115" s="553">
        <v>3.625</v>
      </c>
      <c r="T1115" s="36" t="s">
        <v>1422</v>
      </c>
      <c r="U1115" s="36">
        <v>1096183</v>
      </c>
      <c r="V1115" s="165" t="s">
        <v>88</v>
      </c>
      <c r="W1115" s="36">
        <v>1</v>
      </c>
      <c r="X1115" s="36">
        <v>1</v>
      </c>
      <c r="Y1115" s="36">
        <v>1</v>
      </c>
      <c r="Z1115" s="36"/>
      <c r="AA1115" s="36"/>
      <c r="AB1115" s="36"/>
      <c r="AC1115" s="36">
        <v>2</v>
      </c>
      <c r="AD1115" s="36">
        <v>2</v>
      </c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  <c r="AV1115" s="36"/>
      <c r="AW1115" s="36"/>
      <c r="AX1115" s="36"/>
      <c r="AY1115" s="953"/>
      <c r="AZ1115" s="36"/>
      <c r="BA1115" s="36"/>
      <c r="BB1115" s="36"/>
      <c r="BC1115" s="36"/>
      <c r="BD1115" s="36"/>
      <c r="BF1115">
        <f>ROWS($U$46:U1115)</f>
        <v>1070</v>
      </c>
      <c r="BG1115" t="str">
        <f t="shared" si="221"/>
        <v/>
      </c>
    </row>
    <row r="1116" spans="15:59" x14ac:dyDescent="0.35">
      <c r="O1116" s="330"/>
      <c r="P1116" s="36"/>
      <c r="Q1116" s="36"/>
      <c r="R1116" s="36"/>
      <c r="S1116" s="553">
        <v>3.625</v>
      </c>
      <c r="T1116" s="36" t="s">
        <v>1422</v>
      </c>
      <c r="U1116" s="36">
        <v>1096183</v>
      </c>
      <c r="V1116" s="165" t="s">
        <v>89</v>
      </c>
      <c r="W1116" s="36">
        <v>2</v>
      </c>
      <c r="X1116" s="36">
        <v>1</v>
      </c>
      <c r="Y1116" s="36">
        <v>1</v>
      </c>
      <c r="Z1116" s="36">
        <v>1</v>
      </c>
      <c r="AA1116" s="36">
        <v>1</v>
      </c>
      <c r="AB1116" s="36"/>
      <c r="AC1116" s="36">
        <v>2</v>
      </c>
      <c r="AD1116" s="36">
        <v>2</v>
      </c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  <c r="AV1116" s="36"/>
      <c r="AW1116" s="36"/>
      <c r="AX1116" s="36"/>
      <c r="AY1116" s="953"/>
      <c r="AZ1116" s="36"/>
      <c r="BA1116" s="36"/>
      <c r="BB1116" s="36"/>
      <c r="BC1116" s="36"/>
      <c r="BD1116" s="36"/>
      <c r="BF1116">
        <f>ROWS($U$46:U1116)</f>
        <v>1071</v>
      </c>
      <c r="BG1116" t="str">
        <f t="shared" si="221"/>
        <v/>
      </c>
    </row>
    <row r="1117" spans="15:59" x14ac:dyDescent="0.35">
      <c r="O1117" s="330"/>
      <c r="P1117" s="36"/>
      <c r="Q1117" s="36"/>
      <c r="R1117" s="36"/>
      <c r="S1117" s="553">
        <v>3.625</v>
      </c>
      <c r="T1117" s="36" t="s">
        <v>1422</v>
      </c>
      <c r="U1117" s="36">
        <v>1096183</v>
      </c>
      <c r="V1117" s="165" t="s">
        <v>90</v>
      </c>
      <c r="W1117" s="36">
        <v>2</v>
      </c>
      <c r="X1117" s="36">
        <v>1</v>
      </c>
      <c r="Y1117" s="36">
        <v>1</v>
      </c>
      <c r="Z1117" s="36">
        <v>1</v>
      </c>
      <c r="AA1117" s="36">
        <v>1</v>
      </c>
      <c r="AB1117" s="36"/>
      <c r="AC1117" s="36">
        <v>2</v>
      </c>
      <c r="AD1117" s="36">
        <v>2</v>
      </c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  <c r="AV1117" s="36"/>
      <c r="AW1117" s="36"/>
      <c r="AX1117" s="36"/>
      <c r="AY1117" s="953"/>
      <c r="AZ1117" s="36"/>
      <c r="BA1117" s="36"/>
      <c r="BB1117" s="36"/>
      <c r="BC1117" s="36"/>
      <c r="BD1117" s="36"/>
      <c r="BF1117">
        <f>ROWS($U$46:U1117)</f>
        <v>1072</v>
      </c>
      <c r="BG1117" t="str">
        <f t="shared" si="221"/>
        <v/>
      </c>
    </row>
    <row r="1118" spans="15:59" ht="15" thickBot="1" x14ac:dyDescent="0.4">
      <c r="O1118" s="331"/>
      <c r="P1118" s="328"/>
      <c r="Q1118" s="328"/>
      <c r="R1118" s="328"/>
      <c r="S1118" s="554">
        <v>3.625</v>
      </c>
      <c r="T1118" s="328" t="s">
        <v>1422</v>
      </c>
      <c r="U1118" s="328">
        <v>1096183</v>
      </c>
      <c r="V1118" s="327" t="s">
        <v>91</v>
      </c>
      <c r="W1118" s="328">
        <v>1</v>
      </c>
      <c r="X1118" s="328">
        <v>1</v>
      </c>
      <c r="Y1118" s="328">
        <v>1</v>
      </c>
      <c r="Z1118" s="328">
        <v>1</v>
      </c>
      <c r="AA1118" s="328"/>
      <c r="AB1118" s="328"/>
      <c r="AC1118" s="328">
        <v>2</v>
      </c>
      <c r="AD1118" s="328">
        <v>2</v>
      </c>
      <c r="AE1118" s="328"/>
      <c r="AF1118" s="328"/>
      <c r="AG1118" s="328"/>
      <c r="AH1118" s="328"/>
      <c r="AI1118" s="328"/>
      <c r="AJ1118" s="328"/>
      <c r="AK1118" s="328"/>
      <c r="AL1118" s="328"/>
      <c r="AM1118" s="328"/>
      <c r="AN1118" s="328"/>
      <c r="AO1118" s="328"/>
      <c r="AP1118" s="328"/>
      <c r="AQ1118" s="328"/>
      <c r="AR1118" s="328"/>
      <c r="AS1118" s="328"/>
      <c r="AT1118" s="328"/>
      <c r="AU1118" s="328"/>
      <c r="AV1118" s="328"/>
      <c r="AW1118" s="328"/>
      <c r="AX1118" s="328"/>
      <c r="AY1118" s="954"/>
      <c r="AZ1118" s="36"/>
      <c r="BA1118" s="36"/>
      <c r="BB1118" s="36"/>
      <c r="BC1118" s="36"/>
      <c r="BD1118" s="36"/>
      <c r="BF1118">
        <f>ROWS($U$46:U1118)</f>
        <v>1073</v>
      </c>
      <c r="BG1118" t="str">
        <f t="shared" si="221"/>
        <v/>
      </c>
    </row>
    <row r="1119" spans="15:59" x14ac:dyDescent="0.35">
      <c r="O1119" s="329">
        <v>1</v>
      </c>
      <c r="P1119" s="320">
        <v>717747</v>
      </c>
      <c r="Q1119" s="320">
        <v>54</v>
      </c>
      <c r="R1119" s="320"/>
      <c r="S1119" s="320" t="s">
        <v>1187</v>
      </c>
      <c r="T1119" s="320" t="s">
        <v>752</v>
      </c>
      <c r="U1119" s="320">
        <v>657759</v>
      </c>
      <c r="V1119" s="319" t="s">
        <v>87</v>
      </c>
      <c r="W1119" s="320">
        <v>1</v>
      </c>
      <c r="X1119" s="320">
        <v>1</v>
      </c>
      <c r="Y1119" s="320">
        <v>1</v>
      </c>
      <c r="Z1119" s="320">
        <v>1</v>
      </c>
      <c r="AA1119" s="320">
        <v>1</v>
      </c>
      <c r="AB1119" s="320">
        <v>1</v>
      </c>
      <c r="AC1119" s="320">
        <v>2</v>
      </c>
      <c r="AD1119" s="320"/>
      <c r="AE1119" s="320"/>
      <c r="AF1119" s="320"/>
      <c r="AG1119" s="320"/>
      <c r="AH1119" s="320"/>
      <c r="AI1119" s="320"/>
      <c r="AJ1119" s="320"/>
      <c r="AK1119" s="320"/>
      <c r="AL1119" s="320"/>
      <c r="AM1119" s="320"/>
      <c r="AN1119" s="320"/>
      <c r="AO1119" s="320"/>
      <c r="AP1119" s="320"/>
      <c r="AQ1119" s="320"/>
      <c r="AR1119" s="320"/>
      <c r="AS1119" s="320"/>
      <c r="AT1119" s="320"/>
      <c r="AU1119" s="320"/>
      <c r="AV1119" s="320"/>
      <c r="AW1119" s="320"/>
      <c r="AX1119" s="320"/>
      <c r="AY1119" s="952"/>
      <c r="AZ1119" s="36"/>
      <c r="BA1119" s="36"/>
      <c r="BB1119" s="36"/>
      <c r="BC1119" s="36"/>
      <c r="BD1119" s="36"/>
      <c r="BF1119">
        <f>ROWS($U$46:U1119)</f>
        <v>1074</v>
      </c>
      <c r="BG1119" t="str">
        <f t="shared" si="221"/>
        <v/>
      </c>
    </row>
    <row r="1120" spans="15:59" x14ac:dyDescent="0.35">
      <c r="O1120" s="330">
        <v>2</v>
      </c>
      <c r="P1120" s="36">
        <v>703670</v>
      </c>
      <c r="Q1120" s="36">
        <v>9</v>
      </c>
      <c r="R1120" s="36"/>
      <c r="S1120" s="36" t="s">
        <v>1187</v>
      </c>
      <c r="T1120" s="36" t="s">
        <v>752</v>
      </c>
      <c r="U1120" s="36">
        <v>657759</v>
      </c>
      <c r="V1120" s="165" t="s">
        <v>88</v>
      </c>
      <c r="W1120" s="36">
        <v>3</v>
      </c>
      <c r="X1120" s="36">
        <v>1</v>
      </c>
      <c r="Y1120" s="36">
        <v>1</v>
      </c>
      <c r="Z1120" s="36">
        <v>1</v>
      </c>
      <c r="AA1120" s="36">
        <v>1</v>
      </c>
      <c r="AB1120" s="36">
        <v>1</v>
      </c>
      <c r="AC1120" s="36">
        <v>1</v>
      </c>
      <c r="AD1120" s="36">
        <v>2</v>
      </c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  <c r="AV1120" s="36"/>
      <c r="AW1120" s="36"/>
      <c r="AX1120" s="36"/>
      <c r="AY1120" s="953"/>
      <c r="AZ1120" s="36"/>
      <c r="BA1120" s="36"/>
      <c r="BB1120" s="36"/>
      <c r="BC1120" s="36"/>
      <c r="BD1120" s="36"/>
      <c r="BF1120">
        <f>ROWS($U$46:U1120)</f>
        <v>1075</v>
      </c>
      <c r="BG1120" t="str">
        <f t="shared" si="221"/>
        <v/>
      </c>
    </row>
    <row r="1121" spans="15:59" x14ac:dyDescent="0.35">
      <c r="O1121" s="330">
        <v>3</v>
      </c>
      <c r="P1121" s="36">
        <v>177778</v>
      </c>
      <c r="Q1121" s="36">
        <v>3</v>
      </c>
      <c r="R1121" s="36"/>
      <c r="S1121" s="36" t="s">
        <v>1187</v>
      </c>
      <c r="T1121" s="36" t="s">
        <v>752</v>
      </c>
      <c r="U1121" s="36">
        <v>657759</v>
      </c>
      <c r="V1121" s="165" t="s">
        <v>89</v>
      </c>
      <c r="W1121" s="36">
        <v>1</v>
      </c>
      <c r="X1121" s="36">
        <v>1</v>
      </c>
      <c r="Y1121" s="36">
        <v>1</v>
      </c>
      <c r="Z1121" s="36">
        <v>1</v>
      </c>
      <c r="AA1121" s="36">
        <v>1</v>
      </c>
      <c r="AB1121" s="36">
        <v>1</v>
      </c>
      <c r="AC1121" s="36">
        <v>2</v>
      </c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  <c r="AV1121" s="36"/>
      <c r="AW1121" s="36"/>
      <c r="AX1121" s="36"/>
      <c r="AY1121" s="953"/>
      <c r="AZ1121" s="36"/>
      <c r="BA1121" s="36"/>
      <c r="BB1121" s="36"/>
      <c r="BC1121" s="36"/>
      <c r="BD1121" s="36"/>
      <c r="BF1121">
        <f>ROWS($U$46:U1121)</f>
        <v>1076</v>
      </c>
      <c r="BG1121" t="str">
        <f t="shared" si="221"/>
        <v/>
      </c>
    </row>
    <row r="1122" spans="15:59" x14ac:dyDescent="0.35">
      <c r="O1122" s="330"/>
      <c r="P1122" s="36"/>
      <c r="Q1122" s="36"/>
      <c r="R1122" s="36"/>
      <c r="S1122" s="36" t="s">
        <v>1187</v>
      </c>
      <c r="T1122" s="36" t="s">
        <v>752</v>
      </c>
      <c r="U1122" s="36">
        <v>657759</v>
      </c>
      <c r="V1122" s="165" t="s">
        <v>90</v>
      </c>
      <c r="W1122" s="36">
        <v>1</v>
      </c>
      <c r="X1122" s="36">
        <v>1</v>
      </c>
      <c r="Y1122" s="36">
        <v>1</v>
      </c>
      <c r="Z1122" s="36">
        <v>1</v>
      </c>
      <c r="AA1122" s="36">
        <v>1</v>
      </c>
      <c r="AB1122" s="36">
        <v>1</v>
      </c>
      <c r="AC1122" s="36">
        <v>2</v>
      </c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  <c r="AV1122" s="36"/>
      <c r="AW1122" s="36"/>
      <c r="AX1122" s="36"/>
      <c r="AY1122" s="953"/>
      <c r="AZ1122" s="36"/>
      <c r="BA1122" s="36"/>
      <c r="BB1122" s="36"/>
      <c r="BC1122" s="36"/>
      <c r="BD1122" s="36"/>
      <c r="BF1122">
        <f>ROWS($U$46:U1122)</f>
        <v>1077</v>
      </c>
      <c r="BG1122" t="str">
        <f t="shared" si="221"/>
        <v/>
      </c>
    </row>
    <row r="1123" spans="15:59" x14ac:dyDescent="0.35">
      <c r="O1123" s="330"/>
      <c r="P1123" s="36"/>
      <c r="Q1123" s="36"/>
      <c r="R1123" s="36"/>
      <c r="S1123" s="36" t="s">
        <v>1187</v>
      </c>
      <c r="T1123" s="36" t="s">
        <v>752</v>
      </c>
      <c r="U1123" s="36">
        <v>657759</v>
      </c>
      <c r="V1123" s="165" t="s">
        <v>91</v>
      </c>
      <c r="W1123" s="36">
        <v>3</v>
      </c>
      <c r="X1123" s="36">
        <v>1</v>
      </c>
      <c r="Y1123" s="36">
        <v>1</v>
      </c>
      <c r="Z1123" s="36">
        <v>1</v>
      </c>
      <c r="AA1123" s="36">
        <v>1</v>
      </c>
      <c r="AB1123" s="36">
        <v>1</v>
      </c>
      <c r="AC1123" s="36">
        <v>1</v>
      </c>
      <c r="AD1123" s="36">
        <v>2</v>
      </c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  <c r="AV1123" s="36"/>
      <c r="AW1123" s="36"/>
      <c r="AX1123" s="36"/>
      <c r="AY1123" s="953"/>
      <c r="AZ1123" s="36"/>
      <c r="BA1123" s="36"/>
      <c r="BB1123" s="36"/>
      <c r="BC1123" s="36"/>
      <c r="BD1123" s="36"/>
      <c r="BF1123">
        <f>ROWS($U$46:U1123)</f>
        <v>1078</v>
      </c>
      <c r="BG1123" t="str">
        <f t="shared" si="221"/>
        <v/>
      </c>
    </row>
    <row r="1124" spans="15:59" x14ac:dyDescent="0.35">
      <c r="O1124" s="330"/>
      <c r="P1124" s="36"/>
      <c r="Q1124" s="36"/>
      <c r="R1124" s="36"/>
      <c r="S1124" s="36" t="s">
        <v>1187</v>
      </c>
      <c r="T1124" s="36" t="s">
        <v>752</v>
      </c>
      <c r="U1124" s="36">
        <v>657759</v>
      </c>
      <c r="V1124" s="165" t="s">
        <v>92</v>
      </c>
      <c r="W1124" s="36">
        <v>1</v>
      </c>
      <c r="X1124" s="36">
        <v>1</v>
      </c>
      <c r="Y1124" s="36">
        <v>1</v>
      </c>
      <c r="Z1124" s="36">
        <v>1</v>
      </c>
      <c r="AA1124" s="36">
        <v>1</v>
      </c>
      <c r="AB1124" s="36">
        <v>1</v>
      </c>
      <c r="AC1124" s="36">
        <v>2</v>
      </c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  <c r="AV1124" s="36"/>
      <c r="AW1124" s="36"/>
      <c r="AX1124" s="36"/>
      <c r="AY1124" s="953"/>
      <c r="AZ1124" s="36"/>
      <c r="BA1124" s="36"/>
      <c r="BB1124" s="36"/>
      <c r="BC1124" s="36"/>
      <c r="BD1124" s="36"/>
      <c r="BF1124">
        <f>ROWS($U$46:U1124)</f>
        <v>1079</v>
      </c>
      <c r="BG1124" t="str">
        <f t="shared" si="221"/>
        <v/>
      </c>
    </row>
    <row r="1125" spans="15:59" x14ac:dyDescent="0.35">
      <c r="O1125" s="330"/>
      <c r="P1125" s="36"/>
      <c r="Q1125" s="36"/>
      <c r="R1125" s="36"/>
      <c r="S1125" s="36" t="s">
        <v>1187</v>
      </c>
      <c r="T1125" s="36" t="s">
        <v>752</v>
      </c>
      <c r="U1125" s="36">
        <v>657759</v>
      </c>
      <c r="V1125" s="165" t="s">
        <v>111</v>
      </c>
      <c r="W1125" s="36">
        <v>1</v>
      </c>
      <c r="X1125" s="36">
        <v>1</v>
      </c>
      <c r="Y1125" s="36">
        <v>1</v>
      </c>
      <c r="Z1125" s="36">
        <v>1</v>
      </c>
      <c r="AA1125" s="36">
        <v>1</v>
      </c>
      <c r="AB1125" s="36">
        <v>1</v>
      </c>
      <c r="AC1125" s="36">
        <v>2</v>
      </c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  <c r="AV1125" s="36"/>
      <c r="AW1125" s="36"/>
      <c r="AX1125" s="36"/>
      <c r="AY1125" s="953"/>
      <c r="AZ1125" s="36"/>
      <c r="BA1125" s="36"/>
      <c r="BB1125" s="36"/>
      <c r="BC1125" s="36"/>
      <c r="BD1125" s="36"/>
      <c r="BF1125">
        <f>ROWS($U$46:U1125)</f>
        <v>1080</v>
      </c>
      <c r="BG1125" t="str">
        <f t="shared" si="221"/>
        <v/>
      </c>
    </row>
    <row r="1126" spans="15:59" x14ac:dyDescent="0.35">
      <c r="O1126" s="330"/>
      <c r="P1126" s="36"/>
      <c r="Q1126" s="36"/>
      <c r="R1126" s="36"/>
      <c r="S1126" s="36" t="s">
        <v>1187</v>
      </c>
      <c r="T1126" s="36" t="s">
        <v>752</v>
      </c>
      <c r="U1126" s="36">
        <v>657759</v>
      </c>
      <c r="V1126" s="165" t="s">
        <v>112</v>
      </c>
      <c r="W1126" s="36">
        <v>3</v>
      </c>
      <c r="X1126" s="36">
        <v>1</v>
      </c>
      <c r="Y1126" s="36">
        <v>1</v>
      </c>
      <c r="Z1126" s="36">
        <v>1</v>
      </c>
      <c r="AA1126" s="36">
        <v>1</v>
      </c>
      <c r="AB1126" s="36">
        <v>1</v>
      </c>
      <c r="AC1126" s="36">
        <v>1</v>
      </c>
      <c r="AD1126" s="36">
        <v>2</v>
      </c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  <c r="AV1126" s="36"/>
      <c r="AW1126" s="36"/>
      <c r="AX1126" s="36"/>
      <c r="AY1126" s="953"/>
      <c r="AZ1126" s="36"/>
      <c r="BA1126" s="36"/>
      <c r="BB1126" s="36"/>
      <c r="BC1126" s="36"/>
      <c r="BD1126" s="36"/>
      <c r="BF1126">
        <f>ROWS($U$46:U1126)</f>
        <v>1081</v>
      </c>
      <c r="BG1126" t="str">
        <f t="shared" si="221"/>
        <v/>
      </c>
    </row>
    <row r="1127" spans="15:59" ht="15" thickBot="1" x14ac:dyDescent="0.4">
      <c r="O1127" s="331"/>
      <c r="P1127" s="328"/>
      <c r="Q1127" s="328"/>
      <c r="R1127" s="328"/>
      <c r="S1127" s="328" t="s">
        <v>1187</v>
      </c>
      <c r="T1127" s="328" t="s">
        <v>752</v>
      </c>
      <c r="U1127" s="328">
        <v>657759</v>
      </c>
      <c r="V1127" s="327" t="s">
        <v>113</v>
      </c>
      <c r="W1127" s="328">
        <v>1</v>
      </c>
      <c r="X1127" s="328">
        <v>1</v>
      </c>
      <c r="Y1127" s="328">
        <v>1</v>
      </c>
      <c r="Z1127" s="328">
        <v>1</v>
      </c>
      <c r="AA1127" s="328">
        <v>1</v>
      </c>
      <c r="AB1127" s="328">
        <v>1</v>
      </c>
      <c r="AC1127" s="328">
        <v>2</v>
      </c>
      <c r="AD1127" s="328"/>
      <c r="AE1127" s="328"/>
      <c r="AF1127" s="328"/>
      <c r="AG1127" s="328"/>
      <c r="AH1127" s="328"/>
      <c r="AI1127" s="328"/>
      <c r="AJ1127" s="328"/>
      <c r="AK1127" s="328"/>
      <c r="AL1127" s="328"/>
      <c r="AM1127" s="328"/>
      <c r="AN1127" s="328"/>
      <c r="AO1127" s="328"/>
      <c r="AP1127" s="328"/>
      <c r="AQ1127" s="328"/>
      <c r="AR1127" s="328"/>
      <c r="AS1127" s="328"/>
      <c r="AT1127" s="328"/>
      <c r="AU1127" s="328"/>
      <c r="AV1127" s="328"/>
      <c r="AW1127" s="328"/>
      <c r="AX1127" s="328"/>
      <c r="AY1127" s="954"/>
      <c r="AZ1127" s="36"/>
      <c r="BA1127" s="36"/>
      <c r="BB1127" s="36"/>
      <c r="BC1127" s="36"/>
      <c r="BD1127" s="36"/>
      <c r="BF1127">
        <f>ROWS($U$46:U1127)</f>
        <v>1082</v>
      </c>
      <c r="BG1127" t="str">
        <f t="shared" si="221"/>
        <v/>
      </c>
    </row>
    <row r="1128" spans="15:59" x14ac:dyDescent="0.35">
      <c r="O1128" s="329">
        <v>1</v>
      </c>
      <c r="P1128" s="320">
        <v>853552</v>
      </c>
      <c r="Q1128" s="320">
        <v>48</v>
      </c>
      <c r="R1128" s="320"/>
      <c r="S1128" s="320" t="s">
        <v>1209</v>
      </c>
      <c r="T1128" s="320" t="s">
        <v>1852</v>
      </c>
      <c r="U1128" s="320">
        <v>1070175</v>
      </c>
      <c r="V1128" s="319" t="s">
        <v>87</v>
      </c>
      <c r="W1128" s="320">
        <v>3</v>
      </c>
      <c r="X1128" s="320">
        <v>3</v>
      </c>
      <c r="Y1128" s="320">
        <v>3</v>
      </c>
      <c r="Z1128" s="320">
        <v>1</v>
      </c>
      <c r="AA1128" s="320">
        <v>1</v>
      </c>
      <c r="AB1128" s="320">
        <v>1</v>
      </c>
      <c r="AC1128" s="320">
        <v>1</v>
      </c>
      <c r="AD1128" s="320">
        <v>1</v>
      </c>
      <c r="AE1128" s="320">
        <v>1</v>
      </c>
      <c r="AF1128" s="901">
        <v>4</v>
      </c>
      <c r="AG1128" s="320"/>
      <c r="AH1128" s="320">
        <v>2</v>
      </c>
      <c r="AI1128" s="320">
        <v>2</v>
      </c>
      <c r="AJ1128" s="320">
        <v>2</v>
      </c>
      <c r="AK1128" s="320">
        <v>2</v>
      </c>
      <c r="AL1128" s="320"/>
      <c r="AM1128" s="320"/>
      <c r="AN1128" s="320"/>
      <c r="AO1128" s="320"/>
      <c r="AP1128" s="320"/>
      <c r="AQ1128" s="320"/>
      <c r="AR1128" s="320"/>
      <c r="AS1128" s="320"/>
      <c r="AT1128" s="320"/>
      <c r="AU1128" s="320"/>
      <c r="AV1128" s="320"/>
      <c r="AW1128" s="320"/>
      <c r="AX1128" s="320"/>
      <c r="AY1128" s="952"/>
      <c r="AZ1128" s="36"/>
      <c r="BA1128" s="36"/>
      <c r="BB1128" s="36"/>
      <c r="BC1128" s="36"/>
      <c r="BD1128" s="36"/>
      <c r="BF1128">
        <f>ROWS($U$46:U1128)</f>
        <v>1083</v>
      </c>
      <c r="BG1128" t="str">
        <f t="shared" si="221"/>
        <v/>
      </c>
    </row>
    <row r="1129" spans="15:59" x14ac:dyDescent="0.35">
      <c r="O1129" s="330">
        <v>2</v>
      </c>
      <c r="P1129" s="36">
        <v>708306</v>
      </c>
      <c r="Q1129" s="36">
        <v>34</v>
      </c>
      <c r="R1129" s="36"/>
      <c r="S1129" s="36" t="s">
        <v>1209</v>
      </c>
      <c r="T1129" s="36" t="s">
        <v>1852</v>
      </c>
      <c r="U1129" s="36">
        <v>1070175</v>
      </c>
      <c r="V1129" s="165" t="s">
        <v>88</v>
      </c>
      <c r="W1129" s="36">
        <v>1</v>
      </c>
      <c r="X1129" s="36">
        <v>1</v>
      </c>
      <c r="Y1129" s="36">
        <v>1</v>
      </c>
      <c r="Z1129" s="36">
        <v>1</v>
      </c>
      <c r="AA1129" s="36">
        <v>1</v>
      </c>
      <c r="AB1129" s="36">
        <v>1</v>
      </c>
      <c r="AC1129" s="70">
        <v>5</v>
      </c>
      <c r="AD1129" s="36"/>
      <c r="AE1129" s="36"/>
      <c r="AF1129" s="36"/>
      <c r="AG1129" s="36"/>
      <c r="AH1129" s="36">
        <v>2</v>
      </c>
      <c r="AI1129" s="36">
        <v>2</v>
      </c>
      <c r="AJ1129" s="36">
        <v>2</v>
      </c>
      <c r="AK1129" s="36">
        <v>2</v>
      </c>
      <c r="AL1129" s="36">
        <v>2</v>
      </c>
      <c r="AM1129" s="36"/>
      <c r="AN1129" s="36"/>
      <c r="AO1129" s="36"/>
      <c r="AP1129" s="36"/>
      <c r="AQ1129" s="36"/>
      <c r="AR1129" s="36"/>
      <c r="AS1129" s="36"/>
      <c r="AT1129" s="36"/>
      <c r="AU1129" s="36"/>
      <c r="AV1129" s="36"/>
      <c r="AW1129" s="36"/>
      <c r="AX1129" s="36"/>
      <c r="AY1129" s="953"/>
      <c r="AZ1129" s="36"/>
      <c r="BA1129" s="36"/>
      <c r="BB1129" s="36"/>
      <c r="BC1129" s="36"/>
      <c r="BD1129" s="36"/>
      <c r="BF1129">
        <f>ROWS($U$46:U1129)</f>
        <v>1084</v>
      </c>
      <c r="BG1129" t="str">
        <f t="shared" si="221"/>
        <v/>
      </c>
    </row>
    <row r="1130" spans="15:59" x14ac:dyDescent="0.35">
      <c r="O1130" s="330">
        <v>3</v>
      </c>
      <c r="P1130" s="36">
        <v>853551</v>
      </c>
      <c r="Q1130" s="36">
        <v>9</v>
      </c>
      <c r="R1130" s="36"/>
      <c r="S1130" s="36" t="s">
        <v>1209</v>
      </c>
      <c r="T1130" s="36" t="s">
        <v>1852</v>
      </c>
      <c r="U1130" s="36">
        <v>1070175</v>
      </c>
      <c r="V1130" s="165" t="s">
        <v>89</v>
      </c>
      <c r="W1130" s="36">
        <v>1</v>
      </c>
      <c r="X1130" s="36">
        <v>1</v>
      </c>
      <c r="Y1130" s="36">
        <v>1</v>
      </c>
      <c r="Z1130" s="36">
        <v>1</v>
      </c>
      <c r="AA1130" s="36">
        <v>1</v>
      </c>
      <c r="AB1130" s="36">
        <v>1</v>
      </c>
      <c r="AC1130" s="70">
        <v>4</v>
      </c>
      <c r="AD1130" s="36"/>
      <c r="AE1130" s="36"/>
      <c r="AF1130" s="36"/>
      <c r="AG1130" s="36"/>
      <c r="AH1130" s="36">
        <v>2</v>
      </c>
      <c r="AI1130" s="36">
        <v>2</v>
      </c>
      <c r="AJ1130" s="36">
        <v>2</v>
      </c>
      <c r="AK1130" s="36">
        <v>2</v>
      </c>
      <c r="AL1130" s="36">
        <v>2</v>
      </c>
      <c r="AM1130" s="36"/>
      <c r="AN1130" s="36"/>
      <c r="AO1130" s="36"/>
      <c r="AP1130" s="36"/>
      <c r="AQ1130" s="36"/>
      <c r="AR1130" s="36"/>
      <c r="AS1130" s="36"/>
      <c r="AT1130" s="36"/>
      <c r="AU1130" s="36"/>
      <c r="AV1130" s="36"/>
      <c r="AW1130" s="36"/>
      <c r="AX1130" s="36"/>
      <c r="AY1130" s="953"/>
      <c r="AZ1130" s="36"/>
      <c r="BA1130" s="36"/>
      <c r="BB1130" s="36"/>
      <c r="BC1130" s="36"/>
      <c r="BD1130" s="36"/>
      <c r="BF1130">
        <f>ROWS($U$46:U1130)</f>
        <v>1085</v>
      </c>
      <c r="BG1130" t="str">
        <f t="shared" si="221"/>
        <v/>
      </c>
    </row>
    <row r="1131" spans="15:59" x14ac:dyDescent="0.35">
      <c r="O1131" s="330">
        <v>4</v>
      </c>
      <c r="P1131" s="36">
        <v>871781</v>
      </c>
      <c r="Q1131" s="36">
        <v>4</v>
      </c>
      <c r="R1131" s="36"/>
      <c r="S1131" s="36" t="s">
        <v>1209</v>
      </c>
      <c r="T1131" s="36" t="s">
        <v>1852</v>
      </c>
      <c r="U1131" s="36">
        <v>1070175</v>
      </c>
      <c r="V1131" s="165" t="s">
        <v>90</v>
      </c>
      <c r="W1131" s="36">
        <v>3</v>
      </c>
      <c r="X1131" s="36">
        <v>3</v>
      </c>
      <c r="Y1131" s="36">
        <v>3</v>
      </c>
      <c r="Z1131" s="36">
        <v>1</v>
      </c>
      <c r="AA1131" s="36">
        <v>1</v>
      </c>
      <c r="AB1131" s="36">
        <v>1</v>
      </c>
      <c r="AC1131" s="36">
        <v>1</v>
      </c>
      <c r="AD1131" s="36">
        <v>1</v>
      </c>
      <c r="AE1131" s="36">
        <v>1</v>
      </c>
      <c r="AF1131" s="70">
        <v>5</v>
      </c>
      <c r="AG1131" s="36"/>
      <c r="AH1131" s="36">
        <v>2</v>
      </c>
      <c r="AI1131" s="36">
        <v>2</v>
      </c>
      <c r="AJ1131" s="36">
        <v>2</v>
      </c>
      <c r="AK1131" s="36">
        <v>2</v>
      </c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  <c r="AV1131" s="36"/>
      <c r="AW1131" s="36"/>
      <c r="AX1131" s="36"/>
      <c r="AY1131" s="953"/>
      <c r="AZ1131" s="36"/>
      <c r="BA1131" s="36"/>
      <c r="BB1131" s="36"/>
      <c r="BC1131" s="36"/>
      <c r="BD1131" s="36"/>
      <c r="BF1131">
        <f>ROWS($U$46:U1131)</f>
        <v>1086</v>
      </c>
      <c r="BG1131" t="str">
        <f t="shared" si="221"/>
        <v/>
      </c>
    </row>
    <row r="1132" spans="15:59" x14ac:dyDescent="0.35">
      <c r="O1132" s="330">
        <v>5</v>
      </c>
      <c r="P1132" s="36">
        <v>418525</v>
      </c>
      <c r="Q1132" s="36">
        <v>4</v>
      </c>
      <c r="R1132" s="36"/>
      <c r="S1132" s="36" t="s">
        <v>1209</v>
      </c>
      <c r="T1132" s="36" t="s">
        <v>1852</v>
      </c>
      <c r="U1132" s="36">
        <v>1070175</v>
      </c>
      <c r="V1132" s="165" t="s">
        <v>91</v>
      </c>
      <c r="W1132" s="36">
        <v>1</v>
      </c>
      <c r="X1132" s="36">
        <v>1</v>
      </c>
      <c r="Y1132" s="36">
        <v>1</v>
      </c>
      <c r="Z1132" s="36">
        <v>1</v>
      </c>
      <c r="AA1132" s="36">
        <v>1</v>
      </c>
      <c r="AB1132" s="36">
        <v>1</v>
      </c>
      <c r="AC1132" s="70">
        <v>4</v>
      </c>
      <c r="AD1132" s="36"/>
      <c r="AE1132" s="36"/>
      <c r="AF1132" s="36"/>
      <c r="AG1132" s="36"/>
      <c r="AH1132" s="36">
        <v>2</v>
      </c>
      <c r="AI1132" s="36">
        <v>2</v>
      </c>
      <c r="AJ1132" s="36">
        <v>2</v>
      </c>
      <c r="AK1132" s="36">
        <v>2</v>
      </c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  <c r="AV1132" s="36"/>
      <c r="AW1132" s="36"/>
      <c r="AX1132" s="36"/>
      <c r="AY1132" s="953"/>
      <c r="AZ1132" s="36"/>
      <c r="BA1132" s="36"/>
      <c r="BB1132" s="36"/>
      <c r="BC1132" s="36"/>
      <c r="BD1132" s="36"/>
      <c r="BF1132">
        <f>ROWS($U$46:U1132)</f>
        <v>1087</v>
      </c>
      <c r="BG1132" t="str">
        <f t="shared" si="221"/>
        <v/>
      </c>
    </row>
    <row r="1133" spans="15:59" x14ac:dyDescent="0.35">
      <c r="O1133" s="330"/>
      <c r="P1133" s="36"/>
      <c r="Q1133" s="36"/>
      <c r="R1133" s="36"/>
      <c r="S1133" s="36" t="s">
        <v>1209</v>
      </c>
      <c r="T1133" s="36" t="s">
        <v>1852</v>
      </c>
      <c r="U1133" s="36">
        <v>1070175</v>
      </c>
      <c r="V1133" s="165" t="s">
        <v>92</v>
      </c>
      <c r="W1133" s="36">
        <v>3</v>
      </c>
      <c r="X1133" s="36">
        <v>3</v>
      </c>
      <c r="Y1133" s="36">
        <v>3</v>
      </c>
      <c r="Z1133" s="36">
        <v>1</v>
      </c>
      <c r="AA1133" s="36">
        <v>1</v>
      </c>
      <c r="AB1133" s="36">
        <v>1</v>
      </c>
      <c r="AC1133" s="36">
        <v>1</v>
      </c>
      <c r="AD1133" s="36">
        <v>1</v>
      </c>
      <c r="AE1133" s="36">
        <v>1</v>
      </c>
      <c r="AF1133" s="70">
        <v>5</v>
      </c>
      <c r="AG1133" s="36"/>
      <c r="AH1133" s="36">
        <v>2</v>
      </c>
      <c r="AI1133" s="36">
        <v>2</v>
      </c>
      <c r="AJ1133" s="36">
        <v>2</v>
      </c>
      <c r="AK1133" s="36">
        <v>2</v>
      </c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  <c r="AV1133" s="36"/>
      <c r="AW1133" s="36"/>
      <c r="AX1133" s="36"/>
      <c r="AY1133" s="953"/>
      <c r="AZ1133" s="36"/>
      <c r="BA1133" s="36"/>
      <c r="BB1133" s="36"/>
      <c r="BC1133" s="36"/>
      <c r="BD1133" s="36"/>
      <c r="BF1133">
        <f>ROWS($U$46:U1133)</f>
        <v>1088</v>
      </c>
      <c r="BG1133" t="str">
        <f t="shared" si="221"/>
        <v/>
      </c>
    </row>
    <row r="1134" spans="15:59" x14ac:dyDescent="0.35">
      <c r="O1134" s="330"/>
      <c r="P1134" s="36"/>
      <c r="Q1134" s="36"/>
      <c r="R1134" s="36"/>
      <c r="S1134" s="36" t="s">
        <v>1209</v>
      </c>
      <c r="T1134" s="36" t="s">
        <v>1852</v>
      </c>
      <c r="U1134" s="36">
        <v>1070175</v>
      </c>
      <c r="V1134" s="165" t="s">
        <v>111</v>
      </c>
      <c r="W1134" s="36">
        <v>1</v>
      </c>
      <c r="X1134" s="36">
        <v>1</v>
      </c>
      <c r="Y1134" s="36">
        <v>1</v>
      </c>
      <c r="Z1134" s="36">
        <v>1</v>
      </c>
      <c r="AA1134" s="36">
        <v>1</v>
      </c>
      <c r="AB1134" s="36">
        <v>1</v>
      </c>
      <c r="AC1134" s="70">
        <v>4</v>
      </c>
      <c r="AD1134" s="36"/>
      <c r="AE1134" s="36"/>
      <c r="AF1134" s="36"/>
      <c r="AG1134" s="36"/>
      <c r="AH1134" s="36">
        <v>2</v>
      </c>
      <c r="AI1134" s="36">
        <v>2</v>
      </c>
      <c r="AJ1134" s="36">
        <v>2</v>
      </c>
      <c r="AK1134" s="36">
        <v>2</v>
      </c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  <c r="AV1134" s="36"/>
      <c r="AW1134" s="36"/>
      <c r="AX1134" s="36"/>
      <c r="AY1134" s="953"/>
      <c r="AZ1134" s="36"/>
      <c r="BA1134" s="36"/>
      <c r="BB1134" s="36"/>
      <c r="BC1134" s="36"/>
      <c r="BD1134" s="36"/>
      <c r="BF1134">
        <f>ROWS($U$46:U1134)</f>
        <v>1089</v>
      </c>
      <c r="BG1134" t="str">
        <f t="shared" si="221"/>
        <v/>
      </c>
    </row>
    <row r="1135" spans="15:59" ht="15" thickBot="1" x14ac:dyDescent="0.4">
      <c r="O1135" s="331"/>
      <c r="P1135" s="328"/>
      <c r="Q1135" s="328"/>
      <c r="R1135" s="328"/>
      <c r="S1135" s="328" t="s">
        <v>1209</v>
      </c>
      <c r="T1135" s="328" t="s">
        <v>1852</v>
      </c>
      <c r="U1135" s="328">
        <v>1070175</v>
      </c>
      <c r="V1135" s="327" t="s">
        <v>112</v>
      </c>
      <c r="W1135" s="328">
        <v>1</v>
      </c>
      <c r="X1135" s="328">
        <v>1</v>
      </c>
      <c r="Y1135" s="328">
        <v>1</v>
      </c>
      <c r="Z1135" s="328">
        <v>1</v>
      </c>
      <c r="AA1135" s="328">
        <v>1</v>
      </c>
      <c r="AB1135" s="328">
        <v>1</v>
      </c>
      <c r="AC1135" s="902">
        <v>5</v>
      </c>
      <c r="AD1135" s="328"/>
      <c r="AE1135" s="328"/>
      <c r="AF1135" s="328"/>
      <c r="AG1135" s="328"/>
      <c r="AH1135" s="328">
        <v>2</v>
      </c>
      <c r="AI1135" s="328">
        <v>2</v>
      </c>
      <c r="AJ1135" s="328">
        <v>2</v>
      </c>
      <c r="AK1135" s="328">
        <v>2</v>
      </c>
      <c r="AL1135" s="328"/>
      <c r="AM1135" s="328"/>
      <c r="AN1135" s="328"/>
      <c r="AO1135" s="328"/>
      <c r="AP1135" s="328"/>
      <c r="AQ1135" s="328"/>
      <c r="AR1135" s="328"/>
      <c r="AS1135" s="328"/>
      <c r="AT1135" s="328"/>
      <c r="AU1135" s="328"/>
      <c r="AV1135" s="328"/>
      <c r="AW1135" s="328"/>
      <c r="AX1135" s="328"/>
      <c r="AY1135" s="954"/>
      <c r="AZ1135" s="36"/>
      <c r="BA1135" s="36"/>
      <c r="BB1135" s="36"/>
      <c r="BC1135" s="36"/>
      <c r="BD1135" s="36"/>
      <c r="BF1135">
        <f>ROWS($U$46:U1135)</f>
        <v>1090</v>
      </c>
      <c r="BG1135" t="str">
        <f t="shared" ref="BG1135:BG1198" si="222">IF(VALUE(SUBSTITUTE($B$5,"M",""))=U1135,BF1135,"")</f>
        <v/>
      </c>
    </row>
    <row r="1136" spans="15:59" x14ac:dyDescent="0.35">
      <c r="O1136" s="329">
        <v>1</v>
      </c>
      <c r="P1136" s="320">
        <v>1130198</v>
      </c>
      <c r="Q1136" s="320">
        <v>58</v>
      </c>
      <c r="R1136" s="320"/>
      <c r="S1136" s="320" t="s">
        <v>1198</v>
      </c>
      <c r="T1136" s="320" t="s">
        <v>1321</v>
      </c>
      <c r="U1136" s="320">
        <v>756447</v>
      </c>
      <c r="V1136" s="319" t="s">
        <v>87</v>
      </c>
      <c r="W1136" s="320">
        <v>2</v>
      </c>
      <c r="X1136" s="320">
        <v>2</v>
      </c>
      <c r="Y1136" s="320">
        <v>2</v>
      </c>
      <c r="Z1136" s="320">
        <v>1</v>
      </c>
      <c r="AA1136" s="320">
        <v>1</v>
      </c>
      <c r="AB1136" s="320">
        <v>1</v>
      </c>
      <c r="AC1136" s="320">
        <v>1</v>
      </c>
      <c r="AD1136" s="320">
        <v>1</v>
      </c>
      <c r="AE1136" s="320">
        <v>3</v>
      </c>
      <c r="AF1136" s="320">
        <v>3</v>
      </c>
      <c r="AG1136" s="320"/>
      <c r="AH1136" s="320">
        <v>1</v>
      </c>
      <c r="AI1136" s="320">
        <v>1</v>
      </c>
      <c r="AJ1136" s="320">
        <v>1</v>
      </c>
      <c r="AK1136" s="320">
        <v>1</v>
      </c>
      <c r="AL1136" s="320">
        <v>1</v>
      </c>
      <c r="AM1136" s="320"/>
      <c r="AN1136" s="320"/>
      <c r="AO1136" s="320"/>
      <c r="AP1136" s="320"/>
      <c r="AQ1136" s="320"/>
      <c r="AR1136" s="320"/>
      <c r="AS1136" s="320"/>
      <c r="AT1136" s="320"/>
      <c r="AU1136" s="320"/>
      <c r="AV1136" s="320"/>
      <c r="AW1136" s="320"/>
      <c r="AX1136" s="320"/>
      <c r="AY1136" s="952"/>
      <c r="AZ1136" s="36"/>
      <c r="BA1136" s="36"/>
      <c r="BB1136" s="36"/>
      <c r="BC1136" s="36"/>
      <c r="BD1136" s="36"/>
      <c r="BF1136">
        <f>ROWS($U$46:U1136)</f>
        <v>1091</v>
      </c>
      <c r="BG1136" t="str">
        <f t="shared" si="222"/>
        <v/>
      </c>
    </row>
    <row r="1137" spans="15:59" x14ac:dyDescent="0.35">
      <c r="O1137" s="330">
        <v>2</v>
      </c>
      <c r="P1137" s="36">
        <v>1130196</v>
      </c>
      <c r="Q1137" s="36">
        <v>7</v>
      </c>
      <c r="R1137" s="36"/>
      <c r="S1137" s="36" t="s">
        <v>1198</v>
      </c>
      <c r="T1137" s="36" t="s">
        <v>1321</v>
      </c>
      <c r="U1137" s="36">
        <v>756447</v>
      </c>
      <c r="V1137" s="165" t="s">
        <v>88</v>
      </c>
      <c r="W1137" s="36">
        <v>1</v>
      </c>
      <c r="X1137" s="36">
        <v>1</v>
      </c>
      <c r="Y1137" s="36">
        <v>1</v>
      </c>
      <c r="Z1137" s="36">
        <v>1</v>
      </c>
      <c r="AA1137" s="36">
        <v>1</v>
      </c>
      <c r="AB1137" s="36">
        <v>3</v>
      </c>
      <c r="AC1137" s="36">
        <v>3</v>
      </c>
      <c r="AD1137" s="36"/>
      <c r="AE1137" s="36"/>
      <c r="AF1137" s="36"/>
      <c r="AG1137" s="36"/>
      <c r="AH1137" s="36">
        <v>1</v>
      </c>
      <c r="AI1137" s="36">
        <v>1</v>
      </c>
      <c r="AJ1137" s="36">
        <v>1</v>
      </c>
      <c r="AK1137" s="36">
        <v>1</v>
      </c>
      <c r="AL1137" s="36">
        <v>1</v>
      </c>
      <c r="AM1137" s="36"/>
      <c r="AN1137" s="36"/>
      <c r="AO1137" s="36"/>
      <c r="AP1137" s="36"/>
      <c r="AQ1137" s="36"/>
      <c r="AR1137" s="36"/>
      <c r="AS1137" s="36"/>
      <c r="AT1137" s="36"/>
      <c r="AU1137" s="36"/>
      <c r="AV1137" s="36"/>
      <c r="AW1137" s="36"/>
      <c r="AX1137" s="36"/>
      <c r="AY1137" s="953"/>
      <c r="AZ1137" s="36"/>
      <c r="BA1137" s="36"/>
      <c r="BB1137" s="36"/>
      <c r="BC1137" s="36"/>
      <c r="BD1137" s="36"/>
      <c r="BF1137">
        <f>ROWS($U$46:U1137)</f>
        <v>1092</v>
      </c>
      <c r="BG1137" t="str">
        <f t="shared" si="222"/>
        <v/>
      </c>
    </row>
    <row r="1138" spans="15:59" x14ac:dyDescent="0.35">
      <c r="O1138" s="330">
        <v>3</v>
      </c>
      <c r="P1138" s="36">
        <v>418525</v>
      </c>
      <c r="Q1138" s="36">
        <v>12</v>
      </c>
      <c r="R1138" s="36"/>
      <c r="S1138" s="36" t="s">
        <v>1198</v>
      </c>
      <c r="T1138" s="36" t="s">
        <v>1321</v>
      </c>
      <c r="U1138" s="36">
        <v>756447</v>
      </c>
      <c r="V1138" s="165" t="s">
        <v>89</v>
      </c>
      <c r="W1138" s="36">
        <v>2</v>
      </c>
      <c r="X1138" s="36">
        <v>2</v>
      </c>
      <c r="Y1138" s="36">
        <v>1</v>
      </c>
      <c r="Z1138" s="36">
        <v>1</v>
      </c>
      <c r="AA1138" s="36">
        <v>1</v>
      </c>
      <c r="AB1138" s="36">
        <v>1</v>
      </c>
      <c r="AC1138" s="36">
        <v>1</v>
      </c>
      <c r="AD1138" s="36">
        <v>3</v>
      </c>
      <c r="AE1138" s="36">
        <v>3</v>
      </c>
      <c r="AF1138" s="36"/>
      <c r="AG1138" s="36"/>
      <c r="AH1138" s="36">
        <v>1</v>
      </c>
      <c r="AI1138" s="36">
        <v>1</v>
      </c>
      <c r="AJ1138" s="36">
        <v>1</v>
      </c>
      <c r="AK1138" s="36">
        <v>1</v>
      </c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  <c r="AV1138" s="36"/>
      <c r="AW1138" s="36"/>
      <c r="AX1138" s="36"/>
      <c r="AY1138" s="953"/>
      <c r="AZ1138" s="36"/>
      <c r="BA1138" s="36"/>
      <c r="BB1138" s="36"/>
      <c r="BC1138" s="36"/>
      <c r="BD1138" s="36"/>
      <c r="BF1138">
        <f>ROWS($U$46:U1138)</f>
        <v>1093</v>
      </c>
      <c r="BG1138" t="str">
        <f t="shared" si="222"/>
        <v/>
      </c>
    </row>
    <row r="1139" spans="15:59" x14ac:dyDescent="0.35">
      <c r="O1139" s="330"/>
      <c r="P1139" s="36"/>
      <c r="Q1139" s="36"/>
      <c r="R1139" s="36"/>
      <c r="S1139" s="36" t="s">
        <v>1198</v>
      </c>
      <c r="T1139" s="36" t="s">
        <v>1321</v>
      </c>
      <c r="U1139" s="36">
        <v>756447</v>
      </c>
      <c r="V1139" s="165" t="s">
        <v>90</v>
      </c>
      <c r="W1139" s="36">
        <v>1</v>
      </c>
      <c r="X1139" s="36">
        <v>1</v>
      </c>
      <c r="Y1139" s="36">
        <v>1</v>
      </c>
      <c r="Z1139" s="36">
        <v>1</v>
      </c>
      <c r="AA1139" s="36">
        <v>3</v>
      </c>
      <c r="AB1139" s="36">
        <v>3</v>
      </c>
      <c r="AC1139" s="36"/>
      <c r="AD1139" s="36"/>
      <c r="AE1139" s="36"/>
      <c r="AF1139" s="36"/>
      <c r="AG1139" s="36"/>
      <c r="AH1139" s="36">
        <v>1</v>
      </c>
      <c r="AI1139" s="36">
        <v>1</v>
      </c>
      <c r="AJ1139" s="36">
        <v>1</v>
      </c>
      <c r="AK1139" s="36">
        <v>1</v>
      </c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  <c r="AV1139" s="36"/>
      <c r="AW1139" s="36"/>
      <c r="AX1139" s="36"/>
      <c r="AY1139" s="953"/>
      <c r="AZ1139" s="36"/>
      <c r="BA1139" s="36"/>
      <c r="BB1139" s="36"/>
      <c r="BC1139" s="36"/>
      <c r="BD1139" s="36"/>
      <c r="BF1139">
        <f>ROWS($U$46:U1139)</f>
        <v>1094</v>
      </c>
      <c r="BG1139" t="str">
        <f t="shared" si="222"/>
        <v/>
      </c>
    </row>
    <row r="1140" spans="15:59" x14ac:dyDescent="0.35">
      <c r="O1140" s="330"/>
      <c r="P1140" s="36"/>
      <c r="Q1140" s="36"/>
      <c r="R1140" s="36"/>
      <c r="S1140" s="36" t="s">
        <v>1198</v>
      </c>
      <c r="T1140" s="36" t="s">
        <v>1321</v>
      </c>
      <c r="U1140" s="36">
        <v>756447</v>
      </c>
      <c r="V1140" s="165" t="s">
        <v>91</v>
      </c>
      <c r="W1140" s="36">
        <v>2</v>
      </c>
      <c r="X1140" s="36">
        <v>2</v>
      </c>
      <c r="Y1140" s="36">
        <v>1</v>
      </c>
      <c r="Z1140" s="36">
        <v>1</v>
      </c>
      <c r="AA1140" s="36">
        <v>1</v>
      </c>
      <c r="AB1140" s="36">
        <v>1</v>
      </c>
      <c r="AC1140" s="36">
        <v>1</v>
      </c>
      <c r="AD1140" s="36">
        <v>1</v>
      </c>
      <c r="AE1140" s="36">
        <v>3</v>
      </c>
      <c r="AF1140" s="36">
        <v>3</v>
      </c>
      <c r="AG1140" s="36"/>
      <c r="AH1140" s="36">
        <v>1</v>
      </c>
      <c r="AI1140" s="36">
        <v>1</v>
      </c>
      <c r="AJ1140" s="36">
        <v>1</v>
      </c>
      <c r="AK1140" s="36">
        <v>1</v>
      </c>
      <c r="AL1140" s="36">
        <v>1</v>
      </c>
      <c r="AM1140" s="36"/>
      <c r="AN1140" s="36"/>
      <c r="AO1140" s="36"/>
      <c r="AP1140" s="36"/>
      <c r="AQ1140" s="36"/>
      <c r="AR1140" s="36"/>
      <c r="AS1140" s="36"/>
      <c r="AT1140" s="36"/>
      <c r="AU1140" s="36"/>
      <c r="AV1140" s="36"/>
      <c r="AW1140" s="36"/>
      <c r="AX1140" s="36"/>
      <c r="AY1140" s="953"/>
      <c r="AZ1140" s="36"/>
      <c r="BA1140" s="36"/>
      <c r="BB1140" s="36"/>
      <c r="BC1140" s="36"/>
      <c r="BD1140" s="36"/>
      <c r="BF1140">
        <f>ROWS($U$46:U1140)</f>
        <v>1095</v>
      </c>
      <c r="BG1140" t="str">
        <f t="shared" si="222"/>
        <v/>
      </c>
    </row>
    <row r="1141" spans="15:59" ht="15" thickBot="1" x14ac:dyDescent="0.4">
      <c r="O1141" s="331"/>
      <c r="P1141" s="328"/>
      <c r="Q1141" s="328"/>
      <c r="R1141" s="328"/>
      <c r="S1141" s="328" t="s">
        <v>1198</v>
      </c>
      <c r="T1141" s="328" t="s">
        <v>1321</v>
      </c>
      <c r="U1141" s="328">
        <v>756447</v>
      </c>
      <c r="V1141" s="327" t="s">
        <v>92</v>
      </c>
      <c r="W1141" s="328">
        <v>1</v>
      </c>
      <c r="X1141" s="328">
        <v>1</v>
      </c>
      <c r="Y1141" s="328">
        <v>1</v>
      </c>
      <c r="Z1141" s="328">
        <v>1</v>
      </c>
      <c r="AA1141" s="328">
        <v>1</v>
      </c>
      <c r="AB1141" s="328">
        <v>3</v>
      </c>
      <c r="AC1141" s="328">
        <v>3</v>
      </c>
      <c r="AD1141" s="328"/>
      <c r="AE1141" s="328"/>
      <c r="AF1141" s="328"/>
      <c r="AG1141" s="328"/>
      <c r="AH1141" s="328">
        <v>1</v>
      </c>
      <c r="AI1141" s="328">
        <v>1</v>
      </c>
      <c r="AJ1141" s="328">
        <v>1</v>
      </c>
      <c r="AK1141" s="328">
        <v>1</v>
      </c>
      <c r="AL1141" s="328">
        <v>1</v>
      </c>
      <c r="AM1141" s="328"/>
      <c r="AN1141" s="328"/>
      <c r="AO1141" s="328"/>
      <c r="AP1141" s="328"/>
      <c r="AQ1141" s="328"/>
      <c r="AR1141" s="328"/>
      <c r="AS1141" s="328"/>
      <c r="AT1141" s="328"/>
      <c r="AU1141" s="328"/>
      <c r="AV1141" s="328"/>
      <c r="AW1141" s="328"/>
      <c r="AX1141" s="328"/>
      <c r="AY1141" s="954"/>
      <c r="AZ1141" s="36"/>
      <c r="BA1141" s="36"/>
      <c r="BB1141" s="36"/>
      <c r="BC1141" s="36"/>
      <c r="BD1141" s="36"/>
      <c r="BF1141">
        <f>ROWS($U$46:U1141)</f>
        <v>1096</v>
      </c>
      <c r="BG1141" t="str">
        <f t="shared" si="222"/>
        <v/>
      </c>
    </row>
    <row r="1142" spans="15:59" x14ac:dyDescent="0.35">
      <c r="O1142" s="329">
        <v>1</v>
      </c>
      <c r="P1142" s="320">
        <v>1130198</v>
      </c>
      <c r="Q1142" s="320">
        <v>58</v>
      </c>
      <c r="R1142" s="320"/>
      <c r="S1142" s="320" t="s">
        <v>1198</v>
      </c>
      <c r="T1142" s="320" t="s">
        <v>1853</v>
      </c>
      <c r="U1142" s="320">
        <v>800418</v>
      </c>
      <c r="V1142" s="319" t="s">
        <v>87</v>
      </c>
      <c r="W1142" s="320">
        <v>2</v>
      </c>
      <c r="X1142" s="320">
        <v>2</v>
      </c>
      <c r="Y1142" s="320">
        <v>2</v>
      </c>
      <c r="Z1142" s="320">
        <v>1</v>
      </c>
      <c r="AA1142" s="320">
        <v>1</v>
      </c>
      <c r="AB1142" s="320">
        <v>1</v>
      </c>
      <c r="AC1142" s="320">
        <v>1</v>
      </c>
      <c r="AD1142" s="320">
        <v>1</v>
      </c>
      <c r="AE1142" s="320">
        <v>3</v>
      </c>
      <c r="AF1142" s="320">
        <v>3</v>
      </c>
      <c r="AG1142" s="320"/>
      <c r="AH1142" s="320">
        <v>1</v>
      </c>
      <c r="AI1142" s="320">
        <v>1</v>
      </c>
      <c r="AJ1142" s="320">
        <v>1</v>
      </c>
      <c r="AK1142" s="320">
        <v>1</v>
      </c>
      <c r="AL1142" s="320">
        <v>1</v>
      </c>
      <c r="AM1142" s="320"/>
      <c r="AN1142" s="320"/>
      <c r="AO1142" s="320"/>
      <c r="AP1142" s="320"/>
      <c r="AQ1142" s="320"/>
      <c r="AR1142" s="320"/>
      <c r="AS1142" s="320"/>
      <c r="AT1142" s="320"/>
      <c r="AU1142" s="320"/>
      <c r="AV1142" s="320"/>
      <c r="AW1142" s="320"/>
      <c r="AX1142" s="320"/>
      <c r="AY1142" s="952"/>
      <c r="AZ1142" s="36"/>
      <c r="BA1142" s="36"/>
      <c r="BB1142" s="36"/>
      <c r="BC1142" s="36"/>
      <c r="BD1142" s="36"/>
      <c r="BF1142">
        <f>ROWS($U$46:U1142)</f>
        <v>1097</v>
      </c>
      <c r="BG1142" t="str">
        <f t="shared" si="222"/>
        <v/>
      </c>
    </row>
    <row r="1143" spans="15:59" x14ac:dyDescent="0.35">
      <c r="O1143" s="330">
        <v>2</v>
      </c>
      <c r="P1143" s="36">
        <v>1130196</v>
      </c>
      <c r="Q1143" s="36">
        <v>7</v>
      </c>
      <c r="R1143" s="36"/>
      <c r="S1143" s="36" t="s">
        <v>1198</v>
      </c>
      <c r="T1143" s="36" t="s">
        <v>1853</v>
      </c>
      <c r="U1143" s="36">
        <v>800418</v>
      </c>
      <c r="V1143" s="165" t="s">
        <v>88</v>
      </c>
      <c r="W1143" s="36">
        <v>1</v>
      </c>
      <c r="X1143" s="36">
        <v>1</v>
      </c>
      <c r="Y1143" s="36">
        <v>1</v>
      </c>
      <c r="Z1143" s="36">
        <v>1</v>
      </c>
      <c r="AA1143" s="36">
        <v>1</v>
      </c>
      <c r="AB1143" s="36">
        <v>3</v>
      </c>
      <c r="AC1143" s="36">
        <v>3</v>
      </c>
      <c r="AD1143" s="36"/>
      <c r="AE1143" s="36"/>
      <c r="AF1143" s="36"/>
      <c r="AG1143" s="36"/>
      <c r="AH1143" s="36">
        <v>1</v>
      </c>
      <c r="AI1143" s="36">
        <v>1</v>
      </c>
      <c r="AJ1143" s="36">
        <v>1</v>
      </c>
      <c r="AK1143" s="36">
        <v>1</v>
      </c>
      <c r="AL1143" s="36">
        <v>1</v>
      </c>
      <c r="AM1143" s="36"/>
      <c r="AN1143" s="36"/>
      <c r="AO1143" s="36"/>
      <c r="AP1143" s="36"/>
      <c r="AQ1143" s="36"/>
      <c r="AR1143" s="36"/>
      <c r="AS1143" s="36"/>
      <c r="AT1143" s="36"/>
      <c r="AU1143" s="36"/>
      <c r="AV1143" s="36"/>
      <c r="AW1143" s="36"/>
      <c r="AX1143" s="36"/>
      <c r="AY1143" s="953"/>
      <c r="AZ1143" s="36"/>
      <c r="BA1143" s="36"/>
      <c r="BB1143" s="36"/>
      <c r="BC1143" s="36"/>
      <c r="BD1143" s="36"/>
      <c r="BF1143">
        <f>ROWS($U$46:U1143)</f>
        <v>1098</v>
      </c>
      <c r="BG1143" t="str">
        <f t="shared" si="222"/>
        <v/>
      </c>
    </row>
    <row r="1144" spans="15:59" x14ac:dyDescent="0.35">
      <c r="O1144" s="330">
        <v>3</v>
      </c>
      <c r="P1144" s="36">
        <v>418525</v>
      </c>
      <c r="Q1144" s="36">
        <v>12</v>
      </c>
      <c r="R1144" s="36"/>
      <c r="S1144" s="36" t="s">
        <v>1198</v>
      </c>
      <c r="T1144" s="36" t="s">
        <v>1853</v>
      </c>
      <c r="U1144" s="36">
        <v>800418</v>
      </c>
      <c r="V1144" s="165" t="s">
        <v>89</v>
      </c>
      <c r="W1144" s="36">
        <v>2</v>
      </c>
      <c r="X1144" s="36">
        <v>2</v>
      </c>
      <c r="Y1144" s="36">
        <v>1</v>
      </c>
      <c r="Z1144" s="36">
        <v>1</v>
      </c>
      <c r="AA1144" s="36">
        <v>1</v>
      </c>
      <c r="AB1144" s="36">
        <v>1</v>
      </c>
      <c r="AC1144" s="36">
        <v>1</v>
      </c>
      <c r="AD1144" s="36">
        <v>3</v>
      </c>
      <c r="AE1144" s="36">
        <v>3</v>
      </c>
      <c r="AF1144" s="36"/>
      <c r="AG1144" s="36"/>
      <c r="AH1144" s="36">
        <v>1</v>
      </c>
      <c r="AI1144" s="36">
        <v>1</v>
      </c>
      <c r="AJ1144" s="36">
        <v>1</v>
      </c>
      <c r="AK1144" s="36">
        <v>1</v>
      </c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  <c r="AV1144" s="36"/>
      <c r="AW1144" s="36"/>
      <c r="AX1144" s="36"/>
      <c r="AY1144" s="953"/>
      <c r="AZ1144" s="36"/>
      <c r="BA1144" s="36"/>
      <c r="BB1144" s="36"/>
      <c r="BC1144" s="36"/>
      <c r="BD1144" s="36"/>
      <c r="BF1144">
        <f>ROWS($U$46:U1144)</f>
        <v>1099</v>
      </c>
      <c r="BG1144" t="str">
        <f t="shared" si="222"/>
        <v/>
      </c>
    </row>
    <row r="1145" spans="15:59" x14ac:dyDescent="0.35">
      <c r="O1145" s="330"/>
      <c r="P1145" s="36"/>
      <c r="Q1145" s="36"/>
      <c r="R1145" s="36"/>
      <c r="S1145" s="36" t="s">
        <v>1198</v>
      </c>
      <c r="T1145" s="36" t="s">
        <v>1853</v>
      </c>
      <c r="U1145" s="36">
        <v>800418</v>
      </c>
      <c r="V1145" s="165" t="s">
        <v>90</v>
      </c>
      <c r="W1145" s="36">
        <v>1</v>
      </c>
      <c r="X1145" s="36">
        <v>1</v>
      </c>
      <c r="Y1145" s="36">
        <v>1</v>
      </c>
      <c r="Z1145" s="36">
        <v>1</v>
      </c>
      <c r="AA1145" s="36">
        <v>3</v>
      </c>
      <c r="AB1145" s="36">
        <v>3</v>
      </c>
      <c r="AC1145" s="36"/>
      <c r="AD1145" s="36"/>
      <c r="AE1145" s="36"/>
      <c r="AF1145" s="36"/>
      <c r="AG1145" s="36"/>
      <c r="AH1145" s="36">
        <v>1</v>
      </c>
      <c r="AI1145" s="36">
        <v>1</v>
      </c>
      <c r="AJ1145" s="36">
        <v>1</v>
      </c>
      <c r="AK1145" s="36">
        <v>1</v>
      </c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  <c r="AV1145" s="36"/>
      <c r="AW1145" s="36"/>
      <c r="AX1145" s="36"/>
      <c r="AY1145" s="953"/>
      <c r="AZ1145" s="36"/>
      <c r="BA1145" s="36"/>
      <c r="BB1145" s="36"/>
      <c r="BC1145" s="36"/>
      <c r="BD1145" s="36"/>
      <c r="BF1145">
        <f>ROWS($U$46:U1145)</f>
        <v>1100</v>
      </c>
      <c r="BG1145" t="str">
        <f t="shared" si="222"/>
        <v/>
      </c>
    </row>
    <row r="1146" spans="15:59" x14ac:dyDescent="0.35">
      <c r="O1146" s="330"/>
      <c r="P1146" s="36"/>
      <c r="Q1146" s="36"/>
      <c r="R1146" s="36"/>
      <c r="S1146" s="36" t="s">
        <v>1198</v>
      </c>
      <c r="T1146" s="36" t="s">
        <v>1853</v>
      </c>
      <c r="U1146" s="36">
        <v>800418</v>
      </c>
      <c r="V1146" s="165" t="s">
        <v>91</v>
      </c>
      <c r="W1146" s="36">
        <v>2</v>
      </c>
      <c r="X1146" s="36">
        <v>2</v>
      </c>
      <c r="Y1146" s="36">
        <v>1</v>
      </c>
      <c r="Z1146" s="36">
        <v>1</v>
      </c>
      <c r="AA1146" s="36">
        <v>1</v>
      </c>
      <c r="AB1146" s="36">
        <v>1</v>
      </c>
      <c r="AC1146" s="36">
        <v>1</v>
      </c>
      <c r="AD1146" s="36">
        <v>1</v>
      </c>
      <c r="AE1146" s="36">
        <v>3</v>
      </c>
      <c r="AF1146" s="36">
        <v>3</v>
      </c>
      <c r="AG1146" s="36"/>
      <c r="AH1146" s="36">
        <v>1</v>
      </c>
      <c r="AI1146" s="36">
        <v>1</v>
      </c>
      <c r="AJ1146" s="36">
        <v>1</v>
      </c>
      <c r="AK1146" s="36">
        <v>1</v>
      </c>
      <c r="AL1146" s="36">
        <v>1</v>
      </c>
      <c r="AM1146" s="36"/>
      <c r="AN1146" s="36"/>
      <c r="AO1146" s="36"/>
      <c r="AP1146" s="36"/>
      <c r="AQ1146" s="36"/>
      <c r="AR1146" s="36"/>
      <c r="AS1146" s="36"/>
      <c r="AT1146" s="36"/>
      <c r="AU1146" s="36"/>
      <c r="AV1146" s="36"/>
      <c r="AW1146" s="36"/>
      <c r="AX1146" s="36"/>
      <c r="AY1146" s="953"/>
      <c r="AZ1146" s="36"/>
      <c r="BA1146" s="36"/>
      <c r="BB1146" s="36"/>
      <c r="BC1146" s="36"/>
      <c r="BD1146" s="36"/>
      <c r="BF1146">
        <f>ROWS($U$46:U1146)</f>
        <v>1101</v>
      </c>
      <c r="BG1146" t="str">
        <f t="shared" si="222"/>
        <v/>
      </c>
    </row>
    <row r="1147" spans="15:59" ht="15" thickBot="1" x14ac:dyDescent="0.4">
      <c r="O1147" s="331"/>
      <c r="P1147" s="328"/>
      <c r="Q1147" s="328"/>
      <c r="R1147" s="328"/>
      <c r="S1147" s="328" t="s">
        <v>1198</v>
      </c>
      <c r="T1147" s="328" t="s">
        <v>1853</v>
      </c>
      <c r="U1147" s="328">
        <v>800418</v>
      </c>
      <c r="V1147" s="327" t="s">
        <v>92</v>
      </c>
      <c r="W1147" s="328">
        <v>1</v>
      </c>
      <c r="X1147" s="328">
        <v>1</v>
      </c>
      <c r="Y1147" s="328">
        <v>1</v>
      </c>
      <c r="Z1147" s="328">
        <v>1</v>
      </c>
      <c r="AA1147" s="328">
        <v>1</v>
      </c>
      <c r="AB1147" s="328">
        <v>3</v>
      </c>
      <c r="AC1147" s="328">
        <v>3</v>
      </c>
      <c r="AD1147" s="328"/>
      <c r="AE1147" s="328"/>
      <c r="AF1147" s="328"/>
      <c r="AG1147" s="328"/>
      <c r="AH1147" s="328">
        <v>1</v>
      </c>
      <c r="AI1147" s="328">
        <v>1</v>
      </c>
      <c r="AJ1147" s="328">
        <v>1</v>
      </c>
      <c r="AK1147" s="328">
        <v>1</v>
      </c>
      <c r="AL1147" s="328">
        <v>1</v>
      </c>
      <c r="AM1147" s="328"/>
      <c r="AN1147" s="328"/>
      <c r="AO1147" s="328"/>
      <c r="AP1147" s="328"/>
      <c r="AQ1147" s="328"/>
      <c r="AR1147" s="328"/>
      <c r="AS1147" s="328"/>
      <c r="AT1147" s="328"/>
      <c r="AU1147" s="328"/>
      <c r="AV1147" s="328"/>
      <c r="AW1147" s="328"/>
      <c r="AX1147" s="328"/>
      <c r="AY1147" s="954"/>
      <c r="AZ1147" s="36"/>
      <c r="BA1147" s="36"/>
      <c r="BB1147" s="36"/>
      <c r="BC1147" s="36"/>
      <c r="BD1147" s="36"/>
      <c r="BF1147">
        <f>ROWS($U$46:U1147)</f>
        <v>1102</v>
      </c>
      <c r="BG1147" t="str">
        <f t="shared" si="222"/>
        <v/>
      </c>
    </row>
    <row r="1148" spans="15:59" x14ac:dyDescent="0.35">
      <c r="O1148" s="329">
        <v>1</v>
      </c>
      <c r="P1148" s="320">
        <v>1130198</v>
      </c>
      <c r="Q1148" s="320">
        <v>33</v>
      </c>
      <c r="R1148" s="320"/>
      <c r="S1148" s="320" t="s">
        <v>1198</v>
      </c>
      <c r="T1148" s="320" t="s">
        <v>1321</v>
      </c>
      <c r="U1148" s="320">
        <v>1005293</v>
      </c>
      <c r="V1148" s="319" t="s">
        <v>87</v>
      </c>
      <c r="W1148" s="320">
        <v>1</v>
      </c>
      <c r="X1148" s="320">
        <v>1</v>
      </c>
      <c r="Y1148" s="320">
        <v>1</v>
      </c>
      <c r="Z1148" s="320">
        <v>1</v>
      </c>
      <c r="AA1148" s="320">
        <v>1</v>
      </c>
      <c r="AB1148" s="320">
        <v>1</v>
      </c>
      <c r="AC1148" s="320">
        <v>1</v>
      </c>
      <c r="AD1148" s="320">
        <v>3</v>
      </c>
      <c r="AE1148" s="320"/>
      <c r="AF1148" s="320">
        <v>2</v>
      </c>
      <c r="AG1148" s="320">
        <v>2</v>
      </c>
      <c r="AH1148" s="320">
        <v>2</v>
      </c>
      <c r="AI1148" s="320">
        <v>2</v>
      </c>
      <c r="AJ1148" s="320"/>
      <c r="AK1148" s="320"/>
      <c r="AL1148" s="320"/>
      <c r="AM1148" s="320"/>
      <c r="AN1148" s="320"/>
      <c r="AO1148" s="320"/>
      <c r="AP1148" s="320"/>
      <c r="AQ1148" s="320"/>
      <c r="AR1148" s="320"/>
      <c r="AS1148" s="320"/>
      <c r="AT1148" s="320"/>
      <c r="AU1148" s="320"/>
      <c r="AV1148" s="320"/>
      <c r="AW1148" s="320"/>
      <c r="AX1148" s="320"/>
      <c r="AY1148" s="952"/>
      <c r="AZ1148" s="36"/>
      <c r="BA1148" s="36"/>
      <c r="BB1148" s="36"/>
      <c r="BC1148" s="36"/>
      <c r="BD1148" s="36"/>
      <c r="BF1148">
        <f>ROWS($U$46:U1148)</f>
        <v>1103</v>
      </c>
      <c r="BG1148" t="str">
        <f t="shared" si="222"/>
        <v/>
      </c>
    </row>
    <row r="1149" spans="15:59" x14ac:dyDescent="0.35">
      <c r="O1149" s="330">
        <v>2</v>
      </c>
      <c r="P1149" s="36">
        <v>647435</v>
      </c>
      <c r="Q1149" s="36">
        <v>23</v>
      </c>
      <c r="R1149" s="36"/>
      <c r="S1149" s="36" t="s">
        <v>1198</v>
      </c>
      <c r="T1149" s="36" t="s">
        <v>1321</v>
      </c>
      <c r="U1149" s="36">
        <v>1005293</v>
      </c>
      <c r="V1149" s="165" t="s">
        <v>88</v>
      </c>
      <c r="W1149" s="36">
        <v>1</v>
      </c>
      <c r="X1149" s="36">
        <v>1</v>
      </c>
      <c r="Y1149" s="36">
        <v>1</v>
      </c>
      <c r="Z1149" s="36">
        <v>1</v>
      </c>
      <c r="AA1149" s="36">
        <v>3</v>
      </c>
      <c r="AB1149" s="36"/>
      <c r="AC1149" s="36"/>
      <c r="AD1149" s="36"/>
      <c r="AE1149" s="36"/>
      <c r="AF1149" s="36">
        <v>2</v>
      </c>
      <c r="AG1149" s="36">
        <v>2</v>
      </c>
      <c r="AH1149" s="36">
        <v>2</v>
      </c>
      <c r="AI1149" s="36">
        <v>2</v>
      </c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953"/>
      <c r="AZ1149" s="36"/>
      <c r="BA1149" s="36"/>
      <c r="BB1149" s="36"/>
      <c r="BC1149" s="36"/>
      <c r="BD1149" s="36"/>
      <c r="BF1149">
        <f>ROWS($U$46:U1149)</f>
        <v>1104</v>
      </c>
      <c r="BG1149" t="str">
        <f t="shared" si="222"/>
        <v/>
      </c>
    </row>
    <row r="1150" spans="15:59" x14ac:dyDescent="0.35">
      <c r="O1150" s="330">
        <v>3</v>
      </c>
      <c r="P1150" s="36">
        <v>418525</v>
      </c>
      <c r="Q1150" s="36">
        <v>6</v>
      </c>
      <c r="R1150" s="36"/>
      <c r="S1150" s="36" t="s">
        <v>1198</v>
      </c>
      <c r="T1150" s="36" t="s">
        <v>1321</v>
      </c>
      <c r="U1150" s="36">
        <v>1005293</v>
      </c>
      <c r="V1150" s="165" t="s">
        <v>89</v>
      </c>
      <c r="W1150" s="36">
        <v>1</v>
      </c>
      <c r="X1150" s="36">
        <v>1</v>
      </c>
      <c r="Y1150" s="36">
        <v>1</v>
      </c>
      <c r="Z1150" s="36">
        <v>1</v>
      </c>
      <c r="AA1150" s="36">
        <v>1</v>
      </c>
      <c r="AB1150" s="36">
        <v>1</v>
      </c>
      <c r="AC1150" s="36">
        <v>3</v>
      </c>
      <c r="AD1150" s="36"/>
      <c r="AE1150" s="36"/>
      <c r="AF1150" s="36">
        <v>2</v>
      </c>
      <c r="AG1150" s="36">
        <v>2</v>
      </c>
      <c r="AH1150" s="36">
        <v>2</v>
      </c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  <c r="AV1150" s="36"/>
      <c r="AW1150" s="36"/>
      <c r="AX1150" s="36"/>
      <c r="AY1150" s="953"/>
      <c r="AZ1150" s="36"/>
      <c r="BA1150" s="36"/>
      <c r="BB1150" s="36"/>
      <c r="BC1150" s="36"/>
      <c r="BD1150" s="36"/>
      <c r="BF1150">
        <f>ROWS($U$46:U1150)</f>
        <v>1105</v>
      </c>
      <c r="BG1150" t="str">
        <f t="shared" si="222"/>
        <v/>
      </c>
    </row>
    <row r="1151" spans="15:59" x14ac:dyDescent="0.35">
      <c r="O1151" s="330"/>
      <c r="P1151" s="36"/>
      <c r="Q1151" s="36"/>
      <c r="R1151" s="36"/>
      <c r="S1151" s="36" t="s">
        <v>1198</v>
      </c>
      <c r="T1151" s="36" t="s">
        <v>1321</v>
      </c>
      <c r="U1151" s="36">
        <v>1005293</v>
      </c>
      <c r="V1151" s="165" t="s">
        <v>90</v>
      </c>
      <c r="W1151" s="36">
        <v>1</v>
      </c>
      <c r="X1151" s="36">
        <v>1</v>
      </c>
      <c r="Y1151" s="36">
        <v>1</v>
      </c>
      <c r="Z1151" s="36">
        <v>1</v>
      </c>
      <c r="AA1151" s="36">
        <v>1</v>
      </c>
      <c r="AB1151" s="36">
        <v>3</v>
      </c>
      <c r="AC1151" s="36"/>
      <c r="AD1151" s="36"/>
      <c r="AE1151" s="36"/>
      <c r="AF1151" s="36">
        <v>2</v>
      </c>
      <c r="AG1151" s="36">
        <v>2</v>
      </c>
      <c r="AH1151" s="36">
        <v>2</v>
      </c>
      <c r="AI1151" s="36">
        <v>2</v>
      </c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  <c r="AW1151" s="36"/>
      <c r="AX1151" s="36"/>
      <c r="AY1151" s="953"/>
      <c r="AZ1151" s="36"/>
      <c r="BA1151" s="36"/>
      <c r="BB1151" s="36"/>
      <c r="BC1151" s="36"/>
      <c r="BD1151" s="36"/>
      <c r="BF1151">
        <f>ROWS($U$46:U1151)</f>
        <v>1106</v>
      </c>
      <c r="BG1151" t="str">
        <f t="shared" si="222"/>
        <v/>
      </c>
    </row>
    <row r="1152" spans="15:59" x14ac:dyDescent="0.35">
      <c r="O1152" s="330"/>
      <c r="P1152" s="36"/>
      <c r="Q1152" s="36"/>
      <c r="R1152" s="36"/>
      <c r="S1152" s="36" t="s">
        <v>1198</v>
      </c>
      <c r="T1152" s="36" t="s">
        <v>1321</v>
      </c>
      <c r="U1152" s="36">
        <v>1005293</v>
      </c>
      <c r="V1152" s="165" t="s">
        <v>91</v>
      </c>
      <c r="W1152" s="36">
        <v>1</v>
      </c>
      <c r="X1152" s="36">
        <v>1</v>
      </c>
      <c r="Y1152" s="36">
        <v>1</v>
      </c>
      <c r="Z1152" s="36">
        <v>1</v>
      </c>
      <c r="AA1152" s="36">
        <v>1</v>
      </c>
      <c r="AB1152" s="36">
        <v>1</v>
      </c>
      <c r="AC1152" s="36">
        <v>1</v>
      </c>
      <c r="AD1152" s="36">
        <v>3</v>
      </c>
      <c r="AE1152" s="36"/>
      <c r="AF1152" s="36">
        <v>2</v>
      </c>
      <c r="AG1152" s="36">
        <v>2</v>
      </c>
      <c r="AH1152" s="36">
        <v>2</v>
      </c>
      <c r="AI1152" s="36">
        <v>2</v>
      </c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  <c r="AV1152" s="36"/>
      <c r="AW1152" s="36"/>
      <c r="AX1152" s="36"/>
      <c r="AY1152" s="953"/>
      <c r="AZ1152" s="36"/>
      <c r="BA1152" s="36"/>
      <c r="BB1152" s="36"/>
      <c r="BC1152" s="36"/>
      <c r="BD1152" s="36"/>
      <c r="BF1152">
        <f>ROWS($U$46:U1152)</f>
        <v>1107</v>
      </c>
      <c r="BG1152" t="str">
        <f t="shared" si="222"/>
        <v/>
      </c>
    </row>
    <row r="1153" spans="15:59" ht="15" thickBot="1" x14ac:dyDescent="0.4">
      <c r="O1153" s="331"/>
      <c r="P1153" s="328"/>
      <c r="Q1153" s="328"/>
      <c r="R1153" s="328"/>
      <c r="S1153" s="328" t="s">
        <v>1198</v>
      </c>
      <c r="T1153" s="328" t="s">
        <v>1321</v>
      </c>
      <c r="U1153" s="328">
        <v>1005293</v>
      </c>
      <c r="V1153" s="327" t="s">
        <v>92</v>
      </c>
      <c r="W1153" s="328">
        <v>1</v>
      </c>
      <c r="X1153" s="328">
        <v>1</v>
      </c>
      <c r="Y1153" s="328">
        <v>1</v>
      </c>
      <c r="Z1153" s="328">
        <v>1</v>
      </c>
      <c r="AA1153" s="328">
        <v>3</v>
      </c>
      <c r="AB1153" s="328"/>
      <c r="AC1153" s="328"/>
      <c r="AD1153" s="328"/>
      <c r="AE1153" s="328"/>
      <c r="AF1153" s="328">
        <v>2</v>
      </c>
      <c r="AG1153" s="328">
        <v>2</v>
      </c>
      <c r="AH1153" s="328">
        <v>2</v>
      </c>
      <c r="AI1153" s="328">
        <v>2</v>
      </c>
      <c r="AJ1153" s="328"/>
      <c r="AK1153" s="328"/>
      <c r="AL1153" s="328"/>
      <c r="AM1153" s="328"/>
      <c r="AN1153" s="328"/>
      <c r="AO1153" s="328"/>
      <c r="AP1153" s="328"/>
      <c r="AQ1153" s="328"/>
      <c r="AR1153" s="328"/>
      <c r="AS1153" s="328"/>
      <c r="AT1153" s="328"/>
      <c r="AU1153" s="328"/>
      <c r="AV1153" s="328"/>
      <c r="AW1153" s="328"/>
      <c r="AX1153" s="328"/>
      <c r="AY1153" s="954"/>
      <c r="AZ1153" s="36"/>
      <c r="BA1153" s="36"/>
      <c r="BB1153" s="36"/>
      <c r="BC1153" s="36"/>
      <c r="BD1153" s="36"/>
      <c r="BF1153">
        <f>ROWS($U$46:U1153)</f>
        <v>1108</v>
      </c>
      <c r="BG1153" t="str">
        <f t="shared" si="222"/>
        <v/>
      </c>
    </row>
    <row r="1154" spans="15:59" x14ac:dyDescent="0.35">
      <c r="O1154" s="329">
        <v>1</v>
      </c>
      <c r="P1154" s="320">
        <v>744015</v>
      </c>
      <c r="Q1154" s="320">
        <v>33</v>
      </c>
      <c r="R1154" s="320"/>
      <c r="S1154" s="320" t="s">
        <v>1198</v>
      </c>
      <c r="T1154" s="320" t="s">
        <v>1321</v>
      </c>
      <c r="U1154" s="320">
        <v>1020985</v>
      </c>
      <c r="V1154" s="319" t="s">
        <v>87</v>
      </c>
      <c r="W1154" s="320">
        <v>1</v>
      </c>
      <c r="X1154" s="320">
        <v>1</v>
      </c>
      <c r="Y1154" s="320">
        <v>1</v>
      </c>
      <c r="Z1154" s="320">
        <v>1</v>
      </c>
      <c r="AA1154" s="320">
        <v>1</v>
      </c>
      <c r="AB1154" s="320">
        <v>1</v>
      </c>
      <c r="AC1154" s="320">
        <v>1</v>
      </c>
      <c r="AD1154" s="320">
        <v>3</v>
      </c>
      <c r="AE1154" s="320"/>
      <c r="AF1154" s="320">
        <v>2</v>
      </c>
      <c r="AG1154" s="320">
        <v>2</v>
      </c>
      <c r="AH1154" s="320">
        <v>2</v>
      </c>
      <c r="AI1154" s="320">
        <v>2</v>
      </c>
      <c r="AJ1154" s="320"/>
      <c r="AK1154" s="320"/>
      <c r="AL1154" s="320"/>
      <c r="AM1154" s="320"/>
      <c r="AN1154" s="320"/>
      <c r="AO1154" s="320"/>
      <c r="AP1154" s="320"/>
      <c r="AQ1154" s="320"/>
      <c r="AR1154" s="320"/>
      <c r="AS1154" s="320"/>
      <c r="AT1154" s="320"/>
      <c r="AU1154" s="320"/>
      <c r="AV1154" s="320"/>
      <c r="AW1154" s="320"/>
      <c r="AX1154" s="320"/>
      <c r="AY1154" s="952"/>
      <c r="AZ1154" s="36"/>
      <c r="BA1154" s="36"/>
      <c r="BB1154" s="36"/>
      <c r="BC1154" s="36"/>
      <c r="BD1154" s="36"/>
      <c r="BF1154">
        <f>ROWS($U$46:U1154)</f>
        <v>1109</v>
      </c>
      <c r="BG1154" t="str">
        <f t="shared" si="222"/>
        <v/>
      </c>
    </row>
    <row r="1155" spans="15:59" x14ac:dyDescent="0.35">
      <c r="O1155" s="330">
        <v>2</v>
      </c>
      <c r="P1155" s="36">
        <v>647435</v>
      </c>
      <c r="Q1155" s="36">
        <v>23</v>
      </c>
      <c r="R1155" s="36"/>
      <c r="S1155" s="36" t="s">
        <v>1198</v>
      </c>
      <c r="T1155" s="36" t="s">
        <v>1321</v>
      </c>
      <c r="U1155" s="36">
        <v>1020985</v>
      </c>
      <c r="V1155" s="165" t="s">
        <v>88</v>
      </c>
      <c r="W1155" s="36">
        <v>1</v>
      </c>
      <c r="X1155" s="36">
        <v>1</v>
      </c>
      <c r="Y1155" s="36">
        <v>1</v>
      </c>
      <c r="Z1155" s="36">
        <v>1</v>
      </c>
      <c r="AA1155" s="36">
        <v>3</v>
      </c>
      <c r="AB1155" s="36"/>
      <c r="AC1155" s="36"/>
      <c r="AD1155" s="36"/>
      <c r="AE1155" s="36"/>
      <c r="AF1155" s="36">
        <v>2</v>
      </c>
      <c r="AG1155" s="36">
        <v>2</v>
      </c>
      <c r="AH1155" s="36">
        <v>2</v>
      </c>
      <c r="AI1155" s="36">
        <v>2</v>
      </c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  <c r="AV1155" s="36"/>
      <c r="AW1155" s="36"/>
      <c r="AX1155" s="36"/>
      <c r="AY1155" s="953"/>
      <c r="AZ1155" s="36"/>
      <c r="BA1155" s="36"/>
      <c r="BB1155" s="36"/>
      <c r="BC1155" s="36"/>
      <c r="BD1155" s="36"/>
      <c r="BF1155">
        <f>ROWS($U$46:U1155)</f>
        <v>1110</v>
      </c>
      <c r="BG1155" t="str">
        <f t="shared" si="222"/>
        <v/>
      </c>
    </row>
    <row r="1156" spans="15:59" x14ac:dyDescent="0.35">
      <c r="O1156" s="330">
        <v>3</v>
      </c>
      <c r="P1156" s="36">
        <v>418525</v>
      </c>
      <c r="Q1156" s="36">
        <v>6</v>
      </c>
      <c r="R1156" s="36"/>
      <c r="S1156" s="36" t="s">
        <v>1198</v>
      </c>
      <c r="T1156" s="36" t="s">
        <v>1321</v>
      </c>
      <c r="U1156" s="36">
        <v>1020985</v>
      </c>
      <c r="V1156" s="165" t="s">
        <v>89</v>
      </c>
      <c r="W1156" s="36">
        <v>1</v>
      </c>
      <c r="X1156" s="36">
        <v>1</v>
      </c>
      <c r="Y1156" s="36">
        <v>1</v>
      </c>
      <c r="Z1156" s="36">
        <v>1</v>
      </c>
      <c r="AA1156" s="36">
        <v>1</v>
      </c>
      <c r="AB1156" s="36">
        <v>1</v>
      </c>
      <c r="AC1156" s="36">
        <v>3</v>
      </c>
      <c r="AD1156" s="36"/>
      <c r="AE1156" s="36"/>
      <c r="AF1156" s="36">
        <v>2</v>
      </c>
      <c r="AG1156" s="36">
        <v>2</v>
      </c>
      <c r="AH1156" s="36">
        <v>2</v>
      </c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  <c r="AV1156" s="36"/>
      <c r="AW1156" s="36"/>
      <c r="AX1156" s="36"/>
      <c r="AY1156" s="953"/>
      <c r="AZ1156" s="36"/>
      <c r="BA1156" s="36"/>
      <c r="BB1156" s="36"/>
      <c r="BC1156" s="36"/>
      <c r="BD1156" s="36"/>
      <c r="BF1156">
        <f>ROWS($U$46:U1156)</f>
        <v>1111</v>
      </c>
      <c r="BG1156" t="str">
        <f t="shared" si="222"/>
        <v/>
      </c>
    </row>
    <row r="1157" spans="15:59" x14ac:dyDescent="0.35">
      <c r="O1157" s="330"/>
      <c r="P1157" s="36"/>
      <c r="Q1157" s="36"/>
      <c r="R1157" s="36"/>
      <c r="S1157" s="36" t="s">
        <v>1198</v>
      </c>
      <c r="T1157" s="36" t="s">
        <v>1321</v>
      </c>
      <c r="U1157" s="36">
        <v>1020985</v>
      </c>
      <c r="V1157" s="165" t="s">
        <v>90</v>
      </c>
      <c r="W1157" s="36">
        <v>1</v>
      </c>
      <c r="X1157" s="36">
        <v>1</v>
      </c>
      <c r="Y1157" s="36">
        <v>1</v>
      </c>
      <c r="Z1157" s="36">
        <v>1</v>
      </c>
      <c r="AA1157" s="36">
        <v>1</v>
      </c>
      <c r="AB1157" s="36">
        <v>3</v>
      </c>
      <c r="AC1157" s="36"/>
      <c r="AD1157" s="36"/>
      <c r="AE1157" s="36"/>
      <c r="AF1157" s="36">
        <v>2</v>
      </c>
      <c r="AG1157" s="36">
        <v>2</v>
      </c>
      <c r="AH1157" s="36">
        <v>2</v>
      </c>
      <c r="AI1157" s="36">
        <v>2</v>
      </c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  <c r="AV1157" s="36"/>
      <c r="AW1157" s="36"/>
      <c r="AX1157" s="36"/>
      <c r="AY1157" s="953"/>
      <c r="AZ1157" s="36"/>
      <c r="BA1157" s="36"/>
      <c r="BB1157" s="36"/>
      <c r="BC1157" s="36"/>
      <c r="BD1157" s="36"/>
      <c r="BF1157">
        <f>ROWS($U$46:U1157)</f>
        <v>1112</v>
      </c>
      <c r="BG1157" t="str">
        <f t="shared" si="222"/>
        <v/>
      </c>
    </row>
    <row r="1158" spans="15:59" x14ac:dyDescent="0.35">
      <c r="O1158" s="330"/>
      <c r="P1158" s="36"/>
      <c r="Q1158" s="36"/>
      <c r="R1158" s="36"/>
      <c r="S1158" s="36" t="s">
        <v>1198</v>
      </c>
      <c r="T1158" s="36" t="s">
        <v>1321</v>
      </c>
      <c r="U1158" s="36">
        <v>1020985</v>
      </c>
      <c r="V1158" s="165" t="s">
        <v>91</v>
      </c>
      <c r="W1158" s="36">
        <v>1</v>
      </c>
      <c r="X1158" s="36">
        <v>1</v>
      </c>
      <c r="Y1158" s="36">
        <v>1</v>
      </c>
      <c r="Z1158" s="36">
        <v>1</v>
      </c>
      <c r="AA1158" s="36">
        <v>1</v>
      </c>
      <c r="AB1158" s="36">
        <v>1</v>
      </c>
      <c r="AC1158" s="36">
        <v>1</v>
      </c>
      <c r="AD1158" s="36">
        <v>3</v>
      </c>
      <c r="AE1158" s="36"/>
      <c r="AF1158" s="36">
        <v>2</v>
      </c>
      <c r="AG1158" s="36">
        <v>2</v>
      </c>
      <c r="AH1158" s="36">
        <v>2</v>
      </c>
      <c r="AI1158" s="36">
        <v>2</v>
      </c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  <c r="AV1158" s="36"/>
      <c r="AW1158" s="36"/>
      <c r="AX1158" s="36"/>
      <c r="AY1158" s="953"/>
      <c r="AZ1158" s="36"/>
      <c r="BA1158" s="36"/>
      <c r="BB1158" s="36"/>
      <c r="BC1158" s="36"/>
      <c r="BD1158" s="36"/>
      <c r="BF1158">
        <f>ROWS($U$46:U1158)</f>
        <v>1113</v>
      </c>
      <c r="BG1158" t="str">
        <f t="shared" si="222"/>
        <v/>
      </c>
    </row>
    <row r="1159" spans="15:59" ht="15" thickBot="1" x14ac:dyDescent="0.4">
      <c r="O1159" s="331"/>
      <c r="P1159" s="328"/>
      <c r="Q1159" s="328"/>
      <c r="R1159" s="328"/>
      <c r="S1159" s="328" t="s">
        <v>1198</v>
      </c>
      <c r="T1159" s="328" t="s">
        <v>1321</v>
      </c>
      <c r="U1159" s="328">
        <v>1020985</v>
      </c>
      <c r="V1159" s="327" t="s">
        <v>92</v>
      </c>
      <c r="W1159" s="328">
        <v>1</v>
      </c>
      <c r="X1159" s="328">
        <v>1</v>
      </c>
      <c r="Y1159" s="328">
        <v>1</v>
      </c>
      <c r="Z1159" s="328">
        <v>1</v>
      </c>
      <c r="AA1159" s="328">
        <v>3</v>
      </c>
      <c r="AB1159" s="328"/>
      <c r="AC1159" s="328"/>
      <c r="AD1159" s="328"/>
      <c r="AE1159" s="328"/>
      <c r="AF1159" s="328">
        <v>2</v>
      </c>
      <c r="AG1159" s="328">
        <v>2</v>
      </c>
      <c r="AH1159" s="328">
        <v>2</v>
      </c>
      <c r="AI1159" s="328">
        <v>2</v>
      </c>
      <c r="AJ1159" s="328"/>
      <c r="AK1159" s="328"/>
      <c r="AL1159" s="328"/>
      <c r="AM1159" s="328"/>
      <c r="AN1159" s="328"/>
      <c r="AO1159" s="328"/>
      <c r="AP1159" s="328"/>
      <c r="AQ1159" s="328"/>
      <c r="AR1159" s="328"/>
      <c r="AS1159" s="328"/>
      <c r="AT1159" s="328"/>
      <c r="AU1159" s="328"/>
      <c r="AV1159" s="328"/>
      <c r="AW1159" s="328"/>
      <c r="AX1159" s="328"/>
      <c r="AY1159" s="954"/>
      <c r="AZ1159" s="36"/>
      <c r="BA1159" s="36"/>
      <c r="BB1159" s="36"/>
      <c r="BC1159" s="36"/>
      <c r="BD1159" s="36"/>
      <c r="BF1159">
        <f>ROWS($U$46:U1159)</f>
        <v>1114</v>
      </c>
      <c r="BG1159" t="str">
        <f t="shared" si="222"/>
        <v/>
      </c>
    </row>
    <row r="1160" spans="15:59" x14ac:dyDescent="0.35">
      <c r="O1160" s="329">
        <v>1</v>
      </c>
      <c r="P1160" s="320">
        <v>1130198</v>
      </c>
      <c r="Q1160" s="320">
        <v>20</v>
      </c>
      <c r="R1160" s="320"/>
      <c r="S1160" s="320" t="s">
        <v>1198</v>
      </c>
      <c r="T1160" s="320" t="s">
        <v>1321</v>
      </c>
      <c r="U1160" s="320">
        <v>1029802</v>
      </c>
      <c r="V1160" s="319" t="s">
        <v>87</v>
      </c>
      <c r="W1160" s="320">
        <v>1</v>
      </c>
      <c r="X1160" s="320">
        <v>1</v>
      </c>
      <c r="Y1160" s="320">
        <v>1</v>
      </c>
      <c r="Z1160" s="320">
        <v>1</v>
      </c>
      <c r="AA1160" s="320">
        <v>1</v>
      </c>
      <c r="AB1160" s="320">
        <v>1</v>
      </c>
      <c r="AC1160" s="320">
        <v>1</v>
      </c>
      <c r="AD1160" s="320">
        <v>4</v>
      </c>
      <c r="AE1160" s="320"/>
      <c r="AF1160" s="320">
        <v>2</v>
      </c>
      <c r="AG1160" s="320">
        <v>2</v>
      </c>
      <c r="AH1160" s="320">
        <v>2</v>
      </c>
      <c r="AI1160" s="320">
        <v>2</v>
      </c>
      <c r="AJ1160" s="320"/>
      <c r="AK1160" s="320"/>
      <c r="AL1160" s="320"/>
      <c r="AM1160" s="320"/>
      <c r="AN1160" s="320"/>
      <c r="AO1160" s="320"/>
      <c r="AP1160" s="320"/>
      <c r="AQ1160" s="320"/>
      <c r="AR1160" s="320"/>
      <c r="AS1160" s="320"/>
      <c r="AT1160" s="320"/>
      <c r="AU1160" s="320"/>
      <c r="AV1160" s="320"/>
      <c r="AW1160" s="320"/>
      <c r="AX1160" s="320"/>
      <c r="AY1160" s="952"/>
      <c r="AZ1160" s="36"/>
      <c r="BA1160" s="36"/>
      <c r="BB1160" s="36"/>
      <c r="BC1160" s="36"/>
      <c r="BD1160" s="36"/>
      <c r="BF1160">
        <f>ROWS($U$46:U1160)</f>
        <v>1115</v>
      </c>
      <c r="BG1160" t="str">
        <f t="shared" si="222"/>
        <v/>
      </c>
    </row>
    <row r="1161" spans="15:59" x14ac:dyDescent="0.35">
      <c r="O1161" s="330">
        <v>2</v>
      </c>
      <c r="P1161" s="36">
        <v>647435</v>
      </c>
      <c r="Q1161" s="36">
        <v>23</v>
      </c>
      <c r="R1161" s="36"/>
      <c r="S1161" s="36" t="s">
        <v>1198</v>
      </c>
      <c r="T1161" s="36" t="s">
        <v>1321</v>
      </c>
      <c r="U1161" s="36">
        <v>1029802</v>
      </c>
      <c r="V1161" s="165" t="s">
        <v>88</v>
      </c>
      <c r="W1161" s="36">
        <v>3</v>
      </c>
      <c r="X1161" s="36">
        <v>3</v>
      </c>
      <c r="Y1161" s="36">
        <v>3</v>
      </c>
      <c r="Z1161" s="36">
        <v>3</v>
      </c>
      <c r="AA1161" s="36">
        <v>4</v>
      </c>
      <c r="AB1161" s="36"/>
      <c r="AC1161" s="36"/>
      <c r="AD1161" s="36"/>
      <c r="AE1161" s="36"/>
      <c r="AF1161" s="36">
        <v>2</v>
      </c>
      <c r="AG1161" s="36">
        <v>2</v>
      </c>
      <c r="AH1161" s="36">
        <v>2</v>
      </c>
      <c r="AI1161" s="36">
        <v>2</v>
      </c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  <c r="AV1161" s="36"/>
      <c r="AW1161" s="36"/>
      <c r="AX1161" s="36"/>
      <c r="AY1161" s="953"/>
      <c r="AZ1161" s="36"/>
      <c r="BA1161" s="36"/>
      <c r="BB1161" s="36"/>
      <c r="BC1161" s="36"/>
      <c r="BD1161" s="36"/>
      <c r="BF1161">
        <f>ROWS($U$46:U1161)</f>
        <v>1116</v>
      </c>
      <c r="BG1161" t="str">
        <f t="shared" si="222"/>
        <v/>
      </c>
    </row>
    <row r="1162" spans="15:59" x14ac:dyDescent="0.35">
      <c r="O1162" s="330">
        <v>3</v>
      </c>
      <c r="P1162" s="36">
        <v>933120</v>
      </c>
      <c r="Q1162" s="36">
        <v>13</v>
      </c>
      <c r="R1162" s="36"/>
      <c r="S1162" s="36" t="s">
        <v>1198</v>
      </c>
      <c r="T1162" s="36" t="s">
        <v>1321</v>
      </c>
      <c r="U1162" s="36">
        <v>1029802</v>
      </c>
      <c r="V1162" s="165" t="s">
        <v>89</v>
      </c>
      <c r="W1162" s="36">
        <v>1</v>
      </c>
      <c r="X1162" s="36">
        <v>1</v>
      </c>
      <c r="Y1162" s="36">
        <v>1</v>
      </c>
      <c r="Z1162" s="36">
        <v>1</v>
      </c>
      <c r="AA1162" s="36">
        <v>1</v>
      </c>
      <c r="AB1162" s="36">
        <v>1</v>
      </c>
      <c r="AC1162" s="36">
        <v>4</v>
      </c>
      <c r="AD1162" s="36"/>
      <c r="AE1162" s="36"/>
      <c r="AF1162" s="36">
        <v>2</v>
      </c>
      <c r="AG1162" s="36">
        <v>2</v>
      </c>
      <c r="AH1162" s="36">
        <v>2</v>
      </c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  <c r="AV1162" s="36"/>
      <c r="AW1162" s="36"/>
      <c r="AX1162" s="36"/>
      <c r="AY1162" s="953"/>
      <c r="AZ1162" s="36"/>
      <c r="BA1162" s="36"/>
      <c r="BB1162" s="36"/>
      <c r="BC1162" s="36"/>
      <c r="BD1162" s="36"/>
      <c r="BF1162">
        <f>ROWS($U$46:U1162)</f>
        <v>1117</v>
      </c>
      <c r="BG1162" t="str">
        <f t="shared" si="222"/>
        <v/>
      </c>
    </row>
    <row r="1163" spans="15:59" x14ac:dyDescent="0.35">
      <c r="O1163" s="330">
        <v>4</v>
      </c>
      <c r="P1163" s="36">
        <v>418525</v>
      </c>
      <c r="Q1163" s="36">
        <v>6</v>
      </c>
      <c r="R1163" s="36"/>
      <c r="S1163" s="36" t="s">
        <v>1198</v>
      </c>
      <c r="T1163" s="36" t="s">
        <v>1321</v>
      </c>
      <c r="U1163" s="36">
        <v>1029802</v>
      </c>
      <c r="V1163" s="165" t="s">
        <v>90</v>
      </c>
      <c r="W1163" s="36">
        <v>3</v>
      </c>
      <c r="X1163" s="36">
        <v>3</v>
      </c>
      <c r="Y1163" s="36">
        <v>3</v>
      </c>
      <c r="Z1163" s="36">
        <v>3</v>
      </c>
      <c r="AA1163" s="36">
        <v>3</v>
      </c>
      <c r="AB1163" s="36">
        <v>4</v>
      </c>
      <c r="AC1163" s="36"/>
      <c r="AD1163" s="36"/>
      <c r="AE1163" s="36"/>
      <c r="AF1163" s="36">
        <v>2</v>
      </c>
      <c r="AG1163" s="36">
        <v>2</v>
      </c>
      <c r="AH1163" s="36">
        <v>2</v>
      </c>
      <c r="AI1163" s="36">
        <v>2</v>
      </c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  <c r="AV1163" s="36"/>
      <c r="AW1163" s="36"/>
      <c r="AX1163" s="36"/>
      <c r="AY1163" s="953"/>
      <c r="AZ1163" s="36"/>
      <c r="BA1163" s="36"/>
      <c r="BB1163" s="36"/>
      <c r="BC1163" s="36"/>
      <c r="BD1163" s="36"/>
      <c r="BF1163">
        <f>ROWS($U$46:U1163)</f>
        <v>1118</v>
      </c>
      <c r="BG1163" t="str">
        <f t="shared" si="222"/>
        <v/>
      </c>
    </row>
    <row r="1164" spans="15:59" x14ac:dyDescent="0.35">
      <c r="O1164" s="330"/>
      <c r="P1164" s="36"/>
      <c r="Q1164" s="36"/>
      <c r="R1164" s="36"/>
      <c r="S1164" s="36" t="s">
        <v>1198</v>
      </c>
      <c r="T1164" s="36" t="s">
        <v>1321</v>
      </c>
      <c r="U1164" s="36">
        <v>1029802</v>
      </c>
      <c r="V1164" s="165" t="s">
        <v>91</v>
      </c>
      <c r="W1164" s="36">
        <v>1</v>
      </c>
      <c r="X1164" s="36">
        <v>1</v>
      </c>
      <c r="Y1164" s="36">
        <v>1</v>
      </c>
      <c r="Z1164" s="36">
        <v>1</v>
      </c>
      <c r="AA1164" s="36">
        <v>1</v>
      </c>
      <c r="AB1164" s="36">
        <v>1</v>
      </c>
      <c r="AC1164" s="36">
        <v>1</v>
      </c>
      <c r="AD1164" s="36">
        <v>4</v>
      </c>
      <c r="AE1164" s="36"/>
      <c r="AF1164" s="36">
        <v>2</v>
      </c>
      <c r="AG1164" s="36">
        <v>2</v>
      </c>
      <c r="AH1164" s="36">
        <v>2</v>
      </c>
      <c r="AI1164" s="36">
        <v>2</v>
      </c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  <c r="AV1164" s="36"/>
      <c r="AW1164" s="36"/>
      <c r="AX1164" s="36"/>
      <c r="AY1164" s="953"/>
      <c r="AZ1164" s="36"/>
      <c r="BA1164" s="36"/>
      <c r="BB1164" s="36"/>
      <c r="BC1164" s="36"/>
      <c r="BD1164" s="36"/>
      <c r="BF1164">
        <f>ROWS($U$46:U1164)</f>
        <v>1119</v>
      </c>
      <c r="BG1164" t="str">
        <f t="shared" si="222"/>
        <v/>
      </c>
    </row>
    <row r="1165" spans="15:59" ht="15" thickBot="1" x14ac:dyDescent="0.4">
      <c r="O1165" s="331"/>
      <c r="P1165" s="328"/>
      <c r="Q1165" s="328"/>
      <c r="R1165" s="328"/>
      <c r="S1165" s="328" t="s">
        <v>1198</v>
      </c>
      <c r="T1165" s="328" t="s">
        <v>1321</v>
      </c>
      <c r="U1165" s="328">
        <v>1029802</v>
      </c>
      <c r="V1165" s="327" t="s">
        <v>92</v>
      </c>
      <c r="W1165" s="328">
        <v>3</v>
      </c>
      <c r="X1165" s="328">
        <v>3</v>
      </c>
      <c r="Y1165" s="328">
        <v>3</v>
      </c>
      <c r="Z1165" s="328">
        <v>3</v>
      </c>
      <c r="AA1165" s="328">
        <v>4</v>
      </c>
      <c r="AB1165" s="328"/>
      <c r="AC1165" s="328"/>
      <c r="AD1165" s="328"/>
      <c r="AE1165" s="328"/>
      <c r="AF1165" s="328">
        <v>2</v>
      </c>
      <c r="AG1165" s="328">
        <v>2</v>
      </c>
      <c r="AH1165" s="328">
        <v>2</v>
      </c>
      <c r="AI1165" s="328">
        <v>2</v>
      </c>
      <c r="AJ1165" s="328"/>
      <c r="AK1165" s="328"/>
      <c r="AL1165" s="328"/>
      <c r="AM1165" s="328"/>
      <c r="AN1165" s="328"/>
      <c r="AO1165" s="328"/>
      <c r="AP1165" s="328"/>
      <c r="AQ1165" s="328"/>
      <c r="AR1165" s="328"/>
      <c r="AS1165" s="328"/>
      <c r="AT1165" s="328"/>
      <c r="AU1165" s="328"/>
      <c r="AV1165" s="328"/>
      <c r="AW1165" s="328"/>
      <c r="AX1165" s="328"/>
      <c r="AY1165" s="954"/>
      <c r="AZ1165" s="36"/>
      <c r="BA1165" s="36"/>
      <c r="BB1165" s="36"/>
      <c r="BC1165" s="36"/>
      <c r="BD1165" s="36"/>
      <c r="BF1165">
        <f>ROWS($U$46:U1165)</f>
        <v>1120</v>
      </c>
      <c r="BG1165" t="str">
        <f t="shared" si="222"/>
        <v/>
      </c>
    </row>
    <row r="1166" spans="15:59" x14ac:dyDescent="0.35">
      <c r="O1166" s="329">
        <v>1</v>
      </c>
      <c r="P1166" s="320">
        <v>1130223</v>
      </c>
      <c r="Q1166" s="320">
        <v>71</v>
      </c>
      <c r="R1166" s="320"/>
      <c r="S1166" s="320" t="s">
        <v>1126</v>
      </c>
      <c r="T1166" s="320" t="s">
        <v>1856</v>
      </c>
      <c r="U1166" s="320">
        <v>836417</v>
      </c>
      <c r="V1166" s="319" t="s">
        <v>87</v>
      </c>
      <c r="W1166" s="320">
        <v>2</v>
      </c>
      <c r="X1166" s="320">
        <v>2</v>
      </c>
      <c r="Y1166" s="320">
        <v>2</v>
      </c>
      <c r="Z1166" s="320">
        <v>2</v>
      </c>
      <c r="AA1166" s="320">
        <v>1</v>
      </c>
      <c r="AB1166" s="320">
        <v>1</v>
      </c>
      <c r="AC1166" s="320">
        <v>1</v>
      </c>
      <c r="AD1166" s="320">
        <v>1</v>
      </c>
      <c r="AE1166" s="320">
        <v>1</v>
      </c>
      <c r="AF1166" s="320">
        <v>1</v>
      </c>
      <c r="AG1166" s="320">
        <v>1</v>
      </c>
      <c r="AH1166" s="320">
        <v>2</v>
      </c>
      <c r="AI1166" s="320">
        <v>2</v>
      </c>
      <c r="AJ1166" s="320">
        <v>4</v>
      </c>
      <c r="AK1166" s="320">
        <v>4</v>
      </c>
      <c r="AL1166" s="320"/>
      <c r="AM1166" s="320">
        <v>3</v>
      </c>
      <c r="AN1166" s="320">
        <v>1</v>
      </c>
      <c r="AO1166" s="320">
        <v>1</v>
      </c>
      <c r="AP1166" s="320">
        <v>1</v>
      </c>
      <c r="AQ1166" s="320">
        <v>1</v>
      </c>
      <c r="AR1166" s="320">
        <v>1</v>
      </c>
      <c r="AS1166" s="320">
        <v>2</v>
      </c>
      <c r="AT1166" s="320">
        <v>2</v>
      </c>
      <c r="AU1166" s="320"/>
      <c r="AV1166" s="320"/>
      <c r="AW1166" s="320"/>
      <c r="AX1166" s="320"/>
      <c r="AY1166" s="952"/>
      <c r="AZ1166" s="36"/>
      <c r="BA1166" s="36"/>
      <c r="BB1166" s="36"/>
      <c r="BC1166" s="36"/>
      <c r="BD1166" s="36"/>
      <c r="BF1166">
        <f>ROWS($U$46:U1166)</f>
        <v>1121</v>
      </c>
      <c r="BG1166" t="str">
        <f t="shared" si="222"/>
        <v/>
      </c>
    </row>
    <row r="1167" spans="15:59" x14ac:dyDescent="0.35">
      <c r="O1167" s="330">
        <v>2</v>
      </c>
      <c r="P1167" s="36">
        <v>1130221</v>
      </c>
      <c r="Q1167" s="36">
        <v>35</v>
      </c>
      <c r="R1167" s="36"/>
      <c r="S1167" s="36" t="s">
        <v>1126</v>
      </c>
      <c r="T1167" s="36" t="s">
        <v>1856</v>
      </c>
      <c r="U1167" s="36">
        <v>836417</v>
      </c>
      <c r="V1167" s="165" t="s">
        <v>88</v>
      </c>
      <c r="W1167" s="36">
        <v>1</v>
      </c>
      <c r="X1167" s="36">
        <v>1</v>
      </c>
      <c r="Y1167" s="36">
        <v>1</v>
      </c>
      <c r="Z1167" s="36">
        <v>1</v>
      </c>
      <c r="AA1167" s="36">
        <v>1</v>
      </c>
      <c r="AB1167" s="36">
        <v>1</v>
      </c>
      <c r="AC1167" s="36">
        <v>1</v>
      </c>
      <c r="AD1167" s="36">
        <v>2</v>
      </c>
      <c r="AE1167" s="36">
        <v>2</v>
      </c>
      <c r="AF1167" s="36">
        <v>4</v>
      </c>
      <c r="AG1167" s="36">
        <v>4</v>
      </c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  <c r="AV1167" s="36"/>
      <c r="AW1167" s="36"/>
      <c r="AX1167" s="36"/>
      <c r="AY1167" s="953"/>
      <c r="AZ1167" s="36"/>
      <c r="BA1167" s="36"/>
      <c r="BB1167" s="36"/>
      <c r="BC1167" s="36"/>
      <c r="BD1167" s="36"/>
      <c r="BF1167">
        <f>ROWS($U$46:U1167)</f>
        <v>1122</v>
      </c>
      <c r="BG1167" t="str">
        <f t="shared" si="222"/>
        <v/>
      </c>
    </row>
    <row r="1168" spans="15:59" x14ac:dyDescent="0.35">
      <c r="O1168" s="330">
        <v>3</v>
      </c>
      <c r="P1168" s="36">
        <v>621152</v>
      </c>
      <c r="Q1168" s="36">
        <v>3</v>
      </c>
      <c r="R1168" s="36"/>
      <c r="S1168" s="36" t="s">
        <v>1126</v>
      </c>
      <c r="T1168" s="36" t="s">
        <v>1856</v>
      </c>
      <c r="U1168" s="36">
        <v>836417</v>
      </c>
      <c r="V1168" s="165" t="s">
        <v>89</v>
      </c>
      <c r="W1168" s="36">
        <v>1</v>
      </c>
      <c r="X1168" s="36">
        <v>1</v>
      </c>
      <c r="Y1168" s="36">
        <v>1</v>
      </c>
      <c r="Z1168" s="36">
        <v>1</v>
      </c>
      <c r="AA1168" s="36">
        <v>1</v>
      </c>
      <c r="AB1168" s="36">
        <v>1</v>
      </c>
      <c r="AC1168" s="36">
        <v>2</v>
      </c>
      <c r="AD1168" s="36">
        <v>2</v>
      </c>
      <c r="AE1168" s="36">
        <v>4</v>
      </c>
      <c r="AF1168" s="36">
        <v>4</v>
      </c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  <c r="AV1168" s="36"/>
      <c r="AW1168" s="36"/>
      <c r="AX1168" s="36"/>
      <c r="AY1168" s="953"/>
      <c r="AZ1168" s="36"/>
      <c r="BA1168" s="36"/>
      <c r="BB1168" s="36"/>
      <c r="BC1168" s="36"/>
      <c r="BD1168" s="36"/>
      <c r="BF1168">
        <f>ROWS($U$46:U1168)</f>
        <v>1123</v>
      </c>
      <c r="BG1168" t="str">
        <f t="shared" si="222"/>
        <v/>
      </c>
    </row>
    <row r="1169" spans="15:59" x14ac:dyDescent="0.35">
      <c r="O1169" s="330">
        <v>4</v>
      </c>
      <c r="P1169" s="36">
        <v>418525</v>
      </c>
      <c r="Q1169" s="36">
        <v>18</v>
      </c>
      <c r="R1169" s="36"/>
      <c r="S1169" s="36" t="s">
        <v>1126</v>
      </c>
      <c r="T1169" s="36" t="s">
        <v>1856</v>
      </c>
      <c r="U1169" s="36">
        <v>836417</v>
      </c>
      <c r="V1169" s="165" t="s">
        <v>90</v>
      </c>
      <c r="W1169" s="36">
        <v>2</v>
      </c>
      <c r="X1169" s="36">
        <v>2</v>
      </c>
      <c r="Y1169" s="36">
        <v>2</v>
      </c>
      <c r="Z1169" s="36">
        <v>1</v>
      </c>
      <c r="AA1169" s="36">
        <v>1</v>
      </c>
      <c r="AB1169" s="36">
        <v>1</v>
      </c>
      <c r="AC1169" s="36">
        <v>1</v>
      </c>
      <c r="AD1169" s="36">
        <v>1</v>
      </c>
      <c r="AE1169" s="36">
        <v>1</v>
      </c>
      <c r="AF1169" s="36">
        <v>1</v>
      </c>
      <c r="AG1169" s="36">
        <v>2</v>
      </c>
      <c r="AH1169" s="36">
        <v>2</v>
      </c>
      <c r="AI1169" s="36">
        <v>4</v>
      </c>
      <c r="AJ1169" s="36">
        <v>4</v>
      </c>
      <c r="AK1169" s="36"/>
      <c r="AL1169" s="36"/>
      <c r="AM1169" s="36">
        <v>3</v>
      </c>
      <c r="AN1169" s="36">
        <v>1</v>
      </c>
      <c r="AO1169" s="36">
        <v>1</v>
      </c>
      <c r="AP1169" s="36">
        <v>1</v>
      </c>
      <c r="AQ1169" s="36">
        <v>1</v>
      </c>
      <c r="AR1169" s="36">
        <v>1</v>
      </c>
      <c r="AS1169" s="36">
        <v>2</v>
      </c>
      <c r="AT1169" s="36">
        <v>2</v>
      </c>
      <c r="AU1169" s="36"/>
      <c r="AV1169" s="36"/>
      <c r="AW1169" s="36"/>
      <c r="AX1169" s="36"/>
      <c r="AY1169" s="953"/>
      <c r="AZ1169" s="36"/>
      <c r="BA1169" s="36"/>
      <c r="BB1169" s="36"/>
      <c r="BC1169" s="36"/>
      <c r="BD1169" s="36"/>
      <c r="BF1169">
        <f>ROWS($U$46:U1169)</f>
        <v>1124</v>
      </c>
      <c r="BG1169" t="str">
        <f t="shared" si="222"/>
        <v/>
      </c>
    </row>
    <row r="1170" spans="15:59" x14ac:dyDescent="0.35">
      <c r="O1170" s="330"/>
      <c r="P1170" s="36"/>
      <c r="Q1170" s="36"/>
      <c r="R1170" s="36"/>
      <c r="S1170" s="36" t="s">
        <v>1126</v>
      </c>
      <c r="T1170" s="36" t="s">
        <v>1856</v>
      </c>
      <c r="U1170" s="36">
        <v>836417</v>
      </c>
      <c r="V1170" s="165" t="s">
        <v>91</v>
      </c>
      <c r="W1170" s="36">
        <v>1</v>
      </c>
      <c r="X1170" s="36">
        <v>1</v>
      </c>
      <c r="Y1170" s="36">
        <v>1</v>
      </c>
      <c r="Z1170" s="36">
        <v>1</v>
      </c>
      <c r="AA1170" s="36">
        <v>1</v>
      </c>
      <c r="AB1170" s="36">
        <v>1</v>
      </c>
      <c r="AC1170" s="36">
        <v>2</v>
      </c>
      <c r="AD1170" s="36">
        <v>2</v>
      </c>
      <c r="AE1170" s="36">
        <v>4</v>
      </c>
      <c r="AF1170" s="36">
        <v>4</v>
      </c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  <c r="AV1170" s="36"/>
      <c r="AW1170" s="36"/>
      <c r="AX1170" s="36"/>
      <c r="AY1170" s="953"/>
      <c r="AZ1170" s="36"/>
      <c r="BA1170" s="36"/>
      <c r="BB1170" s="36"/>
      <c r="BC1170" s="36"/>
      <c r="BD1170" s="36"/>
      <c r="BF1170">
        <f>ROWS($U$46:U1170)</f>
        <v>1125</v>
      </c>
      <c r="BG1170" t="str">
        <f t="shared" si="222"/>
        <v/>
      </c>
    </row>
    <row r="1171" spans="15:59" x14ac:dyDescent="0.35">
      <c r="O1171" s="330"/>
      <c r="P1171" s="36"/>
      <c r="Q1171" s="36"/>
      <c r="R1171" s="36"/>
      <c r="S1171" s="36" t="s">
        <v>1126</v>
      </c>
      <c r="T1171" s="36" t="s">
        <v>1856</v>
      </c>
      <c r="U1171" s="36">
        <v>836417</v>
      </c>
      <c r="V1171" s="165" t="s">
        <v>92</v>
      </c>
      <c r="W1171" s="36">
        <v>1</v>
      </c>
      <c r="X1171" s="36">
        <v>1</v>
      </c>
      <c r="Y1171" s="36">
        <v>1</v>
      </c>
      <c r="Z1171" s="36">
        <v>1</v>
      </c>
      <c r="AA1171" s="36">
        <v>1</v>
      </c>
      <c r="AB1171" s="36">
        <v>2</v>
      </c>
      <c r="AC1171" s="36">
        <v>2</v>
      </c>
      <c r="AD1171" s="36">
        <v>4</v>
      </c>
      <c r="AE1171" s="36">
        <v>4</v>
      </c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  <c r="AV1171" s="36"/>
      <c r="AW1171" s="36"/>
      <c r="AX1171" s="36"/>
      <c r="AY1171" s="953"/>
      <c r="AZ1171" s="36"/>
      <c r="BA1171" s="36"/>
      <c r="BB1171" s="36"/>
      <c r="BC1171" s="36"/>
      <c r="BD1171" s="36"/>
      <c r="BF1171">
        <f>ROWS($U$46:U1171)</f>
        <v>1126</v>
      </c>
      <c r="BG1171" t="str">
        <f t="shared" si="222"/>
        <v/>
      </c>
    </row>
    <row r="1172" spans="15:59" x14ac:dyDescent="0.35">
      <c r="O1172" s="330"/>
      <c r="P1172" s="36"/>
      <c r="Q1172" s="36"/>
      <c r="R1172" s="36"/>
      <c r="S1172" s="36" t="s">
        <v>1126</v>
      </c>
      <c r="T1172" s="36" t="s">
        <v>1856</v>
      </c>
      <c r="U1172" s="36">
        <v>836417</v>
      </c>
      <c r="V1172" s="165" t="s">
        <v>111</v>
      </c>
      <c r="W1172" s="36">
        <v>2</v>
      </c>
      <c r="X1172" s="36">
        <v>2</v>
      </c>
      <c r="Y1172" s="36">
        <v>2</v>
      </c>
      <c r="Z1172" s="36">
        <v>2</v>
      </c>
      <c r="AA1172" s="36">
        <v>1</v>
      </c>
      <c r="AB1172" s="36">
        <v>1</v>
      </c>
      <c r="AC1172" s="36">
        <v>1</v>
      </c>
      <c r="AD1172" s="36">
        <v>1</v>
      </c>
      <c r="AE1172" s="36">
        <v>1</v>
      </c>
      <c r="AF1172" s="36">
        <v>1</v>
      </c>
      <c r="AG1172" s="36">
        <v>2</v>
      </c>
      <c r="AH1172" s="36">
        <v>2</v>
      </c>
      <c r="AI1172" s="36">
        <v>4</v>
      </c>
      <c r="AJ1172" s="36">
        <v>4</v>
      </c>
      <c r="AK1172" s="36"/>
      <c r="AL1172" s="36"/>
      <c r="AM1172" s="36">
        <v>3</v>
      </c>
      <c r="AN1172" s="36">
        <v>1</v>
      </c>
      <c r="AO1172" s="36">
        <v>1</v>
      </c>
      <c r="AP1172" s="36">
        <v>1</v>
      </c>
      <c r="AQ1172" s="36">
        <v>1</v>
      </c>
      <c r="AR1172" s="36">
        <v>1</v>
      </c>
      <c r="AS1172" s="36">
        <v>2</v>
      </c>
      <c r="AT1172" s="36">
        <v>2</v>
      </c>
      <c r="AU1172" s="36"/>
      <c r="AV1172" s="36"/>
      <c r="AW1172" s="36"/>
      <c r="AX1172" s="36"/>
      <c r="AY1172" s="953"/>
      <c r="AZ1172" s="36"/>
      <c r="BA1172" s="36"/>
      <c r="BB1172" s="36"/>
      <c r="BC1172" s="36"/>
      <c r="BD1172" s="36"/>
      <c r="BF1172">
        <f>ROWS($U$46:U1172)</f>
        <v>1127</v>
      </c>
      <c r="BG1172" t="str">
        <f t="shared" si="222"/>
        <v/>
      </c>
    </row>
    <row r="1173" spans="15:59" x14ac:dyDescent="0.35">
      <c r="O1173" s="330"/>
      <c r="P1173" s="36"/>
      <c r="Q1173" s="36"/>
      <c r="R1173" s="36"/>
      <c r="S1173" s="36" t="s">
        <v>1126</v>
      </c>
      <c r="T1173" s="36" t="s">
        <v>1856</v>
      </c>
      <c r="U1173" s="36">
        <v>836417</v>
      </c>
      <c r="V1173" s="165" t="s">
        <v>112</v>
      </c>
      <c r="W1173" s="36">
        <v>1</v>
      </c>
      <c r="X1173" s="36">
        <v>1</v>
      </c>
      <c r="Y1173" s="36">
        <v>1</v>
      </c>
      <c r="Z1173" s="36">
        <v>1</v>
      </c>
      <c r="AA1173" s="36">
        <v>1</v>
      </c>
      <c r="AB1173" s="36">
        <v>1</v>
      </c>
      <c r="AC1173" s="36">
        <v>2</v>
      </c>
      <c r="AD1173" s="36">
        <v>2</v>
      </c>
      <c r="AE1173" s="36">
        <v>4</v>
      </c>
      <c r="AF1173" s="36">
        <v>4</v>
      </c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  <c r="AV1173" s="36"/>
      <c r="AW1173" s="36"/>
      <c r="AX1173" s="36"/>
      <c r="AY1173" s="953"/>
      <c r="AZ1173" s="36"/>
      <c r="BA1173" s="36"/>
      <c r="BB1173" s="36"/>
      <c r="BC1173" s="36"/>
      <c r="BD1173" s="36"/>
      <c r="BF1173">
        <f>ROWS($U$46:U1173)</f>
        <v>1128</v>
      </c>
      <c r="BG1173" t="str">
        <f t="shared" si="222"/>
        <v/>
      </c>
    </row>
    <row r="1174" spans="15:59" ht="15" thickBot="1" x14ac:dyDescent="0.4">
      <c r="O1174" s="331"/>
      <c r="P1174" s="328"/>
      <c r="Q1174" s="328"/>
      <c r="R1174" s="328"/>
      <c r="S1174" s="328" t="s">
        <v>1126</v>
      </c>
      <c r="T1174" s="328" t="s">
        <v>1856</v>
      </c>
      <c r="U1174" s="328">
        <v>836417</v>
      </c>
      <c r="V1174" s="327" t="s">
        <v>113</v>
      </c>
      <c r="W1174" s="328">
        <v>1</v>
      </c>
      <c r="X1174" s="328">
        <v>1</v>
      </c>
      <c r="Y1174" s="328">
        <v>1</v>
      </c>
      <c r="Z1174" s="328">
        <v>1</v>
      </c>
      <c r="AA1174" s="328">
        <v>1</v>
      </c>
      <c r="AB1174" s="328">
        <v>1</v>
      </c>
      <c r="AC1174" s="328">
        <v>2</v>
      </c>
      <c r="AD1174" s="328">
        <v>2</v>
      </c>
      <c r="AE1174" s="328">
        <v>4</v>
      </c>
      <c r="AF1174" s="328">
        <v>4</v>
      </c>
      <c r="AG1174" s="328"/>
      <c r="AH1174" s="328"/>
      <c r="AI1174" s="328"/>
      <c r="AJ1174" s="328"/>
      <c r="AK1174" s="328"/>
      <c r="AL1174" s="328"/>
      <c r="AM1174" s="328"/>
      <c r="AN1174" s="328"/>
      <c r="AO1174" s="328"/>
      <c r="AP1174" s="328"/>
      <c r="AQ1174" s="328"/>
      <c r="AR1174" s="328"/>
      <c r="AS1174" s="328"/>
      <c r="AT1174" s="328"/>
      <c r="AU1174" s="328"/>
      <c r="AV1174" s="328"/>
      <c r="AW1174" s="328"/>
      <c r="AX1174" s="328"/>
      <c r="AY1174" s="954"/>
      <c r="AZ1174" s="36"/>
      <c r="BA1174" s="36"/>
      <c r="BB1174" s="36"/>
      <c r="BC1174" s="36"/>
      <c r="BD1174" s="36"/>
      <c r="BF1174">
        <f>ROWS($U$46:U1174)</f>
        <v>1129</v>
      </c>
      <c r="BG1174" t="str">
        <f t="shared" si="222"/>
        <v/>
      </c>
    </row>
    <row r="1175" spans="15:59" x14ac:dyDescent="0.35">
      <c r="O1175" s="329">
        <v>1</v>
      </c>
      <c r="P1175" s="320">
        <v>738227</v>
      </c>
      <c r="Q1175" s="320">
        <v>5</v>
      </c>
      <c r="R1175" s="320"/>
      <c r="S1175" s="552" t="s">
        <v>1179</v>
      </c>
      <c r="T1175" s="320" t="s">
        <v>1858</v>
      </c>
      <c r="U1175" s="320">
        <v>1103307</v>
      </c>
      <c r="V1175" s="319" t="s">
        <v>87</v>
      </c>
      <c r="W1175" s="320">
        <v>1</v>
      </c>
      <c r="X1175" s="320">
        <v>1</v>
      </c>
      <c r="Y1175" s="320">
        <v>2</v>
      </c>
      <c r="Z1175" s="320">
        <v>2</v>
      </c>
      <c r="AA1175" s="320">
        <v>2</v>
      </c>
      <c r="AB1175" s="320">
        <v>3</v>
      </c>
      <c r="AC1175" s="320">
        <v>4</v>
      </c>
      <c r="AD1175" s="901"/>
      <c r="AE1175" s="320"/>
      <c r="AF1175" s="320">
        <v>5</v>
      </c>
      <c r="AG1175" s="320"/>
      <c r="AH1175" s="320"/>
      <c r="AI1175" s="320"/>
      <c r="AJ1175" s="320"/>
      <c r="AK1175" s="320"/>
      <c r="AL1175" s="320"/>
      <c r="AM1175" s="320"/>
      <c r="AN1175" s="320"/>
      <c r="AO1175" s="320"/>
      <c r="AP1175" s="320"/>
      <c r="AQ1175" s="320"/>
      <c r="AR1175" s="320"/>
      <c r="AS1175" s="320"/>
      <c r="AT1175" s="320"/>
      <c r="AU1175" s="320"/>
      <c r="AV1175" s="320"/>
      <c r="AW1175" s="320"/>
      <c r="AX1175" s="320"/>
      <c r="AY1175" s="952"/>
      <c r="AZ1175" s="36"/>
      <c r="BA1175" s="36"/>
      <c r="BB1175" s="36"/>
      <c r="BC1175" s="36"/>
      <c r="BD1175" s="36"/>
      <c r="BF1175">
        <f>ROWS($U$46:U1175)</f>
        <v>1130</v>
      </c>
      <c r="BG1175" t="str">
        <f t="shared" si="222"/>
        <v/>
      </c>
    </row>
    <row r="1176" spans="15:59" x14ac:dyDescent="0.35">
      <c r="O1176" s="330">
        <v>2</v>
      </c>
      <c r="P1176" s="36">
        <v>738228</v>
      </c>
      <c r="Q1176" s="36">
        <v>21</v>
      </c>
      <c r="R1176" s="36"/>
      <c r="S1176" s="553" t="s">
        <v>1179</v>
      </c>
      <c r="T1176" s="36" t="s">
        <v>1858</v>
      </c>
      <c r="U1176" s="36">
        <v>1103307</v>
      </c>
      <c r="V1176" s="165" t="s">
        <v>88</v>
      </c>
      <c r="W1176" s="36">
        <v>2</v>
      </c>
      <c r="X1176" s="36">
        <v>2</v>
      </c>
      <c r="Y1176" s="36">
        <v>2</v>
      </c>
      <c r="Z1176" s="36">
        <v>3</v>
      </c>
      <c r="AA1176" s="36">
        <v>4</v>
      </c>
      <c r="AB1176" s="70"/>
      <c r="AC1176" s="36"/>
      <c r="AD1176" s="36"/>
      <c r="AE1176" s="36"/>
      <c r="AF1176" s="36">
        <v>5</v>
      </c>
      <c r="AG1176" s="36">
        <v>5</v>
      </c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  <c r="AV1176" s="36"/>
      <c r="AW1176" s="36"/>
      <c r="AX1176" s="36"/>
      <c r="AY1176" s="953"/>
      <c r="AZ1176" s="36"/>
      <c r="BA1176" s="36"/>
      <c r="BB1176" s="36"/>
      <c r="BC1176" s="36"/>
      <c r="BD1176" s="36"/>
      <c r="BF1176">
        <f>ROWS($U$46:U1176)</f>
        <v>1131</v>
      </c>
      <c r="BG1176" t="str">
        <f t="shared" si="222"/>
        <v/>
      </c>
    </row>
    <row r="1177" spans="15:59" x14ac:dyDescent="0.35">
      <c r="O1177" s="330">
        <v>3</v>
      </c>
      <c r="P1177" s="36">
        <v>661066</v>
      </c>
      <c r="Q1177" s="36">
        <v>6</v>
      </c>
      <c r="R1177" s="36"/>
      <c r="S1177" s="553" t="s">
        <v>1179</v>
      </c>
      <c r="T1177" s="36" t="s">
        <v>1858</v>
      </c>
      <c r="U1177" s="36">
        <v>1103307</v>
      </c>
      <c r="V1177" s="165" t="s">
        <v>89</v>
      </c>
      <c r="W1177" s="36">
        <v>1</v>
      </c>
      <c r="X1177" s="36">
        <v>2</v>
      </c>
      <c r="Y1177" s="36">
        <v>2</v>
      </c>
      <c r="Z1177" s="36">
        <v>2</v>
      </c>
      <c r="AA1177" s="36">
        <v>3</v>
      </c>
      <c r="AB1177" s="36">
        <v>4</v>
      </c>
      <c r="AC1177" s="70"/>
      <c r="AD1177" s="36"/>
      <c r="AE1177" s="36"/>
      <c r="AF1177" s="36">
        <v>5</v>
      </c>
      <c r="AG1177" s="36">
        <v>5</v>
      </c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  <c r="AW1177" s="36"/>
      <c r="AX1177" s="36"/>
      <c r="AY1177" s="953"/>
      <c r="AZ1177" s="36"/>
      <c r="BA1177" s="36"/>
      <c r="BB1177" s="36"/>
      <c r="BC1177" s="36"/>
      <c r="BD1177" s="36"/>
      <c r="BF1177">
        <f>ROWS($U$46:U1177)</f>
        <v>1132</v>
      </c>
      <c r="BG1177" t="str">
        <f t="shared" si="222"/>
        <v/>
      </c>
    </row>
    <row r="1178" spans="15:59" x14ac:dyDescent="0.35">
      <c r="O1178" s="330">
        <v>4</v>
      </c>
      <c r="P1178" s="36">
        <v>661065</v>
      </c>
      <c r="Q1178" s="36">
        <v>7</v>
      </c>
      <c r="R1178" s="36"/>
      <c r="S1178" s="553" t="s">
        <v>1179</v>
      </c>
      <c r="T1178" s="36" t="s">
        <v>1858</v>
      </c>
      <c r="U1178" s="36">
        <v>1103307</v>
      </c>
      <c r="V1178" s="165" t="s">
        <v>90</v>
      </c>
      <c r="W1178" s="36">
        <v>2</v>
      </c>
      <c r="X1178" s="36">
        <v>2</v>
      </c>
      <c r="Y1178" s="36">
        <v>2</v>
      </c>
      <c r="Z1178" s="36">
        <v>3</v>
      </c>
      <c r="AA1178" s="36">
        <v>4</v>
      </c>
      <c r="AB1178" s="70"/>
      <c r="AC1178" s="36"/>
      <c r="AD1178" s="36"/>
      <c r="AE1178" s="36"/>
      <c r="AF1178" s="36">
        <v>5</v>
      </c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  <c r="AV1178" s="36"/>
      <c r="AW1178" s="36"/>
      <c r="AX1178" s="36"/>
      <c r="AY1178" s="953"/>
      <c r="AZ1178" s="36"/>
      <c r="BA1178" s="36"/>
      <c r="BB1178" s="36"/>
      <c r="BC1178" s="36"/>
      <c r="BD1178" s="36"/>
      <c r="BF1178">
        <f>ROWS($U$46:U1178)</f>
        <v>1133</v>
      </c>
      <c r="BG1178" t="str">
        <f t="shared" si="222"/>
        <v/>
      </c>
    </row>
    <row r="1179" spans="15:59" x14ac:dyDescent="0.35">
      <c r="O1179" s="330">
        <v>5</v>
      </c>
      <c r="P1179" s="36">
        <v>976360</v>
      </c>
      <c r="Q1179" s="36">
        <v>12</v>
      </c>
      <c r="R1179" s="36"/>
      <c r="S1179" s="553" t="s">
        <v>1179</v>
      </c>
      <c r="T1179" s="36" t="s">
        <v>1858</v>
      </c>
      <c r="U1179" s="36">
        <v>1103307</v>
      </c>
      <c r="V1179" s="165" t="s">
        <v>91</v>
      </c>
      <c r="W1179" s="36">
        <v>1</v>
      </c>
      <c r="X1179" s="36">
        <v>2</v>
      </c>
      <c r="Y1179" s="36">
        <v>2</v>
      </c>
      <c r="Z1179" s="36">
        <v>2</v>
      </c>
      <c r="AA1179" s="36">
        <v>3</v>
      </c>
      <c r="AB1179" s="36">
        <v>4</v>
      </c>
      <c r="AC1179" s="70"/>
      <c r="AD1179" s="36"/>
      <c r="AE1179" s="36"/>
      <c r="AF1179" s="36">
        <v>5</v>
      </c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  <c r="AV1179" s="36"/>
      <c r="AW1179" s="36"/>
      <c r="AX1179" s="36"/>
      <c r="AY1179" s="953"/>
      <c r="AZ1179" s="36"/>
      <c r="BA1179" s="36"/>
      <c r="BB1179" s="36"/>
      <c r="BC1179" s="36"/>
      <c r="BD1179" s="36"/>
      <c r="BF1179">
        <f>ROWS($U$46:U1179)</f>
        <v>1134</v>
      </c>
      <c r="BG1179" t="str">
        <f t="shared" si="222"/>
        <v/>
      </c>
    </row>
    <row r="1180" spans="15:59" x14ac:dyDescent="0.35">
      <c r="O1180" s="330">
        <v>6</v>
      </c>
      <c r="P1180" s="36">
        <v>418525</v>
      </c>
      <c r="Q1180" s="36">
        <v>4</v>
      </c>
      <c r="R1180" s="36"/>
      <c r="S1180" s="553" t="s">
        <v>1179</v>
      </c>
      <c r="T1180" s="36" t="s">
        <v>1858</v>
      </c>
      <c r="U1180" s="36">
        <v>1103307</v>
      </c>
      <c r="V1180" s="165" t="s">
        <v>92</v>
      </c>
      <c r="W1180" s="36">
        <v>2</v>
      </c>
      <c r="X1180" s="36">
        <v>2</v>
      </c>
      <c r="Y1180" s="36">
        <v>2</v>
      </c>
      <c r="Z1180" s="36">
        <v>4</v>
      </c>
      <c r="AA1180" s="70"/>
      <c r="AB1180" s="36"/>
      <c r="AC1180" s="36"/>
      <c r="AD1180" s="36"/>
      <c r="AE1180" s="36"/>
      <c r="AF1180" s="36">
        <v>5</v>
      </c>
      <c r="AG1180" s="36">
        <v>5</v>
      </c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  <c r="AV1180" s="36"/>
      <c r="AW1180" s="36"/>
      <c r="AX1180" s="36"/>
      <c r="AY1180" s="953"/>
      <c r="AZ1180" s="36"/>
      <c r="BA1180" s="36"/>
      <c r="BB1180" s="36"/>
      <c r="BC1180" s="36"/>
      <c r="BD1180" s="36"/>
      <c r="BF1180">
        <f>ROWS($U$46:U1180)</f>
        <v>1135</v>
      </c>
      <c r="BG1180" t="str">
        <f t="shared" si="222"/>
        <v/>
      </c>
    </row>
    <row r="1181" spans="15:59" ht="15" thickBot="1" x14ac:dyDescent="0.4">
      <c r="O1181" s="330">
        <v>7</v>
      </c>
      <c r="P1181" s="328">
        <v>871781</v>
      </c>
      <c r="Q1181" s="328">
        <v>3</v>
      </c>
      <c r="R1181" s="328"/>
      <c r="S1181" s="554" t="s">
        <v>1179</v>
      </c>
      <c r="T1181" s="328" t="s">
        <v>1858</v>
      </c>
      <c r="U1181" s="328">
        <v>1103307</v>
      </c>
      <c r="V1181" s="327" t="s">
        <v>111</v>
      </c>
      <c r="W1181" s="328">
        <v>1</v>
      </c>
      <c r="X1181" s="328">
        <v>2</v>
      </c>
      <c r="Y1181" s="328">
        <v>2</v>
      </c>
      <c r="Z1181" s="328">
        <v>2</v>
      </c>
      <c r="AA1181" s="328">
        <v>3</v>
      </c>
      <c r="AB1181" s="328">
        <v>4</v>
      </c>
      <c r="AC1181" s="902"/>
      <c r="AD1181" s="328"/>
      <c r="AE1181" s="328"/>
      <c r="AF1181" s="328">
        <v>5</v>
      </c>
      <c r="AG1181" s="328">
        <v>5</v>
      </c>
      <c r="AH1181" s="328"/>
      <c r="AI1181" s="328"/>
      <c r="AJ1181" s="328"/>
      <c r="AK1181" s="328"/>
      <c r="AL1181" s="328"/>
      <c r="AM1181" s="328"/>
      <c r="AN1181" s="328"/>
      <c r="AO1181" s="328"/>
      <c r="AP1181" s="328"/>
      <c r="AQ1181" s="328"/>
      <c r="AR1181" s="328"/>
      <c r="AS1181" s="328"/>
      <c r="AT1181" s="328"/>
      <c r="AU1181" s="328"/>
      <c r="AV1181" s="328"/>
      <c r="AW1181" s="328"/>
      <c r="AX1181" s="328"/>
      <c r="AY1181" s="954"/>
      <c r="AZ1181" s="36"/>
      <c r="BA1181" s="36"/>
      <c r="BB1181" s="36"/>
      <c r="BC1181" s="36"/>
      <c r="BD1181" s="36"/>
      <c r="BF1181">
        <f>ROWS($U$46:U1181)</f>
        <v>1136</v>
      </c>
      <c r="BG1181" t="str">
        <f t="shared" si="222"/>
        <v/>
      </c>
    </row>
    <row r="1182" spans="15:59" x14ac:dyDescent="0.35">
      <c r="O1182" s="329">
        <v>1</v>
      </c>
      <c r="P1182" s="320">
        <v>1144689</v>
      </c>
      <c r="Q1182" s="320">
        <v>2</v>
      </c>
      <c r="R1182" s="320"/>
      <c r="S1182" s="320" t="s">
        <v>1179</v>
      </c>
      <c r="T1182" s="320" t="s">
        <v>1921</v>
      </c>
      <c r="U1182" s="320">
        <v>1141552</v>
      </c>
      <c r="V1182" s="319" t="s">
        <v>87</v>
      </c>
      <c r="W1182" s="320">
        <v>1</v>
      </c>
      <c r="X1182" s="320">
        <v>2</v>
      </c>
      <c r="Y1182" s="320">
        <v>3</v>
      </c>
      <c r="Z1182" s="320">
        <v>4</v>
      </c>
      <c r="AA1182" s="320">
        <v>5</v>
      </c>
      <c r="AB1182" s="320">
        <v>6</v>
      </c>
      <c r="AC1182" s="320">
        <v>6</v>
      </c>
      <c r="AD1182" s="320">
        <v>8</v>
      </c>
      <c r="AE1182" s="320"/>
      <c r="AF1182" s="320">
        <v>7</v>
      </c>
      <c r="AG1182" s="320">
        <v>7</v>
      </c>
      <c r="AH1182" s="320">
        <v>7</v>
      </c>
      <c r="AI1182" s="320"/>
      <c r="AJ1182" s="320"/>
      <c r="AK1182" s="320"/>
      <c r="AL1182" s="320"/>
      <c r="AM1182" s="320"/>
      <c r="AN1182" s="320"/>
      <c r="AO1182" s="320"/>
      <c r="AP1182" s="320"/>
      <c r="AQ1182" s="320"/>
      <c r="AR1182" s="320"/>
      <c r="AS1182" s="320"/>
      <c r="AT1182" s="320"/>
      <c r="AU1182" s="320"/>
      <c r="AV1182" s="320"/>
      <c r="AW1182" s="320"/>
      <c r="AX1182" s="320"/>
      <c r="AY1182" s="952"/>
      <c r="AZ1182" s="36"/>
      <c r="BA1182" s="36"/>
      <c r="BB1182" s="36"/>
      <c r="BC1182" s="36"/>
      <c r="BD1182" s="36"/>
      <c r="BF1182">
        <f>ROWS($U$46:U1182)</f>
        <v>1137</v>
      </c>
      <c r="BG1182" t="str">
        <f t="shared" si="222"/>
        <v/>
      </c>
    </row>
    <row r="1183" spans="15:59" x14ac:dyDescent="0.35">
      <c r="O1183" s="330">
        <v>2</v>
      </c>
      <c r="P1183" s="36">
        <v>1144818</v>
      </c>
      <c r="Q1183" s="36">
        <v>2</v>
      </c>
      <c r="R1183" s="36"/>
      <c r="S1183" s="36" t="s">
        <v>1179</v>
      </c>
      <c r="T1183" s="36" t="s">
        <v>1921</v>
      </c>
      <c r="U1183" s="36">
        <v>1141552</v>
      </c>
      <c r="V1183" s="165" t="s">
        <v>88</v>
      </c>
      <c r="W1183" s="36">
        <v>4</v>
      </c>
      <c r="X1183" s="36">
        <v>3</v>
      </c>
      <c r="Y1183" s="36">
        <v>5</v>
      </c>
      <c r="Z1183" s="36">
        <v>6</v>
      </c>
      <c r="AA1183" s="36">
        <v>6</v>
      </c>
      <c r="AB1183" s="36">
        <v>8</v>
      </c>
      <c r="AC1183" s="36"/>
      <c r="AD1183" s="36"/>
      <c r="AE1183" s="36"/>
      <c r="AF1183" s="36">
        <v>7</v>
      </c>
      <c r="AG1183" s="36">
        <v>7</v>
      </c>
      <c r="AH1183" s="36">
        <v>7</v>
      </c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  <c r="AV1183" s="36"/>
      <c r="AW1183" s="36"/>
      <c r="AX1183" s="36"/>
      <c r="AY1183" s="953"/>
      <c r="AZ1183" s="36"/>
      <c r="BA1183" s="36"/>
      <c r="BB1183" s="36"/>
      <c r="BC1183" s="36"/>
      <c r="BD1183" s="36"/>
      <c r="BF1183">
        <f>ROWS($U$46:U1183)</f>
        <v>1138</v>
      </c>
      <c r="BG1183" t="str">
        <f t="shared" si="222"/>
        <v/>
      </c>
    </row>
    <row r="1184" spans="15:59" x14ac:dyDescent="0.35">
      <c r="O1184" s="330">
        <v>3</v>
      </c>
      <c r="P1184" s="36">
        <v>1176639</v>
      </c>
      <c r="Q1184" s="36">
        <v>6</v>
      </c>
      <c r="R1184" s="36"/>
      <c r="S1184" s="36" t="s">
        <v>1179</v>
      </c>
      <c r="T1184" s="36" t="s">
        <v>1921</v>
      </c>
      <c r="U1184" s="36">
        <v>1141552</v>
      </c>
      <c r="V1184" s="165" t="s">
        <v>89</v>
      </c>
      <c r="W1184" s="36">
        <v>1</v>
      </c>
      <c r="X1184" s="36">
        <v>3</v>
      </c>
      <c r="Y1184" s="36">
        <v>4</v>
      </c>
      <c r="Z1184" s="36">
        <v>5</v>
      </c>
      <c r="AA1184" s="36">
        <v>6</v>
      </c>
      <c r="AB1184" s="36">
        <v>6</v>
      </c>
      <c r="AC1184" s="36">
        <v>8</v>
      </c>
      <c r="AD1184" s="36"/>
      <c r="AE1184" s="36"/>
      <c r="AF1184" s="36">
        <v>7</v>
      </c>
      <c r="AG1184" s="36">
        <v>7</v>
      </c>
      <c r="AH1184" s="36">
        <v>7</v>
      </c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  <c r="AV1184" s="36"/>
      <c r="AW1184" s="36"/>
      <c r="AX1184" s="36"/>
      <c r="AY1184" s="953"/>
      <c r="AZ1184" s="36"/>
      <c r="BA1184" s="36"/>
      <c r="BB1184" s="36"/>
      <c r="BC1184" s="36"/>
      <c r="BD1184" s="36"/>
      <c r="BF1184">
        <f>ROWS($U$46:U1184)</f>
        <v>1139</v>
      </c>
      <c r="BG1184" t="str">
        <f t="shared" si="222"/>
        <v/>
      </c>
    </row>
    <row r="1185" spans="15:59" x14ac:dyDescent="0.35">
      <c r="O1185" s="330">
        <v>4</v>
      </c>
      <c r="P1185" s="36">
        <v>1181761</v>
      </c>
      <c r="Q1185" s="36">
        <v>8</v>
      </c>
      <c r="R1185" s="36"/>
      <c r="S1185" s="36" t="s">
        <v>1179</v>
      </c>
      <c r="T1185" s="36" t="s">
        <v>1921</v>
      </c>
      <c r="U1185" s="36">
        <v>1141552</v>
      </c>
      <c r="V1185" s="165" t="s">
        <v>90</v>
      </c>
      <c r="W1185" s="36">
        <v>4</v>
      </c>
      <c r="X1185" s="36">
        <v>5</v>
      </c>
      <c r="Y1185" s="36">
        <v>6</v>
      </c>
      <c r="Z1185" s="36">
        <v>6</v>
      </c>
      <c r="AA1185" s="36">
        <v>8</v>
      </c>
      <c r="AB1185" s="36"/>
      <c r="AC1185" s="36"/>
      <c r="AD1185" s="36"/>
      <c r="AE1185" s="36"/>
      <c r="AF1185" s="36">
        <v>7</v>
      </c>
      <c r="AG1185" s="36">
        <v>7</v>
      </c>
      <c r="AH1185" s="36">
        <v>7</v>
      </c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  <c r="AW1185" s="36"/>
      <c r="AX1185" s="36"/>
      <c r="AY1185" s="953"/>
      <c r="AZ1185" s="36"/>
      <c r="BA1185" s="36"/>
      <c r="BB1185" s="36"/>
      <c r="BC1185" s="36"/>
      <c r="BD1185" s="36"/>
      <c r="BF1185">
        <f>ROWS($U$46:U1185)</f>
        <v>1140</v>
      </c>
      <c r="BG1185" t="str">
        <f t="shared" si="222"/>
        <v/>
      </c>
    </row>
    <row r="1186" spans="15:59" x14ac:dyDescent="0.35">
      <c r="O1186" s="330">
        <v>5</v>
      </c>
      <c r="P1186" s="36">
        <v>661066</v>
      </c>
      <c r="Q1186" s="36">
        <v>6</v>
      </c>
      <c r="R1186" s="36"/>
      <c r="S1186" s="36" t="s">
        <v>1179</v>
      </c>
      <c r="T1186" s="36" t="s">
        <v>1921</v>
      </c>
      <c r="U1186" s="36">
        <v>1141552</v>
      </c>
      <c r="V1186" s="165" t="s">
        <v>91</v>
      </c>
      <c r="W1186" s="36">
        <v>2</v>
      </c>
      <c r="X1186" s="36">
        <v>3</v>
      </c>
      <c r="Y1186" s="36">
        <v>4</v>
      </c>
      <c r="Z1186" s="36">
        <v>4</v>
      </c>
      <c r="AA1186" s="36">
        <v>6</v>
      </c>
      <c r="AB1186" s="36">
        <v>6</v>
      </c>
      <c r="AC1186" s="36">
        <v>8</v>
      </c>
      <c r="AD1186" s="36"/>
      <c r="AE1186" s="36"/>
      <c r="AF1186" s="36">
        <v>7</v>
      </c>
      <c r="AG1186" s="36">
        <v>7</v>
      </c>
      <c r="AH1186" s="36">
        <v>7</v>
      </c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  <c r="AV1186" s="36"/>
      <c r="AW1186" s="36"/>
      <c r="AX1186" s="36"/>
      <c r="AY1186" s="953"/>
      <c r="AZ1186" s="36"/>
      <c r="BA1186" s="36"/>
      <c r="BB1186" s="36"/>
      <c r="BC1186" s="36"/>
      <c r="BD1186" s="36"/>
      <c r="BF1186">
        <f>ROWS($U$46:U1186)</f>
        <v>1141</v>
      </c>
      <c r="BG1186" t="str">
        <f t="shared" si="222"/>
        <v/>
      </c>
    </row>
    <row r="1187" spans="15:59" x14ac:dyDescent="0.35">
      <c r="O1187" s="330">
        <v>6</v>
      </c>
      <c r="P1187" s="36">
        <v>1039036</v>
      </c>
      <c r="Q1187" s="36">
        <v>12</v>
      </c>
      <c r="R1187" s="36"/>
      <c r="S1187" s="36" t="s">
        <v>1179</v>
      </c>
      <c r="T1187" s="36" t="s">
        <v>1921</v>
      </c>
      <c r="U1187" s="36">
        <v>1141552</v>
      </c>
      <c r="V1187" s="165" t="s">
        <v>92</v>
      </c>
      <c r="W1187" s="36">
        <v>4</v>
      </c>
      <c r="X1187" s="36">
        <v>3</v>
      </c>
      <c r="Y1187" s="36">
        <v>5</v>
      </c>
      <c r="Z1187" s="36">
        <v>6</v>
      </c>
      <c r="AA1187" s="36">
        <v>8</v>
      </c>
      <c r="AB1187" s="36"/>
      <c r="AC1187" s="36"/>
      <c r="AD1187" s="36"/>
      <c r="AE1187" s="36"/>
      <c r="AF1187" s="36">
        <v>7</v>
      </c>
      <c r="AG1187" s="36">
        <v>7</v>
      </c>
      <c r="AH1187" s="36">
        <v>7</v>
      </c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  <c r="AV1187" s="36"/>
      <c r="AW1187" s="36"/>
      <c r="AX1187" s="36"/>
      <c r="AY1187" s="953"/>
      <c r="AZ1187" s="36"/>
      <c r="BA1187" s="36"/>
      <c r="BB1187" s="36"/>
      <c r="BC1187" s="36"/>
      <c r="BD1187" s="36"/>
      <c r="BF1187">
        <f>ROWS($U$46:U1187)</f>
        <v>1142</v>
      </c>
      <c r="BG1187" t="str">
        <f t="shared" si="222"/>
        <v/>
      </c>
    </row>
    <row r="1188" spans="15:59" x14ac:dyDescent="0.35">
      <c r="O1188" s="330">
        <v>7</v>
      </c>
      <c r="P1188" s="36">
        <v>1039033</v>
      </c>
      <c r="Q1188" s="36">
        <v>21</v>
      </c>
      <c r="R1188" s="36"/>
      <c r="S1188" s="36" t="s">
        <v>1179</v>
      </c>
      <c r="T1188" s="36" t="s">
        <v>1921</v>
      </c>
      <c r="U1188" s="36">
        <v>1141552</v>
      </c>
      <c r="V1188" s="165" t="s">
        <v>111</v>
      </c>
      <c r="W1188" s="36">
        <v>4</v>
      </c>
      <c r="X1188" s="36">
        <v>3</v>
      </c>
      <c r="Y1188" s="36">
        <v>5</v>
      </c>
      <c r="Z1188" s="36">
        <v>6</v>
      </c>
      <c r="AA1188" s="36">
        <v>8</v>
      </c>
      <c r="AB1188" s="36"/>
      <c r="AC1188" s="36"/>
      <c r="AD1188" s="36"/>
      <c r="AE1188" s="36"/>
      <c r="AF1188" s="36">
        <v>7</v>
      </c>
      <c r="AG1188" s="36">
        <v>7</v>
      </c>
      <c r="AH1188" s="36">
        <v>7</v>
      </c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  <c r="AV1188" s="36"/>
      <c r="AW1188" s="36"/>
      <c r="AX1188" s="36"/>
      <c r="AY1188" s="953"/>
      <c r="AZ1188" s="36"/>
      <c r="BA1188" s="36"/>
      <c r="BB1188" s="36"/>
      <c r="BC1188" s="36"/>
      <c r="BD1188" s="36"/>
      <c r="BF1188">
        <f>ROWS($U$46:U1188)</f>
        <v>1143</v>
      </c>
      <c r="BG1188" t="str">
        <f t="shared" si="222"/>
        <v/>
      </c>
    </row>
    <row r="1189" spans="15:59" ht="15" thickBot="1" x14ac:dyDescent="0.4">
      <c r="O1189" s="330">
        <v>8</v>
      </c>
      <c r="P1189" s="36">
        <v>418525</v>
      </c>
      <c r="Q1189" s="36">
        <v>7</v>
      </c>
      <c r="R1189" s="36"/>
      <c r="S1189" s="36" t="s">
        <v>1179</v>
      </c>
      <c r="T1189" s="36" t="s">
        <v>1921</v>
      </c>
      <c r="U1189" s="36">
        <v>1141552</v>
      </c>
      <c r="V1189" s="165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  <c r="AV1189" s="36"/>
      <c r="AW1189" s="36"/>
      <c r="AX1189" s="36"/>
      <c r="AY1189" s="953"/>
      <c r="AZ1189" s="36"/>
      <c r="BA1189" s="36"/>
      <c r="BB1189" s="36"/>
      <c r="BC1189" s="36"/>
      <c r="BD1189" s="36"/>
      <c r="BF1189">
        <f>ROWS($U$46:U1189)</f>
        <v>1144</v>
      </c>
      <c r="BG1189" t="str">
        <f t="shared" si="222"/>
        <v/>
      </c>
    </row>
    <row r="1190" spans="15:59" x14ac:dyDescent="0.35">
      <c r="O1190" s="329">
        <v>1</v>
      </c>
      <c r="P1190" s="320">
        <v>1130197</v>
      </c>
      <c r="Q1190" s="320">
        <v>64</v>
      </c>
      <c r="R1190" s="320"/>
      <c r="S1190" s="320" t="s">
        <v>1209</v>
      </c>
      <c r="T1190" s="320" t="s">
        <v>1854</v>
      </c>
      <c r="U1190" s="320">
        <v>763567</v>
      </c>
      <c r="V1190" s="319" t="s">
        <v>87</v>
      </c>
      <c r="W1190" s="320">
        <v>2</v>
      </c>
      <c r="X1190" s="320">
        <v>2</v>
      </c>
      <c r="Y1190" s="320">
        <v>2</v>
      </c>
      <c r="Z1190" s="320">
        <v>1</v>
      </c>
      <c r="AA1190" s="320">
        <v>1</v>
      </c>
      <c r="AB1190" s="320">
        <v>1</v>
      </c>
      <c r="AC1190" s="320">
        <v>1</v>
      </c>
      <c r="AD1190" s="320">
        <v>1</v>
      </c>
      <c r="AE1190" s="320">
        <v>1</v>
      </c>
      <c r="AF1190" s="320">
        <v>1</v>
      </c>
      <c r="AG1190" s="320">
        <v>1</v>
      </c>
      <c r="AH1190" s="320">
        <v>3</v>
      </c>
      <c r="AI1190" s="320">
        <v>4</v>
      </c>
      <c r="AJ1190" s="320">
        <v>5</v>
      </c>
      <c r="AK1190" s="320"/>
      <c r="AL1190" s="320">
        <v>2</v>
      </c>
      <c r="AM1190" s="320">
        <v>2</v>
      </c>
      <c r="AN1190" s="320">
        <v>2</v>
      </c>
      <c r="AO1190" s="320">
        <v>2</v>
      </c>
      <c r="AP1190" s="320">
        <v>2</v>
      </c>
      <c r="AQ1190" s="320"/>
      <c r="AR1190" s="320"/>
      <c r="AS1190" s="320"/>
      <c r="AT1190" s="320"/>
      <c r="AU1190" s="320"/>
      <c r="AV1190" s="320"/>
      <c r="AW1190" s="320"/>
      <c r="AX1190" s="320"/>
      <c r="AY1190" s="952"/>
      <c r="AZ1190" s="36"/>
      <c r="BA1190" s="36"/>
      <c r="BB1190" s="36"/>
      <c r="BC1190" s="36"/>
      <c r="BD1190" s="36"/>
      <c r="BF1190">
        <f>ROWS($U$46:U1190)</f>
        <v>1145</v>
      </c>
      <c r="BG1190" t="str">
        <f t="shared" si="222"/>
        <v/>
      </c>
    </row>
    <row r="1191" spans="15:59" x14ac:dyDescent="0.35">
      <c r="O1191" s="330">
        <v>2</v>
      </c>
      <c r="P1191" s="36">
        <v>1134752</v>
      </c>
      <c r="Q1191" s="36">
        <v>56</v>
      </c>
      <c r="R1191" s="36"/>
      <c r="S1191" s="36" t="s">
        <v>1209</v>
      </c>
      <c r="T1191" s="36" t="s">
        <v>1854</v>
      </c>
      <c r="U1191" s="36">
        <v>763567</v>
      </c>
      <c r="V1191" s="165" t="s">
        <v>88</v>
      </c>
      <c r="W1191" s="36">
        <v>1</v>
      </c>
      <c r="X1191" s="36">
        <v>1</v>
      </c>
      <c r="Y1191" s="36">
        <v>1</v>
      </c>
      <c r="Z1191" s="36">
        <v>1</v>
      </c>
      <c r="AA1191" s="36">
        <v>1</v>
      </c>
      <c r="AB1191" s="36">
        <v>1</v>
      </c>
      <c r="AC1191" s="36">
        <v>1</v>
      </c>
      <c r="AD1191" s="36">
        <v>3</v>
      </c>
      <c r="AE1191" s="36">
        <v>4</v>
      </c>
      <c r="AF1191" s="36">
        <v>5</v>
      </c>
      <c r="AG1191" s="36"/>
      <c r="AH1191" s="36"/>
      <c r="AI1191" s="36"/>
      <c r="AJ1191" s="36"/>
      <c r="AK1191" s="36"/>
      <c r="AL1191" s="36">
        <v>2</v>
      </c>
      <c r="AM1191" s="36">
        <v>2</v>
      </c>
      <c r="AN1191" s="36">
        <v>2</v>
      </c>
      <c r="AO1191" s="36">
        <v>2</v>
      </c>
      <c r="AP1191" s="36">
        <v>2</v>
      </c>
      <c r="AQ1191" s="36"/>
      <c r="AR1191" s="36"/>
      <c r="AS1191" s="36"/>
      <c r="AT1191" s="36"/>
      <c r="AU1191" s="36"/>
      <c r="AV1191" s="36"/>
      <c r="AW1191" s="36"/>
      <c r="AX1191" s="36"/>
      <c r="AY1191" s="953"/>
      <c r="AZ1191" s="36"/>
      <c r="BA1191" s="36"/>
      <c r="BB1191" s="36"/>
      <c r="BC1191" s="36"/>
      <c r="BD1191" s="36"/>
      <c r="BF1191">
        <f>ROWS($U$46:U1191)</f>
        <v>1146</v>
      </c>
      <c r="BG1191" t="str">
        <f t="shared" si="222"/>
        <v/>
      </c>
    </row>
    <row r="1192" spans="15:59" x14ac:dyDescent="0.35">
      <c r="O1192" s="330">
        <v>3</v>
      </c>
      <c r="P1192" s="36">
        <v>179694</v>
      </c>
      <c r="Q1192" s="36">
        <v>9</v>
      </c>
      <c r="R1192" s="36"/>
      <c r="S1192" s="36" t="s">
        <v>1209</v>
      </c>
      <c r="T1192" s="36" t="s">
        <v>1854</v>
      </c>
      <c r="U1192" s="36">
        <v>763567</v>
      </c>
      <c r="V1192" s="165" t="s">
        <v>89</v>
      </c>
      <c r="W1192" s="36">
        <v>1</v>
      </c>
      <c r="X1192" s="36">
        <v>1</v>
      </c>
      <c r="Y1192" s="36">
        <v>1</v>
      </c>
      <c r="Z1192" s="36">
        <v>1</v>
      </c>
      <c r="AA1192" s="36">
        <v>1</v>
      </c>
      <c r="AB1192" s="36">
        <v>1</v>
      </c>
      <c r="AC1192" s="36">
        <v>1</v>
      </c>
      <c r="AD1192" s="36">
        <v>3</v>
      </c>
      <c r="AE1192" s="36">
        <v>4</v>
      </c>
      <c r="AF1192" s="36">
        <v>4</v>
      </c>
      <c r="AG1192" s="36"/>
      <c r="AH1192" s="36"/>
      <c r="AI1192" s="36"/>
      <c r="AJ1192" s="36"/>
      <c r="AK1192" s="36"/>
      <c r="AL1192" s="36">
        <v>2</v>
      </c>
      <c r="AM1192" s="36">
        <v>2</v>
      </c>
      <c r="AN1192" s="36">
        <v>2</v>
      </c>
      <c r="AO1192" s="36">
        <v>2</v>
      </c>
      <c r="AP1192" s="36">
        <v>2</v>
      </c>
      <c r="AQ1192" s="36"/>
      <c r="AR1192" s="36"/>
      <c r="AS1192" s="36"/>
      <c r="AT1192" s="36"/>
      <c r="AU1192" s="36"/>
      <c r="AV1192" s="36"/>
      <c r="AW1192" s="36"/>
      <c r="AX1192" s="36"/>
      <c r="AY1192" s="953"/>
      <c r="AZ1192" s="36"/>
      <c r="BA1192" s="36"/>
      <c r="BB1192" s="36"/>
      <c r="BC1192" s="36"/>
      <c r="BD1192" s="36"/>
      <c r="BF1192">
        <f>ROWS($U$46:U1192)</f>
        <v>1147</v>
      </c>
      <c r="BG1192" t="str">
        <f t="shared" si="222"/>
        <v/>
      </c>
    </row>
    <row r="1193" spans="15:59" x14ac:dyDescent="0.35">
      <c r="O1193" s="330">
        <v>4</v>
      </c>
      <c r="P1193" s="36">
        <v>418525</v>
      </c>
      <c r="Q1193" s="36">
        <v>13</v>
      </c>
      <c r="R1193" s="36"/>
      <c r="S1193" s="36" t="s">
        <v>1209</v>
      </c>
      <c r="T1193" s="36" t="s">
        <v>1854</v>
      </c>
      <c r="U1193" s="36">
        <v>763567</v>
      </c>
      <c r="V1193" s="165" t="s">
        <v>90</v>
      </c>
      <c r="W1193" s="36">
        <v>2</v>
      </c>
      <c r="X1193" s="36">
        <v>2</v>
      </c>
      <c r="Y1193" s="36">
        <v>1</v>
      </c>
      <c r="Z1193" s="36">
        <v>1</v>
      </c>
      <c r="AA1193" s="36">
        <v>1</v>
      </c>
      <c r="AB1193" s="36">
        <v>1</v>
      </c>
      <c r="AC1193" s="36">
        <v>1</v>
      </c>
      <c r="AD1193" s="36">
        <v>1</v>
      </c>
      <c r="AE1193" s="36">
        <v>1</v>
      </c>
      <c r="AF1193" s="36">
        <v>1</v>
      </c>
      <c r="AG1193" s="36">
        <v>3</v>
      </c>
      <c r="AH1193" s="36">
        <v>4</v>
      </c>
      <c r="AI1193" s="36">
        <v>5</v>
      </c>
      <c r="AJ1193" s="36"/>
      <c r="AK1193" s="36"/>
      <c r="AL1193" s="36">
        <v>2</v>
      </c>
      <c r="AM1193" s="36">
        <v>2</v>
      </c>
      <c r="AN1193" s="36">
        <v>2</v>
      </c>
      <c r="AO1193" s="36">
        <v>2</v>
      </c>
      <c r="AP1193" s="36">
        <v>2</v>
      </c>
      <c r="AQ1193" s="36"/>
      <c r="AR1193" s="36"/>
      <c r="AS1193" s="36"/>
      <c r="AT1193" s="36"/>
      <c r="AU1193" s="36"/>
      <c r="AV1193" s="36"/>
      <c r="AW1193" s="36"/>
      <c r="AX1193" s="36"/>
      <c r="AY1193" s="953"/>
      <c r="AZ1193" s="36"/>
      <c r="BA1193" s="36"/>
      <c r="BB1193" s="36"/>
      <c r="BC1193" s="36"/>
      <c r="BD1193" s="36"/>
      <c r="BF1193">
        <f>ROWS($U$46:U1193)</f>
        <v>1148</v>
      </c>
      <c r="BG1193" t="str">
        <f t="shared" si="222"/>
        <v/>
      </c>
    </row>
    <row r="1194" spans="15:59" x14ac:dyDescent="0.35">
      <c r="O1194" s="330">
        <v>5</v>
      </c>
      <c r="P1194" s="36">
        <v>871781</v>
      </c>
      <c r="Q1194" s="36">
        <v>5</v>
      </c>
      <c r="R1194" s="36"/>
      <c r="S1194" s="36" t="s">
        <v>1209</v>
      </c>
      <c r="T1194" s="36" t="s">
        <v>1854</v>
      </c>
      <c r="U1194" s="36">
        <v>763567</v>
      </c>
      <c r="V1194" s="165" t="s">
        <v>91</v>
      </c>
      <c r="W1194" s="36">
        <v>1</v>
      </c>
      <c r="X1194" s="36">
        <v>1</v>
      </c>
      <c r="Y1194" s="36">
        <v>1</v>
      </c>
      <c r="Z1194" s="36">
        <v>1</v>
      </c>
      <c r="AA1194" s="36">
        <v>1</v>
      </c>
      <c r="AB1194" s="36">
        <v>1</v>
      </c>
      <c r="AC1194" s="36">
        <v>2</v>
      </c>
      <c r="AD1194" s="36">
        <v>3</v>
      </c>
      <c r="AE1194" s="36">
        <v>4</v>
      </c>
      <c r="AF1194" s="36">
        <v>4</v>
      </c>
      <c r="AG1194" s="36"/>
      <c r="AH1194" s="36"/>
      <c r="AI1194" s="36"/>
      <c r="AJ1194" s="36"/>
      <c r="AK1194" s="36"/>
      <c r="AL1194" s="36">
        <v>2</v>
      </c>
      <c r="AM1194" s="36">
        <v>2</v>
      </c>
      <c r="AN1194" s="36">
        <v>2</v>
      </c>
      <c r="AO1194" s="36">
        <v>2</v>
      </c>
      <c r="AP1194" s="36">
        <v>2</v>
      </c>
      <c r="AQ1194" s="36"/>
      <c r="AR1194" s="36"/>
      <c r="AS1194" s="36"/>
      <c r="AT1194" s="36"/>
      <c r="AU1194" s="36"/>
      <c r="AV1194" s="36"/>
      <c r="AW1194" s="36"/>
      <c r="AX1194" s="36"/>
      <c r="AY1194" s="953"/>
      <c r="AZ1194" s="36"/>
      <c r="BA1194" s="36"/>
      <c r="BB1194" s="36"/>
      <c r="BC1194" s="36"/>
      <c r="BD1194" s="36"/>
      <c r="BF1194">
        <f>ROWS($U$46:U1194)</f>
        <v>1149</v>
      </c>
      <c r="BG1194" t="str">
        <f t="shared" si="222"/>
        <v/>
      </c>
    </row>
    <row r="1195" spans="15:59" x14ac:dyDescent="0.35">
      <c r="O1195" s="330"/>
      <c r="P1195" s="36"/>
      <c r="Q1195" s="36"/>
      <c r="R1195" s="36"/>
      <c r="S1195" s="36" t="s">
        <v>1209</v>
      </c>
      <c r="T1195" s="36" t="s">
        <v>1854</v>
      </c>
      <c r="U1195" s="36">
        <v>763567</v>
      </c>
      <c r="V1195" s="165" t="s">
        <v>92</v>
      </c>
      <c r="W1195" s="36">
        <v>1</v>
      </c>
      <c r="X1195" s="36">
        <v>1</v>
      </c>
      <c r="Y1195" s="36">
        <v>1</v>
      </c>
      <c r="Z1195" s="36">
        <v>1</v>
      </c>
      <c r="AA1195" s="36">
        <v>1</v>
      </c>
      <c r="AB1195" s="36">
        <v>1</v>
      </c>
      <c r="AC1195" s="36">
        <v>1</v>
      </c>
      <c r="AD1195" s="36">
        <v>2</v>
      </c>
      <c r="AE1195" s="36">
        <v>3</v>
      </c>
      <c r="AF1195" s="36">
        <v>4</v>
      </c>
      <c r="AG1195" s="36">
        <v>5</v>
      </c>
      <c r="AH1195" s="36"/>
      <c r="AI1195" s="36"/>
      <c r="AJ1195" s="36"/>
      <c r="AK1195" s="36"/>
      <c r="AL1195" s="36">
        <v>2</v>
      </c>
      <c r="AM1195" s="36">
        <v>2</v>
      </c>
      <c r="AN1195" s="36">
        <v>2</v>
      </c>
      <c r="AO1195" s="36">
        <v>2</v>
      </c>
      <c r="AP1195" s="36">
        <v>2</v>
      </c>
      <c r="AQ1195" s="36"/>
      <c r="AR1195" s="36"/>
      <c r="AS1195" s="36"/>
      <c r="AT1195" s="36"/>
      <c r="AU1195" s="36"/>
      <c r="AV1195" s="36"/>
      <c r="AW1195" s="36"/>
      <c r="AX1195" s="36"/>
      <c r="AY1195" s="953"/>
      <c r="AZ1195" s="36"/>
      <c r="BA1195" s="36"/>
      <c r="BB1195" s="36"/>
      <c r="BC1195" s="36"/>
      <c r="BD1195" s="36"/>
      <c r="BF1195">
        <f>ROWS($U$46:U1195)</f>
        <v>1150</v>
      </c>
      <c r="BG1195" t="str">
        <f t="shared" si="222"/>
        <v/>
      </c>
    </row>
    <row r="1196" spans="15:59" x14ac:dyDescent="0.35">
      <c r="O1196" s="330"/>
      <c r="P1196" s="36"/>
      <c r="Q1196" s="36"/>
      <c r="R1196" s="36"/>
      <c r="S1196" s="36" t="s">
        <v>1209</v>
      </c>
      <c r="T1196" s="36" t="s">
        <v>1854</v>
      </c>
      <c r="U1196" s="36">
        <v>763567</v>
      </c>
      <c r="V1196" s="165" t="s">
        <v>111</v>
      </c>
      <c r="W1196" s="36">
        <v>2</v>
      </c>
      <c r="X1196" s="36">
        <v>2</v>
      </c>
      <c r="Y1196" s="36">
        <v>2</v>
      </c>
      <c r="Z1196" s="36">
        <v>1</v>
      </c>
      <c r="AA1196" s="36">
        <v>1</v>
      </c>
      <c r="AB1196" s="36">
        <v>1</v>
      </c>
      <c r="AC1196" s="36">
        <v>1</v>
      </c>
      <c r="AD1196" s="36">
        <v>1</v>
      </c>
      <c r="AE1196" s="36">
        <v>1</v>
      </c>
      <c r="AF1196" s="36">
        <v>1</v>
      </c>
      <c r="AG1196" s="36">
        <v>2</v>
      </c>
      <c r="AH1196" s="36">
        <v>3</v>
      </c>
      <c r="AI1196" s="36">
        <v>4</v>
      </c>
      <c r="AJ1196" s="36">
        <v>4</v>
      </c>
      <c r="AK1196" s="36"/>
      <c r="AL1196" s="36">
        <v>2</v>
      </c>
      <c r="AM1196" s="36">
        <v>2</v>
      </c>
      <c r="AN1196" s="36">
        <v>2</v>
      </c>
      <c r="AO1196" s="36">
        <v>2</v>
      </c>
      <c r="AP1196" s="36">
        <v>2</v>
      </c>
      <c r="AQ1196" s="36"/>
      <c r="AR1196" s="36"/>
      <c r="AS1196" s="36"/>
      <c r="AT1196" s="36"/>
      <c r="AU1196" s="36"/>
      <c r="AV1196" s="36"/>
      <c r="AW1196" s="36"/>
      <c r="AX1196" s="36"/>
      <c r="AY1196" s="953"/>
      <c r="AZ1196" s="36"/>
      <c r="BA1196" s="36"/>
      <c r="BB1196" s="36"/>
      <c r="BC1196" s="36"/>
      <c r="BD1196" s="36"/>
      <c r="BF1196">
        <f>ROWS($U$46:U1196)</f>
        <v>1151</v>
      </c>
      <c r="BG1196" t="str">
        <f t="shared" si="222"/>
        <v/>
      </c>
    </row>
    <row r="1197" spans="15:59" x14ac:dyDescent="0.35">
      <c r="O1197" s="330"/>
      <c r="P1197" s="36"/>
      <c r="Q1197" s="36"/>
      <c r="R1197" s="36"/>
      <c r="S1197" s="36" t="s">
        <v>1209</v>
      </c>
      <c r="T1197" s="36" t="s">
        <v>1854</v>
      </c>
      <c r="U1197" s="36">
        <v>763567</v>
      </c>
      <c r="V1197" s="165" t="s">
        <v>112</v>
      </c>
      <c r="W1197" s="36">
        <v>1</v>
      </c>
      <c r="X1197" s="36">
        <v>1</v>
      </c>
      <c r="Y1197" s="36">
        <v>1</v>
      </c>
      <c r="Z1197" s="36">
        <v>1</v>
      </c>
      <c r="AA1197" s="36">
        <v>1</v>
      </c>
      <c r="AB1197" s="36">
        <v>1</v>
      </c>
      <c r="AC1197" s="36">
        <v>1</v>
      </c>
      <c r="AD1197" s="36">
        <v>3</v>
      </c>
      <c r="AE1197" s="36">
        <v>4</v>
      </c>
      <c r="AF1197" s="36">
        <v>5</v>
      </c>
      <c r="AG1197" s="36"/>
      <c r="AH1197" s="36"/>
      <c r="AI1197" s="36"/>
      <c r="AJ1197" s="36"/>
      <c r="AK1197" s="36"/>
      <c r="AL1197" s="36">
        <v>2</v>
      </c>
      <c r="AM1197" s="36">
        <v>2</v>
      </c>
      <c r="AN1197" s="36">
        <v>2</v>
      </c>
      <c r="AO1197" s="36">
        <v>2</v>
      </c>
      <c r="AP1197" s="36">
        <v>2</v>
      </c>
      <c r="AQ1197" s="36"/>
      <c r="AR1197" s="36"/>
      <c r="AS1197" s="36"/>
      <c r="AT1197" s="36"/>
      <c r="AU1197" s="36"/>
      <c r="AV1197" s="36"/>
      <c r="AW1197" s="36"/>
      <c r="AX1197" s="36"/>
      <c r="AY1197" s="953"/>
      <c r="AZ1197" s="36"/>
      <c r="BA1197" s="36"/>
      <c r="BB1197" s="36"/>
      <c r="BC1197" s="36"/>
      <c r="BD1197" s="36"/>
      <c r="BF1197">
        <f>ROWS($U$46:U1197)</f>
        <v>1152</v>
      </c>
      <c r="BG1197" t="str">
        <f t="shared" si="222"/>
        <v/>
      </c>
    </row>
    <row r="1198" spans="15:59" ht="15" thickBot="1" x14ac:dyDescent="0.4">
      <c r="O1198" s="331"/>
      <c r="P1198" s="328"/>
      <c r="Q1198" s="328"/>
      <c r="R1198" s="328"/>
      <c r="S1198" s="328" t="s">
        <v>1209</v>
      </c>
      <c r="T1198" s="328" t="s">
        <v>1854</v>
      </c>
      <c r="U1198" s="328">
        <v>763567</v>
      </c>
      <c r="V1198" s="327" t="s">
        <v>113</v>
      </c>
      <c r="W1198" s="328">
        <v>1</v>
      </c>
      <c r="X1198" s="328">
        <v>1</v>
      </c>
      <c r="Y1198" s="328">
        <v>1</v>
      </c>
      <c r="Z1198" s="328">
        <v>1</v>
      </c>
      <c r="AA1198" s="328">
        <v>1</v>
      </c>
      <c r="AB1198" s="328">
        <v>1</v>
      </c>
      <c r="AC1198" s="328">
        <v>1</v>
      </c>
      <c r="AD1198" s="328">
        <v>3</v>
      </c>
      <c r="AE1198" s="328">
        <v>4</v>
      </c>
      <c r="AF1198" s="328">
        <v>4</v>
      </c>
      <c r="AG1198" s="328"/>
      <c r="AH1198" s="328"/>
      <c r="AI1198" s="328"/>
      <c r="AJ1198" s="328"/>
      <c r="AK1198" s="328"/>
      <c r="AL1198" s="328">
        <v>2</v>
      </c>
      <c r="AM1198" s="328">
        <v>2</v>
      </c>
      <c r="AN1198" s="328">
        <v>2</v>
      </c>
      <c r="AO1198" s="328">
        <v>2</v>
      </c>
      <c r="AP1198" s="328">
        <v>2</v>
      </c>
      <c r="AQ1198" s="328"/>
      <c r="AR1198" s="328"/>
      <c r="AS1198" s="328"/>
      <c r="AT1198" s="328"/>
      <c r="AU1198" s="328"/>
      <c r="AV1198" s="328"/>
      <c r="AW1198" s="328"/>
      <c r="AX1198" s="328"/>
      <c r="AY1198" s="954"/>
      <c r="AZ1198" s="36"/>
      <c r="BA1198" s="36"/>
      <c r="BB1198" s="36"/>
      <c r="BC1198" s="36"/>
      <c r="BD1198" s="36"/>
      <c r="BF1198">
        <f>ROWS($U$46:U1198)</f>
        <v>1153</v>
      </c>
      <c r="BG1198" t="str">
        <f t="shared" si="222"/>
        <v/>
      </c>
    </row>
    <row r="1199" spans="15:59" x14ac:dyDescent="0.35">
      <c r="O1199" s="329">
        <v>1</v>
      </c>
      <c r="P1199" s="320">
        <v>177778</v>
      </c>
      <c r="Q1199" s="320">
        <v>14</v>
      </c>
      <c r="R1199" s="320"/>
      <c r="S1199" s="320" t="s">
        <v>872</v>
      </c>
      <c r="T1199" s="320" t="s">
        <v>873</v>
      </c>
      <c r="U1199" s="320">
        <v>616958</v>
      </c>
      <c r="V1199" s="319" t="s">
        <v>87</v>
      </c>
      <c r="W1199" s="320">
        <v>1</v>
      </c>
      <c r="X1199" s="320">
        <v>2</v>
      </c>
      <c r="Y1199" s="320">
        <v>2</v>
      </c>
      <c r="Z1199" s="320">
        <v>2</v>
      </c>
      <c r="AA1199" s="320"/>
      <c r="AB1199" s="320"/>
      <c r="AC1199" s="320"/>
      <c r="AD1199" s="320"/>
      <c r="AE1199" s="320"/>
      <c r="AF1199" s="320"/>
      <c r="AG1199" s="320"/>
      <c r="AH1199" s="320"/>
      <c r="AI1199" s="320"/>
      <c r="AJ1199" s="320"/>
      <c r="AK1199" s="320"/>
      <c r="AL1199" s="320"/>
      <c r="AM1199" s="320"/>
      <c r="AN1199" s="320"/>
      <c r="AO1199" s="320"/>
      <c r="AP1199" s="320"/>
      <c r="AQ1199" s="320"/>
      <c r="AR1199" s="320"/>
      <c r="AS1199" s="320"/>
      <c r="AT1199" s="320"/>
      <c r="AU1199" s="320"/>
      <c r="AV1199" s="320"/>
      <c r="AW1199" s="320"/>
      <c r="AX1199" s="320"/>
      <c r="AY1199" s="952"/>
      <c r="AZ1199" s="36"/>
      <c r="BA1199" s="36"/>
      <c r="BB1199" s="36"/>
      <c r="BC1199" s="36"/>
      <c r="BD1199" s="36"/>
      <c r="BF1199">
        <f>ROWS($U$46:U1199)</f>
        <v>1154</v>
      </c>
      <c r="BG1199" t="str">
        <f t="shared" ref="BG1199:BG1262" si="223">IF(VALUE(SUBSTITUTE($B$5,"M",""))=U1199,BF1199,"")</f>
        <v/>
      </c>
    </row>
    <row r="1200" spans="15:59" x14ac:dyDescent="0.35">
      <c r="O1200" s="330">
        <v>2</v>
      </c>
      <c r="P1200" s="36">
        <v>583447</v>
      </c>
      <c r="Q1200" s="36">
        <v>30</v>
      </c>
      <c r="R1200" s="36"/>
      <c r="S1200" s="36" t="s">
        <v>872</v>
      </c>
      <c r="T1200" s="36" t="s">
        <v>873</v>
      </c>
      <c r="U1200" s="36">
        <v>616958</v>
      </c>
      <c r="V1200" s="165" t="s">
        <v>88</v>
      </c>
      <c r="W1200" s="36">
        <v>2</v>
      </c>
      <c r="X1200" s="36">
        <v>2</v>
      </c>
      <c r="Y1200" s="36">
        <v>2</v>
      </c>
      <c r="Z1200" s="36">
        <v>2</v>
      </c>
      <c r="AA1200" s="36">
        <v>1</v>
      </c>
      <c r="AB1200" s="36">
        <v>1</v>
      </c>
      <c r="AC1200" s="36">
        <v>1</v>
      </c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  <c r="AV1200" s="36"/>
      <c r="AW1200" s="36"/>
      <c r="AX1200" s="36"/>
      <c r="AY1200" s="953"/>
      <c r="AZ1200" s="36"/>
      <c r="BA1200" s="36"/>
      <c r="BB1200" s="36"/>
      <c r="BC1200" s="36"/>
      <c r="BD1200" s="36"/>
      <c r="BF1200">
        <f>ROWS($U$46:U1200)</f>
        <v>1155</v>
      </c>
      <c r="BG1200" t="str">
        <f t="shared" si="223"/>
        <v/>
      </c>
    </row>
    <row r="1201" spans="14:59" x14ac:dyDescent="0.35">
      <c r="O1201" s="330"/>
      <c r="P1201" s="36"/>
      <c r="Q1201" s="36"/>
      <c r="R1201" s="36"/>
      <c r="S1201" s="36" t="s">
        <v>872</v>
      </c>
      <c r="T1201" s="36" t="s">
        <v>873</v>
      </c>
      <c r="U1201" s="36">
        <v>616958</v>
      </c>
      <c r="V1201" s="165" t="s">
        <v>89</v>
      </c>
      <c r="W1201" s="36">
        <v>2</v>
      </c>
      <c r="X1201" s="36">
        <v>2</v>
      </c>
      <c r="Y1201" s="36">
        <v>2</v>
      </c>
      <c r="Z1201" s="36">
        <v>2</v>
      </c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  <c r="AV1201" s="36"/>
      <c r="AW1201" s="36"/>
      <c r="AX1201" s="36"/>
      <c r="AY1201" s="953"/>
      <c r="AZ1201" s="36"/>
      <c r="BA1201" s="36"/>
      <c r="BB1201" s="36"/>
      <c r="BC1201" s="36"/>
      <c r="BD1201" s="36"/>
      <c r="BF1201">
        <f>ROWS($U$46:U1201)</f>
        <v>1156</v>
      </c>
      <c r="BG1201" t="str">
        <f t="shared" si="223"/>
        <v/>
      </c>
    </row>
    <row r="1202" spans="14:59" x14ac:dyDescent="0.35">
      <c r="O1202" s="330"/>
      <c r="P1202" s="36"/>
      <c r="Q1202" s="36"/>
      <c r="R1202" s="36"/>
      <c r="S1202" s="36" t="s">
        <v>872</v>
      </c>
      <c r="T1202" s="36" t="s">
        <v>873</v>
      </c>
      <c r="U1202" s="36">
        <v>616958</v>
      </c>
      <c r="V1202" s="165" t="s">
        <v>90</v>
      </c>
      <c r="W1202" s="36">
        <v>2</v>
      </c>
      <c r="X1202" s="36">
        <v>2</v>
      </c>
      <c r="Y1202" s="36">
        <v>2</v>
      </c>
      <c r="Z1202" s="36">
        <v>2</v>
      </c>
      <c r="AA1202" s="36">
        <v>1</v>
      </c>
      <c r="AB1202" s="36">
        <v>1</v>
      </c>
      <c r="AC1202" s="36">
        <v>1</v>
      </c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  <c r="AV1202" s="36"/>
      <c r="AW1202" s="36"/>
      <c r="AX1202" s="36"/>
      <c r="AY1202" s="953"/>
      <c r="AZ1202" s="36"/>
      <c r="BA1202" s="36"/>
      <c r="BB1202" s="36"/>
      <c r="BC1202" s="36"/>
      <c r="BD1202" s="36"/>
      <c r="BF1202">
        <f>ROWS($U$46:U1202)</f>
        <v>1157</v>
      </c>
      <c r="BG1202" t="str">
        <f t="shared" si="223"/>
        <v/>
      </c>
    </row>
    <row r="1203" spans="14:59" x14ac:dyDescent="0.35">
      <c r="O1203" s="330"/>
      <c r="P1203" s="36"/>
      <c r="Q1203" s="36"/>
      <c r="R1203" s="36"/>
      <c r="S1203" s="36" t="s">
        <v>872</v>
      </c>
      <c r="T1203" s="36" t="s">
        <v>873</v>
      </c>
      <c r="U1203" s="36">
        <v>616958</v>
      </c>
      <c r="V1203" s="165" t="s">
        <v>91</v>
      </c>
      <c r="W1203" s="36">
        <v>1</v>
      </c>
      <c r="X1203" s="36">
        <v>2</v>
      </c>
      <c r="Y1203" s="36">
        <v>2</v>
      </c>
      <c r="Z1203" s="36">
        <v>2</v>
      </c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  <c r="AV1203" s="36"/>
      <c r="AW1203" s="36"/>
      <c r="AX1203" s="36"/>
      <c r="AY1203" s="953"/>
      <c r="AZ1203" s="36"/>
      <c r="BA1203" s="36"/>
      <c r="BB1203" s="36"/>
      <c r="BC1203" s="36"/>
      <c r="BD1203" s="36"/>
      <c r="BF1203">
        <f>ROWS($U$46:U1203)</f>
        <v>1158</v>
      </c>
      <c r="BG1203" t="str">
        <f t="shared" si="223"/>
        <v/>
      </c>
    </row>
    <row r="1204" spans="14:59" x14ac:dyDescent="0.35">
      <c r="O1204" s="330"/>
      <c r="P1204" s="36"/>
      <c r="Q1204" s="36"/>
      <c r="R1204" s="36"/>
      <c r="S1204" s="36" t="s">
        <v>872</v>
      </c>
      <c r="T1204" s="36" t="s">
        <v>873</v>
      </c>
      <c r="U1204" s="36">
        <v>616958</v>
      </c>
      <c r="V1204" s="165" t="s">
        <v>92</v>
      </c>
      <c r="W1204" s="36">
        <v>2</v>
      </c>
      <c r="X1204" s="36">
        <v>2</v>
      </c>
      <c r="Y1204" s="36">
        <v>2</v>
      </c>
      <c r="Z1204" s="36">
        <v>2</v>
      </c>
      <c r="AA1204" s="36">
        <v>1</v>
      </c>
      <c r="AB1204" s="36">
        <v>1</v>
      </c>
      <c r="AC1204" s="36">
        <v>1</v>
      </c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  <c r="AV1204" s="36"/>
      <c r="AW1204" s="36"/>
      <c r="AX1204" s="36"/>
      <c r="AY1204" s="953"/>
      <c r="AZ1204" s="36"/>
      <c r="BA1204" s="36"/>
      <c r="BB1204" s="36"/>
      <c r="BC1204" s="36"/>
      <c r="BD1204" s="36"/>
      <c r="BF1204">
        <f>ROWS($U$46:U1204)</f>
        <v>1159</v>
      </c>
      <c r="BG1204" t="str">
        <f t="shared" si="223"/>
        <v/>
      </c>
    </row>
    <row r="1205" spans="14:59" x14ac:dyDescent="0.35">
      <c r="O1205" s="330"/>
      <c r="P1205" s="36"/>
      <c r="Q1205" s="36"/>
      <c r="R1205" s="36"/>
      <c r="S1205" s="36" t="s">
        <v>872</v>
      </c>
      <c r="T1205" s="36" t="s">
        <v>873</v>
      </c>
      <c r="U1205" s="36">
        <v>616958</v>
      </c>
      <c r="V1205" s="165" t="s">
        <v>111</v>
      </c>
      <c r="W1205" s="36">
        <v>2</v>
      </c>
      <c r="X1205" s="36">
        <v>2</v>
      </c>
      <c r="Y1205" s="36">
        <v>2</v>
      </c>
      <c r="Z1205" s="36">
        <v>2</v>
      </c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  <c r="AV1205" s="36"/>
      <c r="AW1205" s="36"/>
      <c r="AX1205" s="36"/>
      <c r="AY1205" s="953"/>
      <c r="AZ1205" s="36"/>
      <c r="BA1205" s="36"/>
      <c r="BB1205" s="36"/>
      <c r="BC1205" s="36"/>
      <c r="BD1205" s="36"/>
      <c r="BF1205">
        <f>ROWS($U$46:U1205)</f>
        <v>1160</v>
      </c>
      <c r="BG1205" t="str">
        <f t="shared" si="223"/>
        <v/>
      </c>
    </row>
    <row r="1206" spans="14:59" ht="15" thickBot="1" x14ac:dyDescent="0.4">
      <c r="O1206" s="331"/>
      <c r="P1206" s="328"/>
      <c r="Q1206" s="328"/>
      <c r="R1206" s="328"/>
      <c r="S1206" s="328" t="s">
        <v>872</v>
      </c>
      <c r="T1206" s="328" t="s">
        <v>873</v>
      </c>
      <c r="U1206" s="328">
        <v>616958</v>
      </c>
      <c r="V1206" s="327" t="s">
        <v>112</v>
      </c>
      <c r="W1206" s="328">
        <v>2</v>
      </c>
      <c r="X1206" s="328">
        <v>2</v>
      </c>
      <c r="Y1206" s="328">
        <v>2</v>
      </c>
      <c r="Z1206" s="328">
        <v>2</v>
      </c>
      <c r="AA1206" s="328">
        <v>1</v>
      </c>
      <c r="AB1206" s="328">
        <v>1</v>
      </c>
      <c r="AC1206" s="328">
        <v>1</v>
      </c>
      <c r="AD1206" s="328"/>
      <c r="AE1206" s="328"/>
      <c r="AF1206" s="328"/>
      <c r="AG1206" s="328"/>
      <c r="AH1206" s="328"/>
      <c r="AI1206" s="328"/>
      <c r="AJ1206" s="328"/>
      <c r="AK1206" s="328"/>
      <c r="AL1206" s="328"/>
      <c r="AM1206" s="328"/>
      <c r="AN1206" s="328"/>
      <c r="AO1206" s="328"/>
      <c r="AP1206" s="328"/>
      <c r="AQ1206" s="328"/>
      <c r="AR1206" s="328"/>
      <c r="AS1206" s="328"/>
      <c r="AT1206" s="328"/>
      <c r="AU1206" s="328"/>
      <c r="AV1206" s="328"/>
      <c r="AW1206" s="328"/>
      <c r="AX1206" s="328"/>
      <c r="AY1206" s="954"/>
      <c r="AZ1206" s="36"/>
      <c r="BA1206" s="36"/>
      <c r="BB1206" s="36"/>
      <c r="BC1206" s="36"/>
      <c r="BD1206" s="36"/>
      <c r="BF1206">
        <f>ROWS($U$46:U1206)</f>
        <v>1161</v>
      </c>
      <c r="BG1206" t="str">
        <f t="shared" si="223"/>
        <v/>
      </c>
    </row>
    <row r="1207" spans="14:59" x14ac:dyDescent="0.35">
      <c r="O1207" s="329">
        <v>1</v>
      </c>
      <c r="P1207" s="320">
        <v>853552</v>
      </c>
      <c r="Q1207" s="320">
        <v>32</v>
      </c>
      <c r="R1207" s="320"/>
      <c r="S1207" s="552" t="s">
        <v>1207</v>
      </c>
      <c r="T1207" s="320" t="s">
        <v>1235</v>
      </c>
      <c r="U1207" s="320">
        <v>1126138</v>
      </c>
      <c r="V1207" s="319" t="s">
        <v>87</v>
      </c>
      <c r="W1207" s="320">
        <v>2</v>
      </c>
      <c r="X1207" s="320">
        <v>2</v>
      </c>
      <c r="Y1207" s="320">
        <v>2</v>
      </c>
      <c r="Z1207" s="320">
        <v>1</v>
      </c>
      <c r="AA1207" s="320">
        <v>1</v>
      </c>
      <c r="AB1207" s="320">
        <v>1</v>
      </c>
      <c r="AC1207" s="320">
        <v>1</v>
      </c>
      <c r="AD1207" s="320">
        <v>1</v>
      </c>
      <c r="AE1207" s="320">
        <v>3</v>
      </c>
      <c r="AF1207" s="320">
        <v>3</v>
      </c>
      <c r="AG1207" s="320">
        <v>4</v>
      </c>
      <c r="AH1207" s="320"/>
      <c r="AI1207" s="320"/>
      <c r="AJ1207" s="320"/>
      <c r="AK1207" s="320"/>
      <c r="AL1207" s="320"/>
      <c r="AM1207" s="320"/>
      <c r="AN1207" s="320"/>
      <c r="AO1207" s="320"/>
      <c r="AP1207" s="320"/>
      <c r="AQ1207" s="320"/>
      <c r="AR1207" s="320"/>
      <c r="AS1207" s="320"/>
      <c r="AT1207" s="320"/>
      <c r="AU1207" s="320"/>
      <c r="AV1207" s="320"/>
      <c r="AW1207" s="320"/>
      <c r="AX1207" s="320"/>
      <c r="AY1207" s="952"/>
      <c r="AZ1207" s="36"/>
      <c r="BA1207" s="36"/>
      <c r="BB1207" s="36"/>
      <c r="BC1207" s="36"/>
      <c r="BD1207" s="36"/>
      <c r="BF1207">
        <f>ROWS($U$46:U1207)</f>
        <v>1162</v>
      </c>
      <c r="BG1207" t="str">
        <f t="shared" si="223"/>
        <v/>
      </c>
    </row>
    <row r="1208" spans="14:59" x14ac:dyDescent="0.35">
      <c r="O1208" s="330">
        <v>2</v>
      </c>
      <c r="P1208" s="36">
        <v>1130198</v>
      </c>
      <c r="Q1208" s="36">
        <v>9</v>
      </c>
      <c r="R1208" s="36"/>
      <c r="S1208" s="553" t="s">
        <v>1207</v>
      </c>
      <c r="T1208" s="36" t="s">
        <v>1235</v>
      </c>
      <c r="U1208" s="36">
        <v>1126138</v>
      </c>
      <c r="V1208" s="165" t="s">
        <v>88</v>
      </c>
      <c r="W1208" s="36">
        <v>1</v>
      </c>
      <c r="X1208" s="36">
        <v>1</v>
      </c>
      <c r="Y1208" s="36">
        <v>1</v>
      </c>
      <c r="Z1208" s="36">
        <v>1</v>
      </c>
      <c r="AA1208" s="36">
        <v>3</v>
      </c>
      <c r="AB1208" s="36">
        <v>3</v>
      </c>
      <c r="AC1208" s="36">
        <v>4</v>
      </c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  <c r="AV1208" s="36"/>
      <c r="AW1208" s="36"/>
      <c r="AX1208" s="36"/>
      <c r="AY1208" s="953"/>
      <c r="AZ1208" s="36"/>
      <c r="BA1208" s="36"/>
      <c r="BB1208" s="36"/>
      <c r="BC1208" s="36"/>
      <c r="BD1208" s="36"/>
      <c r="BF1208">
        <f>ROWS($U$46:U1208)</f>
        <v>1163</v>
      </c>
      <c r="BG1208" t="str">
        <f t="shared" si="223"/>
        <v/>
      </c>
    </row>
    <row r="1209" spans="14:59" x14ac:dyDescent="0.35">
      <c r="O1209" s="330">
        <v>3</v>
      </c>
      <c r="P1209" s="36">
        <v>1130196</v>
      </c>
      <c r="Q1209" s="36">
        <v>12</v>
      </c>
      <c r="R1209" s="36"/>
      <c r="S1209" s="553" t="s">
        <v>1207</v>
      </c>
      <c r="T1209" s="36" t="s">
        <v>1235</v>
      </c>
      <c r="U1209" s="36">
        <v>1126138</v>
      </c>
      <c r="V1209" s="165" t="s">
        <v>89</v>
      </c>
      <c r="W1209" s="36">
        <v>2</v>
      </c>
      <c r="X1209" s="36">
        <v>2</v>
      </c>
      <c r="Y1209" s="36">
        <v>2</v>
      </c>
      <c r="Z1209" s="36">
        <v>1</v>
      </c>
      <c r="AA1209" s="36">
        <v>1</v>
      </c>
      <c r="AB1209" s="36">
        <v>1</v>
      </c>
      <c r="AC1209" s="36">
        <v>1</v>
      </c>
      <c r="AD1209" s="36">
        <v>3</v>
      </c>
      <c r="AE1209" s="36">
        <v>3</v>
      </c>
      <c r="AF1209" s="36">
        <v>5</v>
      </c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  <c r="AV1209" s="36"/>
      <c r="AW1209" s="36"/>
      <c r="AX1209" s="36"/>
      <c r="AY1209" s="953"/>
      <c r="AZ1209" s="36"/>
      <c r="BA1209" s="36"/>
      <c r="BB1209" s="36"/>
      <c r="BC1209" s="36"/>
      <c r="BD1209" s="36"/>
      <c r="BF1209">
        <f>ROWS($U$46:U1209)</f>
        <v>1164</v>
      </c>
      <c r="BG1209" t="str">
        <f t="shared" si="223"/>
        <v/>
      </c>
    </row>
    <row r="1210" spans="14:59" x14ac:dyDescent="0.35">
      <c r="O1210" s="330">
        <v>4</v>
      </c>
      <c r="P1210" s="36">
        <v>871781</v>
      </c>
      <c r="Q1210" s="36">
        <v>4</v>
      </c>
      <c r="R1210" s="36"/>
      <c r="S1210" s="553" t="s">
        <v>1207</v>
      </c>
      <c r="T1210" s="36" t="s">
        <v>1235</v>
      </c>
      <c r="U1210" s="36">
        <v>1126138</v>
      </c>
      <c r="V1210" s="165" t="s">
        <v>90</v>
      </c>
      <c r="W1210" s="36">
        <v>1</v>
      </c>
      <c r="X1210" s="36">
        <v>1</v>
      </c>
      <c r="Y1210" s="36">
        <v>1</v>
      </c>
      <c r="Z1210" s="36">
        <v>1</v>
      </c>
      <c r="AA1210" s="36">
        <v>1</v>
      </c>
      <c r="AB1210" s="36">
        <v>3</v>
      </c>
      <c r="AC1210" s="36">
        <v>4</v>
      </c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  <c r="AV1210" s="36"/>
      <c r="AW1210" s="36"/>
      <c r="AX1210" s="36"/>
      <c r="AY1210" s="953"/>
      <c r="AZ1210" s="36"/>
      <c r="BA1210" s="36"/>
      <c r="BB1210" s="36"/>
      <c r="BC1210" s="36"/>
      <c r="BD1210" s="36"/>
      <c r="BF1210">
        <f>ROWS($U$46:U1210)</f>
        <v>1165</v>
      </c>
      <c r="BG1210" t="str">
        <f t="shared" si="223"/>
        <v/>
      </c>
    </row>
    <row r="1211" spans="14:59" x14ac:dyDescent="0.35">
      <c r="O1211" s="330">
        <v>5</v>
      </c>
      <c r="P1211" s="36">
        <v>418525</v>
      </c>
      <c r="Q1211" s="36">
        <v>3</v>
      </c>
      <c r="R1211" s="36"/>
      <c r="S1211" s="553" t="s">
        <v>1207</v>
      </c>
      <c r="T1211" s="36" t="s">
        <v>1235</v>
      </c>
      <c r="U1211" s="36">
        <v>1126138</v>
      </c>
      <c r="V1211" s="165" t="s">
        <v>91</v>
      </c>
      <c r="W1211" s="36">
        <v>2</v>
      </c>
      <c r="X1211" s="36">
        <v>2</v>
      </c>
      <c r="Y1211" s="36">
        <v>2</v>
      </c>
      <c r="Z1211" s="36">
        <v>1</v>
      </c>
      <c r="AA1211" s="36">
        <v>1</v>
      </c>
      <c r="AB1211" s="36">
        <v>1</v>
      </c>
      <c r="AC1211" s="36">
        <v>1</v>
      </c>
      <c r="AD1211" s="36">
        <v>1</v>
      </c>
      <c r="AE1211" s="36">
        <v>3</v>
      </c>
      <c r="AF1211" s="36">
        <v>5</v>
      </c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  <c r="AV1211" s="36"/>
      <c r="AW1211" s="36"/>
      <c r="AX1211" s="36"/>
      <c r="AY1211" s="953"/>
      <c r="AZ1211" s="36"/>
      <c r="BA1211" s="36"/>
      <c r="BB1211" s="36"/>
      <c r="BC1211" s="36"/>
      <c r="BD1211" s="36"/>
      <c r="BF1211">
        <f>ROWS($U$46:U1211)</f>
        <v>1166</v>
      </c>
      <c r="BG1211" t="str">
        <f t="shared" si="223"/>
        <v/>
      </c>
    </row>
    <row r="1212" spans="14:59" x14ac:dyDescent="0.35">
      <c r="O1212" s="330"/>
      <c r="P1212" s="36"/>
      <c r="Q1212" s="36"/>
      <c r="R1212" s="36"/>
      <c r="S1212" s="553" t="s">
        <v>1207</v>
      </c>
      <c r="T1212" s="36" t="s">
        <v>1235</v>
      </c>
      <c r="U1212" s="36">
        <v>1126138</v>
      </c>
      <c r="V1212" s="165" t="s">
        <v>92</v>
      </c>
      <c r="W1212" s="36">
        <v>1</v>
      </c>
      <c r="X1212" s="36">
        <v>1</v>
      </c>
      <c r="Y1212" s="36">
        <v>1</v>
      </c>
      <c r="Z1212" s="36">
        <v>1</v>
      </c>
      <c r="AA1212" s="36">
        <v>1</v>
      </c>
      <c r="AB1212" s="36">
        <v>3</v>
      </c>
      <c r="AC1212" s="36">
        <v>3</v>
      </c>
      <c r="AD1212" s="36">
        <v>4</v>
      </c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  <c r="AV1212" s="36"/>
      <c r="AW1212" s="36"/>
      <c r="AX1212" s="36"/>
      <c r="AY1212" s="953"/>
      <c r="AZ1212" s="36"/>
      <c r="BA1212" s="36"/>
      <c r="BB1212" s="36"/>
      <c r="BC1212" s="36"/>
      <c r="BD1212" s="36"/>
      <c r="BF1212">
        <f>ROWS($U$46:U1212)</f>
        <v>1167</v>
      </c>
      <c r="BG1212" t="str">
        <f t="shared" si="223"/>
        <v/>
      </c>
    </row>
    <row r="1213" spans="14:59" ht="15" thickBot="1" x14ac:dyDescent="0.4">
      <c r="O1213" s="331"/>
      <c r="P1213" s="328"/>
      <c r="Q1213" s="328"/>
      <c r="R1213" s="328"/>
      <c r="S1213" s="554" t="s">
        <v>1207</v>
      </c>
      <c r="T1213" s="328" t="s">
        <v>1235</v>
      </c>
      <c r="U1213" s="328">
        <v>1126138</v>
      </c>
      <c r="V1213" s="327" t="s">
        <v>111</v>
      </c>
      <c r="W1213" s="328">
        <v>1</v>
      </c>
      <c r="X1213" s="328">
        <v>1</v>
      </c>
      <c r="Y1213" s="328">
        <v>1</v>
      </c>
      <c r="Z1213" s="328">
        <v>1</v>
      </c>
      <c r="AA1213" s="328">
        <v>3</v>
      </c>
      <c r="AB1213" s="328">
        <v>3</v>
      </c>
      <c r="AC1213" s="328">
        <v>5</v>
      </c>
      <c r="AD1213" s="328"/>
      <c r="AE1213" s="328"/>
      <c r="AF1213" s="328"/>
      <c r="AG1213" s="328"/>
      <c r="AH1213" s="328"/>
      <c r="AI1213" s="328"/>
      <c r="AJ1213" s="328"/>
      <c r="AK1213" s="328"/>
      <c r="AL1213" s="328"/>
      <c r="AM1213" s="328"/>
      <c r="AN1213" s="328"/>
      <c r="AO1213" s="328"/>
      <c r="AP1213" s="328"/>
      <c r="AQ1213" s="328"/>
      <c r="AR1213" s="328"/>
      <c r="AS1213" s="328"/>
      <c r="AT1213" s="328"/>
      <c r="AU1213" s="328"/>
      <c r="AV1213" s="328"/>
      <c r="AW1213" s="328"/>
      <c r="AX1213" s="328"/>
      <c r="AY1213" s="954"/>
      <c r="AZ1213" s="36"/>
      <c r="BA1213" s="36"/>
      <c r="BB1213" s="36"/>
      <c r="BC1213" s="36"/>
      <c r="BD1213" s="36"/>
      <c r="BF1213">
        <f>ROWS($U$46:U1213)</f>
        <v>1168</v>
      </c>
      <c r="BG1213" t="str">
        <f t="shared" si="223"/>
        <v/>
      </c>
    </row>
    <row r="1214" spans="14:59" x14ac:dyDescent="0.35">
      <c r="N1214">
        <f t="shared" ref="N1214:N1219" si="224">O1214*Q1214</f>
        <v>13</v>
      </c>
      <c r="O1214" s="329">
        <v>1</v>
      </c>
      <c r="P1214" s="320">
        <v>1136984</v>
      </c>
      <c r="Q1214" s="320">
        <v>13</v>
      </c>
      <c r="R1214" s="320"/>
      <c r="S1214" s="320" t="s">
        <v>1319</v>
      </c>
      <c r="T1214" s="320" t="s">
        <v>1364</v>
      </c>
      <c r="U1214" s="320">
        <v>1160951</v>
      </c>
      <c r="V1214" s="319" t="s">
        <v>87</v>
      </c>
      <c r="W1214" s="320">
        <v>5</v>
      </c>
      <c r="X1214" s="320">
        <v>2</v>
      </c>
      <c r="Y1214" s="320">
        <v>1</v>
      </c>
      <c r="Z1214" s="320">
        <v>1</v>
      </c>
      <c r="AA1214" s="320">
        <v>1</v>
      </c>
      <c r="AB1214" s="320">
        <v>6</v>
      </c>
      <c r="AC1214" s="320">
        <v>3</v>
      </c>
      <c r="AD1214" s="320"/>
      <c r="AE1214" s="320">
        <v>4</v>
      </c>
      <c r="AF1214" s="320"/>
      <c r="AG1214" s="320"/>
      <c r="AH1214" s="320"/>
      <c r="AI1214" s="320"/>
      <c r="AJ1214" s="320"/>
      <c r="AK1214" s="320"/>
      <c r="AL1214" s="320"/>
      <c r="AM1214" s="320"/>
      <c r="AN1214" s="320"/>
      <c r="AO1214" s="320"/>
      <c r="AP1214" s="320"/>
      <c r="AQ1214" s="320"/>
      <c r="AR1214" s="320"/>
      <c r="AS1214" s="320"/>
      <c r="AT1214" s="320"/>
      <c r="AU1214" s="320"/>
      <c r="AV1214" s="320"/>
      <c r="AW1214" s="320"/>
      <c r="AX1214" s="320"/>
      <c r="AY1214" s="952"/>
      <c r="AZ1214" s="36"/>
      <c r="BA1214" s="36"/>
      <c r="BB1214" s="36"/>
      <c r="BC1214" s="36"/>
      <c r="BD1214" s="36"/>
      <c r="BF1214">
        <f>ROWS($U$46:U1214)</f>
        <v>1169</v>
      </c>
      <c r="BG1214" t="str">
        <f t="shared" si="223"/>
        <v/>
      </c>
    </row>
    <row r="1215" spans="14:59" x14ac:dyDescent="0.35">
      <c r="N1215">
        <f t="shared" si="224"/>
        <v>10</v>
      </c>
      <c r="O1215" s="330">
        <v>2</v>
      </c>
      <c r="P1215" s="36">
        <v>1100696</v>
      </c>
      <c r="Q1215" s="36">
        <v>5</v>
      </c>
      <c r="R1215" s="36"/>
      <c r="S1215" s="36" t="s">
        <v>1319</v>
      </c>
      <c r="T1215" s="36" t="s">
        <v>1364</v>
      </c>
      <c r="U1215" s="36">
        <v>1160951</v>
      </c>
      <c r="V1215" s="165" t="s">
        <v>88</v>
      </c>
      <c r="W1215" s="36">
        <v>1</v>
      </c>
      <c r="X1215" s="36">
        <v>1</v>
      </c>
      <c r="Y1215" s="36">
        <v>6</v>
      </c>
      <c r="Z1215" s="36">
        <v>3</v>
      </c>
      <c r="AA1215" s="36"/>
      <c r="AB1215" s="36"/>
      <c r="AC1215" s="36"/>
      <c r="AD1215" s="36"/>
      <c r="AE1215" s="36">
        <v>4</v>
      </c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  <c r="AV1215" s="36"/>
      <c r="AW1215" s="36"/>
      <c r="AX1215" s="36"/>
      <c r="AY1215" s="953"/>
      <c r="AZ1215" s="36"/>
      <c r="BA1215" s="36"/>
      <c r="BB1215" s="36"/>
      <c r="BC1215" s="36"/>
      <c r="BD1215" s="36"/>
      <c r="BF1215">
        <f>ROWS($U$46:U1215)</f>
        <v>1170</v>
      </c>
      <c r="BG1215" t="str">
        <f t="shared" si="223"/>
        <v/>
      </c>
    </row>
    <row r="1216" spans="14:59" x14ac:dyDescent="0.35">
      <c r="N1216">
        <f t="shared" si="224"/>
        <v>18</v>
      </c>
      <c r="O1216" s="330">
        <v>3</v>
      </c>
      <c r="P1216" s="36">
        <v>418525</v>
      </c>
      <c r="Q1216" s="36">
        <v>6</v>
      </c>
      <c r="R1216" s="36"/>
      <c r="S1216" s="36" t="s">
        <v>1319</v>
      </c>
      <c r="T1216" s="36" t="s">
        <v>1364</v>
      </c>
      <c r="U1216" s="36">
        <v>1160951</v>
      </c>
      <c r="V1216" s="165" t="s">
        <v>89</v>
      </c>
      <c r="W1216" s="36">
        <v>2</v>
      </c>
      <c r="X1216" s="36">
        <v>2</v>
      </c>
      <c r="Y1216" s="36">
        <v>1</v>
      </c>
      <c r="Z1216" s="36">
        <v>1</v>
      </c>
      <c r="AA1216" s="36">
        <v>6</v>
      </c>
      <c r="AB1216" s="36">
        <v>3</v>
      </c>
      <c r="AC1216" s="36"/>
      <c r="AD1216" s="36"/>
      <c r="AE1216" s="36">
        <v>4</v>
      </c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  <c r="AV1216" s="36"/>
      <c r="AW1216" s="36"/>
      <c r="AX1216" s="36"/>
      <c r="AY1216" s="953"/>
      <c r="AZ1216" s="36"/>
      <c r="BA1216" s="36"/>
      <c r="BB1216" s="36"/>
      <c r="BC1216" s="36"/>
      <c r="BD1216" s="36"/>
      <c r="BF1216">
        <f>ROWS($U$46:U1216)</f>
        <v>1171</v>
      </c>
      <c r="BG1216" t="str">
        <f t="shared" si="223"/>
        <v/>
      </c>
    </row>
    <row r="1217" spans="14:59" x14ac:dyDescent="0.35">
      <c r="N1217">
        <f t="shared" si="224"/>
        <v>20</v>
      </c>
      <c r="O1217" s="330">
        <v>4</v>
      </c>
      <c r="P1217" s="36">
        <v>1101509</v>
      </c>
      <c r="Q1217" s="36">
        <v>5</v>
      </c>
      <c r="R1217" s="36"/>
      <c r="S1217" s="36" t="s">
        <v>1319</v>
      </c>
      <c r="T1217" s="36" t="s">
        <v>1364</v>
      </c>
      <c r="U1217" s="36">
        <v>1160951</v>
      </c>
      <c r="V1217" s="165" t="s">
        <v>90</v>
      </c>
      <c r="W1217" s="36">
        <v>1</v>
      </c>
      <c r="X1217" s="36">
        <v>1</v>
      </c>
      <c r="Y1217" s="36">
        <v>6</v>
      </c>
      <c r="Z1217" s="36">
        <v>6</v>
      </c>
      <c r="AA1217" s="36">
        <v>3</v>
      </c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  <c r="AV1217" s="36"/>
      <c r="AW1217" s="36"/>
      <c r="AX1217" s="36"/>
      <c r="AY1217" s="953"/>
      <c r="AZ1217" s="36"/>
      <c r="BA1217" s="36"/>
      <c r="BB1217" s="36"/>
      <c r="BC1217" s="36"/>
      <c r="BD1217" s="36"/>
      <c r="BF1217">
        <f>ROWS($U$46:U1217)</f>
        <v>1172</v>
      </c>
      <c r="BG1217" t="str">
        <f t="shared" si="223"/>
        <v/>
      </c>
    </row>
    <row r="1218" spans="14:59" x14ac:dyDescent="0.35">
      <c r="N1218">
        <f t="shared" si="224"/>
        <v>5</v>
      </c>
      <c r="O1218" s="330">
        <v>5</v>
      </c>
      <c r="P1218" s="36">
        <v>1104083</v>
      </c>
      <c r="Q1218" s="36">
        <v>1</v>
      </c>
      <c r="R1218" s="36"/>
      <c r="S1218" s="36" t="s">
        <v>1319</v>
      </c>
      <c r="T1218" s="36" t="s">
        <v>1364</v>
      </c>
      <c r="U1218" s="36">
        <v>1160951</v>
      </c>
      <c r="V1218" s="165" t="s">
        <v>91</v>
      </c>
      <c r="W1218" s="36">
        <v>2</v>
      </c>
      <c r="X1218" s="36">
        <v>2</v>
      </c>
      <c r="Y1218" s="36">
        <v>1</v>
      </c>
      <c r="Z1218" s="36">
        <v>1</v>
      </c>
      <c r="AA1218" s="36">
        <v>6</v>
      </c>
      <c r="AB1218" s="36">
        <v>3</v>
      </c>
      <c r="AC1218" s="36"/>
      <c r="AD1218" s="36"/>
      <c r="AE1218" s="36">
        <v>4</v>
      </c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  <c r="AV1218" s="36"/>
      <c r="AW1218" s="36"/>
      <c r="AX1218" s="36"/>
      <c r="AY1218" s="953"/>
      <c r="AZ1218" s="36"/>
      <c r="BA1218" s="36"/>
      <c r="BB1218" s="36"/>
      <c r="BC1218" s="36"/>
      <c r="BD1218" s="36"/>
      <c r="BF1218">
        <f>ROWS($U$46:U1218)</f>
        <v>1173</v>
      </c>
      <c r="BG1218" t="str">
        <f t="shared" si="223"/>
        <v/>
      </c>
    </row>
    <row r="1219" spans="14:59" ht="15" thickBot="1" x14ac:dyDescent="0.4">
      <c r="N1219">
        <f t="shared" si="224"/>
        <v>42</v>
      </c>
      <c r="O1219" s="331">
        <v>6</v>
      </c>
      <c r="P1219" s="328">
        <v>1146346</v>
      </c>
      <c r="Q1219" s="328">
        <v>7</v>
      </c>
      <c r="R1219" s="328"/>
      <c r="S1219" s="328" t="s">
        <v>1319</v>
      </c>
      <c r="T1219" s="328" t="s">
        <v>1364</v>
      </c>
      <c r="U1219" s="328">
        <v>1160951</v>
      </c>
      <c r="V1219" s="327" t="s">
        <v>92</v>
      </c>
      <c r="W1219" s="328">
        <v>1</v>
      </c>
      <c r="X1219" s="328">
        <v>1</v>
      </c>
      <c r="Y1219" s="328">
        <v>6</v>
      </c>
      <c r="Z1219" s="328">
        <v>3</v>
      </c>
      <c r="AA1219" s="328"/>
      <c r="AB1219" s="328"/>
      <c r="AC1219" s="328"/>
      <c r="AD1219" s="328"/>
      <c r="AE1219" s="328">
        <v>4</v>
      </c>
      <c r="AF1219" s="328"/>
      <c r="AG1219" s="328"/>
      <c r="AH1219" s="328"/>
      <c r="AI1219" s="328"/>
      <c r="AJ1219" s="328"/>
      <c r="AK1219" s="328"/>
      <c r="AL1219" s="328"/>
      <c r="AM1219" s="328"/>
      <c r="AN1219" s="328"/>
      <c r="AO1219" s="328"/>
      <c r="AP1219" s="328"/>
      <c r="AQ1219" s="328"/>
      <c r="AR1219" s="328"/>
      <c r="AS1219" s="328"/>
      <c r="AT1219" s="328"/>
      <c r="AU1219" s="328"/>
      <c r="AV1219" s="328"/>
      <c r="AW1219" s="328"/>
      <c r="AX1219" s="328"/>
      <c r="AY1219" s="954"/>
      <c r="AZ1219" s="36"/>
      <c r="BA1219" s="36"/>
      <c r="BB1219" s="36"/>
      <c r="BC1219" s="36"/>
      <c r="BD1219" s="36"/>
      <c r="BF1219">
        <f>ROWS($U$46:U1219)</f>
        <v>1174</v>
      </c>
      <c r="BG1219" t="str">
        <f t="shared" si="223"/>
        <v/>
      </c>
    </row>
    <row r="1220" spans="14:59" x14ac:dyDescent="0.35">
      <c r="O1220" s="329">
        <v>1</v>
      </c>
      <c r="P1220" s="320">
        <v>745576</v>
      </c>
      <c r="Q1220" s="320">
        <v>82</v>
      </c>
      <c r="R1220" s="320"/>
      <c r="S1220" s="320">
        <v>12</v>
      </c>
      <c r="T1220" s="320" t="s">
        <v>1852</v>
      </c>
      <c r="U1220" s="320">
        <v>887309</v>
      </c>
      <c r="V1220" s="319" t="s">
        <v>87</v>
      </c>
      <c r="W1220" s="320">
        <v>2</v>
      </c>
      <c r="X1220" s="320">
        <v>2</v>
      </c>
      <c r="Y1220" s="320">
        <v>2</v>
      </c>
      <c r="Z1220" s="320">
        <v>1</v>
      </c>
      <c r="AA1220" s="320">
        <v>1</v>
      </c>
      <c r="AB1220" s="320">
        <v>1</v>
      </c>
      <c r="AC1220" s="320">
        <v>1</v>
      </c>
      <c r="AD1220" s="320">
        <v>1</v>
      </c>
      <c r="AE1220" s="320">
        <v>1</v>
      </c>
      <c r="AF1220" s="320">
        <v>4</v>
      </c>
      <c r="AG1220" s="320">
        <v>3</v>
      </c>
      <c r="AH1220" s="320"/>
      <c r="AI1220" s="320">
        <v>1</v>
      </c>
      <c r="AJ1220" s="320">
        <v>1</v>
      </c>
      <c r="AK1220" s="320">
        <v>1</v>
      </c>
      <c r="AL1220" s="320">
        <v>1</v>
      </c>
      <c r="AM1220" s="320"/>
      <c r="AN1220" s="320"/>
      <c r="AO1220" s="320"/>
      <c r="AP1220" s="320"/>
      <c r="AQ1220" s="320"/>
      <c r="AR1220" s="320"/>
      <c r="AS1220" s="320"/>
      <c r="AT1220" s="320"/>
      <c r="AU1220" s="320"/>
      <c r="AV1220" s="320"/>
      <c r="AW1220" s="320"/>
      <c r="AX1220" s="320"/>
      <c r="AY1220" s="952"/>
      <c r="AZ1220" s="36"/>
      <c r="BA1220" s="36"/>
      <c r="BB1220" s="36"/>
      <c r="BC1220" s="36"/>
      <c r="BD1220" s="36"/>
      <c r="BF1220">
        <f>ROWS($U$46:U1220)</f>
        <v>1175</v>
      </c>
      <c r="BG1220" t="str">
        <f t="shared" si="223"/>
        <v/>
      </c>
    </row>
    <row r="1221" spans="14:59" x14ac:dyDescent="0.35">
      <c r="O1221" s="330">
        <v>2</v>
      </c>
      <c r="P1221" s="36">
        <v>729691</v>
      </c>
      <c r="Q1221" s="36">
        <v>9</v>
      </c>
      <c r="R1221" s="36"/>
      <c r="S1221" s="36">
        <v>12</v>
      </c>
      <c r="T1221" s="36" t="s">
        <v>1852</v>
      </c>
      <c r="U1221" s="36">
        <v>887309</v>
      </c>
      <c r="V1221" s="165" t="s">
        <v>88</v>
      </c>
      <c r="W1221" s="36">
        <v>1</v>
      </c>
      <c r="X1221" s="36">
        <v>1</v>
      </c>
      <c r="Y1221" s="36">
        <v>1</v>
      </c>
      <c r="Z1221" s="36">
        <v>1</v>
      </c>
      <c r="AA1221" s="36">
        <v>1</v>
      </c>
      <c r="AB1221" s="36">
        <v>1</v>
      </c>
      <c r="AC1221" s="36">
        <v>4</v>
      </c>
      <c r="AD1221" s="36">
        <v>4</v>
      </c>
      <c r="AE1221" s="36"/>
      <c r="AF1221" s="36"/>
      <c r="AG1221" s="36"/>
      <c r="AH1221" s="36"/>
      <c r="AI1221" s="36">
        <v>1</v>
      </c>
      <c r="AJ1221" s="36">
        <v>1</v>
      </c>
      <c r="AK1221" s="36">
        <v>1</v>
      </c>
      <c r="AL1221" s="36">
        <v>1</v>
      </c>
      <c r="AM1221" s="36">
        <v>1</v>
      </c>
      <c r="AN1221" s="36"/>
      <c r="AO1221" s="36"/>
      <c r="AP1221" s="36"/>
      <c r="AQ1221" s="36"/>
      <c r="AR1221" s="36"/>
      <c r="AS1221" s="36"/>
      <c r="AT1221" s="36"/>
      <c r="AU1221" s="36"/>
      <c r="AV1221" s="36"/>
      <c r="AW1221" s="36"/>
      <c r="AX1221" s="36"/>
      <c r="AY1221" s="953"/>
      <c r="AZ1221" s="36"/>
      <c r="BA1221" s="36"/>
      <c r="BB1221" s="36"/>
      <c r="BC1221" s="36"/>
      <c r="BD1221" s="36"/>
      <c r="BF1221">
        <f>ROWS($U$46:U1221)</f>
        <v>1176</v>
      </c>
      <c r="BG1221" t="str">
        <f t="shared" si="223"/>
        <v/>
      </c>
    </row>
    <row r="1222" spans="14:59" x14ac:dyDescent="0.35">
      <c r="O1222" s="330">
        <v>3</v>
      </c>
      <c r="P1222" s="36">
        <v>871781</v>
      </c>
      <c r="Q1222" s="36">
        <v>4</v>
      </c>
      <c r="R1222" s="36"/>
      <c r="S1222" s="36">
        <v>12</v>
      </c>
      <c r="T1222" s="36" t="s">
        <v>1852</v>
      </c>
      <c r="U1222" s="36">
        <v>887309</v>
      </c>
      <c r="V1222" s="165" t="s">
        <v>89</v>
      </c>
      <c r="W1222" s="36">
        <v>1</v>
      </c>
      <c r="X1222" s="36">
        <v>1</v>
      </c>
      <c r="Y1222" s="36">
        <v>1</v>
      </c>
      <c r="Z1222" s="36">
        <v>1</v>
      </c>
      <c r="AA1222" s="36">
        <v>1</v>
      </c>
      <c r="AB1222" s="36">
        <v>1</v>
      </c>
      <c r="AC1222" s="36">
        <v>4</v>
      </c>
      <c r="AD1222" s="36">
        <v>3</v>
      </c>
      <c r="AE1222" s="36"/>
      <c r="AF1222" s="36"/>
      <c r="AG1222" s="36"/>
      <c r="AH1222" s="36"/>
      <c r="AI1222" s="36">
        <v>1</v>
      </c>
      <c r="AJ1222" s="36">
        <v>1</v>
      </c>
      <c r="AK1222" s="36">
        <v>1</v>
      </c>
      <c r="AL1222" s="36">
        <v>1</v>
      </c>
      <c r="AM1222" s="36">
        <v>1</v>
      </c>
      <c r="AN1222" s="36"/>
      <c r="AO1222" s="36"/>
      <c r="AP1222" s="36"/>
      <c r="AQ1222" s="36"/>
      <c r="AR1222" s="36"/>
      <c r="AS1222" s="36"/>
      <c r="AT1222" s="36"/>
      <c r="AU1222" s="36"/>
      <c r="AV1222" s="36"/>
      <c r="AW1222" s="36"/>
      <c r="AX1222" s="36"/>
      <c r="AY1222" s="953"/>
      <c r="AZ1222" s="36"/>
      <c r="BA1222" s="36"/>
      <c r="BB1222" s="36"/>
      <c r="BC1222" s="36"/>
      <c r="BD1222" s="36"/>
      <c r="BF1222">
        <f>ROWS($U$46:U1222)</f>
        <v>1177</v>
      </c>
      <c r="BG1222" t="str">
        <f t="shared" si="223"/>
        <v/>
      </c>
    </row>
    <row r="1223" spans="14:59" x14ac:dyDescent="0.35">
      <c r="O1223" s="330">
        <v>4</v>
      </c>
      <c r="P1223" s="36">
        <v>418525</v>
      </c>
      <c r="Q1223" s="36">
        <v>12</v>
      </c>
      <c r="R1223" s="36"/>
      <c r="S1223" s="36">
        <v>12</v>
      </c>
      <c r="T1223" s="36" t="s">
        <v>1852</v>
      </c>
      <c r="U1223" s="36">
        <v>887309</v>
      </c>
      <c r="V1223" s="165" t="s">
        <v>90</v>
      </c>
      <c r="W1223" s="36">
        <v>2</v>
      </c>
      <c r="X1223" s="36">
        <v>2</v>
      </c>
      <c r="Y1223" s="36">
        <v>2</v>
      </c>
      <c r="Z1223" s="36">
        <v>1</v>
      </c>
      <c r="AA1223" s="36">
        <v>1</v>
      </c>
      <c r="AB1223" s="36">
        <v>1</v>
      </c>
      <c r="AC1223" s="36">
        <v>1</v>
      </c>
      <c r="AD1223" s="36">
        <v>1</v>
      </c>
      <c r="AE1223" s="36">
        <v>1</v>
      </c>
      <c r="AF1223" s="36">
        <v>4</v>
      </c>
      <c r="AG1223" s="36">
        <v>4</v>
      </c>
      <c r="AH1223" s="36"/>
      <c r="AI1223" s="36">
        <v>1</v>
      </c>
      <c r="AJ1223" s="36">
        <v>1</v>
      </c>
      <c r="AK1223" s="36">
        <v>1</v>
      </c>
      <c r="AL1223" s="36">
        <v>1</v>
      </c>
      <c r="AM1223" s="36"/>
      <c r="AN1223" s="36"/>
      <c r="AO1223" s="36"/>
      <c r="AP1223" s="36"/>
      <c r="AQ1223" s="36"/>
      <c r="AR1223" s="36"/>
      <c r="AS1223" s="36"/>
      <c r="AT1223" s="36"/>
      <c r="AU1223" s="36"/>
      <c r="AV1223" s="36"/>
      <c r="AW1223" s="36"/>
      <c r="AX1223" s="36"/>
      <c r="AY1223" s="953"/>
      <c r="AZ1223" s="36"/>
      <c r="BA1223" s="36"/>
      <c r="BB1223" s="36"/>
      <c r="BC1223" s="36"/>
      <c r="BD1223" s="36"/>
      <c r="BF1223">
        <f>ROWS($U$46:U1223)</f>
        <v>1178</v>
      </c>
      <c r="BG1223" t="str">
        <f t="shared" si="223"/>
        <v/>
      </c>
    </row>
    <row r="1224" spans="14:59" x14ac:dyDescent="0.35">
      <c r="O1224" s="330"/>
      <c r="P1224" s="36"/>
      <c r="Q1224" s="36"/>
      <c r="R1224" s="36"/>
      <c r="S1224" s="36">
        <v>12</v>
      </c>
      <c r="T1224" s="36" t="s">
        <v>1852</v>
      </c>
      <c r="U1224" s="36">
        <v>887309</v>
      </c>
      <c r="V1224" s="165" t="s">
        <v>91</v>
      </c>
      <c r="W1224" s="36">
        <v>1</v>
      </c>
      <c r="X1224" s="36">
        <v>1</v>
      </c>
      <c r="Y1224" s="36">
        <v>1</v>
      </c>
      <c r="Z1224" s="36">
        <v>1</v>
      </c>
      <c r="AA1224" s="36">
        <v>1</v>
      </c>
      <c r="AB1224" s="36">
        <v>1</v>
      </c>
      <c r="AC1224" s="36">
        <v>4</v>
      </c>
      <c r="AD1224" s="36">
        <v>3</v>
      </c>
      <c r="AE1224" s="36"/>
      <c r="AF1224" s="36"/>
      <c r="AG1224" s="36"/>
      <c r="AH1224" s="36"/>
      <c r="AI1224" s="36">
        <v>1</v>
      </c>
      <c r="AJ1224" s="36">
        <v>1</v>
      </c>
      <c r="AK1224" s="36">
        <v>1</v>
      </c>
      <c r="AL1224" s="36">
        <v>1</v>
      </c>
      <c r="AM1224" s="36"/>
      <c r="AN1224" s="36"/>
      <c r="AO1224" s="36"/>
      <c r="AP1224" s="36"/>
      <c r="AQ1224" s="36"/>
      <c r="AR1224" s="36"/>
      <c r="AS1224" s="36"/>
      <c r="AT1224" s="36"/>
      <c r="AU1224" s="36"/>
      <c r="AV1224" s="36"/>
      <c r="AW1224" s="36"/>
      <c r="AX1224" s="36"/>
      <c r="AY1224" s="953"/>
      <c r="AZ1224" s="36"/>
      <c r="BA1224" s="36"/>
      <c r="BB1224" s="36"/>
      <c r="BC1224" s="36"/>
      <c r="BD1224" s="36"/>
      <c r="BF1224">
        <f>ROWS($U$46:U1224)</f>
        <v>1179</v>
      </c>
      <c r="BG1224" t="str">
        <f t="shared" si="223"/>
        <v/>
      </c>
    </row>
    <row r="1225" spans="14:59" x14ac:dyDescent="0.35">
      <c r="O1225" s="330"/>
      <c r="P1225" s="36"/>
      <c r="Q1225" s="36"/>
      <c r="R1225" s="36"/>
      <c r="S1225" s="36">
        <v>12</v>
      </c>
      <c r="T1225" s="36" t="s">
        <v>1852</v>
      </c>
      <c r="U1225" s="36">
        <v>887309</v>
      </c>
      <c r="V1225" s="165" t="s">
        <v>92</v>
      </c>
      <c r="W1225" s="36">
        <v>2</v>
      </c>
      <c r="X1225" s="36">
        <v>2</v>
      </c>
      <c r="Y1225" s="36">
        <v>2</v>
      </c>
      <c r="Z1225" s="36">
        <v>1</v>
      </c>
      <c r="AA1225" s="36">
        <v>1</v>
      </c>
      <c r="AB1225" s="36">
        <v>1</v>
      </c>
      <c r="AC1225" s="36">
        <v>1</v>
      </c>
      <c r="AD1225" s="36">
        <v>1</v>
      </c>
      <c r="AE1225" s="36">
        <v>1</v>
      </c>
      <c r="AF1225" s="36">
        <v>4</v>
      </c>
      <c r="AG1225" s="36">
        <v>4</v>
      </c>
      <c r="AH1225" s="36"/>
      <c r="AI1225" s="36">
        <v>1</v>
      </c>
      <c r="AJ1225" s="36">
        <v>1</v>
      </c>
      <c r="AK1225" s="36">
        <v>1</v>
      </c>
      <c r="AL1225" s="36">
        <v>1</v>
      </c>
      <c r="AM1225" s="36"/>
      <c r="AN1225" s="36"/>
      <c r="AO1225" s="36"/>
      <c r="AP1225" s="36"/>
      <c r="AQ1225" s="36"/>
      <c r="AR1225" s="36"/>
      <c r="AS1225" s="36"/>
      <c r="AT1225" s="36"/>
      <c r="AU1225" s="36"/>
      <c r="AV1225" s="36"/>
      <c r="AW1225" s="36"/>
      <c r="AX1225" s="36"/>
      <c r="AY1225" s="953"/>
      <c r="AZ1225" s="36"/>
      <c r="BA1225" s="36"/>
      <c r="BB1225" s="36"/>
      <c r="BC1225" s="36"/>
      <c r="BD1225" s="36"/>
      <c r="BF1225">
        <f>ROWS($U$46:U1225)</f>
        <v>1180</v>
      </c>
      <c r="BG1225" t="str">
        <f t="shared" si="223"/>
        <v/>
      </c>
    </row>
    <row r="1226" spans="14:59" x14ac:dyDescent="0.35">
      <c r="O1226" s="330"/>
      <c r="P1226" s="36"/>
      <c r="Q1226" s="36"/>
      <c r="R1226" s="36"/>
      <c r="S1226" s="36">
        <v>12</v>
      </c>
      <c r="T1226" s="36" t="s">
        <v>1852</v>
      </c>
      <c r="U1226" s="36">
        <v>887309</v>
      </c>
      <c r="V1226" s="165" t="s">
        <v>111</v>
      </c>
      <c r="W1226" s="36">
        <v>1</v>
      </c>
      <c r="X1226" s="36">
        <v>1</v>
      </c>
      <c r="Y1226" s="36">
        <v>1</v>
      </c>
      <c r="Z1226" s="36">
        <v>1</v>
      </c>
      <c r="AA1226" s="36">
        <v>1</v>
      </c>
      <c r="AB1226" s="36">
        <v>1</v>
      </c>
      <c r="AC1226" s="36">
        <v>4</v>
      </c>
      <c r="AD1226" s="36">
        <v>3</v>
      </c>
      <c r="AE1226" s="36"/>
      <c r="AF1226" s="36"/>
      <c r="AG1226" s="36"/>
      <c r="AH1226" s="36"/>
      <c r="AI1226" s="36">
        <v>1</v>
      </c>
      <c r="AJ1226" s="36">
        <v>1</v>
      </c>
      <c r="AK1226" s="36">
        <v>1</v>
      </c>
      <c r="AL1226" s="36">
        <v>1</v>
      </c>
      <c r="AM1226" s="36"/>
      <c r="AN1226" s="36"/>
      <c r="AO1226" s="36"/>
      <c r="AP1226" s="36"/>
      <c r="AQ1226" s="36"/>
      <c r="AR1226" s="36"/>
      <c r="AS1226" s="36"/>
      <c r="AT1226" s="36"/>
      <c r="AU1226" s="36"/>
      <c r="AV1226" s="36"/>
      <c r="AW1226" s="36"/>
      <c r="AX1226" s="36"/>
      <c r="AY1226" s="953"/>
      <c r="AZ1226" s="36"/>
      <c r="BA1226" s="36"/>
      <c r="BB1226" s="36"/>
      <c r="BC1226" s="36"/>
      <c r="BD1226" s="36"/>
      <c r="BF1226">
        <f>ROWS($U$46:U1226)</f>
        <v>1181</v>
      </c>
      <c r="BG1226" t="str">
        <f t="shared" si="223"/>
        <v/>
      </c>
    </row>
    <row r="1227" spans="14:59" ht="15" thickBot="1" x14ac:dyDescent="0.4">
      <c r="O1227" s="331"/>
      <c r="P1227" s="328"/>
      <c r="Q1227" s="328"/>
      <c r="R1227" s="328"/>
      <c r="S1227" s="328">
        <v>12</v>
      </c>
      <c r="T1227" s="328" t="s">
        <v>1852</v>
      </c>
      <c r="U1227" s="328">
        <v>887309</v>
      </c>
      <c r="V1227" s="327" t="s">
        <v>112</v>
      </c>
      <c r="W1227" s="328">
        <v>1</v>
      </c>
      <c r="X1227" s="328">
        <v>1</v>
      </c>
      <c r="Y1227" s="328">
        <v>1</v>
      </c>
      <c r="Z1227" s="328">
        <v>1</v>
      </c>
      <c r="AA1227" s="328">
        <v>1</v>
      </c>
      <c r="AB1227" s="328">
        <v>1</v>
      </c>
      <c r="AC1227" s="328">
        <v>4</v>
      </c>
      <c r="AD1227" s="328">
        <v>4</v>
      </c>
      <c r="AE1227" s="328"/>
      <c r="AF1227" s="328"/>
      <c r="AG1227" s="328"/>
      <c r="AH1227" s="328"/>
      <c r="AI1227" s="328">
        <v>1</v>
      </c>
      <c r="AJ1227" s="328">
        <v>1</v>
      </c>
      <c r="AK1227" s="328">
        <v>1</v>
      </c>
      <c r="AL1227" s="328">
        <v>1</v>
      </c>
      <c r="AM1227" s="328"/>
      <c r="AN1227" s="328"/>
      <c r="AO1227" s="328"/>
      <c r="AP1227" s="328"/>
      <c r="AQ1227" s="328"/>
      <c r="AR1227" s="328"/>
      <c r="AS1227" s="328"/>
      <c r="AT1227" s="328"/>
      <c r="AU1227" s="328"/>
      <c r="AV1227" s="328"/>
      <c r="AW1227" s="328"/>
      <c r="AX1227" s="328"/>
      <c r="AY1227" s="954"/>
      <c r="AZ1227" s="36"/>
      <c r="BA1227" s="36"/>
      <c r="BB1227" s="36"/>
      <c r="BC1227" s="36"/>
      <c r="BD1227" s="36"/>
      <c r="BF1227">
        <f>ROWS($U$46:U1227)</f>
        <v>1182</v>
      </c>
      <c r="BG1227" t="str">
        <f t="shared" si="223"/>
        <v/>
      </c>
    </row>
    <row r="1228" spans="14:59" x14ac:dyDescent="0.35">
      <c r="O1228" s="329">
        <v>1</v>
      </c>
      <c r="P1228" s="320">
        <v>729691</v>
      </c>
      <c r="Q1228" s="320">
        <v>33</v>
      </c>
      <c r="R1228" s="320"/>
      <c r="S1228" s="320" t="s">
        <v>1198</v>
      </c>
      <c r="T1228" s="320" t="s">
        <v>1321</v>
      </c>
      <c r="U1228" s="320">
        <v>979843</v>
      </c>
      <c r="V1228" s="319" t="s">
        <v>87</v>
      </c>
      <c r="W1228" s="320">
        <v>1</v>
      </c>
      <c r="X1228" s="320">
        <v>1</v>
      </c>
      <c r="Y1228" s="320">
        <v>1</v>
      </c>
      <c r="Z1228" s="320">
        <v>1</v>
      </c>
      <c r="AA1228" s="320">
        <v>1</v>
      </c>
      <c r="AB1228" s="320">
        <v>1</v>
      </c>
      <c r="AC1228" s="320">
        <v>1</v>
      </c>
      <c r="AD1228" s="320">
        <v>3</v>
      </c>
      <c r="AE1228" s="320">
        <v>3</v>
      </c>
      <c r="AF1228" s="320"/>
      <c r="AG1228" s="320">
        <v>2</v>
      </c>
      <c r="AH1228" s="320">
        <v>2</v>
      </c>
      <c r="AI1228" s="320">
        <v>2</v>
      </c>
      <c r="AJ1228" s="320">
        <v>2</v>
      </c>
      <c r="AK1228" s="320"/>
      <c r="AL1228" s="320"/>
      <c r="AM1228" s="320"/>
      <c r="AN1228" s="320"/>
      <c r="AO1228" s="320"/>
      <c r="AP1228" s="320"/>
      <c r="AQ1228" s="320"/>
      <c r="AR1228" s="320"/>
      <c r="AS1228" s="320"/>
      <c r="AT1228" s="320"/>
      <c r="AU1228" s="320"/>
      <c r="AV1228" s="320"/>
      <c r="AW1228" s="320"/>
      <c r="AX1228" s="320"/>
      <c r="AY1228" s="952"/>
      <c r="AZ1228" s="36"/>
      <c r="BA1228" s="36"/>
      <c r="BB1228" s="36"/>
      <c r="BC1228" s="36"/>
      <c r="BD1228" s="36"/>
      <c r="BF1228">
        <f>ROWS($U$46:U1228)</f>
        <v>1183</v>
      </c>
      <c r="BG1228" t="str">
        <f t="shared" si="223"/>
        <v/>
      </c>
    </row>
    <row r="1229" spans="14:59" x14ac:dyDescent="0.35">
      <c r="O1229" s="330">
        <v>2</v>
      </c>
      <c r="P1229" s="36">
        <v>729690</v>
      </c>
      <c r="Q1229" s="36">
        <v>23</v>
      </c>
      <c r="R1229" s="36"/>
      <c r="S1229" s="36" t="s">
        <v>1198</v>
      </c>
      <c r="T1229" s="36" t="s">
        <v>1321</v>
      </c>
      <c r="U1229" s="36">
        <v>979843</v>
      </c>
      <c r="V1229" s="165" t="s">
        <v>88</v>
      </c>
      <c r="W1229" s="36">
        <v>1</v>
      </c>
      <c r="X1229" s="36">
        <v>1</v>
      </c>
      <c r="Y1229" s="36">
        <v>1</v>
      </c>
      <c r="Z1229" s="36">
        <v>1</v>
      </c>
      <c r="AA1229" s="36">
        <v>3</v>
      </c>
      <c r="AB1229" s="36">
        <v>3</v>
      </c>
      <c r="AC1229" s="36"/>
      <c r="AD1229" s="36"/>
      <c r="AE1229" s="36"/>
      <c r="AF1229" s="36"/>
      <c r="AG1229" s="36">
        <v>2</v>
      </c>
      <c r="AH1229" s="36">
        <v>2</v>
      </c>
      <c r="AI1229" s="36">
        <v>2</v>
      </c>
      <c r="AJ1229" s="36">
        <v>2</v>
      </c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  <c r="AV1229" s="36"/>
      <c r="AW1229" s="36"/>
      <c r="AX1229" s="36"/>
      <c r="AY1229" s="953"/>
      <c r="AZ1229" s="36"/>
      <c r="BA1229" s="36"/>
      <c r="BB1229" s="36"/>
      <c r="BC1229" s="36"/>
      <c r="BD1229" s="36"/>
      <c r="BF1229">
        <f>ROWS($U$46:U1229)</f>
        <v>1184</v>
      </c>
      <c r="BG1229" t="str">
        <f t="shared" si="223"/>
        <v/>
      </c>
    </row>
    <row r="1230" spans="14:59" x14ac:dyDescent="0.35">
      <c r="O1230" s="330">
        <v>3</v>
      </c>
      <c r="P1230" s="36">
        <v>418525</v>
      </c>
      <c r="Q1230" s="36">
        <v>12</v>
      </c>
      <c r="R1230" s="36"/>
      <c r="S1230" s="36" t="s">
        <v>1198</v>
      </c>
      <c r="T1230" s="36" t="s">
        <v>1321</v>
      </c>
      <c r="U1230" s="36">
        <v>979843</v>
      </c>
      <c r="V1230" s="165" t="s">
        <v>89</v>
      </c>
      <c r="W1230" s="36">
        <v>1</v>
      </c>
      <c r="X1230" s="36">
        <v>1</v>
      </c>
      <c r="Y1230" s="36">
        <v>1</v>
      </c>
      <c r="Z1230" s="36">
        <v>1</v>
      </c>
      <c r="AA1230" s="36">
        <v>1</v>
      </c>
      <c r="AB1230" s="36">
        <v>1</v>
      </c>
      <c r="AC1230" s="36">
        <v>3</v>
      </c>
      <c r="AD1230" s="36">
        <v>3</v>
      </c>
      <c r="AE1230" s="36"/>
      <c r="AF1230" s="36"/>
      <c r="AG1230" s="36">
        <v>2</v>
      </c>
      <c r="AH1230" s="36">
        <v>2</v>
      </c>
      <c r="AI1230" s="36">
        <v>2</v>
      </c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  <c r="AV1230" s="36"/>
      <c r="AW1230" s="36"/>
      <c r="AX1230" s="36"/>
      <c r="AY1230" s="953"/>
      <c r="AZ1230" s="36"/>
      <c r="BA1230" s="36"/>
      <c r="BB1230" s="36"/>
      <c r="BC1230" s="36"/>
      <c r="BD1230" s="36"/>
      <c r="BF1230">
        <f>ROWS($U$46:U1230)</f>
        <v>1185</v>
      </c>
      <c r="BG1230" t="str">
        <f t="shared" si="223"/>
        <v/>
      </c>
    </row>
    <row r="1231" spans="14:59" x14ac:dyDescent="0.35">
      <c r="O1231" s="330"/>
      <c r="P1231" s="36"/>
      <c r="Q1231" s="36"/>
      <c r="R1231" s="36"/>
      <c r="S1231" s="36" t="s">
        <v>1198</v>
      </c>
      <c r="T1231" s="36" t="s">
        <v>1321</v>
      </c>
      <c r="U1231" s="36">
        <v>979843</v>
      </c>
      <c r="V1231" s="165" t="s">
        <v>90</v>
      </c>
      <c r="W1231" s="36">
        <v>1</v>
      </c>
      <c r="X1231" s="36">
        <v>1</v>
      </c>
      <c r="Y1231" s="36">
        <v>1</v>
      </c>
      <c r="Z1231" s="36">
        <v>1</v>
      </c>
      <c r="AA1231" s="36">
        <v>1</v>
      </c>
      <c r="AB1231" s="36">
        <v>3</v>
      </c>
      <c r="AC1231" s="36">
        <v>3</v>
      </c>
      <c r="AD1231" s="36"/>
      <c r="AE1231" s="36"/>
      <c r="AF1231" s="36"/>
      <c r="AG1231" s="36">
        <v>2</v>
      </c>
      <c r="AH1231" s="36">
        <v>2</v>
      </c>
      <c r="AI1231" s="36">
        <v>2</v>
      </c>
      <c r="AJ1231" s="36">
        <v>2</v>
      </c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  <c r="AV1231" s="36"/>
      <c r="AW1231" s="36"/>
      <c r="AX1231" s="36"/>
      <c r="AY1231" s="953"/>
      <c r="AZ1231" s="36"/>
      <c r="BA1231" s="36"/>
      <c r="BB1231" s="36"/>
      <c r="BC1231" s="36"/>
      <c r="BD1231" s="36"/>
      <c r="BF1231">
        <f>ROWS($U$46:U1231)</f>
        <v>1186</v>
      </c>
      <c r="BG1231" t="str">
        <f t="shared" si="223"/>
        <v/>
      </c>
    </row>
    <row r="1232" spans="14:59" x14ac:dyDescent="0.35">
      <c r="O1232" s="330"/>
      <c r="P1232" s="36"/>
      <c r="Q1232" s="36"/>
      <c r="R1232" s="36"/>
      <c r="S1232" s="36" t="s">
        <v>1198</v>
      </c>
      <c r="T1232" s="36" t="s">
        <v>1321</v>
      </c>
      <c r="U1232" s="36">
        <v>979843</v>
      </c>
      <c r="V1232" s="165" t="s">
        <v>91</v>
      </c>
      <c r="W1232" s="36">
        <v>1</v>
      </c>
      <c r="X1232" s="36">
        <v>1</v>
      </c>
      <c r="Y1232" s="36">
        <v>1</v>
      </c>
      <c r="Z1232" s="36">
        <v>1</v>
      </c>
      <c r="AA1232" s="36">
        <v>1</v>
      </c>
      <c r="AB1232" s="36">
        <v>1</v>
      </c>
      <c r="AC1232" s="36">
        <v>1</v>
      </c>
      <c r="AD1232" s="36">
        <v>3</v>
      </c>
      <c r="AE1232" s="36">
        <v>3</v>
      </c>
      <c r="AF1232" s="36"/>
      <c r="AG1232" s="36">
        <v>2</v>
      </c>
      <c r="AH1232" s="36">
        <v>2</v>
      </c>
      <c r="AI1232" s="36">
        <v>2</v>
      </c>
      <c r="AJ1232" s="36">
        <v>2</v>
      </c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  <c r="AV1232" s="36"/>
      <c r="AW1232" s="36"/>
      <c r="AX1232" s="36"/>
      <c r="AY1232" s="953"/>
      <c r="AZ1232" s="36"/>
      <c r="BA1232" s="36"/>
      <c r="BB1232" s="36"/>
      <c r="BC1232" s="36"/>
      <c r="BD1232" s="36"/>
      <c r="BF1232">
        <f>ROWS($U$46:U1232)</f>
        <v>1187</v>
      </c>
      <c r="BG1232" t="str">
        <f t="shared" si="223"/>
        <v/>
      </c>
    </row>
    <row r="1233" spans="15:59" ht="15" thickBot="1" x14ac:dyDescent="0.4">
      <c r="O1233" s="331"/>
      <c r="P1233" s="328"/>
      <c r="Q1233" s="328"/>
      <c r="R1233" s="328"/>
      <c r="S1233" s="328" t="s">
        <v>1198</v>
      </c>
      <c r="T1233" s="328" t="s">
        <v>1321</v>
      </c>
      <c r="U1233" s="328">
        <v>979843</v>
      </c>
      <c r="V1233" s="327" t="s">
        <v>92</v>
      </c>
      <c r="W1233" s="328">
        <v>1</v>
      </c>
      <c r="X1233" s="328">
        <v>1</v>
      </c>
      <c r="Y1233" s="328">
        <v>1</v>
      </c>
      <c r="Z1233" s="328">
        <v>1</v>
      </c>
      <c r="AA1233" s="328">
        <v>3</v>
      </c>
      <c r="AB1233" s="328">
        <v>3</v>
      </c>
      <c r="AC1233" s="328"/>
      <c r="AD1233" s="328"/>
      <c r="AE1233" s="328"/>
      <c r="AF1233" s="328"/>
      <c r="AG1233" s="328">
        <v>2</v>
      </c>
      <c r="AH1233" s="328">
        <v>2</v>
      </c>
      <c r="AI1233" s="328">
        <v>2</v>
      </c>
      <c r="AJ1233" s="328">
        <v>2</v>
      </c>
      <c r="AK1233" s="328"/>
      <c r="AL1233" s="328"/>
      <c r="AM1233" s="328"/>
      <c r="AN1233" s="328"/>
      <c r="AO1233" s="328"/>
      <c r="AP1233" s="328"/>
      <c r="AQ1233" s="328"/>
      <c r="AR1233" s="328"/>
      <c r="AS1233" s="328"/>
      <c r="AT1233" s="328"/>
      <c r="AU1233" s="328"/>
      <c r="AV1233" s="328"/>
      <c r="AW1233" s="328"/>
      <c r="AX1233" s="328"/>
      <c r="AY1233" s="954"/>
      <c r="AZ1233" s="36"/>
      <c r="BA1233" s="36"/>
      <c r="BB1233" s="36"/>
      <c r="BC1233" s="36"/>
      <c r="BD1233" s="36"/>
      <c r="BF1233">
        <f>ROWS($U$46:U1233)</f>
        <v>1188</v>
      </c>
      <c r="BG1233" t="str">
        <f t="shared" si="223"/>
        <v/>
      </c>
    </row>
    <row r="1234" spans="15:59" x14ac:dyDescent="0.35">
      <c r="O1234" s="329">
        <v>1</v>
      </c>
      <c r="P1234" s="320">
        <v>638561</v>
      </c>
      <c r="Q1234" s="320">
        <v>25</v>
      </c>
      <c r="R1234" s="320"/>
      <c r="S1234" s="320" t="s">
        <v>1200</v>
      </c>
      <c r="T1234" s="320" t="s">
        <v>1923</v>
      </c>
      <c r="U1234" s="320">
        <v>709378</v>
      </c>
      <c r="V1234" s="319" t="s">
        <v>87</v>
      </c>
      <c r="W1234" s="320"/>
      <c r="X1234" s="320"/>
      <c r="Y1234" s="320"/>
      <c r="Z1234" s="320"/>
      <c r="AA1234" s="320"/>
      <c r="AB1234" s="320"/>
      <c r="AC1234" s="320"/>
      <c r="AD1234" s="320"/>
      <c r="AE1234" s="320"/>
      <c r="AF1234" s="320"/>
      <c r="AG1234" s="320"/>
      <c r="AH1234" s="320"/>
      <c r="AI1234" s="320"/>
      <c r="AJ1234" s="320"/>
      <c r="AK1234" s="320"/>
      <c r="AL1234" s="320"/>
      <c r="AM1234" s="320"/>
      <c r="AN1234" s="320"/>
      <c r="AO1234" s="320"/>
      <c r="AP1234" s="320"/>
      <c r="AQ1234" s="320"/>
      <c r="AR1234" s="320"/>
      <c r="AS1234" s="320"/>
      <c r="AT1234" s="320"/>
      <c r="AU1234" s="320"/>
      <c r="AV1234" s="320"/>
      <c r="AW1234" s="320"/>
      <c r="AX1234" s="320"/>
      <c r="AY1234" s="952"/>
      <c r="AZ1234" s="36"/>
      <c r="BA1234" s="36"/>
      <c r="BB1234" s="36"/>
      <c r="BC1234" s="36"/>
      <c r="BD1234" s="36"/>
      <c r="BF1234">
        <f>ROWS($U$46:U1234)</f>
        <v>1189</v>
      </c>
      <c r="BG1234" t="str">
        <f t="shared" si="223"/>
        <v/>
      </c>
    </row>
    <row r="1235" spans="15:59" x14ac:dyDescent="0.35">
      <c r="O1235" s="330">
        <v>2</v>
      </c>
      <c r="P1235" s="36">
        <v>638560</v>
      </c>
      <c r="Q1235" s="36">
        <v>15</v>
      </c>
      <c r="R1235" s="36"/>
      <c r="S1235" s="36" t="s">
        <v>1200</v>
      </c>
      <c r="T1235" s="36" t="s">
        <v>1923</v>
      </c>
      <c r="U1235" s="36">
        <v>709378</v>
      </c>
      <c r="V1235" s="165" t="s">
        <v>88</v>
      </c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  <c r="AV1235" s="36"/>
      <c r="AW1235" s="36"/>
      <c r="AX1235" s="36"/>
      <c r="AY1235" s="953"/>
      <c r="AZ1235" s="36"/>
      <c r="BA1235" s="36"/>
      <c r="BB1235" s="36"/>
      <c r="BC1235" s="36"/>
      <c r="BD1235" s="36"/>
      <c r="BF1235">
        <f>ROWS($U$46:U1235)</f>
        <v>1190</v>
      </c>
      <c r="BG1235" t="str">
        <f t="shared" si="223"/>
        <v/>
      </c>
    </row>
    <row r="1236" spans="15:59" x14ac:dyDescent="0.35">
      <c r="O1236" s="330">
        <v>3</v>
      </c>
      <c r="P1236" s="36">
        <v>418525</v>
      </c>
      <c r="Q1236" s="36">
        <v>6</v>
      </c>
      <c r="R1236" s="36"/>
      <c r="S1236" s="36" t="s">
        <v>1200</v>
      </c>
      <c r="T1236" s="36" t="s">
        <v>1923</v>
      </c>
      <c r="U1236" s="36">
        <v>709378</v>
      </c>
      <c r="V1236" s="165" t="s">
        <v>89</v>
      </c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  <c r="AV1236" s="36"/>
      <c r="AW1236" s="36"/>
      <c r="AX1236" s="36"/>
      <c r="AY1236" s="953"/>
      <c r="AZ1236" s="36"/>
      <c r="BA1236" s="36"/>
      <c r="BB1236" s="36"/>
      <c r="BC1236" s="36"/>
      <c r="BD1236" s="36"/>
      <c r="BF1236">
        <f>ROWS($U$46:U1236)</f>
        <v>1191</v>
      </c>
      <c r="BG1236" t="str">
        <f t="shared" si="223"/>
        <v/>
      </c>
    </row>
    <row r="1237" spans="15:59" ht="15" thickBot="1" x14ac:dyDescent="0.4">
      <c r="O1237" s="331">
        <v>4</v>
      </c>
      <c r="P1237" s="328">
        <v>871781</v>
      </c>
      <c r="Q1237" s="328">
        <v>2</v>
      </c>
      <c r="R1237" s="328"/>
      <c r="S1237" s="328" t="s">
        <v>1200</v>
      </c>
      <c r="T1237" s="328" t="s">
        <v>1923</v>
      </c>
      <c r="U1237" s="328">
        <v>709378</v>
      </c>
      <c r="V1237" s="327" t="s">
        <v>90</v>
      </c>
      <c r="W1237" s="328"/>
      <c r="X1237" s="328"/>
      <c r="Y1237" s="328"/>
      <c r="Z1237" s="328"/>
      <c r="AA1237" s="328"/>
      <c r="AB1237" s="328"/>
      <c r="AC1237" s="328"/>
      <c r="AD1237" s="328"/>
      <c r="AE1237" s="328"/>
      <c r="AF1237" s="328"/>
      <c r="AG1237" s="328"/>
      <c r="AH1237" s="328"/>
      <c r="AI1237" s="328"/>
      <c r="AJ1237" s="328"/>
      <c r="AK1237" s="328"/>
      <c r="AL1237" s="328"/>
      <c r="AM1237" s="328"/>
      <c r="AN1237" s="328"/>
      <c r="AO1237" s="328"/>
      <c r="AP1237" s="328"/>
      <c r="AQ1237" s="328"/>
      <c r="AR1237" s="328"/>
      <c r="AS1237" s="328"/>
      <c r="AT1237" s="328"/>
      <c r="AU1237" s="328"/>
      <c r="AV1237" s="328"/>
      <c r="AW1237" s="328"/>
      <c r="AX1237" s="328"/>
      <c r="AY1237" s="954"/>
      <c r="AZ1237" s="36"/>
      <c r="BA1237" s="36"/>
      <c r="BB1237" s="36"/>
      <c r="BC1237" s="36"/>
      <c r="BD1237" s="36"/>
      <c r="BF1237">
        <f>ROWS($U$46:U1237)</f>
        <v>1192</v>
      </c>
      <c r="BG1237" t="str">
        <f t="shared" si="223"/>
        <v/>
      </c>
    </row>
    <row r="1238" spans="15:59" x14ac:dyDescent="0.35">
      <c r="O1238" s="329">
        <v>1</v>
      </c>
      <c r="P1238" s="320">
        <v>1130198</v>
      </c>
      <c r="Q1238" s="320">
        <v>30</v>
      </c>
      <c r="R1238" s="320"/>
      <c r="S1238" s="320" t="s">
        <v>1198</v>
      </c>
      <c r="T1238" s="320" t="s">
        <v>1853</v>
      </c>
      <c r="U1238" s="320">
        <v>1006037</v>
      </c>
      <c r="V1238" s="319" t="s">
        <v>87</v>
      </c>
      <c r="W1238" s="320">
        <v>3</v>
      </c>
      <c r="X1238" s="320">
        <v>3</v>
      </c>
      <c r="Y1238" s="320">
        <v>3</v>
      </c>
      <c r="Z1238" s="320">
        <v>1</v>
      </c>
      <c r="AA1238" s="320">
        <v>1</v>
      </c>
      <c r="AB1238" s="320">
        <v>1</v>
      </c>
      <c r="AC1238" s="320">
        <v>1</v>
      </c>
      <c r="AD1238" s="320">
        <v>1</v>
      </c>
      <c r="AE1238" s="320">
        <v>4</v>
      </c>
      <c r="AF1238" s="320"/>
      <c r="AG1238" s="320">
        <v>2</v>
      </c>
      <c r="AH1238" s="320">
        <v>2</v>
      </c>
      <c r="AI1238" s="320">
        <v>2</v>
      </c>
      <c r="AJ1238" s="320">
        <v>2</v>
      </c>
      <c r="AK1238" s="320">
        <v>2</v>
      </c>
      <c r="AL1238" s="320"/>
      <c r="AM1238" s="320"/>
      <c r="AN1238" s="320"/>
      <c r="AO1238" s="320"/>
      <c r="AP1238" s="320"/>
      <c r="AQ1238" s="320"/>
      <c r="AR1238" s="320"/>
      <c r="AS1238" s="320"/>
      <c r="AT1238" s="320"/>
      <c r="AU1238" s="320"/>
      <c r="AV1238" s="320"/>
      <c r="AW1238" s="320"/>
      <c r="AX1238" s="320"/>
      <c r="AY1238" s="952"/>
      <c r="AZ1238" s="36"/>
      <c r="BA1238" s="36"/>
      <c r="BB1238" s="36"/>
      <c r="BC1238" s="36"/>
      <c r="BD1238" s="36"/>
      <c r="BF1238">
        <f>ROWS($U$46:U1238)</f>
        <v>1193</v>
      </c>
      <c r="BG1238" t="str">
        <f t="shared" si="223"/>
        <v/>
      </c>
    </row>
    <row r="1239" spans="15:59" x14ac:dyDescent="0.35">
      <c r="O1239" s="330">
        <v>2</v>
      </c>
      <c r="P1239" s="36">
        <v>647436</v>
      </c>
      <c r="Q1239" s="36">
        <v>28</v>
      </c>
      <c r="R1239" s="36"/>
      <c r="S1239" s="36" t="s">
        <v>1198</v>
      </c>
      <c r="T1239" s="36" t="s">
        <v>1853</v>
      </c>
      <c r="U1239" s="36">
        <v>1006037</v>
      </c>
      <c r="V1239" s="165" t="s">
        <v>88</v>
      </c>
      <c r="W1239" s="36">
        <v>1</v>
      </c>
      <c r="X1239" s="36">
        <v>1</v>
      </c>
      <c r="Y1239" s="36">
        <v>1</v>
      </c>
      <c r="Z1239" s="36">
        <v>1</v>
      </c>
      <c r="AA1239" s="36">
        <v>1</v>
      </c>
      <c r="AB1239" s="36">
        <v>4</v>
      </c>
      <c r="AC1239" s="36"/>
      <c r="AD1239" s="36"/>
      <c r="AE1239" s="36"/>
      <c r="AF1239" s="36"/>
      <c r="AG1239" s="36">
        <v>2</v>
      </c>
      <c r="AH1239" s="36">
        <v>2</v>
      </c>
      <c r="AI1239" s="36">
        <v>2</v>
      </c>
      <c r="AJ1239" s="36">
        <v>2</v>
      </c>
      <c r="AK1239" s="36">
        <v>2</v>
      </c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  <c r="AV1239" s="36"/>
      <c r="AW1239" s="36"/>
      <c r="AX1239" s="36"/>
      <c r="AY1239" s="953"/>
      <c r="AZ1239" s="36"/>
      <c r="BA1239" s="36"/>
      <c r="BB1239" s="36"/>
      <c r="BC1239" s="36"/>
      <c r="BD1239" s="36"/>
      <c r="BF1239">
        <f>ROWS($U$46:U1239)</f>
        <v>1194</v>
      </c>
      <c r="BG1239" t="str">
        <f t="shared" si="223"/>
        <v/>
      </c>
    </row>
    <row r="1240" spans="15:59" x14ac:dyDescent="0.35">
      <c r="O1240" s="330">
        <v>3</v>
      </c>
      <c r="P1240" s="36">
        <v>1130196</v>
      </c>
      <c r="Q1240" s="36">
        <v>7</v>
      </c>
      <c r="R1240" s="36"/>
      <c r="S1240" s="36" t="s">
        <v>1198</v>
      </c>
      <c r="T1240" s="36" t="s">
        <v>1853</v>
      </c>
      <c r="U1240" s="36">
        <v>1006037</v>
      </c>
      <c r="V1240" s="165" t="s">
        <v>89</v>
      </c>
      <c r="W1240" s="36">
        <v>3</v>
      </c>
      <c r="X1240" s="36">
        <v>3</v>
      </c>
      <c r="Y1240" s="36">
        <v>1</v>
      </c>
      <c r="Z1240" s="36">
        <v>1</v>
      </c>
      <c r="AA1240" s="36">
        <v>1</v>
      </c>
      <c r="AB1240" s="36">
        <v>1</v>
      </c>
      <c r="AC1240" s="36">
        <v>1</v>
      </c>
      <c r="AD1240" s="36">
        <v>4</v>
      </c>
      <c r="AE1240" s="36"/>
      <c r="AF1240" s="36"/>
      <c r="AG1240" s="36">
        <v>2</v>
      </c>
      <c r="AH1240" s="36">
        <v>2</v>
      </c>
      <c r="AI1240" s="36">
        <v>2</v>
      </c>
      <c r="AJ1240" s="36">
        <v>2</v>
      </c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  <c r="AV1240" s="36"/>
      <c r="AW1240" s="36"/>
      <c r="AX1240" s="36"/>
      <c r="AY1240" s="953"/>
      <c r="AZ1240" s="36"/>
      <c r="BA1240" s="36"/>
      <c r="BB1240" s="36"/>
      <c r="BC1240" s="36"/>
      <c r="BD1240" s="36"/>
      <c r="BF1240">
        <f>ROWS($U$46:U1240)</f>
        <v>1195</v>
      </c>
      <c r="BG1240" t="str">
        <f t="shared" si="223"/>
        <v/>
      </c>
    </row>
    <row r="1241" spans="15:59" x14ac:dyDescent="0.35">
      <c r="O1241" s="330">
        <v>4</v>
      </c>
      <c r="P1241" s="36">
        <v>418525</v>
      </c>
      <c r="Q1241" s="36">
        <v>6</v>
      </c>
      <c r="R1241" s="36"/>
      <c r="S1241" s="36" t="s">
        <v>1198</v>
      </c>
      <c r="T1241" s="36" t="s">
        <v>1853</v>
      </c>
      <c r="U1241" s="36">
        <v>1006037</v>
      </c>
      <c r="V1241" s="165" t="s">
        <v>90</v>
      </c>
      <c r="W1241" s="36">
        <v>1</v>
      </c>
      <c r="X1241" s="36">
        <v>1</v>
      </c>
      <c r="Y1241" s="36">
        <v>1</v>
      </c>
      <c r="Z1241" s="36">
        <v>1</v>
      </c>
      <c r="AA1241" s="36">
        <v>4</v>
      </c>
      <c r="AB1241" s="36"/>
      <c r="AC1241" s="36"/>
      <c r="AD1241" s="36"/>
      <c r="AE1241" s="36"/>
      <c r="AF1241" s="36"/>
      <c r="AG1241" s="36">
        <v>2</v>
      </c>
      <c r="AH1241" s="36">
        <v>2</v>
      </c>
      <c r="AI1241" s="36">
        <v>2</v>
      </c>
      <c r="AJ1241" s="36">
        <v>2</v>
      </c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  <c r="AV1241" s="36"/>
      <c r="AW1241" s="36"/>
      <c r="AX1241" s="36"/>
      <c r="AY1241" s="953"/>
      <c r="AZ1241" s="36"/>
      <c r="BA1241" s="36"/>
      <c r="BB1241" s="36"/>
      <c r="BC1241" s="36"/>
      <c r="BD1241" s="36"/>
      <c r="BF1241">
        <f>ROWS($U$46:U1241)</f>
        <v>1196</v>
      </c>
      <c r="BG1241" t="str">
        <f t="shared" si="223"/>
        <v/>
      </c>
    </row>
    <row r="1242" spans="15:59" x14ac:dyDescent="0.35">
      <c r="O1242" s="330"/>
      <c r="P1242" s="36"/>
      <c r="Q1242" s="36"/>
      <c r="R1242" s="36"/>
      <c r="S1242" s="36" t="s">
        <v>1198</v>
      </c>
      <c r="T1242" s="36" t="s">
        <v>1853</v>
      </c>
      <c r="U1242" s="36">
        <v>1006037</v>
      </c>
      <c r="V1242" s="165" t="s">
        <v>91</v>
      </c>
      <c r="W1242" s="36">
        <v>3</v>
      </c>
      <c r="X1242" s="36">
        <v>3</v>
      </c>
      <c r="Y1242" s="36">
        <v>1</v>
      </c>
      <c r="Z1242" s="36">
        <v>1</v>
      </c>
      <c r="AA1242" s="36">
        <v>1</v>
      </c>
      <c r="AB1242" s="36">
        <v>1</v>
      </c>
      <c r="AC1242" s="36">
        <v>1</v>
      </c>
      <c r="AD1242" s="36">
        <v>1</v>
      </c>
      <c r="AE1242" s="36">
        <v>4</v>
      </c>
      <c r="AF1242" s="36"/>
      <c r="AG1242" s="36">
        <v>2</v>
      </c>
      <c r="AH1242" s="36">
        <v>2</v>
      </c>
      <c r="AI1242" s="36">
        <v>2</v>
      </c>
      <c r="AJ1242" s="36">
        <v>2</v>
      </c>
      <c r="AK1242" s="36">
        <v>2</v>
      </c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  <c r="AV1242" s="36"/>
      <c r="AW1242" s="36"/>
      <c r="AX1242" s="36"/>
      <c r="AY1242" s="953"/>
      <c r="AZ1242" s="36"/>
      <c r="BA1242" s="36"/>
      <c r="BB1242" s="36"/>
      <c r="BC1242" s="36"/>
      <c r="BD1242" s="36"/>
      <c r="BF1242">
        <f>ROWS($U$46:U1242)</f>
        <v>1197</v>
      </c>
      <c r="BG1242" t="str">
        <f t="shared" si="223"/>
        <v/>
      </c>
    </row>
    <row r="1243" spans="15:59" ht="15" thickBot="1" x14ac:dyDescent="0.4">
      <c r="O1243" s="331"/>
      <c r="P1243" s="328"/>
      <c r="Q1243" s="328"/>
      <c r="R1243" s="328"/>
      <c r="S1243" s="328" t="s">
        <v>1198</v>
      </c>
      <c r="T1243" s="328" t="s">
        <v>1853</v>
      </c>
      <c r="U1243" s="328">
        <v>1006037</v>
      </c>
      <c r="V1243" s="327" t="s">
        <v>92</v>
      </c>
      <c r="W1243" s="328">
        <v>1</v>
      </c>
      <c r="X1243" s="328">
        <v>1</v>
      </c>
      <c r="Y1243" s="328">
        <v>1</v>
      </c>
      <c r="Z1243" s="328">
        <v>1</v>
      </c>
      <c r="AA1243" s="328">
        <v>1</v>
      </c>
      <c r="AB1243" s="328">
        <v>4</v>
      </c>
      <c r="AC1243" s="328"/>
      <c r="AD1243" s="328"/>
      <c r="AE1243" s="328"/>
      <c r="AF1243" s="328"/>
      <c r="AG1243" s="328">
        <v>2</v>
      </c>
      <c r="AH1243" s="328">
        <v>2</v>
      </c>
      <c r="AI1243" s="328">
        <v>2</v>
      </c>
      <c r="AJ1243" s="328">
        <v>2</v>
      </c>
      <c r="AK1243" s="328">
        <v>2</v>
      </c>
      <c r="AL1243" s="328"/>
      <c r="AM1243" s="328"/>
      <c r="AN1243" s="328"/>
      <c r="AO1243" s="328"/>
      <c r="AP1243" s="328"/>
      <c r="AQ1243" s="328"/>
      <c r="AR1243" s="328"/>
      <c r="AS1243" s="328"/>
      <c r="AT1243" s="328"/>
      <c r="AU1243" s="328"/>
      <c r="AV1243" s="328"/>
      <c r="AW1243" s="328"/>
      <c r="AX1243" s="328"/>
      <c r="AY1243" s="954"/>
      <c r="AZ1243" s="36"/>
      <c r="BA1243" s="36"/>
      <c r="BB1243" s="36"/>
      <c r="BC1243" s="36"/>
      <c r="BD1243" s="36"/>
      <c r="BF1243">
        <f>ROWS($U$46:U1243)</f>
        <v>1198</v>
      </c>
      <c r="BG1243" t="str">
        <f t="shared" si="223"/>
        <v/>
      </c>
    </row>
    <row r="1244" spans="15:59" x14ac:dyDescent="0.35">
      <c r="O1244" s="329">
        <v>1</v>
      </c>
      <c r="P1244" s="320">
        <v>744015</v>
      </c>
      <c r="Q1244" s="320">
        <v>30</v>
      </c>
      <c r="R1244" s="320"/>
      <c r="S1244" s="320" t="s">
        <v>1198</v>
      </c>
      <c r="T1244" s="320" t="s">
        <v>1321</v>
      </c>
      <c r="U1244" s="320">
        <v>1019988</v>
      </c>
      <c r="V1244" s="319" t="s">
        <v>87</v>
      </c>
      <c r="W1244" s="320">
        <v>3</v>
      </c>
      <c r="X1244" s="320">
        <v>3</v>
      </c>
      <c r="Y1244" s="320">
        <v>3</v>
      </c>
      <c r="Z1244" s="320">
        <v>1</v>
      </c>
      <c r="AA1244" s="320">
        <v>1</v>
      </c>
      <c r="AB1244" s="320">
        <v>1</v>
      </c>
      <c r="AC1244" s="320">
        <v>1</v>
      </c>
      <c r="AD1244" s="320">
        <v>1</v>
      </c>
      <c r="AE1244" s="320">
        <v>4</v>
      </c>
      <c r="AF1244" s="320"/>
      <c r="AG1244" s="320">
        <v>2</v>
      </c>
      <c r="AH1244" s="320">
        <v>2</v>
      </c>
      <c r="AI1244" s="320">
        <v>2</v>
      </c>
      <c r="AJ1244" s="320">
        <v>2</v>
      </c>
      <c r="AK1244" s="320">
        <v>2</v>
      </c>
      <c r="AL1244" s="320"/>
      <c r="AM1244" s="320"/>
      <c r="AN1244" s="320"/>
      <c r="AO1244" s="320"/>
      <c r="AP1244" s="320"/>
      <c r="AQ1244" s="320"/>
      <c r="AR1244" s="320"/>
      <c r="AS1244" s="320"/>
      <c r="AT1244" s="320"/>
      <c r="AU1244" s="320"/>
      <c r="AV1244" s="320"/>
      <c r="AW1244" s="320"/>
      <c r="AX1244" s="320"/>
      <c r="AY1244" s="952"/>
      <c r="AZ1244" s="36"/>
      <c r="BA1244" s="36"/>
      <c r="BB1244" s="36"/>
      <c r="BC1244" s="36"/>
      <c r="BD1244" s="36"/>
      <c r="BF1244">
        <f>ROWS($U$46:U1244)</f>
        <v>1199</v>
      </c>
      <c r="BG1244" t="str">
        <f t="shared" si="223"/>
        <v/>
      </c>
    </row>
    <row r="1245" spans="15:59" x14ac:dyDescent="0.35">
      <c r="O1245" s="330">
        <v>2</v>
      </c>
      <c r="P1245" s="36">
        <v>647436</v>
      </c>
      <c r="Q1245" s="36">
        <v>28</v>
      </c>
      <c r="R1245" s="36"/>
      <c r="S1245" s="36" t="s">
        <v>1198</v>
      </c>
      <c r="T1245" s="36" t="s">
        <v>1321</v>
      </c>
      <c r="U1245" s="36">
        <v>1019988</v>
      </c>
      <c r="V1245" s="165" t="s">
        <v>88</v>
      </c>
      <c r="W1245" s="36">
        <v>1</v>
      </c>
      <c r="X1245" s="36">
        <v>1</v>
      </c>
      <c r="Y1245" s="36">
        <v>1</v>
      </c>
      <c r="Z1245" s="36">
        <v>1</v>
      </c>
      <c r="AA1245" s="36">
        <v>1</v>
      </c>
      <c r="AB1245" s="36">
        <v>4</v>
      </c>
      <c r="AC1245" s="36"/>
      <c r="AD1245" s="36"/>
      <c r="AE1245" s="36"/>
      <c r="AF1245" s="36"/>
      <c r="AG1245" s="36">
        <v>2</v>
      </c>
      <c r="AH1245" s="36">
        <v>2</v>
      </c>
      <c r="AI1245" s="36">
        <v>2</v>
      </c>
      <c r="AJ1245" s="36">
        <v>2</v>
      </c>
      <c r="AK1245" s="36">
        <v>2</v>
      </c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  <c r="AV1245" s="36"/>
      <c r="AW1245" s="36"/>
      <c r="AX1245" s="36"/>
      <c r="AY1245" s="953"/>
      <c r="AZ1245" s="36"/>
      <c r="BA1245" s="36"/>
      <c r="BB1245" s="36"/>
      <c r="BC1245" s="36"/>
      <c r="BD1245" s="36"/>
      <c r="BF1245">
        <f>ROWS($U$46:U1245)</f>
        <v>1200</v>
      </c>
      <c r="BG1245" t="str">
        <f t="shared" si="223"/>
        <v/>
      </c>
    </row>
    <row r="1246" spans="15:59" x14ac:dyDescent="0.35">
      <c r="O1246" s="330">
        <v>3</v>
      </c>
      <c r="P1246" s="36">
        <v>752555</v>
      </c>
      <c r="Q1246" s="36">
        <v>7</v>
      </c>
      <c r="R1246" s="36"/>
      <c r="S1246" s="36" t="s">
        <v>1198</v>
      </c>
      <c r="T1246" s="36" t="s">
        <v>1321</v>
      </c>
      <c r="U1246" s="36">
        <v>1019988</v>
      </c>
      <c r="V1246" s="165" t="s">
        <v>89</v>
      </c>
      <c r="W1246" s="36">
        <v>3</v>
      </c>
      <c r="X1246" s="36">
        <v>3</v>
      </c>
      <c r="Y1246" s="36">
        <v>1</v>
      </c>
      <c r="Z1246" s="36">
        <v>1</v>
      </c>
      <c r="AA1246" s="36">
        <v>1</v>
      </c>
      <c r="AB1246" s="36">
        <v>1</v>
      </c>
      <c r="AC1246" s="36">
        <v>1</v>
      </c>
      <c r="AD1246" s="36">
        <v>4</v>
      </c>
      <c r="AE1246" s="36"/>
      <c r="AF1246" s="36"/>
      <c r="AG1246" s="36">
        <v>2</v>
      </c>
      <c r="AH1246" s="36">
        <v>2</v>
      </c>
      <c r="AI1246" s="36">
        <v>2</v>
      </c>
      <c r="AJ1246" s="36">
        <v>2</v>
      </c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  <c r="AV1246" s="36"/>
      <c r="AW1246" s="36"/>
      <c r="AX1246" s="36"/>
      <c r="AY1246" s="953"/>
      <c r="AZ1246" s="36"/>
      <c r="BA1246" s="36"/>
      <c r="BB1246" s="36"/>
      <c r="BC1246" s="36"/>
      <c r="BD1246" s="36"/>
      <c r="BF1246">
        <f>ROWS($U$46:U1246)</f>
        <v>1201</v>
      </c>
      <c r="BG1246" t="str">
        <f t="shared" si="223"/>
        <v/>
      </c>
    </row>
    <row r="1247" spans="15:59" x14ac:dyDescent="0.35">
      <c r="O1247" s="330">
        <v>4</v>
      </c>
      <c r="P1247" s="36">
        <v>418525</v>
      </c>
      <c r="Q1247" s="36">
        <v>6</v>
      </c>
      <c r="R1247" s="36"/>
      <c r="S1247" s="36" t="s">
        <v>1198</v>
      </c>
      <c r="T1247" s="36" t="s">
        <v>1321</v>
      </c>
      <c r="U1247" s="36">
        <v>1019988</v>
      </c>
      <c r="V1247" s="165" t="s">
        <v>90</v>
      </c>
      <c r="W1247" s="36">
        <v>1</v>
      </c>
      <c r="X1247" s="36">
        <v>1</v>
      </c>
      <c r="Y1247" s="36">
        <v>1</v>
      </c>
      <c r="Z1247" s="36">
        <v>1</v>
      </c>
      <c r="AA1247" s="36">
        <v>4</v>
      </c>
      <c r="AB1247" s="36"/>
      <c r="AC1247" s="36"/>
      <c r="AD1247" s="36"/>
      <c r="AE1247" s="36"/>
      <c r="AF1247" s="36"/>
      <c r="AG1247" s="36">
        <v>2</v>
      </c>
      <c r="AH1247" s="36">
        <v>2</v>
      </c>
      <c r="AI1247" s="36">
        <v>2</v>
      </c>
      <c r="AJ1247" s="36">
        <v>2</v>
      </c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  <c r="AV1247" s="36"/>
      <c r="AW1247" s="36"/>
      <c r="AX1247" s="36"/>
      <c r="AY1247" s="953"/>
      <c r="AZ1247" s="36"/>
      <c r="BA1247" s="36"/>
      <c r="BB1247" s="36"/>
      <c r="BC1247" s="36"/>
      <c r="BD1247" s="36"/>
      <c r="BF1247">
        <f>ROWS($U$46:U1247)</f>
        <v>1202</v>
      </c>
      <c r="BG1247" t="str">
        <f t="shared" si="223"/>
        <v/>
      </c>
    </row>
    <row r="1248" spans="15:59" x14ac:dyDescent="0.35">
      <c r="O1248" s="330"/>
      <c r="P1248" s="36"/>
      <c r="Q1248" s="36"/>
      <c r="R1248" s="36"/>
      <c r="S1248" s="36" t="s">
        <v>1198</v>
      </c>
      <c r="T1248" s="36" t="s">
        <v>1321</v>
      </c>
      <c r="U1248" s="36">
        <v>1019988</v>
      </c>
      <c r="V1248" s="165" t="s">
        <v>91</v>
      </c>
      <c r="W1248" s="36">
        <v>3</v>
      </c>
      <c r="X1248" s="36">
        <v>3</v>
      </c>
      <c r="Y1248" s="36">
        <v>1</v>
      </c>
      <c r="Z1248" s="36">
        <v>1</v>
      </c>
      <c r="AA1248" s="36">
        <v>1</v>
      </c>
      <c r="AB1248" s="36">
        <v>1</v>
      </c>
      <c r="AC1248" s="36">
        <v>1</v>
      </c>
      <c r="AD1248" s="36">
        <v>1</v>
      </c>
      <c r="AE1248" s="36">
        <v>4</v>
      </c>
      <c r="AF1248" s="36"/>
      <c r="AG1248" s="36">
        <v>2</v>
      </c>
      <c r="AH1248" s="36">
        <v>2</v>
      </c>
      <c r="AI1248" s="36">
        <v>2</v>
      </c>
      <c r="AJ1248" s="36">
        <v>2</v>
      </c>
      <c r="AK1248" s="36">
        <v>2</v>
      </c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  <c r="AV1248" s="36"/>
      <c r="AW1248" s="36"/>
      <c r="AX1248" s="36"/>
      <c r="AY1248" s="953"/>
      <c r="AZ1248" s="36"/>
      <c r="BA1248" s="36"/>
      <c r="BB1248" s="36"/>
      <c r="BC1248" s="36"/>
      <c r="BD1248" s="36"/>
      <c r="BF1248">
        <f>ROWS($U$46:U1248)</f>
        <v>1203</v>
      </c>
      <c r="BG1248" t="str">
        <f t="shared" si="223"/>
        <v/>
      </c>
    </row>
    <row r="1249" spans="15:59" ht="15" thickBot="1" x14ac:dyDescent="0.4">
      <c r="O1249" s="331"/>
      <c r="P1249" s="328"/>
      <c r="Q1249" s="328"/>
      <c r="R1249" s="328"/>
      <c r="S1249" s="328" t="s">
        <v>1198</v>
      </c>
      <c r="T1249" s="328" t="s">
        <v>1321</v>
      </c>
      <c r="U1249" s="328">
        <v>1019988</v>
      </c>
      <c r="V1249" s="327" t="s">
        <v>92</v>
      </c>
      <c r="W1249" s="328">
        <v>1</v>
      </c>
      <c r="X1249" s="328">
        <v>1</v>
      </c>
      <c r="Y1249" s="328">
        <v>1</v>
      </c>
      <c r="Z1249" s="328">
        <v>1</v>
      </c>
      <c r="AA1249" s="328">
        <v>1</v>
      </c>
      <c r="AB1249" s="328">
        <v>4</v>
      </c>
      <c r="AC1249" s="328"/>
      <c r="AD1249" s="328"/>
      <c r="AE1249" s="328"/>
      <c r="AF1249" s="328"/>
      <c r="AG1249" s="328">
        <v>2</v>
      </c>
      <c r="AH1249" s="328">
        <v>2</v>
      </c>
      <c r="AI1249" s="328">
        <v>2</v>
      </c>
      <c r="AJ1249" s="328">
        <v>2</v>
      </c>
      <c r="AK1249" s="328">
        <v>2</v>
      </c>
      <c r="AL1249" s="328"/>
      <c r="AM1249" s="328"/>
      <c r="AN1249" s="328"/>
      <c r="AO1249" s="328"/>
      <c r="AP1249" s="328"/>
      <c r="AQ1249" s="328"/>
      <c r="AR1249" s="328"/>
      <c r="AS1249" s="328"/>
      <c r="AT1249" s="328"/>
      <c r="AU1249" s="328"/>
      <c r="AV1249" s="328"/>
      <c r="AW1249" s="328"/>
      <c r="AX1249" s="328"/>
      <c r="AY1249" s="954"/>
      <c r="AZ1249" s="36"/>
      <c r="BA1249" s="36"/>
      <c r="BB1249" s="36"/>
      <c r="BC1249" s="36"/>
      <c r="BD1249" s="36"/>
      <c r="BF1249">
        <f>ROWS($U$46:U1249)</f>
        <v>1204</v>
      </c>
      <c r="BG1249" t="str">
        <f t="shared" si="223"/>
        <v/>
      </c>
    </row>
    <row r="1250" spans="15:59" x14ac:dyDescent="0.35">
      <c r="O1250" s="329">
        <v>1</v>
      </c>
      <c r="P1250" s="320">
        <v>745338</v>
      </c>
      <c r="Q1250" s="320">
        <v>30</v>
      </c>
      <c r="R1250" s="320"/>
      <c r="S1250" s="320" t="s">
        <v>1198</v>
      </c>
      <c r="T1250" s="320" t="s">
        <v>1321</v>
      </c>
      <c r="U1250" s="320">
        <v>1029800</v>
      </c>
      <c r="V1250" s="319" t="s">
        <v>87</v>
      </c>
      <c r="W1250" s="320">
        <v>3</v>
      </c>
      <c r="X1250" s="320">
        <v>3</v>
      </c>
      <c r="Y1250" s="320">
        <v>3</v>
      </c>
      <c r="Z1250" s="320">
        <v>1</v>
      </c>
      <c r="AA1250" s="320">
        <v>1</v>
      </c>
      <c r="AB1250" s="320">
        <v>1</v>
      </c>
      <c r="AC1250" s="320">
        <v>1</v>
      </c>
      <c r="AD1250" s="320">
        <v>1</v>
      </c>
      <c r="AE1250" s="320">
        <v>4</v>
      </c>
      <c r="AF1250" s="320"/>
      <c r="AG1250" s="320">
        <v>2</v>
      </c>
      <c r="AH1250" s="320">
        <v>2</v>
      </c>
      <c r="AI1250" s="320">
        <v>2</v>
      </c>
      <c r="AJ1250" s="320">
        <v>2</v>
      </c>
      <c r="AK1250" s="320">
        <v>2</v>
      </c>
      <c r="AL1250" s="320"/>
      <c r="AM1250" s="320"/>
      <c r="AN1250" s="320"/>
      <c r="AO1250" s="320"/>
      <c r="AP1250" s="320"/>
      <c r="AQ1250" s="320"/>
      <c r="AR1250" s="320"/>
      <c r="AS1250" s="320"/>
      <c r="AT1250" s="320"/>
      <c r="AU1250" s="320"/>
      <c r="AV1250" s="320"/>
      <c r="AW1250" s="320"/>
      <c r="AX1250" s="320"/>
      <c r="AY1250" s="952"/>
      <c r="AZ1250" s="36"/>
      <c r="BA1250" s="36"/>
      <c r="BB1250" s="36"/>
      <c r="BC1250" s="36"/>
      <c r="BD1250" s="36"/>
      <c r="BF1250">
        <f>ROWS($U$46:U1250)</f>
        <v>1205</v>
      </c>
      <c r="BG1250" t="str">
        <f t="shared" si="223"/>
        <v/>
      </c>
    </row>
    <row r="1251" spans="15:59" x14ac:dyDescent="0.35">
      <c r="O1251" s="330">
        <v>2</v>
      </c>
      <c r="P1251" s="36">
        <v>647436</v>
      </c>
      <c r="Q1251" s="36">
        <v>28</v>
      </c>
      <c r="R1251" s="36"/>
      <c r="S1251" s="36" t="s">
        <v>1198</v>
      </c>
      <c r="T1251" s="36" t="s">
        <v>1321</v>
      </c>
      <c r="U1251" s="36">
        <v>1029800</v>
      </c>
      <c r="V1251" s="165" t="s">
        <v>88</v>
      </c>
      <c r="W1251" s="36">
        <v>1</v>
      </c>
      <c r="X1251" s="36">
        <v>1</v>
      </c>
      <c r="Y1251" s="36">
        <v>1</v>
      </c>
      <c r="Z1251" s="36">
        <v>1</v>
      </c>
      <c r="AA1251" s="36">
        <v>1</v>
      </c>
      <c r="AB1251" s="36">
        <v>4</v>
      </c>
      <c r="AC1251" s="36"/>
      <c r="AD1251" s="36"/>
      <c r="AE1251" s="36"/>
      <c r="AF1251" s="36"/>
      <c r="AG1251" s="36">
        <v>2</v>
      </c>
      <c r="AH1251" s="36">
        <v>2</v>
      </c>
      <c r="AI1251" s="36">
        <v>2</v>
      </c>
      <c r="AJ1251" s="36">
        <v>2</v>
      </c>
      <c r="AK1251" s="36">
        <v>2</v>
      </c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  <c r="AV1251" s="36"/>
      <c r="AW1251" s="36"/>
      <c r="AX1251" s="36"/>
      <c r="AY1251" s="953"/>
      <c r="AZ1251" s="36"/>
      <c r="BA1251" s="36"/>
      <c r="BB1251" s="36"/>
      <c r="BC1251" s="36"/>
      <c r="BD1251" s="36"/>
      <c r="BF1251">
        <f>ROWS($U$46:U1251)</f>
        <v>1206</v>
      </c>
      <c r="BG1251" t="str">
        <f t="shared" si="223"/>
        <v/>
      </c>
    </row>
    <row r="1252" spans="15:59" x14ac:dyDescent="0.35">
      <c r="O1252" s="330">
        <v>3</v>
      </c>
      <c r="P1252" s="36">
        <v>745174</v>
      </c>
      <c r="Q1252" s="36">
        <v>7</v>
      </c>
      <c r="R1252" s="36"/>
      <c r="S1252" s="36" t="s">
        <v>1198</v>
      </c>
      <c r="T1252" s="36" t="s">
        <v>1321</v>
      </c>
      <c r="U1252" s="36">
        <v>1029800</v>
      </c>
      <c r="V1252" s="165" t="s">
        <v>89</v>
      </c>
      <c r="W1252" s="36">
        <v>3</v>
      </c>
      <c r="X1252" s="36">
        <v>3</v>
      </c>
      <c r="Y1252" s="36">
        <v>1</v>
      </c>
      <c r="Z1252" s="36">
        <v>1</v>
      </c>
      <c r="AA1252" s="36">
        <v>1</v>
      </c>
      <c r="AB1252" s="36">
        <v>1</v>
      </c>
      <c r="AC1252" s="36">
        <v>1</v>
      </c>
      <c r="AD1252" s="36">
        <v>4</v>
      </c>
      <c r="AE1252" s="36"/>
      <c r="AF1252" s="36"/>
      <c r="AG1252" s="36">
        <v>2</v>
      </c>
      <c r="AH1252" s="36">
        <v>2</v>
      </c>
      <c r="AI1252" s="36">
        <v>2</v>
      </c>
      <c r="AJ1252" s="36">
        <v>2</v>
      </c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  <c r="AV1252" s="36"/>
      <c r="AW1252" s="36"/>
      <c r="AX1252" s="36"/>
      <c r="AY1252" s="953"/>
      <c r="AZ1252" s="36"/>
      <c r="BA1252" s="36"/>
      <c r="BB1252" s="36"/>
      <c r="BC1252" s="36"/>
      <c r="BD1252" s="36"/>
      <c r="BF1252">
        <f>ROWS($U$46:U1252)</f>
        <v>1207</v>
      </c>
      <c r="BG1252" t="str">
        <f t="shared" si="223"/>
        <v/>
      </c>
    </row>
    <row r="1253" spans="15:59" x14ac:dyDescent="0.35">
      <c r="O1253" s="330">
        <v>4</v>
      </c>
      <c r="P1253" s="36">
        <v>418525</v>
      </c>
      <c r="Q1253" s="36">
        <v>6</v>
      </c>
      <c r="R1253" s="36"/>
      <c r="S1253" s="36" t="s">
        <v>1198</v>
      </c>
      <c r="T1253" s="36" t="s">
        <v>1321</v>
      </c>
      <c r="U1253" s="36">
        <v>1029800</v>
      </c>
      <c r="V1253" s="165" t="s">
        <v>90</v>
      </c>
      <c r="W1253" s="36">
        <v>1</v>
      </c>
      <c r="X1253" s="36">
        <v>1</v>
      </c>
      <c r="Y1253" s="36">
        <v>1</v>
      </c>
      <c r="Z1253" s="36">
        <v>1</v>
      </c>
      <c r="AA1253" s="36">
        <v>4</v>
      </c>
      <c r="AB1253" s="36"/>
      <c r="AC1253" s="36"/>
      <c r="AD1253" s="36"/>
      <c r="AE1253" s="36"/>
      <c r="AF1253" s="36"/>
      <c r="AG1253" s="36">
        <v>2</v>
      </c>
      <c r="AH1253" s="36">
        <v>2</v>
      </c>
      <c r="AI1253" s="36">
        <v>2</v>
      </c>
      <c r="AJ1253" s="36">
        <v>2</v>
      </c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  <c r="AV1253" s="36"/>
      <c r="AW1253" s="36"/>
      <c r="AX1253" s="36"/>
      <c r="AY1253" s="953"/>
      <c r="AZ1253" s="36"/>
      <c r="BA1253" s="36"/>
      <c r="BB1253" s="36"/>
      <c r="BC1253" s="36"/>
      <c r="BD1253" s="36"/>
      <c r="BF1253">
        <f>ROWS($U$46:U1253)</f>
        <v>1208</v>
      </c>
      <c r="BG1253" t="str">
        <f t="shared" si="223"/>
        <v/>
      </c>
    </row>
    <row r="1254" spans="15:59" x14ac:dyDescent="0.35">
      <c r="O1254" s="330"/>
      <c r="P1254" s="36"/>
      <c r="Q1254" s="36"/>
      <c r="R1254" s="36"/>
      <c r="S1254" s="36" t="s">
        <v>1198</v>
      </c>
      <c r="T1254" s="36" t="s">
        <v>1321</v>
      </c>
      <c r="U1254" s="36">
        <v>1029800</v>
      </c>
      <c r="V1254" s="165" t="s">
        <v>91</v>
      </c>
      <c r="W1254" s="36">
        <v>3</v>
      </c>
      <c r="X1254" s="36">
        <v>3</v>
      </c>
      <c r="Y1254" s="36">
        <v>1</v>
      </c>
      <c r="Z1254" s="36">
        <v>1</v>
      </c>
      <c r="AA1254" s="36">
        <v>1</v>
      </c>
      <c r="AB1254" s="36">
        <v>1</v>
      </c>
      <c r="AC1254" s="36">
        <v>1</v>
      </c>
      <c r="AD1254" s="36">
        <v>1</v>
      </c>
      <c r="AE1254" s="36">
        <v>4</v>
      </c>
      <c r="AF1254" s="36"/>
      <c r="AG1254" s="36">
        <v>2</v>
      </c>
      <c r="AH1254" s="36">
        <v>2</v>
      </c>
      <c r="AI1254" s="36">
        <v>2</v>
      </c>
      <c r="AJ1254" s="36">
        <v>2</v>
      </c>
      <c r="AK1254" s="36">
        <v>2</v>
      </c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  <c r="AV1254" s="36"/>
      <c r="AW1254" s="36"/>
      <c r="AX1254" s="36"/>
      <c r="AY1254" s="953"/>
      <c r="AZ1254" s="36"/>
      <c r="BA1254" s="36"/>
      <c r="BB1254" s="36"/>
      <c r="BC1254" s="36"/>
      <c r="BD1254" s="36"/>
      <c r="BF1254">
        <f>ROWS($U$46:U1254)</f>
        <v>1209</v>
      </c>
      <c r="BG1254" t="str">
        <f t="shared" si="223"/>
        <v/>
      </c>
    </row>
    <row r="1255" spans="15:59" ht="15" thickBot="1" x14ac:dyDescent="0.4">
      <c r="O1255" s="331"/>
      <c r="P1255" s="328"/>
      <c r="Q1255" s="328"/>
      <c r="R1255" s="328"/>
      <c r="S1255" s="328" t="s">
        <v>1198</v>
      </c>
      <c r="T1255" s="328" t="s">
        <v>1321</v>
      </c>
      <c r="U1255" s="328">
        <v>1029800</v>
      </c>
      <c r="V1255" s="327" t="s">
        <v>92</v>
      </c>
      <c r="W1255" s="328">
        <v>1</v>
      </c>
      <c r="X1255" s="328">
        <v>1</v>
      </c>
      <c r="Y1255" s="328">
        <v>1</v>
      </c>
      <c r="Z1255" s="328">
        <v>1</v>
      </c>
      <c r="AA1255" s="328">
        <v>1</v>
      </c>
      <c r="AB1255" s="328">
        <v>4</v>
      </c>
      <c r="AC1255" s="328"/>
      <c r="AD1255" s="328"/>
      <c r="AE1255" s="328"/>
      <c r="AF1255" s="328"/>
      <c r="AG1255" s="328">
        <v>2</v>
      </c>
      <c r="AH1255" s="328">
        <v>2</v>
      </c>
      <c r="AI1255" s="328">
        <v>2</v>
      </c>
      <c r="AJ1255" s="328">
        <v>2</v>
      </c>
      <c r="AK1255" s="328">
        <v>2</v>
      </c>
      <c r="AL1255" s="328"/>
      <c r="AM1255" s="328"/>
      <c r="AN1255" s="328"/>
      <c r="AO1255" s="328"/>
      <c r="AP1255" s="328"/>
      <c r="AQ1255" s="328"/>
      <c r="AR1255" s="328"/>
      <c r="AS1255" s="328"/>
      <c r="AT1255" s="328"/>
      <c r="AU1255" s="328"/>
      <c r="AV1255" s="328"/>
      <c r="AW1255" s="328"/>
      <c r="AX1255" s="328"/>
      <c r="AY1255" s="954"/>
      <c r="AZ1255" s="36"/>
      <c r="BA1255" s="36"/>
      <c r="BB1255" s="36"/>
      <c r="BC1255" s="36"/>
      <c r="BD1255" s="36"/>
      <c r="BF1255">
        <f>ROWS($U$46:U1255)</f>
        <v>1210</v>
      </c>
      <c r="BG1255" t="str">
        <f t="shared" si="223"/>
        <v/>
      </c>
    </row>
    <row r="1256" spans="15:59" x14ac:dyDescent="0.35">
      <c r="O1256" s="329">
        <v>1</v>
      </c>
      <c r="P1256" s="320">
        <v>744015</v>
      </c>
      <c r="Q1256" s="320">
        <v>34</v>
      </c>
      <c r="R1256" s="320"/>
      <c r="S1256" s="320" t="s">
        <v>1198</v>
      </c>
      <c r="T1256" s="320" t="s">
        <v>1321</v>
      </c>
      <c r="U1256" s="320">
        <v>1032643</v>
      </c>
      <c r="V1256" s="319" t="s">
        <v>87</v>
      </c>
      <c r="W1256" s="320">
        <v>1</v>
      </c>
      <c r="X1256" s="320">
        <v>1</v>
      </c>
      <c r="Y1256" s="320">
        <v>1</v>
      </c>
      <c r="Z1256" s="320">
        <v>1</v>
      </c>
      <c r="AA1256" s="320">
        <v>1</v>
      </c>
      <c r="AB1256" s="320">
        <v>1</v>
      </c>
      <c r="AC1256" s="320">
        <v>1</v>
      </c>
      <c r="AD1256" s="320">
        <v>3</v>
      </c>
      <c r="AE1256" s="320"/>
      <c r="AF1256" s="320">
        <v>2</v>
      </c>
      <c r="AG1256" s="320">
        <v>2</v>
      </c>
      <c r="AH1256" s="320">
        <v>2</v>
      </c>
      <c r="AI1256" s="320">
        <v>2</v>
      </c>
      <c r="AJ1256" s="320"/>
      <c r="AK1256" s="320"/>
      <c r="AL1256" s="320"/>
      <c r="AM1256" s="320"/>
      <c r="AN1256" s="320"/>
      <c r="AO1256" s="320"/>
      <c r="AP1256" s="320"/>
      <c r="AQ1256" s="320"/>
      <c r="AR1256" s="320"/>
      <c r="AS1256" s="320"/>
      <c r="AT1256" s="320"/>
      <c r="AU1256" s="320"/>
      <c r="AV1256" s="320"/>
      <c r="AW1256" s="320"/>
      <c r="AX1256" s="320"/>
      <c r="AY1256" s="952"/>
      <c r="AZ1256" s="36"/>
      <c r="BA1256" s="36"/>
      <c r="BB1256" s="36"/>
      <c r="BC1256" s="36"/>
      <c r="BD1256" s="36"/>
      <c r="BF1256">
        <f>ROWS($U$46:U1256)</f>
        <v>1211</v>
      </c>
      <c r="BG1256" t="str">
        <f t="shared" si="223"/>
        <v/>
      </c>
    </row>
    <row r="1257" spans="15:59" x14ac:dyDescent="0.35">
      <c r="O1257" s="330">
        <v>2</v>
      </c>
      <c r="P1257" s="36">
        <v>647435</v>
      </c>
      <c r="Q1257" s="36">
        <v>24</v>
      </c>
      <c r="R1257" s="36"/>
      <c r="S1257" s="36" t="s">
        <v>1198</v>
      </c>
      <c r="T1257" s="36" t="s">
        <v>1321</v>
      </c>
      <c r="U1257" s="36">
        <v>1032643</v>
      </c>
      <c r="V1257" s="165" t="s">
        <v>88</v>
      </c>
      <c r="W1257" s="36">
        <v>1</v>
      </c>
      <c r="X1257" s="36">
        <v>1</v>
      </c>
      <c r="Y1257" s="36">
        <v>1</v>
      </c>
      <c r="Z1257" s="36">
        <v>1</v>
      </c>
      <c r="AA1257" s="36">
        <v>3</v>
      </c>
      <c r="AB1257" s="36"/>
      <c r="AC1257" s="36"/>
      <c r="AD1257" s="36"/>
      <c r="AE1257" s="36"/>
      <c r="AF1257" s="36">
        <v>2</v>
      </c>
      <c r="AG1257" s="36">
        <v>2</v>
      </c>
      <c r="AH1257" s="36">
        <v>2</v>
      </c>
      <c r="AI1257" s="36">
        <v>2</v>
      </c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  <c r="AV1257" s="36"/>
      <c r="AW1257" s="36"/>
      <c r="AX1257" s="36"/>
      <c r="AY1257" s="953"/>
      <c r="AZ1257" s="36"/>
      <c r="BA1257" s="36"/>
      <c r="BB1257" s="36"/>
      <c r="BC1257" s="36"/>
      <c r="BD1257" s="36"/>
      <c r="BF1257">
        <f>ROWS($U$46:U1257)</f>
        <v>1212</v>
      </c>
      <c r="BG1257" t="str">
        <f t="shared" si="223"/>
        <v/>
      </c>
    </row>
    <row r="1258" spans="15:59" x14ac:dyDescent="0.35">
      <c r="O1258" s="330">
        <v>3</v>
      </c>
      <c r="P1258" s="36">
        <v>418525</v>
      </c>
      <c r="Q1258" s="36">
        <v>6</v>
      </c>
      <c r="R1258" s="36"/>
      <c r="S1258" s="36" t="s">
        <v>1198</v>
      </c>
      <c r="T1258" s="36" t="s">
        <v>1321</v>
      </c>
      <c r="U1258" s="36">
        <v>1032643</v>
      </c>
      <c r="V1258" s="165" t="s">
        <v>89</v>
      </c>
      <c r="W1258" s="36">
        <v>1</v>
      </c>
      <c r="X1258" s="36">
        <v>1</v>
      </c>
      <c r="Y1258" s="36">
        <v>1</v>
      </c>
      <c r="Z1258" s="36">
        <v>1</v>
      </c>
      <c r="AA1258" s="36">
        <v>1</v>
      </c>
      <c r="AB1258" s="36">
        <v>1</v>
      </c>
      <c r="AC1258" s="36">
        <v>1</v>
      </c>
      <c r="AD1258" s="36">
        <v>3</v>
      </c>
      <c r="AE1258" s="36"/>
      <c r="AF1258" s="36">
        <v>2</v>
      </c>
      <c r="AG1258" s="36">
        <v>2</v>
      </c>
      <c r="AH1258" s="36">
        <v>2</v>
      </c>
      <c r="AI1258" s="36">
        <v>2</v>
      </c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  <c r="AV1258" s="36"/>
      <c r="AW1258" s="36"/>
      <c r="AX1258" s="36"/>
      <c r="AY1258" s="953"/>
      <c r="AZ1258" s="36"/>
      <c r="BA1258" s="36"/>
      <c r="BB1258" s="36"/>
      <c r="BC1258" s="36"/>
      <c r="BD1258" s="36"/>
      <c r="BF1258">
        <f>ROWS($U$46:U1258)</f>
        <v>1213</v>
      </c>
      <c r="BG1258" t="str">
        <f t="shared" si="223"/>
        <v/>
      </c>
    </row>
    <row r="1259" spans="15:59" x14ac:dyDescent="0.35">
      <c r="O1259" s="330"/>
      <c r="P1259" s="36"/>
      <c r="Q1259" s="36"/>
      <c r="R1259" s="36"/>
      <c r="S1259" s="36" t="s">
        <v>1198</v>
      </c>
      <c r="T1259" s="36" t="s">
        <v>1321</v>
      </c>
      <c r="U1259" s="36">
        <v>1032643</v>
      </c>
      <c r="V1259" s="165" t="s">
        <v>90</v>
      </c>
      <c r="W1259" s="36">
        <v>1</v>
      </c>
      <c r="X1259" s="36">
        <v>1</v>
      </c>
      <c r="Y1259" s="36">
        <v>1</v>
      </c>
      <c r="Z1259" s="36">
        <v>1</v>
      </c>
      <c r="AA1259" s="36">
        <v>1</v>
      </c>
      <c r="AB1259" s="36">
        <v>3</v>
      </c>
      <c r="AC1259" s="36"/>
      <c r="AD1259" s="36"/>
      <c r="AE1259" s="36"/>
      <c r="AF1259" s="36">
        <v>2</v>
      </c>
      <c r="AG1259" s="36">
        <v>2</v>
      </c>
      <c r="AH1259" s="36">
        <v>2</v>
      </c>
      <c r="AI1259" s="36">
        <v>2</v>
      </c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  <c r="AV1259" s="36"/>
      <c r="AW1259" s="36"/>
      <c r="AX1259" s="36"/>
      <c r="AY1259" s="953"/>
      <c r="AZ1259" s="36"/>
      <c r="BA1259" s="36"/>
      <c r="BB1259" s="36"/>
      <c r="BC1259" s="36"/>
      <c r="BD1259" s="36"/>
      <c r="BF1259">
        <f>ROWS($U$46:U1259)</f>
        <v>1214</v>
      </c>
      <c r="BG1259" t="str">
        <f t="shared" si="223"/>
        <v/>
      </c>
    </row>
    <row r="1260" spans="15:59" x14ac:dyDescent="0.35">
      <c r="O1260" s="330"/>
      <c r="P1260" s="36"/>
      <c r="Q1260" s="36"/>
      <c r="R1260" s="36"/>
      <c r="S1260" s="36" t="s">
        <v>1198</v>
      </c>
      <c r="T1260" s="36" t="s">
        <v>1321</v>
      </c>
      <c r="U1260" s="36">
        <v>1032643</v>
      </c>
      <c r="V1260" s="165" t="s">
        <v>91</v>
      </c>
      <c r="W1260" s="36">
        <v>1</v>
      </c>
      <c r="X1260" s="36">
        <v>1</v>
      </c>
      <c r="Y1260" s="36">
        <v>1</v>
      </c>
      <c r="Z1260" s="36">
        <v>1</v>
      </c>
      <c r="AA1260" s="36">
        <v>1</v>
      </c>
      <c r="AB1260" s="36">
        <v>1</v>
      </c>
      <c r="AC1260" s="36">
        <v>1</v>
      </c>
      <c r="AD1260" s="36">
        <v>3</v>
      </c>
      <c r="AE1260" s="36"/>
      <c r="AF1260" s="36">
        <v>2</v>
      </c>
      <c r="AG1260" s="36">
        <v>2</v>
      </c>
      <c r="AH1260" s="36">
        <v>2</v>
      </c>
      <c r="AI1260" s="36">
        <v>2</v>
      </c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  <c r="AV1260" s="36"/>
      <c r="AW1260" s="36"/>
      <c r="AX1260" s="36"/>
      <c r="AY1260" s="953"/>
      <c r="AZ1260" s="36"/>
      <c r="BA1260" s="36"/>
      <c r="BB1260" s="36"/>
      <c r="BC1260" s="36"/>
      <c r="BD1260" s="36"/>
      <c r="BF1260">
        <f>ROWS($U$46:U1260)</f>
        <v>1215</v>
      </c>
      <c r="BG1260" t="str">
        <f t="shared" si="223"/>
        <v/>
      </c>
    </row>
    <row r="1261" spans="15:59" ht="15" thickBot="1" x14ac:dyDescent="0.4">
      <c r="O1261" s="331"/>
      <c r="P1261" s="328"/>
      <c r="Q1261" s="328"/>
      <c r="R1261" s="328"/>
      <c r="S1261" s="328" t="s">
        <v>1198</v>
      </c>
      <c r="T1261" s="328" t="s">
        <v>1321</v>
      </c>
      <c r="U1261" s="328">
        <v>1032643</v>
      </c>
      <c r="V1261" s="327" t="s">
        <v>92</v>
      </c>
      <c r="W1261" s="328">
        <v>1</v>
      </c>
      <c r="X1261" s="328">
        <v>1</v>
      </c>
      <c r="Y1261" s="328">
        <v>1</v>
      </c>
      <c r="Z1261" s="328">
        <v>1</v>
      </c>
      <c r="AA1261" s="328">
        <v>3</v>
      </c>
      <c r="AB1261" s="328"/>
      <c r="AC1261" s="328"/>
      <c r="AD1261" s="328"/>
      <c r="AE1261" s="328"/>
      <c r="AF1261" s="328">
        <v>2</v>
      </c>
      <c r="AG1261" s="328">
        <v>2</v>
      </c>
      <c r="AH1261" s="328">
        <v>2</v>
      </c>
      <c r="AI1261" s="328">
        <v>2</v>
      </c>
      <c r="AJ1261" s="328"/>
      <c r="AK1261" s="328"/>
      <c r="AL1261" s="328"/>
      <c r="AM1261" s="328"/>
      <c r="AN1261" s="328"/>
      <c r="AO1261" s="328"/>
      <c r="AP1261" s="328"/>
      <c r="AQ1261" s="328"/>
      <c r="AR1261" s="328"/>
      <c r="AS1261" s="328"/>
      <c r="AT1261" s="328"/>
      <c r="AU1261" s="328"/>
      <c r="AV1261" s="328"/>
      <c r="AW1261" s="328"/>
      <c r="AX1261" s="328"/>
      <c r="AY1261" s="954"/>
      <c r="AZ1261" s="36"/>
      <c r="BA1261" s="36"/>
      <c r="BB1261" s="36"/>
      <c r="BC1261" s="36"/>
      <c r="BD1261" s="36"/>
      <c r="BF1261">
        <f>ROWS($U$46:U1261)</f>
        <v>1216</v>
      </c>
      <c r="BG1261" t="str">
        <f t="shared" si="223"/>
        <v/>
      </c>
    </row>
    <row r="1262" spans="15:59" x14ac:dyDescent="0.35">
      <c r="O1262" s="329">
        <v>1</v>
      </c>
      <c r="P1262" s="320">
        <v>744015</v>
      </c>
      <c r="Q1262" s="320">
        <v>33</v>
      </c>
      <c r="R1262" s="320"/>
      <c r="S1262" s="320" t="s">
        <v>1198</v>
      </c>
      <c r="T1262" s="320" t="s">
        <v>1321</v>
      </c>
      <c r="U1262" s="320">
        <v>1040699</v>
      </c>
      <c r="V1262" s="319" t="s">
        <v>87</v>
      </c>
      <c r="W1262" s="320">
        <v>1</v>
      </c>
      <c r="X1262" s="320">
        <v>1</v>
      </c>
      <c r="Y1262" s="320">
        <v>1</v>
      </c>
      <c r="Z1262" s="320">
        <v>1</v>
      </c>
      <c r="AA1262" s="320">
        <v>1</v>
      </c>
      <c r="AB1262" s="320">
        <v>1</v>
      </c>
      <c r="AC1262" s="320">
        <v>1</v>
      </c>
      <c r="AD1262" s="320">
        <v>3</v>
      </c>
      <c r="AE1262" s="320"/>
      <c r="AF1262" s="320">
        <v>2</v>
      </c>
      <c r="AG1262" s="320">
        <v>2</v>
      </c>
      <c r="AH1262" s="320">
        <v>2</v>
      </c>
      <c r="AI1262" s="320">
        <v>2</v>
      </c>
      <c r="AJ1262" s="320"/>
      <c r="AK1262" s="320"/>
      <c r="AL1262" s="320"/>
      <c r="AM1262" s="320"/>
      <c r="AN1262" s="320"/>
      <c r="AO1262" s="320"/>
      <c r="AP1262" s="320"/>
      <c r="AQ1262" s="320"/>
      <c r="AR1262" s="320"/>
      <c r="AS1262" s="320"/>
      <c r="AT1262" s="320"/>
      <c r="AU1262" s="320"/>
      <c r="AV1262" s="320"/>
      <c r="AW1262" s="320"/>
      <c r="AX1262" s="320"/>
      <c r="AY1262" s="952"/>
      <c r="AZ1262" s="36"/>
      <c r="BA1262" s="36"/>
      <c r="BB1262" s="36"/>
      <c r="BC1262" s="36"/>
      <c r="BD1262" s="36"/>
      <c r="BF1262">
        <f>ROWS($U$46:U1262)</f>
        <v>1217</v>
      </c>
      <c r="BG1262" t="str">
        <f t="shared" si="223"/>
        <v/>
      </c>
    </row>
    <row r="1263" spans="15:59" x14ac:dyDescent="0.35">
      <c r="O1263" s="330">
        <v>2</v>
      </c>
      <c r="P1263" s="36">
        <v>647435</v>
      </c>
      <c r="Q1263" s="36">
        <v>23</v>
      </c>
      <c r="R1263" s="36"/>
      <c r="S1263" s="36" t="s">
        <v>1198</v>
      </c>
      <c r="T1263" s="36" t="s">
        <v>1321</v>
      </c>
      <c r="U1263" s="36">
        <v>1040699</v>
      </c>
      <c r="V1263" s="165" t="s">
        <v>88</v>
      </c>
      <c r="W1263" s="36">
        <v>1</v>
      </c>
      <c r="X1263" s="36">
        <v>1</v>
      </c>
      <c r="Y1263" s="36">
        <v>1</v>
      </c>
      <c r="Z1263" s="36">
        <v>1</v>
      </c>
      <c r="AA1263" s="36">
        <v>3</v>
      </c>
      <c r="AB1263" s="36">
        <v>3</v>
      </c>
      <c r="AC1263" s="36"/>
      <c r="AD1263" s="36"/>
      <c r="AE1263" s="36"/>
      <c r="AF1263" s="36">
        <v>2</v>
      </c>
      <c r="AG1263" s="36">
        <v>2</v>
      </c>
      <c r="AH1263" s="36">
        <v>2</v>
      </c>
      <c r="AI1263" s="36">
        <v>2</v>
      </c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  <c r="AV1263" s="36"/>
      <c r="AW1263" s="36"/>
      <c r="AX1263" s="36"/>
      <c r="AY1263" s="953"/>
      <c r="AZ1263" s="36"/>
      <c r="BA1263" s="36"/>
      <c r="BB1263" s="36"/>
      <c r="BC1263" s="36"/>
      <c r="BD1263" s="36"/>
      <c r="BF1263">
        <f>ROWS($U$46:U1263)</f>
        <v>1218</v>
      </c>
      <c r="BG1263" t="str">
        <f t="shared" ref="BG1263:BG1326" si="225">IF(VALUE(SUBSTITUTE($B$5,"M",""))=U1263,BF1263,"")</f>
        <v/>
      </c>
    </row>
    <row r="1264" spans="15:59" x14ac:dyDescent="0.35">
      <c r="O1264" s="330">
        <v>3</v>
      </c>
      <c r="P1264" s="36">
        <v>418525</v>
      </c>
      <c r="Q1264" s="36">
        <v>8</v>
      </c>
      <c r="R1264" s="36"/>
      <c r="S1264" s="36" t="s">
        <v>1198</v>
      </c>
      <c r="T1264" s="36" t="s">
        <v>1321</v>
      </c>
      <c r="U1264" s="36">
        <v>1040699</v>
      </c>
      <c r="V1264" s="165" t="s">
        <v>89</v>
      </c>
      <c r="W1264" s="36">
        <v>1</v>
      </c>
      <c r="X1264" s="36">
        <v>1</v>
      </c>
      <c r="Y1264" s="36">
        <v>1</v>
      </c>
      <c r="Z1264" s="36">
        <v>1</v>
      </c>
      <c r="AA1264" s="36">
        <v>1</v>
      </c>
      <c r="AB1264" s="36">
        <v>1</v>
      </c>
      <c r="AC1264" s="36">
        <v>3</v>
      </c>
      <c r="AD1264" s="36">
        <v>3</v>
      </c>
      <c r="AE1264" s="36"/>
      <c r="AF1264" s="36">
        <v>2</v>
      </c>
      <c r="AG1264" s="36">
        <v>2</v>
      </c>
      <c r="AH1264" s="36">
        <v>2</v>
      </c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  <c r="AV1264" s="36"/>
      <c r="AW1264" s="36"/>
      <c r="AX1264" s="36"/>
      <c r="AY1264" s="953"/>
      <c r="AZ1264" s="36"/>
      <c r="BA1264" s="36"/>
      <c r="BB1264" s="36"/>
      <c r="BC1264" s="36"/>
      <c r="BD1264" s="36"/>
      <c r="BF1264">
        <f>ROWS($U$46:U1264)</f>
        <v>1219</v>
      </c>
      <c r="BG1264" t="str">
        <f t="shared" si="225"/>
        <v/>
      </c>
    </row>
    <row r="1265" spans="15:59" x14ac:dyDescent="0.35">
      <c r="O1265" s="330"/>
      <c r="P1265" s="36"/>
      <c r="Q1265" s="36"/>
      <c r="R1265" s="36"/>
      <c r="S1265" s="36" t="s">
        <v>1198</v>
      </c>
      <c r="T1265" s="36" t="s">
        <v>1321</v>
      </c>
      <c r="U1265" s="36">
        <v>1040699</v>
      </c>
      <c r="V1265" s="165" t="s">
        <v>90</v>
      </c>
      <c r="W1265" s="36">
        <v>1</v>
      </c>
      <c r="X1265" s="36">
        <v>1</v>
      </c>
      <c r="Y1265" s="36">
        <v>1</v>
      </c>
      <c r="Z1265" s="36">
        <v>1</v>
      </c>
      <c r="AA1265" s="36">
        <v>1</v>
      </c>
      <c r="AB1265" s="36">
        <v>3</v>
      </c>
      <c r="AC1265" s="36"/>
      <c r="AD1265" s="36"/>
      <c r="AE1265" s="36"/>
      <c r="AF1265" s="36">
        <v>2</v>
      </c>
      <c r="AG1265" s="36">
        <v>2</v>
      </c>
      <c r="AH1265" s="36">
        <v>2</v>
      </c>
      <c r="AI1265" s="36">
        <v>2</v>
      </c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  <c r="AV1265" s="36"/>
      <c r="AW1265" s="36"/>
      <c r="AX1265" s="36"/>
      <c r="AY1265" s="953"/>
      <c r="AZ1265" s="36"/>
      <c r="BA1265" s="36"/>
      <c r="BB1265" s="36"/>
      <c r="BC1265" s="36"/>
      <c r="BD1265" s="36"/>
      <c r="BF1265">
        <f>ROWS($U$46:U1265)</f>
        <v>1220</v>
      </c>
      <c r="BG1265" t="str">
        <f t="shared" si="225"/>
        <v/>
      </c>
    </row>
    <row r="1266" spans="15:59" x14ac:dyDescent="0.35">
      <c r="O1266" s="330"/>
      <c r="P1266" s="36"/>
      <c r="Q1266" s="36"/>
      <c r="R1266" s="36"/>
      <c r="S1266" s="36" t="s">
        <v>1198</v>
      </c>
      <c r="T1266" s="36" t="s">
        <v>1321</v>
      </c>
      <c r="U1266" s="36">
        <v>1040699</v>
      </c>
      <c r="V1266" s="165" t="s">
        <v>91</v>
      </c>
      <c r="W1266" s="36">
        <v>1</v>
      </c>
      <c r="X1266" s="36">
        <v>1</v>
      </c>
      <c r="Y1266" s="36">
        <v>1</v>
      </c>
      <c r="Z1266" s="36">
        <v>1</v>
      </c>
      <c r="AA1266" s="36">
        <v>1</v>
      </c>
      <c r="AB1266" s="36">
        <v>1</v>
      </c>
      <c r="AC1266" s="36">
        <v>1</v>
      </c>
      <c r="AD1266" s="36">
        <v>3</v>
      </c>
      <c r="AE1266" s="36"/>
      <c r="AF1266" s="36">
        <v>2</v>
      </c>
      <c r="AG1266" s="36">
        <v>2</v>
      </c>
      <c r="AH1266" s="36">
        <v>2</v>
      </c>
      <c r="AI1266" s="36">
        <v>2</v>
      </c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  <c r="AV1266" s="36"/>
      <c r="AW1266" s="36"/>
      <c r="AX1266" s="36"/>
      <c r="AY1266" s="953"/>
      <c r="AZ1266" s="36"/>
      <c r="BA1266" s="36"/>
      <c r="BB1266" s="36"/>
      <c r="BC1266" s="36"/>
      <c r="BD1266" s="36"/>
      <c r="BF1266">
        <f>ROWS($U$46:U1266)</f>
        <v>1221</v>
      </c>
      <c r="BG1266" t="str">
        <f t="shared" si="225"/>
        <v/>
      </c>
    </row>
    <row r="1267" spans="15:59" ht="15" thickBot="1" x14ac:dyDescent="0.4">
      <c r="O1267" s="331"/>
      <c r="P1267" s="328"/>
      <c r="Q1267" s="328"/>
      <c r="R1267" s="328"/>
      <c r="S1267" s="328" t="s">
        <v>1198</v>
      </c>
      <c r="T1267" s="328" t="s">
        <v>1321</v>
      </c>
      <c r="U1267" s="328">
        <v>1040699</v>
      </c>
      <c r="V1267" s="327" t="s">
        <v>92</v>
      </c>
      <c r="W1267" s="328">
        <v>1</v>
      </c>
      <c r="X1267" s="328">
        <v>1</v>
      </c>
      <c r="Y1267" s="328">
        <v>1</v>
      </c>
      <c r="Z1267" s="328">
        <v>1</v>
      </c>
      <c r="AA1267" s="328">
        <v>3</v>
      </c>
      <c r="AB1267" s="328"/>
      <c r="AC1267" s="328"/>
      <c r="AD1267" s="328"/>
      <c r="AE1267" s="328"/>
      <c r="AF1267" s="328">
        <v>2</v>
      </c>
      <c r="AG1267" s="328">
        <v>2</v>
      </c>
      <c r="AH1267" s="328">
        <v>2</v>
      </c>
      <c r="AI1267" s="328">
        <v>2</v>
      </c>
      <c r="AJ1267" s="328"/>
      <c r="AK1267" s="328"/>
      <c r="AL1267" s="328"/>
      <c r="AM1267" s="328"/>
      <c r="AN1267" s="328"/>
      <c r="AO1267" s="328"/>
      <c r="AP1267" s="328"/>
      <c r="AQ1267" s="328"/>
      <c r="AR1267" s="328"/>
      <c r="AS1267" s="328"/>
      <c r="AT1267" s="328"/>
      <c r="AU1267" s="328"/>
      <c r="AV1267" s="328"/>
      <c r="AW1267" s="328"/>
      <c r="AX1267" s="328"/>
      <c r="AY1267" s="954"/>
      <c r="AZ1267" s="36"/>
      <c r="BA1267" s="36"/>
      <c r="BB1267" s="36"/>
      <c r="BC1267" s="36"/>
      <c r="BD1267" s="36"/>
      <c r="BF1267">
        <f>ROWS($U$46:U1267)</f>
        <v>1222</v>
      </c>
      <c r="BG1267" t="str">
        <f t="shared" si="225"/>
        <v/>
      </c>
    </row>
    <row r="1268" spans="15:59" x14ac:dyDescent="0.35">
      <c r="O1268" s="329">
        <v>1</v>
      </c>
      <c r="P1268" s="320">
        <v>1130198</v>
      </c>
      <c r="Q1268" s="320">
        <v>33</v>
      </c>
      <c r="R1268" s="320"/>
      <c r="S1268" s="320" t="s">
        <v>1198</v>
      </c>
      <c r="T1268" s="320" t="s">
        <v>846</v>
      </c>
      <c r="U1268" s="320">
        <v>1053617</v>
      </c>
      <c r="V1268" s="319" t="s">
        <v>87</v>
      </c>
      <c r="W1268" s="320">
        <v>1</v>
      </c>
      <c r="X1268" s="320">
        <v>1</v>
      </c>
      <c r="Y1268" s="320">
        <v>1</v>
      </c>
      <c r="Z1268" s="320">
        <v>1</v>
      </c>
      <c r="AA1268" s="320">
        <v>1</v>
      </c>
      <c r="AB1268" s="320">
        <v>1</v>
      </c>
      <c r="AC1268" s="320">
        <v>1</v>
      </c>
      <c r="AD1268" s="320">
        <v>4</v>
      </c>
      <c r="AE1268" s="320"/>
      <c r="AF1268" s="320">
        <v>2</v>
      </c>
      <c r="AG1268" s="320">
        <v>2</v>
      </c>
      <c r="AH1268" s="320">
        <v>2</v>
      </c>
      <c r="AI1268" s="320">
        <v>3</v>
      </c>
      <c r="AJ1268" s="320"/>
      <c r="AK1268" s="320"/>
      <c r="AL1268" s="320"/>
      <c r="AM1268" s="320"/>
      <c r="AN1268" s="320"/>
      <c r="AO1268" s="320"/>
      <c r="AP1268" s="320"/>
      <c r="AQ1268" s="320"/>
      <c r="AR1268" s="320"/>
      <c r="AS1268" s="320"/>
      <c r="AT1268" s="320"/>
      <c r="AU1268" s="320"/>
      <c r="AV1268" s="320"/>
      <c r="AW1268" s="320"/>
      <c r="AX1268" s="320"/>
      <c r="AY1268" s="952"/>
      <c r="AZ1268" s="36"/>
      <c r="BA1268" s="36"/>
      <c r="BB1268" s="36"/>
      <c r="BC1268" s="36"/>
      <c r="BD1268" s="36"/>
      <c r="BF1268">
        <f>ROWS($U$46:U1268)</f>
        <v>1223</v>
      </c>
      <c r="BG1268" t="str">
        <f t="shared" si="225"/>
        <v/>
      </c>
    </row>
    <row r="1269" spans="15:59" x14ac:dyDescent="0.35">
      <c r="O1269" s="330">
        <v>2</v>
      </c>
      <c r="P1269" s="36">
        <v>983148</v>
      </c>
      <c r="Q1269" s="36">
        <v>17</v>
      </c>
      <c r="R1269" s="36"/>
      <c r="S1269" s="36" t="s">
        <v>1198</v>
      </c>
      <c r="T1269" s="36" t="s">
        <v>846</v>
      </c>
      <c r="U1269" s="36">
        <v>1053617</v>
      </c>
      <c r="V1269" s="165" t="s">
        <v>88</v>
      </c>
      <c r="W1269" s="36">
        <v>1</v>
      </c>
      <c r="X1269" s="36">
        <v>1</v>
      </c>
      <c r="Y1269" s="36">
        <v>1</v>
      </c>
      <c r="Z1269" s="36">
        <v>1</v>
      </c>
      <c r="AA1269" s="36">
        <v>4</v>
      </c>
      <c r="AB1269" s="36"/>
      <c r="AC1269" s="36"/>
      <c r="AD1269" s="36"/>
      <c r="AE1269" s="36"/>
      <c r="AF1269" s="36">
        <v>2</v>
      </c>
      <c r="AG1269" s="36">
        <v>2</v>
      </c>
      <c r="AH1269" s="36">
        <v>2</v>
      </c>
      <c r="AI1269" s="36">
        <v>3</v>
      </c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  <c r="AV1269" s="36"/>
      <c r="AW1269" s="36"/>
      <c r="AX1269" s="36"/>
      <c r="AY1269" s="953"/>
      <c r="AZ1269" s="36"/>
      <c r="BA1269" s="36"/>
      <c r="BB1269" s="36"/>
      <c r="BC1269" s="36"/>
      <c r="BD1269" s="36"/>
      <c r="BF1269">
        <f>ROWS($U$46:U1269)</f>
        <v>1224</v>
      </c>
      <c r="BG1269" t="str">
        <f t="shared" si="225"/>
        <v/>
      </c>
    </row>
    <row r="1270" spans="15:59" x14ac:dyDescent="0.35">
      <c r="O1270" s="330">
        <v>3</v>
      </c>
      <c r="P1270" s="36">
        <v>647435</v>
      </c>
      <c r="Q1270" s="36">
        <v>6</v>
      </c>
      <c r="R1270" s="36"/>
      <c r="S1270" s="36" t="s">
        <v>1198</v>
      </c>
      <c r="T1270" s="36" t="s">
        <v>846</v>
      </c>
      <c r="U1270" s="36">
        <v>1053617</v>
      </c>
      <c r="V1270" s="165" t="s">
        <v>89</v>
      </c>
      <c r="W1270" s="36">
        <v>1</v>
      </c>
      <c r="X1270" s="36">
        <v>1</v>
      </c>
      <c r="Y1270" s="36">
        <v>1</v>
      </c>
      <c r="Z1270" s="36">
        <v>1</v>
      </c>
      <c r="AA1270" s="36">
        <v>1</v>
      </c>
      <c r="AB1270" s="36">
        <v>1</v>
      </c>
      <c r="AC1270" s="36">
        <v>4</v>
      </c>
      <c r="AD1270" s="36"/>
      <c r="AE1270" s="36"/>
      <c r="AF1270" s="36">
        <v>2</v>
      </c>
      <c r="AG1270" s="36">
        <v>2</v>
      </c>
      <c r="AH1270" s="36">
        <v>3</v>
      </c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  <c r="AV1270" s="36"/>
      <c r="AW1270" s="36"/>
      <c r="AX1270" s="36"/>
      <c r="AY1270" s="953"/>
      <c r="AZ1270" s="36"/>
      <c r="BA1270" s="36"/>
      <c r="BB1270" s="36"/>
      <c r="BC1270" s="36"/>
      <c r="BD1270" s="36"/>
      <c r="BF1270">
        <f>ROWS($U$46:U1270)</f>
        <v>1225</v>
      </c>
      <c r="BG1270" t="str">
        <f t="shared" si="225"/>
        <v/>
      </c>
    </row>
    <row r="1271" spans="15:59" x14ac:dyDescent="0.35">
      <c r="O1271" s="330">
        <v>4</v>
      </c>
      <c r="P1271" s="36">
        <v>418525</v>
      </c>
      <c r="Q1271" s="36">
        <v>6</v>
      </c>
      <c r="R1271" s="36"/>
      <c r="S1271" s="36" t="s">
        <v>1198</v>
      </c>
      <c r="T1271" s="36" t="s">
        <v>846</v>
      </c>
      <c r="U1271" s="36">
        <v>1053617</v>
      </c>
      <c r="V1271" s="165" t="s">
        <v>90</v>
      </c>
      <c r="W1271" s="36">
        <v>1</v>
      </c>
      <c r="X1271" s="36">
        <v>1</v>
      </c>
      <c r="Y1271" s="36">
        <v>1</v>
      </c>
      <c r="Z1271" s="36">
        <v>1</v>
      </c>
      <c r="AA1271" s="36">
        <v>1</v>
      </c>
      <c r="AB1271" s="36">
        <v>4</v>
      </c>
      <c r="AC1271" s="36"/>
      <c r="AD1271" s="36"/>
      <c r="AE1271" s="36"/>
      <c r="AF1271" s="36">
        <v>2</v>
      </c>
      <c r="AG1271" s="36">
        <v>2</v>
      </c>
      <c r="AH1271" s="36">
        <v>2</v>
      </c>
      <c r="AI1271" s="36">
        <v>3</v>
      </c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  <c r="AV1271" s="36"/>
      <c r="AW1271" s="36"/>
      <c r="AX1271" s="36"/>
      <c r="AY1271" s="953"/>
      <c r="AZ1271" s="36"/>
      <c r="BA1271" s="36"/>
      <c r="BB1271" s="36"/>
      <c r="BC1271" s="36"/>
      <c r="BD1271" s="36"/>
      <c r="BF1271">
        <f>ROWS($U$46:U1271)</f>
        <v>1226</v>
      </c>
      <c r="BG1271" t="str">
        <f t="shared" si="225"/>
        <v/>
      </c>
    </row>
    <row r="1272" spans="15:59" x14ac:dyDescent="0.35">
      <c r="O1272" s="330"/>
      <c r="P1272" s="36"/>
      <c r="Q1272" s="36"/>
      <c r="R1272" s="36"/>
      <c r="S1272" s="36" t="s">
        <v>1198</v>
      </c>
      <c r="T1272" s="36" t="s">
        <v>846</v>
      </c>
      <c r="U1272" s="36">
        <v>1053617</v>
      </c>
      <c r="V1272" s="165" t="s">
        <v>91</v>
      </c>
      <c r="W1272" s="36">
        <v>1</v>
      </c>
      <c r="X1272" s="36">
        <v>1</v>
      </c>
      <c r="Y1272" s="36">
        <v>1</v>
      </c>
      <c r="Z1272" s="36">
        <v>1</v>
      </c>
      <c r="AA1272" s="36">
        <v>1</v>
      </c>
      <c r="AB1272" s="36">
        <v>1</v>
      </c>
      <c r="AC1272" s="36">
        <v>1</v>
      </c>
      <c r="AD1272" s="36">
        <v>4</v>
      </c>
      <c r="AE1272" s="36"/>
      <c r="AF1272" s="36">
        <v>2</v>
      </c>
      <c r="AG1272" s="36">
        <v>2</v>
      </c>
      <c r="AH1272" s="36">
        <v>2</v>
      </c>
      <c r="AI1272" s="36">
        <v>3</v>
      </c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  <c r="AV1272" s="36"/>
      <c r="AW1272" s="36"/>
      <c r="AX1272" s="36"/>
      <c r="AY1272" s="953"/>
      <c r="AZ1272" s="36"/>
      <c r="BA1272" s="36"/>
      <c r="BB1272" s="36"/>
      <c r="BC1272" s="36"/>
      <c r="BD1272" s="36"/>
      <c r="BF1272">
        <f>ROWS($U$46:U1272)</f>
        <v>1227</v>
      </c>
      <c r="BG1272" t="str">
        <f t="shared" si="225"/>
        <v/>
      </c>
    </row>
    <row r="1273" spans="15:59" ht="15" thickBot="1" x14ac:dyDescent="0.4">
      <c r="O1273" s="331"/>
      <c r="P1273" s="328"/>
      <c r="Q1273" s="328"/>
      <c r="R1273" s="328"/>
      <c r="S1273" s="328" t="s">
        <v>1198</v>
      </c>
      <c r="T1273" s="328" t="s">
        <v>846</v>
      </c>
      <c r="U1273" s="328">
        <v>1053617</v>
      </c>
      <c r="V1273" s="327" t="s">
        <v>92</v>
      </c>
      <c r="W1273" s="328">
        <v>1</v>
      </c>
      <c r="X1273" s="328">
        <v>1</v>
      </c>
      <c r="Y1273" s="328">
        <v>1</v>
      </c>
      <c r="Z1273" s="328">
        <v>1</v>
      </c>
      <c r="AA1273" s="328">
        <v>4</v>
      </c>
      <c r="AB1273" s="328"/>
      <c r="AC1273" s="328"/>
      <c r="AD1273" s="328"/>
      <c r="AE1273" s="328"/>
      <c r="AF1273" s="328">
        <v>2</v>
      </c>
      <c r="AG1273" s="328">
        <v>2</v>
      </c>
      <c r="AH1273" s="328">
        <v>2</v>
      </c>
      <c r="AI1273" s="328">
        <v>3</v>
      </c>
      <c r="AJ1273" s="328"/>
      <c r="AK1273" s="328"/>
      <c r="AL1273" s="328"/>
      <c r="AM1273" s="328"/>
      <c r="AN1273" s="328"/>
      <c r="AO1273" s="328"/>
      <c r="AP1273" s="328"/>
      <c r="AQ1273" s="328"/>
      <c r="AR1273" s="328"/>
      <c r="AS1273" s="328"/>
      <c r="AT1273" s="328"/>
      <c r="AU1273" s="328"/>
      <c r="AV1273" s="328"/>
      <c r="AW1273" s="328"/>
      <c r="AX1273" s="328"/>
      <c r="AY1273" s="954"/>
      <c r="AZ1273" s="36"/>
      <c r="BA1273" s="36"/>
      <c r="BB1273" s="36"/>
      <c r="BC1273" s="36"/>
      <c r="BD1273" s="36"/>
      <c r="BF1273">
        <f>ROWS($U$46:U1273)</f>
        <v>1228</v>
      </c>
      <c r="BG1273" t="str">
        <f t="shared" si="225"/>
        <v/>
      </c>
    </row>
    <row r="1274" spans="15:59" x14ac:dyDescent="0.35">
      <c r="O1274" s="329">
        <v>1</v>
      </c>
      <c r="P1274" s="320">
        <v>1130221</v>
      </c>
      <c r="Q1274" s="320">
        <v>30</v>
      </c>
      <c r="R1274" s="320"/>
      <c r="S1274" s="320" t="s">
        <v>1198</v>
      </c>
      <c r="T1274" s="320" t="s">
        <v>1321</v>
      </c>
      <c r="U1274" s="320">
        <v>791867</v>
      </c>
      <c r="V1274" s="319" t="s">
        <v>87</v>
      </c>
      <c r="W1274" s="320">
        <v>2</v>
      </c>
      <c r="X1274" s="320">
        <v>2</v>
      </c>
      <c r="Y1274" s="320">
        <v>2</v>
      </c>
      <c r="Z1274" s="320">
        <v>1</v>
      </c>
      <c r="AA1274" s="320">
        <v>1</v>
      </c>
      <c r="AB1274" s="320">
        <v>1</v>
      </c>
      <c r="AC1274" s="320">
        <v>1</v>
      </c>
      <c r="AD1274" s="320">
        <v>1</v>
      </c>
      <c r="AE1274" s="320">
        <v>5</v>
      </c>
      <c r="AF1274" s="320">
        <v>4</v>
      </c>
      <c r="AG1274" s="320"/>
      <c r="AH1274" s="320">
        <v>3</v>
      </c>
      <c r="AI1274" s="320">
        <v>2</v>
      </c>
      <c r="AJ1274" s="320">
        <v>2</v>
      </c>
      <c r="AK1274" s="320">
        <v>2</v>
      </c>
      <c r="AL1274" s="320">
        <v>2</v>
      </c>
      <c r="AM1274" s="320"/>
      <c r="AN1274" s="320"/>
      <c r="AO1274" s="320"/>
      <c r="AP1274" s="320"/>
      <c r="AQ1274" s="320"/>
      <c r="AR1274" s="320"/>
      <c r="AS1274" s="320"/>
      <c r="AT1274" s="320"/>
      <c r="AU1274" s="320"/>
      <c r="AV1274" s="320"/>
      <c r="AW1274" s="320"/>
      <c r="AX1274" s="320"/>
      <c r="AY1274" s="952"/>
      <c r="AZ1274" s="36"/>
      <c r="BA1274" s="36"/>
      <c r="BB1274" s="36"/>
      <c r="BC1274" s="36"/>
      <c r="BD1274" s="36"/>
      <c r="BF1274">
        <f>ROWS($U$46:U1274)</f>
        <v>1229</v>
      </c>
      <c r="BG1274" t="str">
        <f t="shared" si="225"/>
        <v/>
      </c>
    </row>
    <row r="1275" spans="15:59" x14ac:dyDescent="0.35">
      <c r="O1275" s="330">
        <v>2</v>
      </c>
      <c r="P1275" s="36">
        <v>1130219</v>
      </c>
      <c r="Q1275" s="36">
        <v>26</v>
      </c>
      <c r="R1275" s="36"/>
      <c r="S1275" s="36" t="s">
        <v>1198</v>
      </c>
      <c r="T1275" s="36" t="s">
        <v>1321</v>
      </c>
      <c r="U1275" s="36">
        <v>791867</v>
      </c>
      <c r="V1275" s="165" t="s">
        <v>88</v>
      </c>
      <c r="W1275" s="36">
        <v>1</v>
      </c>
      <c r="X1275" s="36">
        <v>1</v>
      </c>
      <c r="Y1275" s="36">
        <v>1</v>
      </c>
      <c r="Z1275" s="36">
        <v>1</v>
      </c>
      <c r="AA1275" s="36">
        <v>1</v>
      </c>
      <c r="AB1275" s="36">
        <v>5</v>
      </c>
      <c r="AC1275" s="36">
        <v>5</v>
      </c>
      <c r="AD1275" s="36"/>
      <c r="AE1275" s="36"/>
      <c r="AF1275" s="36"/>
      <c r="AG1275" s="36"/>
      <c r="AH1275" s="36">
        <v>3</v>
      </c>
      <c r="AI1275" s="36">
        <v>2</v>
      </c>
      <c r="AJ1275" s="36">
        <v>2</v>
      </c>
      <c r="AK1275" s="36">
        <v>2</v>
      </c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  <c r="AV1275" s="36"/>
      <c r="AW1275" s="36"/>
      <c r="AX1275" s="36"/>
      <c r="AY1275" s="953"/>
      <c r="AZ1275" s="36"/>
      <c r="BA1275" s="36"/>
      <c r="BB1275" s="36"/>
      <c r="BC1275" s="36"/>
      <c r="BD1275" s="36"/>
      <c r="BF1275">
        <f>ROWS($U$46:U1275)</f>
        <v>1230</v>
      </c>
      <c r="BG1275" t="str">
        <f t="shared" si="225"/>
        <v/>
      </c>
    </row>
    <row r="1276" spans="15:59" x14ac:dyDescent="0.35">
      <c r="O1276" s="330">
        <v>3</v>
      </c>
      <c r="P1276" s="36">
        <v>1134751</v>
      </c>
      <c r="Q1276" s="36">
        <v>6</v>
      </c>
      <c r="R1276" s="36"/>
      <c r="S1276" s="36" t="s">
        <v>1198</v>
      </c>
      <c r="T1276" s="36" t="s">
        <v>1321</v>
      </c>
      <c r="U1276" s="36">
        <v>791867</v>
      </c>
      <c r="V1276" s="165" t="s">
        <v>89</v>
      </c>
      <c r="W1276" s="36">
        <v>2</v>
      </c>
      <c r="X1276" s="36">
        <v>2</v>
      </c>
      <c r="Y1276" s="36">
        <v>1</v>
      </c>
      <c r="Z1276" s="36">
        <v>1</v>
      </c>
      <c r="AA1276" s="36">
        <v>1</v>
      </c>
      <c r="AB1276" s="36">
        <v>1</v>
      </c>
      <c r="AC1276" s="36">
        <v>1</v>
      </c>
      <c r="AD1276" s="36">
        <v>5</v>
      </c>
      <c r="AE1276" s="36">
        <v>4</v>
      </c>
      <c r="AF1276" s="36"/>
      <c r="AG1276" s="36"/>
      <c r="AH1276" s="36">
        <v>3</v>
      </c>
      <c r="AI1276" s="36">
        <v>2</v>
      </c>
      <c r="AJ1276" s="36">
        <v>2</v>
      </c>
      <c r="AK1276" s="36">
        <v>2</v>
      </c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  <c r="AV1276" s="36"/>
      <c r="AW1276" s="36"/>
      <c r="AX1276" s="36"/>
      <c r="AY1276" s="953"/>
      <c r="AZ1276" s="36"/>
      <c r="BA1276" s="36"/>
      <c r="BB1276" s="36"/>
      <c r="BC1276" s="36"/>
      <c r="BD1276" s="36"/>
      <c r="BF1276">
        <f>ROWS($U$46:U1276)</f>
        <v>1231</v>
      </c>
      <c r="BG1276" t="str">
        <f t="shared" si="225"/>
        <v/>
      </c>
    </row>
    <row r="1277" spans="15:59" x14ac:dyDescent="0.35">
      <c r="O1277" s="330">
        <v>4</v>
      </c>
      <c r="P1277" s="36">
        <v>871781</v>
      </c>
      <c r="Q1277" s="36">
        <v>3</v>
      </c>
      <c r="R1277" s="36"/>
      <c r="S1277" s="36" t="s">
        <v>1198</v>
      </c>
      <c r="T1277" s="36" t="s">
        <v>1321</v>
      </c>
      <c r="U1277" s="36">
        <v>791867</v>
      </c>
      <c r="V1277" s="165" t="s">
        <v>90</v>
      </c>
      <c r="W1277" s="36">
        <v>1</v>
      </c>
      <c r="X1277" s="36">
        <v>1</v>
      </c>
      <c r="Y1277" s="36">
        <v>1</v>
      </c>
      <c r="Z1277" s="36">
        <v>1</v>
      </c>
      <c r="AA1277" s="36">
        <v>5</v>
      </c>
      <c r="AB1277" s="36">
        <v>5</v>
      </c>
      <c r="AC1277" s="36"/>
      <c r="AD1277" s="36"/>
      <c r="AE1277" s="36"/>
      <c r="AF1277" s="36"/>
      <c r="AG1277" s="36"/>
      <c r="AH1277" s="36">
        <v>3</v>
      </c>
      <c r="AI1277" s="36">
        <v>2</v>
      </c>
      <c r="AJ1277" s="36">
        <v>2</v>
      </c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  <c r="AV1277" s="36"/>
      <c r="AW1277" s="36"/>
      <c r="AX1277" s="36"/>
      <c r="AY1277" s="953"/>
      <c r="AZ1277" s="36"/>
      <c r="BA1277" s="36"/>
      <c r="BB1277" s="36"/>
      <c r="BC1277" s="36"/>
      <c r="BD1277" s="36"/>
      <c r="BF1277">
        <f>ROWS($U$46:U1277)</f>
        <v>1232</v>
      </c>
      <c r="BG1277" t="str">
        <f t="shared" si="225"/>
        <v/>
      </c>
    </row>
    <row r="1278" spans="15:59" x14ac:dyDescent="0.35">
      <c r="O1278" s="330">
        <v>5</v>
      </c>
      <c r="P1278" s="36">
        <v>418525</v>
      </c>
      <c r="Q1278" s="36">
        <v>9</v>
      </c>
      <c r="R1278" s="36"/>
      <c r="S1278" s="36" t="s">
        <v>1198</v>
      </c>
      <c r="T1278" s="36" t="s">
        <v>1321</v>
      </c>
      <c r="U1278" s="36">
        <v>791867</v>
      </c>
      <c r="V1278" s="165" t="s">
        <v>91</v>
      </c>
      <c r="W1278" s="36">
        <v>2</v>
      </c>
      <c r="X1278" s="36">
        <v>2</v>
      </c>
      <c r="Y1278" s="36">
        <v>1</v>
      </c>
      <c r="Z1278" s="36">
        <v>1</v>
      </c>
      <c r="AA1278" s="36">
        <v>1</v>
      </c>
      <c r="AB1278" s="36">
        <v>1</v>
      </c>
      <c r="AC1278" s="36">
        <v>1</v>
      </c>
      <c r="AD1278" s="36">
        <v>1</v>
      </c>
      <c r="AE1278" s="36">
        <v>5</v>
      </c>
      <c r="AF1278" s="36">
        <v>4</v>
      </c>
      <c r="AG1278" s="36"/>
      <c r="AH1278" s="36">
        <v>3</v>
      </c>
      <c r="AI1278" s="36">
        <v>2</v>
      </c>
      <c r="AJ1278" s="36">
        <v>2</v>
      </c>
      <c r="AK1278" s="36">
        <v>2</v>
      </c>
      <c r="AL1278" s="36">
        <v>2</v>
      </c>
      <c r="AM1278" s="36"/>
      <c r="AN1278" s="36"/>
      <c r="AO1278" s="36"/>
      <c r="AP1278" s="36"/>
      <c r="AQ1278" s="36"/>
      <c r="AR1278" s="36"/>
      <c r="AS1278" s="36"/>
      <c r="AT1278" s="36"/>
      <c r="AU1278" s="36"/>
      <c r="AV1278" s="36"/>
      <c r="AW1278" s="36"/>
      <c r="AX1278" s="36"/>
      <c r="AY1278" s="953"/>
      <c r="AZ1278" s="36"/>
      <c r="BA1278" s="36"/>
      <c r="BB1278" s="36"/>
      <c r="BC1278" s="36"/>
      <c r="BD1278" s="36"/>
      <c r="BF1278">
        <f>ROWS($U$46:U1278)</f>
        <v>1233</v>
      </c>
      <c r="BG1278" t="str">
        <f t="shared" si="225"/>
        <v/>
      </c>
    </row>
    <row r="1279" spans="15:59" ht="15" thickBot="1" x14ac:dyDescent="0.4">
      <c r="O1279" s="331"/>
      <c r="P1279" s="328"/>
      <c r="Q1279" s="328"/>
      <c r="R1279" s="328"/>
      <c r="S1279" s="328" t="s">
        <v>1198</v>
      </c>
      <c r="T1279" s="328" t="s">
        <v>1321</v>
      </c>
      <c r="U1279" s="328">
        <v>791867</v>
      </c>
      <c r="V1279" s="327" t="s">
        <v>92</v>
      </c>
      <c r="W1279" s="328">
        <v>1</v>
      </c>
      <c r="X1279" s="328">
        <v>1</v>
      </c>
      <c r="Y1279" s="328">
        <v>1</v>
      </c>
      <c r="Z1279" s="328">
        <v>1</v>
      </c>
      <c r="AA1279" s="328">
        <v>1</v>
      </c>
      <c r="AB1279" s="328">
        <v>5</v>
      </c>
      <c r="AC1279" s="328">
        <v>5</v>
      </c>
      <c r="AD1279" s="328"/>
      <c r="AE1279" s="328"/>
      <c r="AF1279" s="328"/>
      <c r="AG1279" s="328"/>
      <c r="AH1279" s="328">
        <v>3</v>
      </c>
      <c r="AI1279" s="328">
        <v>2</v>
      </c>
      <c r="AJ1279" s="328">
        <v>2</v>
      </c>
      <c r="AK1279" s="328">
        <v>2</v>
      </c>
      <c r="AL1279" s="328"/>
      <c r="AM1279" s="328"/>
      <c r="AN1279" s="328"/>
      <c r="AO1279" s="328"/>
      <c r="AP1279" s="328"/>
      <c r="AQ1279" s="328"/>
      <c r="AR1279" s="328"/>
      <c r="AS1279" s="328"/>
      <c r="AT1279" s="328"/>
      <c r="AU1279" s="328"/>
      <c r="AV1279" s="328"/>
      <c r="AW1279" s="328"/>
      <c r="AX1279" s="328"/>
      <c r="AY1279" s="954"/>
      <c r="AZ1279" s="36"/>
      <c r="BA1279" s="36"/>
      <c r="BB1279" s="36"/>
      <c r="BC1279" s="36"/>
      <c r="BD1279" s="36"/>
      <c r="BF1279">
        <f>ROWS($U$46:U1279)</f>
        <v>1234</v>
      </c>
      <c r="BG1279" t="str">
        <f t="shared" si="225"/>
        <v/>
      </c>
    </row>
    <row r="1280" spans="15:59" x14ac:dyDescent="0.35">
      <c r="O1280" s="329">
        <v>1</v>
      </c>
      <c r="P1280" s="320">
        <v>1130221</v>
      </c>
      <c r="Q1280" s="320">
        <v>44</v>
      </c>
      <c r="R1280" s="320"/>
      <c r="S1280" s="320" t="s">
        <v>1209</v>
      </c>
      <c r="T1280" s="320" t="s">
        <v>1321</v>
      </c>
      <c r="U1280" s="320">
        <v>791391</v>
      </c>
      <c r="V1280" s="319" t="s">
        <v>87</v>
      </c>
      <c r="W1280" s="320"/>
      <c r="X1280" s="320"/>
      <c r="Y1280" s="320"/>
      <c r="Z1280" s="320"/>
      <c r="AA1280" s="320"/>
      <c r="AB1280" s="320"/>
      <c r="AC1280" s="320"/>
      <c r="AD1280" s="320"/>
      <c r="AE1280" s="320"/>
      <c r="AF1280" s="320"/>
      <c r="AG1280" s="320"/>
      <c r="AH1280" s="320"/>
      <c r="AI1280" s="320"/>
      <c r="AJ1280" s="320"/>
      <c r="AK1280" s="320"/>
      <c r="AL1280" s="320"/>
      <c r="AM1280" s="320"/>
      <c r="AN1280" s="320"/>
      <c r="AO1280" s="320"/>
      <c r="AP1280" s="320"/>
      <c r="AQ1280" s="320"/>
      <c r="AR1280" s="320"/>
      <c r="AS1280" s="320"/>
      <c r="AT1280" s="320"/>
      <c r="AU1280" s="320"/>
      <c r="AV1280" s="320"/>
      <c r="AW1280" s="320"/>
      <c r="AX1280" s="320"/>
      <c r="AY1280" s="952"/>
      <c r="AZ1280" s="36"/>
      <c r="BA1280" s="36"/>
      <c r="BB1280" s="36"/>
      <c r="BC1280" s="36"/>
      <c r="BD1280" s="36"/>
      <c r="BF1280">
        <f>ROWS($U$46:U1280)</f>
        <v>1235</v>
      </c>
      <c r="BG1280" t="str">
        <f t="shared" si="225"/>
        <v/>
      </c>
    </row>
    <row r="1281" spans="15:59" x14ac:dyDescent="0.35">
      <c r="O1281" s="330">
        <v>2</v>
      </c>
      <c r="P1281" s="36">
        <v>1134751</v>
      </c>
      <c r="Q1281" s="36">
        <v>26</v>
      </c>
      <c r="R1281" s="36"/>
      <c r="S1281" s="36" t="s">
        <v>1209</v>
      </c>
      <c r="T1281" s="36" t="s">
        <v>1321</v>
      </c>
      <c r="U1281" s="36">
        <v>791391</v>
      </c>
      <c r="V1281" s="165" t="s">
        <v>88</v>
      </c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  <c r="AV1281" s="36"/>
      <c r="AW1281" s="36"/>
      <c r="AX1281" s="36"/>
      <c r="AY1281" s="953"/>
      <c r="AZ1281" s="36"/>
      <c r="BA1281" s="36"/>
      <c r="BB1281" s="36"/>
      <c r="BC1281" s="36"/>
      <c r="BD1281" s="36"/>
      <c r="BF1281">
        <f>ROWS($U$46:U1281)</f>
        <v>1236</v>
      </c>
      <c r="BG1281" t="str">
        <f t="shared" si="225"/>
        <v/>
      </c>
    </row>
    <row r="1282" spans="15:59" x14ac:dyDescent="0.35">
      <c r="O1282" s="330">
        <v>3</v>
      </c>
      <c r="P1282" s="36">
        <v>703671</v>
      </c>
      <c r="Q1282" s="36">
        <v>6</v>
      </c>
      <c r="R1282" s="36"/>
      <c r="S1282" s="36" t="s">
        <v>1209</v>
      </c>
      <c r="T1282" s="36" t="s">
        <v>1321</v>
      </c>
      <c r="U1282" s="36">
        <v>791391</v>
      </c>
      <c r="V1282" s="165" t="s">
        <v>89</v>
      </c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  <c r="AV1282" s="36"/>
      <c r="AW1282" s="36"/>
      <c r="AX1282" s="36"/>
      <c r="AY1282" s="953"/>
      <c r="AZ1282" s="36"/>
      <c r="BA1282" s="36"/>
      <c r="BB1282" s="36"/>
      <c r="BC1282" s="36"/>
      <c r="BD1282" s="36"/>
      <c r="BF1282">
        <f>ROWS($U$46:U1282)</f>
        <v>1237</v>
      </c>
      <c r="BG1282" t="str">
        <f t="shared" si="225"/>
        <v/>
      </c>
    </row>
    <row r="1283" spans="15:59" x14ac:dyDescent="0.35">
      <c r="O1283" s="330">
        <v>4</v>
      </c>
      <c r="P1283" s="36">
        <v>717749</v>
      </c>
      <c r="Q1283" s="36">
        <v>6</v>
      </c>
      <c r="R1283" s="36"/>
      <c r="S1283" s="36" t="s">
        <v>1209</v>
      </c>
      <c r="T1283" s="36" t="s">
        <v>1321</v>
      </c>
      <c r="U1283" s="36">
        <v>791391</v>
      </c>
      <c r="V1283" s="165" t="s">
        <v>90</v>
      </c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  <c r="AV1283" s="36"/>
      <c r="AW1283" s="36"/>
      <c r="AX1283" s="36"/>
      <c r="AY1283" s="953"/>
      <c r="AZ1283" s="36"/>
      <c r="BA1283" s="36"/>
      <c r="BB1283" s="36"/>
      <c r="BC1283" s="36"/>
      <c r="BD1283" s="36"/>
      <c r="BF1283">
        <f>ROWS($U$46:U1283)</f>
        <v>1238</v>
      </c>
      <c r="BG1283" t="str">
        <f t="shared" si="225"/>
        <v/>
      </c>
    </row>
    <row r="1284" spans="15:59" x14ac:dyDescent="0.35">
      <c r="O1284" s="330">
        <v>5</v>
      </c>
      <c r="P1284" s="36">
        <v>871781</v>
      </c>
      <c r="Q1284" s="36">
        <v>3</v>
      </c>
      <c r="R1284" s="36"/>
      <c r="S1284" s="36" t="s">
        <v>1209</v>
      </c>
      <c r="T1284" s="36" t="s">
        <v>1321</v>
      </c>
      <c r="U1284" s="36">
        <v>791391</v>
      </c>
      <c r="V1284" s="165" t="s">
        <v>91</v>
      </c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  <c r="AV1284" s="36"/>
      <c r="AW1284" s="36"/>
      <c r="AX1284" s="36"/>
      <c r="AY1284" s="953"/>
      <c r="AZ1284" s="36"/>
      <c r="BA1284" s="36"/>
      <c r="BB1284" s="36"/>
      <c r="BC1284" s="36"/>
      <c r="BD1284" s="36"/>
      <c r="BF1284">
        <f>ROWS($U$46:U1284)</f>
        <v>1239</v>
      </c>
      <c r="BG1284" t="str">
        <f t="shared" si="225"/>
        <v/>
      </c>
    </row>
    <row r="1285" spans="15:59" ht="15" thickBot="1" x14ac:dyDescent="0.4">
      <c r="O1285" s="331">
        <v>6</v>
      </c>
      <c r="P1285" s="328">
        <v>418525</v>
      </c>
      <c r="Q1285" s="328">
        <v>9</v>
      </c>
      <c r="R1285" s="328"/>
      <c r="S1285" s="328" t="s">
        <v>1209</v>
      </c>
      <c r="T1285" s="328" t="s">
        <v>1321</v>
      </c>
      <c r="U1285" s="328">
        <v>791391</v>
      </c>
      <c r="V1285" s="327" t="s">
        <v>92</v>
      </c>
      <c r="W1285" s="328"/>
      <c r="X1285" s="328"/>
      <c r="Y1285" s="328"/>
      <c r="Z1285" s="328"/>
      <c r="AA1285" s="328"/>
      <c r="AB1285" s="328"/>
      <c r="AC1285" s="328"/>
      <c r="AD1285" s="328"/>
      <c r="AE1285" s="328"/>
      <c r="AF1285" s="328"/>
      <c r="AG1285" s="328"/>
      <c r="AH1285" s="328"/>
      <c r="AI1285" s="328"/>
      <c r="AJ1285" s="328"/>
      <c r="AK1285" s="328"/>
      <c r="AL1285" s="328"/>
      <c r="AM1285" s="328"/>
      <c r="AN1285" s="328"/>
      <c r="AO1285" s="328"/>
      <c r="AP1285" s="328"/>
      <c r="AQ1285" s="328"/>
      <c r="AR1285" s="328"/>
      <c r="AS1285" s="328"/>
      <c r="AT1285" s="328"/>
      <c r="AU1285" s="328"/>
      <c r="AV1285" s="328"/>
      <c r="AW1285" s="328"/>
      <c r="AX1285" s="328"/>
      <c r="AY1285" s="954"/>
      <c r="AZ1285" s="36"/>
      <c r="BA1285" s="36"/>
      <c r="BB1285" s="36"/>
      <c r="BC1285" s="36"/>
      <c r="BD1285" s="36"/>
      <c r="BF1285">
        <f>ROWS($U$46:U1285)</f>
        <v>1240</v>
      </c>
      <c r="BG1285" t="str">
        <f t="shared" si="225"/>
        <v/>
      </c>
    </row>
    <row r="1286" spans="15:59" x14ac:dyDescent="0.35">
      <c r="O1286" s="329">
        <v>1</v>
      </c>
      <c r="P1286" s="320">
        <v>1130198</v>
      </c>
      <c r="Q1286" s="320">
        <v>31</v>
      </c>
      <c r="R1286" s="320"/>
      <c r="S1286" s="320">
        <v>8.5</v>
      </c>
      <c r="T1286" s="320" t="s">
        <v>1940</v>
      </c>
      <c r="U1286" s="320">
        <v>1102426</v>
      </c>
      <c r="V1286" s="319" t="s">
        <v>87</v>
      </c>
      <c r="W1286" s="320">
        <v>1</v>
      </c>
      <c r="X1286" s="320">
        <v>1</v>
      </c>
      <c r="Y1286" s="320">
        <v>1</v>
      </c>
      <c r="Z1286" s="320">
        <v>1</v>
      </c>
      <c r="AA1286" s="320">
        <v>1</v>
      </c>
      <c r="AB1286" s="320">
        <v>1</v>
      </c>
      <c r="AC1286" s="320">
        <v>1</v>
      </c>
      <c r="AD1286" s="320">
        <v>3</v>
      </c>
      <c r="AE1286" s="320"/>
      <c r="AF1286" s="320">
        <v>2</v>
      </c>
      <c r="AG1286" s="320">
        <v>2</v>
      </c>
      <c r="AH1286" s="320">
        <v>2</v>
      </c>
      <c r="AI1286" s="320"/>
      <c r="AJ1286" s="320"/>
      <c r="AK1286" s="320"/>
      <c r="AL1286" s="320"/>
      <c r="AM1286" s="320"/>
      <c r="AN1286" s="320"/>
      <c r="AO1286" s="320"/>
      <c r="AP1286" s="320"/>
      <c r="AQ1286" s="320"/>
      <c r="AR1286" s="320"/>
      <c r="AS1286" s="320"/>
      <c r="AT1286" s="320"/>
      <c r="AU1286" s="320"/>
      <c r="AV1286" s="320"/>
      <c r="AW1286" s="320"/>
      <c r="AX1286" s="320"/>
      <c r="AY1286" s="952"/>
      <c r="AZ1286" s="36"/>
      <c r="BA1286" s="36"/>
      <c r="BB1286" s="36"/>
      <c r="BC1286" s="36"/>
      <c r="BD1286" s="36"/>
      <c r="BF1286">
        <f>ROWS($U$46:U1286)</f>
        <v>1241</v>
      </c>
      <c r="BG1286" t="str">
        <f t="shared" si="225"/>
        <v/>
      </c>
    </row>
    <row r="1287" spans="15:59" x14ac:dyDescent="0.35">
      <c r="O1287" s="330">
        <v>2</v>
      </c>
      <c r="P1287" s="36">
        <v>562195</v>
      </c>
      <c r="Q1287" s="36">
        <v>15</v>
      </c>
      <c r="R1287" s="36"/>
      <c r="S1287" s="36">
        <v>8.5</v>
      </c>
      <c r="T1287" s="36" t="s">
        <v>1940</v>
      </c>
      <c r="U1287" s="36">
        <v>1102426</v>
      </c>
      <c r="V1287" s="165" t="s">
        <v>88</v>
      </c>
      <c r="W1287" s="36">
        <v>1</v>
      </c>
      <c r="X1287" s="36">
        <v>1</v>
      </c>
      <c r="Y1287" s="36">
        <v>1</v>
      </c>
      <c r="Z1287" s="36">
        <v>1</v>
      </c>
      <c r="AA1287" s="36">
        <v>3</v>
      </c>
      <c r="AB1287" s="36"/>
      <c r="AC1287" s="36"/>
      <c r="AD1287" s="36"/>
      <c r="AE1287" s="36"/>
      <c r="AF1287" s="36">
        <v>2</v>
      </c>
      <c r="AG1287" s="36">
        <v>2</v>
      </c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  <c r="AV1287" s="36"/>
      <c r="AW1287" s="36"/>
      <c r="AX1287" s="36"/>
      <c r="AY1287" s="953"/>
      <c r="AZ1287" s="36"/>
      <c r="BA1287" s="36"/>
      <c r="BB1287" s="36"/>
      <c r="BC1287" s="36"/>
      <c r="BD1287" s="36"/>
      <c r="BF1287">
        <f>ROWS($U$46:U1287)</f>
        <v>1242</v>
      </c>
      <c r="BG1287" t="str">
        <f t="shared" si="225"/>
        <v/>
      </c>
    </row>
    <row r="1288" spans="15:59" x14ac:dyDescent="0.35">
      <c r="O1288" s="330">
        <v>3</v>
      </c>
      <c r="P1288" s="36">
        <v>418525</v>
      </c>
      <c r="Q1288" s="36">
        <v>6</v>
      </c>
      <c r="R1288" s="36"/>
      <c r="S1288" s="36">
        <v>8.5</v>
      </c>
      <c r="T1288" s="36" t="s">
        <v>1940</v>
      </c>
      <c r="U1288" s="36">
        <v>1102426</v>
      </c>
      <c r="V1288" s="165" t="s">
        <v>89</v>
      </c>
      <c r="W1288" s="36">
        <v>1</v>
      </c>
      <c r="X1288" s="36">
        <v>1</v>
      </c>
      <c r="Y1288" s="36">
        <v>1</v>
      </c>
      <c r="Z1288" s="36">
        <v>1</v>
      </c>
      <c r="AA1288" s="36">
        <v>1</v>
      </c>
      <c r="AB1288" s="36">
        <v>1</v>
      </c>
      <c r="AC1288" s="36">
        <v>3</v>
      </c>
      <c r="AD1288" s="36"/>
      <c r="AE1288" s="36"/>
      <c r="AF1288" s="36">
        <v>2</v>
      </c>
      <c r="AG1288" s="36">
        <v>2</v>
      </c>
      <c r="AH1288" s="36">
        <v>2</v>
      </c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  <c r="AV1288" s="36"/>
      <c r="AW1288" s="36"/>
      <c r="AX1288" s="36"/>
      <c r="AY1288" s="953"/>
      <c r="AZ1288" s="36"/>
      <c r="BA1288" s="36"/>
      <c r="BB1288" s="36"/>
      <c r="BC1288" s="36"/>
      <c r="BD1288" s="36"/>
      <c r="BF1288">
        <f>ROWS($U$46:U1288)</f>
        <v>1243</v>
      </c>
      <c r="BG1288" t="str">
        <f t="shared" si="225"/>
        <v/>
      </c>
    </row>
    <row r="1289" spans="15:59" x14ac:dyDescent="0.35">
      <c r="O1289" s="330"/>
      <c r="P1289" s="36"/>
      <c r="Q1289" s="36"/>
      <c r="R1289" s="36"/>
      <c r="S1289" s="36">
        <v>8.5</v>
      </c>
      <c r="T1289" s="36" t="s">
        <v>1940</v>
      </c>
      <c r="U1289" s="36">
        <v>1102426</v>
      </c>
      <c r="V1289" s="165" t="s">
        <v>90</v>
      </c>
      <c r="W1289" s="36">
        <v>1</v>
      </c>
      <c r="X1289" s="36">
        <v>1</v>
      </c>
      <c r="Y1289" s="36">
        <v>1</v>
      </c>
      <c r="Z1289" s="36">
        <v>1</v>
      </c>
      <c r="AA1289" s="36">
        <v>3</v>
      </c>
      <c r="AB1289" s="36"/>
      <c r="AC1289" s="36"/>
      <c r="AD1289" s="36"/>
      <c r="AE1289" s="36"/>
      <c r="AF1289" s="36">
        <v>2</v>
      </c>
      <c r="AG1289" s="36">
        <v>2</v>
      </c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  <c r="AV1289" s="36"/>
      <c r="AW1289" s="36"/>
      <c r="AX1289" s="36"/>
      <c r="AY1289" s="953"/>
      <c r="AZ1289" s="36"/>
      <c r="BA1289" s="36"/>
      <c r="BB1289" s="36"/>
      <c r="BC1289" s="36"/>
      <c r="BD1289" s="36"/>
      <c r="BF1289">
        <f>ROWS($U$46:U1289)</f>
        <v>1244</v>
      </c>
      <c r="BG1289" t="str">
        <f t="shared" si="225"/>
        <v/>
      </c>
    </row>
    <row r="1290" spans="15:59" x14ac:dyDescent="0.35">
      <c r="O1290" s="330"/>
      <c r="P1290" s="36"/>
      <c r="Q1290" s="36"/>
      <c r="R1290" s="36"/>
      <c r="S1290" s="36">
        <v>8.5</v>
      </c>
      <c r="T1290" s="36" t="s">
        <v>1940</v>
      </c>
      <c r="U1290" s="36">
        <v>1102426</v>
      </c>
      <c r="V1290" s="165" t="s">
        <v>91</v>
      </c>
      <c r="W1290" s="36">
        <v>1</v>
      </c>
      <c r="X1290" s="36">
        <v>1</v>
      </c>
      <c r="Y1290" s="36">
        <v>1</v>
      </c>
      <c r="Z1290" s="36">
        <v>1</v>
      </c>
      <c r="AA1290" s="36">
        <v>1</v>
      </c>
      <c r="AB1290" s="36">
        <v>1</v>
      </c>
      <c r="AC1290" s="36">
        <v>3</v>
      </c>
      <c r="AD1290" s="36"/>
      <c r="AE1290" s="36"/>
      <c r="AF1290" s="36">
        <v>2</v>
      </c>
      <c r="AG1290" s="36">
        <v>2</v>
      </c>
      <c r="AH1290" s="36">
        <v>2</v>
      </c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  <c r="AV1290" s="36"/>
      <c r="AW1290" s="36"/>
      <c r="AX1290" s="36"/>
      <c r="AY1290" s="953"/>
      <c r="AZ1290" s="36"/>
      <c r="BA1290" s="36"/>
      <c r="BB1290" s="36"/>
      <c r="BC1290" s="36"/>
      <c r="BD1290" s="36"/>
      <c r="BF1290">
        <f>ROWS($U$46:U1290)</f>
        <v>1245</v>
      </c>
      <c r="BG1290" t="str">
        <f t="shared" si="225"/>
        <v/>
      </c>
    </row>
    <row r="1291" spans="15:59" ht="15" thickBot="1" x14ac:dyDescent="0.4">
      <c r="O1291" s="331"/>
      <c r="P1291" s="328"/>
      <c r="Q1291" s="328"/>
      <c r="R1291" s="328"/>
      <c r="S1291" s="328">
        <v>8.5</v>
      </c>
      <c r="T1291" s="328" t="s">
        <v>1940</v>
      </c>
      <c r="U1291" s="328">
        <v>1102426</v>
      </c>
      <c r="V1291" s="327" t="s">
        <v>92</v>
      </c>
      <c r="W1291" s="328">
        <v>1</v>
      </c>
      <c r="X1291" s="328">
        <v>1</v>
      </c>
      <c r="Y1291" s="328">
        <v>1</v>
      </c>
      <c r="Z1291" s="328">
        <v>1</v>
      </c>
      <c r="AA1291" s="328">
        <v>3</v>
      </c>
      <c r="AB1291" s="328"/>
      <c r="AC1291" s="328"/>
      <c r="AD1291" s="328"/>
      <c r="AE1291" s="328"/>
      <c r="AF1291" s="328">
        <v>2</v>
      </c>
      <c r="AG1291" s="328">
        <v>2</v>
      </c>
      <c r="AH1291" s="328"/>
      <c r="AI1291" s="328"/>
      <c r="AJ1291" s="328"/>
      <c r="AK1291" s="328"/>
      <c r="AL1291" s="328"/>
      <c r="AM1291" s="328"/>
      <c r="AN1291" s="328"/>
      <c r="AO1291" s="328"/>
      <c r="AP1291" s="328"/>
      <c r="AQ1291" s="328"/>
      <c r="AR1291" s="328"/>
      <c r="AS1291" s="328"/>
      <c r="AT1291" s="328"/>
      <c r="AU1291" s="328"/>
      <c r="AV1291" s="328"/>
      <c r="AW1291" s="328"/>
      <c r="AX1291" s="328"/>
      <c r="AY1291" s="954"/>
      <c r="AZ1291" s="36"/>
      <c r="BA1291" s="36"/>
      <c r="BB1291" s="36"/>
      <c r="BC1291" s="36"/>
      <c r="BD1291" s="36"/>
      <c r="BF1291">
        <f>ROWS($U$46:U1291)</f>
        <v>1246</v>
      </c>
      <c r="BG1291" t="str">
        <f t="shared" si="225"/>
        <v/>
      </c>
    </row>
    <row r="1292" spans="15:59" x14ac:dyDescent="0.35">
      <c r="O1292" s="329">
        <v>1</v>
      </c>
      <c r="P1292" s="320">
        <v>1130198</v>
      </c>
      <c r="Q1292" s="320">
        <v>40</v>
      </c>
      <c r="R1292" s="320"/>
      <c r="S1292" s="320" t="s">
        <v>1938</v>
      </c>
      <c r="T1292" s="320" t="s">
        <v>1941</v>
      </c>
      <c r="U1292" s="320">
        <v>1121983</v>
      </c>
      <c r="V1292" s="319" t="s">
        <v>87</v>
      </c>
      <c r="W1292" s="320">
        <v>1</v>
      </c>
      <c r="X1292" s="320">
        <v>3</v>
      </c>
      <c r="Y1292" s="320">
        <v>3</v>
      </c>
      <c r="Z1292" s="320">
        <v>3</v>
      </c>
      <c r="AA1292" s="320">
        <v>1</v>
      </c>
      <c r="AB1292" s="320">
        <v>1</v>
      </c>
      <c r="AC1292" s="320">
        <v>1</v>
      </c>
      <c r="AD1292" s="320">
        <v>1</v>
      </c>
      <c r="AE1292" s="320">
        <v>1</v>
      </c>
      <c r="AF1292" s="320">
        <v>1</v>
      </c>
      <c r="AG1292" s="320">
        <v>1</v>
      </c>
      <c r="AH1292" s="320">
        <v>1</v>
      </c>
      <c r="AI1292" s="320">
        <v>4</v>
      </c>
      <c r="AJ1292" s="320"/>
      <c r="AK1292" s="320">
        <v>2</v>
      </c>
      <c r="AL1292" s="320">
        <v>2</v>
      </c>
      <c r="AM1292" s="320">
        <v>2</v>
      </c>
      <c r="AN1292" s="320">
        <v>2</v>
      </c>
      <c r="AO1292" s="320"/>
      <c r="AP1292" s="320"/>
      <c r="AQ1292" s="320"/>
      <c r="AR1292" s="320"/>
      <c r="AS1292" s="320"/>
      <c r="AT1292" s="320"/>
      <c r="AU1292" s="320"/>
      <c r="AV1292" s="320"/>
      <c r="AW1292" s="320"/>
      <c r="AX1292" s="320"/>
      <c r="AY1292" s="952"/>
      <c r="AZ1292" s="36"/>
      <c r="BA1292" s="36"/>
      <c r="BB1292" s="36"/>
      <c r="BC1292" s="36"/>
      <c r="BD1292" s="36"/>
      <c r="BF1292">
        <f>ROWS($U$46:U1292)</f>
        <v>1247</v>
      </c>
      <c r="BG1292" t="str">
        <f t="shared" si="225"/>
        <v/>
      </c>
    </row>
    <row r="1293" spans="15:59" x14ac:dyDescent="0.35">
      <c r="O1293" s="330">
        <v>2</v>
      </c>
      <c r="P1293" s="36">
        <v>1130196</v>
      </c>
      <c r="Q1293" s="36">
        <v>18</v>
      </c>
      <c r="R1293" s="36"/>
      <c r="S1293" s="36" t="s">
        <v>1938</v>
      </c>
      <c r="T1293" s="36" t="s">
        <v>1941</v>
      </c>
      <c r="U1293" s="36">
        <v>1121983</v>
      </c>
      <c r="V1293" s="165" t="s">
        <v>88</v>
      </c>
      <c r="W1293" s="36">
        <v>1</v>
      </c>
      <c r="X1293" s="36">
        <v>1</v>
      </c>
      <c r="Y1293" s="36">
        <v>1</v>
      </c>
      <c r="Z1293" s="36">
        <v>1</v>
      </c>
      <c r="AA1293" s="36">
        <v>1</v>
      </c>
      <c r="AB1293" s="36">
        <v>1</v>
      </c>
      <c r="AC1293" s="36">
        <v>1</v>
      </c>
      <c r="AD1293" s="36">
        <v>1</v>
      </c>
      <c r="AE1293" s="36">
        <v>4</v>
      </c>
      <c r="AF1293" s="36"/>
      <c r="AG1293" s="36"/>
      <c r="AH1293" s="36"/>
      <c r="AI1293" s="36"/>
      <c r="AJ1293" s="36"/>
      <c r="AK1293" s="36">
        <v>2</v>
      </c>
      <c r="AL1293" s="36">
        <v>2</v>
      </c>
      <c r="AM1293" s="36">
        <v>2</v>
      </c>
      <c r="AN1293" s="36"/>
      <c r="AO1293" s="36"/>
      <c r="AP1293" s="36"/>
      <c r="AQ1293" s="36"/>
      <c r="AR1293" s="36"/>
      <c r="AS1293" s="36"/>
      <c r="AT1293" s="36"/>
      <c r="AU1293" s="36"/>
      <c r="AV1293" s="36"/>
      <c r="AW1293" s="36"/>
      <c r="AX1293" s="36"/>
      <c r="AY1293" s="953"/>
      <c r="AZ1293" s="36"/>
      <c r="BA1293" s="36"/>
      <c r="BB1293" s="36"/>
      <c r="BC1293" s="36"/>
      <c r="BD1293" s="36"/>
      <c r="BF1293">
        <f>ROWS($U$46:U1293)</f>
        <v>1248</v>
      </c>
      <c r="BG1293" t="str">
        <f t="shared" si="225"/>
        <v/>
      </c>
    </row>
    <row r="1294" spans="15:59" x14ac:dyDescent="0.35">
      <c r="O1294" s="330">
        <v>3</v>
      </c>
      <c r="P1294" s="36">
        <v>1209410</v>
      </c>
      <c r="Q1294" s="36">
        <v>10</v>
      </c>
      <c r="R1294" s="36"/>
      <c r="S1294" s="36" t="s">
        <v>1938</v>
      </c>
      <c r="T1294" s="36" t="s">
        <v>1941</v>
      </c>
      <c r="U1294" s="36">
        <v>1121983</v>
      </c>
      <c r="V1294" s="165" t="s">
        <v>89</v>
      </c>
      <c r="W1294" s="36">
        <v>3</v>
      </c>
      <c r="X1294" s="36">
        <v>3</v>
      </c>
      <c r="Y1294" s="36">
        <v>3</v>
      </c>
      <c r="Z1294" s="36">
        <v>1</v>
      </c>
      <c r="AA1294" s="36">
        <v>1</v>
      </c>
      <c r="AB1294" s="36">
        <v>1</v>
      </c>
      <c r="AC1294" s="36">
        <v>1</v>
      </c>
      <c r="AD1294" s="36">
        <v>1</v>
      </c>
      <c r="AE1294" s="36">
        <v>1</v>
      </c>
      <c r="AF1294" s="36">
        <v>1</v>
      </c>
      <c r="AG1294" s="36">
        <v>1</v>
      </c>
      <c r="AH1294" s="36">
        <v>5</v>
      </c>
      <c r="AI1294" s="36"/>
      <c r="AJ1294" s="36"/>
      <c r="AK1294" s="36">
        <v>2</v>
      </c>
      <c r="AL1294" s="36">
        <v>2</v>
      </c>
      <c r="AM1294" s="36">
        <v>2</v>
      </c>
      <c r="AN1294" s="36">
        <v>2</v>
      </c>
      <c r="AO1294" s="36"/>
      <c r="AP1294" s="36"/>
      <c r="AQ1294" s="36"/>
      <c r="AR1294" s="36"/>
      <c r="AS1294" s="36"/>
      <c r="AT1294" s="36"/>
      <c r="AU1294" s="36"/>
      <c r="AV1294" s="36"/>
      <c r="AW1294" s="36"/>
      <c r="AX1294" s="36"/>
      <c r="AY1294" s="953"/>
      <c r="AZ1294" s="36"/>
      <c r="BA1294" s="36"/>
      <c r="BB1294" s="36"/>
      <c r="BC1294" s="36"/>
      <c r="BD1294" s="36"/>
      <c r="BF1294">
        <f>ROWS($U$46:U1294)</f>
        <v>1249</v>
      </c>
      <c r="BG1294" t="str">
        <f t="shared" si="225"/>
        <v/>
      </c>
    </row>
    <row r="1295" spans="15:59" x14ac:dyDescent="0.35">
      <c r="O1295" s="330">
        <v>4</v>
      </c>
      <c r="P1295" s="36">
        <v>871781</v>
      </c>
      <c r="Q1295" s="36">
        <v>3</v>
      </c>
      <c r="R1295" s="36"/>
      <c r="S1295" s="36" t="s">
        <v>1938</v>
      </c>
      <c r="T1295" s="36" t="s">
        <v>1941</v>
      </c>
      <c r="U1295" s="36">
        <v>1121983</v>
      </c>
      <c r="V1295" s="165" t="s">
        <v>90</v>
      </c>
      <c r="W1295" s="36">
        <v>3</v>
      </c>
      <c r="X1295" s="36">
        <v>3</v>
      </c>
      <c r="Y1295" s="36">
        <v>3</v>
      </c>
      <c r="Z1295" s="36">
        <v>3</v>
      </c>
      <c r="AA1295" s="36">
        <v>1</v>
      </c>
      <c r="AB1295" s="36">
        <v>1</v>
      </c>
      <c r="AC1295" s="36">
        <v>1</v>
      </c>
      <c r="AD1295" s="36">
        <v>1</v>
      </c>
      <c r="AE1295" s="36">
        <v>1</v>
      </c>
      <c r="AF1295" s="36">
        <v>1</v>
      </c>
      <c r="AG1295" s="36">
        <v>1</v>
      </c>
      <c r="AH1295" s="36">
        <v>4</v>
      </c>
      <c r="AI1295" s="36"/>
      <c r="AJ1295" s="36"/>
      <c r="AK1295" s="36">
        <v>2</v>
      </c>
      <c r="AL1295" s="36">
        <v>2</v>
      </c>
      <c r="AM1295" s="36">
        <v>2</v>
      </c>
      <c r="AN1295" s="36">
        <v>2</v>
      </c>
      <c r="AO1295" s="36"/>
      <c r="AP1295" s="36"/>
      <c r="AQ1295" s="36"/>
      <c r="AR1295" s="36"/>
      <c r="AS1295" s="36"/>
      <c r="AT1295" s="36"/>
      <c r="AU1295" s="36"/>
      <c r="AV1295" s="36"/>
      <c r="AW1295" s="36"/>
      <c r="AX1295" s="36"/>
      <c r="AY1295" s="953"/>
      <c r="AZ1295" s="36"/>
      <c r="BA1295" s="36"/>
      <c r="BB1295" s="36"/>
      <c r="BC1295" s="36"/>
      <c r="BD1295" s="36"/>
      <c r="BF1295">
        <f>ROWS($U$46:U1295)</f>
        <v>1250</v>
      </c>
      <c r="BG1295" t="str">
        <f t="shared" si="225"/>
        <v/>
      </c>
    </row>
    <row r="1296" spans="15:59" ht="15" thickBot="1" x14ac:dyDescent="0.4">
      <c r="O1296" s="331">
        <v>5</v>
      </c>
      <c r="P1296" s="328">
        <v>418525</v>
      </c>
      <c r="Q1296" s="328">
        <v>2</v>
      </c>
      <c r="R1296" s="328"/>
      <c r="S1296" s="328" t="s">
        <v>1938</v>
      </c>
      <c r="T1296" s="328" t="s">
        <v>1941</v>
      </c>
      <c r="U1296" s="328">
        <v>1121983</v>
      </c>
      <c r="V1296" s="327" t="s">
        <v>91</v>
      </c>
      <c r="W1296" s="328">
        <v>1</v>
      </c>
      <c r="X1296" s="328">
        <v>1</v>
      </c>
      <c r="Y1296" s="328">
        <v>1</v>
      </c>
      <c r="Z1296" s="328">
        <v>1</v>
      </c>
      <c r="AA1296" s="328">
        <v>1</v>
      </c>
      <c r="AB1296" s="328">
        <v>1</v>
      </c>
      <c r="AC1296" s="328">
        <v>1</v>
      </c>
      <c r="AD1296" s="328">
        <v>1</v>
      </c>
      <c r="AE1296" s="328">
        <v>5</v>
      </c>
      <c r="AF1296" s="328"/>
      <c r="AG1296" s="328"/>
      <c r="AH1296" s="328"/>
      <c r="AI1296" s="328"/>
      <c r="AJ1296" s="328"/>
      <c r="AK1296" s="328">
        <v>2</v>
      </c>
      <c r="AL1296" s="328">
        <v>2</v>
      </c>
      <c r="AM1296" s="328">
        <v>2</v>
      </c>
      <c r="AN1296" s="328"/>
      <c r="AO1296" s="328"/>
      <c r="AP1296" s="328"/>
      <c r="AQ1296" s="328"/>
      <c r="AR1296" s="328"/>
      <c r="AS1296" s="328"/>
      <c r="AT1296" s="328"/>
      <c r="AU1296" s="328"/>
      <c r="AV1296" s="328"/>
      <c r="AW1296" s="328"/>
      <c r="AX1296" s="328"/>
      <c r="AY1296" s="954"/>
      <c r="AZ1296" s="36"/>
      <c r="BA1296" s="36"/>
      <c r="BB1296" s="36"/>
      <c r="BC1296" s="36"/>
      <c r="BD1296" s="36"/>
      <c r="BF1296">
        <f>ROWS($U$46:U1296)</f>
        <v>1251</v>
      </c>
      <c r="BG1296" t="str">
        <f t="shared" si="225"/>
        <v/>
      </c>
    </row>
    <row r="1297" spans="12:59" x14ac:dyDescent="0.35">
      <c r="L1297"/>
      <c r="O1297" s="329">
        <v>1</v>
      </c>
      <c r="P1297" s="320">
        <v>1145493</v>
      </c>
      <c r="Q1297" s="320">
        <v>25</v>
      </c>
      <c r="R1297" s="320"/>
      <c r="S1297" s="320">
        <v>6.125</v>
      </c>
      <c r="T1297" s="320" t="s">
        <v>1939</v>
      </c>
      <c r="U1297" s="320">
        <v>1186699</v>
      </c>
      <c r="V1297" s="319" t="s">
        <v>87</v>
      </c>
      <c r="W1297" s="320">
        <v>1</v>
      </c>
      <c r="X1297" s="320">
        <v>1</v>
      </c>
      <c r="Y1297" s="320">
        <v>1</v>
      </c>
      <c r="Z1297" s="320">
        <v>1</v>
      </c>
      <c r="AA1297" s="320">
        <v>1</v>
      </c>
      <c r="AB1297" s="320">
        <v>1</v>
      </c>
      <c r="AC1297" s="320">
        <v>2</v>
      </c>
      <c r="AD1297" s="320"/>
      <c r="AE1297" s="320"/>
      <c r="AF1297" s="320"/>
      <c r="AG1297" s="320"/>
      <c r="AH1297" s="320"/>
      <c r="AI1297" s="320"/>
      <c r="AJ1297" s="320"/>
      <c r="AK1297" s="320"/>
      <c r="AL1297" s="320"/>
      <c r="AM1297" s="320"/>
      <c r="AN1297" s="320"/>
      <c r="AO1297" s="320"/>
      <c r="AP1297" s="320"/>
      <c r="AQ1297" s="320"/>
      <c r="AR1297" s="320"/>
      <c r="AS1297" s="320"/>
      <c r="AT1297" s="320"/>
      <c r="AU1297" s="320"/>
      <c r="AV1297" s="320"/>
      <c r="AW1297" s="320"/>
      <c r="AX1297" s="320"/>
      <c r="AY1297" s="952"/>
      <c r="AZ1297" s="36"/>
      <c r="BA1297" s="36"/>
      <c r="BB1297" s="36"/>
      <c r="BC1297" s="36"/>
      <c r="BD1297" s="36"/>
      <c r="BF1297">
        <f>ROWS($U$46:U1297)</f>
        <v>1252</v>
      </c>
      <c r="BG1297" t="str">
        <f t="shared" si="225"/>
        <v/>
      </c>
    </row>
    <row r="1298" spans="12:59" x14ac:dyDescent="0.35">
      <c r="L1298"/>
      <c r="O1298" s="330">
        <v>2</v>
      </c>
      <c r="P1298" s="36">
        <v>871781</v>
      </c>
      <c r="Q1298" s="36">
        <v>6</v>
      </c>
      <c r="R1298" s="36"/>
      <c r="S1298" s="36">
        <v>6.125</v>
      </c>
      <c r="T1298" s="36" t="s">
        <v>1939</v>
      </c>
      <c r="U1298" s="36">
        <v>1186699</v>
      </c>
      <c r="V1298" s="165" t="s">
        <v>88</v>
      </c>
      <c r="W1298" s="36">
        <v>1</v>
      </c>
      <c r="X1298" s="36">
        <v>1</v>
      </c>
      <c r="Y1298" s="36">
        <v>1</v>
      </c>
      <c r="Z1298" s="36">
        <v>2</v>
      </c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  <c r="AV1298" s="36"/>
      <c r="AW1298" s="36"/>
      <c r="AX1298" s="36"/>
      <c r="AY1298" s="953"/>
      <c r="AZ1298" s="36"/>
      <c r="BA1298" s="36"/>
      <c r="BB1298" s="36"/>
      <c r="BC1298" s="36"/>
      <c r="BD1298" s="36"/>
      <c r="BF1298">
        <f>ROWS($U$46:U1298)</f>
        <v>1253</v>
      </c>
      <c r="BG1298" t="str">
        <f t="shared" si="225"/>
        <v/>
      </c>
    </row>
    <row r="1299" spans="12:59" x14ac:dyDescent="0.35">
      <c r="L1299"/>
      <c r="O1299" s="330"/>
      <c r="P1299" s="36"/>
      <c r="Q1299" s="36"/>
      <c r="R1299" s="36"/>
      <c r="S1299" s="36">
        <v>6.125</v>
      </c>
      <c r="T1299" s="36" t="s">
        <v>1939</v>
      </c>
      <c r="U1299" s="36">
        <v>1186699</v>
      </c>
      <c r="V1299" s="165" t="s">
        <v>89</v>
      </c>
      <c r="W1299" s="36">
        <v>1</v>
      </c>
      <c r="X1299" s="36">
        <v>1</v>
      </c>
      <c r="Y1299" s="36">
        <v>1</v>
      </c>
      <c r="Z1299" s="36">
        <v>1</v>
      </c>
      <c r="AA1299" s="36">
        <v>1</v>
      </c>
      <c r="AB1299" s="36">
        <v>2</v>
      </c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  <c r="AV1299" s="36"/>
      <c r="AW1299" s="36"/>
      <c r="AX1299" s="36"/>
      <c r="AY1299" s="953"/>
      <c r="AZ1299" s="36"/>
      <c r="BA1299" s="36"/>
      <c r="BB1299" s="36"/>
      <c r="BC1299" s="36"/>
      <c r="BD1299" s="36"/>
      <c r="BF1299">
        <f>ROWS($U$46:U1299)</f>
        <v>1254</v>
      </c>
      <c r="BG1299" t="str">
        <f t="shared" si="225"/>
        <v/>
      </c>
    </row>
    <row r="1300" spans="12:59" x14ac:dyDescent="0.35">
      <c r="L1300"/>
      <c r="O1300" s="330"/>
      <c r="P1300" s="36"/>
      <c r="Q1300" s="36"/>
      <c r="R1300" s="36"/>
      <c r="S1300" s="36">
        <v>6.125</v>
      </c>
      <c r="T1300" s="36" t="s">
        <v>1939</v>
      </c>
      <c r="U1300" s="36">
        <v>1186699</v>
      </c>
      <c r="V1300" s="165" t="s">
        <v>90</v>
      </c>
      <c r="W1300" s="36">
        <v>1</v>
      </c>
      <c r="X1300" s="36">
        <v>1</v>
      </c>
      <c r="Y1300" s="36">
        <v>1</v>
      </c>
      <c r="Z1300" s="36">
        <v>2</v>
      </c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  <c r="AV1300" s="36"/>
      <c r="AW1300" s="36"/>
      <c r="AX1300" s="36"/>
      <c r="AY1300" s="953"/>
      <c r="AZ1300" s="36"/>
      <c r="BA1300" s="36"/>
      <c r="BB1300" s="36"/>
      <c r="BC1300" s="36"/>
      <c r="BD1300" s="36"/>
      <c r="BF1300">
        <f>ROWS($U$46:U1300)</f>
        <v>1255</v>
      </c>
      <c r="BG1300" t="str">
        <f t="shared" si="225"/>
        <v/>
      </c>
    </row>
    <row r="1301" spans="12:59" x14ac:dyDescent="0.35">
      <c r="L1301"/>
      <c r="O1301" s="330"/>
      <c r="P1301" s="36"/>
      <c r="Q1301" s="36"/>
      <c r="R1301" s="36"/>
      <c r="S1301" s="36">
        <v>6.125</v>
      </c>
      <c r="T1301" s="36" t="s">
        <v>1939</v>
      </c>
      <c r="U1301" s="36">
        <v>1186699</v>
      </c>
      <c r="V1301" s="165" t="s">
        <v>91</v>
      </c>
      <c r="W1301" s="36">
        <v>1</v>
      </c>
      <c r="X1301" s="36">
        <v>1</v>
      </c>
      <c r="Y1301" s="36">
        <v>1</v>
      </c>
      <c r="Z1301" s="36">
        <v>1</v>
      </c>
      <c r="AA1301" s="36">
        <v>1</v>
      </c>
      <c r="AB1301" s="36">
        <v>2</v>
      </c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  <c r="AV1301" s="36"/>
      <c r="AW1301" s="36"/>
      <c r="AX1301" s="36"/>
      <c r="AY1301" s="953"/>
      <c r="AZ1301" s="36"/>
      <c r="BA1301" s="36"/>
      <c r="BB1301" s="36"/>
      <c r="BC1301" s="36"/>
      <c r="BD1301" s="36"/>
      <c r="BF1301">
        <f>ROWS($U$46:U1301)</f>
        <v>1256</v>
      </c>
      <c r="BG1301" t="str">
        <f t="shared" si="225"/>
        <v/>
      </c>
    </row>
    <row r="1302" spans="12:59" ht="15" thickBot="1" x14ac:dyDescent="0.4">
      <c r="L1302"/>
      <c r="O1302" s="331"/>
      <c r="P1302" s="328"/>
      <c r="Q1302" s="328"/>
      <c r="R1302" s="328"/>
      <c r="S1302" s="328">
        <v>6.125</v>
      </c>
      <c r="T1302" s="328" t="s">
        <v>1939</v>
      </c>
      <c r="U1302" s="328">
        <v>1186699</v>
      </c>
      <c r="V1302" s="327" t="s">
        <v>92</v>
      </c>
      <c r="W1302" s="328">
        <v>1</v>
      </c>
      <c r="X1302" s="328">
        <v>1</v>
      </c>
      <c r="Y1302" s="328">
        <v>1</v>
      </c>
      <c r="Z1302" s="328">
        <v>2</v>
      </c>
      <c r="AA1302" s="328"/>
      <c r="AB1302" s="328"/>
      <c r="AC1302" s="328"/>
      <c r="AD1302" s="328"/>
      <c r="AE1302" s="328"/>
      <c r="AF1302" s="328"/>
      <c r="AG1302" s="328"/>
      <c r="AH1302" s="328"/>
      <c r="AI1302" s="328"/>
      <c r="AJ1302" s="328"/>
      <c r="AK1302" s="328"/>
      <c r="AL1302" s="328"/>
      <c r="AM1302" s="328"/>
      <c r="AN1302" s="328"/>
      <c r="AO1302" s="328"/>
      <c r="AP1302" s="328"/>
      <c r="AQ1302" s="328"/>
      <c r="AR1302" s="328"/>
      <c r="AS1302" s="328"/>
      <c r="AT1302" s="328"/>
      <c r="AU1302" s="328"/>
      <c r="AV1302" s="328"/>
      <c r="AW1302" s="328"/>
      <c r="AX1302" s="328"/>
      <c r="AY1302" s="954"/>
      <c r="AZ1302" s="36"/>
      <c r="BA1302" s="36"/>
      <c r="BB1302" s="36"/>
      <c r="BC1302" s="36"/>
      <c r="BD1302" s="36"/>
      <c r="BF1302">
        <f>ROWS($U$46:U1302)</f>
        <v>1257</v>
      </c>
      <c r="BG1302" t="str">
        <f t="shared" si="225"/>
        <v/>
      </c>
    </row>
    <row r="1303" spans="12:59" x14ac:dyDescent="0.35">
      <c r="L1303"/>
      <c r="O1303" s="329">
        <v>1</v>
      </c>
      <c r="P1303" s="320">
        <v>1130198</v>
      </c>
      <c r="Q1303" s="320">
        <v>27</v>
      </c>
      <c r="R1303" s="320"/>
      <c r="S1303" s="320">
        <v>8.375</v>
      </c>
      <c r="T1303" s="320" t="s">
        <v>1944</v>
      </c>
      <c r="U1303" s="320">
        <v>1134878</v>
      </c>
      <c r="V1303" s="319" t="s">
        <v>87</v>
      </c>
      <c r="W1303" s="320">
        <v>4</v>
      </c>
      <c r="X1303" s="320">
        <v>1</v>
      </c>
      <c r="Y1303" s="320">
        <v>1</v>
      </c>
      <c r="Z1303" s="320">
        <v>1</v>
      </c>
      <c r="AA1303" s="320">
        <v>1</v>
      </c>
      <c r="AB1303" s="320">
        <v>1</v>
      </c>
      <c r="AC1303" s="320">
        <v>1</v>
      </c>
      <c r="AD1303" s="320">
        <v>3</v>
      </c>
      <c r="AE1303" s="320"/>
      <c r="AF1303" s="320">
        <v>2</v>
      </c>
      <c r="AG1303" s="320">
        <v>2</v>
      </c>
      <c r="AH1303" s="320">
        <v>2</v>
      </c>
      <c r="AI1303" s="320"/>
      <c r="AJ1303" s="320"/>
      <c r="AK1303" s="320"/>
      <c r="AL1303" s="320"/>
      <c r="AM1303" s="320"/>
      <c r="AN1303" s="320"/>
      <c r="AO1303" s="320"/>
      <c r="AP1303" s="320"/>
      <c r="AQ1303" s="320"/>
      <c r="AR1303" s="320"/>
      <c r="AS1303" s="320"/>
      <c r="AT1303" s="320"/>
      <c r="AU1303" s="320"/>
      <c r="AV1303" s="320"/>
      <c r="AW1303" s="320"/>
      <c r="AX1303" s="320"/>
      <c r="AY1303" s="952"/>
      <c r="AZ1303" s="36"/>
      <c r="BA1303" s="36"/>
      <c r="BB1303" s="36"/>
      <c r="BC1303" s="36"/>
      <c r="BD1303" s="36"/>
      <c r="BF1303">
        <f>ROWS($U$46:U1303)</f>
        <v>1258</v>
      </c>
      <c r="BG1303" t="str">
        <f t="shared" si="225"/>
        <v/>
      </c>
    </row>
    <row r="1304" spans="12:59" x14ac:dyDescent="0.35">
      <c r="L1304"/>
      <c r="O1304" s="330">
        <v>2</v>
      </c>
      <c r="P1304" s="36">
        <v>717751</v>
      </c>
      <c r="Q1304" s="36">
        <v>13</v>
      </c>
      <c r="R1304" s="36"/>
      <c r="S1304" s="36">
        <v>8.375</v>
      </c>
      <c r="T1304" s="36" t="s">
        <v>1944</v>
      </c>
      <c r="U1304" s="36">
        <v>1134878</v>
      </c>
      <c r="V1304" s="165" t="s">
        <v>88</v>
      </c>
      <c r="W1304" s="36">
        <v>1</v>
      </c>
      <c r="X1304" s="36">
        <v>1</v>
      </c>
      <c r="Y1304" s="36">
        <v>1</v>
      </c>
      <c r="Z1304" s="36">
        <v>1</v>
      </c>
      <c r="AA1304" s="36">
        <v>3</v>
      </c>
      <c r="AB1304" s="36"/>
      <c r="AC1304" s="36"/>
      <c r="AD1304" s="36"/>
      <c r="AE1304" s="36"/>
      <c r="AF1304" s="36">
        <v>2</v>
      </c>
      <c r="AG1304" s="36">
        <v>2</v>
      </c>
      <c r="AH1304" s="36">
        <v>2</v>
      </c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  <c r="AV1304" s="36"/>
      <c r="AW1304" s="36"/>
      <c r="AX1304" s="36"/>
      <c r="AY1304" s="953"/>
      <c r="AZ1304" s="36"/>
      <c r="BA1304" s="36"/>
      <c r="BB1304" s="36"/>
      <c r="BC1304" s="36"/>
      <c r="BD1304" s="36"/>
      <c r="BF1304">
        <f>ROWS($U$46:U1304)</f>
        <v>1259</v>
      </c>
      <c r="BG1304" t="str">
        <f t="shared" si="225"/>
        <v/>
      </c>
    </row>
    <row r="1305" spans="12:59" x14ac:dyDescent="0.35">
      <c r="L1305"/>
      <c r="O1305" s="330">
        <v>3</v>
      </c>
      <c r="P1305" s="36">
        <v>418525</v>
      </c>
      <c r="Q1305" s="36">
        <v>5</v>
      </c>
      <c r="R1305" s="36"/>
      <c r="S1305" s="36">
        <v>8.375</v>
      </c>
      <c r="T1305" s="36" t="s">
        <v>1944</v>
      </c>
      <c r="U1305" s="36">
        <v>1134878</v>
      </c>
      <c r="V1305" s="165" t="s">
        <v>89</v>
      </c>
      <c r="W1305" s="36">
        <v>1</v>
      </c>
      <c r="X1305" s="36">
        <v>1</v>
      </c>
      <c r="Y1305" s="36">
        <v>1</v>
      </c>
      <c r="Z1305" s="36">
        <v>1</v>
      </c>
      <c r="AA1305" s="36">
        <v>1</v>
      </c>
      <c r="AB1305" s="36">
        <v>1</v>
      </c>
      <c r="AC1305" s="36">
        <v>3</v>
      </c>
      <c r="AD1305" s="36"/>
      <c r="AE1305" s="36"/>
      <c r="AF1305" s="36">
        <v>2</v>
      </c>
      <c r="AG1305" s="36">
        <v>2</v>
      </c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  <c r="AV1305" s="36"/>
      <c r="AW1305" s="36"/>
      <c r="AX1305" s="36"/>
      <c r="AY1305" s="953"/>
      <c r="AZ1305" s="36"/>
      <c r="BA1305" s="36"/>
      <c r="BB1305" s="36"/>
      <c r="BC1305" s="36"/>
      <c r="BD1305" s="36"/>
      <c r="BF1305">
        <f>ROWS($U$46:U1305)</f>
        <v>1260</v>
      </c>
      <c r="BG1305" t="str">
        <f t="shared" si="225"/>
        <v/>
      </c>
    </row>
    <row r="1306" spans="12:59" x14ac:dyDescent="0.35">
      <c r="L1306"/>
      <c r="O1306" s="330">
        <v>4</v>
      </c>
      <c r="P1306" s="36">
        <v>1104086</v>
      </c>
      <c r="Q1306" s="36">
        <v>1</v>
      </c>
      <c r="R1306" s="36"/>
      <c r="S1306" s="36">
        <v>8.375</v>
      </c>
      <c r="T1306" s="36" t="s">
        <v>1944</v>
      </c>
      <c r="U1306" s="36">
        <v>1134878</v>
      </c>
      <c r="V1306" s="165" t="s">
        <v>90</v>
      </c>
      <c r="W1306" s="36">
        <v>1</v>
      </c>
      <c r="X1306" s="36">
        <v>1</v>
      </c>
      <c r="Y1306" s="36">
        <v>1</v>
      </c>
      <c r="Z1306" s="36">
        <v>1</v>
      </c>
      <c r="AA1306" s="36">
        <v>1</v>
      </c>
      <c r="AB1306" s="36">
        <v>1</v>
      </c>
      <c r="AC1306" s="36">
        <v>1</v>
      </c>
      <c r="AD1306" s="36">
        <v>3</v>
      </c>
      <c r="AE1306" s="36"/>
      <c r="AF1306" s="36">
        <v>2</v>
      </c>
      <c r="AG1306" s="36">
        <v>2</v>
      </c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  <c r="AW1306" s="36"/>
      <c r="AX1306" s="36"/>
      <c r="AY1306" s="953"/>
      <c r="AZ1306" s="36"/>
      <c r="BA1306" s="36"/>
      <c r="BB1306" s="36"/>
      <c r="BC1306" s="36"/>
      <c r="BD1306" s="36"/>
      <c r="BF1306">
        <f>ROWS($U$46:U1306)</f>
        <v>1261</v>
      </c>
      <c r="BG1306" t="str">
        <f t="shared" si="225"/>
        <v/>
      </c>
    </row>
    <row r="1307" spans="12:59" ht="15" thickBot="1" x14ac:dyDescent="0.4">
      <c r="L1307"/>
      <c r="O1307" s="331"/>
      <c r="P1307" s="328"/>
      <c r="Q1307" s="328"/>
      <c r="R1307" s="328"/>
      <c r="S1307" s="328">
        <v>8.375</v>
      </c>
      <c r="T1307" s="328" t="s">
        <v>1944</v>
      </c>
      <c r="U1307" s="328">
        <v>1134878</v>
      </c>
      <c r="V1307" s="327" t="s">
        <v>91</v>
      </c>
      <c r="W1307" s="328">
        <v>1</v>
      </c>
      <c r="X1307" s="328">
        <v>1</v>
      </c>
      <c r="Y1307" s="328">
        <v>1</v>
      </c>
      <c r="Z1307" s="328">
        <v>1</v>
      </c>
      <c r="AA1307" s="328">
        <v>3</v>
      </c>
      <c r="AB1307" s="328"/>
      <c r="AC1307" s="328"/>
      <c r="AD1307" s="328"/>
      <c r="AE1307" s="328"/>
      <c r="AF1307" s="328">
        <v>2</v>
      </c>
      <c r="AG1307" s="328">
        <v>2</v>
      </c>
      <c r="AH1307" s="328">
        <v>2</v>
      </c>
      <c r="AI1307" s="328"/>
      <c r="AJ1307" s="328"/>
      <c r="AK1307" s="328"/>
      <c r="AL1307" s="328"/>
      <c r="AM1307" s="328"/>
      <c r="AN1307" s="328"/>
      <c r="AO1307" s="328"/>
      <c r="AP1307" s="328"/>
      <c r="AQ1307" s="328"/>
      <c r="AR1307" s="328"/>
      <c r="AS1307" s="328"/>
      <c r="AT1307" s="328"/>
      <c r="AU1307" s="328"/>
      <c r="AV1307" s="328"/>
      <c r="AW1307" s="328"/>
      <c r="AX1307" s="328"/>
      <c r="AY1307" s="954"/>
      <c r="AZ1307" s="36"/>
      <c r="BA1307" s="36"/>
      <c r="BB1307" s="36"/>
      <c r="BC1307" s="36"/>
      <c r="BD1307" s="36"/>
      <c r="BF1307">
        <f>ROWS($U$46:U1307)</f>
        <v>1262</v>
      </c>
      <c r="BG1307" t="str">
        <f t="shared" si="225"/>
        <v/>
      </c>
    </row>
    <row r="1308" spans="12:59" x14ac:dyDescent="0.35">
      <c r="L1308"/>
      <c r="O1308" s="329">
        <v>1</v>
      </c>
      <c r="P1308" s="320">
        <v>1130198</v>
      </c>
      <c r="Q1308" s="320">
        <v>31</v>
      </c>
      <c r="R1308" s="320"/>
      <c r="S1308" s="320">
        <v>8.5</v>
      </c>
      <c r="T1308" s="320" t="s">
        <v>1940</v>
      </c>
      <c r="U1308" s="320">
        <v>1201053</v>
      </c>
      <c r="V1308" s="319" t="s">
        <v>87</v>
      </c>
      <c r="W1308" s="320">
        <v>1</v>
      </c>
      <c r="X1308" s="320">
        <v>1</v>
      </c>
      <c r="Y1308" s="320">
        <v>1</v>
      </c>
      <c r="Z1308" s="320">
        <v>1</v>
      </c>
      <c r="AA1308" s="320">
        <v>1</v>
      </c>
      <c r="AB1308" s="320">
        <v>1</v>
      </c>
      <c r="AC1308" s="320">
        <v>1</v>
      </c>
      <c r="AD1308" s="320">
        <v>3</v>
      </c>
      <c r="AE1308" s="320"/>
      <c r="AF1308" s="320">
        <v>2</v>
      </c>
      <c r="AG1308" s="320">
        <v>2</v>
      </c>
      <c r="AH1308" s="320">
        <v>2</v>
      </c>
      <c r="AI1308" s="320"/>
      <c r="AJ1308" s="320"/>
      <c r="AK1308" s="320"/>
      <c r="AL1308" s="320"/>
      <c r="AM1308" s="320"/>
      <c r="AN1308" s="320"/>
      <c r="AO1308" s="320"/>
      <c r="AP1308" s="320"/>
      <c r="AQ1308" s="320"/>
      <c r="AR1308" s="320"/>
      <c r="AS1308" s="320"/>
      <c r="AT1308" s="320"/>
      <c r="AU1308" s="320"/>
      <c r="AV1308" s="320"/>
      <c r="AW1308" s="320"/>
      <c r="AX1308" s="320"/>
      <c r="AY1308" s="952"/>
      <c r="AZ1308" s="36"/>
      <c r="BA1308" s="36"/>
      <c r="BB1308" s="36"/>
      <c r="BC1308" s="36"/>
      <c r="BD1308" s="36"/>
      <c r="BF1308">
        <f>ROWS($U$46:U1308)</f>
        <v>1263</v>
      </c>
      <c r="BG1308" t="str">
        <f t="shared" si="225"/>
        <v/>
      </c>
    </row>
    <row r="1309" spans="12:59" x14ac:dyDescent="0.35">
      <c r="L1309"/>
      <c r="O1309" s="330">
        <v>2</v>
      </c>
      <c r="P1309" s="36">
        <v>1161587</v>
      </c>
      <c r="Q1309" s="36">
        <v>15</v>
      </c>
      <c r="R1309" s="36"/>
      <c r="S1309" s="36">
        <v>8.5</v>
      </c>
      <c r="T1309" s="36" t="s">
        <v>1940</v>
      </c>
      <c r="U1309" s="36">
        <v>1201053</v>
      </c>
      <c r="V1309" s="165" t="s">
        <v>88</v>
      </c>
      <c r="W1309" s="36">
        <v>1</v>
      </c>
      <c r="X1309" s="36">
        <v>1</v>
      </c>
      <c r="Y1309" s="36">
        <v>1</v>
      </c>
      <c r="Z1309" s="36">
        <v>1</v>
      </c>
      <c r="AA1309" s="36">
        <v>3</v>
      </c>
      <c r="AB1309" s="36"/>
      <c r="AC1309" s="36"/>
      <c r="AD1309" s="36"/>
      <c r="AE1309" s="36"/>
      <c r="AF1309" s="36">
        <v>2</v>
      </c>
      <c r="AG1309" s="36">
        <v>2</v>
      </c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  <c r="AV1309" s="36"/>
      <c r="AW1309" s="36"/>
      <c r="AX1309" s="36"/>
      <c r="AY1309" s="953"/>
      <c r="AZ1309" s="36"/>
      <c r="BA1309" s="36"/>
      <c r="BB1309" s="36"/>
      <c r="BC1309" s="36"/>
      <c r="BD1309" s="36"/>
      <c r="BF1309">
        <f>ROWS($U$46:U1309)</f>
        <v>1264</v>
      </c>
      <c r="BG1309" t="str">
        <f t="shared" si="225"/>
        <v/>
      </c>
    </row>
    <row r="1310" spans="12:59" x14ac:dyDescent="0.35">
      <c r="O1310" s="330">
        <v>3</v>
      </c>
      <c r="P1310" s="36">
        <v>418525</v>
      </c>
      <c r="Q1310" s="36">
        <v>6</v>
      </c>
      <c r="R1310" s="36"/>
      <c r="S1310" s="36">
        <v>8.5</v>
      </c>
      <c r="T1310" s="36" t="s">
        <v>1940</v>
      </c>
      <c r="U1310" s="36">
        <v>1201053</v>
      </c>
      <c r="V1310" s="165" t="s">
        <v>89</v>
      </c>
      <c r="W1310" s="36">
        <v>1</v>
      </c>
      <c r="X1310" s="36">
        <v>1</v>
      </c>
      <c r="Y1310" s="36">
        <v>1</v>
      </c>
      <c r="Z1310" s="36">
        <v>1</v>
      </c>
      <c r="AA1310" s="36">
        <v>1</v>
      </c>
      <c r="AB1310" s="36">
        <v>1</v>
      </c>
      <c r="AC1310" s="36">
        <v>3</v>
      </c>
      <c r="AD1310" s="36"/>
      <c r="AE1310" s="36"/>
      <c r="AF1310" s="36">
        <v>2</v>
      </c>
      <c r="AG1310" s="36">
        <v>2</v>
      </c>
      <c r="AH1310" s="36">
        <v>2</v>
      </c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  <c r="AV1310" s="36"/>
      <c r="AW1310" s="36"/>
      <c r="AX1310" s="36"/>
      <c r="AY1310" s="953"/>
      <c r="AZ1310" s="36"/>
      <c r="BA1310" s="36"/>
      <c r="BB1310" s="36"/>
      <c r="BC1310" s="36"/>
      <c r="BD1310" s="36"/>
      <c r="BF1310">
        <f>ROWS($U$46:U1310)</f>
        <v>1265</v>
      </c>
      <c r="BG1310" t="str">
        <f t="shared" si="225"/>
        <v/>
      </c>
    </row>
    <row r="1311" spans="12:59" x14ac:dyDescent="0.35">
      <c r="O1311" s="330"/>
      <c r="P1311" s="36"/>
      <c r="Q1311" s="36"/>
      <c r="R1311" s="36"/>
      <c r="S1311" s="36">
        <v>8.5</v>
      </c>
      <c r="T1311" s="36" t="s">
        <v>1940</v>
      </c>
      <c r="U1311" s="36">
        <v>1201053</v>
      </c>
      <c r="V1311" s="165" t="s">
        <v>90</v>
      </c>
      <c r="W1311" s="36">
        <v>1</v>
      </c>
      <c r="X1311" s="36">
        <v>1</v>
      </c>
      <c r="Y1311" s="36">
        <v>1</v>
      </c>
      <c r="Z1311" s="36">
        <v>1</v>
      </c>
      <c r="AA1311" s="36">
        <v>3</v>
      </c>
      <c r="AB1311" s="36"/>
      <c r="AC1311" s="36"/>
      <c r="AD1311" s="36"/>
      <c r="AE1311" s="36"/>
      <c r="AF1311" s="36">
        <v>2</v>
      </c>
      <c r="AG1311" s="36">
        <v>2</v>
      </c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  <c r="AV1311" s="36"/>
      <c r="AW1311" s="36"/>
      <c r="AX1311" s="36"/>
      <c r="AY1311" s="953"/>
      <c r="AZ1311" s="36"/>
      <c r="BA1311" s="36"/>
      <c r="BB1311" s="36"/>
      <c r="BC1311" s="36"/>
      <c r="BD1311" s="36"/>
      <c r="BF1311">
        <f>ROWS($U$46:U1311)</f>
        <v>1266</v>
      </c>
      <c r="BG1311" t="str">
        <f t="shared" si="225"/>
        <v/>
      </c>
    </row>
    <row r="1312" spans="12:59" x14ac:dyDescent="0.35">
      <c r="O1312" s="330"/>
      <c r="P1312" s="36"/>
      <c r="Q1312" s="36"/>
      <c r="R1312" s="36"/>
      <c r="S1312" s="36">
        <v>8.5</v>
      </c>
      <c r="T1312" s="36" t="s">
        <v>1940</v>
      </c>
      <c r="U1312" s="36">
        <v>1201053</v>
      </c>
      <c r="V1312" s="165" t="s">
        <v>91</v>
      </c>
      <c r="W1312" s="36">
        <v>1</v>
      </c>
      <c r="X1312" s="36">
        <v>1</v>
      </c>
      <c r="Y1312" s="36">
        <v>1</v>
      </c>
      <c r="Z1312" s="36">
        <v>1</v>
      </c>
      <c r="AA1312" s="36">
        <v>1</v>
      </c>
      <c r="AB1312" s="36">
        <v>1</v>
      </c>
      <c r="AC1312" s="36">
        <v>3</v>
      </c>
      <c r="AD1312" s="36"/>
      <c r="AE1312" s="36"/>
      <c r="AF1312" s="36">
        <v>2</v>
      </c>
      <c r="AG1312" s="36">
        <v>2</v>
      </c>
      <c r="AH1312" s="36">
        <v>2</v>
      </c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  <c r="AV1312" s="36"/>
      <c r="AW1312" s="36"/>
      <c r="AX1312" s="36"/>
      <c r="AY1312" s="953"/>
      <c r="AZ1312" s="36"/>
      <c r="BA1312" s="36"/>
      <c r="BB1312" s="36"/>
      <c r="BC1312" s="36"/>
      <c r="BD1312" s="36"/>
      <c r="BF1312">
        <f>ROWS($U$46:U1312)</f>
        <v>1267</v>
      </c>
      <c r="BG1312" t="str">
        <f t="shared" si="225"/>
        <v/>
      </c>
    </row>
    <row r="1313" spans="12:59" ht="15" thickBot="1" x14ac:dyDescent="0.4">
      <c r="O1313" s="331"/>
      <c r="P1313" s="328"/>
      <c r="Q1313" s="328"/>
      <c r="R1313" s="328"/>
      <c r="S1313" s="328">
        <v>8.5</v>
      </c>
      <c r="T1313" s="328" t="s">
        <v>1940</v>
      </c>
      <c r="U1313" s="328">
        <v>1201053</v>
      </c>
      <c r="V1313" s="327" t="s">
        <v>92</v>
      </c>
      <c r="W1313" s="328">
        <v>1</v>
      </c>
      <c r="X1313" s="328">
        <v>1</v>
      </c>
      <c r="Y1313" s="328">
        <v>1</v>
      </c>
      <c r="Z1313" s="328">
        <v>1</v>
      </c>
      <c r="AA1313" s="328">
        <v>3</v>
      </c>
      <c r="AB1313" s="328"/>
      <c r="AC1313" s="328"/>
      <c r="AD1313" s="328"/>
      <c r="AE1313" s="328"/>
      <c r="AF1313" s="328">
        <v>2</v>
      </c>
      <c r="AG1313" s="328">
        <v>2</v>
      </c>
      <c r="AH1313" s="328"/>
      <c r="AI1313" s="328"/>
      <c r="AJ1313" s="328"/>
      <c r="AK1313" s="328"/>
      <c r="AL1313" s="328"/>
      <c r="AM1313" s="328"/>
      <c r="AN1313" s="328"/>
      <c r="AO1313" s="328"/>
      <c r="AP1313" s="328"/>
      <c r="AQ1313" s="328"/>
      <c r="AR1313" s="328"/>
      <c r="AS1313" s="328"/>
      <c r="AT1313" s="328"/>
      <c r="AU1313" s="328"/>
      <c r="AV1313" s="328"/>
      <c r="AW1313" s="328"/>
      <c r="AX1313" s="328"/>
      <c r="AY1313" s="954"/>
      <c r="AZ1313" s="36"/>
      <c r="BA1313" s="36"/>
      <c r="BB1313" s="36"/>
      <c r="BC1313" s="36"/>
      <c r="BD1313" s="36"/>
      <c r="BF1313">
        <f>ROWS($U$46:U1313)</f>
        <v>1268</v>
      </c>
      <c r="BG1313" t="str">
        <f t="shared" si="225"/>
        <v/>
      </c>
    </row>
    <row r="1314" spans="12:59" x14ac:dyDescent="0.35">
      <c r="O1314" s="329">
        <v>1</v>
      </c>
      <c r="P1314" s="320">
        <v>907609</v>
      </c>
      <c r="Q1314" s="320">
        <v>20</v>
      </c>
      <c r="R1314" s="320"/>
      <c r="S1314" s="320">
        <v>6.125</v>
      </c>
      <c r="T1314" s="320" t="s">
        <v>1961</v>
      </c>
      <c r="U1314" s="320">
        <v>1115680</v>
      </c>
      <c r="V1314" s="319" t="s">
        <v>87</v>
      </c>
      <c r="W1314" s="320">
        <v>4</v>
      </c>
      <c r="X1314" s="320">
        <v>1</v>
      </c>
      <c r="Y1314" s="320">
        <v>1</v>
      </c>
      <c r="Z1314" s="320">
        <v>1</v>
      </c>
      <c r="AA1314" s="320">
        <v>1</v>
      </c>
      <c r="AB1314" s="320">
        <v>1</v>
      </c>
      <c r="AC1314" s="320">
        <v>2</v>
      </c>
      <c r="AD1314" s="320">
        <v>2</v>
      </c>
      <c r="AE1314" s="320"/>
      <c r="AF1314" s="320">
        <v>3</v>
      </c>
      <c r="AG1314" s="320"/>
      <c r="AH1314" s="320"/>
      <c r="AI1314" s="320"/>
      <c r="AJ1314" s="320"/>
      <c r="AK1314" s="320"/>
      <c r="AL1314" s="320"/>
      <c r="AM1314" s="320"/>
      <c r="AN1314" s="320"/>
      <c r="AO1314" s="320"/>
      <c r="AP1314" s="320"/>
      <c r="AQ1314" s="320"/>
      <c r="AR1314" s="320"/>
      <c r="AS1314" s="320"/>
      <c r="AT1314" s="320"/>
      <c r="AU1314" s="320"/>
      <c r="AV1314" s="320"/>
      <c r="AW1314" s="320"/>
      <c r="AX1314" s="320"/>
      <c r="AY1314" s="952"/>
      <c r="AZ1314" s="36"/>
      <c r="BA1314" s="36"/>
      <c r="BB1314" s="36"/>
      <c r="BC1314" s="36"/>
      <c r="BD1314" s="36"/>
      <c r="BF1314">
        <f>ROWS($U$46:U1314)</f>
        <v>1269</v>
      </c>
      <c r="BG1314" t="str">
        <f t="shared" si="225"/>
        <v/>
      </c>
    </row>
    <row r="1315" spans="12:59" x14ac:dyDescent="0.35">
      <c r="O1315" s="330">
        <v>2</v>
      </c>
      <c r="P1315" s="36">
        <v>418525</v>
      </c>
      <c r="Q1315" s="36">
        <v>10</v>
      </c>
      <c r="R1315" s="36"/>
      <c r="S1315" s="36">
        <v>6.125</v>
      </c>
      <c r="T1315" s="36" t="s">
        <v>1961</v>
      </c>
      <c r="U1315" s="36">
        <v>1115680</v>
      </c>
      <c r="V1315" s="165" t="s">
        <v>88</v>
      </c>
      <c r="W1315" s="36">
        <v>1</v>
      </c>
      <c r="X1315" s="36">
        <v>1</v>
      </c>
      <c r="Y1315" s="36">
        <v>1</v>
      </c>
      <c r="Z1315" s="36">
        <v>2</v>
      </c>
      <c r="AA1315" s="36">
        <v>2</v>
      </c>
      <c r="AB1315" s="36"/>
      <c r="AC1315" s="36"/>
      <c r="AD1315" s="36"/>
      <c r="AE1315" s="36"/>
      <c r="AF1315" s="36">
        <v>3</v>
      </c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  <c r="AV1315" s="36"/>
      <c r="AW1315" s="36"/>
      <c r="AX1315" s="36"/>
      <c r="AY1315" s="953"/>
      <c r="AZ1315" s="36"/>
      <c r="BA1315" s="36"/>
      <c r="BB1315" s="36"/>
      <c r="BC1315" s="36"/>
      <c r="BD1315" s="36"/>
      <c r="BF1315">
        <f>ROWS($U$46:U1315)</f>
        <v>1270</v>
      </c>
      <c r="BG1315" t="str">
        <f t="shared" si="225"/>
        <v/>
      </c>
    </row>
    <row r="1316" spans="12:59" x14ac:dyDescent="0.35">
      <c r="O1316" s="330">
        <v>3</v>
      </c>
      <c r="P1316" s="36">
        <v>410851</v>
      </c>
      <c r="Q1316" s="36">
        <v>5</v>
      </c>
      <c r="R1316" s="36"/>
      <c r="S1316" s="36">
        <v>6.125</v>
      </c>
      <c r="T1316" s="36" t="s">
        <v>1961</v>
      </c>
      <c r="U1316" s="36">
        <v>1115680</v>
      </c>
      <c r="V1316" s="165" t="s">
        <v>89</v>
      </c>
      <c r="W1316" s="36">
        <v>4</v>
      </c>
      <c r="X1316" s="36">
        <v>1</v>
      </c>
      <c r="Y1316" s="36">
        <v>1</v>
      </c>
      <c r="Z1316" s="36">
        <v>1</v>
      </c>
      <c r="AA1316" s="36">
        <v>1</v>
      </c>
      <c r="AB1316" s="36">
        <v>2</v>
      </c>
      <c r="AC1316" s="36">
        <v>2</v>
      </c>
      <c r="AD1316" s="36"/>
      <c r="AE1316" s="36"/>
      <c r="AF1316" s="36">
        <v>3</v>
      </c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  <c r="AV1316" s="36"/>
      <c r="AW1316" s="36"/>
      <c r="AX1316" s="36"/>
      <c r="AY1316" s="953"/>
      <c r="AZ1316" s="36"/>
      <c r="BA1316" s="36"/>
      <c r="BB1316" s="36"/>
      <c r="BC1316" s="36"/>
      <c r="BD1316" s="36"/>
      <c r="BF1316">
        <f>ROWS($U$46:U1316)</f>
        <v>1271</v>
      </c>
      <c r="BG1316" t="str">
        <f t="shared" si="225"/>
        <v/>
      </c>
    </row>
    <row r="1317" spans="12:59" x14ac:dyDescent="0.35">
      <c r="O1317" s="330">
        <v>4</v>
      </c>
      <c r="P1317" s="36">
        <v>703670</v>
      </c>
      <c r="Q1317" s="36">
        <v>3</v>
      </c>
      <c r="R1317" s="36"/>
      <c r="S1317" s="36">
        <v>6.125</v>
      </c>
      <c r="T1317" s="36" t="s">
        <v>1961</v>
      </c>
      <c r="U1317" s="36">
        <v>1115680</v>
      </c>
      <c r="V1317" s="165" t="s">
        <v>90</v>
      </c>
      <c r="W1317" s="36">
        <v>4</v>
      </c>
      <c r="X1317" s="36">
        <v>1</v>
      </c>
      <c r="Y1317" s="36">
        <v>1</v>
      </c>
      <c r="Z1317" s="36">
        <v>1</v>
      </c>
      <c r="AA1317" s="36">
        <v>1</v>
      </c>
      <c r="AB1317" s="36">
        <v>1</v>
      </c>
      <c r="AC1317" s="36">
        <v>2</v>
      </c>
      <c r="AD1317" s="36">
        <v>2</v>
      </c>
      <c r="AE1317" s="36"/>
      <c r="AF1317" s="36">
        <v>3</v>
      </c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  <c r="AV1317" s="36"/>
      <c r="AW1317" s="36"/>
      <c r="AX1317" s="36"/>
      <c r="AY1317" s="953"/>
      <c r="AZ1317" s="36"/>
      <c r="BA1317" s="36"/>
      <c r="BB1317" s="36"/>
      <c r="BC1317" s="36"/>
      <c r="BD1317" s="36"/>
      <c r="BF1317">
        <f>ROWS($U$46:U1317)</f>
        <v>1272</v>
      </c>
      <c r="BG1317" t="str">
        <f t="shared" si="225"/>
        <v/>
      </c>
    </row>
    <row r="1318" spans="12:59" ht="15" thickBot="1" x14ac:dyDescent="0.4">
      <c r="L1318"/>
      <c r="O1318" s="331"/>
      <c r="P1318" s="328"/>
      <c r="Q1318" s="328"/>
      <c r="R1318" s="328"/>
      <c r="S1318" s="328">
        <v>6.125</v>
      </c>
      <c r="T1318" s="328" t="s">
        <v>1961</v>
      </c>
      <c r="U1318" s="328">
        <v>1115680</v>
      </c>
      <c r="V1318" s="327" t="s">
        <v>91</v>
      </c>
      <c r="W1318" s="486">
        <v>1</v>
      </c>
      <c r="X1318" s="486">
        <v>1</v>
      </c>
      <c r="Y1318" s="486">
        <v>1</v>
      </c>
      <c r="Z1318" s="486">
        <v>2</v>
      </c>
      <c r="AA1318" s="486">
        <v>2</v>
      </c>
      <c r="AB1318" s="486"/>
      <c r="AC1318" s="486"/>
      <c r="AD1318" s="486"/>
      <c r="AE1318" s="486"/>
      <c r="AF1318" s="486">
        <v>3</v>
      </c>
      <c r="AG1318" s="486"/>
      <c r="AH1318" s="486"/>
      <c r="AI1318" s="486"/>
      <c r="AJ1318" s="486"/>
      <c r="AK1318" s="486"/>
      <c r="AL1318" s="486"/>
      <c r="AM1318" s="486"/>
      <c r="AN1318" s="486"/>
      <c r="AO1318" s="486"/>
      <c r="AP1318" s="486"/>
      <c r="AQ1318" s="486"/>
      <c r="AR1318" s="486"/>
      <c r="AS1318" s="486"/>
      <c r="AT1318" s="486"/>
      <c r="AU1318" s="486"/>
      <c r="AV1318" s="486"/>
      <c r="AW1318" s="486"/>
      <c r="AX1318" s="486"/>
      <c r="AY1318" s="151"/>
      <c r="AZ1318" s="486"/>
      <c r="BA1318" s="486"/>
      <c r="BB1318" s="486"/>
      <c r="BC1318" s="486"/>
      <c r="BD1318" s="486"/>
      <c r="BF1318">
        <f>ROWS($U$46:U1318)</f>
        <v>1273</v>
      </c>
      <c r="BG1318" t="str">
        <f t="shared" si="225"/>
        <v/>
      </c>
    </row>
    <row r="1319" spans="12:59" x14ac:dyDescent="0.35">
      <c r="L1319"/>
      <c r="O1319" s="329">
        <v>1</v>
      </c>
      <c r="P1319" s="320">
        <v>1130198</v>
      </c>
      <c r="Q1319" s="320">
        <v>80</v>
      </c>
      <c r="R1319" s="320"/>
      <c r="S1319" s="552">
        <v>17</v>
      </c>
      <c r="T1319" s="320" t="s">
        <v>1131</v>
      </c>
      <c r="U1319" s="320">
        <v>1162267</v>
      </c>
      <c r="V1319" s="955" t="s">
        <v>87</v>
      </c>
      <c r="W1319" s="118">
        <v>1</v>
      </c>
      <c r="X1319" s="320">
        <v>1</v>
      </c>
      <c r="Y1319" s="320">
        <v>1</v>
      </c>
      <c r="Z1319" s="320">
        <v>1</v>
      </c>
      <c r="AA1319" s="320">
        <v>1</v>
      </c>
      <c r="AB1319" s="320">
        <v>1</v>
      </c>
      <c r="AC1319" s="320">
        <v>1</v>
      </c>
      <c r="AD1319" s="320">
        <v>1</v>
      </c>
      <c r="AE1319" s="320">
        <v>1</v>
      </c>
      <c r="AF1319" s="320">
        <v>1</v>
      </c>
      <c r="AG1319" s="320">
        <v>1</v>
      </c>
      <c r="AH1319" s="320">
        <v>1</v>
      </c>
      <c r="AI1319" s="320">
        <v>1</v>
      </c>
      <c r="AJ1319" s="320">
        <v>1</v>
      </c>
      <c r="AK1319" s="320">
        <v>1</v>
      </c>
      <c r="AL1319" s="320">
        <v>5</v>
      </c>
      <c r="AM1319" s="320">
        <v>3</v>
      </c>
      <c r="AN1319" s="320">
        <v>3</v>
      </c>
      <c r="AO1319" s="320">
        <v>3</v>
      </c>
      <c r="AP1319" s="320">
        <v>3</v>
      </c>
      <c r="AQ1319" s="320">
        <v>5</v>
      </c>
      <c r="AR1319" s="320"/>
      <c r="AS1319" s="320">
        <v>2</v>
      </c>
      <c r="AT1319" s="320">
        <v>2</v>
      </c>
      <c r="AU1319" s="320">
        <v>2</v>
      </c>
      <c r="AV1319" s="320">
        <v>2</v>
      </c>
      <c r="AW1319" s="320">
        <v>4</v>
      </c>
      <c r="AX1319" s="320">
        <v>4</v>
      </c>
      <c r="AY1319" s="952">
        <v>4</v>
      </c>
      <c r="AZ1319" s="320">
        <v>4</v>
      </c>
      <c r="BA1319" s="320">
        <v>2</v>
      </c>
      <c r="BB1319" s="320">
        <v>2</v>
      </c>
      <c r="BC1319" s="320">
        <v>2</v>
      </c>
      <c r="BD1319" s="119"/>
      <c r="BF1319">
        <f>ROWS($U$46:U1319)</f>
        <v>1274</v>
      </c>
      <c r="BG1319" t="str">
        <f t="shared" si="225"/>
        <v/>
      </c>
    </row>
    <row r="1320" spans="12:59" x14ac:dyDescent="0.35">
      <c r="L1320"/>
      <c r="O1320" s="330">
        <v>2</v>
      </c>
      <c r="P1320" s="36">
        <v>179734</v>
      </c>
      <c r="Q1320" s="36">
        <v>35</v>
      </c>
      <c r="R1320" s="36"/>
      <c r="S1320" s="553">
        <v>17</v>
      </c>
      <c r="T1320" s="36" t="s">
        <v>1131</v>
      </c>
      <c r="U1320" s="36">
        <v>1162267</v>
      </c>
      <c r="V1320" s="956" t="s">
        <v>88</v>
      </c>
      <c r="W1320" s="3">
        <v>1</v>
      </c>
      <c r="X1320" s="36">
        <v>1</v>
      </c>
      <c r="Y1320" s="36">
        <v>1</v>
      </c>
      <c r="Z1320" s="36">
        <v>1</v>
      </c>
      <c r="AA1320" s="36">
        <v>1</v>
      </c>
      <c r="AB1320" s="36">
        <v>1</v>
      </c>
      <c r="AC1320" s="36">
        <v>1</v>
      </c>
      <c r="AD1320" s="36">
        <v>1</v>
      </c>
      <c r="AE1320" s="36">
        <v>1</v>
      </c>
      <c r="AF1320" s="36">
        <v>1</v>
      </c>
      <c r="AG1320" s="36">
        <v>5</v>
      </c>
      <c r="AH1320" s="36">
        <v>3</v>
      </c>
      <c r="AI1320" s="36">
        <v>3</v>
      </c>
      <c r="AJ1320" s="36">
        <v>3</v>
      </c>
      <c r="AK1320" s="36">
        <v>3</v>
      </c>
      <c r="AL1320" s="36">
        <v>5</v>
      </c>
      <c r="AM1320" s="36"/>
      <c r="AN1320" s="36"/>
      <c r="AO1320" s="36"/>
      <c r="AP1320" s="36"/>
      <c r="AQ1320" s="36"/>
      <c r="AR1320" s="36"/>
      <c r="AS1320" s="36">
        <v>2</v>
      </c>
      <c r="AT1320" s="36">
        <v>4</v>
      </c>
      <c r="AU1320" s="36">
        <v>4</v>
      </c>
      <c r="AV1320" s="36">
        <v>4</v>
      </c>
      <c r="AW1320" s="36">
        <v>4</v>
      </c>
      <c r="AX1320" s="36">
        <v>2</v>
      </c>
      <c r="AY1320" s="953">
        <v>2</v>
      </c>
      <c r="AZ1320" s="36">
        <v>2</v>
      </c>
      <c r="BA1320" s="36"/>
      <c r="BB1320" s="36"/>
      <c r="BC1320" s="36"/>
      <c r="BD1320" s="27"/>
      <c r="BF1320">
        <f>ROWS($U$46:U1320)</f>
        <v>1275</v>
      </c>
      <c r="BG1320" t="str">
        <f t="shared" si="225"/>
        <v/>
      </c>
    </row>
    <row r="1321" spans="12:59" x14ac:dyDescent="0.35">
      <c r="L1321"/>
      <c r="O1321" s="330">
        <v>3</v>
      </c>
      <c r="P1321" s="36">
        <v>410851</v>
      </c>
      <c r="Q1321" s="36">
        <v>28</v>
      </c>
      <c r="R1321" s="36"/>
      <c r="S1321" s="553">
        <v>17</v>
      </c>
      <c r="T1321" s="36" t="s">
        <v>1131</v>
      </c>
      <c r="U1321" s="36">
        <v>1162267</v>
      </c>
      <c r="V1321" s="956" t="s">
        <v>89</v>
      </c>
      <c r="W1321" s="3">
        <v>1</v>
      </c>
      <c r="X1321" s="36">
        <v>1</v>
      </c>
      <c r="Y1321" s="36">
        <v>1</v>
      </c>
      <c r="Z1321" s="36">
        <v>1</v>
      </c>
      <c r="AA1321" s="36">
        <v>1</v>
      </c>
      <c r="AB1321" s="36">
        <v>1</v>
      </c>
      <c r="AC1321" s="36">
        <v>1</v>
      </c>
      <c r="AD1321" s="36">
        <v>1</v>
      </c>
      <c r="AE1321" s="36">
        <v>1</v>
      </c>
      <c r="AF1321" s="36">
        <v>1</v>
      </c>
      <c r="AG1321" s="36">
        <v>1</v>
      </c>
      <c r="AH1321" s="36">
        <v>1</v>
      </c>
      <c r="AI1321" s="36">
        <v>1</v>
      </c>
      <c r="AJ1321" s="36">
        <v>1</v>
      </c>
      <c r="AK1321" s="36">
        <v>5</v>
      </c>
      <c r="AL1321" s="36">
        <v>3</v>
      </c>
      <c r="AM1321" s="36">
        <v>3</v>
      </c>
      <c r="AN1321" s="36">
        <v>3</v>
      </c>
      <c r="AO1321" s="36">
        <v>3</v>
      </c>
      <c r="AP1321" s="36">
        <v>5</v>
      </c>
      <c r="AQ1321" s="36"/>
      <c r="AR1321" s="36"/>
      <c r="AS1321" s="36">
        <v>2</v>
      </c>
      <c r="AT1321" s="36">
        <v>2</v>
      </c>
      <c r="AU1321" s="36">
        <v>2</v>
      </c>
      <c r="AV1321" s="36">
        <v>2</v>
      </c>
      <c r="AW1321" s="36">
        <v>4</v>
      </c>
      <c r="AX1321" s="36">
        <v>4</v>
      </c>
      <c r="AY1321" s="953">
        <v>4</v>
      </c>
      <c r="AZ1321" s="36">
        <v>4</v>
      </c>
      <c r="BA1321" s="36">
        <v>2</v>
      </c>
      <c r="BB1321" s="36">
        <v>2</v>
      </c>
      <c r="BC1321" s="36">
        <v>2</v>
      </c>
      <c r="BD1321" s="27"/>
      <c r="BF1321">
        <f>ROWS($U$46:U1321)</f>
        <v>1276</v>
      </c>
      <c r="BG1321" t="str">
        <f t="shared" si="225"/>
        <v/>
      </c>
    </row>
    <row r="1322" spans="12:59" x14ac:dyDescent="0.35">
      <c r="L1322"/>
      <c r="O1322" s="330">
        <v>4</v>
      </c>
      <c r="P1322" s="36">
        <v>647436</v>
      </c>
      <c r="Q1322" s="36">
        <v>27</v>
      </c>
      <c r="R1322" s="36"/>
      <c r="S1322" s="553">
        <v>17</v>
      </c>
      <c r="T1322" s="36" t="s">
        <v>1131</v>
      </c>
      <c r="U1322" s="36">
        <v>1162267</v>
      </c>
      <c r="V1322" s="956" t="s">
        <v>90</v>
      </c>
      <c r="W1322" s="3">
        <v>1</v>
      </c>
      <c r="X1322" s="36">
        <v>1</v>
      </c>
      <c r="Y1322" s="36">
        <v>1</v>
      </c>
      <c r="Z1322" s="36">
        <v>1</v>
      </c>
      <c r="AA1322" s="36">
        <v>1</v>
      </c>
      <c r="AB1322" s="36">
        <v>1</v>
      </c>
      <c r="AC1322" s="36">
        <v>1</v>
      </c>
      <c r="AD1322" s="36">
        <v>1</v>
      </c>
      <c r="AE1322" s="36">
        <v>1</v>
      </c>
      <c r="AF1322" s="36">
        <v>5</v>
      </c>
      <c r="AG1322" s="36">
        <v>3</v>
      </c>
      <c r="AH1322" s="36">
        <v>3</v>
      </c>
      <c r="AI1322" s="36">
        <v>3</v>
      </c>
      <c r="AJ1322" s="36">
        <v>3</v>
      </c>
      <c r="AK1322" s="36">
        <v>5</v>
      </c>
      <c r="AL1322" s="36"/>
      <c r="AM1322" s="36"/>
      <c r="AN1322" s="36"/>
      <c r="AO1322" s="36"/>
      <c r="AP1322" s="36"/>
      <c r="AQ1322" s="36"/>
      <c r="AR1322" s="36"/>
      <c r="AS1322" s="36">
        <v>2</v>
      </c>
      <c r="AT1322" s="36">
        <v>4</v>
      </c>
      <c r="AU1322" s="36">
        <v>4</v>
      </c>
      <c r="AV1322" s="36">
        <v>4</v>
      </c>
      <c r="AW1322" s="36">
        <v>2</v>
      </c>
      <c r="AX1322" s="36">
        <v>2</v>
      </c>
      <c r="AY1322" s="953">
        <v>2</v>
      </c>
      <c r="AZ1322" s="36"/>
      <c r="BA1322" s="36"/>
      <c r="BB1322" s="36"/>
      <c r="BC1322" s="36"/>
      <c r="BD1322" s="27"/>
      <c r="BF1322">
        <f>ROWS($U$46:U1322)</f>
        <v>1277</v>
      </c>
      <c r="BG1322" t="str">
        <f t="shared" si="225"/>
        <v/>
      </c>
    </row>
    <row r="1323" spans="12:59" x14ac:dyDescent="0.35">
      <c r="L1323"/>
      <c r="O1323" s="330">
        <v>5</v>
      </c>
      <c r="P1323" s="36">
        <v>418525</v>
      </c>
      <c r="Q1323" s="36">
        <v>14</v>
      </c>
      <c r="R1323" s="36"/>
      <c r="S1323" s="553">
        <v>17</v>
      </c>
      <c r="T1323" s="36" t="s">
        <v>1131</v>
      </c>
      <c r="U1323" s="36">
        <v>1162267</v>
      </c>
      <c r="V1323" s="956" t="s">
        <v>91</v>
      </c>
      <c r="W1323" s="3">
        <v>1</v>
      </c>
      <c r="X1323" s="36">
        <v>1</v>
      </c>
      <c r="Y1323" s="36">
        <v>1</v>
      </c>
      <c r="Z1323" s="36">
        <v>1</v>
      </c>
      <c r="AA1323" s="36">
        <v>1</v>
      </c>
      <c r="AB1323" s="36">
        <v>1</v>
      </c>
      <c r="AC1323" s="36">
        <v>1</v>
      </c>
      <c r="AD1323" s="36">
        <v>1</v>
      </c>
      <c r="AE1323" s="36">
        <v>1</v>
      </c>
      <c r="AF1323" s="36">
        <v>1</v>
      </c>
      <c r="AG1323" s="36">
        <v>1</v>
      </c>
      <c r="AH1323" s="36">
        <v>1</v>
      </c>
      <c r="AI1323" s="36">
        <v>1</v>
      </c>
      <c r="AJ1323" s="36">
        <v>1</v>
      </c>
      <c r="AK1323" s="36">
        <v>5</v>
      </c>
      <c r="AL1323" s="36">
        <v>3</v>
      </c>
      <c r="AM1323" s="36">
        <v>3</v>
      </c>
      <c r="AN1323" s="36">
        <v>3</v>
      </c>
      <c r="AO1323" s="36">
        <v>3</v>
      </c>
      <c r="AP1323" s="36">
        <v>5</v>
      </c>
      <c r="AQ1323" s="36"/>
      <c r="AR1323" s="36"/>
      <c r="AS1323" s="36">
        <v>2</v>
      </c>
      <c r="AT1323" s="36">
        <v>2</v>
      </c>
      <c r="AU1323" s="36">
        <v>2</v>
      </c>
      <c r="AV1323" s="36">
        <v>2</v>
      </c>
      <c r="AW1323" s="36">
        <v>4</v>
      </c>
      <c r="AX1323" s="36">
        <v>4</v>
      </c>
      <c r="AY1323" s="953">
        <v>4</v>
      </c>
      <c r="AZ1323" s="36">
        <v>4</v>
      </c>
      <c r="BA1323" s="36">
        <v>2</v>
      </c>
      <c r="BB1323" s="36">
        <v>2</v>
      </c>
      <c r="BC1323" s="36"/>
      <c r="BD1323" s="27"/>
      <c r="BF1323">
        <f>ROWS($U$46:U1323)</f>
        <v>1278</v>
      </c>
      <c r="BG1323" t="str">
        <f t="shared" si="225"/>
        <v/>
      </c>
    </row>
    <row r="1324" spans="12:59" x14ac:dyDescent="0.35">
      <c r="L1324"/>
      <c r="O1324" s="330"/>
      <c r="P1324" s="36"/>
      <c r="Q1324" s="36"/>
      <c r="R1324" s="36"/>
      <c r="S1324" s="553">
        <v>17</v>
      </c>
      <c r="T1324" s="36" t="s">
        <v>1131</v>
      </c>
      <c r="U1324" s="36">
        <v>1162267</v>
      </c>
      <c r="V1324" s="956" t="s">
        <v>92</v>
      </c>
      <c r="W1324" s="3">
        <v>1</v>
      </c>
      <c r="X1324" s="36">
        <v>1</v>
      </c>
      <c r="Y1324" s="36">
        <v>1</v>
      </c>
      <c r="Z1324" s="36">
        <v>1</v>
      </c>
      <c r="AA1324" s="36">
        <v>1</v>
      </c>
      <c r="AB1324" s="36">
        <v>1</v>
      </c>
      <c r="AC1324" s="36">
        <v>1</v>
      </c>
      <c r="AD1324" s="36">
        <v>1</v>
      </c>
      <c r="AE1324" s="36">
        <v>5</v>
      </c>
      <c r="AF1324" s="36">
        <v>3</v>
      </c>
      <c r="AG1324" s="36">
        <v>3</v>
      </c>
      <c r="AH1324" s="36">
        <v>3</v>
      </c>
      <c r="AI1324" s="36">
        <v>3</v>
      </c>
      <c r="AJ1324" s="36">
        <v>5</v>
      </c>
      <c r="AK1324" s="36"/>
      <c r="AL1324" s="36"/>
      <c r="AM1324" s="36"/>
      <c r="AN1324" s="36"/>
      <c r="AO1324" s="36"/>
      <c r="AP1324" s="36"/>
      <c r="AQ1324" s="36"/>
      <c r="AR1324" s="36"/>
      <c r="AS1324" s="36">
        <v>2</v>
      </c>
      <c r="AT1324" s="36">
        <v>4</v>
      </c>
      <c r="AU1324" s="36">
        <v>4</v>
      </c>
      <c r="AV1324" s="36">
        <v>4</v>
      </c>
      <c r="AW1324" s="36">
        <v>4</v>
      </c>
      <c r="AX1324" s="36">
        <v>2</v>
      </c>
      <c r="AY1324" s="953">
        <v>2</v>
      </c>
      <c r="AZ1324" s="36"/>
      <c r="BA1324" s="36"/>
      <c r="BB1324" s="36"/>
      <c r="BC1324" s="36"/>
      <c r="BD1324" s="27"/>
      <c r="BF1324">
        <f>ROWS($U$46:U1324)</f>
        <v>1279</v>
      </c>
      <c r="BG1324" t="str">
        <f t="shared" si="225"/>
        <v/>
      </c>
    </row>
    <row r="1325" spans="12:59" ht="15" thickBot="1" x14ac:dyDescent="0.4">
      <c r="L1325"/>
      <c r="O1325" s="331"/>
      <c r="P1325" s="328"/>
      <c r="Q1325" s="328"/>
      <c r="R1325" s="328"/>
      <c r="S1325" s="554">
        <v>17</v>
      </c>
      <c r="T1325" s="328" t="s">
        <v>1131</v>
      </c>
      <c r="U1325" s="328">
        <v>1162267</v>
      </c>
      <c r="V1325" s="957" t="s">
        <v>111</v>
      </c>
      <c r="W1325" s="76">
        <v>1</v>
      </c>
      <c r="X1325" s="328">
        <v>1</v>
      </c>
      <c r="Y1325" s="328">
        <v>1</v>
      </c>
      <c r="Z1325" s="328">
        <v>1</v>
      </c>
      <c r="AA1325" s="328">
        <v>1</v>
      </c>
      <c r="AB1325" s="328">
        <v>1</v>
      </c>
      <c r="AC1325" s="328">
        <v>1</v>
      </c>
      <c r="AD1325" s="328">
        <v>1</v>
      </c>
      <c r="AE1325" s="328">
        <v>1</v>
      </c>
      <c r="AF1325" s="328">
        <v>1</v>
      </c>
      <c r="AG1325" s="328">
        <v>5</v>
      </c>
      <c r="AH1325" s="328">
        <v>3</v>
      </c>
      <c r="AI1325" s="328">
        <v>3</v>
      </c>
      <c r="AJ1325" s="328">
        <v>3</v>
      </c>
      <c r="AK1325" s="328">
        <v>3</v>
      </c>
      <c r="AL1325" s="328">
        <v>5</v>
      </c>
      <c r="AM1325" s="328"/>
      <c r="AN1325" s="328"/>
      <c r="AO1325" s="328"/>
      <c r="AP1325" s="328"/>
      <c r="AQ1325" s="328"/>
      <c r="AR1325" s="328"/>
      <c r="AS1325" s="328">
        <v>2</v>
      </c>
      <c r="AT1325" s="328">
        <v>4</v>
      </c>
      <c r="AU1325" s="328">
        <v>4</v>
      </c>
      <c r="AV1325" s="328">
        <v>4</v>
      </c>
      <c r="AW1325" s="328">
        <v>4</v>
      </c>
      <c r="AX1325" s="328">
        <v>2</v>
      </c>
      <c r="AY1325" s="954">
        <v>2</v>
      </c>
      <c r="AZ1325" s="328">
        <v>2</v>
      </c>
      <c r="BA1325" s="328"/>
      <c r="BB1325" s="328"/>
      <c r="BC1325" s="328"/>
      <c r="BD1325" s="31"/>
      <c r="BF1325">
        <f>ROWS($U$46:U1325)</f>
        <v>1280</v>
      </c>
      <c r="BG1325" t="str">
        <f t="shared" si="225"/>
        <v/>
      </c>
    </row>
    <row r="1326" spans="12:59" x14ac:dyDescent="0.35">
      <c r="L1326"/>
      <c r="O1326" s="329">
        <v>1</v>
      </c>
      <c r="P1326" s="320">
        <v>1130198</v>
      </c>
      <c r="Q1326" s="320">
        <v>152</v>
      </c>
      <c r="R1326" s="320"/>
      <c r="S1326" s="552">
        <v>16</v>
      </c>
      <c r="T1326" s="320" t="s">
        <v>1970</v>
      </c>
      <c r="U1326" s="320">
        <v>1190973</v>
      </c>
      <c r="V1326" s="955" t="s">
        <v>87</v>
      </c>
      <c r="W1326" s="118">
        <v>1</v>
      </c>
      <c r="X1326" s="320">
        <v>1</v>
      </c>
      <c r="Y1326" s="320">
        <v>1</v>
      </c>
      <c r="Z1326" s="320">
        <v>1</v>
      </c>
      <c r="AA1326" s="320">
        <v>1</v>
      </c>
      <c r="AB1326" s="320">
        <v>1</v>
      </c>
      <c r="AC1326" s="320">
        <v>1</v>
      </c>
      <c r="AD1326" s="320">
        <v>1</v>
      </c>
      <c r="AE1326" s="320">
        <v>1</v>
      </c>
      <c r="AF1326" s="320">
        <v>1</v>
      </c>
      <c r="AG1326" s="320">
        <v>1</v>
      </c>
      <c r="AH1326" s="320">
        <v>1</v>
      </c>
      <c r="AI1326" s="320">
        <v>1</v>
      </c>
      <c r="AJ1326" s="320">
        <v>1</v>
      </c>
      <c r="AK1326" s="320">
        <v>1</v>
      </c>
      <c r="AL1326" s="320">
        <v>3</v>
      </c>
      <c r="AM1326" s="320"/>
      <c r="AN1326" s="320">
        <v>2</v>
      </c>
      <c r="AO1326" s="320">
        <v>2</v>
      </c>
      <c r="AP1326" s="320">
        <v>2</v>
      </c>
      <c r="AQ1326" s="320">
        <v>1</v>
      </c>
      <c r="AR1326" s="320">
        <v>1</v>
      </c>
      <c r="AS1326" s="320">
        <v>1</v>
      </c>
      <c r="AT1326" s="320">
        <v>1</v>
      </c>
      <c r="AU1326" s="320">
        <v>1</v>
      </c>
      <c r="AV1326" s="320">
        <v>1</v>
      </c>
      <c r="AW1326" s="320">
        <v>1</v>
      </c>
      <c r="AX1326" s="320">
        <v>1</v>
      </c>
      <c r="AY1326" s="952">
        <v>1</v>
      </c>
      <c r="AZ1326" s="320"/>
      <c r="BA1326" s="320"/>
      <c r="BB1326" s="320"/>
      <c r="BC1326" s="320"/>
      <c r="BD1326" s="119"/>
      <c r="BF1326">
        <f>ROWS($U$46:U1326)</f>
        <v>1281</v>
      </c>
      <c r="BG1326" t="str">
        <f t="shared" si="225"/>
        <v/>
      </c>
    </row>
    <row r="1327" spans="12:59" x14ac:dyDescent="0.35">
      <c r="L1327"/>
      <c r="O1327" s="330">
        <v>2</v>
      </c>
      <c r="P1327" s="36">
        <v>625854</v>
      </c>
      <c r="Q1327" s="36">
        <v>9</v>
      </c>
      <c r="R1327" s="36"/>
      <c r="S1327" s="553">
        <v>16</v>
      </c>
      <c r="T1327" s="36" t="s">
        <v>1970</v>
      </c>
      <c r="U1327" s="36">
        <v>1190973</v>
      </c>
      <c r="V1327" s="956" t="s">
        <v>88</v>
      </c>
      <c r="W1327" s="3">
        <v>1</v>
      </c>
      <c r="X1327" s="36">
        <v>1</v>
      </c>
      <c r="Y1327" s="36">
        <v>1</v>
      </c>
      <c r="Z1327" s="36">
        <v>1</v>
      </c>
      <c r="AA1327" s="36">
        <v>1</v>
      </c>
      <c r="AB1327" s="36">
        <v>1</v>
      </c>
      <c r="AC1327" s="36">
        <v>1</v>
      </c>
      <c r="AD1327" s="36">
        <v>1</v>
      </c>
      <c r="AE1327" s="36">
        <v>1</v>
      </c>
      <c r="AF1327" s="36">
        <v>1</v>
      </c>
      <c r="AG1327" s="36">
        <v>1</v>
      </c>
      <c r="AH1327" s="36">
        <v>3</v>
      </c>
      <c r="AI1327" s="36"/>
      <c r="AJ1327" s="36"/>
      <c r="AK1327" s="36"/>
      <c r="AL1327" s="36"/>
      <c r="AM1327" s="36"/>
      <c r="AN1327" s="36">
        <v>1</v>
      </c>
      <c r="AO1327" s="36">
        <v>1</v>
      </c>
      <c r="AP1327" s="36">
        <v>1</v>
      </c>
      <c r="AQ1327" s="36">
        <v>1</v>
      </c>
      <c r="AR1327" s="36">
        <v>1</v>
      </c>
      <c r="AS1327" s="36">
        <v>1</v>
      </c>
      <c r="AT1327" s="36">
        <v>1</v>
      </c>
      <c r="AU1327" s="36">
        <v>1</v>
      </c>
      <c r="AV1327" s="36">
        <v>1</v>
      </c>
      <c r="AW1327" s="36">
        <v>1</v>
      </c>
      <c r="AX1327" s="36"/>
      <c r="AY1327" s="953"/>
      <c r="AZ1327" s="36"/>
      <c r="BA1327" s="36"/>
      <c r="BB1327" s="36"/>
      <c r="BC1327" s="36"/>
      <c r="BD1327" s="27"/>
      <c r="BF1327">
        <f>ROWS($U$46:U1327)</f>
        <v>1282</v>
      </c>
      <c r="BG1327" t="str">
        <f t="shared" ref="BG1327:BG1390" si="226">IF(VALUE(SUBSTITUTE($B$5,"M",""))=U1327,BF1327,"")</f>
        <v/>
      </c>
    </row>
    <row r="1328" spans="12:59" x14ac:dyDescent="0.35">
      <c r="L1328"/>
      <c r="O1328" s="330">
        <v>3</v>
      </c>
      <c r="P1328" s="36">
        <v>418525</v>
      </c>
      <c r="Q1328" s="36">
        <v>7</v>
      </c>
      <c r="R1328" s="36"/>
      <c r="S1328" s="553">
        <v>16</v>
      </c>
      <c r="T1328" s="36" t="s">
        <v>1970</v>
      </c>
      <c r="U1328" s="36">
        <v>1190973</v>
      </c>
      <c r="V1328" s="956" t="s">
        <v>89</v>
      </c>
      <c r="W1328" s="3">
        <v>1</v>
      </c>
      <c r="X1328" s="36">
        <v>1</v>
      </c>
      <c r="Y1328" s="36">
        <v>1</v>
      </c>
      <c r="Z1328" s="36">
        <v>1</v>
      </c>
      <c r="AA1328" s="36">
        <v>1</v>
      </c>
      <c r="AB1328" s="36">
        <v>1</v>
      </c>
      <c r="AC1328" s="36">
        <v>1</v>
      </c>
      <c r="AD1328" s="36">
        <v>1</v>
      </c>
      <c r="AE1328" s="36">
        <v>1</v>
      </c>
      <c r="AF1328" s="36">
        <v>1</v>
      </c>
      <c r="AG1328" s="36">
        <v>1</v>
      </c>
      <c r="AH1328" s="36">
        <v>1</v>
      </c>
      <c r="AI1328" s="36">
        <v>1</v>
      </c>
      <c r="AJ1328" s="36">
        <v>1</v>
      </c>
      <c r="AK1328" s="36">
        <v>3</v>
      </c>
      <c r="AL1328" s="36"/>
      <c r="AM1328" s="36"/>
      <c r="AN1328" s="36">
        <v>2</v>
      </c>
      <c r="AO1328" s="36">
        <v>2</v>
      </c>
      <c r="AP1328" s="36">
        <v>2</v>
      </c>
      <c r="AQ1328" s="36">
        <v>1</v>
      </c>
      <c r="AR1328" s="36">
        <v>1</v>
      </c>
      <c r="AS1328" s="36">
        <v>1</v>
      </c>
      <c r="AT1328" s="36">
        <v>1</v>
      </c>
      <c r="AU1328" s="36">
        <v>1</v>
      </c>
      <c r="AV1328" s="36">
        <v>1</v>
      </c>
      <c r="AW1328" s="36">
        <v>1</v>
      </c>
      <c r="AX1328" s="36">
        <v>1</v>
      </c>
      <c r="AY1328" s="953">
        <v>1</v>
      </c>
      <c r="AZ1328" s="36"/>
      <c r="BA1328" s="36"/>
      <c r="BB1328" s="36"/>
      <c r="BC1328" s="36"/>
      <c r="BD1328" s="27"/>
      <c r="BF1328">
        <f>ROWS($U$46:U1328)</f>
        <v>1283</v>
      </c>
      <c r="BG1328" t="str">
        <f t="shared" si="226"/>
        <v/>
      </c>
    </row>
    <row r="1329" spans="12:59" x14ac:dyDescent="0.35">
      <c r="O1329" s="330"/>
      <c r="P1329" s="36"/>
      <c r="Q1329" s="36"/>
      <c r="R1329" s="36"/>
      <c r="S1329" s="553">
        <v>16</v>
      </c>
      <c r="T1329" s="36" t="s">
        <v>1970</v>
      </c>
      <c r="U1329" s="36">
        <v>1190973</v>
      </c>
      <c r="V1329" s="956" t="s">
        <v>90</v>
      </c>
      <c r="W1329" s="3">
        <v>1</v>
      </c>
      <c r="X1329" s="36">
        <v>1</v>
      </c>
      <c r="Y1329" s="36">
        <v>1</v>
      </c>
      <c r="Z1329" s="36">
        <v>1</v>
      </c>
      <c r="AA1329" s="36">
        <v>1</v>
      </c>
      <c r="AB1329" s="36">
        <v>1</v>
      </c>
      <c r="AC1329" s="36">
        <v>1</v>
      </c>
      <c r="AD1329" s="36">
        <v>1</v>
      </c>
      <c r="AE1329" s="36">
        <v>1</v>
      </c>
      <c r="AF1329" s="36">
        <v>1</v>
      </c>
      <c r="AG1329" s="36">
        <v>3</v>
      </c>
      <c r="AH1329" s="36"/>
      <c r="AI1329" s="36"/>
      <c r="AJ1329" s="36"/>
      <c r="AK1329" s="36"/>
      <c r="AL1329" s="36"/>
      <c r="AM1329" s="36"/>
      <c r="AN1329" s="36">
        <v>1</v>
      </c>
      <c r="AO1329" s="36">
        <v>1</v>
      </c>
      <c r="AP1329" s="36">
        <v>1</v>
      </c>
      <c r="AQ1329" s="36">
        <v>1</v>
      </c>
      <c r="AR1329" s="36">
        <v>1</v>
      </c>
      <c r="AS1329" s="36">
        <v>1</v>
      </c>
      <c r="AT1329" s="36">
        <v>1</v>
      </c>
      <c r="AU1329" s="36">
        <v>1</v>
      </c>
      <c r="AV1329" s="36">
        <v>1</v>
      </c>
      <c r="AW1329" s="36"/>
      <c r="AX1329" s="36"/>
      <c r="AY1329" s="953"/>
      <c r="AZ1329" s="36"/>
      <c r="BA1329" s="36"/>
      <c r="BB1329" s="36"/>
      <c r="BC1329" s="36"/>
      <c r="BD1329" s="27"/>
      <c r="BF1329">
        <f>ROWS($U$46:U1329)</f>
        <v>1284</v>
      </c>
      <c r="BG1329" t="str">
        <f t="shared" si="226"/>
        <v/>
      </c>
    </row>
    <row r="1330" spans="12:59" x14ac:dyDescent="0.35">
      <c r="L1330"/>
      <c r="O1330" s="330"/>
      <c r="P1330" s="36"/>
      <c r="Q1330" s="36"/>
      <c r="R1330" s="36"/>
      <c r="S1330" s="553">
        <v>16</v>
      </c>
      <c r="T1330" s="36" t="s">
        <v>1970</v>
      </c>
      <c r="U1330" s="36">
        <v>1190973</v>
      </c>
      <c r="V1330" s="956" t="s">
        <v>91</v>
      </c>
      <c r="W1330" s="3">
        <v>1</v>
      </c>
      <c r="X1330" s="36">
        <v>1</v>
      </c>
      <c r="Y1330" s="36">
        <v>1</v>
      </c>
      <c r="Z1330" s="36">
        <v>1</v>
      </c>
      <c r="AA1330" s="36">
        <v>1</v>
      </c>
      <c r="AB1330" s="36">
        <v>1</v>
      </c>
      <c r="AC1330" s="36">
        <v>1</v>
      </c>
      <c r="AD1330" s="36">
        <v>1</v>
      </c>
      <c r="AE1330" s="36">
        <v>1</v>
      </c>
      <c r="AF1330" s="36">
        <v>1</v>
      </c>
      <c r="AG1330" s="36">
        <v>1</v>
      </c>
      <c r="AH1330" s="36">
        <v>1</v>
      </c>
      <c r="AI1330" s="36">
        <v>1</v>
      </c>
      <c r="AJ1330" s="36">
        <v>1</v>
      </c>
      <c r="AK1330" s="36">
        <v>1</v>
      </c>
      <c r="AL1330" s="36">
        <v>3</v>
      </c>
      <c r="AM1330" s="36"/>
      <c r="AN1330" s="36">
        <v>2</v>
      </c>
      <c r="AO1330" s="36">
        <v>2</v>
      </c>
      <c r="AP1330" s="36">
        <v>2</v>
      </c>
      <c r="AQ1330" s="36">
        <v>1</v>
      </c>
      <c r="AR1330" s="36">
        <v>1</v>
      </c>
      <c r="AS1330" s="36">
        <v>1</v>
      </c>
      <c r="AT1330" s="36">
        <v>1</v>
      </c>
      <c r="AU1330" s="36">
        <v>1</v>
      </c>
      <c r="AV1330" s="36">
        <v>1</v>
      </c>
      <c r="AW1330" s="36">
        <v>1</v>
      </c>
      <c r="AX1330" s="36">
        <v>1</v>
      </c>
      <c r="AY1330" s="953">
        <v>1</v>
      </c>
      <c r="AZ1330" s="36">
        <v>1</v>
      </c>
      <c r="BA1330" s="36"/>
      <c r="BB1330" s="36"/>
      <c r="BC1330" s="36"/>
      <c r="BD1330" s="27"/>
      <c r="BF1330">
        <f>ROWS($U$46:U1330)</f>
        <v>1285</v>
      </c>
      <c r="BG1330" t="str">
        <f t="shared" si="226"/>
        <v/>
      </c>
    </row>
    <row r="1331" spans="12:59" x14ac:dyDescent="0.35">
      <c r="L1331"/>
      <c r="O1331" s="330"/>
      <c r="P1331" s="36"/>
      <c r="Q1331" s="36"/>
      <c r="R1331" s="36"/>
      <c r="S1331" s="553">
        <v>16</v>
      </c>
      <c r="T1331" s="36" t="s">
        <v>1970</v>
      </c>
      <c r="U1331" s="36">
        <v>1190973</v>
      </c>
      <c r="V1331" s="956" t="s">
        <v>92</v>
      </c>
      <c r="W1331" s="3">
        <v>1</v>
      </c>
      <c r="X1331" s="36">
        <v>1</v>
      </c>
      <c r="Y1331" s="36">
        <v>1</v>
      </c>
      <c r="Z1331" s="36">
        <v>1</v>
      </c>
      <c r="AA1331" s="36">
        <v>1</v>
      </c>
      <c r="AB1331" s="36">
        <v>1</v>
      </c>
      <c r="AC1331" s="36">
        <v>1</v>
      </c>
      <c r="AD1331" s="36">
        <v>1</v>
      </c>
      <c r="AE1331" s="36">
        <v>1</v>
      </c>
      <c r="AF1331" s="36">
        <v>1</v>
      </c>
      <c r="AG1331" s="36">
        <v>1</v>
      </c>
      <c r="AH1331" s="36">
        <v>3</v>
      </c>
      <c r="AI1331" s="36"/>
      <c r="AJ1331" s="36"/>
      <c r="AK1331" s="36"/>
      <c r="AL1331" s="36"/>
      <c r="AM1331" s="36"/>
      <c r="AN1331" s="36">
        <v>1</v>
      </c>
      <c r="AO1331" s="36">
        <v>1</v>
      </c>
      <c r="AP1331" s="36">
        <v>1</v>
      </c>
      <c r="AQ1331" s="36">
        <v>1</v>
      </c>
      <c r="AR1331" s="36">
        <v>1</v>
      </c>
      <c r="AS1331" s="36">
        <v>1</v>
      </c>
      <c r="AT1331" s="36">
        <v>1</v>
      </c>
      <c r="AU1331" s="36">
        <v>1</v>
      </c>
      <c r="AV1331" s="36">
        <v>1</v>
      </c>
      <c r="AW1331" s="36">
        <v>1</v>
      </c>
      <c r="AX1331" s="36"/>
      <c r="AY1331" s="953"/>
      <c r="AZ1331" s="36"/>
      <c r="BA1331" s="36"/>
      <c r="BB1331" s="36"/>
      <c r="BC1331" s="36"/>
      <c r="BD1331" s="27"/>
      <c r="BF1331">
        <f>ROWS($U$46:U1331)</f>
        <v>1286</v>
      </c>
      <c r="BG1331" t="str">
        <f t="shared" si="226"/>
        <v/>
      </c>
    </row>
    <row r="1332" spans="12:59" ht="15" thickBot="1" x14ac:dyDescent="0.4">
      <c r="L1332"/>
      <c r="O1332" s="331"/>
      <c r="P1332" s="328"/>
      <c r="Q1332" s="328"/>
      <c r="R1332" s="328"/>
      <c r="S1332" s="554">
        <v>16</v>
      </c>
      <c r="T1332" s="328" t="s">
        <v>1970</v>
      </c>
      <c r="U1332" s="328">
        <v>1190973</v>
      </c>
      <c r="V1332" s="957" t="s">
        <v>111</v>
      </c>
      <c r="W1332" s="959">
        <v>1</v>
      </c>
      <c r="X1332" s="486">
        <v>1</v>
      </c>
      <c r="Y1332" s="486">
        <v>1</v>
      </c>
      <c r="Z1332" s="486">
        <v>1</v>
      </c>
      <c r="AA1332" s="486">
        <v>1</v>
      </c>
      <c r="AB1332" s="486">
        <v>1</v>
      </c>
      <c r="AC1332" s="486">
        <v>1</v>
      </c>
      <c r="AD1332" s="486">
        <v>1</v>
      </c>
      <c r="AE1332" s="486">
        <v>1</v>
      </c>
      <c r="AF1332" s="486">
        <v>1</v>
      </c>
      <c r="AG1332" s="486">
        <v>3</v>
      </c>
      <c r="AH1332" s="486"/>
      <c r="AI1332" s="486"/>
      <c r="AJ1332" s="486"/>
      <c r="AK1332" s="486"/>
      <c r="AL1332" s="486"/>
      <c r="AM1332" s="486"/>
      <c r="AN1332" s="486">
        <v>1</v>
      </c>
      <c r="AO1332" s="486">
        <v>1</v>
      </c>
      <c r="AP1332" s="486">
        <v>1</v>
      </c>
      <c r="AQ1332" s="486">
        <v>1</v>
      </c>
      <c r="AR1332" s="486">
        <v>1</v>
      </c>
      <c r="AS1332" s="486">
        <v>1</v>
      </c>
      <c r="AT1332" s="486">
        <v>1</v>
      </c>
      <c r="AU1332" s="486">
        <v>1</v>
      </c>
      <c r="AV1332" s="486">
        <v>1</v>
      </c>
      <c r="AW1332" s="486"/>
      <c r="AX1332" s="486"/>
      <c r="AY1332" s="151"/>
      <c r="AZ1332" s="486"/>
      <c r="BA1332" s="486"/>
      <c r="BB1332" s="486"/>
      <c r="BC1332" s="486"/>
      <c r="BD1332" s="488"/>
      <c r="BF1332">
        <f>ROWS($U$46:U1332)</f>
        <v>1287</v>
      </c>
      <c r="BG1332" t="str">
        <f t="shared" si="226"/>
        <v/>
      </c>
    </row>
    <row r="1333" spans="12:59" ht="15" thickBot="1" x14ac:dyDescent="0.4">
      <c r="L1333"/>
      <c r="O1333" s="329">
        <v>1</v>
      </c>
      <c r="P1333" s="320">
        <v>1145493</v>
      </c>
      <c r="Q1333" s="320">
        <v>16</v>
      </c>
      <c r="R1333" s="320"/>
      <c r="S1333" s="320">
        <v>6.125</v>
      </c>
      <c r="T1333" s="320" t="s">
        <v>1973</v>
      </c>
      <c r="U1333" s="320">
        <v>1201087</v>
      </c>
      <c r="V1333" s="319" t="s">
        <v>87</v>
      </c>
      <c r="W1333" s="36">
        <v>2</v>
      </c>
      <c r="X1333" s="36">
        <v>2</v>
      </c>
      <c r="Y1333" s="36">
        <v>1</v>
      </c>
      <c r="Z1333" s="36">
        <v>1</v>
      </c>
      <c r="AA1333" s="36">
        <v>1</v>
      </c>
      <c r="AB1333" s="36">
        <v>3</v>
      </c>
      <c r="AC1333" s="36"/>
      <c r="AD1333" s="36">
        <v>2</v>
      </c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  <c r="AV1333" s="36"/>
      <c r="AW1333" s="36"/>
      <c r="AX1333" s="36"/>
      <c r="AY1333" s="36"/>
      <c r="AZ1333" s="36"/>
      <c r="BA1333" s="36"/>
      <c r="BB1333" s="36"/>
      <c r="BC1333" s="36"/>
      <c r="BD1333" s="36"/>
      <c r="BF1333">
        <f>ROWS($U$46:U1333)</f>
        <v>1288</v>
      </c>
      <c r="BG1333" t="str">
        <f t="shared" si="226"/>
        <v/>
      </c>
    </row>
    <row r="1334" spans="12:59" ht="15" thickBot="1" x14ac:dyDescent="0.4">
      <c r="L1334"/>
      <c r="O1334" s="330">
        <v>2</v>
      </c>
      <c r="P1334" s="36">
        <v>1165769</v>
      </c>
      <c r="Q1334" s="36">
        <v>8</v>
      </c>
      <c r="R1334" s="36"/>
      <c r="S1334" s="36">
        <v>6.125</v>
      </c>
      <c r="T1334" s="320" t="s">
        <v>1973</v>
      </c>
      <c r="U1334" s="320">
        <v>1201087</v>
      </c>
      <c r="V1334" s="165" t="s">
        <v>88</v>
      </c>
      <c r="W1334" s="36">
        <v>1</v>
      </c>
      <c r="X1334" s="36">
        <v>1</v>
      </c>
      <c r="Y1334" s="36">
        <v>1</v>
      </c>
      <c r="Z1334" s="36">
        <v>3</v>
      </c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  <c r="AV1334" s="36"/>
      <c r="AW1334" s="36"/>
      <c r="AX1334" s="36"/>
      <c r="AY1334" s="36"/>
      <c r="AZ1334" s="36"/>
      <c r="BA1334" s="36"/>
      <c r="BB1334" s="36"/>
      <c r="BC1334" s="36"/>
      <c r="BD1334" s="36"/>
      <c r="BF1334">
        <f>ROWS($U$46:U1334)</f>
        <v>1289</v>
      </c>
      <c r="BG1334" t="str">
        <f t="shared" si="226"/>
        <v/>
      </c>
    </row>
    <row r="1335" spans="12:59" ht="15" thickBot="1" x14ac:dyDescent="0.4">
      <c r="L1335"/>
      <c r="O1335" s="330">
        <v>3</v>
      </c>
      <c r="P1335" s="36">
        <v>871781</v>
      </c>
      <c r="Q1335" s="36">
        <v>5</v>
      </c>
      <c r="R1335" s="36"/>
      <c r="S1335" s="36">
        <v>6.125</v>
      </c>
      <c r="T1335" s="320" t="s">
        <v>1973</v>
      </c>
      <c r="U1335" s="320">
        <v>1201087</v>
      </c>
      <c r="V1335" s="165" t="s">
        <v>89</v>
      </c>
      <c r="W1335" s="36">
        <v>2</v>
      </c>
      <c r="X1335" s="36">
        <v>2</v>
      </c>
      <c r="Y1335" s="36">
        <v>1</v>
      </c>
      <c r="Z1335" s="36">
        <v>1</v>
      </c>
      <c r="AA1335" s="36">
        <v>1</v>
      </c>
      <c r="AB1335" s="36">
        <v>3</v>
      </c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  <c r="AV1335" s="36"/>
      <c r="AW1335" s="36"/>
      <c r="AX1335" s="36"/>
      <c r="AY1335" s="36"/>
      <c r="AZ1335" s="36"/>
      <c r="BA1335" s="36"/>
      <c r="BB1335" s="36"/>
      <c r="BC1335" s="36"/>
      <c r="BD1335" s="36"/>
      <c r="BF1335">
        <f>ROWS($U$46:U1335)</f>
        <v>1290</v>
      </c>
      <c r="BG1335" t="str">
        <f t="shared" si="226"/>
        <v/>
      </c>
    </row>
    <row r="1336" spans="12:59" ht="15" thickBot="1" x14ac:dyDescent="0.4">
      <c r="L1336"/>
      <c r="O1336" s="330"/>
      <c r="P1336" s="36"/>
      <c r="Q1336" s="36"/>
      <c r="R1336" s="36"/>
      <c r="S1336" s="36">
        <v>6.125</v>
      </c>
      <c r="T1336" s="320" t="s">
        <v>1973</v>
      </c>
      <c r="U1336" s="320">
        <v>1201087</v>
      </c>
      <c r="V1336" s="165" t="s">
        <v>90</v>
      </c>
      <c r="W1336" s="36">
        <v>2</v>
      </c>
      <c r="X1336" s="36">
        <v>2</v>
      </c>
      <c r="Y1336" s="36">
        <v>1</v>
      </c>
      <c r="Z1336" s="36">
        <v>1</v>
      </c>
      <c r="AA1336" s="36">
        <v>1</v>
      </c>
      <c r="AB1336" s="36">
        <v>3</v>
      </c>
      <c r="AC1336" s="36"/>
      <c r="AD1336" s="36">
        <v>2</v>
      </c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  <c r="AV1336" s="36"/>
      <c r="AW1336" s="36"/>
      <c r="AX1336" s="36"/>
      <c r="AY1336" s="36"/>
      <c r="AZ1336" s="36"/>
      <c r="BA1336" s="36"/>
      <c r="BB1336" s="36"/>
      <c r="BC1336" s="36"/>
      <c r="BD1336" s="36"/>
      <c r="BF1336">
        <f>ROWS($U$46:U1336)</f>
        <v>1291</v>
      </c>
      <c r="BG1336" t="str">
        <f t="shared" si="226"/>
        <v/>
      </c>
    </row>
    <row r="1337" spans="12:59" ht="15" thickBot="1" x14ac:dyDescent="0.4">
      <c r="L1337"/>
      <c r="O1337" s="331"/>
      <c r="P1337" s="328"/>
      <c r="Q1337" s="328"/>
      <c r="R1337" s="328"/>
      <c r="S1337" s="328">
        <v>6.125</v>
      </c>
      <c r="T1337" s="320" t="s">
        <v>1973</v>
      </c>
      <c r="U1337" s="320">
        <v>1201087</v>
      </c>
      <c r="V1337" s="327" t="s">
        <v>91</v>
      </c>
      <c r="W1337" s="36">
        <v>1</v>
      </c>
      <c r="X1337" s="36">
        <v>1</v>
      </c>
      <c r="Y1337" s="36">
        <v>1</v>
      </c>
      <c r="Z1337" s="36">
        <v>1</v>
      </c>
      <c r="AA1337" s="36">
        <v>3</v>
      </c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  <c r="AV1337" s="36"/>
      <c r="AW1337" s="36"/>
      <c r="AX1337" s="36"/>
      <c r="AY1337" s="36"/>
      <c r="AZ1337" s="36"/>
      <c r="BA1337" s="36"/>
      <c r="BB1337" s="36"/>
      <c r="BC1337" s="36"/>
      <c r="BD1337" s="36"/>
      <c r="BF1337">
        <f>ROWS($U$46:U1337)</f>
        <v>1292</v>
      </c>
      <c r="BG1337" t="str">
        <f t="shared" si="226"/>
        <v/>
      </c>
    </row>
    <row r="1338" spans="12:59" ht="15" thickBot="1" x14ac:dyDescent="0.4">
      <c r="L1338"/>
      <c r="O1338" s="329">
        <v>1</v>
      </c>
      <c r="P1338" s="320">
        <v>1039033</v>
      </c>
      <c r="Q1338" s="320">
        <v>21</v>
      </c>
      <c r="R1338" s="320"/>
      <c r="S1338" s="552">
        <v>5.875</v>
      </c>
      <c r="T1338" s="320" t="s">
        <v>1858</v>
      </c>
      <c r="U1338" s="320">
        <v>1207508</v>
      </c>
      <c r="V1338" s="319" t="s">
        <v>87</v>
      </c>
      <c r="W1338" s="320">
        <v>3</v>
      </c>
      <c r="X1338" s="320">
        <v>3</v>
      </c>
      <c r="Y1338" s="320">
        <v>3</v>
      </c>
      <c r="Z1338" s="320">
        <v>4</v>
      </c>
      <c r="AA1338" s="320">
        <v>6</v>
      </c>
      <c r="AB1338" s="320">
        <v>2</v>
      </c>
      <c r="AC1338" s="320">
        <v>2</v>
      </c>
      <c r="AD1338" s="320">
        <v>5</v>
      </c>
      <c r="AE1338" s="320"/>
      <c r="AF1338" s="320">
        <v>1</v>
      </c>
      <c r="AG1338" s="320">
        <v>1</v>
      </c>
      <c r="AH1338" s="320">
        <v>1</v>
      </c>
      <c r="AI1338" s="320"/>
      <c r="AJ1338" s="320"/>
      <c r="AK1338" s="320"/>
      <c r="AL1338" s="320"/>
      <c r="AM1338" s="320"/>
      <c r="AN1338" s="320"/>
      <c r="AO1338" s="320"/>
      <c r="AP1338" s="320"/>
      <c r="AQ1338" s="320"/>
      <c r="AR1338" s="320"/>
      <c r="AS1338" s="320"/>
      <c r="AT1338" s="320"/>
      <c r="AU1338" s="320"/>
      <c r="AV1338" s="320"/>
      <c r="AW1338" s="320"/>
      <c r="AX1338" s="320"/>
      <c r="AY1338" s="952"/>
      <c r="AZ1338" s="320"/>
      <c r="BA1338" s="320"/>
      <c r="BB1338" s="320"/>
      <c r="BC1338" s="320"/>
      <c r="BD1338" s="119"/>
      <c r="BF1338">
        <f>ROWS($U$46:U1338)</f>
        <v>1293</v>
      </c>
      <c r="BG1338" t="str">
        <f t="shared" si="226"/>
        <v/>
      </c>
    </row>
    <row r="1339" spans="12:59" ht="15" thickBot="1" x14ac:dyDescent="0.4">
      <c r="L1339"/>
      <c r="O1339" s="330">
        <v>2</v>
      </c>
      <c r="P1339" s="36">
        <v>1039036</v>
      </c>
      <c r="Q1339" s="36">
        <v>12</v>
      </c>
      <c r="R1339" s="36"/>
      <c r="S1339" s="552">
        <v>5.875</v>
      </c>
      <c r="T1339" s="36" t="s">
        <v>1858</v>
      </c>
      <c r="U1339" s="36">
        <v>1207508</v>
      </c>
      <c r="V1339" s="165" t="s">
        <v>88</v>
      </c>
      <c r="W1339" s="36">
        <v>4</v>
      </c>
      <c r="X1339" s="36">
        <v>3</v>
      </c>
      <c r="Y1339" s="36">
        <v>6</v>
      </c>
      <c r="Z1339" s="36">
        <v>2</v>
      </c>
      <c r="AA1339" s="36">
        <v>2</v>
      </c>
      <c r="AB1339" s="36">
        <v>5</v>
      </c>
      <c r="AC1339" s="36"/>
      <c r="AD1339" s="36"/>
      <c r="AE1339" s="36"/>
      <c r="AF1339" s="36">
        <v>1</v>
      </c>
      <c r="AG1339" s="36">
        <v>1</v>
      </c>
      <c r="AH1339" s="36">
        <v>1</v>
      </c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  <c r="AV1339" s="36"/>
      <c r="AW1339" s="36"/>
      <c r="AX1339" s="36"/>
      <c r="AY1339" s="953"/>
      <c r="AZ1339" s="36"/>
      <c r="BA1339" s="36"/>
      <c r="BB1339" s="36"/>
      <c r="BC1339" s="36"/>
      <c r="BD1339" s="27"/>
      <c r="BF1339">
        <f>ROWS($U$46:U1339)</f>
        <v>1294</v>
      </c>
      <c r="BG1339" t="str">
        <f t="shared" si="226"/>
        <v/>
      </c>
    </row>
    <row r="1340" spans="12:59" ht="15" thickBot="1" x14ac:dyDescent="0.4">
      <c r="L1340"/>
      <c r="O1340" s="330">
        <v>3</v>
      </c>
      <c r="P1340" s="36">
        <v>1039034</v>
      </c>
      <c r="Q1340" s="36">
        <v>10</v>
      </c>
      <c r="R1340" s="36"/>
      <c r="S1340" s="552">
        <v>5.875</v>
      </c>
      <c r="T1340" s="36" t="s">
        <v>1858</v>
      </c>
      <c r="U1340" s="36">
        <v>1207508</v>
      </c>
      <c r="V1340" s="165" t="s">
        <v>89</v>
      </c>
      <c r="W1340" s="36">
        <v>3</v>
      </c>
      <c r="X1340" s="36">
        <v>3</v>
      </c>
      <c r="Y1340" s="36">
        <v>4</v>
      </c>
      <c r="Z1340" s="36">
        <v>6</v>
      </c>
      <c r="AA1340" s="36">
        <v>2</v>
      </c>
      <c r="AB1340" s="36">
        <v>2</v>
      </c>
      <c r="AC1340" s="36">
        <v>5</v>
      </c>
      <c r="AD1340" s="36"/>
      <c r="AE1340" s="36"/>
      <c r="AF1340" s="36">
        <v>1</v>
      </c>
      <c r="AG1340" s="36">
        <v>1</v>
      </c>
      <c r="AH1340" s="36">
        <v>1</v>
      </c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  <c r="AV1340" s="36"/>
      <c r="AW1340" s="36"/>
      <c r="AX1340" s="36"/>
      <c r="AY1340" s="953"/>
      <c r="AZ1340" s="36"/>
      <c r="BA1340" s="36"/>
      <c r="BB1340" s="36"/>
      <c r="BC1340" s="36"/>
      <c r="BD1340" s="27"/>
      <c r="BF1340">
        <f>ROWS($U$46:U1340)</f>
        <v>1295</v>
      </c>
      <c r="BG1340" t="str">
        <f t="shared" si="226"/>
        <v/>
      </c>
    </row>
    <row r="1341" spans="12:59" ht="15" thickBot="1" x14ac:dyDescent="0.4">
      <c r="L1341"/>
      <c r="O1341" s="960">
        <v>4</v>
      </c>
      <c r="P1341" s="36">
        <v>1039058</v>
      </c>
      <c r="Q1341" s="961">
        <v>8</v>
      </c>
      <c r="R1341" s="36"/>
      <c r="S1341" s="552">
        <v>5.875</v>
      </c>
      <c r="T1341" s="36" t="s">
        <v>1858</v>
      </c>
      <c r="U1341" s="36">
        <v>1207508</v>
      </c>
      <c r="V1341" s="165" t="s">
        <v>90</v>
      </c>
      <c r="W1341" s="36">
        <v>4</v>
      </c>
      <c r="X1341" s="36">
        <v>6</v>
      </c>
      <c r="Y1341" s="36">
        <v>2</v>
      </c>
      <c r="Z1341" s="36">
        <v>2</v>
      </c>
      <c r="AA1341" s="36">
        <v>5</v>
      </c>
      <c r="AB1341" s="36"/>
      <c r="AC1341" s="36"/>
      <c r="AD1341" s="36"/>
      <c r="AE1341" s="36"/>
      <c r="AF1341" s="36">
        <v>1</v>
      </c>
      <c r="AG1341" s="36">
        <v>1</v>
      </c>
      <c r="AH1341" s="36">
        <v>1</v>
      </c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  <c r="AV1341" s="36"/>
      <c r="AW1341" s="36"/>
      <c r="AX1341" s="36"/>
      <c r="AY1341" s="953"/>
      <c r="AZ1341" s="36"/>
      <c r="BA1341" s="36"/>
      <c r="BB1341" s="36"/>
      <c r="BC1341" s="36"/>
      <c r="BD1341" s="27"/>
      <c r="BF1341">
        <f>ROWS($U$46:U1341)</f>
        <v>1296</v>
      </c>
      <c r="BG1341" t="str">
        <f t="shared" si="226"/>
        <v/>
      </c>
    </row>
    <row r="1342" spans="12:59" ht="15" thickBot="1" x14ac:dyDescent="0.4">
      <c r="L1342"/>
      <c r="O1342" s="960">
        <v>5</v>
      </c>
      <c r="P1342" s="36">
        <v>418525</v>
      </c>
      <c r="Q1342" s="961">
        <v>7</v>
      </c>
      <c r="R1342" s="36"/>
      <c r="S1342" s="552">
        <v>5.875</v>
      </c>
      <c r="T1342" s="36" t="s">
        <v>1858</v>
      </c>
      <c r="U1342" s="36">
        <v>1207508</v>
      </c>
      <c r="V1342" s="165" t="s">
        <v>91</v>
      </c>
      <c r="W1342" s="36">
        <v>3</v>
      </c>
      <c r="X1342" s="36">
        <v>3</v>
      </c>
      <c r="Y1342" s="36">
        <v>4</v>
      </c>
      <c r="Z1342" s="36">
        <v>4</v>
      </c>
      <c r="AA1342" s="36">
        <v>2</v>
      </c>
      <c r="AB1342" s="36">
        <v>2</v>
      </c>
      <c r="AC1342" s="36">
        <v>5</v>
      </c>
      <c r="AD1342" s="36"/>
      <c r="AE1342" s="36"/>
      <c r="AF1342" s="36">
        <v>1</v>
      </c>
      <c r="AG1342" s="36">
        <v>1</v>
      </c>
      <c r="AH1342" s="36">
        <v>1</v>
      </c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  <c r="AV1342" s="36"/>
      <c r="AW1342" s="36"/>
      <c r="AX1342" s="36"/>
      <c r="AY1342" s="953"/>
      <c r="AZ1342" s="36"/>
      <c r="BA1342" s="36"/>
      <c r="BB1342" s="36"/>
      <c r="BC1342" s="36"/>
      <c r="BD1342" s="27"/>
      <c r="BF1342">
        <f>ROWS($U$46:U1342)</f>
        <v>1297</v>
      </c>
      <c r="BG1342" t="str">
        <f t="shared" si="226"/>
        <v/>
      </c>
    </row>
    <row r="1343" spans="12:59" ht="15" thickBot="1" x14ac:dyDescent="0.4">
      <c r="L1343"/>
      <c r="O1343" s="960">
        <v>6</v>
      </c>
      <c r="P1343" s="36">
        <v>1039060</v>
      </c>
      <c r="Q1343" s="961">
        <v>6</v>
      </c>
      <c r="R1343" s="36"/>
      <c r="S1343" s="552">
        <v>5.875</v>
      </c>
      <c r="T1343" s="36" t="s">
        <v>1858</v>
      </c>
      <c r="U1343" s="36">
        <v>1207508</v>
      </c>
      <c r="V1343" s="165" t="s">
        <v>92</v>
      </c>
      <c r="W1343" s="36">
        <v>4</v>
      </c>
      <c r="X1343" s="36">
        <v>3</v>
      </c>
      <c r="Y1343" s="36">
        <v>6</v>
      </c>
      <c r="Z1343" s="36">
        <v>2</v>
      </c>
      <c r="AA1343" s="36">
        <v>5</v>
      </c>
      <c r="AB1343" s="36"/>
      <c r="AC1343" s="36"/>
      <c r="AD1343" s="36"/>
      <c r="AE1343" s="36"/>
      <c r="AF1343" s="36">
        <v>1</v>
      </c>
      <c r="AG1343" s="36">
        <v>1</v>
      </c>
      <c r="AH1343" s="36">
        <v>1</v>
      </c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  <c r="AV1343" s="36"/>
      <c r="AW1343" s="36"/>
      <c r="AX1343" s="36"/>
      <c r="AY1343" s="953"/>
      <c r="AZ1343" s="36"/>
      <c r="BA1343" s="36"/>
      <c r="BB1343" s="36"/>
      <c r="BC1343" s="36"/>
      <c r="BD1343" s="27"/>
      <c r="BF1343">
        <f>ROWS($U$46:U1343)</f>
        <v>1298</v>
      </c>
      <c r="BG1343" t="str">
        <f t="shared" si="226"/>
        <v/>
      </c>
    </row>
    <row r="1344" spans="12:59" ht="15" thickBot="1" x14ac:dyDescent="0.4">
      <c r="L1344"/>
      <c r="O1344" s="331"/>
      <c r="P1344" s="328"/>
      <c r="Q1344" s="328"/>
      <c r="R1344" s="954"/>
      <c r="S1344" s="963">
        <v>5.875</v>
      </c>
      <c r="T1344" s="962" t="s">
        <v>1858</v>
      </c>
      <c r="U1344" s="328">
        <v>1207508</v>
      </c>
      <c r="V1344" s="327" t="s">
        <v>111</v>
      </c>
      <c r="W1344" s="328">
        <v>4</v>
      </c>
      <c r="X1344" s="328">
        <v>3</v>
      </c>
      <c r="Y1344" s="328">
        <v>6</v>
      </c>
      <c r="Z1344" s="328">
        <v>2</v>
      </c>
      <c r="AA1344" s="328">
        <v>5</v>
      </c>
      <c r="AB1344" s="328"/>
      <c r="AC1344" s="328"/>
      <c r="AD1344" s="328"/>
      <c r="AE1344" s="328"/>
      <c r="AF1344" s="328">
        <v>1</v>
      </c>
      <c r="AG1344" s="328">
        <v>1</v>
      </c>
      <c r="AH1344" s="328">
        <v>1</v>
      </c>
      <c r="AI1344" s="328"/>
      <c r="AJ1344" s="328"/>
      <c r="AK1344" s="328"/>
      <c r="AL1344" s="328"/>
      <c r="AM1344" s="328"/>
      <c r="AN1344" s="328"/>
      <c r="AO1344" s="328"/>
      <c r="AP1344" s="328"/>
      <c r="AQ1344" s="328"/>
      <c r="AR1344" s="328"/>
      <c r="AS1344" s="328"/>
      <c r="AT1344" s="328"/>
      <c r="AU1344" s="328"/>
      <c r="AV1344" s="328"/>
      <c r="AW1344" s="328"/>
      <c r="AX1344" s="328"/>
      <c r="AY1344" s="954"/>
      <c r="AZ1344" s="328"/>
      <c r="BA1344" s="328"/>
      <c r="BB1344" s="328"/>
      <c r="BC1344" s="328"/>
      <c r="BD1344" s="31"/>
      <c r="BF1344">
        <f>ROWS($U$46:U1344)</f>
        <v>1299</v>
      </c>
      <c r="BG1344" t="str">
        <f t="shared" si="226"/>
        <v/>
      </c>
    </row>
    <row r="1345" spans="12:59" ht="15" thickBot="1" x14ac:dyDescent="0.4">
      <c r="L1345"/>
      <c r="O1345" s="329">
        <v>1</v>
      </c>
      <c r="P1345" s="320">
        <v>1039034</v>
      </c>
      <c r="Q1345" s="320">
        <v>32</v>
      </c>
      <c r="R1345" s="320"/>
      <c r="S1345" s="552">
        <v>8.375</v>
      </c>
      <c r="T1345" s="320" t="s">
        <v>1180</v>
      </c>
      <c r="U1345" s="320">
        <v>1083599</v>
      </c>
      <c r="V1345" s="319" t="s">
        <v>87</v>
      </c>
      <c r="W1345" s="320">
        <v>3</v>
      </c>
      <c r="X1345" s="320">
        <v>3</v>
      </c>
      <c r="Y1345" s="320">
        <v>3</v>
      </c>
      <c r="Z1345" s="320">
        <v>3</v>
      </c>
      <c r="AA1345" s="320">
        <v>1</v>
      </c>
      <c r="AB1345" s="320">
        <v>1</v>
      </c>
      <c r="AC1345" s="320">
        <v>1</v>
      </c>
      <c r="AD1345" s="320">
        <v>1</v>
      </c>
      <c r="AE1345" s="320">
        <v>4</v>
      </c>
      <c r="AF1345" s="320"/>
      <c r="AG1345" s="320">
        <v>2</v>
      </c>
      <c r="AH1345" s="320">
        <v>2</v>
      </c>
      <c r="AI1345" s="320">
        <v>2</v>
      </c>
      <c r="AJ1345" s="320">
        <v>2</v>
      </c>
      <c r="AK1345" s="320"/>
      <c r="AL1345" s="320"/>
      <c r="AM1345" s="320"/>
      <c r="AN1345" s="320"/>
      <c r="AO1345" s="320"/>
      <c r="AP1345" s="320"/>
      <c r="AQ1345" s="320"/>
      <c r="AR1345" s="320"/>
      <c r="AS1345" s="320"/>
      <c r="AT1345" s="320"/>
      <c r="AU1345" s="320"/>
      <c r="AV1345" s="320"/>
      <c r="AW1345" s="320"/>
      <c r="AX1345" s="320"/>
      <c r="AY1345" s="952"/>
      <c r="AZ1345" s="320"/>
      <c r="BA1345" s="320"/>
      <c r="BB1345" s="320"/>
      <c r="BC1345" s="320"/>
      <c r="BD1345" s="119"/>
      <c r="BF1345">
        <f>ROWS($U$46:U1345)</f>
        <v>1300</v>
      </c>
      <c r="BG1345" t="str">
        <f t="shared" si="226"/>
        <v/>
      </c>
    </row>
    <row r="1346" spans="12:59" ht="15" thickBot="1" x14ac:dyDescent="0.4">
      <c r="L1346"/>
      <c r="O1346" s="330">
        <v>2</v>
      </c>
      <c r="P1346" s="36">
        <v>1039033</v>
      </c>
      <c r="Q1346" s="36">
        <v>28</v>
      </c>
      <c r="R1346" s="36"/>
      <c r="S1346" s="552">
        <v>8.375</v>
      </c>
      <c r="T1346" s="320" t="s">
        <v>1180</v>
      </c>
      <c r="U1346" s="320">
        <v>1083599</v>
      </c>
      <c r="V1346" s="165" t="s">
        <v>88</v>
      </c>
      <c r="W1346" s="36">
        <v>3</v>
      </c>
      <c r="X1346" s="36">
        <v>1</v>
      </c>
      <c r="Y1346" s="36">
        <v>1</v>
      </c>
      <c r="Z1346" s="36">
        <v>1</v>
      </c>
      <c r="AA1346" s="36">
        <v>1</v>
      </c>
      <c r="AB1346" s="36">
        <v>1</v>
      </c>
      <c r="AC1346" s="36">
        <v>4</v>
      </c>
      <c r="AD1346" s="36"/>
      <c r="AE1346" s="36"/>
      <c r="AF1346" s="36"/>
      <c r="AG1346" s="36">
        <v>2</v>
      </c>
      <c r="AH1346" s="36">
        <v>2</v>
      </c>
      <c r="AI1346" s="36">
        <v>2</v>
      </c>
      <c r="AJ1346" s="36">
        <v>2</v>
      </c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  <c r="AV1346" s="36"/>
      <c r="AW1346" s="36"/>
      <c r="AX1346" s="36"/>
      <c r="AY1346" s="953"/>
      <c r="AZ1346" s="36"/>
      <c r="BA1346" s="36"/>
      <c r="BB1346" s="36"/>
      <c r="BC1346" s="36"/>
      <c r="BD1346" s="27"/>
      <c r="BF1346">
        <f>ROWS($U$46:U1346)</f>
        <v>1301</v>
      </c>
      <c r="BG1346" t="str">
        <f t="shared" si="226"/>
        <v/>
      </c>
    </row>
    <row r="1347" spans="12:59" ht="15" thickBot="1" x14ac:dyDescent="0.4">
      <c r="L1347"/>
      <c r="O1347" s="330">
        <v>3</v>
      </c>
      <c r="P1347" s="36">
        <v>1039058</v>
      </c>
      <c r="Q1347" s="36">
        <v>15</v>
      </c>
      <c r="R1347" s="36"/>
      <c r="S1347" s="552">
        <v>8.375</v>
      </c>
      <c r="T1347" s="320" t="s">
        <v>1180</v>
      </c>
      <c r="U1347" s="320">
        <v>1083599</v>
      </c>
      <c r="V1347" s="165" t="s">
        <v>89</v>
      </c>
      <c r="W1347" s="36">
        <v>3</v>
      </c>
      <c r="X1347" s="36">
        <v>3</v>
      </c>
      <c r="Y1347" s="36">
        <v>3</v>
      </c>
      <c r="Z1347" s="36">
        <v>1</v>
      </c>
      <c r="AA1347" s="36">
        <v>1</v>
      </c>
      <c r="AB1347" s="36">
        <v>1</v>
      </c>
      <c r="AC1347" s="36">
        <v>1</v>
      </c>
      <c r="AD1347" s="36">
        <v>1</v>
      </c>
      <c r="AE1347" s="36">
        <v>4</v>
      </c>
      <c r="AF1347" s="36"/>
      <c r="AG1347" s="36">
        <v>2</v>
      </c>
      <c r="AH1347" s="36">
        <v>2</v>
      </c>
      <c r="AI1347" s="36">
        <v>2</v>
      </c>
      <c r="AJ1347" s="36">
        <v>2</v>
      </c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  <c r="AV1347" s="36"/>
      <c r="AW1347" s="36"/>
      <c r="AX1347" s="36"/>
      <c r="AY1347" s="953"/>
      <c r="AZ1347" s="36"/>
      <c r="BA1347" s="36"/>
      <c r="BB1347" s="36"/>
      <c r="BC1347" s="36"/>
      <c r="BD1347" s="27"/>
      <c r="BF1347">
        <f>ROWS($U$46:U1347)</f>
        <v>1302</v>
      </c>
      <c r="BG1347" t="str">
        <f t="shared" si="226"/>
        <v/>
      </c>
    </row>
    <row r="1348" spans="12:59" ht="15" thickBot="1" x14ac:dyDescent="0.4">
      <c r="L1348"/>
      <c r="O1348" s="960">
        <v>4</v>
      </c>
      <c r="P1348" s="36">
        <v>418525</v>
      </c>
      <c r="Q1348" s="961">
        <v>7</v>
      </c>
      <c r="R1348" s="36"/>
      <c r="S1348" s="552">
        <v>8.375</v>
      </c>
      <c r="T1348" s="320" t="s">
        <v>1180</v>
      </c>
      <c r="U1348" s="320">
        <v>1083599</v>
      </c>
      <c r="V1348" s="165" t="s">
        <v>90</v>
      </c>
      <c r="W1348" s="36">
        <v>3</v>
      </c>
      <c r="X1348" s="36">
        <v>1</v>
      </c>
      <c r="Y1348" s="36">
        <v>1</v>
      </c>
      <c r="Z1348" s="36">
        <v>1</v>
      </c>
      <c r="AA1348" s="36">
        <v>1</v>
      </c>
      <c r="AB1348" s="36">
        <v>1</v>
      </c>
      <c r="AC1348" s="36">
        <v>4</v>
      </c>
      <c r="AD1348" s="36"/>
      <c r="AE1348" s="36"/>
      <c r="AF1348" s="36"/>
      <c r="AG1348" s="36">
        <v>2</v>
      </c>
      <c r="AH1348" s="36">
        <v>2</v>
      </c>
      <c r="AI1348" s="36">
        <v>2</v>
      </c>
      <c r="AJ1348" s="36">
        <v>2</v>
      </c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  <c r="AV1348" s="36"/>
      <c r="AW1348" s="36"/>
      <c r="AX1348" s="36"/>
      <c r="AY1348" s="953"/>
      <c r="AZ1348" s="36"/>
      <c r="BA1348" s="36"/>
      <c r="BB1348" s="36"/>
      <c r="BC1348" s="36"/>
      <c r="BD1348" s="27"/>
      <c r="BF1348">
        <f>ROWS($U$46:U1348)</f>
        <v>1303</v>
      </c>
      <c r="BG1348" t="str">
        <f t="shared" si="226"/>
        <v/>
      </c>
    </row>
    <row r="1349" spans="12:59" ht="15" thickBot="1" x14ac:dyDescent="0.4">
      <c r="L1349"/>
      <c r="O1349" s="960"/>
      <c r="P1349" s="36"/>
      <c r="Q1349" s="961"/>
      <c r="R1349" s="36"/>
      <c r="S1349" s="552">
        <v>8.375</v>
      </c>
      <c r="T1349" s="320" t="s">
        <v>1180</v>
      </c>
      <c r="U1349" s="320">
        <v>1083599</v>
      </c>
      <c r="V1349" s="165" t="s">
        <v>91</v>
      </c>
      <c r="W1349" s="36">
        <v>3</v>
      </c>
      <c r="X1349" s="36">
        <v>3</v>
      </c>
      <c r="Y1349" s="36">
        <v>3</v>
      </c>
      <c r="Z1349" s="36">
        <v>1</v>
      </c>
      <c r="AA1349" s="36">
        <v>1</v>
      </c>
      <c r="AB1349" s="36">
        <v>1</v>
      </c>
      <c r="AC1349" s="36">
        <v>1</v>
      </c>
      <c r="AD1349" s="36">
        <v>1</v>
      </c>
      <c r="AE1349" s="36">
        <v>4</v>
      </c>
      <c r="AF1349" s="36"/>
      <c r="AG1349" s="36">
        <v>2</v>
      </c>
      <c r="AH1349" s="36">
        <v>2</v>
      </c>
      <c r="AI1349" s="36">
        <v>2</v>
      </c>
      <c r="AJ1349" s="36">
        <v>2</v>
      </c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  <c r="AV1349" s="36"/>
      <c r="AW1349" s="36"/>
      <c r="AX1349" s="36"/>
      <c r="AY1349" s="953"/>
      <c r="AZ1349" s="36"/>
      <c r="BA1349" s="36"/>
      <c r="BB1349" s="36"/>
      <c r="BC1349" s="36"/>
      <c r="BD1349" s="27"/>
      <c r="BF1349">
        <f>ROWS($U$46:U1349)</f>
        <v>1304</v>
      </c>
      <c r="BG1349" t="str">
        <f t="shared" si="226"/>
        <v/>
      </c>
    </row>
    <row r="1350" spans="12:59" ht="15" thickBot="1" x14ac:dyDescent="0.4">
      <c r="O1350" s="960"/>
      <c r="P1350" s="36"/>
      <c r="Q1350" s="961"/>
      <c r="R1350" s="36"/>
      <c r="S1350" s="552">
        <v>8.375</v>
      </c>
      <c r="T1350" s="320" t="s">
        <v>1180</v>
      </c>
      <c r="U1350" s="320">
        <v>1083599</v>
      </c>
      <c r="V1350" s="165" t="s">
        <v>92</v>
      </c>
      <c r="W1350" s="36">
        <v>3</v>
      </c>
      <c r="X1350" s="36">
        <v>3</v>
      </c>
      <c r="Y1350" s="36">
        <v>1</v>
      </c>
      <c r="Z1350" s="36">
        <v>1</v>
      </c>
      <c r="AA1350" s="36">
        <v>1</v>
      </c>
      <c r="AB1350" s="36">
        <v>1</v>
      </c>
      <c r="AC1350" s="36">
        <v>4</v>
      </c>
      <c r="AD1350" s="36"/>
      <c r="AE1350" s="36"/>
      <c r="AF1350" s="36"/>
      <c r="AG1350" s="36">
        <v>2</v>
      </c>
      <c r="AH1350" s="36">
        <v>2</v>
      </c>
      <c r="AI1350" s="36">
        <v>2</v>
      </c>
      <c r="AJ1350" s="36">
        <v>2</v>
      </c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  <c r="AV1350" s="36"/>
      <c r="AW1350" s="36"/>
      <c r="AX1350" s="36"/>
      <c r="AY1350" s="953"/>
      <c r="AZ1350" s="36"/>
      <c r="BA1350" s="36"/>
      <c r="BB1350" s="36"/>
      <c r="BC1350" s="36"/>
      <c r="BD1350" s="27"/>
      <c r="BF1350">
        <f>ROWS($U$46:U1350)</f>
        <v>1305</v>
      </c>
      <c r="BG1350" t="str">
        <f t="shared" si="226"/>
        <v/>
      </c>
    </row>
    <row r="1351" spans="12:59" ht="15" thickBot="1" x14ac:dyDescent="0.4">
      <c r="O1351" s="485"/>
      <c r="P1351" s="486"/>
      <c r="Q1351" s="486"/>
      <c r="R1351" s="151"/>
      <c r="S1351" s="964">
        <v>8.375</v>
      </c>
      <c r="T1351" s="965" t="s">
        <v>1180</v>
      </c>
      <c r="U1351" s="965">
        <v>1083599</v>
      </c>
      <c r="V1351" s="487" t="s">
        <v>111</v>
      </c>
      <c r="W1351" s="486">
        <v>3</v>
      </c>
      <c r="X1351" s="486">
        <v>1</v>
      </c>
      <c r="Y1351" s="486">
        <v>1</v>
      </c>
      <c r="Z1351" s="486">
        <v>1</v>
      </c>
      <c r="AA1351" s="486">
        <v>1</v>
      </c>
      <c r="AB1351" s="486">
        <v>4</v>
      </c>
      <c r="AC1351" s="486"/>
      <c r="AD1351" s="486"/>
      <c r="AE1351" s="486"/>
      <c r="AF1351" s="486"/>
      <c r="AG1351" s="486">
        <v>2</v>
      </c>
      <c r="AH1351" s="486">
        <v>2</v>
      </c>
      <c r="AI1351" s="486">
        <v>2</v>
      </c>
      <c r="AJ1351" s="486">
        <v>2</v>
      </c>
      <c r="AK1351" s="486"/>
      <c r="AL1351" s="486"/>
      <c r="AM1351" s="486"/>
      <c r="AN1351" s="486"/>
      <c r="AO1351" s="486"/>
      <c r="AP1351" s="486"/>
      <c r="AQ1351" s="486"/>
      <c r="AR1351" s="486"/>
      <c r="AS1351" s="486"/>
      <c r="AT1351" s="486"/>
      <c r="AU1351" s="486"/>
      <c r="AV1351" s="486"/>
      <c r="AW1351" s="486"/>
      <c r="AX1351" s="486"/>
      <c r="AY1351" s="151"/>
      <c r="AZ1351" s="486"/>
      <c r="BA1351" s="486"/>
      <c r="BB1351" s="486"/>
      <c r="BC1351" s="486"/>
      <c r="BD1351" s="488"/>
      <c r="BF1351">
        <f>ROWS($U$46:U1351)</f>
        <v>1306</v>
      </c>
      <c r="BG1351" t="str">
        <f t="shared" si="226"/>
        <v/>
      </c>
    </row>
    <row r="1352" spans="12:59" x14ac:dyDescent="0.35">
      <c r="O1352" s="329">
        <v>1</v>
      </c>
      <c r="P1352" s="320">
        <v>1181761</v>
      </c>
      <c r="Q1352" s="320">
        <v>21</v>
      </c>
      <c r="R1352" s="320"/>
      <c r="S1352" s="320">
        <v>28</v>
      </c>
      <c r="T1352" s="320" t="s">
        <v>1858</v>
      </c>
      <c r="U1352" s="320">
        <v>1212043</v>
      </c>
      <c r="V1352" s="319" t="s">
        <v>87</v>
      </c>
      <c r="W1352" s="320">
        <v>4</v>
      </c>
      <c r="X1352" s="320">
        <v>4</v>
      </c>
      <c r="Y1352" s="320">
        <v>1</v>
      </c>
      <c r="Z1352" s="320">
        <v>1</v>
      </c>
      <c r="AA1352" s="320">
        <v>1</v>
      </c>
      <c r="AB1352" s="320">
        <v>9</v>
      </c>
      <c r="AC1352" s="320">
        <v>3</v>
      </c>
      <c r="AD1352" s="320">
        <v>7</v>
      </c>
      <c r="AE1352" s="320"/>
      <c r="AF1352" s="320">
        <v>2</v>
      </c>
      <c r="AG1352" s="320">
        <v>2</v>
      </c>
      <c r="AH1352" s="320"/>
      <c r="AI1352" s="320"/>
      <c r="AJ1352" s="320"/>
      <c r="AK1352" s="320"/>
      <c r="AL1352" s="320"/>
      <c r="AM1352" s="320"/>
      <c r="AN1352" s="320"/>
      <c r="AO1352" s="320"/>
      <c r="AP1352" s="320"/>
      <c r="AQ1352" s="320"/>
      <c r="AR1352" s="320"/>
      <c r="AS1352" s="320"/>
      <c r="AT1352" s="320"/>
      <c r="AU1352" s="320"/>
      <c r="AV1352" s="320"/>
      <c r="AW1352" s="320"/>
      <c r="AX1352" s="320"/>
      <c r="AY1352" s="320"/>
      <c r="AZ1352" s="320"/>
      <c r="BA1352" s="320"/>
      <c r="BB1352" s="320"/>
      <c r="BC1352" s="320"/>
      <c r="BD1352" s="119"/>
      <c r="BF1352">
        <f>ROWS($U$46:U1352)</f>
        <v>1307</v>
      </c>
      <c r="BG1352" t="str">
        <f t="shared" si="226"/>
        <v/>
      </c>
    </row>
    <row r="1353" spans="12:59" x14ac:dyDescent="0.35">
      <c r="O1353" s="330">
        <v>2</v>
      </c>
      <c r="P1353" s="36">
        <v>1039057</v>
      </c>
      <c r="Q1353" s="36">
        <v>12</v>
      </c>
      <c r="R1353" s="36"/>
      <c r="S1353" s="36">
        <v>28</v>
      </c>
      <c r="T1353" s="36" t="s">
        <v>1858</v>
      </c>
      <c r="U1353" s="36">
        <v>1212043</v>
      </c>
      <c r="V1353" s="165" t="s">
        <v>88</v>
      </c>
      <c r="W1353" s="36">
        <v>1</v>
      </c>
      <c r="X1353" s="36">
        <v>1</v>
      </c>
      <c r="Y1353" s="36">
        <v>1</v>
      </c>
      <c r="Z1353" s="36">
        <v>9</v>
      </c>
      <c r="AA1353" s="36">
        <v>3</v>
      </c>
      <c r="AB1353" s="36">
        <v>6</v>
      </c>
      <c r="AC1353" s="36"/>
      <c r="AD1353" s="36"/>
      <c r="AE1353" s="36"/>
      <c r="AF1353" s="36">
        <v>2</v>
      </c>
      <c r="AG1353" s="36">
        <v>2</v>
      </c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  <c r="AV1353" s="36"/>
      <c r="AW1353" s="36"/>
      <c r="AX1353" s="36"/>
      <c r="AY1353" s="36"/>
      <c r="AZ1353" s="36"/>
      <c r="BA1353" s="36"/>
      <c r="BB1353" s="36"/>
      <c r="BC1353" s="36"/>
      <c r="BD1353" s="27"/>
      <c r="BF1353">
        <f>ROWS($U$46:U1353)</f>
        <v>1308</v>
      </c>
      <c r="BG1353" t="str">
        <f t="shared" si="226"/>
        <v/>
      </c>
    </row>
    <row r="1354" spans="12:59" x14ac:dyDescent="0.35">
      <c r="O1354" s="330">
        <v>3</v>
      </c>
      <c r="P1354" s="36">
        <v>1039036</v>
      </c>
      <c r="Q1354" s="36">
        <v>7</v>
      </c>
      <c r="R1354" s="36"/>
      <c r="S1354" s="36">
        <v>28</v>
      </c>
      <c r="T1354" s="36" t="s">
        <v>1858</v>
      </c>
      <c r="U1354" s="36">
        <v>1212043</v>
      </c>
      <c r="V1354" s="165" t="s">
        <v>89</v>
      </c>
      <c r="W1354" s="36">
        <v>4</v>
      </c>
      <c r="X1354" s="36">
        <v>1</v>
      </c>
      <c r="Y1354" s="36">
        <v>1</v>
      </c>
      <c r="Z1354" s="36">
        <v>1</v>
      </c>
      <c r="AA1354" s="36">
        <v>9</v>
      </c>
      <c r="AB1354" s="36">
        <v>3</v>
      </c>
      <c r="AC1354" s="36">
        <v>7</v>
      </c>
      <c r="AD1354" s="36"/>
      <c r="AE1354" s="36"/>
      <c r="AF1354" s="36">
        <v>2</v>
      </c>
      <c r="AG1354" s="36">
        <v>2</v>
      </c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  <c r="AV1354" s="36"/>
      <c r="AW1354" s="36"/>
      <c r="AX1354" s="36"/>
      <c r="AY1354" s="36"/>
      <c r="AZ1354" s="36"/>
      <c r="BA1354" s="36"/>
      <c r="BB1354" s="36"/>
      <c r="BC1354" s="36"/>
      <c r="BD1354" s="27"/>
      <c r="BF1354">
        <f>ROWS($U$46:U1354)</f>
        <v>1309</v>
      </c>
      <c r="BG1354" t="str">
        <f t="shared" si="226"/>
        <v/>
      </c>
    </row>
    <row r="1355" spans="12:59" x14ac:dyDescent="0.35">
      <c r="O1355" s="330">
        <v>4</v>
      </c>
      <c r="P1355" s="36">
        <v>1176639</v>
      </c>
      <c r="Q1355" s="36">
        <v>5</v>
      </c>
      <c r="R1355" s="36"/>
      <c r="S1355" s="36">
        <v>28</v>
      </c>
      <c r="T1355" s="36" t="s">
        <v>1858</v>
      </c>
      <c r="U1355" s="36">
        <v>1212043</v>
      </c>
      <c r="V1355" s="165" t="s">
        <v>90</v>
      </c>
      <c r="W1355" s="36">
        <v>1</v>
      </c>
      <c r="X1355" s="36">
        <v>1</v>
      </c>
      <c r="Y1355" s="36">
        <v>1</v>
      </c>
      <c r="Z1355" s="36">
        <v>5</v>
      </c>
      <c r="AA1355" s="36">
        <v>3</v>
      </c>
      <c r="AB1355" s="36">
        <v>6</v>
      </c>
      <c r="AC1355" s="36"/>
      <c r="AD1355" s="36"/>
      <c r="AE1355" s="36"/>
      <c r="AF1355" s="36">
        <v>2</v>
      </c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  <c r="AV1355" s="36"/>
      <c r="AW1355" s="36"/>
      <c r="AX1355" s="36"/>
      <c r="AY1355" s="36"/>
      <c r="AZ1355" s="36"/>
      <c r="BA1355" s="36"/>
      <c r="BB1355" s="36"/>
      <c r="BC1355" s="36"/>
      <c r="BD1355" s="27"/>
      <c r="BF1355">
        <f>ROWS($U$46:U1355)</f>
        <v>1310</v>
      </c>
      <c r="BG1355" t="str">
        <f t="shared" si="226"/>
        <v/>
      </c>
    </row>
    <row r="1356" spans="12:59" x14ac:dyDescent="0.35">
      <c r="O1356" s="330">
        <v>5</v>
      </c>
      <c r="P1356" s="36">
        <v>1176641</v>
      </c>
      <c r="Q1356" s="36">
        <v>2</v>
      </c>
      <c r="R1356" s="36"/>
      <c r="S1356" s="36">
        <v>28</v>
      </c>
      <c r="T1356" s="36" t="s">
        <v>1858</v>
      </c>
      <c r="U1356" s="36">
        <v>1212043</v>
      </c>
      <c r="V1356" s="165" t="s">
        <v>91</v>
      </c>
      <c r="W1356" s="36">
        <v>4</v>
      </c>
      <c r="X1356" s="36">
        <v>1</v>
      </c>
      <c r="Y1356" s="36">
        <v>1</v>
      </c>
      <c r="Z1356" s="36">
        <v>1</v>
      </c>
      <c r="AA1356" s="36">
        <v>5</v>
      </c>
      <c r="AB1356" s="36">
        <v>3</v>
      </c>
      <c r="AC1356" s="36">
        <v>7</v>
      </c>
      <c r="AD1356" s="36"/>
      <c r="AE1356" s="36"/>
      <c r="AF1356" s="36">
        <v>2</v>
      </c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  <c r="AV1356" s="36"/>
      <c r="AW1356" s="36"/>
      <c r="AX1356" s="36"/>
      <c r="AY1356" s="36"/>
      <c r="AZ1356" s="36"/>
      <c r="BA1356" s="36"/>
      <c r="BB1356" s="36"/>
      <c r="BC1356" s="36"/>
      <c r="BD1356" s="27"/>
      <c r="BF1356">
        <f>ROWS($U$46:U1356)</f>
        <v>1311</v>
      </c>
      <c r="BG1356" t="str">
        <f t="shared" si="226"/>
        <v/>
      </c>
    </row>
    <row r="1357" spans="12:59" x14ac:dyDescent="0.35">
      <c r="O1357" s="330">
        <v>6</v>
      </c>
      <c r="P1357" s="36">
        <v>418525</v>
      </c>
      <c r="Q1357" s="36">
        <v>4</v>
      </c>
      <c r="R1357" s="36"/>
      <c r="S1357" s="36">
        <v>28</v>
      </c>
      <c r="T1357" s="36" t="s">
        <v>1858</v>
      </c>
      <c r="U1357" s="36">
        <v>1212043</v>
      </c>
      <c r="V1357" s="165" t="s">
        <v>92</v>
      </c>
      <c r="W1357" s="36">
        <v>1</v>
      </c>
      <c r="X1357" s="36">
        <v>1</v>
      </c>
      <c r="Y1357" s="36">
        <v>1</v>
      </c>
      <c r="Z1357" s="36">
        <v>3</v>
      </c>
      <c r="AA1357" s="36">
        <v>6</v>
      </c>
      <c r="AB1357" s="36"/>
      <c r="AC1357" s="36"/>
      <c r="AD1357" s="36"/>
      <c r="AE1357" s="36"/>
      <c r="AF1357" s="36">
        <v>2</v>
      </c>
      <c r="AG1357" s="36">
        <v>2</v>
      </c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  <c r="AV1357" s="36"/>
      <c r="AW1357" s="36"/>
      <c r="AX1357" s="36"/>
      <c r="AY1357" s="36"/>
      <c r="AZ1357" s="36"/>
      <c r="BA1357" s="36"/>
      <c r="BB1357" s="36"/>
      <c r="BC1357" s="36"/>
      <c r="BD1357" s="27"/>
      <c r="BF1357">
        <f>ROWS($U$46:U1357)</f>
        <v>1312</v>
      </c>
      <c r="BG1357" t="str">
        <f t="shared" si="226"/>
        <v/>
      </c>
    </row>
    <row r="1358" spans="12:59" x14ac:dyDescent="0.35">
      <c r="O1358" s="330">
        <v>7</v>
      </c>
      <c r="P1358" s="36">
        <v>871781</v>
      </c>
      <c r="Q1358" s="36">
        <v>3</v>
      </c>
      <c r="R1358" s="36"/>
      <c r="S1358" s="36">
        <v>28</v>
      </c>
      <c r="T1358" s="36" t="s">
        <v>1858</v>
      </c>
      <c r="U1358" s="36">
        <v>1212043</v>
      </c>
      <c r="V1358" s="165" t="s">
        <v>111</v>
      </c>
      <c r="W1358" s="36">
        <v>4</v>
      </c>
      <c r="X1358" s="36">
        <v>1</v>
      </c>
      <c r="Y1358" s="36">
        <v>1</v>
      </c>
      <c r="Z1358" s="36">
        <v>1</v>
      </c>
      <c r="AA1358" s="36">
        <v>8</v>
      </c>
      <c r="AB1358" s="36">
        <v>3</v>
      </c>
      <c r="AC1358" s="36">
        <v>6</v>
      </c>
      <c r="AD1358" s="36"/>
      <c r="AE1358" s="36"/>
      <c r="AF1358" s="36">
        <v>2</v>
      </c>
      <c r="AG1358" s="36">
        <v>2</v>
      </c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  <c r="AV1358" s="36"/>
      <c r="AW1358" s="36"/>
      <c r="AX1358" s="36"/>
      <c r="AY1358" s="36"/>
      <c r="AZ1358" s="36"/>
      <c r="BA1358" s="36"/>
      <c r="BB1358" s="36"/>
      <c r="BC1358" s="36"/>
      <c r="BD1358" s="27"/>
      <c r="BF1358">
        <f>ROWS($U$46:U1358)</f>
        <v>1313</v>
      </c>
      <c r="BG1358" t="str">
        <f t="shared" si="226"/>
        <v/>
      </c>
    </row>
    <row r="1359" spans="12:59" x14ac:dyDescent="0.35">
      <c r="O1359" s="330">
        <v>8</v>
      </c>
      <c r="P1359" s="36">
        <v>1039060</v>
      </c>
      <c r="Q1359" s="36">
        <v>1</v>
      </c>
      <c r="R1359" s="36"/>
      <c r="S1359" s="36">
        <v>28</v>
      </c>
      <c r="T1359" s="36" t="s">
        <v>1858</v>
      </c>
      <c r="U1359" s="36">
        <v>1212043</v>
      </c>
      <c r="V1359" s="165" t="s">
        <v>112</v>
      </c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  <c r="AV1359" s="36"/>
      <c r="AW1359" s="36"/>
      <c r="AX1359" s="36"/>
      <c r="AY1359" s="36"/>
      <c r="AZ1359" s="36"/>
      <c r="BA1359" s="36"/>
      <c r="BB1359" s="36"/>
      <c r="BC1359" s="36"/>
      <c r="BD1359" s="27"/>
      <c r="BF1359">
        <f>ROWS($U$46:U1359)</f>
        <v>1314</v>
      </c>
      <c r="BG1359" t="str">
        <f t="shared" si="226"/>
        <v/>
      </c>
    </row>
    <row r="1360" spans="12:59" ht="15" thickBot="1" x14ac:dyDescent="0.4">
      <c r="O1360" s="485">
        <v>9</v>
      </c>
      <c r="P1360" s="486">
        <v>1162511</v>
      </c>
      <c r="Q1360" s="486">
        <v>3</v>
      </c>
      <c r="R1360" s="486"/>
      <c r="S1360" s="486">
        <v>28</v>
      </c>
      <c r="T1360" s="486" t="s">
        <v>1858</v>
      </c>
      <c r="U1360" s="486">
        <v>1212043</v>
      </c>
      <c r="V1360" s="487" t="s">
        <v>113</v>
      </c>
      <c r="W1360" s="486"/>
      <c r="X1360" s="486"/>
      <c r="Y1360" s="486"/>
      <c r="Z1360" s="486"/>
      <c r="AA1360" s="486"/>
      <c r="AB1360" s="486"/>
      <c r="AC1360" s="486"/>
      <c r="AD1360" s="486"/>
      <c r="AE1360" s="486"/>
      <c r="AF1360" s="486"/>
      <c r="AG1360" s="486"/>
      <c r="AH1360" s="486"/>
      <c r="AI1360" s="486"/>
      <c r="AJ1360" s="486"/>
      <c r="AK1360" s="486"/>
      <c r="AL1360" s="486"/>
      <c r="AM1360" s="486"/>
      <c r="AN1360" s="486"/>
      <c r="AO1360" s="486"/>
      <c r="AP1360" s="486"/>
      <c r="AQ1360" s="486"/>
      <c r="AR1360" s="486"/>
      <c r="AS1360" s="486"/>
      <c r="AT1360" s="486"/>
      <c r="AU1360" s="486"/>
      <c r="AV1360" s="486"/>
      <c r="AW1360" s="486"/>
      <c r="AX1360" s="486"/>
      <c r="AY1360" s="486"/>
      <c r="AZ1360" s="486"/>
      <c r="BA1360" s="486"/>
      <c r="BB1360" s="486"/>
      <c r="BC1360" s="486"/>
      <c r="BD1360" s="488"/>
      <c r="BF1360">
        <f>ROWS($U$46:U1360)</f>
        <v>1315</v>
      </c>
      <c r="BG1360" t="str">
        <f t="shared" si="226"/>
        <v/>
      </c>
    </row>
    <row r="1361" spans="15:59" x14ac:dyDescent="0.35">
      <c r="O1361" s="329">
        <v>1</v>
      </c>
      <c r="P1361" s="320">
        <v>1162508</v>
      </c>
      <c r="Q1361" s="320">
        <v>32</v>
      </c>
      <c r="R1361" s="320"/>
      <c r="S1361" s="968" t="s">
        <v>1198</v>
      </c>
      <c r="T1361" s="320" t="s">
        <v>1921</v>
      </c>
      <c r="U1361" s="320">
        <v>1152687</v>
      </c>
      <c r="V1361" s="319" t="s">
        <v>87</v>
      </c>
      <c r="W1361" s="320">
        <v>3</v>
      </c>
      <c r="X1361" s="320">
        <v>3</v>
      </c>
      <c r="Y1361" s="320">
        <v>3</v>
      </c>
      <c r="Z1361" s="320">
        <v>3</v>
      </c>
      <c r="AA1361" s="320">
        <v>1</v>
      </c>
      <c r="AB1361" s="320">
        <v>1</v>
      </c>
      <c r="AC1361" s="320">
        <v>1</v>
      </c>
      <c r="AD1361" s="320">
        <v>1</v>
      </c>
      <c r="AE1361" s="320">
        <v>4</v>
      </c>
      <c r="AF1361" s="320"/>
      <c r="AG1361" s="320">
        <v>2</v>
      </c>
      <c r="AH1361" s="320">
        <v>2</v>
      </c>
      <c r="AI1361" s="320">
        <v>2</v>
      </c>
      <c r="AJ1361" s="320">
        <v>2</v>
      </c>
      <c r="AK1361" s="320"/>
      <c r="AL1361" s="320"/>
      <c r="AM1361" s="320"/>
      <c r="AN1361" s="320"/>
      <c r="AO1361" s="320"/>
      <c r="AP1361" s="320"/>
      <c r="AQ1361" s="320"/>
      <c r="AR1361" s="320"/>
      <c r="AS1361" s="320"/>
      <c r="AT1361" s="320"/>
      <c r="AU1361" s="320"/>
      <c r="AV1361" s="320"/>
      <c r="AW1361" s="320"/>
      <c r="AX1361" s="320"/>
      <c r="AY1361" s="320"/>
      <c r="AZ1361" s="320"/>
      <c r="BA1361" s="320"/>
      <c r="BB1361" s="320"/>
      <c r="BC1361" s="320"/>
      <c r="BD1361" s="119"/>
      <c r="BF1361">
        <f>ROWS($U$46:U1361)</f>
        <v>1316</v>
      </c>
      <c r="BG1361" t="str">
        <f t="shared" si="226"/>
        <v/>
      </c>
    </row>
    <row r="1362" spans="15:59" x14ac:dyDescent="0.35">
      <c r="O1362" s="330">
        <v>2</v>
      </c>
      <c r="P1362" s="36">
        <v>1039033</v>
      </c>
      <c r="Q1362" s="36">
        <v>28</v>
      </c>
      <c r="R1362" s="36"/>
      <c r="S1362" s="969" t="s">
        <v>1198</v>
      </c>
      <c r="T1362" s="36" t="s">
        <v>1921</v>
      </c>
      <c r="U1362" s="36">
        <v>1152687</v>
      </c>
      <c r="V1362" s="165" t="s">
        <v>88</v>
      </c>
      <c r="W1362" s="36">
        <v>3</v>
      </c>
      <c r="X1362" s="36">
        <v>1</v>
      </c>
      <c r="Y1362" s="36">
        <v>1</v>
      </c>
      <c r="Z1362" s="36">
        <v>1</v>
      </c>
      <c r="AA1362" s="36">
        <v>1</v>
      </c>
      <c r="AB1362" s="36">
        <v>1</v>
      </c>
      <c r="AC1362" s="36">
        <v>4</v>
      </c>
      <c r="AD1362" s="36"/>
      <c r="AE1362" s="36"/>
      <c r="AF1362" s="36"/>
      <c r="AG1362" s="36">
        <v>2</v>
      </c>
      <c r="AH1362" s="36">
        <v>2</v>
      </c>
      <c r="AI1362" s="36">
        <v>2</v>
      </c>
      <c r="AJ1362" s="36">
        <v>2</v>
      </c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  <c r="AV1362" s="36"/>
      <c r="AW1362" s="36"/>
      <c r="AX1362" s="36"/>
      <c r="AY1362" s="36"/>
      <c r="AZ1362" s="36"/>
      <c r="BA1362" s="36"/>
      <c r="BB1362" s="36"/>
      <c r="BC1362" s="36"/>
      <c r="BD1362" s="27"/>
      <c r="BF1362">
        <f>ROWS($U$46:U1362)</f>
        <v>1317</v>
      </c>
      <c r="BG1362" t="str">
        <f t="shared" si="226"/>
        <v/>
      </c>
    </row>
    <row r="1363" spans="15:59" x14ac:dyDescent="0.35">
      <c r="O1363" s="330">
        <v>3</v>
      </c>
      <c r="P1363" s="36">
        <v>1162510</v>
      </c>
      <c r="Q1363" s="36">
        <v>15</v>
      </c>
      <c r="R1363" s="36"/>
      <c r="S1363" s="969" t="s">
        <v>1198</v>
      </c>
      <c r="T1363" s="36" t="s">
        <v>1921</v>
      </c>
      <c r="U1363" s="36">
        <v>1152687</v>
      </c>
      <c r="V1363" s="165" t="s">
        <v>89</v>
      </c>
      <c r="W1363" s="36">
        <v>3</v>
      </c>
      <c r="X1363" s="36">
        <v>3</v>
      </c>
      <c r="Y1363" s="36">
        <v>3</v>
      </c>
      <c r="Z1363" s="36">
        <v>1</v>
      </c>
      <c r="AA1363" s="36">
        <v>1</v>
      </c>
      <c r="AB1363" s="36">
        <v>1</v>
      </c>
      <c r="AC1363" s="36">
        <v>1</v>
      </c>
      <c r="AD1363" s="36">
        <v>1</v>
      </c>
      <c r="AE1363" s="36">
        <v>4</v>
      </c>
      <c r="AF1363" s="36"/>
      <c r="AG1363" s="36">
        <v>2</v>
      </c>
      <c r="AH1363" s="36">
        <v>2</v>
      </c>
      <c r="AI1363" s="36">
        <v>2</v>
      </c>
      <c r="AJ1363" s="36">
        <v>2</v>
      </c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  <c r="AV1363" s="36"/>
      <c r="AW1363" s="36"/>
      <c r="AX1363" s="36"/>
      <c r="AY1363" s="36"/>
      <c r="AZ1363" s="36"/>
      <c r="BA1363" s="36"/>
      <c r="BB1363" s="36"/>
      <c r="BC1363" s="36"/>
      <c r="BD1363" s="27"/>
      <c r="BF1363">
        <f>ROWS($U$46:U1363)</f>
        <v>1318</v>
      </c>
      <c r="BG1363" t="str">
        <f t="shared" si="226"/>
        <v/>
      </c>
    </row>
    <row r="1364" spans="15:59" x14ac:dyDescent="0.35">
      <c r="O1364" s="330">
        <v>4</v>
      </c>
      <c r="P1364" s="36">
        <v>418525</v>
      </c>
      <c r="Q1364" s="36">
        <v>7</v>
      </c>
      <c r="R1364" s="36"/>
      <c r="S1364" s="969" t="s">
        <v>1198</v>
      </c>
      <c r="T1364" s="36" t="s">
        <v>1921</v>
      </c>
      <c r="U1364" s="36">
        <v>1152687</v>
      </c>
      <c r="V1364" s="165" t="s">
        <v>90</v>
      </c>
      <c r="W1364" s="36">
        <v>3</v>
      </c>
      <c r="X1364" s="36">
        <v>1</v>
      </c>
      <c r="Y1364" s="36">
        <v>1</v>
      </c>
      <c r="Z1364" s="36">
        <v>1</v>
      </c>
      <c r="AA1364" s="36">
        <v>1</v>
      </c>
      <c r="AB1364" s="36">
        <v>1</v>
      </c>
      <c r="AC1364" s="36">
        <v>4</v>
      </c>
      <c r="AD1364" s="36"/>
      <c r="AE1364" s="36"/>
      <c r="AF1364" s="36"/>
      <c r="AG1364" s="36">
        <v>2</v>
      </c>
      <c r="AH1364" s="36">
        <v>2</v>
      </c>
      <c r="AI1364" s="36">
        <v>2</v>
      </c>
      <c r="AJ1364" s="36">
        <v>2</v>
      </c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  <c r="AW1364" s="36"/>
      <c r="AX1364" s="36"/>
      <c r="AY1364" s="36"/>
      <c r="AZ1364" s="36"/>
      <c r="BA1364" s="36"/>
      <c r="BB1364" s="36"/>
      <c r="BC1364" s="36"/>
      <c r="BD1364" s="27"/>
      <c r="BF1364">
        <f>ROWS($U$46:U1364)</f>
        <v>1319</v>
      </c>
      <c r="BG1364" t="str">
        <f t="shared" si="226"/>
        <v/>
      </c>
    </row>
    <row r="1365" spans="15:59" x14ac:dyDescent="0.35">
      <c r="O1365" s="330"/>
      <c r="P1365" s="36"/>
      <c r="Q1365" s="36"/>
      <c r="R1365" s="36"/>
      <c r="S1365" s="969" t="s">
        <v>1198</v>
      </c>
      <c r="T1365" s="36" t="s">
        <v>1921</v>
      </c>
      <c r="U1365" s="36">
        <v>1152687</v>
      </c>
      <c r="V1365" s="165" t="s">
        <v>91</v>
      </c>
      <c r="W1365" s="36">
        <v>3</v>
      </c>
      <c r="X1365" s="36">
        <v>3</v>
      </c>
      <c r="Y1365" s="36">
        <v>3</v>
      </c>
      <c r="Z1365" s="36">
        <v>1</v>
      </c>
      <c r="AA1365" s="36">
        <v>1</v>
      </c>
      <c r="AB1365" s="36">
        <v>1</v>
      </c>
      <c r="AC1365" s="36">
        <v>1</v>
      </c>
      <c r="AD1365" s="36">
        <v>1</v>
      </c>
      <c r="AE1365" s="36">
        <v>4</v>
      </c>
      <c r="AF1365" s="36"/>
      <c r="AG1365" s="36">
        <v>2</v>
      </c>
      <c r="AH1365" s="36">
        <v>2</v>
      </c>
      <c r="AI1365" s="36">
        <v>2</v>
      </c>
      <c r="AJ1365" s="36">
        <v>2</v>
      </c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  <c r="AV1365" s="36"/>
      <c r="AW1365" s="36"/>
      <c r="AX1365" s="36"/>
      <c r="AY1365" s="36"/>
      <c r="AZ1365" s="36"/>
      <c r="BA1365" s="36"/>
      <c r="BB1365" s="36"/>
      <c r="BC1365" s="36"/>
      <c r="BD1365" s="27"/>
      <c r="BF1365">
        <f>ROWS($U$46:U1365)</f>
        <v>1320</v>
      </c>
      <c r="BG1365" t="str">
        <f t="shared" si="226"/>
        <v/>
      </c>
    </row>
    <row r="1366" spans="15:59" x14ac:dyDescent="0.35">
      <c r="O1366" s="330"/>
      <c r="P1366" s="36"/>
      <c r="Q1366" s="36"/>
      <c r="R1366" s="36"/>
      <c r="S1366" s="969" t="s">
        <v>1198</v>
      </c>
      <c r="T1366" s="36" t="s">
        <v>1921</v>
      </c>
      <c r="U1366" s="36">
        <v>1152687</v>
      </c>
      <c r="V1366" s="165" t="s">
        <v>92</v>
      </c>
      <c r="W1366" s="36">
        <v>3</v>
      </c>
      <c r="X1366" s="36">
        <v>3</v>
      </c>
      <c r="Y1366" s="36">
        <v>1</v>
      </c>
      <c r="Z1366" s="36">
        <v>1</v>
      </c>
      <c r="AA1366" s="36">
        <v>1</v>
      </c>
      <c r="AB1366" s="36">
        <v>1</v>
      </c>
      <c r="AC1366" s="36">
        <v>4</v>
      </c>
      <c r="AD1366" s="36"/>
      <c r="AE1366" s="36"/>
      <c r="AF1366" s="36"/>
      <c r="AG1366" s="36">
        <v>2</v>
      </c>
      <c r="AH1366" s="36">
        <v>2</v>
      </c>
      <c r="AI1366" s="36">
        <v>2</v>
      </c>
      <c r="AJ1366" s="36">
        <v>2</v>
      </c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  <c r="AV1366" s="36"/>
      <c r="AW1366" s="36"/>
      <c r="AX1366" s="36"/>
      <c r="AY1366" s="36"/>
      <c r="AZ1366" s="36"/>
      <c r="BA1366" s="36"/>
      <c r="BB1366" s="36"/>
      <c r="BC1366" s="36"/>
      <c r="BD1366" s="27"/>
      <c r="BF1366">
        <f>ROWS($U$46:U1366)</f>
        <v>1321</v>
      </c>
      <c r="BG1366" t="str">
        <f t="shared" si="226"/>
        <v/>
      </c>
    </row>
    <row r="1367" spans="15:59" ht="15" thickBot="1" x14ac:dyDescent="0.4">
      <c r="O1367" s="485"/>
      <c r="P1367" s="486"/>
      <c r="Q1367" s="486"/>
      <c r="R1367" s="486"/>
      <c r="S1367" s="970" t="s">
        <v>1198</v>
      </c>
      <c r="T1367" s="486" t="s">
        <v>1921</v>
      </c>
      <c r="U1367" s="486">
        <v>1152687</v>
      </c>
      <c r="V1367" s="487" t="s">
        <v>111</v>
      </c>
      <c r="W1367" s="486">
        <v>3</v>
      </c>
      <c r="X1367" s="486">
        <v>1</v>
      </c>
      <c r="Y1367" s="486">
        <v>1</v>
      </c>
      <c r="Z1367" s="486">
        <v>1</v>
      </c>
      <c r="AA1367" s="486">
        <v>1</v>
      </c>
      <c r="AB1367" s="486">
        <v>4</v>
      </c>
      <c r="AC1367" s="486"/>
      <c r="AD1367" s="486"/>
      <c r="AE1367" s="486"/>
      <c r="AF1367" s="486"/>
      <c r="AG1367" s="486">
        <v>2</v>
      </c>
      <c r="AH1367" s="486">
        <v>2</v>
      </c>
      <c r="AI1367" s="486">
        <v>2</v>
      </c>
      <c r="AJ1367" s="486">
        <v>2</v>
      </c>
      <c r="AK1367" s="486"/>
      <c r="AL1367" s="486"/>
      <c r="AM1367" s="486"/>
      <c r="AN1367" s="486"/>
      <c r="AO1367" s="486"/>
      <c r="AP1367" s="486"/>
      <c r="AQ1367" s="486"/>
      <c r="AR1367" s="486"/>
      <c r="AS1367" s="486"/>
      <c r="AT1367" s="486"/>
      <c r="AU1367" s="486"/>
      <c r="AV1367" s="486"/>
      <c r="AW1367" s="486"/>
      <c r="AX1367" s="486"/>
      <c r="AY1367" s="486"/>
      <c r="AZ1367" s="486"/>
      <c r="BA1367" s="486"/>
      <c r="BB1367" s="486"/>
      <c r="BC1367" s="486"/>
      <c r="BD1367" s="488"/>
      <c r="BF1367">
        <f>ROWS($U$46:U1367)</f>
        <v>1322</v>
      </c>
      <c r="BG1367" t="str">
        <f t="shared" si="226"/>
        <v/>
      </c>
    </row>
    <row r="1368" spans="15:59" x14ac:dyDescent="0.35">
      <c r="O1368" s="329">
        <v>1</v>
      </c>
      <c r="P1368" s="320">
        <v>1163813</v>
      </c>
      <c r="Q1368" s="320">
        <v>74</v>
      </c>
      <c r="R1368" s="320"/>
      <c r="S1368" s="971" t="s">
        <v>1126</v>
      </c>
      <c r="T1368" s="320" t="s">
        <v>1997</v>
      </c>
      <c r="U1368" s="320">
        <v>1205342</v>
      </c>
      <c r="V1368" s="319" t="s">
        <v>87</v>
      </c>
      <c r="W1368" s="320">
        <v>5</v>
      </c>
      <c r="X1368" s="320">
        <v>5</v>
      </c>
      <c r="Y1368" s="320">
        <v>5</v>
      </c>
      <c r="Z1368" s="320">
        <v>5</v>
      </c>
      <c r="AA1368" s="320">
        <v>5</v>
      </c>
      <c r="AB1368" s="320">
        <v>1</v>
      </c>
      <c r="AC1368" s="320">
        <v>1</v>
      </c>
      <c r="AD1368" s="320">
        <v>1</v>
      </c>
      <c r="AE1368" s="320">
        <v>1</v>
      </c>
      <c r="AF1368" s="320">
        <v>1</v>
      </c>
      <c r="AG1368" s="320">
        <v>1</v>
      </c>
      <c r="AH1368" s="320">
        <v>1</v>
      </c>
      <c r="AI1368" s="320">
        <v>1</v>
      </c>
      <c r="AJ1368" s="320">
        <v>1</v>
      </c>
      <c r="AK1368" s="320">
        <v>6</v>
      </c>
      <c r="AL1368" s="320">
        <v>3</v>
      </c>
      <c r="AM1368" s="320"/>
      <c r="AN1368" s="320">
        <v>4</v>
      </c>
      <c r="AO1368" s="320">
        <v>4</v>
      </c>
      <c r="AP1368" s="320">
        <v>4</v>
      </c>
      <c r="AQ1368" s="320">
        <v>4</v>
      </c>
      <c r="AR1368" s="320">
        <v>2</v>
      </c>
      <c r="AS1368" s="320">
        <v>3</v>
      </c>
      <c r="AT1368" s="320">
        <v>3</v>
      </c>
      <c r="AU1368" s="320">
        <v>3</v>
      </c>
      <c r="AV1368" s="320">
        <v>2</v>
      </c>
      <c r="AW1368" s="320">
        <v>2</v>
      </c>
      <c r="AX1368" s="320">
        <v>2</v>
      </c>
      <c r="AY1368" s="320">
        <v>2</v>
      </c>
      <c r="AZ1368" s="320"/>
      <c r="BA1368" s="320"/>
      <c r="BB1368" s="320"/>
      <c r="BC1368" s="320"/>
      <c r="BD1368" s="119"/>
      <c r="BF1368">
        <f>ROWS($U$46:U1368)</f>
        <v>1323</v>
      </c>
      <c r="BG1368" t="str">
        <f t="shared" si="226"/>
        <v/>
      </c>
    </row>
    <row r="1369" spans="15:59" x14ac:dyDescent="0.35">
      <c r="O1369" s="330">
        <v>2</v>
      </c>
      <c r="P1369" s="36">
        <v>179734</v>
      </c>
      <c r="Q1369" s="36">
        <v>35</v>
      </c>
      <c r="R1369" s="36"/>
      <c r="S1369" s="972" t="s">
        <v>1126</v>
      </c>
      <c r="T1369" s="36" t="s">
        <v>1997</v>
      </c>
      <c r="U1369" s="36">
        <v>1205342</v>
      </c>
      <c r="V1369" s="165" t="s">
        <v>88</v>
      </c>
      <c r="W1369" s="36">
        <v>1</v>
      </c>
      <c r="X1369" s="36">
        <v>1</v>
      </c>
      <c r="Y1369" s="36">
        <v>1</v>
      </c>
      <c r="Z1369" s="36">
        <v>1</v>
      </c>
      <c r="AA1369" s="36">
        <v>1</v>
      </c>
      <c r="AB1369" s="36">
        <v>1</v>
      </c>
      <c r="AC1369" s="36">
        <v>1</v>
      </c>
      <c r="AD1369" s="36">
        <v>1</v>
      </c>
      <c r="AE1369" s="36">
        <v>1</v>
      </c>
      <c r="AF1369" s="36">
        <v>1</v>
      </c>
      <c r="AG1369" s="36">
        <v>6</v>
      </c>
      <c r="AH1369" s="36">
        <v>3</v>
      </c>
      <c r="AI1369" s="36"/>
      <c r="AJ1369" s="36"/>
      <c r="AK1369" s="36"/>
      <c r="AL1369" s="36"/>
      <c r="AM1369" s="36"/>
      <c r="AN1369" s="36">
        <v>4</v>
      </c>
      <c r="AO1369" s="36">
        <v>3</v>
      </c>
      <c r="AP1369" s="36">
        <v>3</v>
      </c>
      <c r="AQ1369" s="36">
        <v>3</v>
      </c>
      <c r="AR1369" s="36">
        <v>2</v>
      </c>
      <c r="AS1369" s="36">
        <v>2</v>
      </c>
      <c r="AT1369" s="36">
        <v>2</v>
      </c>
      <c r="AU1369" s="36">
        <v>2</v>
      </c>
      <c r="AV1369" s="36"/>
      <c r="AW1369" s="36"/>
      <c r="AX1369" s="36"/>
      <c r="AY1369" s="36"/>
      <c r="AZ1369" s="36"/>
      <c r="BA1369" s="36"/>
      <c r="BB1369" s="36"/>
      <c r="BC1369" s="36"/>
      <c r="BD1369" s="27"/>
      <c r="BF1369">
        <f>ROWS($U$46:U1369)</f>
        <v>1324</v>
      </c>
      <c r="BG1369" t="str">
        <f t="shared" si="226"/>
        <v/>
      </c>
    </row>
    <row r="1370" spans="15:59" x14ac:dyDescent="0.35">
      <c r="O1370" s="330">
        <v>3</v>
      </c>
      <c r="P1370" s="36">
        <v>871781</v>
      </c>
      <c r="Q1370" s="36">
        <v>32</v>
      </c>
      <c r="R1370" s="36"/>
      <c r="S1370" s="972" t="s">
        <v>1126</v>
      </c>
      <c r="T1370" s="36" t="s">
        <v>1997</v>
      </c>
      <c r="U1370" s="36">
        <v>1205342</v>
      </c>
      <c r="V1370" s="165" t="s">
        <v>89</v>
      </c>
      <c r="W1370" s="36">
        <v>5</v>
      </c>
      <c r="X1370" s="36">
        <v>5</v>
      </c>
      <c r="Y1370" s="36">
        <v>5</v>
      </c>
      <c r="Z1370" s="36">
        <v>5</v>
      </c>
      <c r="AA1370" s="36">
        <v>1</v>
      </c>
      <c r="AB1370" s="36">
        <v>1</v>
      </c>
      <c r="AC1370" s="36">
        <v>1</v>
      </c>
      <c r="AD1370" s="36">
        <v>1</v>
      </c>
      <c r="AE1370" s="36">
        <v>1</v>
      </c>
      <c r="AF1370" s="36">
        <v>1</v>
      </c>
      <c r="AG1370" s="36">
        <v>1</v>
      </c>
      <c r="AH1370" s="36">
        <v>1</v>
      </c>
      <c r="AI1370" s="36">
        <v>1</v>
      </c>
      <c r="AJ1370" s="36">
        <v>6</v>
      </c>
      <c r="AK1370" s="36">
        <v>3</v>
      </c>
      <c r="AL1370" s="36"/>
      <c r="AM1370" s="36"/>
      <c r="AN1370" s="36">
        <v>4</v>
      </c>
      <c r="AO1370" s="36">
        <v>4</v>
      </c>
      <c r="AP1370" s="36">
        <v>4</v>
      </c>
      <c r="AQ1370" s="36">
        <v>4</v>
      </c>
      <c r="AR1370" s="36">
        <v>2</v>
      </c>
      <c r="AS1370" s="36">
        <v>3</v>
      </c>
      <c r="AT1370" s="36">
        <v>3</v>
      </c>
      <c r="AU1370" s="36">
        <v>3</v>
      </c>
      <c r="AV1370" s="36">
        <v>2</v>
      </c>
      <c r="AW1370" s="36">
        <v>2</v>
      </c>
      <c r="AX1370" s="36">
        <v>2</v>
      </c>
      <c r="AY1370" s="36"/>
      <c r="AZ1370" s="36"/>
      <c r="BA1370" s="36"/>
      <c r="BB1370" s="36"/>
      <c r="BC1370" s="36"/>
      <c r="BD1370" s="27"/>
      <c r="BF1370">
        <f>ROWS($U$46:U1370)</f>
        <v>1325</v>
      </c>
      <c r="BG1370" t="str">
        <f t="shared" si="226"/>
        <v/>
      </c>
    </row>
    <row r="1371" spans="15:59" x14ac:dyDescent="0.35">
      <c r="O1371" s="330">
        <v>4</v>
      </c>
      <c r="P1371" s="36">
        <v>1086351</v>
      </c>
      <c r="Q1371" s="36">
        <v>17</v>
      </c>
      <c r="R1371" s="36"/>
      <c r="S1371" s="972" t="s">
        <v>1126</v>
      </c>
      <c r="T1371" s="36" t="s">
        <v>1997</v>
      </c>
      <c r="U1371" s="36">
        <v>1205342</v>
      </c>
      <c r="V1371" s="165" t="s">
        <v>90</v>
      </c>
      <c r="W1371" s="36">
        <v>1</v>
      </c>
      <c r="X1371" s="36">
        <v>1</v>
      </c>
      <c r="Y1371" s="36">
        <v>1</v>
      </c>
      <c r="Z1371" s="36">
        <v>1</v>
      </c>
      <c r="AA1371" s="36">
        <v>1</v>
      </c>
      <c r="AB1371" s="36">
        <v>1</v>
      </c>
      <c r="AC1371" s="36">
        <v>1</v>
      </c>
      <c r="AD1371" s="36">
        <v>1</v>
      </c>
      <c r="AE1371" s="36">
        <v>1</v>
      </c>
      <c r="AF1371" s="36">
        <v>6</v>
      </c>
      <c r="AG1371" s="36">
        <v>3</v>
      </c>
      <c r="AH1371" s="36"/>
      <c r="AI1371" s="36"/>
      <c r="AJ1371" s="36"/>
      <c r="AK1371" s="36"/>
      <c r="AL1371" s="36"/>
      <c r="AM1371" s="36"/>
      <c r="AN1371" s="36">
        <v>4</v>
      </c>
      <c r="AO1371" s="36">
        <v>2</v>
      </c>
      <c r="AP1371" s="36">
        <v>3</v>
      </c>
      <c r="AQ1371" s="36">
        <v>3</v>
      </c>
      <c r="AR1371" s="36">
        <v>3</v>
      </c>
      <c r="AS1371" s="36">
        <v>2</v>
      </c>
      <c r="AT1371" s="36">
        <v>2</v>
      </c>
      <c r="AU1371" s="36">
        <v>2</v>
      </c>
      <c r="AV1371" s="36"/>
      <c r="AW1371" s="36"/>
      <c r="AX1371" s="36"/>
      <c r="AY1371" s="36"/>
      <c r="AZ1371" s="36"/>
      <c r="BA1371" s="36"/>
      <c r="BB1371" s="36"/>
      <c r="BC1371" s="36"/>
      <c r="BD1371" s="27"/>
      <c r="BF1371">
        <f>ROWS($U$46:U1371)</f>
        <v>1326</v>
      </c>
      <c r="BG1371" t="str">
        <f t="shared" si="226"/>
        <v/>
      </c>
    </row>
    <row r="1372" spans="15:59" x14ac:dyDescent="0.35">
      <c r="O1372" s="330">
        <v>5</v>
      </c>
      <c r="P1372" s="36">
        <v>1133896</v>
      </c>
      <c r="Q1372" s="36">
        <v>13</v>
      </c>
      <c r="R1372" s="36"/>
      <c r="S1372" s="972" t="s">
        <v>1126</v>
      </c>
      <c r="T1372" s="36" t="s">
        <v>1997</v>
      </c>
      <c r="U1372" s="36">
        <v>1205342</v>
      </c>
      <c r="V1372" s="165" t="s">
        <v>91</v>
      </c>
      <c r="W1372" s="36">
        <v>1</v>
      </c>
      <c r="X1372" s="36">
        <v>1</v>
      </c>
      <c r="Y1372" s="36">
        <v>1</v>
      </c>
      <c r="Z1372" s="36">
        <v>1</v>
      </c>
      <c r="AA1372" s="36">
        <v>1</v>
      </c>
      <c r="AB1372" s="36">
        <v>1</v>
      </c>
      <c r="AC1372" s="36">
        <v>1</v>
      </c>
      <c r="AD1372" s="36">
        <v>1</v>
      </c>
      <c r="AE1372" s="36">
        <v>1</v>
      </c>
      <c r="AF1372" s="36">
        <v>6</v>
      </c>
      <c r="AG1372" s="36">
        <v>3</v>
      </c>
      <c r="AH1372" s="36"/>
      <c r="AI1372" s="36"/>
      <c r="AJ1372" s="36"/>
      <c r="AK1372" s="36"/>
      <c r="AL1372" s="36"/>
      <c r="AM1372" s="36"/>
      <c r="AN1372" s="36">
        <v>4</v>
      </c>
      <c r="AO1372" s="36">
        <v>2</v>
      </c>
      <c r="AP1372" s="36">
        <v>3</v>
      </c>
      <c r="AQ1372" s="36">
        <v>3</v>
      </c>
      <c r="AR1372" s="36">
        <v>3</v>
      </c>
      <c r="AS1372" s="36">
        <v>2</v>
      </c>
      <c r="AT1372" s="36">
        <v>2</v>
      </c>
      <c r="AU1372" s="36">
        <v>2</v>
      </c>
      <c r="AV1372" s="36"/>
      <c r="AW1372" s="36"/>
      <c r="AX1372" s="36"/>
      <c r="AY1372" s="36"/>
      <c r="AZ1372" s="36"/>
      <c r="BA1372" s="36"/>
      <c r="BB1372" s="36"/>
      <c r="BC1372" s="36"/>
      <c r="BD1372" s="27"/>
      <c r="BF1372">
        <f>ROWS($U$46:U1372)</f>
        <v>1327</v>
      </c>
      <c r="BG1372" t="str">
        <f t="shared" si="226"/>
        <v/>
      </c>
    </row>
    <row r="1373" spans="15:59" x14ac:dyDescent="0.35">
      <c r="O1373" s="330">
        <v>6</v>
      </c>
      <c r="P1373" s="36">
        <v>410851</v>
      </c>
      <c r="Q1373" s="36">
        <v>8</v>
      </c>
      <c r="R1373" s="36"/>
      <c r="S1373" s="972" t="s">
        <v>1126</v>
      </c>
      <c r="T1373" s="36" t="s">
        <v>1997</v>
      </c>
      <c r="U1373" s="36">
        <v>1205342</v>
      </c>
      <c r="V1373" s="165" t="s">
        <v>92</v>
      </c>
      <c r="W1373" s="36">
        <v>5</v>
      </c>
      <c r="X1373" s="36">
        <v>5</v>
      </c>
      <c r="Y1373" s="36">
        <v>5</v>
      </c>
      <c r="Z1373" s="36">
        <v>5</v>
      </c>
      <c r="AA1373" s="36">
        <v>1</v>
      </c>
      <c r="AB1373" s="36">
        <v>1</v>
      </c>
      <c r="AC1373" s="36">
        <v>1</v>
      </c>
      <c r="AD1373" s="36">
        <v>1</v>
      </c>
      <c r="AE1373" s="36">
        <v>1</v>
      </c>
      <c r="AF1373" s="36">
        <v>1</v>
      </c>
      <c r="AG1373" s="36">
        <v>1</v>
      </c>
      <c r="AH1373" s="36">
        <v>1</v>
      </c>
      <c r="AI1373" s="36">
        <v>1</v>
      </c>
      <c r="AJ1373" s="36">
        <v>6</v>
      </c>
      <c r="AK1373" s="36">
        <v>3</v>
      </c>
      <c r="AL1373" s="36"/>
      <c r="AM1373" s="36"/>
      <c r="AN1373" s="36">
        <v>4</v>
      </c>
      <c r="AO1373" s="36">
        <v>4</v>
      </c>
      <c r="AP1373" s="36">
        <v>4</v>
      </c>
      <c r="AQ1373" s="36">
        <v>4</v>
      </c>
      <c r="AR1373" s="36">
        <v>2</v>
      </c>
      <c r="AS1373" s="36">
        <v>3</v>
      </c>
      <c r="AT1373" s="36">
        <v>3</v>
      </c>
      <c r="AU1373" s="36">
        <v>3</v>
      </c>
      <c r="AV1373" s="36">
        <v>2</v>
      </c>
      <c r="AW1373" s="36">
        <v>2</v>
      </c>
      <c r="AX1373" s="36">
        <v>2</v>
      </c>
      <c r="AY1373" s="36">
        <v>2</v>
      </c>
      <c r="AZ1373" s="36"/>
      <c r="BA1373" s="36"/>
      <c r="BB1373" s="36"/>
      <c r="BC1373" s="36"/>
      <c r="BD1373" s="27"/>
      <c r="BF1373">
        <f>ROWS($U$46:U1373)</f>
        <v>1328</v>
      </c>
      <c r="BG1373" t="str">
        <f t="shared" si="226"/>
        <v/>
      </c>
    </row>
    <row r="1374" spans="15:59" x14ac:dyDescent="0.35">
      <c r="O1374" s="330"/>
      <c r="P1374" s="36"/>
      <c r="Q1374" s="36"/>
      <c r="R1374" s="36"/>
      <c r="S1374" s="972" t="s">
        <v>1126</v>
      </c>
      <c r="T1374" s="36" t="s">
        <v>1997</v>
      </c>
      <c r="U1374" s="36">
        <v>1205342</v>
      </c>
      <c r="V1374" s="165" t="s">
        <v>111</v>
      </c>
      <c r="W1374" s="36">
        <v>1</v>
      </c>
      <c r="X1374" s="36">
        <v>1</v>
      </c>
      <c r="Y1374" s="36">
        <v>1</v>
      </c>
      <c r="Z1374" s="36">
        <v>1</v>
      </c>
      <c r="AA1374" s="36">
        <v>1</v>
      </c>
      <c r="AB1374" s="36">
        <v>1</v>
      </c>
      <c r="AC1374" s="36">
        <v>1</v>
      </c>
      <c r="AD1374" s="36">
        <v>1</v>
      </c>
      <c r="AE1374" s="36">
        <v>1</v>
      </c>
      <c r="AF1374" s="36">
        <v>6</v>
      </c>
      <c r="AG1374" s="36">
        <v>3</v>
      </c>
      <c r="AH1374" s="36"/>
      <c r="AI1374" s="36"/>
      <c r="AJ1374" s="36"/>
      <c r="AK1374" s="36"/>
      <c r="AL1374" s="36"/>
      <c r="AM1374" s="36"/>
      <c r="AN1374" s="36">
        <v>4</v>
      </c>
      <c r="AO1374" s="36">
        <v>3</v>
      </c>
      <c r="AP1374" s="36">
        <v>3</v>
      </c>
      <c r="AQ1374" s="36">
        <v>3</v>
      </c>
      <c r="AR1374" s="36">
        <v>2</v>
      </c>
      <c r="AS1374" s="36">
        <v>2</v>
      </c>
      <c r="AT1374" s="36">
        <v>2</v>
      </c>
      <c r="AU1374" s="36">
        <v>2</v>
      </c>
      <c r="AV1374" s="36"/>
      <c r="AW1374" s="36"/>
      <c r="AX1374" s="36"/>
      <c r="AY1374" s="36"/>
      <c r="AZ1374" s="36"/>
      <c r="BA1374" s="36"/>
      <c r="BB1374" s="36"/>
      <c r="BC1374" s="36"/>
      <c r="BD1374" s="27"/>
      <c r="BF1374">
        <f>ROWS($U$46:U1374)</f>
        <v>1329</v>
      </c>
      <c r="BG1374" t="str">
        <f t="shared" si="226"/>
        <v/>
      </c>
    </row>
    <row r="1375" spans="15:59" ht="15" thickBot="1" x14ac:dyDescent="0.4">
      <c r="O1375" s="331"/>
      <c r="P1375" s="328"/>
      <c r="Q1375" s="328"/>
      <c r="R1375" s="328"/>
      <c r="S1375" s="973" t="s">
        <v>1126</v>
      </c>
      <c r="T1375" s="328" t="s">
        <v>1997</v>
      </c>
      <c r="U1375" s="328">
        <v>1205342</v>
      </c>
      <c r="V1375" s="327" t="s">
        <v>112</v>
      </c>
      <c r="W1375" s="328">
        <v>1</v>
      </c>
      <c r="X1375" s="328">
        <v>1</v>
      </c>
      <c r="Y1375" s="328">
        <v>1</v>
      </c>
      <c r="Z1375" s="328">
        <v>1</v>
      </c>
      <c r="AA1375" s="328">
        <v>1</v>
      </c>
      <c r="AB1375" s="328">
        <v>1</v>
      </c>
      <c r="AC1375" s="328">
        <v>1</v>
      </c>
      <c r="AD1375" s="328">
        <v>1</v>
      </c>
      <c r="AE1375" s="328">
        <v>1</v>
      </c>
      <c r="AF1375" s="328">
        <v>1</v>
      </c>
      <c r="AG1375" s="328">
        <v>6</v>
      </c>
      <c r="AH1375" s="328">
        <v>3</v>
      </c>
      <c r="AI1375" s="328"/>
      <c r="AJ1375" s="328"/>
      <c r="AK1375" s="328"/>
      <c r="AL1375" s="328"/>
      <c r="AM1375" s="328"/>
      <c r="AN1375" s="328">
        <v>4</v>
      </c>
      <c r="AO1375" s="328">
        <v>2</v>
      </c>
      <c r="AP1375" s="328">
        <v>3</v>
      </c>
      <c r="AQ1375" s="328">
        <v>3</v>
      </c>
      <c r="AR1375" s="328">
        <v>3</v>
      </c>
      <c r="AS1375" s="328">
        <v>2</v>
      </c>
      <c r="AT1375" s="328">
        <v>2</v>
      </c>
      <c r="AU1375" s="328">
        <v>2</v>
      </c>
      <c r="AV1375" s="328">
        <v>2</v>
      </c>
      <c r="AW1375" s="328"/>
      <c r="AX1375" s="328"/>
      <c r="AY1375" s="328"/>
      <c r="AZ1375" s="328"/>
      <c r="BA1375" s="328"/>
      <c r="BB1375" s="328"/>
      <c r="BC1375" s="328"/>
      <c r="BD1375" s="31"/>
      <c r="BF1375">
        <f>ROWS($U$46:U1375)</f>
        <v>1330</v>
      </c>
      <c r="BG1375" t="str">
        <f t="shared" si="226"/>
        <v/>
      </c>
    </row>
    <row r="1376" spans="15:59" x14ac:dyDescent="0.35">
      <c r="O1376" s="36">
        <v>1</v>
      </c>
      <c r="P1376" s="320">
        <v>1136984</v>
      </c>
      <c r="Q1376" s="320">
        <v>13</v>
      </c>
      <c r="R1376" s="320"/>
      <c r="S1376" s="320" t="s">
        <v>1319</v>
      </c>
      <c r="T1376" s="320" t="s">
        <v>1364</v>
      </c>
      <c r="U1376" s="320">
        <v>1208059</v>
      </c>
      <c r="V1376" s="319" t="s">
        <v>87</v>
      </c>
      <c r="W1376" s="320">
        <v>5</v>
      </c>
      <c r="X1376" s="320">
        <v>2</v>
      </c>
      <c r="Y1376" s="320">
        <v>1</v>
      </c>
      <c r="Z1376" s="320">
        <v>1</v>
      </c>
      <c r="AA1376" s="320">
        <v>1</v>
      </c>
      <c r="AB1376" s="320">
        <v>2</v>
      </c>
      <c r="AC1376" s="320">
        <v>3</v>
      </c>
      <c r="AD1376" s="320"/>
      <c r="AE1376" s="320">
        <v>4</v>
      </c>
      <c r="AF1376" s="320"/>
      <c r="AG1376" s="320"/>
      <c r="AH1376" s="320"/>
      <c r="AI1376" s="320"/>
      <c r="AJ1376" s="320"/>
      <c r="AK1376" s="320"/>
      <c r="AL1376" s="320"/>
      <c r="AM1376" s="320"/>
      <c r="AN1376" s="320"/>
      <c r="AO1376" s="320"/>
      <c r="AP1376" s="320"/>
      <c r="AQ1376" s="320"/>
      <c r="AR1376" s="320"/>
      <c r="AS1376" s="320"/>
      <c r="AT1376" s="320"/>
      <c r="AU1376" s="320"/>
      <c r="AV1376" s="320"/>
      <c r="AW1376" s="320"/>
      <c r="AX1376" s="320"/>
      <c r="AY1376" s="952"/>
      <c r="AZ1376" s="36"/>
      <c r="BA1376" s="36"/>
      <c r="BB1376" s="36"/>
      <c r="BC1376" s="36"/>
      <c r="BD1376" s="36"/>
      <c r="BF1376">
        <f>ROWS($U$46:U1376)</f>
        <v>1331</v>
      </c>
      <c r="BG1376" t="str">
        <f t="shared" si="226"/>
        <v/>
      </c>
    </row>
    <row r="1377" spans="14:59" x14ac:dyDescent="0.35">
      <c r="O1377" s="330">
        <v>2</v>
      </c>
      <c r="P1377" s="36">
        <v>1145493</v>
      </c>
      <c r="Q1377" s="36">
        <v>12</v>
      </c>
      <c r="R1377" s="36"/>
      <c r="S1377" s="36" t="s">
        <v>1319</v>
      </c>
      <c r="T1377" s="36" t="s">
        <v>1364</v>
      </c>
      <c r="U1377" s="36">
        <v>1208059</v>
      </c>
      <c r="V1377" s="165" t="s">
        <v>88</v>
      </c>
      <c r="W1377" s="36">
        <v>1</v>
      </c>
      <c r="X1377" s="36">
        <v>1</v>
      </c>
      <c r="Y1377" s="36">
        <v>2</v>
      </c>
      <c r="Z1377" s="36">
        <v>3</v>
      </c>
      <c r="AA1377" s="36"/>
      <c r="AB1377" s="36"/>
      <c r="AC1377" s="36"/>
      <c r="AD1377" s="36"/>
      <c r="AE1377" s="36">
        <v>4</v>
      </c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  <c r="AV1377" s="36"/>
      <c r="AW1377" s="36"/>
      <c r="AX1377" s="36"/>
      <c r="AY1377" s="953"/>
      <c r="AZ1377" s="36"/>
      <c r="BA1377" s="36"/>
      <c r="BB1377" s="36"/>
      <c r="BC1377" s="36"/>
      <c r="BD1377" s="36"/>
      <c r="BF1377">
        <f>ROWS($U$46:U1377)</f>
        <v>1332</v>
      </c>
      <c r="BG1377" t="str">
        <f t="shared" si="226"/>
        <v/>
      </c>
    </row>
    <row r="1378" spans="14:59" x14ac:dyDescent="0.35">
      <c r="O1378" s="330">
        <v>3</v>
      </c>
      <c r="P1378" s="36">
        <v>418525</v>
      </c>
      <c r="Q1378" s="36">
        <v>6</v>
      </c>
      <c r="R1378" s="36"/>
      <c r="S1378" s="36" t="s">
        <v>1319</v>
      </c>
      <c r="T1378" s="36" t="s">
        <v>1364</v>
      </c>
      <c r="U1378" s="36">
        <v>1208059</v>
      </c>
      <c r="V1378" s="165" t="s">
        <v>89</v>
      </c>
      <c r="W1378" s="36">
        <v>2</v>
      </c>
      <c r="X1378" s="36">
        <v>2</v>
      </c>
      <c r="Y1378" s="36">
        <v>1</v>
      </c>
      <c r="Z1378" s="36">
        <v>1</v>
      </c>
      <c r="AA1378" s="36">
        <v>2</v>
      </c>
      <c r="AB1378" s="36">
        <v>3</v>
      </c>
      <c r="AC1378" s="36"/>
      <c r="AD1378" s="36"/>
      <c r="AE1378" s="36">
        <v>4</v>
      </c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  <c r="AW1378" s="36"/>
      <c r="AX1378" s="36"/>
      <c r="AY1378" s="953"/>
      <c r="AZ1378" s="36"/>
      <c r="BA1378" s="36"/>
      <c r="BB1378" s="36"/>
      <c r="BC1378" s="36"/>
      <c r="BD1378" s="36"/>
      <c r="BF1378">
        <f>ROWS($U$46:U1378)</f>
        <v>1333</v>
      </c>
      <c r="BG1378" t="str">
        <f t="shared" si="226"/>
        <v/>
      </c>
    </row>
    <row r="1379" spans="14:59" x14ac:dyDescent="0.35">
      <c r="O1379" s="330">
        <v>4</v>
      </c>
      <c r="P1379" s="36">
        <v>1101509</v>
      </c>
      <c r="Q1379" s="36">
        <v>5</v>
      </c>
      <c r="R1379" s="36"/>
      <c r="S1379" s="36" t="s">
        <v>1319</v>
      </c>
      <c r="T1379" s="36" t="s">
        <v>1364</v>
      </c>
      <c r="U1379" s="36">
        <v>1208059</v>
      </c>
      <c r="V1379" s="165" t="s">
        <v>90</v>
      </c>
      <c r="W1379" s="36">
        <v>1</v>
      </c>
      <c r="X1379" s="36">
        <v>1</v>
      </c>
      <c r="Y1379" s="36">
        <v>2</v>
      </c>
      <c r="Z1379" s="36">
        <v>2</v>
      </c>
      <c r="AA1379" s="36">
        <v>3</v>
      </c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  <c r="AV1379" s="36"/>
      <c r="AW1379" s="36"/>
      <c r="AX1379" s="36"/>
      <c r="AY1379" s="953"/>
      <c r="AZ1379" s="36"/>
      <c r="BA1379" s="36"/>
      <c r="BB1379" s="36"/>
      <c r="BC1379" s="36"/>
      <c r="BD1379" s="36"/>
      <c r="BF1379">
        <f>ROWS($U$46:U1379)</f>
        <v>1334</v>
      </c>
      <c r="BG1379" t="str">
        <f t="shared" si="226"/>
        <v/>
      </c>
    </row>
    <row r="1380" spans="14:59" x14ac:dyDescent="0.35">
      <c r="O1380" s="330">
        <v>5</v>
      </c>
      <c r="P1380" s="36">
        <v>1104083</v>
      </c>
      <c r="Q1380" s="36">
        <v>1</v>
      </c>
      <c r="R1380" s="36"/>
      <c r="S1380" s="36" t="s">
        <v>1319</v>
      </c>
      <c r="T1380" s="36" t="s">
        <v>1364</v>
      </c>
      <c r="U1380" s="36">
        <v>1208059</v>
      </c>
      <c r="V1380" s="165" t="s">
        <v>91</v>
      </c>
      <c r="W1380" s="36">
        <v>2</v>
      </c>
      <c r="X1380" s="36">
        <v>2</v>
      </c>
      <c r="Y1380" s="36">
        <v>1</v>
      </c>
      <c r="Z1380" s="36">
        <v>1</v>
      </c>
      <c r="AA1380" s="36">
        <v>2</v>
      </c>
      <c r="AB1380" s="36">
        <v>3</v>
      </c>
      <c r="AC1380" s="36"/>
      <c r="AD1380" s="36"/>
      <c r="AE1380" s="36">
        <v>4</v>
      </c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  <c r="AV1380" s="36"/>
      <c r="AW1380" s="36"/>
      <c r="AX1380" s="36"/>
      <c r="AY1380" s="953"/>
      <c r="AZ1380" s="36"/>
      <c r="BA1380" s="36"/>
      <c r="BB1380" s="36"/>
      <c r="BC1380" s="36"/>
      <c r="BD1380" s="36"/>
      <c r="BF1380">
        <f>ROWS($U$46:U1380)</f>
        <v>1335</v>
      </c>
      <c r="BG1380" t="str">
        <f t="shared" si="226"/>
        <v/>
      </c>
    </row>
    <row r="1381" spans="14:59" ht="15" thickBot="1" x14ac:dyDescent="0.4">
      <c r="O1381" s="331"/>
      <c r="P1381" s="328"/>
      <c r="Q1381" s="328"/>
      <c r="R1381" s="328"/>
      <c r="S1381" s="328" t="s">
        <v>1319</v>
      </c>
      <c r="T1381" s="328" t="s">
        <v>1364</v>
      </c>
      <c r="U1381" s="328">
        <v>1208059</v>
      </c>
      <c r="V1381" s="327" t="s">
        <v>92</v>
      </c>
      <c r="W1381" s="328">
        <v>1</v>
      </c>
      <c r="X1381" s="328">
        <v>1</v>
      </c>
      <c r="Y1381" s="328">
        <v>2</v>
      </c>
      <c r="Z1381" s="328">
        <v>3</v>
      </c>
      <c r="AA1381" s="328"/>
      <c r="AB1381" s="328"/>
      <c r="AC1381" s="328"/>
      <c r="AD1381" s="328"/>
      <c r="AE1381" s="328">
        <v>4</v>
      </c>
      <c r="AF1381" s="328"/>
      <c r="AG1381" s="328"/>
      <c r="AH1381" s="328"/>
      <c r="AI1381" s="328"/>
      <c r="AJ1381" s="328"/>
      <c r="AK1381" s="328"/>
      <c r="AL1381" s="328"/>
      <c r="AM1381" s="328"/>
      <c r="AN1381" s="328"/>
      <c r="AO1381" s="328"/>
      <c r="AP1381" s="328"/>
      <c r="AQ1381" s="328"/>
      <c r="AR1381" s="328"/>
      <c r="AS1381" s="328"/>
      <c r="AT1381" s="328"/>
      <c r="AU1381" s="328"/>
      <c r="AV1381" s="328"/>
      <c r="AW1381" s="328"/>
      <c r="AX1381" s="328"/>
      <c r="AY1381" s="954"/>
      <c r="AZ1381" s="36"/>
      <c r="BA1381" s="36"/>
      <c r="BB1381" s="36"/>
      <c r="BC1381" s="36"/>
      <c r="BD1381" s="36"/>
      <c r="BF1381">
        <f>ROWS($U$46:U1381)</f>
        <v>1336</v>
      </c>
      <c r="BG1381" t="str">
        <f t="shared" si="226"/>
        <v/>
      </c>
    </row>
    <row r="1382" spans="14:59" ht="15" thickBot="1" x14ac:dyDescent="0.4">
      <c r="O1382" s="329">
        <v>1</v>
      </c>
      <c r="P1382" s="320">
        <v>1177229</v>
      </c>
      <c r="Q1382" s="320">
        <v>19</v>
      </c>
      <c r="R1382" s="320"/>
      <c r="S1382" s="320" t="s">
        <v>2004</v>
      </c>
      <c r="T1382" s="320" t="s">
        <v>2005</v>
      </c>
      <c r="U1382" s="320">
        <v>1212207</v>
      </c>
      <c r="V1382" s="319" t="s">
        <v>87</v>
      </c>
      <c r="W1382" s="36">
        <v>1</v>
      </c>
      <c r="X1382" s="36">
        <v>1</v>
      </c>
      <c r="Y1382" s="36">
        <v>1</v>
      </c>
      <c r="Z1382" s="36">
        <v>1</v>
      </c>
      <c r="AA1382" s="36">
        <v>1</v>
      </c>
      <c r="AB1382" s="36">
        <v>2</v>
      </c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  <c r="AV1382" s="36"/>
      <c r="AW1382" s="36"/>
      <c r="AX1382" s="36"/>
      <c r="AY1382" s="36"/>
      <c r="AZ1382" s="36"/>
      <c r="BA1382" s="36"/>
      <c r="BB1382" s="36"/>
      <c r="BC1382" s="36"/>
      <c r="BD1382" s="36"/>
      <c r="BF1382">
        <f>ROWS($U$46:U1382)</f>
        <v>1337</v>
      </c>
      <c r="BG1382" t="str">
        <f t="shared" si="226"/>
        <v/>
      </c>
    </row>
    <row r="1383" spans="14:59" ht="15" thickBot="1" x14ac:dyDescent="0.4">
      <c r="O1383" s="330">
        <v>2</v>
      </c>
      <c r="P1383" s="36">
        <v>882800</v>
      </c>
      <c r="Q1383" s="36">
        <v>5</v>
      </c>
      <c r="R1383" s="36"/>
      <c r="S1383" s="320" t="s">
        <v>2004</v>
      </c>
      <c r="T1383" s="320" t="s">
        <v>2005</v>
      </c>
      <c r="U1383" s="320">
        <v>1212207</v>
      </c>
      <c r="V1383" s="165" t="s">
        <v>88</v>
      </c>
      <c r="W1383" s="36">
        <v>1</v>
      </c>
      <c r="X1383" s="36">
        <v>1</v>
      </c>
      <c r="Y1383" s="36">
        <v>1</v>
      </c>
      <c r="Z1383" s="36">
        <v>2</v>
      </c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  <c r="AV1383" s="36"/>
      <c r="AW1383" s="36"/>
      <c r="AX1383" s="36"/>
      <c r="AY1383" s="36"/>
      <c r="AZ1383" s="36"/>
      <c r="BA1383" s="36"/>
      <c r="BB1383" s="36"/>
      <c r="BC1383" s="36"/>
      <c r="BD1383" s="36"/>
      <c r="BF1383">
        <f>ROWS($U$46:U1383)</f>
        <v>1338</v>
      </c>
      <c r="BG1383" t="str">
        <f t="shared" si="226"/>
        <v/>
      </c>
    </row>
    <row r="1384" spans="14:59" ht="15" thickBot="1" x14ac:dyDescent="0.4">
      <c r="O1384" s="330"/>
      <c r="P1384" s="36"/>
      <c r="Q1384" s="36"/>
      <c r="R1384" s="36"/>
      <c r="S1384" s="320" t="s">
        <v>2004</v>
      </c>
      <c r="T1384" s="320" t="s">
        <v>2005</v>
      </c>
      <c r="U1384" s="320">
        <v>1212207</v>
      </c>
      <c r="V1384" s="165" t="s">
        <v>89</v>
      </c>
      <c r="W1384" s="36">
        <v>1</v>
      </c>
      <c r="X1384" s="36">
        <v>1</v>
      </c>
      <c r="Y1384" s="36">
        <v>1</v>
      </c>
      <c r="Z1384" s="36">
        <v>1</v>
      </c>
      <c r="AA1384" s="36">
        <v>2</v>
      </c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  <c r="AV1384" s="36"/>
      <c r="AW1384" s="36"/>
      <c r="AX1384" s="36"/>
      <c r="AY1384" s="36"/>
      <c r="AZ1384" s="36"/>
      <c r="BA1384" s="36"/>
      <c r="BB1384" s="36"/>
      <c r="BC1384" s="36"/>
      <c r="BD1384" s="36"/>
      <c r="BF1384">
        <f>ROWS($U$46:U1384)</f>
        <v>1339</v>
      </c>
      <c r="BG1384" t="str">
        <f t="shared" si="226"/>
        <v/>
      </c>
    </row>
    <row r="1385" spans="14:59" ht="15" thickBot="1" x14ac:dyDescent="0.4">
      <c r="O1385" s="330"/>
      <c r="P1385" s="36"/>
      <c r="Q1385" s="36"/>
      <c r="R1385" s="36"/>
      <c r="S1385" s="320" t="s">
        <v>2004</v>
      </c>
      <c r="T1385" s="320" t="s">
        <v>2005</v>
      </c>
      <c r="U1385" s="320">
        <v>1212207</v>
      </c>
      <c r="V1385" s="165" t="s">
        <v>90</v>
      </c>
      <c r="W1385" s="36">
        <v>1</v>
      </c>
      <c r="X1385" s="36">
        <v>1</v>
      </c>
      <c r="Y1385" s="36">
        <v>1</v>
      </c>
      <c r="Z1385" s="36">
        <v>1</v>
      </c>
      <c r="AA1385" s="36">
        <v>2</v>
      </c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  <c r="AW1385" s="36"/>
      <c r="AX1385" s="36"/>
      <c r="AY1385" s="36"/>
      <c r="AZ1385" s="36"/>
      <c r="BA1385" s="36"/>
      <c r="BB1385" s="36"/>
      <c r="BC1385" s="36"/>
      <c r="BD1385" s="36"/>
      <c r="BF1385">
        <f>ROWS($U$46:U1385)</f>
        <v>1340</v>
      </c>
      <c r="BG1385" t="str">
        <f t="shared" si="226"/>
        <v/>
      </c>
    </row>
    <row r="1386" spans="14:59" ht="15" thickBot="1" x14ac:dyDescent="0.4">
      <c r="O1386" s="485"/>
      <c r="P1386" s="486"/>
      <c r="Q1386" s="486"/>
      <c r="R1386" s="486"/>
      <c r="S1386" s="965" t="s">
        <v>2004</v>
      </c>
      <c r="T1386" s="965" t="s">
        <v>2005</v>
      </c>
      <c r="U1386" s="965">
        <v>1212207</v>
      </c>
      <c r="V1386" s="487" t="s">
        <v>91</v>
      </c>
      <c r="W1386" s="486">
        <v>1</v>
      </c>
      <c r="X1386" s="486">
        <v>1</v>
      </c>
      <c r="Y1386" s="486">
        <v>1</v>
      </c>
      <c r="Z1386" s="486">
        <v>2</v>
      </c>
      <c r="AA1386" s="486"/>
      <c r="AB1386" s="486"/>
      <c r="AC1386" s="486"/>
      <c r="AD1386" s="486"/>
      <c r="AE1386" s="486"/>
      <c r="AF1386" s="486"/>
      <c r="AG1386" s="486"/>
      <c r="AH1386" s="486"/>
      <c r="AI1386" s="486"/>
      <c r="AJ1386" s="486"/>
      <c r="AK1386" s="486"/>
      <c r="AL1386" s="486"/>
      <c r="AM1386" s="486"/>
      <c r="AN1386" s="486"/>
      <c r="AO1386" s="486"/>
      <c r="AP1386" s="486"/>
      <c r="AQ1386" s="486"/>
      <c r="AR1386" s="486"/>
      <c r="AS1386" s="486"/>
      <c r="AT1386" s="486"/>
      <c r="AU1386" s="486"/>
      <c r="AV1386" s="486"/>
      <c r="AW1386" s="486"/>
      <c r="AX1386" s="486"/>
      <c r="AY1386" s="486"/>
      <c r="AZ1386" s="486"/>
      <c r="BA1386" s="486"/>
      <c r="BB1386" s="486"/>
      <c r="BC1386" s="486"/>
      <c r="BD1386" s="486"/>
      <c r="BF1386">
        <f>ROWS($U$46:U1386)</f>
        <v>1341</v>
      </c>
      <c r="BG1386" t="str">
        <f t="shared" si="226"/>
        <v/>
      </c>
    </row>
    <row r="1387" spans="14:59" x14ac:dyDescent="0.35">
      <c r="O1387" s="329">
        <v>1</v>
      </c>
      <c r="P1387" s="320">
        <v>1104083</v>
      </c>
      <c r="Q1387" s="320">
        <v>1</v>
      </c>
      <c r="R1387" s="320"/>
      <c r="S1387" s="320" t="s">
        <v>1319</v>
      </c>
      <c r="T1387" s="320" t="s">
        <v>1364</v>
      </c>
      <c r="U1387" s="320">
        <v>1214858</v>
      </c>
      <c r="V1387" s="319" t="s">
        <v>87</v>
      </c>
      <c r="W1387" s="320">
        <v>1</v>
      </c>
      <c r="X1387" s="320">
        <v>3</v>
      </c>
      <c r="Y1387" s="320">
        <v>2</v>
      </c>
      <c r="Z1387" s="320">
        <v>2</v>
      </c>
      <c r="AA1387" s="320">
        <v>2</v>
      </c>
      <c r="AB1387" s="320">
        <v>3</v>
      </c>
      <c r="AC1387" s="320">
        <v>4</v>
      </c>
      <c r="AD1387" s="320"/>
      <c r="AE1387" s="320">
        <v>5</v>
      </c>
      <c r="AF1387" s="320"/>
      <c r="AG1387" s="320"/>
      <c r="AH1387" s="320"/>
      <c r="AI1387" s="320"/>
      <c r="AJ1387" s="320"/>
      <c r="AK1387" s="320"/>
      <c r="AL1387" s="320"/>
      <c r="AM1387" s="320"/>
      <c r="AN1387" s="320"/>
      <c r="AO1387" s="320"/>
      <c r="AP1387" s="320"/>
      <c r="AQ1387" s="320"/>
      <c r="AR1387" s="320"/>
      <c r="AS1387" s="320"/>
      <c r="AT1387" s="320"/>
      <c r="AU1387" s="320"/>
      <c r="AV1387" s="320"/>
      <c r="AW1387" s="320"/>
      <c r="AX1387" s="320"/>
      <c r="AY1387" s="320"/>
      <c r="AZ1387" s="974"/>
      <c r="BA1387" s="320"/>
      <c r="BB1387" s="320"/>
      <c r="BC1387" s="320"/>
      <c r="BD1387" s="119"/>
      <c r="BF1387">
        <f>ROWS($U$46:U1387)</f>
        <v>1342</v>
      </c>
      <c r="BG1387" t="str">
        <f t="shared" si="226"/>
        <v/>
      </c>
    </row>
    <row r="1388" spans="14:59" x14ac:dyDescent="0.35">
      <c r="O1388" s="330">
        <v>2</v>
      </c>
      <c r="P1388" s="36">
        <v>1136984</v>
      </c>
      <c r="Q1388" s="36">
        <v>13</v>
      </c>
      <c r="R1388" s="36"/>
      <c r="S1388" s="36" t="s">
        <v>1319</v>
      </c>
      <c r="T1388" s="36" t="s">
        <v>1364</v>
      </c>
      <c r="U1388" s="36">
        <v>1214858</v>
      </c>
      <c r="V1388" s="165" t="s">
        <v>88</v>
      </c>
      <c r="W1388" s="36">
        <v>2</v>
      </c>
      <c r="X1388" s="36">
        <v>2</v>
      </c>
      <c r="Y1388" s="36">
        <v>3</v>
      </c>
      <c r="Z1388" s="36">
        <v>4</v>
      </c>
      <c r="AA1388" s="36"/>
      <c r="AB1388" s="36"/>
      <c r="AC1388" s="36"/>
      <c r="AD1388" s="36"/>
      <c r="AE1388" s="36">
        <v>5</v>
      </c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  <c r="AV1388" s="36"/>
      <c r="AW1388" s="36"/>
      <c r="AX1388" s="36"/>
      <c r="AY1388" s="36"/>
      <c r="AZ1388" s="961"/>
      <c r="BA1388" s="36"/>
      <c r="BB1388" s="36"/>
      <c r="BC1388" s="36"/>
      <c r="BD1388" s="27"/>
      <c r="BF1388">
        <f>ROWS($U$46:U1388)</f>
        <v>1343</v>
      </c>
      <c r="BG1388" t="str">
        <f t="shared" si="226"/>
        <v/>
      </c>
    </row>
    <row r="1389" spans="14:59" x14ac:dyDescent="0.35">
      <c r="N1389" t="s">
        <v>2014</v>
      </c>
      <c r="O1389" s="330">
        <v>3</v>
      </c>
      <c r="P1389" s="36">
        <v>1165770</v>
      </c>
      <c r="Q1389" s="36">
        <v>12</v>
      </c>
      <c r="R1389" s="36"/>
      <c r="S1389" s="36" t="s">
        <v>1319</v>
      </c>
      <c r="T1389" s="36" t="s">
        <v>1364</v>
      </c>
      <c r="U1389" s="36">
        <v>1214858</v>
      </c>
      <c r="V1389" s="165" t="s">
        <v>89</v>
      </c>
      <c r="W1389" s="36">
        <v>3</v>
      </c>
      <c r="X1389" s="36">
        <v>3</v>
      </c>
      <c r="Y1389" s="36">
        <v>2</v>
      </c>
      <c r="Z1389" s="36">
        <v>2</v>
      </c>
      <c r="AA1389" s="36">
        <v>3</v>
      </c>
      <c r="AB1389" s="36">
        <v>4</v>
      </c>
      <c r="AC1389" s="36"/>
      <c r="AD1389" s="36"/>
      <c r="AE1389" s="36">
        <v>5</v>
      </c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  <c r="AV1389" s="36"/>
      <c r="AW1389" s="36"/>
      <c r="AX1389" s="36"/>
      <c r="AY1389" s="36"/>
      <c r="AZ1389" s="961"/>
      <c r="BA1389" s="36"/>
      <c r="BB1389" s="36"/>
      <c r="BC1389" s="36"/>
      <c r="BD1389" s="27"/>
      <c r="BF1389">
        <f>ROWS($U$46:U1389)</f>
        <v>1344</v>
      </c>
      <c r="BG1389" t="str">
        <f t="shared" si="226"/>
        <v/>
      </c>
    </row>
    <row r="1390" spans="14:59" x14ac:dyDescent="0.35">
      <c r="O1390" s="330">
        <v>4</v>
      </c>
      <c r="P1390" s="36">
        <v>418525</v>
      </c>
      <c r="Q1390" s="36">
        <v>6</v>
      </c>
      <c r="R1390" s="36"/>
      <c r="S1390" s="36" t="s">
        <v>1319</v>
      </c>
      <c r="T1390" s="36" t="s">
        <v>1364</v>
      </c>
      <c r="U1390" s="36">
        <v>1214858</v>
      </c>
      <c r="V1390" s="165" t="s">
        <v>90</v>
      </c>
      <c r="W1390" s="36">
        <v>2</v>
      </c>
      <c r="X1390" s="36">
        <v>2</v>
      </c>
      <c r="Y1390" s="36">
        <v>3</v>
      </c>
      <c r="Z1390" s="36">
        <v>3</v>
      </c>
      <c r="AA1390" s="36">
        <v>4</v>
      </c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  <c r="AV1390" s="36"/>
      <c r="AW1390" s="36"/>
      <c r="AX1390" s="36"/>
      <c r="AY1390" s="36"/>
      <c r="AZ1390" s="961"/>
      <c r="BA1390" s="36"/>
      <c r="BB1390" s="36"/>
      <c r="BC1390" s="36"/>
      <c r="BD1390" s="27"/>
      <c r="BF1390">
        <f>ROWS($U$46:U1390)</f>
        <v>1345</v>
      </c>
      <c r="BG1390" t="str">
        <f t="shared" si="226"/>
        <v/>
      </c>
    </row>
    <row r="1391" spans="14:59" x14ac:dyDescent="0.35">
      <c r="O1391" s="330">
        <v>5</v>
      </c>
      <c r="P1391" s="36">
        <v>1101509</v>
      </c>
      <c r="Q1391" s="36">
        <v>5</v>
      </c>
      <c r="R1391" s="36"/>
      <c r="S1391" s="36" t="s">
        <v>1319</v>
      </c>
      <c r="T1391" s="36" t="s">
        <v>1364</v>
      </c>
      <c r="U1391" s="36">
        <v>1214858</v>
      </c>
      <c r="V1391" s="165" t="s">
        <v>91</v>
      </c>
      <c r="W1391" s="36">
        <v>3</v>
      </c>
      <c r="X1391" s="36">
        <v>3</v>
      </c>
      <c r="Y1391" s="36">
        <v>2</v>
      </c>
      <c r="Z1391" s="36">
        <v>2</v>
      </c>
      <c r="AA1391" s="36">
        <v>3</v>
      </c>
      <c r="AB1391" s="36">
        <v>4</v>
      </c>
      <c r="AC1391" s="36"/>
      <c r="AD1391" s="36"/>
      <c r="AE1391" s="36">
        <v>5</v>
      </c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  <c r="AV1391" s="36"/>
      <c r="AW1391" s="36"/>
      <c r="AX1391" s="36"/>
      <c r="AY1391" s="36"/>
      <c r="AZ1391" s="961"/>
      <c r="BA1391" s="36"/>
      <c r="BB1391" s="36"/>
      <c r="BC1391" s="36"/>
      <c r="BD1391" s="27"/>
      <c r="BF1391">
        <f>ROWS($U$46:U1391)</f>
        <v>1346</v>
      </c>
      <c r="BG1391" t="str">
        <f t="shared" ref="BG1391:BG1454" si="227">IF(VALUE(SUBSTITUTE($B$5,"M",""))=U1391,BF1391,"")</f>
        <v/>
      </c>
    </row>
    <row r="1392" spans="14:59" ht="15" thickBot="1" x14ac:dyDescent="0.4">
      <c r="O1392" s="331"/>
      <c r="P1392" s="328"/>
      <c r="Q1392" s="328"/>
      <c r="R1392" s="328"/>
      <c r="S1392" s="328" t="s">
        <v>1319</v>
      </c>
      <c r="T1392" s="328" t="s">
        <v>1364</v>
      </c>
      <c r="U1392" s="328">
        <v>1214858</v>
      </c>
      <c r="V1392" s="327" t="s">
        <v>92</v>
      </c>
      <c r="W1392" s="328">
        <v>2</v>
      </c>
      <c r="X1392" s="328">
        <v>2</v>
      </c>
      <c r="Y1392" s="328">
        <v>3</v>
      </c>
      <c r="Z1392" s="328">
        <v>4</v>
      </c>
      <c r="AA1392" s="328"/>
      <c r="AB1392" s="328"/>
      <c r="AC1392" s="328"/>
      <c r="AD1392" s="328"/>
      <c r="AE1392" s="328">
        <v>5</v>
      </c>
      <c r="AF1392" s="328"/>
      <c r="AG1392" s="328"/>
      <c r="AH1392" s="328"/>
      <c r="AI1392" s="328"/>
      <c r="AJ1392" s="328"/>
      <c r="AK1392" s="328"/>
      <c r="AL1392" s="328"/>
      <c r="AM1392" s="328"/>
      <c r="AN1392" s="328"/>
      <c r="AO1392" s="328"/>
      <c r="AP1392" s="328"/>
      <c r="AQ1392" s="328"/>
      <c r="AR1392" s="328"/>
      <c r="AS1392" s="328"/>
      <c r="AT1392" s="328"/>
      <c r="AU1392" s="328"/>
      <c r="AV1392" s="328"/>
      <c r="AW1392" s="328"/>
      <c r="AX1392" s="328"/>
      <c r="AY1392" s="328"/>
      <c r="AZ1392" s="962"/>
      <c r="BA1392" s="328"/>
      <c r="BB1392" s="328"/>
      <c r="BC1392" s="328"/>
      <c r="BD1392" s="31"/>
      <c r="BF1392">
        <f>ROWS($U$46:U1392)</f>
        <v>1347</v>
      </c>
      <c r="BG1392" t="str">
        <f t="shared" si="227"/>
        <v/>
      </c>
    </row>
    <row r="1393" spans="14:59" ht="15" thickBot="1" x14ac:dyDescent="0.4">
      <c r="O1393" s="329">
        <v>1</v>
      </c>
      <c r="P1393" s="320">
        <v>1104083</v>
      </c>
      <c r="Q1393" s="320">
        <v>1</v>
      </c>
      <c r="R1393" s="320"/>
      <c r="S1393" s="320" t="s">
        <v>1319</v>
      </c>
      <c r="T1393" s="320" t="s">
        <v>2009</v>
      </c>
      <c r="U1393" s="320">
        <v>1218197</v>
      </c>
      <c r="V1393" s="319" t="s">
        <v>87</v>
      </c>
      <c r="W1393" s="320">
        <v>1</v>
      </c>
      <c r="X1393" s="320">
        <v>3</v>
      </c>
      <c r="Y1393" s="320">
        <v>2</v>
      </c>
      <c r="Z1393" s="320">
        <v>2</v>
      </c>
      <c r="AA1393" s="320">
        <v>2</v>
      </c>
      <c r="AB1393" s="320">
        <v>3</v>
      </c>
      <c r="AC1393" s="320">
        <v>4</v>
      </c>
      <c r="AD1393" s="320"/>
      <c r="AE1393" s="320">
        <v>5</v>
      </c>
      <c r="AF1393" s="320"/>
      <c r="AG1393" s="320"/>
      <c r="AH1393" s="320"/>
      <c r="AI1393" s="320"/>
      <c r="AJ1393" s="320"/>
      <c r="AK1393" s="320"/>
      <c r="AL1393" s="320"/>
      <c r="AM1393" s="320"/>
      <c r="AN1393" s="320"/>
      <c r="AO1393" s="320"/>
      <c r="AP1393" s="320"/>
      <c r="AQ1393" s="320"/>
      <c r="AR1393" s="320"/>
      <c r="AS1393" s="320"/>
      <c r="AT1393" s="320"/>
      <c r="AU1393" s="320"/>
      <c r="AV1393" s="320"/>
      <c r="AW1393" s="320"/>
      <c r="AX1393" s="320"/>
      <c r="AY1393" s="320"/>
      <c r="AZ1393" s="974"/>
      <c r="BA1393" s="320"/>
      <c r="BB1393" s="320"/>
      <c r="BC1393" s="320"/>
      <c r="BD1393" s="119"/>
      <c r="BF1393">
        <f>ROWS($U$46:U1393)</f>
        <v>1348</v>
      </c>
      <c r="BG1393" t="str">
        <f t="shared" si="227"/>
        <v/>
      </c>
    </row>
    <row r="1394" spans="14:59" ht="15" thickBot="1" x14ac:dyDescent="0.4">
      <c r="O1394" s="330">
        <v>2</v>
      </c>
      <c r="P1394" s="36">
        <v>1136984</v>
      </c>
      <c r="Q1394" s="36">
        <v>13</v>
      </c>
      <c r="R1394" s="36"/>
      <c r="S1394" s="36" t="s">
        <v>1319</v>
      </c>
      <c r="T1394" s="320" t="s">
        <v>2009</v>
      </c>
      <c r="U1394" s="36">
        <v>1218197</v>
      </c>
      <c r="V1394" s="165" t="s">
        <v>88</v>
      </c>
      <c r="W1394" s="36">
        <v>2</v>
      </c>
      <c r="X1394" s="36">
        <v>2</v>
      </c>
      <c r="Y1394" s="36">
        <v>3</v>
      </c>
      <c r="Z1394" s="36">
        <v>4</v>
      </c>
      <c r="AA1394" s="36"/>
      <c r="AB1394" s="36"/>
      <c r="AC1394" s="36"/>
      <c r="AD1394" s="36"/>
      <c r="AE1394" s="36">
        <v>5</v>
      </c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  <c r="AV1394" s="36"/>
      <c r="AW1394" s="36"/>
      <c r="AX1394" s="36"/>
      <c r="AY1394" s="36"/>
      <c r="AZ1394" s="961"/>
      <c r="BA1394" s="36"/>
      <c r="BB1394" s="36"/>
      <c r="BC1394" s="36"/>
      <c r="BD1394" s="27"/>
      <c r="BF1394">
        <f>ROWS($U$46:U1394)</f>
        <v>1349</v>
      </c>
      <c r="BG1394" t="str">
        <f t="shared" si="227"/>
        <v/>
      </c>
    </row>
    <row r="1395" spans="14:59" ht="15" thickBot="1" x14ac:dyDescent="0.4">
      <c r="N1395" t="s">
        <v>2014</v>
      </c>
      <c r="O1395" s="330">
        <v>3</v>
      </c>
      <c r="P1395" s="36">
        <v>1100696</v>
      </c>
      <c r="Q1395" s="36">
        <v>12</v>
      </c>
      <c r="R1395" s="36"/>
      <c r="S1395" s="36" t="s">
        <v>1319</v>
      </c>
      <c r="T1395" s="320" t="s">
        <v>2009</v>
      </c>
      <c r="U1395" s="36">
        <v>1218197</v>
      </c>
      <c r="V1395" s="165" t="s">
        <v>89</v>
      </c>
      <c r="W1395" s="36">
        <v>3</v>
      </c>
      <c r="X1395" s="36">
        <v>3</v>
      </c>
      <c r="Y1395" s="36">
        <v>2</v>
      </c>
      <c r="Z1395" s="36">
        <v>2</v>
      </c>
      <c r="AA1395" s="36">
        <v>3</v>
      </c>
      <c r="AB1395" s="36">
        <v>4</v>
      </c>
      <c r="AC1395" s="36"/>
      <c r="AD1395" s="36"/>
      <c r="AE1395" s="36">
        <v>5</v>
      </c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  <c r="AV1395" s="36"/>
      <c r="AW1395" s="36"/>
      <c r="AX1395" s="36"/>
      <c r="AY1395" s="36"/>
      <c r="AZ1395" s="961"/>
      <c r="BA1395" s="36"/>
      <c r="BB1395" s="36"/>
      <c r="BC1395" s="36"/>
      <c r="BD1395" s="27"/>
      <c r="BF1395">
        <f>ROWS($U$46:U1395)</f>
        <v>1350</v>
      </c>
      <c r="BG1395" t="str">
        <f t="shared" si="227"/>
        <v/>
      </c>
    </row>
    <row r="1396" spans="14:59" ht="15" thickBot="1" x14ac:dyDescent="0.4">
      <c r="O1396" s="330">
        <v>4</v>
      </c>
      <c r="P1396" s="36">
        <v>418525</v>
      </c>
      <c r="Q1396" s="36">
        <v>6</v>
      </c>
      <c r="R1396" s="36"/>
      <c r="S1396" s="36" t="s">
        <v>1319</v>
      </c>
      <c r="T1396" s="320" t="s">
        <v>2009</v>
      </c>
      <c r="U1396" s="36">
        <v>1218197</v>
      </c>
      <c r="V1396" s="165" t="s">
        <v>90</v>
      </c>
      <c r="W1396" s="36">
        <v>2</v>
      </c>
      <c r="X1396" s="36">
        <v>2</v>
      </c>
      <c r="Y1396" s="36">
        <v>3</v>
      </c>
      <c r="Z1396" s="36">
        <v>3</v>
      </c>
      <c r="AA1396" s="36">
        <v>4</v>
      </c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  <c r="AV1396" s="36"/>
      <c r="AW1396" s="36"/>
      <c r="AX1396" s="36"/>
      <c r="AY1396" s="36"/>
      <c r="AZ1396" s="961"/>
      <c r="BA1396" s="36"/>
      <c r="BB1396" s="36"/>
      <c r="BC1396" s="36"/>
      <c r="BD1396" s="27"/>
      <c r="BF1396">
        <f>ROWS($U$46:U1396)</f>
        <v>1351</v>
      </c>
      <c r="BG1396" t="str">
        <f t="shared" si="227"/>
        <v/>
      </c>
    </row>
    <row r="1397" spans="14:59" ht="15" thickBot="1" x14ac:dyDescent="0.4">
      <c r="O1397" s="330">
        <v>5</v>
      </c>
      <c r="P1397" s="36">
        <v>1101509</v>
      </c>
      <c r="Q1397" s="36">
        <v>5</v>
      </c>
      <c r="R1397" s="36"/>
      <c r="S1397" s="36" t="s">
        <v>1319</v>
      </c>
      <c r="T1397" s="320" t="s">
        <v>2009</v>
      </c>
      <c r="U1397" s="36">
        <v>1218197</v>
      </c>
      <c r="V1397" s="165" t="s">
        <v>91</v>
      </c>
      <c r="W1397" s="36">
        <v>3</v>
      </c>
      <c r="X1397" s="36">
        <v>3</v>
      </c>
      <c r="Y1397" s="36">
        <v>2</v>
      </c>
      <c r="Z1397" s="36">
        <v>2</v>
      </c>
      <c r="AA1397" s="36">
        <v>3</v>
      </c>
      <c r="AB1397" s="36">
        <v>4</v>
      </c>
      <c r="AC1397" s="36"/>
      <c r="AD1397" s="36"/>
      <c r="AE1397" s="36">
        <v>5</v>
      </c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  <c r="AV1397" s="36"/>
      <c r="AW1397" s="36"/>
      <c r="AX1397" s="36"/>
      <c r="AY1397" s="36"/>
      <c r="AZ1397" s="961"/>
      <c r="BA1397" s="36"/>
      <c r="BB1397" s="36"/>
      <c r="BC1397" s="36"/>
      <c r="BD1397" s="27"/>
      <c r="BF1397">
        <f>ROWS($U$46:U1397)</f>
        <v>1352</v>
      </c>
      <c r="BG1397" t="str">
        <f t="shared" si="227"/>
        <v/>
      </c>
    </row>
    <row r="1398" spans="14:59" ht="15" thickBot="1" x14ac:dyDescent="0.4">
      <c r="O1398" s="331"/>
      <c r="P1398" s="328"/>
      <c r="Q1398" s="328"/>
      <c r="R1398" s="328"/>
      <c r="S1398" s="328" t="s">
        <v>1319</v>
      </c>
      <c r="T1398" s="320" t="s">
        <v>2009</v>
      </c>
      <c r="U1398" s="328">
        <v>1218197</v>
      </c>
      <c r="V1398" s="327" t="s">
        <v>92</v>
      </c>
      <c r="W1398" s="328">
        <v>2</v>
      </c>
      <c r="X1398" s="328">
        <v>2</v>
      </c>
      <c r="Y1398" s="328">
        <v>3</v>
      </c>
      <c r="Z1398" s="328">
        <v>4</v>
      </c>
      <c r="AA1398" s="328"/>
      <c r="AB1398" s="328"/>
      <c r="AC1398" s="328"/>
      <c r="AD1398" s="328"/>
      <c r="AE1398" s="328">
        <v>5</v>
      </c>
      <c r="AF1398" s="328"/>
      <c r="AG1398" s="328"/>
      <c r="AH1398" s="328"/>
      <c r="AI1398" s="328"/>
      <c r="AJ1398" s="328"/>
      <c r="AK1398" s="328"/>
      <c r="AL1398" s="328"/>
      <c r="AM1398" s="328"/>
      <c r="AN1398" s="328"/>
      <c r="AO1398" s="328"/>
      <c r="AP1398" s="328"/>
      <c r="AQ1398" s="328"/>
      <c r="AR1398" s="328"/>
      <c r="AS1398" s="328"/>
      <c r="AT1398" s="328"/>
      <c r="AU1398" s="328"/>
      <c r="AV1398" s="328"/>
      <c r="AW1398" s="328"/>
      <c r="AX1398" s="328"/>
      <c r="AY1398" s="328"/>
      <c r="AZ1398" s="962"/>
      <c r="BA1398" s="328"/>
      <c r="BB1398" s="328"/>
      <c r="BC1398" s="328"/>
      <c r="BD1398" s="31"/>
      <c r="BF1398">
        <f>ROWS($U$46:U1398)</f>
        <v>1353</v>
      </c>
      <c r="BG1398" t="str">
        <f t="shared" si="227"/>
        <v/>
      </c>
    </row>
    <row r="1399" spans="14:59" ht="15" thickBot="1" x14ac:dyDescent="0.4">
      <c r="O1399" s="329">
        <v>1</v>
      </c>
      <c r="P1399" s="320">
        <v>1145493</v>
      </c>
      <c r="Q1399" s="320">
        <v>25</v>
      </c>
      <c r="R1399" s="320"/>
      <c r="S1399" s="320" t="s">
        <v>1319</v>
      </c>
      <c r="T1399" s="320" t="s">
        <v>2010</v>
      </c>
      <c r="U1399" s="320">
        <v>1219697</v>
      </c>
      <c r="V1399" s="319" t="s">
        <v>87</v>
      </c>
      <c r="W1399" s="320">
        <v>1</v>
      </c>
      <c r="X1399" s="320">
        <v>1</v>
      </c>
      <c r="Y1399" s="320">
        <v>1</v>
      </c>
      <c r="Z1399" s="320">
        <v>1</v>
      </c>
      <c r="AA1399" s="320">
        <v>1</v>
      </c>
      <c r="AB1399" s="320">
        <v>1</v>
      </c>
      <c r="AC1399" s="320">
        <v>2</v>
      </c>
      <c r="AD1399" s="320"/>
      <c r="AE1399" s="320"/>
      <c r="AF1399" s="320"/>
      <c r="AG1399" s="320"/>
      <c r="AH1399" s="320"/>
      <c r="AI1399" s="320"/>
      <c r="AJ1399" s="320"/>
      <c r="AK1399" s="320"/>
      <c r="AL1399" s="320"/>
      <c r="AM1399" s="320"/>
      <c r="AN1399" s="320"/>
      <c r="AO1399" s="320"/>
      <c r="AP1399" s="320"/>
      <c r="AQ1399" s="320"/>
      <c r="AR1399" s="320"/>
      <c r="AS1399" s="320"/>
      <c r="AT1399" s="320"/>
      <c r="AU1399" s="320"/>
      <c r="AV1399" s="320"/>
      <c r="AW1399" s="320"/>
      <c r="AX1399" s="320"/>
      <c r="AY1399" s="320"/>
      <c r="AZ1399" s="974"/>
      <c r="BA1399" s="320"/>
      <c r="BB1399" s="320"/>
      <c r="BC1399" s="320"/>
      <c r="BD1399" s="119"/>
      <c r="BF1399">
        <f>ROWS($U$46:U1399)</f>
        <v>1354</v>
      </c>
      <c r="BG1399" t="str">
        <f t="shared" si="227"/>
        <v/>
      </c>
    </row>
    <row r="1400" spans="14:59" ht="15" thickBot="1" x14ac:dyDescent="0.4">
      <c r="O1400" s="330">
        <v>2</v>
      </c>
      <c r="P1400" s="36">
        <v>871781</v>
      </c>
      <c r="Q1400" s="36">
        <v>6</v>
      </c>
      <c r="R1400" s="36"/>
      <c r="S1400" s="36" t="s">
        <v>1319</v>
      </c>
      <c r="T1400" s="320" t="s">
        <v>2010</v>
      </c>
      <c r="U1400" s="36">
        <v>1219697</v>
      </c>
      <c r="V1400" s="165" t="s">
        <v>88</v>
      </c>
      <c r="W1400" s="36">
        <v>1</v>
      </c>
      <c r="X1400" s="36">
        <v>1</v>
      </c>
      <c r="Y1400" s="36">
        <v>1</v>
      </c>
      <c r="Z1400" s="36">
        <v>2</v>
      </c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  <c r="AV1400" s="36"/>
      <c r="AW1400" s="36"/>
      <c r="AX1400" s="36"/>
      <c r="AY1400" s="36"/>
      <c r="AZ1400" s="961"/>
      <c r="BA1400" s="36"/>
      <c r="BB1400" s="36"/>
      <c r="BC1400" s="36"/>
      <c r="BD1400" s="27"/>
      <c r="BF1400">
        <f>ROWS($U$46:U1400)</f>
        <v>1355</v>
      </c>
      <c r="BG1400" t="str">
        <f t="shared" si="227"/>
        <v/>
      </c>
    </row>
    <row r="1401" spans="14:59" ht="15" thickBot="1" x14ac:dyDescent="0.4">
      <c r="O1401" s="330"/>
      <c r="P1401" s="36"/>
      <c r="Q1401" s="36"/>
      <c r="R1401" s="36"/>
      <c r="S1401" s="36" t="s">
        <v>1319</v>
      </c>
      <c r="T1401" s="320" t="s">
        <v>2010</v>
      </c>
      <c r="U1401" s="36">
        <v>1219697</v>
      </c>
      <c r="V1401" s="165" t="s">
        <v>89</v>
      </c>
      <c r="W1401" s="36">
        <v>1</v>
      </c>
      <c r="X1401" s="36">
        <v>1</v>
      </c>
      <c r="Y1401" s="36">
        <v>1</v>
      </c>
      <c r="Z1401" s="36">
        <v>1</v>
      </c>
      <c r="AA1401" s="36">
        <v>1</v>
      </c>
      <c r="AB1401" s="36">
        <v>2</v>
      </c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  <c r="AV1401" s="36"/>
      <c r="AW1401" s="36"/>
      <c r="AX1401" s="36"/>
      <c r="AY1401" s="36"/>
      <c r="AZ1401" s="961"/>
      <c r="BA1401" s="36"/>
      <c r="BB1401" s="36"/>
      <c r="BC1401" s="36"/>
      <c r="BD1401" s="27"/>
      <c r="BF1401">
        <f>ROWS($U$46:U1401)</f>
        <v>1356</v>
      </c>
      <c r="BG1401" t="str">
        <f t="shared" si="227"/>
        <v/>
      </c>
    </row>
    <row r="1402" spans="14:59" ht="15" thickBot="1" x14ac:dyDescent="0.4">
      <c r="O1402" s="330"/>
      <c r="P1402" s="36"/>
      <c r="Q1402" s="36"/>
      <c r="R1402" s="36"/>
      <c r="S1402" s="36" t="s">
        <v>1319</v>
      </c>
      <c r="T1402" s="320" t="s">
        <v>2010</v>
      </c>
      <c r="U1402" s="36">
        <v>1219697</v>
      </c>
      <c r="V1402" s="165" t="s">
        <v>90</v>
      </c>
      <c r="W1402" s="36">
        <v>1</v>
      </c>
      <c r="X1402" s="36">
        <v>1</v>
      </c>
      <c r="Y1402" s="36">
        <v>1</v>
      </c>
      <c r="Z1402" s="36">
        <v>2</v>
      </c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  <c r="AV1402" s="36"/>
      <c r="AW1402" s="36"/>
      <c r="AX1402" s="36"/>
      <c r="AY1402" s="36"/>
      <c r="AZ1402" s="961"/>
      <c r="BA1402" s="36"/>
      <c r="BB1402" s="36"/>
      <c r="BC1402" s="36"/>
      <c r="BD1402" s="27"/>
      <c r="BF1402">
        <f>ROWS($U$46:U1402)</f>
        <v>1357</v>
      </c>
      <c r="BG1402" t="str">
        <f t="shared" si="227"/>
        <v/>
      </c>
    </row>
    <row r="1403" spans="14:59" ht="15" thickBot="1" x14ac:dyDescent="0.4">
      <c r="O1403" s="330"/>
      <c r="P1403" s="36"/>
      <c r="Q1403" s="36"/>
      <c r="R1403" s="36"/>
      <c r="S1403" s="36" t="s">
        <v>1319</v>
      </c>
      <c r="T1403" s="320" t="s">
        <v>2010</v>
      </c>
      <c r="U1403" s="36">
        <v>1219697</v>
      </c>
      <c r="V1403" s="165" t="s">
        <v>91</v>
      </c>
      <c r="W1403" s="36">
        <v>1</v>
      </c>
      <c r="X1403" s="36">
        <v>1</v>
      </c>
      <c r="Y1403" s="36">
        <v>1</v>
      </c>
      <c r="Z1403" s="36">
        <v>1</v>
      </c>
      <c r="AA1403" s="36">
        <v>1</v>
      </c>
      <c r="AB1403" s="36">
        <v>2</v>
      </c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  <c r="AV1403" s="36"/>
      <c r="AW1403" s="36"/>
      <c r="AX1403" s="36"/>
      <c r="AY1403" s="36"/>
      <c r="AZ1403" s="961"/>
      <c r="BA1403" s="36"/>
      <c r="BB1403" s="36"/>
      <c r="BC1403" s="36"/>
      <c r="BD1403" s="27"/>
      <c r="BF1403">
        <f>ROWS($U$46:U1403)</f>
        <v>1358</v>
      </c>
      <c r="BG1403" t="str">
        <f t="shared" si="227"/>
        <v/>
      </c>
    </row>
    <row r="1404" spans="14:59" ht="15" thickBot="1" x14ac:dyDescent="0.4">
      <c r="O1404" s="331"/>
      <c r="P1404" s="328"/>
      <c r="Q1404" s="328"/>
      <c r="R1404" s="328"/>
      <c r="S1404" s="328" t="s">
        <v>1319</v>
      </c>
      <c r="T1404" s="320" t="s">
        <v>2010</v>
      </c>
      <c r="U1404" s="328">
        <v>1219697</v>
      </c>
      <c r="V1404" s="327" t="s">
        <v>92</v>
      </c>
      <c r="W1404" s="328">
        <v>1</v>
      </c>
      <c r="X1404" s="328">
        <v>1</v>
      </c>
      <c r="Y1404" s="328">
        <v>1</v>
      </c>
      <c r="Z1404" s="328">
        <v>2</v>
      </c>
      <c r="AA1404" s="328"/>
      <c r="AB1404" s="328"/>
      <c r="AC1404" s="328"/>
      <c r="AD1404" s="328"/>
      <c r="AE1404" s="328"/>
      <c r="AF1404" s="328"/>
      <c r="AG1404" s="328"/>
      <c r="AH1404" s="328"/>
      <c r="AI1404" s="328"/>
      <c r="AJ1404" s="328"/>
      <c r="AK1404" s="328"/>
      <c r="AL1404" s="328"/>
      <c r="AM1404" s="328"/>
      <c r="AN1404" s="328"/>
      <c r="AO1404" s="328"/>
      <c r="AP1404" s="328"/>
      <c r="AQ1404" s="328"/>
      <c r="AR1404" s="328"/>
      <c r="AS1404" s="328"/>
      <c r="AT1404" s="328"/>
      <c r="AU1404" s="328"/>
      <c r="AV1404" s="328"/>
      <c r="AW1404" s="328"/>
      <c r="AX1404" s="328"/>
      <c r="AY1404" s="328"/>
      <c r="AZ1404" s="962"/>
      <c r="BA1404" s="328"/>
      <c r="BB1404" s="328"/>
      <c r="BC1404" s="328"/>
      <c r="BD1404" s="31"/>
      <c r="BF1404">
        <f>ROWS($U$46:U1404)</f>
        <v>1359</v>
      </c>
      <c r="BG1404" t="str">
        <f t="shared" si="227"/>
        <v/>
      </c>
    </row>
    <row r="1405" spans="14:59" ht="15" thickBot="1" x14ac:dyDescent="0.4">
      <c r="O1405" s="329">
        <v>1</v>
      </c>
      <c r="P1405" s="320">
        <v>1146740</v>
      </c>
      <c r="Q1405" s="320">
        <v>16</v>
      </c>
      <c r="R1405" s="320"/>
      <c r="S1405" s="320" t="s">
        <v>1319</v>
      </c>
      <c r="T1405" s="320" t="s">
        <v>1193</v>
      </c>
      <c r="U1405" s="320">
        <v>1172697</v>
      </c>
      <c r="V1405" s="319" t="s">
        <v>87</v>
      </c>
      <c r="W1405" s="320">
        <v>2</v>
      </c>
      <c r="X1405" s="320">
        <v>1</v>
      </c>
      <c r="Y1405" s="320">
        <v>1</v>
      </c>
      <c r="Z1405" s="320">
        <v>1</v>
      </c>
      <c r="AA1405" s="320">
        <v>1</v>
      </c>
      <c r="AB1405" s="320">
        <v>2</v>
      </c>
      <c r="AC1405" s="320">
        <v>3</v>
      </c>
      <c r="AD1405" s="320"/>
      <c r="AE1405" s="320"/>
      <c r="AF1405" s="320"/>
      <c r="AG1405" s="320"/>
      <c r="AH1405" s="320"/>
      <c r="AI1405" s="320"/>
      <c r="AJ1405" s="320"/>
      <c r="AK1405" s="320"/>
      <c r="AL1405" s="320"/>
      <c r="AM1405" s="320"/>
      <c r="AN1405" s="320"/>
      <c r="AO1405" s="320"/>
      <c r="AP1405" s="320"/>
      <c r="AQ1405" s="320"/>
      <c r="AR1405" s="320"/>
      <c r="AS1405" s="320"/>
      <c r="AT1405" s="320"/>
      <c r="AU1405" s="320"/>
      <c r="AV1405" s="320"/>
      <c r="AW1405" s="320"/>
      <c r="AX1405" s="320"/>
      <c r="AY1405" s="320"/>
      <c r="AZ1405" s="974"/>
      <c r="BA1405" s="320"/>
      <c r="BB1405" s="320"/>
      <c r="BC1405" s="320"/>
      <c r="BD1405" s="119"/>
      <c r="BF1405">
        <f>ROWS($U$46:U1405)</f>
        <v>1360</v>
      </c>
      <c r="BG1405" t="str">
        <f t="shared" si="227"/>
        <v/>
      </c>
    </row>
    <row r="1406" spans="14:59" ht="15" thickBot="1" x14ac:dyDescent="0.4">
      <c r="O1406" s="330">
        <v>2</v>
      </c>
      <c r="P1406" s="36">
        <v>1100696</v>
      </c>
      <c r="Q1406" s="36">
        <v>9</v>
      </c>
      <c r="R1406" s="36"/>
      <c r="S1406" s="36" t="s">
        <v>1319</v>
      </c>
      <c r="T1406" s="320" t="s">
        <v>1193</v>
      </c>
      <c r="U1406" s="36">
        <v>1172697</v>
      </c>
      <c r="V1406" s="165" t="s">
        <v>88</v>
      </c>
      <c r="W1406" s="36">
        <v>1</v>
      </c>
      <c r="X1406" s="36">
        <v>1</v>
      </c>
      <c r="Y1406" s="36">
        <v>2</v>
      </c>
      <c r="Z1406" s="36">
        <v>3</v>
      </c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  <c r="AV1406" s="36"/>
      <c r="AW1406" s="36"/>
      <c r="AX1406" s="36"/>
      <c r="AY1406" s="36"/>
      <c r="AZ1406" s="961"/>
      <c r="BA1406" s="36"/>
      <c r="BB1406" s="36"/>
      <c r="BC1406" s="36"/>
      <c r="BD1406" s="27"/>
      <c r="BF1406">
        <f>ROWS($U$46:U1406)</f>
        <v>1361</v>
      </c>
      <c r="BG1406" t="str">
        <f t="shared" si="227"/>
        <v/>
      </c>
    </row>
    <row r="1407" spans="14:59" ht="15" thickBot="1" x14ac:dyDescent="0.4">
      <c r="O1407" s="330">
        <v>3</v>
      </c>
      <c r="P1407" s="36">
        <v>871781</v>
      </c>
      <c r="Q1407" s="36">
        <v>6</v>
      </c>
      <c r="R1407" s="36"/>
      <c r="S1407" s="36" t="s">
        <v>1319</v>
      </c>
      <c r="T1407" s="320" t="s">
        <v>1193</v>
      </c>
      <c r="U1407" s="36">
        <v>1172697</v>
      </c>
      <c r="V1407" s="165" t="s">
        <v>89</v>
      </c>
      <c r="W1407" s="36">
        <v>2</v>
      </c>
      <c r="X1407" s="36">
        <v>1</v>
      </c>
      <c r="Y1407" s="36">
        <v>1</v>
      </c>
      <c r="Z1407" s="36">
        <v>1</v>
      </c>
      <c r="AA1407" s="36">
        <v>2</v>
      </c>
      <c r="AB1407" s="36">
        <v>3</v>
      </c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  <c r="AV1407" s="36"/>
      <c r="AW1407" s="36"/>
      <c r="AX1407" s="36"/>
      <c r="AY1407" s="36"/>
      <c r="AZ1407" s="961"/>
      <c r="BA1407" s="36"/>
      <c r="BB1407" s="36"/>
      <c r="BC1407" s="36"/>
      <c r="BD1407" s="27"/>
      <c r="BF1407">
        <f>ROWS($U$46:U1407)</f>
        <v>1362</v>
      </c>
      <c r="BG1407" t="str">
        <f t="shared" si="227"/>
        <v/>
      </c>
    </row>
    <row r="1408" spans="14:59" ht="15" thickBot="1" x14ac:dyDescent="0.4">
      <c r="O1408" s="330"/>
      <c r="P1408" s="36"/>
      <c r="Q1408" s="36"/>
      <c r="R1408" s="36"/>
      <c r="S1408" s="36" t="s">
        <v>1319</v>
      </c>
      <c r="T1408" s="320" t="s">
        <v>1193</v>
      </c>
      <c r="U1408" s="36">
        <v>1172697</v>
      </c>
      <c r="V1408" s="165" t="s">
        <v>90</v>
      </c>
      <c r="W1408" s="36">
        <v>1</v>
      </c>
      <c r="X1408" s="36">
        <v>1</v>
      </c>
      <c r="Y1408" s="36">
        <v>2</v>
      </c>
      <c r="Z1408" s="36">
        <v>3</v>
      </c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  <c r="AV1408" s="36"/>
      <c r="AW1408" s="36"/>
      <c r="AX1408" s="36"/>
      <c r="AY1408" s="36"/>
      <c r="AZ1408" s="961"/>
      <c r="BA1408" s="36"/>
      <c r="BB1408" s="36"/>
      <c r="BC1408" s="36"/>
      <c r="BD1408" s="27"/>
      <c r="BF1408">
        <f>ROWS($U$46:U1408)</f>
        <v>1363</v>
      </c>
      <c r="BG1408" t="str">
        <f t="shared" si="227"/>
        <v/>
      </c>
    </row>
    <row r="1409" spans="15:59" ht="15" thickBot="1" x14ac:dyDescent="0.4">
      <c r="O1409" s="330"/>
      <c r="P1409" s="36"/>
      <c r="Q1409" s="36"/>
      <c r="R1409" s="36"/>
      <c r="S1409" s="36" t="s">
        <v>1319</v>
      </c>
      <c r="T1409" s="320" t="s">
        <v>1193</v>
      </c>
      <c r="U1409" s="36">
        <v>1172697</v>
      </c>
      <c r="V1409" s="165" t="s">
        <v>91</v>
      </c>
      <c r="W1409" s="36">
        <v>2</v>
      </c>
      <c r="X1409" s="36">
        <v>1</v>
      </c>
      <c r="Y1409" s="36">
        <v>1</v>
      </c>
      <c r="Z1409" s="36">
        <v>1</v>
      </c>
      <c r="AA1409" s="36">
        <v>2</v>
      </c>
      <c r="AB1409" s="36">
        <v>3</v>
      </c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  <c r="AV1409" s="36"/>
      <c r="AW1409" s="36"/>
      <c r="AX1409" s="36"/>
      <c r="AY1409" s="36"/>
      <c r="AZ1409" s="961"/>
      <c r="BA1409" s="36"/>
      <c r="BB1409" s="36"/>
      <c r="BC1409" s="36"/>
      <c r="BD1409" s="27"/>
      <c r="BF1409">
        <f>ROWS($U$46:U1409)</f>
        <v>1364</v>
      </c>
      <c r="BG1409" t="str">
        <f t="shared" si="227"/>
        <v/>
      </c>
    </row>
    <row r="1410" spans="15:59" ht="15" thickBot="1" x14ac:dyDescent="0.4">
      <c r="O1410" s="331"/>
      <c r="P1410" s="328"/>
      <c r="Q1410" s="328"/>
      <c r="R1410" s="328"/>
      <c r="S1410" s="328" t="s">
        <v>1319</v>
      </c>
      <c r="T1410" s="320" t="s">
        <v>1193</v>
      </c>
      <c r="U1410" s="328">
        <v>1172697</v>
      </c>
      <c r="V1410" s="327" t="s">
        <v>92</v>
      </c>
      <c r="W1410" s="328">
        <v>1</v>
      </c>
      <c r="X1410" s="328">
        <v>1</v>
      </c>
      <c r="Y1410" s="328">
        <v>2</v>
      </c>
      <c r="Z1410" s="328">
        <v>3</v>
      </c>
      <c r="AA1410" s="328"/>
      <c r="AB1410" s="328"/>
      <c r="AC1410" s="328"/>
      <c r="AD1410" s="328"/>
      <c r="AE1410" s="328"/>
      <c r="AF1410" s="328"/>
      <c r="AG1410" s="328"/>
      <c r="AH1410" s="328"/>
      <c r="AI1410" s="328"/>
      <c r="AJ1410" s="328"/>
      <c r="AK1410" s="328"/>
      <c r="AL1410" s="328"/>
      <c r="AM1410" s="328"/>
      <c r="AN1410" s="328"/>
      <c r="AO1410" s="328"/>
      <c r="AP1410" s="328"/>
      <c r="AQ1410" s="328"/>
      <c r="AR1410" s="328"/>
      <c r="AS1410" s="328"/>
      <c r="AT1410" s="328"/>
      <c r="AU1410" s="328"/>
      <c r="AV1410" s="328"/>
      <c r="AW1410" s="328"/>
      <c r="AX1410" s="328"/>
      <c r="AY1410" s="328"/>
      <c r="AZ1410" s="962"/>
      <c r="BA1410" s="328"/>
      <c r="BB1410" s="328"/>
      <c r="BC1410" s="328"/>
      <c r="BD1410" s="31"/>
      <c r="BF1410">
        <f>ROWS($U$46:U1410)</f>
        <v>1365</v>
      </c>
      <c r="BG1410" t="str">
        <f t="shared" si="227"/>
        <v/>
      </c>
    </row>
    <row r="1411" spans="15:59" x14ac:dyDescent="0.35">
      <c r="O1411" s="329">
        <v>1</v>
      </c>
      <c r="P1411" s="320">
        <v>179734</v>
      </c>
      <c r="Q1411" s="320">
        <v>98</v>
      </c>
      <c r="R1411" s="320"/>
      <c r="S1411" s="968" t="s">
        <v>2017</v>
      </c>
      <c r="T1411" s="320" t="s">
        <v>2018</v>
      </c>
      <c r="U1411" s="320">
        <v>1176225</v>
      </c>
      <c r="V1411" s="319" t="s">
        <v>87</v>
      </c>
      <c r="W1411" s="320">
        <v>2</v>
      </c>
      <c r="X1411" s="320">
        <v>2</v>
      </c>
      <c r="Y1411" s="320">
        <v>2</v>
      </c>
      <c r="Z1411" s="320">
        <v>2</v>
      </c>
      <c r="AA1411" s="320">
        <v>2</v>
      </c>
      <c r="AB1411" s="320">
        <v>2</v>
      </c>
      <c r="AC1411" s="320">
        <v>2</v>
      </c>
      <c r="AD1411" s="320">
        <v>2</v>
      </c>
      <c r="AE1411" s="320">
        <v>2</v>
      </c>
      <c r="AF1411" s="320">
        <v>2</v>
      </c>
      <c r="AG1411" s="320">
        <v>2</v>
      </c>
      <c r="AH1411" s="320">
        <v>2</v>
      </c>
      <c r="AI1411" s="320">
        <v>2</v>
      </c>
      <c r="AJ1411" s="320">
        <v>2</v>
      </c>
      <c r="AK1411" s="320">
        <v>2</v>
      </c>
      <c r="AL1411" s="320">
        <v>3</v>
      </c>
      <c r="AM1411" s="320">
        <v>3</v>
      </c>
      <c r="AN1411" s="320">
        <v>4</v>
      </c>
      <c r="AO1411" s="320">
        <v>1</v>
      </c>
      <c r="AP1411" s="320">
        <v>1</v>
      </c>
      <c r="AQ1411" s="320">
        <v>1</v>
      </c>
      <c r="AR1411" s="320">
        <v>1</v>
      </c>
      <c r="AS1411" s="320">
        <v>1</v>
      </c>
      <c r="AT1411" s="320">
        <v>1</v>
      </c>
      <c r="AU1411" s="320">
        <v>1</v>
      </c>
      <c r="AV1411" s="320">
        <v>1</v>
      </c>
      <c r="AW1411" s="320">
        <v>1</v>
      </c>
      <c r="AX1411" s="320">
        <v>1</v>
      </c>
      <c r="AY1411" s="320">
        <v>1</v>
      </c>
      <c r="AZ1411" s="320">
        <v>1</v>
      </c>
      <c r="BA1411" s="320">
        <v>1</v>
      </c>
      <c r="BB1411" s="320">
        <v>1</v>
      </c>
      <c r="BC1411" s="320">
        <v>1</v>
      </c>
      <c r="BD1411" s="320">
        <v>1</v>
      </c>
      <c r="BF1411">
        <f>ROWS($U$46:U1411)</f>
        <v>1366</v>
      </c>
      <c r="BG1411" t="str">
        <f t="shared" si="227"/>
        <v/>
      </c>
    </row>
    <row r="1412" spans="15:59" x14ac:dyDescent="0.35">
      <c r="O1412" s="330">
        <v>2</v>
      </c>
      <c r="P1412" s="36">
        <v>1165884</v>
      </c>
      <c r="Q1412" s="36">
        <v>84</v>
      </c>
      <c r="R1412" s="36"/>
      <c r="S1412" s="969" t="s">
        <v>2017</v>
      </c>
      <c r="T1412" s="36" t="s">
        <v>2018</v>
      </c>
      <c r="U1412" s="36">
        <v>1176225</v>
      </c>
      <c r="V1412" s="165" t="s">
        <v>88</v>
      </c>
      <c r="W1412" s="36">
        <v>2</v>
      </c>
      <c r="X1412" s="36">
        <v>2</v>
      </c>
      <c r="Y1412" s="36">
        <v>2</v>
      </c>
      <c r="Z1412" s="36">
        <v>2</v>
      </c>
      <c r="AA1412" s="36">
        <v>2</v>
      </c>
      <c r="AB1412" s="36">
        <v>2</v>
      </c>
      <c r="AC1412" s="36">
        <v>2</v>
      </c>
      <c r="AD1412" s="36">
        <v>2</v>
      </c>
      <c r="AE1412" s="36">
        <v>2</v>
      </c>
      <c r="AF1412" s="36">
        <v>2</v>
      </c>
      <c r="AG1412" s="36">
        <v>3</v>
      </c>
      <c r="AH1412" s="36">
        <v>3</v>
      </c>
      <c r="AI1412" s="36">
        <v>4</v>
      </c>
      <c r="AJ1412" s="36"/>
      <c r="AK1412" s="36"/>
      <c r="AL1412" s="36"/>
      <c r="AM1412" s="36"/>
      <c r="AN1412" s="36"/>
      <c r="AO1412" s="36">
        <v>1</v>
      </c>
      <c r="AP1412" s="36">
        <v>1</v>
      </c>
      <c r="AQ1412" s="36">
        <v>1</v>
      </c>
      <c r="AR1412" s="36">
        <v>1</v>
      </c>
      <c r="AS1412" s="36">
        <v>1</v>
      </c>
      <c r="AT1412" s="36">
        <v>1</v>
      </c>
      <c r="AU1412" s="36">
        <v>1</v>
      </c>
      <c r="AV1412" s="36">
        <v>1</v>
      </c>
      <c r="AW1412" s="36">
        <v>1</v>
      </c>
      <c r="AX1412" s="36">
        <v>1</v>
      </c>
      <c r="AY1412" s="36">
        <v>1</v>
      </c>
      <c r="AZ1412" s="36">
        <v>1</v>
      </c>
      <c r="BA1412" s="36"/>
      <c r="BB1412" s="36"/>
      <c r="BC1412" s="36"/>
      <c r="BD1412" s="27"/>
      <c r="BF1412">
        <f>ROWS($U$46:U1412)</f>
        <v>1367</v>
      </c>
      <c r="BG1412" t="str">
        <f t="shared" si="227"/>
        <v/>
      </c>
    </row>
    <row r="1413" spans="15:59" x14ac:dyDescent="0.35">
      <c r="O1413" s="330">
        <v>3</v>
      </c>
      <c r="P1413" s="36">
        <v>1165882</v>
      </c>
      <c r="Q1413" s="36">
        <v>14</v>
      </c>
      <c r="R1413" s="36"/>
      <c r="S1413" s="969" t="s">
        <v>2017</v>
      </c>
      <c r="T1413" s="36" t="s">
        <v>2018</v>
      </c>
      <c r="U1413" s="36">
        <v>1176225</v>
      </c>
      <c r="V1413" s="165" t="s">
        <v>89</v>
      </c>
      <c r="W1413" s="36">
        <v>2</v>
      </c>
      <c r="X1413" s="36">
        <v>2</v>
      </c>
      <c r="Y1413" s="36">
        <v>2</v>
      </c>
      <c r="Z1413" s="36">
        <v>2</v>
      </c>
      <c r="AA1413" s="36">
        <v>2</v>
      </c>
      <c r="AB1413" s="36">
        <v>2</v>
      </c>
      <c r="AC1413" s="36">
        <v>2</v>
      </c>
      <c r="AD1413" s="36">
        <v>2</v>
      </c>
      <c r="AE1413" s="36">
        <v>2</v>
      </c>
      <c r="AF1413" s="36">
        <v>2</v>
      </c>
      <c r="AG1413" s="36">
        <v>3</v>
      </c>
      <c r="AH1413" s="36">
        <v>3</v>
      </c>
      <c r="AI1413" s="36">
        <v>4</v>
      </c>
      <c r="AJ1413" s="36"/>
      <c r="AK1413" s="36"/>
      <c r="AL1413" s="36"/>
      <c r="AM1413" s="36"/>
      <c r="AN1413" s="36"/>
      <c r="AO1413" s="36">
        <v>1</v>
      </c>
      <c r="AP1413" s="36">
        <v>1</v>
      </c>
      <c r="AQ1413" s="36">
        <v>1</v>
      </c>
      <c r="AR1413" s="36">
        <v>1</v>
      </c>
      <c r="AS1413" s="36">
        <v>1</v>
      </c>
      <c r="AT1413" s="36">
        <v>1</v>
      </c>
      <c r="AU1413" s="36">
        <v>1</v>
      </c>
      <c r="AV1413" s="36">
        <v>1</v>
      </c>
      <c r="AW1413" s="36">
        <v>1</v>
      </c>
      <c r="AX1413" s="36">
        <v>1</v>
      </c>
      <c r="AY1413" s="36">
        <v>1</v>
      </c>
      <c r="AZ1413" s="36">
        <v>1</v>
      </c>
      <c r="BA1413" s="36"/>
      <c r="BB1413" s="36"/>
      <c r="BC1413" s="36"/>
      <c r="BD1413" s="27"/>
      <c r="BF1413">
        <f>ROWS($U$46:U1413)</f>
        <v>1368</v>
      </c>
      <c r="BG1413" t="str">
        <f t="shared" si="227"/>
        <v/>
      </c>
    </row>
    <row r="1414" spans="15:59" x14ac:dyDescent="0.35">
      <c r="O1414" s="330">
        <v>4</v>
      </c>
      <c r="P1414" s="36">
        <v>418525</v>
      </c>
      <c r="Q1414" s="36">
        <v>7</v>
      </c>
      <c r="R1414" s="36"/>
      <c r="S1414" s="969" t="s">
        <v>2017</v>
      </c>
      <c r="T1414" s="36" t="s">
        <v>2018</v>
      </c>
      <c r="U1414" s="36">
        <v>1176225</v>
      </c>
      <c r="V1414" s="165" t="s">
        <v>90</v>
      </c>
      <c r="W1414" s="36">
        <v>2</v>
      </c>
      <c r="X1414" s="36">
        <v>2</v>
      </c>
      <c r="Y1414" s="36">
        <v>2</v>
      </c>
      <c r="Z1414" s="36">
        <v>2</v>
      </c>
      <c r="AA1414" s="36">
        <v>2</v>
      </c>
      <c r="AB1414" s="36">
        <v>2</v>
      </c>
      <c r="AC1414" s="36">
        <v>2</v>
      </c>
      <c r="AD1414" s="36">
        <v>2</v>
      </c>
      <c r="AE1414" s="36">
        <v>2</v>
      </c>
      <c r="AF1414" s="36">
        <v>2</v>
      </c>
      <c r="AG1414" s="36">
        <v>2</v>
      </c>
      <c r="AH1414" s="36">
        <v>2</v>
      </c>
      <c r="AI1414" s="36">
        <v>2</v>
      </c>
      <c r="AJ1414" s="36">
        <v>2</v>
      </c>
      <c r="AK1414" s="36">
        <v>3</v>
      </c>
      <c r="AL1414" s="36">
        <v>3</v>
      </c>
      <c r="AM1414" s="36">
        <v>4</v>
      </c>
      <c r="AN1414" s="36"/>
      <c r="AO1414" s="36">
        <v>1</v>
      </c>
      <c r="AP1414" s="36">
        <v>1</v>
      </c>
      <c r="AQ1414" s="36">
        <v>1</v>
      </c>
      <c r="AR1414" s="36">
        <v>1</v>
      </c>
      <c r="AS1414" s="36">
        <v>1</v>
      </c>
      <c r="AT1414" s="36">
        <v>1</v>
      </c>
      <c r="AU1414" s="36">
        <v>1</v>
      </c>
      <c r="AV1414" s="36">
        <v>1</v>
      </c>
      <c r="AW1414" s="36">
        <v>1</v>
      </c>
      <c r="AX1414" s="36">
        <v>1</v>
      </c>
      <c r="AY1414" s="36">
        <v>1</v>
      </c>
      <c r="AZ1414" s="36">
        <v>1</v>
      </c>
      <c r="BA1414" s="36">
        <v>1</v>
      </c>
      <c r="BB1414" s="36">
        <v>1</v>
      </c>
      <c r="BC1414" s="36">
        <v>1</v>
      </c>
      <c r="BD1414" s="27">
        <v>1</v>
      </c>
      <c r="BF1414">
        <f>ROWS($U$46:U1414)</f>
        <v>1369</v>
      </c>
      <c r="BG1414" t="str">
        <f t="shared" si="227"/>
        <v/>
      </c>
    </row>
    <row r="1415" spans="15:59" x14ac:dyDescent="0.35">
      <c r="O1415" s="330"/>
      <c r="P1415" s="36"/>
      <c r="Q1415" s="36"/>
      <c r="R1415" s="36"/>
      <c r="S1415" s="969" t="s">
        <v>2017</v>
      </c>
      <c r="T1415" s="36" t="s">
        <v>2018</v>
      </c>
      <c r="U1415" s="36">
        <v>1176225</v>
      </c>
      <c r="V1415" s="165" t="s">
        <v>91</v>
      </c>
      <c r="W1415" s="36">
        <v>2</v>
      </c>
      <c r="X1415" s="36">
        <v>2</v>
      </c>
      <c r="Y1415" s="36">
        <v>2</v>
      </c>
      <c r="Z1415" s="36">
        <v>2</v>
      </c>
      <c r="AA1415" s="36">
        <v>2</v>
      </c>
      <c r="AB1415" s="36">
        <v>2</v>
      </c>
      <c r="AC1415" s="36">
        <v>2</v>
      </c>
      <c r="AD1415" s="36">
        <v>2</v>
      </c>
      <c r="AE1415" s="36">
        <v>2</v>
      </c>
      <c r="AF1415" s="36">
        <v>2</v>
      </c>
      <c r="AG1415" s="36">
        <v>3</v>
      </c>
      <c r="AH1415" s="36">
        <v>3</v>
      </c>
      <c r="AI1415" s="36">
        <v>4</v>
      </c>
      <c r="AJ1415" s="36"/>
      <c r="AK1415" s="36"/>
      <c r="AL1415" s="36"/>
      <c r="AM1415" s="36"/>
      <c r="AN1415" s="36"/>
      <c r="AO1415" s="36">
        <v>1</v>
      </c>
      <c r="AP1415" s="36">
        <v>1</v>
      </c>
      <c r="AQ1415" s="36">
        <v>1</v>
      </c>
      <c r="AR1415" s="36">
        <v>1</v>
      </c>
      <c r="AS1415" s="36">
        <v>1</v>
      </c>
      <c r="AT1415" s="36">
        <v>1</v>
      </c>
      <c r="AU1415" s="36">
        <v>1</v>
      </c>
      <c r="AV1415" s="36">
        <v>1</v>
      </c>
      <c r="AW1415" s="36">
        <v>1</v>
      </c>
      <c r="AX1415" s="36">
        <v>1</v>
      </c>
      <c r="AY1415" s="36">
        <v>1</v>
      </c>
      <c r="AZ1415" s="36">
        <v>1</v>
      </c>
      <c r="BA1415" s="36"/>
      <c r="BB1415" s="36"/>
      <c r="BC1415" s="36"/>
      <c r="BD1415" s="27"/>
      <c r="BF1415">
        <f>ROWS($U$46:U1415)</f>
        <v>1370</v>
      </c>
      <c r="BG1415" t="str">
        <f t="shared" si="227"/>
        <v/>
      </c>
    </row>
    <row r="1416" spans="15:59" x14ac:dyDescent="0.35">
      <c r="O1416" s="330"/>
      <c r="P1416" s="36"/>
      <c r="Q1416" s="36"/>
      <c r="R1416" s="36"/>
      <c r="S1416" s="969" t="s">
        <v>2017</v>
      </c>
      <c r="T1416" s="36" t="s">
        <v>2018</v>
      </c>
      <c r="U1416" s="36">
        <v>1176225</v>
      </c>
      <c r="V1416" s="165" t="s">
        <v>92</v>
      </c>
      <c r="W1416" s="36">
        <v>2</v>
      </c>
      <c r="X1416" s="36">
        <v>2</v>
      </c>
      <c r="Y1416" s="36">
        <v>2</v>
      </c>
      <c r="Z1416" s="36">
        <v>2</v>
      </c>
      <c r="AA1416" s="36">
        <v>2</v>
      </c>
      <c r="AB1416" s="36">
        <v>2</v>
      </c>
      <c r="AC1416" s="36">
        <v>2</v>
      </c>
      <c r="AD1416" s="36">
        <v>2</v>
      </c>
      <c r="AE1416" s="36">
        <v>2</v>
      </c>
      <c r="AF1416" s="36">
        <v>2</v>
      </c>
      <c r="AG1416" s="36">
        <v>2</v>
      </c>
      <c r="AH1416" s="36">
        <v>2</v>
      </c>
      <c r="AI1416" s="36">
        <v>2</v>
      </c>
      <c r="AJ1416" s="36">
        <v>2</v>
      </c>
      <c r="AK1416" s="36">
        <v>2</v>
      </c>
      <c r="AL1416" s="36">
        <v>3</v>
      </c>
      <c r="AM1416" s="36">
        <v>3</v>
      </c>
      <c r="AN1416" s="36">
        <v>4</v>
      </c>
      <c r="AO1416" s="36">
        <v>1</v>
      </c>
      <c r="AP1416" s="36">
        <v>1</v>
      </c>
      <c r="AQ1416" s="36">
        <v>1</v>
      </c>
      <c r="AR1416" s="36">
        <v>1</v>
      </c>
      <c r="AS1416" s="36">
        <v>1</v>
      </c>
      <c r="AT1416" s="36">
        <v>1</v>
      </c>
      <c r="AU1416" s="36">
        <v>1</v>
      </c>
      <c r="AV1416" s="36">
        <v>1</v>
      </c>
      <c r="AW1416" s="36">
        <v>1</v>
      </c>
      <c r="AX1416" s="36">
        <v>1</v>
      </c>
      <c r="AY1416" s="36">
        <v>1</v>
      </c>
      <c r="AZ1416" s="36">
        <v>1</v>
      </c>
      <c r="BA1416" s="36">
        <v>1</v>
      </c>
      <c r="BB1416" s="36">
        <v>1</v>
      </c>
      <c r="BC1416" s="36">
        <v>1</v>
      </c>
      <c r="BD1416" s="27">
        <v>1</v>
      </c>
      <c r="BF1416">
        <f>ROWS($U$46:U1416)</f>
        <v>1371</v>
      </c>
      <c r="BG1416" t="str">
        <f t="shared" si="227"/>
        <v/>
      </c>
    </row>
    <row r="1417" spans="15:59" ht="15" thickBot="1" x14ac:dyDescent="0.4">
      <c r="O1417" s="331"/>
      <c r="P1417" s="328"/>
      <c r="Q1417" s="328"/>
      <c r="R1417" s="328"/>
      <c r="S1417" s="975" t="s">
        <v>2017</v>
      </c>
      <c r="T1417" s="328" t="s">
        <v>2018</v>
      </c>
      <c r="U1417" s="328">
        <v>1176225</v>
      </c>
      <c r="V1417" s="327" t="s">
        <v>111</v>
      </c>
      <c r="W1417" s="328">
        <v>2</v>
      </c>
      <c r="X1417" s="328">
        <v>2</v>
      </c>
      <c r="Y1417" s="328">
        <v>2</v>
      </c>
      <c r="Z1417" s="328">
        <v>2</v>
      </c>
      <c r="AA1417" s="328">
        <v>2</v>
      </c>
      <c r="AB1417" s="328">
        <v>2</v>
      </c>
      <c r="AC1417" s="328">
        <v>2</v>
      </c>
      <c r="AD1417" s="328">
        <v>2</v>
      </c>
      <c r="AE1417" s="328">
        <v>2</v>
      </c>
      <c r="AF1417" s="328">
        <v>2</v>
      </c>
      <c r="AG1417" s="328">
        <v>3</v>
      </c>
      <c r="AH1417" s="328">
        <v>3</v>
      </c>
      <c r="AI1417" s="328">
        <v>4</v>
      </c>
      <c r="AJ1417" s="328"/>
      <c r="AK1417" s="328"/>
      <c r="AL1417" s="328"/>
      <c r="AM1417" s="328"/>
      <c r="AN1417" s="328"/>
      <c r="AO1417" s="328">
        <v>1</v>
      </c>
      <c r="AP1417" s="328">
        <v>1</v>
      </c>
      <c r="AQ1417" s="328">
        <v>1</v>
      </c>
      <c r="AR1417" s="328">
        <v>1</v>
      </c>
      <c r="AS1417" s="328">
        <v>1</v>
      </c>
      <c r="AT1417" s="328">
        <v>1</v>
      </c>
      <c r="AU1417" s="328">
        <v>1</v>
      </c>
      <c r="AV1417" s="328">
        <v>1</v>
      </c>
      <c r="AW1417" s="328">
        <v>1</v>
      </c>
      <c r="AX1417" s="328">
        <v>1</v>
      </c>
      <c r="AY1417" s="328">
        <v>1</v>
      </c>
      <c r="AZ1417" s="328">
        <v>1</v>
      </c>
      <c r="BA1417" s="328"/>
      <c r="BB1417" s="328"/>
      <c r="BC1417" s="328"/>
      <c r="BD1417" s="31"/>
      <c r="BF1417">
        <f>ROWS($U$46:U1417)</f>
        <v>1372</v>
      </c>
      <c r="BG1417" t="str">
        <f t="shared" si="227"/>
        <v/>
      </c>
    </row>
    <row r="1418" spans="15:59" x14ac:dyDescent="0.35">
      <c r="O1418" s="329">
        <v>1</v>
      </c>
      <c r="P1418" s="320">
        <v>1165842</v>
      </c>
      <c r="Q1418" s="320">
        <v>48</v>
      </c>
      <c r="R1418" s="320"/>
      <c r="S1418" s="320" t="s">
        <v>2017</v>
      </c>
      <c r="T1418" s="320" t="s">
        <v>2022</v>
      </c>
      <c r="U1418" s="320">
        <v>1137408</v>
      </c>
      <c r="V1418" s="319" t="s">
        <v>87</v>
      </c>
      <c r="W1418" s="320">
        <v>2</v>
      </c>
      <c r="X1418" s="320">
        <v>2</v>
      </c>
      <c r="Y1418" s="320">
        <v>2</v>
      </c>
      <c r="Z1418" s="320">
        <v>2</v>
      </c>
      <c r="AA1418" s="320">
        <v>2</v>
      </c>
      <c r="AB1418" s="320">
        <v>2</v>
      </c>
      <c r="AC1418" s="320">
        <v>2</v>
      </c>
      <c r="AD1418" s="320">
        <v>2</v>
      </c>
      <c r="AE1418" s="320">
        <v>3</v>
      </c>
      <c r="AF1418" s="320">
        <v>1</v>
      </c>
      <c r="AG1418" s="320">
        <v>1</v>
      </c>
      <c r="AH1418" s="320">
        <v>1</v>
      </c>
      <c r="AI1418" s="320">
        <v>1</v>
      </c>
      <c r="AJ1418" s="320">
        <v>1</v>
      </c>
      <c r="AK1418" s="320">
        <v>1</v>
      </c>
      <c r="AL1418" s="320">
        <v>1</v>
      </c>
      <c r="AM1418" s="320">
        <v>1</v>
      </c>
      <c r="AN1418" s="320">
        <v>3</v>
      </c>
      <c r="AO1418" s="320">
        <v>5</v>
      </c>
      <c r="AP1418" s="320"/>
      <c r="AQ1418" s="320">
        <v>4</v>
      </c>
      <c r="AR1418" s="320">
        <v>4</v>
      </c>
      <c r="AS1418" s="320">
        <v>4</v>
      </c>
      <c r="AT1418" s="320"/>
      <c r="AU1418" s="320"/>
      <c r="AV1418" s="320"/>
      <c r="AW1418" s="320"/>
      <c r="AX1418" s="320"/>
      <c r="AY1418" s="320"/>
      <c r="AZ1418" s="974"/>
      <c r="BA1418" s="320"/>
      <c r="BB1418" s="320"/>
      <c r="BC1418" s="320"/>
      <c r="BD1418" s="119"/>
      <c r="BF1418">
        <f>ROWS($U$46:U1418)</f>
        <v>1373</v>
      </c>
      <c r="BG1418" t="str">
        <f t="shared" si="227"/>
        <v/>
      </c>
    </row>
    <row r="1419" spans="15:59" x14ac:dyDescent="0.35">
      <c r="O1419" s="330">
        <v>2</v>
      </c>
      <c r="P1419" s="36">
        <v>647436</v>
      </c>
      <c r="Q1419" s="36">
        <v>22</v>
      </c>
      <c r="R1419" s="36"/>
      <c r="S1419" s="36" t="s">
        <v>2017</v>
      </c>
      <c r="T1419" s="36" t="s">
        <v>2022</v>
      </c>
      <c r="U1419" s="36">
        <v>1137408</v>
      </c>
      <c r="V1419" s="165" t="s">
        <v>88</v>
      </c>
      <c r="W1419" s="36">
        <v>3</v>
      </c>
      <c r="X1419" s="36">
        <v>1</v>
      </c>
      <c r="Y1419" s="36">
        <v>1</v>
      </c>
      <c r="Z1419" s="36">
        <v>1</v>
      </c>
      <c r="AA1419" s="36">
        <v>1</v>
      </c>
      <c r="AB1419" s="36">
        <v>1</v>
      </c>
      <c r="AC1419" s="36">
        <v>1</v>
      </c>
      <c r="AD1419" s="36">
        <v>1</v>
      </c>
      <c r="AE1419" s="36">
        <v>1</v>
      </c>
      <c r="AF1419" s="36">
        <v>3</v>
      </c>
      <c r="AG1419" s="36">
        <v>5</v>
      </c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>
        <v>4</v>
      </c>
      <c r="AR1419" s="36">
        <v>4</v>
      </c>
      <c r="AS1419" s="36">
        <v>4</v>
      </c>
      <c r="AT1419" s="36"/>
      <c r="AU1419" s="36"/>
      <c r="AV1419" s="36"/>
      <c r="AW1419" s="36"/>
      <c r="AX1419" s="36"/>
      <c r="AY1419" s="36"/>
      <c r="AZ1419" s="961"/>
      <c r="BA1419" s="36"/>
      <c r="BB1419" s="36"/>
      <c r="BC1419" s="36"/>
      <c r="BD1419" s="27"/>
      <c r="BF1419">
        <f>ROWS($U$46:U1419)</f>
        <v>1374</v>
      </c>
      <c r="BG1419" t="str">
        <f t="shared" si="227"/>
        <v/>
      </c>
    </row>
    <row r="1420" spans="15:59" x14ac:dyDescent="0.35">
      <c r="O1420" s="330">
        <v>3</v>
      </c>
      <c r="P1420" s="36">
        <v>708306</v>
      </c>
      <c r="Q1420" s="36">
        <v>12</v>
      </c>
      <c r="R1420" s="36"/>
      <c r="S1420" s="36" t="s">
        <v>2017</v>
      </c>
      <c r="T1420" s="36" t="s">
        <v>2022</v>
      </c>
      <c r="U1420" s="36">
        <v>1137408</v>
      </c>
      <c r="V1420" s="165" t="s">
        <v>89</v>
      </c>
      <c r="W1420" s="36">
        <v>2</v>
      </c>
      <c r="X1420" s="36">
        <v>2</v>
      </c>
      <c r="Y1420" s="36">
        <v>2</v>
      </c>
      <c r="Z1420" s="36">
        <v>2</v>
      </c>
      <c r="AA1420" s="36">
        <v>2</v>
      </c>
      <c r="AB1420" s="36">
        <v>2</v>
      </c>
      <c r="AC1420" s="36">
        <v>2</v>
      </c>
      <c r="AD1420" s="36">
        <v>3</v>
      </c>
      <c r="AE1420" s="36">
        <v>1</v>
      </c>
      <c r="AF1420" s="36">
        <v>1</v>
      </c>
      <c r="AG1420" s="36">
        <v>1</v>
      </c>
      <c r="AH1420" s="36">
        <v>1</v>
      </c>
      <c r="AI1420" s="36">
        <v>1</v>
      </c>
      <c r="AJ1420" s="36">
        <v>1</v>
      </c>
      <c r="AK1420" s="36">
        <v>1</v>
      </c>
      <c r="AL1420" s="36">
        <v>1</v>
      </c>
      <c r="AM1420" s="36">
        <v>3</v>
      </c>
      <c r="AN1420" s="36">
        <v>5</v>
      </c>
      <c r="AO1420" s="36"/>
      <c r="AP1420" s="36"/>
      <c r="AQ1420" s="36">
        <v>4</v>
      </c>
      <c r="AR1420" s="36">
        <v>4</v>
      </c>
      <c r="AS1420" s="36">
        <v>4</v>
      </c>
      <c r="AT1420" s="36"/>
      <c r="AU1420" s="36"/>
      <c r="AV1420" s="36"/>
      <c r="AW1420" s="36"/>
      <c r="AX1420" s="36"/>
      <c r="AY1420" s="36"/>
      <c r="AZ1420" s="961"/>
      <c r="BA1420" s="36"/>
      <c r="BB1420" s="36"/>
      <c r="BC1420" s="36"/>
      <c r="BD1420" s="27"/>
      <c r="BF1420">
        <f>ROWS($U$46:U1420)</f>
        <v>1375</v>
      </c>
      <c r="BG1420" t="str">
        <f t="shared" si="227"/>
        <v/>
      </c>
    </row>
    <row r="1421" spans="15:59" x14ac:dyDescent="0.35">
      <c r="O1421" s="330">
        <v>4</v>
      </c>
      <c r="P1421" s="36">
        <v>179734</v>
      </c>
      <c r="Q1421" s="36">
        <v>18</v>
      </c>
      <c r="R1421" s="36"/>
      <c r="S1421" s="36" t="s">
        <v>2017</v>
      </c>
      <c r="T1421" s="36" t="s">
        <v>2022</v>
      </c>
      <c r="U1421" s="36">
        <v>1137408</v>
      </c>
      <c r="V1421" s="165" t="s">
        <v>90</v>
      </c>
      <c r="W1421" s="36">
        <v>1</v>
      </c>
      <c r="X1421" s="36">
        <v>1</v>
      </c>
      <c r="Y1421" s="36">
        <v>1</v>
      </c>
      <c r="Z1421" s="36">
        <v>1</v>
      </c>
      <c r="AA1421" s="36">
        <v>1</v>
      </c>
      <c r="AB1421" s="36">
        <v>1</v>
      </c>
      <c r="AC1421" s="36">
        <v>1</v>
      </c>
      <c r="AD1421" s="36">
        <v>1</v>
      </c>
      <c r="AE1421" s="36">
        <v>3</v>
      </c>
      <c r="AF1421" s="36">
        <v>3</v>
      </c>
      <c r="AG1421" s="36">
        <v>5</v>
      </c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>
        <v>4</v>
      </c>
      <c r="AR1421" s="36">
        <v>4</v>
      </c>
      <c r="AS1421" s="36">
        <v>4</v>
      </c>
      <c r="AT1421" s="36"/>
      <c r="AU1421" s="36"/>
      <c r="AV1421" s="36"/>
      <c r="AW1421" s="36"/>
      <c r="AX1421" s="36"/>
      <c r="AY1421" s="36"/>
      <c r="AZ1421" s="961"/>
      <c r="BA1421" s="36"/>
      <c r="BB1421" s="36"/>
      <c r="BC1421" s="36"/>
      <c r="BD1421" s="27"/>
      <c r="BF1421">
        <f>ROWS($U$46:U1421)</f>
        <v>1376</v>
      </c>
      <c r="BG1421" t="str">
        <f t="shared" si="227"/>
        <v/>
      </c>
    </row>
    <row r="1422" spans="15:59" x14ac:dyDescent="0.35">
      <c r="O1422" s="330">
        <v>5</v>
      </c>
      <c r="P1422" s="36">
        <v>418525</v>
      </c>
      <c r="Q1422" s="36">
        <v>6</v>
      </c>
      <c r="R1422" s="36"/>
      <c r="S1422" s="36" t="s">
        <v>2017</v>
      </c>
      <c r="T1422" s="36" t="s">
        <v>2022</v>
      </c>
      <c r="U1422" s="36">
        <v>1137408</v>
      </c>
      <c r="V1422" s="165" t="s">
        <v>91</v>
      </c>
      <c r="W1422" s="36">
        <v>2</v>
      </c>
      <c r="X1422" s="36">
        <v>2</v>
      </c>
      <c r="Y1422" s="36">
        <v>2</v>
      </c>
      <c r="Z1422" s="36">
        <v>2</v>
      </c>
      <c r="AA1422" s="36">
        <v>2</v>
      </c>
      <c r="AB1422" s="36">
        <v>2</v>
      </c>
      <c r="AC1422" s="36">
        <v>2</v>
      </c>
      <c r="AD1422" s="36">
        <v>3</v>
      </c>
      <c r="AE1422" s="36">
        <v>1</v>
      </c>
      <c r="AF1422" s="36">
        <v>1</v>
      </c>
      <c r="AG1422" s="36">
        <v>1</v>
      </c>
      <c r="AH1422" s="36">
        <v>1</v>
      </c>
      <c r="AI1422" s="36">
        <v>1</v>
      </c>
      <c r="AJ1422" s="36">
        <v>1</v>
      </c>
      <c r="AK1422" s="36">
        <v>1</v>
      </c>
      <c r="AL1422" s="36">
        <v>1</v>
      </c>
      <c r="AM1422" s="36">
        <v>3</v>
      </c>
      <c r="AN1422" s="36">
        <v>5</v>
      </c>
      <c r="AO1422" s="36"/>
      <c r="AP1422" s="36"/>
      <c r="AQ1422" s="36">
        <v>4</v>
      </c>
      <c r="AR1422" s="36">
        <v>4</v>
      </c>
      <c r="AS1422" s="36">
        <v>4</v>
      </c>
      <c r="AT1422" s="36"/>
      <c r="AU1422" s="36"/>
      <c r="AV1422" s="36"/>
      <c r="AW1422" s="36"/>
      <c r="AX1422" s="36"/>
      <c r="AY1422" s="36"/>
      <c r="AZ1422" s="961"/>
      <c r="BA1422" s="36"/>
      <c r="BB1422" s="36"/>
      <c r="BC1422" s="36"/>
      <c r="BD1422" s="27"/>
      <c r="BF1422">
        <f>ROWS($U$46:U1422)</f>
        <v>1377</v>
      </c>
      <c r="BG1422" t="str">
        <f t="shared" si="227"/>
        <v/>
      </c>
    </row>
    <row r="1423" spans="15:59" ht="15" thickBot="1" x14ac:dyDescent="0.4">
      <c r="O1423" s="331"/>
      <c r="P1423" s="328"/>
      <c r="Q1423" s="328"/>
      <c r="R1423" s="328"/>
      <c r="S1423" s="328" t="s">
        <v>2017</v>
      </c>
      <c r="T1423" s="328" t="s">
        <v>2022</v>
      </c>
      <c r="U1423" s="328">
        <v>1137408</v>
      </c>
      <c r="V1423" s="327" t="s">
        <v>92</v>
      </c>
      <c r="W1423" s="328">
        <v>3</v>
      </c>
      <c r="X1423" s="328">
        <v>1</v>
      </c>
      <c r="Y1423" s="328">
        <v>1</v>
      </c>
      <c r="Z1423" s="328">
        <v>1</v>
      </c>
      <c r="AA1423" s="328">
        <v>1</v>
      </c>
      <c r="AB1423" s="328">
        <v>1</v>
      </c>
      <c r="AC1423" s="328">
        <v>1</v>
      </c>
      <c r="AD1423" s="328">
        <v>1</v>
      </c>
      <c r="AE1423" s="328">
        <v>1</v>
      </c>
      <c r="AF1423" s="328">
        <v>3</v>
      </c>
      <c r="AG1423" s="328">
        <v>5</v>
      </c>
      <c r="AH1423" s="328"/>
      <c r="AI1423" s="328"/>
      <c r="AJ1423" s="328"/>
      <c r="AK1423" s="328"/>
      <c r="AL1423" s="328"/>
      <c r="AM1423" s="328"/>
      <c r="AN1423" s="328"/>
      <c r="AO1423" s="328"/>
      <c r="AP1423" s="328"/>
      <c r="AQ1423" s="328">
        <v>4</v>
      </c>
      <c r="AR1423" s="328">
        <v>4</v>
      </c>
      <c r="AS1423" s="328">
        <v>4</v>
      </c>
      <c r="AT1423" s="328"/>
      <c r="AU1423" s="328"/>
      <c r="AV1423" s="328"/>
      <c r="AW1423" s="328"/>
      <c r="AX1423" s="328"/>
      <c r="AY1423" s="328"/>
      <c r="AZ1423" s="962"/>
      <c r="BA1423" s="328"/>
      <c r="BB1423" s="328"/>
      <c r="BC1423" s="328"/>
      <c r="BD1423" s="31"/>
      <c r="BF1423">
        <f>ROWS($U$46:U1423)</f>
        <v>1378</v>
      </c>
      <c r="BG1423" t="str">
        <f t="shared" si="227"/>
        <v/>
      </c>
    </row>
    <row r="1424" spans="15:59" ht="15" thickBot="1" x14ac:dyDescent="0.4">
      <c r="O1424" s="329">
        <v>1</v>
      </c>
      <c r="P1424" s="320">
        <v>1145493</v>
      </c>
      <c r="Q1424" s="320">
        <v>16</v>
      </c>
      <c r="R1424" s="320"/>
      <c r="S1424" s="320">
        <v>6.125</v>
      </c>
      <c r="T1424" s="320" t="s">
        <v>1973</v>
      </c>
      <c r="U1424" s="320">
        <v>1212881</v>
      </c>
      <c r="V1424" s="319" t="s">
        <v>87</v>
      </c>
      <c r="W1424" s="320">
        <v>2</v>
      </c>
      <c r="X1424" s="320">
        <v>2</v>
      </c>
      <c r="Y1424" s="320">
        <v>1</v>
      </c>
      <c r="Z1424" s="320">
        <v>1</v>
      </c>
      <c r="AA1424" s="320">
        <v>1</v>
      </c>
      <c r="AB1424" s="320">
        <v>3</v>
      </c>
      <c r="AC1424" s="320"/>
      <c r="AD1424" s="320">
        <v>2</v>
      </c>
      <c r="AE1424" s="320"/>
      <c r="AF1424" s="320"/>
      <c r="AG1424" s="320"/>
      <c r="AH1424" s="320"/>
      <c r="AI1424" s="320"/>
      <c r="AJ1424" s="320"/>
      <c r="AK1424" s="320"/>
      <c r="AL1424" s="320"/>
      <c r="AM1424" s="320"/>
      <c r="AN1424" s="320"/>
      <c r="AO1424" s="320"/>
      <c r="AP1424" s="320"/>
      <c r="AQ1424" s="320"/>
      <c r="AR1424" s="320"/>
      <c r="AS1424" s="320"/>
      <c r="AT1424" s="320"/>
      <c r="AU1424" s="320"/>
      <c r="AV1424" s="320"/>
      <c r="AW1424" s="320"/>
      <c r="AX1424" s="320"/>
      <c r="AY1424" s="320"/>
      <c r="AZ1424" s="974"/>
      <c r="BA1424" s="320"/>
      <c r="BB1424" s="320"/>
      <c r="BC1424" s="320"/>
      <c r="BD1424" s="119"/>
      <c r="BF1424">
        <f>ROWS($U$46:U1424)</f>
        <v>1379</v>
      </c>
      <c r="BG1424" t="str">
        <f t="shared" si="227"/>
        <v/>
      </c>
    </row>
    <row r="1425" spans="15:59" ht="15" thickBot="1" x14ac:dyDescent="0.4">
      <c r="O1425" s="330">
        <v>2</v>
      </c>
      <c r="P1425" s="36">
        <v>1165769</v>
      </c>
      <c r="Q1425" s="36">
        <v>8</v>
      </c>
      <c r="R1425" s="36"/>
      <c r="S1425" s="36">
        <v>6.125</v>
      </c>
      <c r="T1425" s="320" t="s">
        <v>1973</v>
      </c>
      <c r="U1425" s="36">
        <v>1212881</v>
      </c>
      <c r="V1425" s="165" t="s">
        <v>88</v>
      </c>
      <c r="W1425" s="36">
        <v>1</v>
      </c>
      <c r="X1425" s="36">
        <v>1</v>
      </c>
      <c r="Y1425" s="36">
        <v>1</v>
      </c>
      <c r="Z1425" s="36">
        <v>3</v>
      </c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  <c r="AV1425" s="36"/>
      <c r="AW1425" s="36"/>
      <c r="AX1425" s="36"/>
      <c r="AY1425" s="36"/>
      <c r="AZ1425" s="961"/>
      <c r="BA1425" s="36"/>
      <c r="BB1425" s="36"/>
      <c r="BC1425" s="36"/>
      <c r="BD1425" s="27"/>
      <c r="BF1425">
        <f>ROWS($U$46:U1425)</f>
        <v>1380</v>
      </c>
      <c r="BG1425" t="str">
        <f t="shared" si="227"/>
        <v/>
      </c>
    </row>
    <row r="1426" spans="15:59" ht="15" thickBot="1" x14ac:dyDescent="0.4">
      <c r="O1426" s="330">
        <v>3</v>
      </c>
      <c r="P1426" s="36">
        <v>871781</v>
      </c>
      <c r="Q1426" s="36">
        <v>5</v>
      </c>
      <c r="R1426" s="36"/>
      <c r="S1426" s="36">
        <v>6.125</v>
      </c>
      <c r="T1426" s="320" t="s">
        <v>1973</v>
      </c>
      <c r="U1426" s="36">
        <v>1212881</v>
      </c>
      <c r="V1426" s="165" t="s">
        <v>89</v>
      </c>
      <c r="W1426" s="36">
        <v>2</v>
      </c>
      <c r="X1426" s="36">
        <v>2</v>
      </c>
      <c r="Y1426" s="36">
        <v>1</v>
      </c>
      <c r="Z1426" s="36">
        <v>1</v>
      </c>
      <c r="AA1426" s="36">
        <v>1</v>
      </c>
      <c r="AB1426" s="36">
        <v>3</v>
      </c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  <c r="AV1426" s="36"/>
      <c r="AW1426" s="36"/>
      <c r="AX1426" s="36"/>
      <c r="AY1426" s="36"/>
      <c r="AZ1426" s="961"/>
      <c r="BA1426" s="36"/>
      <c r="BB1426" s="36"/>
      <c r="BC1426" s="36"/>
      <c r="BD1426" s="27"/>
      <c r="BF1426">
        <f>ROWS($U$46:U1426)</f>
        <v>1381</v>
      </c>
      <c r="BG1426" t="str">
        <f t="shared" si="227"/>
        <v/>
      </c>
    </row>
    <row r="1427" spans="15:59" ht="15" thickBot="1" x14ac:dyDescent="0.4">
      <c r="O1427" s="330"/>
      <c r="P1427" s="36"/>
      <c r="Q1427" s="36"/>
      <c r="R1427" s="36"/>
      <c r="S1427" s="36">
        <v>6.125</v>
      </c>
      <c r="T1427" s="320" t="s">
        <v>1973</v>
      </c>
      <c r="U1427" s="36">
        <v>1212881</v>
      </c>
      <c r="V1427" s="165" t="s">
        <v>90</v>
      </c>
      <c r="W1427" s="36">
        <v>2</v>
      </c>
      <c r="X1427" s="36">
        <v>2</v>
      </c>
      <c r="Y1427" s="36">
        <v>1</v>
      </c>
      <c r="Z1427" s="36">
        <v>1</v>
      </c>
      <c r="AA1427" s="36">
        <v>1</v>
      </c>
      <c r="AB1427" s="36">
        <v>3</v>
      </c>
      <c r="AC1427" s="36"/>
      <c r="AD1427" s="36">
        <v>2</v>
      </c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  <c r="AV1427" s="36"/>
      <c r="AW1427" s="36"/>
      <c r="AX1427" s="36"/>
      <c r="AY1427" s="36"/>
      <c r="AZ1427" s="961"/>
      <c r="BA1427" s="36"/>
      <c r="BB1427" s="36"/>
      <c r="BC1427" s="36"/>
      <c r="BD1427" s="27"/>
      <c r="BF1427">
        <f>ROWS($U$46:U1427)</f>
        <v>1382</v>
      </c>
      <c r="BG1427" t="str">
        <f t="shared" si="227"/>
        <v/>
      </c>
    </row>
    <row r="1428" spans="15:59" ht="15" thickBot="1" x14ac:dyDescent="0.4">
      <c r="O1428" s="330"/>
      <c r="P1428" s="36"/>
      <c r="Q1428" s="36"/>
      <c r="R1428" s="36"/>
      <c r="S1428" s="36">
        <v>6.125</v>
      </c>
      <c r="T1428" s="320" t="s">
        <v>1973</v>
      </c>
      <c r="U1428" s="36">
        <v>1212881</v>
      </c>
      <c r="V1428" s="165" t="s">
        <v>91</v>
      </c>
      <c r="W1428" s="36">
        <v>1</v>
      </c>
      <c r="X1428" s="36">
        <v>1</v>
      </c>
      <c r="Y1428" s="36">
        <v>1</v>
      </c>
      <c r="Z1428" s="36">
        <v>1</v>
      </c>
      <c r="AA1428" s="36">
        <v>3</v>
      </c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  <c r="AV1428" s="36"/>
      <c r="AW1428" s="36"/>
      <c r="AX1428" s="36"/>
      <c r="AY1428" s="36"/>
      <c r="AZ1428" s="961"/>
      <c r="BA1428" s="36"/>
      <c r="BB1428" s="36"/>
      <c r="BC1428" s="36"/>
      <c r="BD1428" s="27"/>
      <c r="BF1428">
        <f>ROWS($U$46:U1428)</f>
        <v>1383</v>
      </c>
      <c r="BG1428" t="str">
        <f t="shared" si="227"/>
        <v/>
      </c>
    </row>
    <row r="1429" spans="15:59" ht="15" thickBot="1" x14ac:dyDescent="0.4">
      <c r="O1429" s="329">
        <v>1</v>
      </c>
      <c r="P1429" s="320">
        <v>1145493</v>
      </c>
      <c r="Q1429" s="320">
        <v>16</v>
      </c>
      <c r="R1429" s="320"/>
      <c r="S1429" s="320" t="s">
        <v>1319</v>
      </c>
      <c r="T1429" s="320" t="s">
        <v>2028</v>
      </c>
      <c r="U1429" s="320">
        <v>1226841</v>
      </c>
      <c r="V1429" s="319" t="s">
        <v>87</v>
      </c>
      <c r="W1429" s="320">
        <v>1</v>
      </c>
      <c r="X1429" s="320">
        <v>1</v>
      </c>
      <c r="Y1429" s="320">
        <v>1</v>
      </c>
      <c r="Z1429" s="320">
        <v>3</v>
      </c>
      <c r="AA1429" s="320">
        <v>3</v>
      </c>
      <c r="AB1429" s="320">
        <v>1</v>
      </c>
      <c r="AC1429" s="320">
        <v>2</v>
      </c>
      <c r="AD1429" s="320">
        <v>2</v>
      </c>
      <c r="AE1429" s="320"/>
      <c r="AF1429" s="320"/>
      <c r="AG1429" s="320"/>
      <c r="AH1429" s="320"/>
      <c r="AI1429" s="320"/>
      <c r="AJ1429" s="320"/>
      <c r="AK1429" s="320"/>
      <c r="AL1429" s="320"/>
      <c r="AM1429" s="320"/>
      <c r="AN1429" s="320"/>
      <c r="AO1429" s="320"/>
      <c r="AP1429" s="320"/>
      <c r="AQ1429" s="320"/>
      <c r="AR1429" s="320"/>
      <c r="AS1429" s="320"/>
      <c r="AT1429" s="320"/>
      <c r="AU1429" s="320"/>
      <c r="AV1429" s="320"/>
      <c r="AW1429" s="320"/>
      <c r="AX1429" s="320"/>
      <c r="AY1429" s="320"/>
      <c r="AZ1429" s="974"/>
      <c r="BA1429" s="320"/>
      <c r="BB1429" s="320"/>
      <c r="BC1429" s="320"/>
      <c r="BD1429" s="119"/>
      <c r="BF1429">
        <f>ROWS($U$46:U1429)</f>
        <v>1384</v>
      </c>
      <c r="BG1429" t="str">
        <f t="shared" si="227"/>
        <v/>
      </c>
    </row>
    <row r="1430" spans="15:59" ht="15" thickBot="1" x14ac:dyDescent="0.4">
      <c r="O1430" s="330">
        <v>2</v>
      </c>
      <c r="P1430" s="36">
        <v>418525</v>
      </c>
      <c r="Q1430" s="36">
        <v>10</v>
      </c>
      <c r="R1430" s="36"/>
      <c r="S1430" s="36" t="s">
        <v>1319</v>
      </c>
      <c r="T1430" s="320" t="s">
        <v>2028</v>
      </c>
      <c r="U1430" s="36">
        <v>1226841</v>
      </c>
      <c r="V1430" s="165" t="s">
        <v>88</v>
      </c>
      <c r="W1430" s="36">
        <v>1</v>
      </c>
      <c r="X1430" s="36">
        <v>3</v>
      </c>
      <c r="Y1430" s="36">
        <v>1</v>
      </c>
      <c r="Z1430" s="36">
        <v>2</v>
      </c>
      <c r="AA1430" s="36">
        <v>2</v>
      </c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  <c r="AV1430" s="36"/>
      <c r="AW1430" s="36"/>
      <c r="AX1430" s="36"/>
      <c r="AY1430" s="36"/>
      <c r="AZ1430" s="961"/>
      <c r="BA1430" s="36"/>
      <c r="BB1430" s="36"/>
      <c r="BC1430" s="36"/>
      <c r="BD1430" s="27"/>
      <c r="BF1430">
        <f>ROWS($U$46:U1430)</f>
        <v>1385</v>
      </c>
      <c r="BG1430" t="str">
        <f t="shared" si="227"/>
        <v/>
      </c>
    </row>
    <row r="1431" spans="15:59" ht="15" thickBot="1" x14ac:dyDescent="0.4">
      <c r="O1431" s="330">
        <v>3</v>
      </c>
      <c r="P1431" s="36">
        <v>1209332</v>
      </c>
      <c r="Q1431" s="36">
        <v>7</v>
      </c>
      <c r="R1431" s="36"/>
      <c r="S1431" s="36" t="s">
        <v>1319</v>
      </c>
      <c r="T1431" s="320" t="s">
        <v>2028</v>
      </c>
      <c r="U1431" s="36">
        <v>1226841</v>
      </c>
      <c r="V1431" s="165" t="s">
        <v>89</v>
      </c>
      <c r="W1431" s="36">
        <v>1</v>
      </c>
      <c r="X1431" s="36">
        <v>1</v>
      </c>
      <c r="Y1431" s="36">
        <v>1</v>
      </c>
      <c r="Z1431" s="36">
        <v>3</v>
      </c>
      <c r="AA1431" s="36">
        <v>1</v>
      </c>
      <c r="AB1431" s="36">
        <v>2</v>
      </c>
      <c r="AC1431" s="36">
        <v>2</v>
      </c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  <c r="AV1431" s="36"/>
      <c r="AW1431" s="36"/>
      <c r="AX1431" s="36"/>
      <c r="AY1431" s="36"/>
      <c r="AZ1431" s="961"/>
      <c r="BA1431" s="36"/>
      <c r="BB1431" s="36"/>
      <c r="BC1431" s="36"/>
      <c r="BD1431" s="27"/>
      <c r="BF1431">
        <f>ROWS($U$46:U1431)</f>
        <v>1386</v>
      </c>
      <c r="BG1431" t="str">
        <f t="shared" si="227"/>
        <v/>
      </c>
    </row>
    <row r="1432" spans="15:59" ht="15" thickBot="1" x14ac:dyDescent="0.4">
      <c r="O1432" s="330"/>
      <c r="P1432" s="36"/>
      <c r="Q1432" s="36"/>
      <c r="R1432" s="36"/>
      <c r="S1432" s="36" t="s">
        <v>1319</v>
      </c>
      <c r="T1432" s="320" t="s">
        <v>2028</v>
      </c>
      <c r="U1432" s="36">
        <v>1226841</v>
      </c>
      <c r="V1432" s="165" t="s">
        <v>90</v>
      </c>
      <c r="W1432" s="36">
        <v>1</v>
      </c>
      <c r="X1432" s="36">
        <v>1</v>
      </c>
      <c r="Y1432" s="36">
        <v>1</v>
      </c>
      <c r="Z1432" s="36">
        <v>3</v>
      </c>
      <c r="AA1432" s="36">
        <v>1</v>
      </c>
      <c r="AB1432" s="36">
        <v>1</v>
      </c>
      <c r="AC1432" s="36">
        <v>2</v>
      </c>
      <c r="AD1432" s="36">
        <v>2</v>
      </c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  <c r="AV1432" s="36"/>
      <c r="AW1432" s="36"/>
      <c r="AX1432" s="36"/>
      <c r="AY1432" s="36"/>
      <c r="AZ1432" s="961"/>
      <c r="BA1432" s="36"/>
      <c r="BB1432" s="36"/>
      <c r="BC1432" s="36"/>
      <c r="BD1432" s="27"/>
      <c r="BF1432">
        <f>ROWS($U$46:U1432)</f>
        <v>1387</v>
      </c>
      <c r="BG1432" t="str">
        <f t="shared" si="227"/>
        <v/>
      </c>
    </row>
    <row r="1433" spans="15:59" ht="15" thickBot="1" x14ac:dyDescent="0.4">
      <c r="O1433" s="330"/>
      <c r="P1433" s="36"/>
      <c r="Q1433" s="36"/>
      <c r="R1433" s="36"/>
      <c r="S1433" s="36" t="s">
        <v>1319</v>
      </c>
      <c r="T1433" s="320" t="s">
        <v>2028</v>
      </c>
      <c r="U1433" s="36">
        <v>1226841</v>
      </c>
      <c r="V1433" s="165" t="s">
        <v>91</v>
      </c>
      <c r="W1433" s="36">
        <v>3</v>
      </c>
      <c r="X1433" s="36">
        <v>3</v>
      </c>
      <c r="Y1433" s="36">
        <v>1</v>
      </c>
      <c r="Z1433" s="36">
        <v>2</v>
      </c>
      <c r="AA1433" s="36">
        <v>2</v>
      </c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  <c r="AV1433" s="36"/>
      <c r="AW1433" s="36"/>
      <c r="AX1433" s="36"/>
      <c r="AY1433" s="36"/>
      <c r="AZ1433" s="961"/>
      <c r="BA1433" s="36"/>
      <c r="BB1433" s="36"/>
      <c r="BC1433" s="36"/>
      <c r="BD1433" s="27"/>
      <c r="BF1433">
        <f>ROWS($U$46:U1433)</f>
        <v>1388</v>
      </c>
      <c r="BG1433" t="str">
        <f t="shared" si="227"/>
        <v/>
      </c>
    </row>
    <row r="1434" spans="15:59" ht="15" thickBot="1" x14ac:dyDescent="0.4">
      <c r="O1434" s="329">
        <v>1</v>
      </c>
      <c r="P1434" s="320">
        <v>1165796</v>
      </c>
      <c r="Q1434" s="320">
        <v>19</v>
      </c>
      <c r="R1434" s="320"/>
      <c r="S1434" s="320" t="s">
        <v>2004</v>
      </c>
      <c r="T1434" s="320" t="s">
        <v>2034</v>
      </c>
      <c r="U1434" s="320">
        <v>1224750</v>
      </c>
      <c r="V1434" s="319" t="s">
        <v>87</v>
      </c>
      <c r="W1434" s="320">
        <v>1</v>
      </c>
      <c r="X1434" s="320">
        <v>1</v>
      </c>
      <c r="Y1434" s="320">
        <v>1</v>
      </c>
      <c r="Z1434" s="320">
        <v>1</v>
      </c>
      <c r="AA1434" s="320">
        <v>1</v>
      </c>
      <c r="AB1434" s="320"/>
      <c r="AC1434" s="320"/>
      <c r="AD1434" s="320"/>
      <c r="AE1434" s="320"/>
      <c r="AF1434" s="320"/>
      <c r="AG1434" s="320"/>
      <c r="AH1434" s="320"/>
      <c r="AI1434" s="320"/>
      <c r="AJ1434" s="320"/>
      <c r="AK1434" s="320"/>
      <c r="AL1434" s="320"/>
      <c r="AM1434" s="320"/>
      <c r="AN1434" s="320"/>
      <c r="AO1434" s="320"/>
      <c r="AP1434" s="320"/>
      <c r="AQ1434" s="320"/>
      <c r="AR1434" s="320"/>
      <c r="AS1434" s="320"/>
      <c r="AT1434" s="320"/>
      <c r="AU1434" s="320"/>
      <c r="AV1434" s="320"/>
      <c r="AW1434" s="320"/>
      <c r="AX1434" s="320"/>
      <c r="AY1434" s="320"/>
      <c r="AZ1434" s="974"/>
      <c r="BA1434" s="320"/>
      <c r="BB1434" s="320"/>
      <c r="BC1434" s="320"/>
      <c r="BD1434" s="119"/>
      <c r="BF1434">
        <f>ROWS($U$46:U1434)</f>
        <v>1389</v>
      </c>
      <c r="BG1434" t="str">
        <f t="shared" si="227"/>
        <v/>
      </c>
    </row>
    <row r="1435" spans="15:59" ht="15" thickBot="1" x14ac:dyDescent="0.4">
      <c r="O1435" s="330"/>
      <c r="P1435" s="36"/>
      <c r="Q1435" s="36"/>
      <c r="R1435" s="36"/>
      <c r="S1435" s="36"/>
      <c r="T1435" s="320" t="s">
        <v>2034</v>
      </c>
      <c r="U1435" s="36">
        <v>1224750</v>
      </c>
      <c r="V1435" s="165" t="s">
        <v>88</v>
      </c>
      <c r="W1435" s="36">
        <v>1</v>
      </c>
      <c r="X1435" s="36">
        <v>1</v>
      </c>
      <c r="Y1435" s="36">
        <v>1</v>
      </c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  <c r="AV1435" s="36"/>
      <c r="AW1435" s="36"/>
      <c r="AX1435" s="36"/>
      <c r="AY1435" s="36"/>
      <c r="AZ1435" s="961"/>
      <c r="BA1435" s="36"/>
      <c r="BB1435" s="36"/>
      <c r="BC1435" s="36"/>
      <c r="BD1435" s="27"/>
      <c r="BF1435">
        <f>ROWS($U$46:U1435)</f>
        <v>1390</v>
      </c>
      <c r="BG1435" t="str">
        <f t="shared" si="227"/>
        <v/>
      </c>
    </row>
    <row r="1436" spans="15:59" ht="15" thickBot="1" x14ac:dyDescent="0.4">
      <c r="O1436" s="330"/>
      <c r="P1436" s="36"/>
      <c r="Q1436" s="36"/>
      <c r="R1436" s="36"/>
      <c r="S1436" s="36"/>
      <c r="T1436" s="320" t="s">
        <v>2034</v>
      </c>
      <c r="U1436" s="36">
        <v>1224750</v>
      </c>
      <c r="V1436" s="165" t="s">
        <v>89</v>
      </c>
      <c r="W1436" s="36">
        <v>1</v>
      </c>
      <c r="X1436" s="36">
        <v>1</v>
      </c>
      <c r="Y1436" s="36">
        <v>1</v>
      </c>
      <c r="Z1436" s="36">
        <v>1</v>
      </c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  <c r="AV1436" s="36"/>
      <c r="AW1436" s="36"/>
      <c r="AX1436" s="36"/>
      <c r="AY1436" s="36"/>
      <c r="AZ1436" s="961"/>
      <c r="BA1436" s="36"/>
      <c r="BB1436" s="36"/>
      <c r="BC1436" s="36"/>
      <c r="BD1436" s="27"/>
      <c r="BF1436">
        <f>ROWS($U$46:U1436)</f>
        <v>1391</v>
      </c>
      <c r="BG1436" t="str">
        <f t="shared" si="227"/>
        <v/>
      </c>
    </row>
    <row r="1437" spans="15:59" ht="15" thickBot="1" x14ac:dyDescent="0.4">
      <c r="O1437" s="330"/>
      <c r="P1437" s="36"/>
      <c r="Q1437" s="36"/>
      <c r="R1437" s="36"/>
      <c r="S1437" s="36"/>
      <c r="T1437" s="320" t="s">
        <v>2034</v>
      </c>
      <c r="U1437" s="36">
        <v>1224750</v>
      </c>
      <c r="V1437" s="165" t="s">
        <v>90</v>
      </c>
      <c r="W1437" s="36">
        <v>1</v>
      </c>
      <c r="X1437" s="36">
        <v>1</v>
      </c>
      <c r="Y1437" s="36">
        <v>1</v>
      </c>
      <c r="Z1437" s="36">
        <v>1</v>
      </c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  <c r="AV1437" s="36"/>
      <c r="AW1437" s="36"/>
      <c r="AX1437" s="36"/>
      <c r="AY1437" s="36"/>
      <c r="AZ1437" s="961"/>
      <c r="BA1437" s="36"/>
      <c r="BB1437" s="36"/>
      <c r="BC1437" s="36"/>
      <c r="BD1437" s="27"/>
      <c r="BF1437">
        <f>ROWS($U$46:U1437)</f>
        <v>1392</v>
      </c>
      <c r="BG1437" t="str">
        <f t="shared" si="227"/>
        <v/>
      </c>
    </row>
    <row r="1438" spans="15:59" ht="15" thickBot="1" x14ac:dyDescent="0.4">
      <c r="O1438" s="330"/>
      <c r="P1438" s="36"/>
      <c r="Q1438" s="36"/>
      <c r="R1438" s="36"/>
      <c r="S1438" s="36"/>
      <c r="T1438" s="320" t="s">
        <v>2034</v>
      </c>
      <c r="U1438" s="36">
        <v>1224750</v>
      </c>
      <c r="V1438" s="165" t="s">
        <v>91</v>
      </c>
      <c r="W1438" s="36">
        <v>1</v>
      </c>
      <c r="X1438" s="36">
        <v>1</v>
      </c>
      <c r="Y1438" s="36">
        <v>1</v>
      </c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  <c r="AV1438" s="36"/>
      <c r="AW1438" s="36"/>
      <c r="AX1438" s="36"/>
      <c r="AY1438" s="36"/>
      <c r="AZ1438" s="961"/>
      <c r="BA1438" s="36"/>
      <c r="BB1438" s="36"/>
      <c r="BC1438" s="36"/>
      <c r="BD1438" s="27"/>
      <c r="BF1438">
        <f>ROWS($U$46:U1438)</f>
        <v>1393</v>
      </c>
      <c r="BG1438" t="str">
        <f t="shared" si="227"/>
        <v/>
      </c>
    </row>
    <row r="1439" spans="15:59" x14ac:dyDescent="0.35">
      <c r="O1439" s="329">
        <v>1</v>
      </c>
      <c r="P1439" s="320">
        <v>1209410</v>
      </c>
      <c r="Q1439" s="320">
        <v>46</v>
      </c>
      <c r="R1439" s="320"/>
      <c r="S1439" s="320" t="s">
        <v>1130</v>
      </c>
      <c r="T1439" s="320" t="s">
        <v>2035</v>
      </c>
      <c r="U1439" s="320">
        <v>1207425</v>
      </c>
      <c r="V1439" s="319" t="s">
        <v>87</v>
      </c>
      <c r="W1439" s="320">
        <v>2</v>
      </c>
      <c r="X1439" s="320">
        <v>2</v>
      </c>
      <c r="Y1439" s="320">
        <v>2</v>
      </c>
      <c r="Z1439" s="320">
        <v>2</v>
      </c>
      <c r="AA1439" s="320">
        <v>2</v>
      </c>
      <c r="AB1439" s="320">
        <v>2</v>
      </c>
      <c r="AC1439" s="320">
        <v>2</v>
      </c>
      <c r="AD1439" s="320">
        <v>1</v>
      </c>
      <c r="AE1439" s="320">
        <v>1</v>
      </c>
      <c r="AF1439" s="320">
        <v>1</v>
      </c>
      <c r="AG1439" s="320">
        <v>1</v>
      </c>
      <c r="AH1439" s="320">
        <v>1</v>
      </c>
      <c r="AI1439" s="320">
        <v>1</v>
      </c>
      <c r="AJ1439" s="320">
        <v>1</v>
      </c>
      <c r="AK1439" s="320">
        <v>2</v>
      </c>
      <c r="AL1439" s="320">
        <v>5</v>
      </c>
      <c r="AM1439" s="320"/>
      <c r="AN1439" s="320">
        <v>4</v>
      </c>
      <c r="AO1439" s="320">
        <v>4</v>
      </c>
      <c r="AP1439" s="320">
        <v>4</v>
      </c>
      <c r="AQ1439" s="320">
        <v>3</v>
      </c>
      <c r="AR1439" s="320">
        <v>3</v>
      </c>
      <c r="AS1439" s="320">
        <v>3</v>
      </c>
      <c r="AT1439" s="320">
        <v>3</v>
      </c>
      <c r="AU1439" s="320">
        <v>3</v>
      </c>
      <c r="AV1439" s="320">
        <v>4</v>
      </c>
      <c r="AW1439" s="320"/>
      <c r="AX1439" s="320"/>
      <c r="AY1439" s="320"/>
      <c r="AZ1439" s="974"/>
      <c r="BA1439" s="320"/>
      <c r="BB1439" s="320"/>
      <c r="BC1439" s="320"/>
      <c r="BD1439" s="119"/>
      <c r="BF1439">
        <f>ROWS($U$46:U1439)</f>
        <v>1394</v>
      </c>
      <c r="BG1439" t="str">
        <f t="shared" si="227"/>
        <v/>
      </c>
    </row>
    <row r="1440" spans="15:59" x14ac:dyDescent="0.35">
      <c r="O1440" s="330">
        <v>2</v>
      </c>
      <c r="P1440" s="36">
        <v>1100741</v>
      </c>
      <c r="Q1440" s="36">
        <v>31</v>
      </c>
      <c r="R1440" s="36"/>
      <c r="S1440" s="36" t="s">
        <v>1130</v>
      </c>
      <c r="T1440" s="36" t="s">
        <v>2035</v>
      </c>
      <c r="U1440" s="36">
        <v>1207425</v>
      </c>
      <c r="V1440" s="165" t="s">
        <v>88</v>
      </c>
      <c r="W1440" s="36">
        <v>2</v>
      </c>
      <c r="X1440" s="36">
        <v>2</v>
      </c>
      <c r="Y1440" s="36">
        <v>1</v>
      </c>
      <c r="Z1440" s="36">
        <v>1</v>
      </c>
      <c r="AA1440" s="36">
        <v>1</v>
      </c>
      <c r="AB1440" s="36">
        <v>1</v>
      </c>
      <c r="AC1440" s="36">
        <v>1</v>
      </c>
      <c r="AD1440" s="36">
        <v>1</v>
      </c>
      <c r="AE1440" s="36">
        <v>1</v>
      </c>
      <c r="AF1440" s="36">
        <v>1</v>
      </c>
      <c r="AG1440" s="36">
        <v>2</v>
      </c>
      <c r="AH1440" s="36">
        <v>5</v>
      </c>
      <c r="AI1440" s="36"/>
      <c r="AJ1440" s="36"/>
      <c r="AK1440" s="36"/>
      <c r="AL1440" s="36"/>
      <c r="AM1440" s="36"/>
      <c r="AN1440" s="36">
        <v>4</v>
      </c>
      <c r="AO1440" s="36">
        <v>3</v>
      </c>
      <c r="AP1440" s="36">
        <v>3</v>
      </c>
      <c r="AQ1440" s="36">
        <v>3</v>
      </c>
      <c r="AR1440" s="36">
        <v>3</v>
      </c>
      <c r="AS1440" s="36">
        <v>3</v>
      </c>
      <c r="AT1440" s="36">
        <v>4</v>
      </c>
      <c r="AU1440" s="36"/>
      <c r="AV1440" s="36"/>
      <c r="AW1440" s="36"/>
      <c r="AX1440" s="36"/>
      <c r="AY1440" s="36"/>
      <c r="AZ1440" s="961"/>
      <c r="BA1440" s="36"/>
      <c r="BB1440" s="36"/>
      <c r="BC1440" s="36"/>
      <c r="BD1440" s="27"/>
      <c r="BF1440">
        <f>ROWS($U$46:U1440)</f>
        <v>1395</v>
      </c>
      <c r="BG1440" t="str">
        <f t="shared" si="227"/>
        <v/>
      </c>
    </row>
    <row r="1441" spans="15:59" x14ac:dyDescent="0.35">
      <c r="O1441" s="330">
        <v>3</v>
      </c>
      <c r="P1441" s="36">
        <v>1100755</v>
      </c>
      <c r="Q1441" s="36">
        <v>30</v>
      </c>
      <c r="R1441" s="36"/>
      <c r="S1441" s="36" t="s">
        <v>1130</v>
      </c>
      <c r="T1441" s="36" t="s">
        <v>2035</v>
      </c>
      <c r="U1441" s="36">
        <v>1207425</v>
      </c>
      <c r="V1441" s="165" t="s">
        <v>89</v>
      </c>
      <c r="W1441" s="36">
        <v>2</v>
      </c>
      <c r="X1441" s="36">
        <v>2</v>
      </c>
      <c r="Y1441" s="36">
        <v>2</v>
      </c>
      <c r="Z1441" s="36">
        <v>2</v>
      </c>
      <c r="AA1441" s="36">
        <v>2</v>
      </c>
      <c r="AB1441" s="36">
        <v>2</v>
      </c>
      <c r="AC1441" s="36">
        <v>1</v>
      </c>
      <c r="AD1441" s="36">
        <v>1</v>
      </c>
      <c r="AE1441" s="36">
        <v>1</v>
      </c>
      <c r="AF1441" s="36">
        <v>1</v>
      </c>
      <c r="AG1441" s="36">
        <v>1</v>
      </c>
      <c r="AH1441" s="36">
        <v>1</v>
      </c>
      <c r="AI1441" s="36">
        <v>1</v>
      </c>
      <c r="AJ1441" s="36">
        <v>1</v>
      </c>
      <c r="AK1441" s="36">
        <v>2</v>
      </c>
      <c r="AL1441" s="36">
        <v>5</v>
      </c>
      <c r="AM1441" s="36"/>
      <c r="AN1441" s="36">
        <v>4</v>
      </c>
      <c r="AO1441" s="36">
        <v>4</v>
      </c>
      <c r="AP1441" s="36">
        <v>4</v>
      </c>
      <c r="AQ1441" s="36">
        <v>3</v>
      </c>
      <c r="AR1441" s="36">
        <v>3</v>
      </c>
      <c r="AS1441" s="36">
        <v>3</v>
      </c>
      <c r="AT1441" s="36">
        <v>3</v>
      </c>
      <c r="AU1441" s="36">
        <v>3</v>
      </c>
      <c r="AV1441" s="36">
        <v>4</v>
      </c>
      <c r="AW1441" s="36"/>
      <c r="AX1441" s="36"/>
      <c r="AY1441" s="36"/>
      <c r="AZ1441" s="961"/>
      <c r="BA1441" s="36"/>
      <c r="BB1441" s="36"/>
      <c r="BC1441" s="36"/>
      <c r="BD1441" s="27"/>
      <c r="BF1441">
        <f>ROWS($U$46:U1441)</f>
        <v>1396</v>
      </c>
      <c r="BG1441" t="str">
        <f t="shared" si="227"/>
        <v/>
      </c>
    </row>
    <row r="1442" spans="15:59" x14ac:dyDescent="0.35">
      <c r="O1442" s="330">
        <v>4</v>
      </c>
      <c r="P1442" s="36">
        <v>625854</v>
      </c>
      <c r="Q1442" s="36">
        <v>17</v>
      </c>
      <c r="R1442" s="36"/>
      <c r="S1442" s="36" t="s">
        <v>1130</v>
      </c>
      <c r="T1442" s="36" t="s">
        <v>2035</v>
      </c>
      <c r="U1442" s="36">
        <v>1207425</v>
      </c>
      <c r="V1442" s="165" t="s">
        <v>90</v>
      </c>
      <c r="W1442" s="36">
        <v>2</v>
      </c>
      <c r="X1442" s="36">
        <v>2</v>
      </c>
      <c r="Y1442" s="36">
        <v>1</v>
      </c>
      <c r="Z1442" s="36">
        <v>1</v>
      </c>
      <c r="AA1442" s="36">
        <v>1</v>
      </c>
      <c r="AB1442" s="36">
        <v>1</v>
      </c>
      <c r="AC1442" s="36">
        <v>1</v>
      </c>
      <c r="AD1442" s="36">
        <v>1</v>
      </c>
      <c r="AE1442" s="36">
        <v>1</v>
      </c>
      <c r="AF1442" s="36">
        <v>1</v>
      </c>
      <c r="AG1442" s="36">
        <v>2</v>
      </c>
      <c r="AH1442" s="36">
        <v>5</v>
      </c>
      <c r="AI1442" s="36"/>
      <c r="AJ1442" s="36"/>
      <c r="AK1442" s="36"/>
      <c r="AL1442" s="36"/>
      <c r="AM1442" s="36"/>
      <c r="AN1442" s="36">
        <v>4</v>
      </c>
      <c r="AO1442" s="36">
        <v>3</v>
      </c>
      <c r="AP1442" s="36">
        <v>3</v>
      </c>
      <c r="AQ1442" s="36">
        <v>3</v>
      </c>
      <c r="AR1442" s="36">
        <v>3</v>
      </c>
      <c r="AS1442" s="36">
        <v>3</v>
      </c>
      <c r="AT1442" s="36">
        <v>4</v>
      </c>
      <c r="AU1442" s="36"/>
      <c r="AV1442" s="36"/>
      <c r="AW1442" s="36"/>
      <c r="AX1442" s="36"/>
      <c r="AY1442" s="36"/>
      <c r="AZ1442" s="961"/>
      <c r="BA1442" s="36"/>
      <c r="BB1442" s="36"/>
      <c r="BC1442" s="36"/>
      <c r="BD1442" s="27"/>
      <c r="BF1442">
        <f>ROWS($U$46:U1442)</f>
        <v>1397</v>
      </c>
      <c r="BG1442" t="str">
        <f t="shared" si="227"/>
        <v/>
      </c>
    </row>
    <row r="1443" spans="15:59" x14ac:dyDescent="0.35">
      <c r="O1443" s="330">
        <v>5</v>
      </c>
      <c r="P1443" s="36">
        <v>418525</v>
      </c>
      <c r="Q1443" s="36">
        <v>6</v>
      </c>
      <c r="R1443" s="36"/>
      <c r="S1443" s="36" t="s">
        <v>1130</v>
      </c>
      <c r="T1443" s="36" t="s">
        <v>2035</v>
      </c>
      <c r="U1443" s="36">
        <v>1207425</v>
      </c>
      <c r="V1443" s="165" t="s">
        <v>91</v>
      </c>
      <c r="W1443" s="36">
        <v>2</v>
      </c>
      <c r="X1443" s="36">
        <v>2</v>
      </c>
      <c r="Y1443" s="36">
        <v>2</v>
      </c>
      <c r="Z1443" s="36">
        <v>2</v>
      </c>
      <c r="AA1443" s="36">
        <v>2</v>
      </c>
      <c r="AB1443" s="36">
        <v>2</v>
      </c>
      <c r="AC1443" s="36">
        <v>1</v>
      </c>
      <c r="AD1443" s="36">
        <v>1</v>
      </c>
      <c r="AE1443" s="36">
        <v>1</v>
      </c>
      <c r="AF1443" s="36">
        <v>1</v>
      </c>
      <c r="AG1443" s="36">
        <v>1</v>
      </c>
      <c r="AH1443" s="36">
        <v>1</v>
      </c>
      <c r="AI1443" s="36">
        <v>1</v>
      </c>
      <c r="AJ1443" s="36">
        <v>1</v>
      </c>
      <c r="AK1443" s="36">
        <v>2</v>
      </c>
      <c r="AL1443" s="36">
        <v>5</v>
      </c>
      <c r="AM1443" s="36"/>
      <c r="AN1443" s="36">
        <v>4</v>
      </c>
      <c r="AO1443" s="36">
        <v>4</v>
      </c>
      <c r="AP1443" s="36">
        <v>4</v>
      </c>
      <c r="AQ1443" s="36">
        <v>3</v>
      </c>
      <c r="AR1443" s="36">
        <v>3</v>
      </c>
      <c r="AS1443" s="36">
        <v>3</v>
      </c>
      <c r="AT1443" s="36">
        <v>3</v>
      </c>
      <c r="AU1443" s="36">
        <v>3</v>
      </c>
      <c r="AV1443" s="36">
        <v>4</v>
      </c>
      <c r="AW1443" s="36"/>
      <c r="AX1443" s="36"/>
      <c r="AY1443" s="36"/>
      <c r="AZ1443" s="961"/>
      <c r="BA1443" s="36"/>
      <c r="BB1443" s="36"/>
      <c r="BC1443" s="36"/>
      <c r="BD1443" s="27"/>
      <c r="BF1443">
        <f>ROWS($U$46:U1443)</f>
        <v>1398</v>
      </c>
      <c r="BG1443" t="str">
        <f t="shared" si="227"/>
        <v/>
      </c>
    </row>
    <row r="1444" spans="15:59" ht="15" thickBot="1" x14ac:dyDescent="0.4">
      <c r="O1444" s="331"/>
      <c r="P1444" s="328"/>
      <c r="Q1444" s="328"/>
      <c r="R1444" s="328"/>
      <c r="S1444" s="328" t="s">
        <v>1130</v>
      </c>
      <c r="T1444" s="328" t="s">
        <v>2035</v>
      </c>
      <c r="U1444" s="328">
        <v>1207425</v>
      </c>
      <c r="V1444" s="327" t="s">
        <v>92</v>
      </c>
      <c r="W1444" s="328">
        <v>2</v>
      </c>
      <c r="X1444" s="328">
        <v>2</v>
      </c>
      <c r="Y1444" s="328">
        <v>1</v>
      </c>
      <c r="Z1444" s="328">
        <v>1</v>
      </c>
      <c r="AA1444" s="328">
        <v>1</v>
      </c>
      <c r="AB1444" s="328">
        <v>1</v>
      </c>
      <c r="AC1444" s="328">
        <v>1</v>
      </c>
      <c r="AD1444" s="328">
        <v>1</v>
      </c>
      <c r="AE1444" s="328">
        <v>1</v>
      </c>
      <c r="AF1444" s="328">
        <v>2</v>
      </c>
      <c r="AG1444" s="328">
        <v>5</v>
      </c>
      <c r="AH1444" s="328"/>
      <c r="AI1444" s="328"/>
      <c r="AJ1444" s="328"/>
      <c r="AK1444" s="328"/>
      <c r="AL1444" s="328"/>
      <c r="AM1444" s="328"/>
      <c r="AN1444" s="328">
        <v>3</v>
      </c>
      <c r="AO1444" s="328">
        <v>3</v>
      </c>
      <c r="AP1444" s="328">
        <v>3</v>
      </c>
      <c r="AQ1444" s="328">
        <v>3</v>
      </c>
      <c r="AR1444" s="328">
        <v>3</v>
      </c>
      <c r="AS1444" s="328">
        <v>4</v>
      </c>
      <c r="AT1444" s="328"/>
      <c r="AU1444" s="328"/>
      <c r="AV1444" s="328"/>
      <c r="AW1444" s="328"/>
      <c r="AX1444" s="328"/>
      <c r="AY1444" s="328"/>
      <c r="AZ1444" s="962"/>
      <c r="BA1444" s="328"/>
      <c r="BB1444" s="328"/>
      <c r="BC1444" s="328"/>
      <c r="BD1444" s="31"/>
      <c r="BF1444">
        <f>ROWS($U$46:U1444)</f>
        <v>1399</v>
      </c>
      <c r="BG1444" t="str">
        <f t="shared" si="227"/>
        <v/>
      </c>
    </row>
    <row r="1445" spans="15:59" x14ac:dyDescent="0.35">
      <c r="O1445" s="329">
        <v>1</v>
      </c>
      <c r="P1445" s="320">
        <v>1130198</v>
      </c>
      <c r="Q1445" s="320">
        <v>92</v>
      </c>
      <c r="R1445" s="320"/>
      <c r="S1445" s="971">
        <v>16</v>
      </c>
      <c r="T1445" s="320" t="s">
        <v>1548</v>
      </c>
      <c r="U1445" s="320">
        <v>1092722</v>
      </c>
      <c r="V1445" s="319" t="s">
        <v>87</v>
      </c>
      <c r="W1445" s="320">
        <v>1</v>
      </c>
      <c r="X1445" s="320">
        <v>1</v>
      </c>
      <c r="Y1445" s="320">
        <v>1</v>
      </c>
      <c r="Z1445" s="320">
        <v>1</v>
      </c>
      <c r="AA1445" s="320">
        <v>1</v>
      </c>
      <c r="AB1445" s="320">
        <v>1</v>
      </c>
      <c r="AC1445" s="320">
        <v>1</v>
      </c>
      <c r="AD1445" s="320">
        <v>1</v>
      </c>
      <c r="AE1445" s="320">
        <v>1</v>
      </c>
      <c r="AF1445" s="320">
        <v>1</v>
      </c>
      <c r="AG1445" s="320">
        <v>1</v>
      </c>
      <c r="AH1445" s="320">
        <v>1</v>
      </c>
      <c r="AI1445" s="320">
        <v>1</v>
      </c>
      <c r="AJ1445" s="320">
        <v>1</v>
      </c>
      <c r="AK1445" s="320">
        <v>1</v>
      </c>
      <c r="AL1445" s="320">
        <v>4</v>
      </c>
      <c r="AM1445" s="320"/>
      <c r="AN1445" s="320">
        <v>3</v>
      </c>
      <c r="AO1445" s="320">
        <v>3</v>
      </c>
      <c r="AP1445" s="320">
        <v>3</v>
      </c>
      <c r="AQ1445" s="320">
        <v>2</v>
      </c>
      <c r="AR1445" s="320">
        <v>2</v>
      </c>
      <c r="AS1445" s="320">
        <v>2</v>
      </c>
      <c r="AT1445" s="320">
        <v>2</v>
      </c>
      <c r="AU1445" s="320">
        <v>2</v>
      </c>
      <c r="AV1445" s="320">
        <v>2</v>
      </c>
      <c r="AW1445" s="320">
        <v>2</v>
      </c>
      <c r="AX1445" s="320">
        <v>2</v>
      </c>
      <c r="AY1445" s="320"/>
      <c r="AZ1445" s="320"/>
      <c r="BA1445" s="320"/>
      <c r="BB1445" s="320"/>
      <c r="BC1445" s="320"/>
      <c r="BD1445" s="119"/>
      <c r="BF1445">
        <f>ROWS($U$46:U1445)</f>
        <v>1400</v>
      </c>
      <c r="BG1445" t="str">
        <f t="shared" si="227"/>
        <v/>
      </c>
    </row>
    <row r="1446" spans="15:59" x14ac:dyDescent="0.35">
      <c r="O1446" s="330">
        <v>2</v>
      </c>
      <c r="P1446" s="36">
        <v>647436</v>
      </c>
      <c r="Q1446" s="36">
        <v>64</v>
      </c>
      <c r="R1446" s="36"/>
      <c r="S1446" s="972">
        <v>16</v>
      </c>
      <c r="T1446" s="36" t="s">
        <v>1548</v>
      </c>
      <c r="U1446" s="36">
        <v>1092722</v>
      </c>
      <c r="V1446" s="165" t="s">
        <v>88</v>
      </c>
      <c r="W1446" s="36">
        <v>1</v>
      </c>
      <c r="X1446" s="36">
        <v>1</v>
      </c>
      <c r="Y1446" s="36">
        <v>1</v>
      </c>
      <c r="Z1446" s="36">
        <v>1</v>
      </c>
      <c r="AA1446" s="36">
        <v>1</v>
      </c>
      <c r="AB1446" s="36">
        <v>1</v>
      </c>
      <c r="AC1446" s="36">
        <v>1</v>
      </c>
      <c r="AD1446" s="36">
        <v>1</v>
      </c>
      <c r="AE1446" s="36">
        <v>1</v>
      </c>
      <c r="AF1446" s="36">
        <v>1</v>
      </c>
      <c r="AG1446" s="36">
        <v>4</v>
      </c>
      <c r="AH1446" s="36"/>
      <c r="AI1446" s="36"/>
      <c r="AJ1446" s="36"/>
      <c r="AK1446" s="36"/>
      <c r="AL1446" s="36"/>
      <c r="AM1446" s="36"/>
      <c r="AN1446" s="36">
        <v>3</v>
      </c>
      <c r="AO1446" s="36">
        <v>3</v>
      </c>
      <c r="AP1446" s="36">
        <v>2</v>
      </c>
      <c r="AQ1446" s="36">
        <v>2</v>
      </c>
      <c r="AR1446" s="36">
        <v>2</v>
      </c>
      <c r="AS1446" s="36">
        <v>2</v>
      </c>
      <c r="AT1446" s="36">
        <v>2</v>
      </c>
      <c r="AU1446" s="36">
        <v>2</v>
      </c>
      <c r="AV1446" s="36">
        <v>2</v>
      </c>
      <c r="AW1446" s="36">
        <v>2</v>
      </c>
      <c r="AX1446" s="36"/>
      <c r="AY1446" s="36"/>
      <c r="AZ1446" s="36"/>
      <c r="BA1446" s="36"/>
      <c r="BB1446" s="36"/>
      <c r="BC1446" s="36"/>
      <c r="BD1446" s="27"/>
      <c r="BF1446">
        <f>ROWS($U$46:U1446)</f>
        <v>1401</v>
      </c>
      <c r="BG1446" t="str">
        <f t="shared" si="227"/>
        <v/>
      </c>
    </row>
    <row r="1447" spans="15:59" x14ac:dyDescent="0.35">
      <c r="O1447" s="330">
        <v>3</v>
      </c>
      <c r="P1447" s="36">
        <v>647435</v>
      </c>
      <c r="Q1447" s="36">
        <v>16</v>
      </c>
      <c r="R1447" s="36"/>
      <c r="S1447" s="972">
        <v>16</v>
      </c>
      <c r="T1447" s="36" t="s">
        <v>1548</v>
      </c>
      <c r="U1447" s="36">
        <v>1092722</v>
      </c>
      <c r="V1447" s="165" t="s">
        <v>89</v>
      </c>
      <c r="W1447" s="36">
        <v>1</v>
      </c>
      <c r="X1447" s="36">
        <v>1</v>
      </c>
      <c r="Y1447" s="36">
        <v>1</v>
      </c>
      <c r="Z1447" s="36">
        <v>1</v>
      </c>
      <c r="AA1447" s="36">
        <v>1</v>
      </c>
      <c r="AB1447" s="36">
        <v>1</v>
      </c>
      <c r="AC1447" s="36">
        <v>1</v>
      </c>
      <c r="AD1447" s="36">
        <v>1</v>
      </c>
      <c r="AE1447" s="36">
        <v>1</v>
      </c>
      <c r="AF1447" s="36">
        <v>1</v>
      </c>
      <c r="AG1447" s="36">
        <v>4</v>
      </c>
      <c r="AH1447" s="36"/>
      <c r="AI1447" s="36"/>
      <c r="AJ1447" s="36"/>
      <c r="AK1447" s="36"/>
      <c r="AL1447" s="36"/>
      <c r="AM1447" s="36"/>
      <c r="AN1447" s="36">
        <v>3</v>
      </c>
      <c r="AO1447" s="36">
        <v>3</v>
      </c>
      <c r="AP1447" s="36">
        <v>2</v>
      </c>
      <c r="AQ1447" s="36">
        <v>2</v>
      </c>
      <c r="AR1447" s="36">
        <v>2</v>
      </c>
      <c r="AS1447" s="36">
        <v>2</v>
      </c>
      <c r="AT1447" s="36">
        <v>2</v>
      </c>
      <c r="AU1447" s="36">
        <v>2</v>
      </c>
      <c r="AV1447" s="36">
        <v>2</v>
      </c>
      <c r="AW1447" s="36">
        <v>2</v>
      </c>
      <c r="AX1447" s="36"/>
      <c r="AY1447" s="36"/>
      <c r="AZ1447" s="36"/>
      <c r="BA1447" s="36"/>
      <c r="BB1447" s="36"/>
      <c r="BC1447" s="36"/>
      <c r="BD1447" s="27"/>
      <c r="BF1447">
        <f>ROWS($U$46:U1447)</f>
        <v>1402</v>
      </c>
      <c r="BG1447" t="str">
        <f t="shared" si="227"/>
        <v/>
      </c>
    </row>
    <row r="1448" spans="15:59" x14ac:dyDescent="0.35">
      <c r="O1448" s="330">
        <v>4</v>
      </c>
      <c r="P1448" s="36">
        <v>418525</v>
      </c>
      <c r="Q1448" s="36">
        <v>8</v>
      </c>
      <c r="R1448" s="36"/>
      <c r="S1448" s="972">
        <v>16</v>
      </c>
      <c r="T1448" s="36" t="s">
        <v>1548</v>
      </c>
      <c r="U1448" s="36">
        <v>1092722</v>
      </c>
      <c r="V1448" s="165" t="s">
        <v>90</v>
      </c>
      <c r="W1448" s="36">
        <v>1</v>
      </c>
      <c r="X1448" s="36">
        <v>1</v>
      </c>
      <c r="Y1448" s="36">
        <v>1</v>
      </c>
      <c r="Z1448" s="36">
        <v>1</v>
      </c>
      <c r="AA1448" s="36">
        <v>1</v>
      </c>
      <c r="AB1448" s="36">
        <v>1</v>
      </c>
      <c r="AC1448" s="36">
        <v>1</v>
      </c>
      <c r="AD1448" s="36">
        <v>1</v>
      </c>
      <c r="AE1448" s="36">
        <v>1</v>
      </c>
      <c r="AF1448" s="36">
        <v>1</v>
      </c>
      <c r="AG1448" s="36">
        <v>1</v>
      </c>
      <c r="AH1448" s="36">
        <v>1</v>
      </c>
      <c r="AI1448" s="36">
        <v>1</v>
      </c>
      <c r="AJ1448" s="36">
        <v>1</v>
      </c>
      <c r="AK1448" s="36">
        <v>4</v>
      </c>
      <c r="AL1448" s="36"/>
      <c r="AM1448" s="36"/>
      <c r="AN1448" s="36">
        <v>3</v>
      </c>
      <c r="AO1448" s="36">
        <v>3</v>
      </c>
      <c r="AP1448" s="36">
        <v>2</v>
      </c>
      <c r="AQ1448" s="36">
        <v>2</v>
      </c>
      <c r="AR1448" s="36">
        <v>2</v>
      </c>
      <c r="AS1448" s="36">
        <v>2</v>
      </c>
      <c r="AT1448" s="36">
        <v>2</v>
      </c>
      <c r="AU1448" s="36">
        <v>2</v>
      </c>
      <c r="AV1448" s="36">
        <v>2</v>
      </c>
      <c r="AW1448" s="36">
        <v>2</v>
      </c>
      <c r="AX1448" s="36"/>
      <c r="AY1448" s="36"/>
      <c r="AZ1448" s="36"/>
      <c r="BA1448" s="36"/>
      <c r="BB1448" s="36"/>
      <c r="BC1448" s="36"/>
      <c r="BD1448" s="27"/>
      <c r="BF1448">
        <f>ROWS($U$46:U1448)</f>
        <v>1403</v>
      </c>
      <c r="BG1448" t="str">
        <f t="shared" si="227"/>
        <v/>
      </c>
    </row>
    <row r="1449" spans="15:59" x14ac:dyDescent="0.35">
      <c r="O1449" s="330"/>
      <c r="P1449" s="36"/>
      <c r="Q1449" s="36"/>
      <c r="R1449" s="36"/>
      <c r="S1449" s="972">
        <v>16</v>
      </c>
      <c r="T1449" s="36" t="s">
        <v>1548</v>
      </c>
      <c r="U1449" s="36">
        <v>1092722</v>
      </c>
      <c r="V1449" s="165" t="s">
        <v>91</v>
      </c>
      <c r="W1449" s="36">
        <v>1</v>
      </c>
      <c r="X1449" s="36">
        <v>1</v>
      </c>
      <c r="Y1449" s="36">
        <v>1</v>
      </c>
      <c r="Z1449" s="36">
        <v>1</v>
      </c>
      <c r="AA1449" s="36">
        <v>1</v>
      </c>
      <c r="AB1449" s="36">
        <v>1</v>
      </c>
      <c r="AC1449" s="36">
        <v>1</v>
      </c>
      <c r="AD1449" s="36">
        <v>1</v>
      </c>
      <c r="AE1449" s="36">
        <v>1</v>
      </c>
      <c r="AF1449" s="36">
        <v>4</v>
      </c>
      <c r="AG1449" s="36"/>
      <c r="AH1449" s="36"/>
      <c r="AI1449" s="36"/>
      <c r="AJ1449" s="36"/>
      <c r="AK1449" s="36"/>
      <c r="AL1449" s="36"/>
      <c r="AM1449" s="36"/>
      <c r="AN1449" s="36">
        <v>3</v>
      </c>
      <c r="AO1449" s="36">
        <v>2</v>
      </c>
      <c r="AP1449" s="36">
        <v>2</v>
      </c>
      <c r="AQ1449" s="36">
        <v>2</v>
      </c>
      <c r="AR1449" s="36">
        <v>2</v>
      </c>
      <c r="AS1449" s="36">
        <v>2</v>
      </c>
      <c r="AT1449" s="36">
        <v>2</v>
      </c>
      <c r="AU1449" s="36">
        <v>2</v>
      </c>
      <c r="AV1449" s="36">
        <v>2</v>
      </c>
      <c r="AW1449" s="36"/>
      <c r="AX1449" s="36"/>
      <c r="AY1449" s="36"/>
      <c r="AZ1449" s="36"/>
      <c r="BA1449" s="36"/>
      <c r="BB1449" s="36"/>
      <c r="BC1449" s="36"/>
      <c r="BD1449" s="27"/>
      <c r="BF1449">
        <f>ROWS($U$46:U1449)</f>
        <v>1404</v>
      </c>
      <c r="BG1449" t="str">
        <f t="shared" si="227"/>
        <v/>
      </c>
    </row>
    <row r="1450" spans="15:59" x14ac:dyDescent="0.35">
      <c r="O1450" s="330"/>
      <c r="P1450" s="36"/>
      <c r="Q1450" s="36"/>
      <c r="R1450" s="36"/>
      <c r="S1450" s="972">
        <v>16</v>
      </c>
      <c r="T1450" s="36" t="s">
        <v>1548</v>
      </c>
      <c r="U1450" s="36">
        <v>1092722</v>
      </c>
      <c r="V1450" s="165" t="s">
        <v>92</v>
      </c>
      <c r="W1450" s="36">
        <v>1</v>
      </c>
      <c r="X1450" s="36">
        <v>1</v>
      </c>
      <c r="Y1450" s="36">
        <v>1</v>
      </c>
      <c r="Z1450" s="36">
        <v>1</v>
      </c>
      <c r="AA1450" s="36">
        <v>1</v>
      </c>
      <c r="AB1450" s="36">
        <v>1</v>
      </c>
      <c r="AC1450" s="36">
        <v>1</v>
      </c>
      <c r="AD1450" s="36">
        <v>1</v>
      </c>
      <c r="AE1450" s="36">
        <v>1</v>
      </c>
      <c r="AF1450" s="36">
        <v>1</v>
      </c>
      <c r="AG1450" s="36">
        <v>1</v>
      </c>
      <c r="AH1450" s="36">
        <v>1</v>
      </c>
      <c r="AI1450" s="36">
        <v>1</v>
      </c>
      <c r="AJ1450" s="36">
        <v>1</v>
      </c>
      <c r="AK1450" s="36">
        <v>4</v>
      </c>
      <c r="AL1450" s="36"/>
      <c r="AM1450" s="36"/>
      <c r="AN1450" s="36">
        <v>3</v>
      </c>
      <c r="AO1450" s="36">
        <v>3</v>
      </c>
      <c r="AP1450" s="36">
        <v>2</v>
      </c>
      <c r="AQ1450" s="36">
        <v>2</v>
      </c>
      <c r="AR1450" s="36">
        <v>2</v>
      </c>
      <c r="AS1450" s="36">
        <v>2</v>
      </c>
      <c r="AT1450" s="36">
        <v>2</v>
      </c>
      <c r="AU1450" s="36">
        <v>2</v>
      </c>
      <c r="AV1450" s="36">
        <v>2</v>
      </c>
      <c r="AW1450" s="36">
        <v>2</v>
      </c>
      <c r="AX1450" s="36"/>
      <c r="AY1450" s="36"/>
      <c r="AZ1450" s="36"/>
      <c r="BA1450" s="36"/>
      <c r="BB1450" s="36"/>
      <c r="BC1450" s="36"/>
      <c r="BD1450" s="27"/>
      <c r="BF1450">
        <f>ROWS($U$46:U1450)</f>
        <v>1405</v>
      </c>
      <c r="BG1450" t="str">
        <f t="shared" si="227"/>
        <v/>
      </c>
    </row>
    <row r="1451" spans="15:59" x14ac:dyDescent="0.35">
      <c r="O1451" s="330"/>
      <c r="P1451" s="36"/>
      <c r="Q1451" s="36"/>
      <c r="R1451" s="36"/>
      <c r="S1451" s="972">
        <v>16</v>
      </c>
      <c r="T1451" s="36" t="s">
        <v>1548</v>
      </c>
      <c r="U1451" s="36">
        <v>1092722</v>
      </c>
      <c r="V1451" s="165" t="s">
        <v>111</v>
      </c>
      <c r="W1451" s="36">
        <v>1</v>
      </c>
      <c r="X1451" s="36">
        <v>1</v>
      </c>
      <c r="Y1451" s="36">
        <v>1</v>
      </c>
      <c r="Z1451" s="36">
        <v>1</v>
      </c>
      <c r="AA1451" s="36">
        <v>1</v>
      </c>
      <c r="AB1451" s="36">
        <v>1</v>
      </c>
      <c r="AC1451" s="36">
        <v>1</v>
      </c>
      <c r="AD1451" s="36">
        <v>1</v>
      </c>
      <c r="AE1451" s="36">
        <v>1</v>
      </c>
      <c r="AF1451" s="36">
        <v>1</v>
      </c>
      <c r="AG1451" s="36">
        <v>4</v>
      </c>
      <c r="AH1451" s="36"/>
      <c r="AI1451" s="36"/>
      <c r="AJ1451" s="36"/>
      <c r="AK1451" s="36"/>
      <c r="AL1451" s="36"/>
      <c r="AM1451" s="36"/>
      <c r="AN1451" s="36">
        <v>3</v>
      </c>
      <c r="AO1451" s="36">
        <v>3</v>
      </c>
      <c r="AP1451" s="36">
        <v>2</v>
      </c>
      <c r="AQ1451" s="36">
        <v>2</v>
      </c>
      <c r="AR1451" s="36">
        <v>2</v>
      </c>
      <c r="AS1451" s="36">
        <v>2</v>
      </c>
      <c r="AT1451" s="36">
        <v>2</v>
      </c>
      <c r="AU1451" s="36">
        <v>2</v>
      </c>
      <c r="AV1451" s="36">
        <v>2</v>
      </c>
      <c r="AW1451" s="36">
        <v>2</v>
      </c>
      <c r="AX1451" s="36"/>
      <c r="AY1451" s="36"/>
      <c r="AZ1451" s="36"/>
      <c r="BA1451" s="36"/>
      <c r="BB1451" s="36"/>
      <c r="BC1451" s="36"/>
      <c r="BD1451" s="27"/>
      <c r="BF1451">
        <f>ROWS($U$46:U1451)</f>
        <v>1406</v>
      </c>
      <c r="BG1451" t="str">
        <f t="shared" si="227"/>
        <v/>
      </c>
    </row>
    <row r="1452" spans="15:59" ht="15" thickBot="1" x14ac:dyDescent="0.4">
      <c r="O1452" s="331"/>
      <c r="P1452" s="328"/>
      <c r="Q1452" s="328"/>
      <c r="R1452" s="328"/>
      <c r="S1452" s="973">
        <v>16</v>
      </c>
      <c r="T1452" s="328" t="s">
        <v>1548</v>
      </c>
      <c r="U1452" s="328">
        <v>1092722</v>
      </c>
      <c r="V1452" s="327" t="s">
        <v>112</v>
      </c>
      <c r="W1452" s="328">
        <v>1</v>
      </c>
      <c r="X1452" s="328">
        <v>1</v>
      </c>
      <c r="Y1452" s="328">
        <v>1</v>
      </c>
      <c r="Z1452" s="328">
        <v>1</v>
      </c>
      <c r="AA1452" s="328">
        <v>1</v>
      </c>
      <c r="AB1452" s="328">
        <v>1</v>
      </c>
      <c r="AC1452" s="328">
        <v>1</v>
      </c>
      <c r="AD1452" s="328">
        <v>1</v>
      </c>
      <c r="AE1452" s="328">
        <v>1</v>
      </c>
      <c r="AF1452" s="328">
        <v>1</v>
      </c>
      <c r="AG1452" s="328">
        <v>4</v>
      </c>
      <c r="AH1452" s="328"/>
      <c r="AI1452" s="328"/>
      <c r="AJ1452" s="328"/>
      <c r="AK1452" s="328"/>
      <c r="AL1452" s="328"/>
      <c r="AM1452" s="328"/>
      <c r="AN1452" s="328">
        <v>3</v>
      </c>
      <c r="AO1452" s="328">
        <v>3</v>
      </c>
      <c r="AP1452" s="328">
        <v>2</v>
      </c>
      <c r="AQ1452" s="328">
        <v>2</v>
      </c>
      <c r="AR1452" s="328">
        <v>2</v>
      </c>
      <c r="AS1452" s="328">
        <v>2</v>
      </c>
      <c r="AT1452" s="328">
        <v>2</v>
      </c>
      <c r="AU1452" s="328">
        <v>2</v>
      </c>
      <c r="AV1452" s="328">
        <v>2</v>
      </c>
      <c r="AW1452" s="328">
        <v>2</v>
      </c>
      <c r="AX1452" s="328"/>
      <c r="AY1452" s="328"/>
      <c r="AZ1452" s="328"/>
      <c r="BA1452" s="328"/>
      <c r="BB1452" s="328"/>
      <c r="BC1452" s="328"/>
      <c r="BD1452" s="31"/>
      <c r="BF1452">
        <f>ROWS($U$46:U1452)</f>
        <v>1407</v>
      </c>
      <c r="BG1452" t="str">
        <f t="shared" si="227"/>
        <v/>
      </c>
    </row>
    <row r="1453" spans="15:59" x14ac:dyDescent="0.35">
      <c r="O1453" s="329">
        <v>1</v>
      </c>
      <c r="P1453" s="320">
        <v>1165840</v>
      </c>
      <c r="Q1453" s="320">
        <v>57</v>
      </c>
      <c r="R1453" s="320"/>
      <c r="S1453" s="971" t="s">
        <v>1482</v>
      </c>
      <c r="T1453" s="320" t="s">
        <v>2039</v>
      </c>
      <c r="U1453" s="320">
        <v>1219765</v>
      </c>
      <c r="V1453" s="319" t="s">
        <v>87</v>
      </c>
      <c r="W1453" s="320">
        <v>3</v>
      </c>
      <c r="X1453" s="320">
        <v>3</v>
      </c>
      <c r="Y1453" s="320">
        <v>3</v>
      </c>
      <c r="Z1453" s="320">
        <v>3</v>
      </c>
      <c r="AA1453" s="320">
        <v>3</v>
      </c>
      <c r="AB1453" s="320">
        <v>3</v>
      </c>
      <c r="AC1453" s="320">
        <v>3</v>
      </c>
      <c r="AD1453" s="320">
        <v>3</v>
      </c>
      <c r="AE1453" s="320">
        <v>8</v>
      </c>
      <c r="AF1453" s="320">
        <v>2</v>
      </c>
      <c r="AG1453" s="320">
        <v>2</v>
      </c>
      <c r="AH1453" s="320">
        <v>2</v>
      </c>
      <c r="AI1453" s="320">
        <v>2</v>
      </c>
      <c r="AJ1453" s="320">
        <v>2</v>
      </c>
      <c r="AK1453" s="320">
        <v>6</v>
      </c>
      <c r="AL1453" s="320">
        <v>6</v>
      </c>
      <c r="AM1453" s="320">
        <v>7</v>
      </c>
      <c r="AN1453" s="320"/>
      <c r="AO1453" s="320">
        <v>10</v>
      </c>
      <c r="AP1453" s="320">
        <v>4</v>
      </c>
      <c r="AQ1453" s="320">
        <v>4</v>
      </c>
      <c r="AR1453" s="320">
        <v>4</v>
      </c>
      <c r="AS1453" s="320">
        <v>4</v>
      </c>
      <c r="AT1453" s="320">
        <v>4</v>
      </c>
      <c r="AU1453" s="320">
        <v>9</v>
      </c>
      <c r="AV1453" s="320">
        <v>1</v>
      </c>
      <c r="AW1453" s="320">
        <v>1</v>
      </c>
      <c r="AX1453" s="320">
        <v>1</v>
      </c>
      <c r="AY1453" s="320">
        <v>1</v>
      </c>
      <c r="AZ1453" s="320">
        <v>1</v>
      </c>
      <c r="BA1453" s="320">
        <v>1</v>
      </c>
      <c r="BB1453" s="320">
        <v>1</v>
      </c>
      <c r="BC1453" s="320">
        <v>5</v>
      </c>
      <c r="BD1453" s="119">
        <v>5</v>
      </c>
      <c r="BF1453">
        <f>ROWS($U$46:U1453)</f>
        <v>1408</v>
      </c>
      <c r="BG1453" t="str">
        <f t="shared" si="227"/>
        <v/>
      </c>
    </row>
    <row r="1454" spans="15:59" x14ac:dyDescent="0.35">
      <c r="O1454" s="330">
        <v>2</v>
      </c>
      <c r="P1454" s="36">
        <v>1118417</v>
      </c>
      <c r="Q1454" s="36">
        <v>42</v>
      </c>
      <c r="R1454" s="36"/>
      <c r="S1454" s="972" t="s">
        <v>1482</v>
      </c>
      <c r="T1454" s="36" t="s">
        <v>2039</v>
      </c>
      <c r="U1454" s="36">
        <v>1219765</v>
      </c>
      <c r="V1454" s="165" t="s">
        <v>88</v>
      </c>
      <c r="W1454" s="36">
        <v>3</v>
      </c>
      <c r="X1454" s="36">
        <v>3</v>
      </c>
      <c r="Y1454" s="36">
        <v>8</v>
      </c>
      <c r="Z1454" s="36">
        <v>2</v>
      </c>
      <c r="AA1454" s="36">
        <v>2</v>
      </c>
      <c r="AB1454" s="36">
        <v>2</v>
      </c>
      <c r="AC1454" s="36">
        <v>2</v>
      </c>
      <c r="AD1454" s="36">
        <v>2</v>
      </c>
      <c r="AE1454" s="36">
        <v>2</v>
      </c>
      <c r="AF1454" s="36">
        <v>6</v>
      </c>
      <c r="AG1454" s="36">
        <v>6</v>
      </c>
      <c r="AH1454" s="36">
        <v>7</v>
      </c>
      <c r="AI1454" s="36"/>
      <c r="AJ1454" s="36"/>
      <c r="AK1454" s="36"/>
      <c r="AL1454" s="36"/>
      <c r="AM1454" s="36"/>
      <c r="AN1454" s="36"/>
      <c r="AO1454" s="36">
        <v>4</v>
      </c>
      <c r="AP1454" s="36">
        <v>1</v>
      </c>
      <c r="AQ1454" s="36">
        <v>1</v>
      </c>
      <c r="AR1454" s="36">
        <v>1</v>
      </c>
      <c r="AS1454" s="36">
        <v>1</v>
      </c>
      <c r="AT1454" s="36">
        <v>1</v>
      </c>
      <c r="AU1454" s="36">
        <v>1</v>
      </c>
      <c r="AV1454" s="36">
        <v>1</v>
      </c>
      <c r="AW1454" s="36">
        <v>1</v>
      </c>
      <c r="AX1454" s="36">
        <v>5</v>
      </c>
      <c r="AY1454" s="36">
        <v>5</v>
      </c>
      <c r="AZ1454" s="36"/>
      <c r="BA1454" s="36"/>
      <c r="BB1454" s="36"/>
      <c r="BC1454" s="36"/>
      <c r="BD1454" s="27"/>
      <c r="BF1454">
        <f>ROWS($U$46:U1454)</f>
        <v>1409</v>
      </c>
      <c r="BG1454" t="str">
        <f t="shared" si="227"/>
        <v/>
      </c>
    </row>
    <row r="1455" spans="15:59" x14ac:dyDescent="0.35">
      <c r="O1455" s="330">
        <v>3</v>
      </c>
      <c r="P1455" s="36">
        <v>1142633</v>
      </c>
      <c r="Q1455" s="36">
        <v>32</v>
      </c>
      <c r="R1455" s="36"/>
      <c r="S1455" s="972" t="s">
        <v>1482</v>
      </c>
      <c r="T1455" s="36" t="s">
        <v>2039</v>
      </c>
      <c r="U1455" s="36">
        <v>1219765</v>
      </c>
      <c r="V1455" s="165" t="s">
        <v>89</v>
      </c>
      <c r="W1455" s="36">
        <v>3</v>
      </c>
      <c r="X1455" s="36">
        <v>3</v>
      </c>
      <c r="Y1455" s="36">
        <v>8</v>
      </c>
      <c r="Z1455" s="36">
        <v>2</v>
      </c>
      <c r="AA1455" s="36">
        <v>2</v>
      </c>
      <c r="AB1455" s="36">
        <v>2</v>
      </c>
      <c r="AC1455" s="36">
        <v>2</v>
      </c>
      <c r="AD1455" s="36">
        <v>2</v>
      </c>
      <c r="AE1455" s="36">
        <v>6</v>
      </c>
      <c r="AF1455" s="36">
        <v>6</v>
      </c>
      <c r="AG1455" s="36">
        <v>7</v>
      </c>
      <c r="AH1455" s="36"/>
      <c r="AI1455" s="36"/>
      <c r="AJ1455" s="36"/>
      <c r="AK1455" s="36"/>
      <c r="AL1455" s="36"/>
      <c r="AM1455" s="36"/>
      <c r="AN1455" s="36"/>
      <c r="AO1455" s="36">
        <v>4</v>
      </c>
      <c r="AP1455" s="36">
        <v>1</v>
      </c>
      <c r="AQ1455" s="36">
        <v>1</v>
      </c>
      <c r="AR1455" s="36">
        <v>1</v>
      </c>
      <c r="AS1455" s="36">
        <v>1</v>
      </c>
      <c r="AT1455" s="36">
        <v>1</v>
      </c>
      <c r="AU1455" s="36">
        <v>1</v>
      </c>
      <c r="AV1455" s="36">
        <v>1</v>
      </c>
      <c r="AW1455" s="36">
        <v>5</v>
      </c>
      <c r="AX1455" s="36">
        <v>5</v>
      </c>
      <c r="AY1455" s="36"/>
      <c r="AZ1455" s="36"/>
      <c r="BA1455" s="36"/>
      <c r="BB1455" s="36"/>
      <c r="BC1455" s="36"/>
      <c r="BD1455" s="27"/>
      <c r="BF1455">
        <f>ROWS($U$46:U1455)</f>
        <v>1410</v>
      </c>
      <c r="BG1455" t="str">
        <f t="shared" ref="BG1455:BG1518" si="228">IF(VALUE(SUBSTITUTE($B$5,"M",""))=U1455,BF1455,"")</f>
        <v/>
      </c>
    </row>
    <row r="1456" spans="15:59" x14ac:dyDescent="0.35">
      <c r="O1456" s="330">
        <v>4</v>
      </c>
      <c r="P1456" s="36">
        <v>1086351</v>
      </c>
      <c r="Q1456" s="36">
        <v>19</v>
      </c>
      <c r="R1456" s="36"/>
      <c r="S1456" s="972" t="s">
        <v>1482</v>
      </c>
      <c r="T1456" s="36" t="s">
        <v>2039</v>
      </c>
      <c r="U1456" s="36">
        <v>1219765</v>
      </c>
      <c r="V1456" s="165" t="s">
        <v>90</v>
      </c>
      <c r="W1456" s="36">
        <v>3</v>
      </c>
      <c r="X1456" s="36">
        <v>3</v>
      </c>
      <c r="Y1456" s="36">
        <v>3</v>
      </c>
      <c r="Z1456" s="36">
        <v>3</v>
      </c>
      <c r="AA1456" s="36">
        <v>3</v>
      </c>
      <c r="AB1456" s="36">
        <v>3</v>
      </c>
      <c r="AC1456" s="36">
        <v>3</v>
      </c>
      <c r="AD1456" s="36">
        <v>8</v>
      </c>
      <c r="AE1456" s="36">
        <v>2</v>
      </c>
      <c r="AF1456" s="36">
        <v>2</v>
      </c>
      <c r="AG1456" s="36">
        <v>2</v>
      </c>
      <c r="AH1456" s="36">
        <v>2</v>
      </c>
      <c r="AI1456" s="36">
        <v>2</v>
      </c>
      <c r="AJ1456" s="36">
        <v>6</v>
      </c>
      <c r="AK1456" s="36">
        <v>6</v>
      </c>
      <c r="AL1456" s="36">
        <v>7</v>
      </c>
      <c r="AM1456" s="36"/>
      <c r="AN1456" s="36"/>
      <c r="AO1456" s="36">
        <v>10</v>
      </c>
      <c r="AP1456" s="36">
        <v>4</v>
      </c>
      <c r="AQ1456" s="36">
        <v>4</v>
      </c>
      <c r="AR1456" s="36">
        <v>4</v>
      </c>
      <c r="AS1456" s="36">
        <v>4</v>
      </c>
      <c r="AT1456" s="36">
        <v>9</v>
      </c>
      <c r="AU1456" s="36">
        <v>1</v>
      </c>
      <c r="AV1456" s="36">
        <v>1</v>
      </c>
      <c r="AW1456" s="36">
        <v>1</v>
      </c>
      <c r="AX1456" s="36">
        <v>1</v>
      </c>
      <c r="AY1456" s="36">
        <v>1</v>
      </c>
      <c r="AZ1456" s="36">
        <v>1</v>
      </c>
      <c r="BA1456" s="36">
        <v>1</v>
      </c>
      <c r="BB1456" s="36">
        <v>5</v>
      </c>
      <c r="BC1456" s="36">
        <v>5</v>
      </c>
      <c r="BD1456" s="27"/>
      <c r="BF1456">
        <f>ROWS($U$46:U1456)</f>
        <v>1411</v>
      </c>
      <c r="BG1456" t="str">
        <f t="shared" si="228"/>
        <v/>
      </c>
    </row>
    <row r="1457" spans="14:59" x14ac:dyDescent="0.35">
      <c r="O1457" s="330">
        <v>5</v>
      </c>
      <c r="P1457" s="36">
        <v>179734</v>
      </c>
      <c r="Q1457" s="36">
        <v>16</v>
      </c>
      <c r="R1457" s="36"/>
      <c r="S1457" s="972" t="s">
        <v>1482</v>
      </c>
      <c r="T1457" s="36" t="s">
        <v>2039</v>
      </c>
      <c r="U1457" s="36">
        <v>1219765</v>
      </c>
      <c r="V1457" s="165" t="s">
        <v>91</v>
      </c>
      <c r="W1457" s="36">
        <v>3</v>
      </c>
      <c r="X1457" s="36">
        <v>3</v>
      </c>
      <c r="Y1457" s="36">
        <v>8</v>
      </c>
      <c r="Z1457" s="36">
        <v>2</v>
      </c>
      <c r="AA1457" s="36">
        <v>2</v>
      </c>
      <c r="AB1457" s="36">
        <v>2</v>
      </c>
      <c r="AC1457" s="36">
        <v>2</v>
      </c>
      <c r="AD1457" s="36">
        <v>2</v>
      </c>
      <c r="AE1457" s="36">
        <v>6</v>
      </c>
      <c r="AF1457" s="36">
        <v>6</v>
      </c>
      <c r="AG1457" s="36">
        <v>7</v>
      </c>
      <c r="AH1457" s="36"/>
      <c r="AI1457" s="36"/>
      <c r="AJ1457" s="36"/>
      <c r="AK1457" s="36"/>
      <c r="AL1457" s="36"/>
      <c r="AM1457" s="36"/>
      <c r="AN1457" s="36"/>
      <c r="AO1457" s="36">
        <v>4</v>
      </c>
      <c r="AP1457" s="36">
        <v>1</v>
      </c>
      <c r="AQ1457" s="36">
        <v>1</v>
      </c>
      <c r="AR1457" s="36">
        <v>1</v>
      </c>
      <c r="AS1457" s="36">
        <v>1</v>
      </c>
      <c r="AT1457" s="36">
        <v>1</v>
      </c>
      <c r="AU1457" s="36">
        <v>1</v>
      </c>
      <c r="AV1457" s="36">
        <v>1</v>
      </c>
      <c r="AW1457" s="36">
        <v>5</v>
      </c>
      <c r="AX1457" s="36">
        <v>5</v>
      </c>
      <c r="AY1457" s="36"/>
      <c r="AZ1457" s="36"/>
      <c r="BA1457" s="36"/>
      <c r="BB1457" s="36"/>
      <c r="BC1457" s="36"/>
      <c r="BD1457" s="27"/>
      <c r="BF1457">
        <f>ROWS($U$46:U1457)</f>
        <v>1412</v>
      </c>
      <c r="BG1457" t="str">
        <f t="shared" si="228"/>
        <v/>
      </c>
    </row>
    <row r="1458" spans="14:59" x14ac:dyDescent="0.35">
      <c r="O1458" s="330">
        <v>6</v>
      </c>
      <c r="P1458" s="36">
        <v>1133896</v>
      </c>
      <c r="Q1458" s="36">
        <v>16</v>
      </c>
      <c r="R1458" s="36"/>
      <c r="S1458" s="972" t="s">
        <v>1482</v>
      </c>
      <c r="T1458" s="36" t="s">
        <v>2039</v>
      </c>
      <c r="U1458" s="36">
        <v>1219765</v>
      </c>
      <c r="V1458" s="165" t="s">
        <v>92</v>
      </c>
      <c r="W1458" s="36">
        <v>3</v>
      </c>
      <c r="X1458" s="36">
        <v>3</v>
      </c>
      <c r="Y1458" s="36">
        <v>3</v>
      </c>
      <c r="Z1458" s="36">
        <v>3</v>
      </c>
      <c r="AA1458" s="36">
        <v>3</v>
      </c>
      <c r="AB1458" s="36">
        <v>3</v>
      </c>
      <c r="AC1458" s="36">
        <v>3</v>
      </c>
      <c r="AD1458" s="36">
        <v>8</v>
      </c>
      <c r="AE1458" s="36">
        <v>2</v>
      </c>
      <c r="AF1458" s="36">
        <v>2</v>
      </c>
      <c r="AG1458" s="36">
        <v>2</v>
      </c>
      <c r="AH1458" s="36">
        <v>2</v>
      </c>
      <c r="AI1458" s="36">
        <v>2</v>
      </c>
      <c r="AJ1458" s="36">
        <v>2</v>
      </c>
      <c r="AK1458" s="36">
        <v>6</v>
      </c>
      <c r="AL1458" s="36">
        <v>6</v>
      </c>
      <c r="AM1458" s="36">
        <v>7</v>
      </c>
      <c r="AN1458" s="36"/>
      <c r="AO1458" s="36">
        <v>10</v>
      </c>
      <c r="AP1458" s="36">
        <v>4</v>
      </c>
      <c r="AQ1458" s="36">
        <v>4</v>
      </c>
      <c r="AR1458" s="36">
        <v>4</v>
      </c>
      <c r="AS1458" s="36">
        <v>4</v>
      </c>
      <c r="AT1458" s="36">
        <v>4</v>
      </c>
      <c r="AU1458" s="36">
        <v>9</v>
      </c>
      <c r="AV1458" s="36">
        <v>1</v>
      </c>
      <c r="AW1458" s="36">
        <v>1</v>
      </c>
      <c r="AX1458" s="36">
        <v>1</v>
      </c>
      <c r="AY1458" s="36">
        <v>1</v>
      </c>
      <c r="AZ1458" s="36">
        <v>1</v>
      </c>
      <c r="BA1458" s="36">
        <v>1</v>
      </c>
      <c r="BB1458" s="36">
        <v>1</v>
      </c>
      <c r="BC1458" s="36">
        <v>5</v>
      </c>
      <c r="BD1458" s="27">
        <v>5</v>
      </c>
      <c r="BF1458">
        <f>ROWS($U$46:U1458)</f>
        <v>1413</v>
      </c>
      <c r="BG1458" t="str">
        <f t="shared" si="228"/>
        <v/>
      </c>
    </row>
    <row r="1459" spans="14:59" x14ac:dyDescent="0.35">
      <c r="O1459" s="330">
        <v>7</v>
      </c>
      <c r="P1459" s="36">
        <v>418525</v>
      </c>
      <c r="Q1459" s="36">
        <v>8</v>
      </c>
      <c r="R1459" s="36"/>
      <c r="S1459" s="972" t="s">
        <v>1482</v>
      </c>
      <c r="T1459" s="36" t="s">
        <v>2039</v>
      </c>
      <c r="U1459" s="36">
        <v>1219765</v>
      </c>
      <c r="V1459" s="165" t="s">
        <v>111</v>
      </c>
      <c r="W1459" s="36">
        <v>3</v>
      </c>
      <c r="X1459" s="36">
        <v>3</v>
      </c>
      <c r="Y1459" s="36">
        <v>8</v>
      </c>
      <c r="Z1459" s="36">
        <v>2</v>
      </c>
      <c r="AA1459" s="36">
        <v>2</v>
      </c>
      <c r="AB1459" s="36">
        <v>2</v>
      </c>
      <c r="AC1459" s="36">
        <v>2</v>
      </c>
      <c r="AD1459" s="36">
        <v>2</v>
      </c>
      <c r="AE1459" s="36">
        <v>6</v>
      </c>
      <c r="AF1459" s="36">
        <v>6</v>
      </c>
      <c r="AG1459" s="36">
        <v>7</v>
      </c>
      <c r="AH1459" s="36"/>
      <c r="AI1459" s="36"/>
      <c r="AJ1459" s="36"/>
      <c r="AK1459" s="36"/>
      <c r="AL1459" s="36"/>
      <c r="AM1459" s="36"/>
      <c r="AN1459" s="36"/>
      <c r="AO1459" s="36">
        <v>4</v>
      </c>
      <c r="AP1459" s="36">
        <v>1</v>
      </c>
      <c r="AQ1459" s="36">
        <v>1</v>
      </c>
      <c r="AR1459" s="36">
        <v>1</v>
      </c>
      <c r="AS1459" s="36">
        <v>1</v>
      </c>
      <c r="AT1459" s="36">
        <v>1</v>
      </c>
      <c r="AU1459" s="36">
        <v>1</v>
      </c>
      <c r="AV1459" s="36">
        <v>1</v>
      </c>
      <c r="AW1459" s="36">
        <v>5</v>
      </c>
      <c r="AX1459" s="36">
        <v>5</v>
      </c>
      <c r="AY1459" s="36"/>
      <c r="AZ1459" s="36"/>
      <c r="BA1459" s="36"/>
      <c r="BB1459" s="36"/>
      <c r="BC1459" s="36"/>
      <c r="BD1459" s="27"/>
      <c r="BF1459">
        <f>ROWS($U$46:U1459)</f>
        <v>1414</v>
      </c>
      <c r="BG1459" t="str">
        <f t="shared" si="228"/>
        <v/>
      </c>
    </row>
    <row r="1460" spans="14:59" x14ac:dyDescent="0.35">
      <c r="O1460" s="330">
        <v>8</v>
      </c>
      <c r="P1460" s="36">
        <v>1141584</v>
      </c>
      <c r="Q1460" s="36">
        <v>8</v>
      </c>
      <c r="R1460" s="36"/>
      <c r="S1460" s="972" t="s">
        <v>1482</v>
      </c>
      <c r="T1460" s="36" t="s">
        <v>2039</v>
      </c>
      <c r="U1460" s="36">
        <v>1219765</v>
      </c>
      <c r="V1460" s="165" t="s">
        <v>112</v>
      </c>
      <c r="W1460" s="36">
        <v>3</v>
      </c>
      <c r="X1460" s="36">
        <v>3</v>
      </c>
      <c r="Y1460" s="36">
        <v>8</v>
      </c>
      <c r="Z1460" s="36">
        <v>2</v>
      </c>
      <c r="AA1460" s="36">
        <v>2</v>
      </c>
      <c r="AB1460" s="36">
        <v>2</v>
      </c>
      <c r="AC1460" s="36">
        <v>2</v>
      </c>
      <c r="AD1460" s="36">
        <v>2</v>
      </c>
      <c r="AE1460" s="36">
        <v>6</v>
      </c>
      <c r="AF1460" s="36">
        <v>6</v>
      </c>
      <c r="AG1460" s="36">
        <v>7</v>
      </c>
      <c r="AH1460" s="36"/>
      <c r="AI1460" s="36"/>
      <c r="AJ1460" s="36"/>
      <c r="AK1460" s="36"/>
      <c r="AL1460" s="36"/>
      <c r="AM1460" s="36"/>
      <c r="AN1460" s="36"/>
      <c r="AO1460" s="36">
        <v>4</v>
      </c>
      <c r="AP1460" s="36">
        <v>1</v>
      </c>
      <c r="AQ1460" s="36">
        <v>1</v>
      </c>
      <c r="AR1460" s="36">
        <v>1</v>
      </c>
      <c r="AS1460" s="36">
        <v>1</v>
      </c>
      <c r="AT1460" s="36">
        <v>1</v>
      </c>
      <c r="AU1460" s="36">
        <v>1</v>
      </c>
      <c r="AV1460" s="36">
        <v>1</v>
      </c>
      <c r="AW1460" s="36">
        <v>5</v>
      </c>
      <c r="AX1460" s="36">
        <v>5</v>
      </c>
      <c r="AY1460" s="36"/>
      <c r="AZ1460" s="36"/>
      <c r="BA1460" s="36"/>
      <c r="BB1460" s="36"/>
      <c r="BC1460" s="36"/>
      <c r="BD1460" s="27"/>
      <c r="BF1460">
        <f>ROWS($U$46:U1460)</f>
        <v>1415</v>
      </c>
      <c r="BG1460" t="str">
        <f t="shared" si="228"/>
        <v/>
      </c>
    </row>
    <row r="1461" spans="14:59" x14ac:dyDescent="0.35">
      <c r="O1461" s="330">
        <v>9</v>
      </c>
      <c r="P1461" s="36">
        <v>1050854</v>
      </c>
      <c r="Q1461" s="36">
        <v>3</v>
      </c>
      <c r="R1461" s="36"/>
      <c r="S1461" s="972" t="s">
        <v>1482</v>
      </c>
      <c r="T1461" s="36" t="s">
        <v>2039</v>
      </c>
      <c r="U1461" s="36">
        <v>1219765</v>
      </c>
      <c r="V1461" s="165" t="s">
        <v>113</v>
      </c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  <c r="AV1461" s="36"/>
      <c r="AW1461" s="36"/>
      <c r="AX1461" s="36"/>
      <c r="AY1461" s="36"/>
      <c r="AZ1461" s="36"/>
      <c r="BA1461" s="36"/>
      <c r="BB1461" s="36"/>
      <c r="BC1461" s="36"/>
      <c r="BD1461" s="27"/>
      <c r="BF1461">
        <f>ROWS($U$46:U1461)</f>
        <v>1416</v>
      </c>
      <c r="BG1461" t="str">
        <f t="shared" si="228"/>
        <v/>
      </c>
    </row>
    <row r="1462" spans="14:59" ht="15" thickBot="1" x14ac:dyDescent="0.4">
      <c r="O1462" s="331">
        <v>10</v>
      </c>
      <c r="P1462" s="328">
        <v>1161228</v>
      </c>
      <c r="Q1462" s="328">
        <v>3</v>
      </c>
      <c r="R1462" s="328"/>
      <c r="S1462" s="973" t="s">
        <v>1482</v>
      </c>
      <c r="T1462" s="328" t="s">
        <v>2039</v>
      </c>
      <c r="U1462" s="328">
        <v>1219765</v>
      </c>
      <c r="V1462" s="327" t="s">
        <v>114</v>
      </c>
      <c r="W1462" s="328"/>
      <c r="X1462" s="328"/>
      <c r="Y1462" s="328"/>
      <c r="Z1462" s="328"/>
      <c r="AA1462" s="328"/>
      <c r="AB1462" s="328"/>
      <c r="AC1462" s="328"/>
      <c r="AD1462" s="328"/>
      <c r="AE1462" s="328"/>
      <c r="AF1462" s="328"/>
      <c r="AG1462" s="328"/>
      <c r="AH1462" s="328"/>
      <c r="AI1462" s="328"/>
      <c r="AJ1462" s="328"/>
      <c r="AK1462" s="328"/>
      <c r="AL1462" s="328"/>
      <c r="AM1462" s="328"/>
      <c r="AN1462" s="328"/>
      <c r="AO1462" s="328"/>
      <c r="AP1462" s="328"/>
      <c r="AQ1462" s="328"/>
      <c r="AR1462" s="328"/>
      <c r="AS1462" s="328"/>
      <c r="AT1462" s="328"/>
      <c r="AU1462" s="328"/>
      <c r="AV1462" s="328"/>
      <c r="AW1462" s="328"/>
      <c r="AX1462" s="328"/>
      <c r="AY1462" s="328"/>
      <c r="AZ1462" s="328"/>
      <c r="BA1462" s="328"/>
      <c r="BB1462" s="328"/>
      <c r="BC1462" s="328"/>
      <c r="BD1462" s="31"/>
      <c r="BF1462">
        <f>ROWS($U$46:U1462)</f>
        <v>1417</v>
      </c>
      <c r="BG1462" t="str">
        <f t="shared" si="228"/>
        <v/>
      </c>
    </row>
    <row r="1463" spans="14:59" x14ac:dyDescent="0.35">
      <c r="O1463" s="329">
        <v>1</v>
      </c>
      <c r="P1463" s="320">
        <v>1133896</v>
      </c>
      <c r="Q1463" s="320">
        <v>46</v>
      </c>
      <c r="R1463" s="320"/>
      <c r="S1463" s="968" t="s">
        <v>1126</v>
      </c>
      <c r="T1463" s="320" t="s">
        <v>2051</v>
      </c>
      <c r="U1463" s="320">
        <v>1218052</v>
      </c>
      <c r="V1463" s="319" t="s">
        <v>87</v>
      </c>
      <c r="W1463" s="320">
        <v>4</v>
      </c>
      <c r="X1463" s="320">
        <v>4</v>
      </c>
      <c r="Y1463" s="320">
        <v>4</v>
      </c>
      <c r="Z1463" s="320">
        <v>4</v>
      </c>
      <c r="AA1463" s="320">
        <v>4</v>
      </c>
      <c r="AB1463" s="320">
        <v>4</v>
      </c>
      <c r="AC1463" s="320">
        <v>6</v>
      </c>
      <c r="AD1463" s="320">
        <v>6</v>
      </c>
      <c r="AE1463" s="320">
        <v>6</v>
      </c>
      <c r="AF1463" s="320">
        <v>6</v>
      </c>
      <c r="AG1463" s="320">
        <v>6</v>
      </c>
      <c r="AH1463" s="320">
        <v>1</v>
      </c>
      <c r="AI1463" s="320">
        <v>7</v>
      </c>
      <c r="AJ1463" s="320"/>
      <c r="AK1463" s="320">
        <v>5</v>
      </c>
      <c r="AL1463" s="320">
        <v>5</v>
      </c>
      <c r="AM1463" s="320">
        <v>5</v>
      </c>
      <c r="AN1463" s="320">
        <v>1</v>
      </c>
      <c r="AO1463" s="320">
        <v>1</v>
      </c>
      <c r="AP1463" s="320">
        <v>1</v>
      </c>
      <c r="AQ1463" s="320">
        <v>1</v>
      </c>
      <c r="AR1463" s="320">
        <v>1</v>
      </c>
      <c r="AS1463" s="320">
        <v>5</v>
      </c>
      <c r="AT1463" s="320">
        <v>3</v>
      </c>
      <c r="AU1463" s="320">
        <v>3</v>
      </c>
      <c r="AV1463" s="320">
        <v>3</v>
      </c>
      <c r="AW1463" s="320"/>
      <c r="AX1463" s="320"/>
      <c r="AY1463" s="320"/>
      <c r="AZ1463" s="320"/>
      <c r="BA1463" s="320"/>
      <c r="BB1463" s="320"/>
      <c r="BC1463" s="320"/>
      <c r="BD1463" s="320"/>
      <c r="BF1463">
        <f>ROWS($U$46:U1463)</f>
        <v>1418</v>
      </c>
      <c r="BG1463" t="str">
        <f t="shared" si="228"/>
        <v/>
      </c>
    </row>
    <row r="1464" spans="14:59" x14ac:dyDescent="0.35">
      <c r="O1464" s="330">
        <v>2</v>
      </c>
      <c r="P1464" s="36">
        <v>1141583</v>
      </c>
      <c r="Q1464" s="36">
        <v>23</v>
      </c>
      <c r="R1464" s="36"/>
      <c r="S1464" s="969" t="s">
        <v>1126</v>
      </c>
      <c r="T1464" s="36" t="s">
        <v>2051</v>
      </c>
      <c r="U1464" s="36">
        <v>1218052</v>
      </c>
      <c r="V1464" s="165" t="s">
        <v>88</v>
      </c>
      <c r="W1464" s="36">
        <v>4</v>
      </c>
      <c r="X1464" s="36">
        <v>2</v>
      </c>
      <c r="Y1464" s="36">
        <v>2</v>
      </c>
      <c r="Z1464" s="36">
        <v>2</v>
      </c>
      <c r="AA1464" s="36">
        <v>2</v>
      </c>
      <c r="AB1464" s="36">
        <v>2</v>
      </c>
      <c r="AC1464" s="36">
        <v>1</v>
      </c>
      <c r="AD1464" s="36">
        <v>7</v>
      </c>
      <c r="AE1464" s="36"/>
      <c r="AF1464" s="36"/>
      <c r="AG1464" s="36"/>
      <c r="AH1464" s="36"/>
      <c r="AI1464" s="36"/>
      <c r="AJ1464" s="36"/>
      <c r="AK1464" s="36">
        <v>5</v>
      </c>
      <c r="AL1464" s="36">
        <v>1</v>
      </c>
      <c r="AM1464" s="36">
        <v>1</v>
      </c>
      <c r="AN1464" s="36">
        <v>1</v>
      </c>
      <c r="AO1464" s="36">
        <v>1</v>
      </c>
      <c r="AP1464" s="36">
        <v>1</v>
      </c>
      <c r="AQ1464" s="36">
        <v>5</v>
      </c>
      <c r="AR1464" s="36">
        <v>3</v>
      </c>
      <c r="AS1464" s="36">
        <v>3</v>
      </c>
      <c r="AT1464" s="36">
        <v>3</v>
      </c>
      <c r="AU1464" s="36"/>
      <c r="AV1464" s="36"/>
      <c r="AW1464" s="36"/>
      <c r="AX1464" s="36"/>
      <c r="AY1464" s="36"/>
      <c r="AZ1464" s="36"/>
      <c r="BA1464" s="36"/>
      <c r="BB1464" s="36"/>
      <c r="BC1464" s="36"/>
      <c r="BD1464" s="27"/>
      <c r="BF1464">
        <f>ROWS($U$46:U1464)</f>
        <v>1419</v>
      </c>
      <c r="BG1464" t="str">
        <f t="shared" si="228"/>
        <v/>
      </c>
    </row>
    <row r="1465" spans="14:59" x14ac:dyDescent="0.35">
      <c r="O1465" s="330">
        <v>3</v>
      </c>
      <c r="P1465" s="36">
        <v>410851</v>
      </c>
      <c r="Q1465" s="36">
        <v>21</v>
      </c>
      <c r="R1465" s="36"/>
      <c r="S1465" s="969" t="s">
        <v>1126</v>
      </c>
      <c r="T1465" s="36" t="s">
        <v>2051</v>
      </c>
      <c r="U1465" s="36">
        <v>1218052</v>
      </c>
      <c r="V1465" s="165" t="s">
        <v>89</v>
      </c>
      <c r="W1465" s="36">
        <v>4</v>
      </c>
      <c r="X1465" s="36">
        <v>4</v>
      </c>
      <c r="Y1465" s="36">
        <v>4</v>
      </c>
      <c r="Z1465" s="36">
        <v>4</v>
      </c>
      <c r="AA1465" s="36">
        <v>4</v>
      </c>
      <c r="AB1465" s="36">
        <v>6</v>
      </c>
      <c r="AC1465" s="36">
        <v>6</v>
      </c>
      <c r="AD1465" s="36">
        <v>6</v>
      </c>
      <c r="AE1465" s="36">
        <v>6</v>
      </c>
      <c r="AF1465" s="36">
        <v>6</v>
      </c>
      <c r="AG1465" s="36">
        <v>1</v>
      </c>
      <c r="AH1465" s="36">
        <v>7</v>
      </c>
      <c r="AI1465" s="36"/>
      <c r="AJ1465" s="36"/>
      <c r="AK1465" s="36">
        <v>5</v>
      </c>
      <c r="AL1465" s="36">
        <v>5</v>
      </c>
      <c r="AM1465" s="36">
        <v>1</v>
      </c>
      <c r="AN1465" s="36">
        <v>1</v>
      </c>
      <c r="AO1465" s="36">
        <v>1</v>
      </c>
      <c r="AP1465" s="36">
        <v>1</v>
      </c>
      <c r="AQ1465" s="36">
        <v>1</v>
      </c>
      <c r="AR1465" s="36">
        <v>5</v>
      </c>
      <c r="AS1465" s="36">
        <v>3</v>
      </c>
      <c r="AT1465" s="36">
        <v>3</v>
      </c>
      <c r="AU1465" s="36">
        <v>3</v>
      </c>
      <c r="AV1465" s="36"/>
      <c r="AW1465" s="36"/>
      <c r="AX1465" s="36"/>
      <c r="AY1465" s="36"/>
      <c r="AZ1465" s="36"/>
      <c r="BA1465" s="36"/>
      <c r="BB1465" s="36"/>
      <c r="BC1465" s="36"/>
      <c r="BD1465" s="27"/>
      <c r="BF1465">
        <f>ROWS($U$46:U1465)</f>
        <v>1420</v>
      </c>
      <c r="BG1465" t="str">
        <f t="shared" si="228"/>
        <v/>
      </c>
    </row>
    <row r="1466" spans="14:59" x14ac:dyDescent="0.35">
      <c r="O1466" s="330">
        <v>4</v>
      </c>
      <c r="P1466" s="36">
        <v>1142633</v>
      </c>
      <c r="Q1466" s="36">
        <v>20</v>
      </c>
      <c r="R1466" s="36"/>
      <c r="S1466" s="969" t="s">
        <v>1126</v>
      </c>
      <c r="T1466" s="36" t="s">
        <v>2051</v>
      </c>
      <c r="U1466" s="36">
        <v>1218052</v>
      </c>
      <c r="V1466" s="165" t="s">
        <v>90</v>
      </c>
      <c r="W1466" s="36">
        <v>4</v>
      </c>
      <c r="X1466" s="36">
        <v>2</v>
      </c>
      <c r="Y1466" s="36">
        <v>2</v>
      </c>
      <c r="Z1466" s="36">
        <v>2</v>
      </c>
      <c r="AA1466" s="36">
        <v>2</v>
      </c>
      <c r="AB1466" s="36">
        <v>2</v>
      </c>
      <c r="AC1466" s="36">
        <v>2</v>
      </c>
      <c r="AD1466" s="36">
        <v>1</v>
      </c>
      <c r="AE1466" s="36">
        <v>7</v>
      </c>
      <c r="AF1466" s="36"/>
      <c r="AG1466" s="36"/>
      <c r="AH1466" s="36"/>
      <c r="AI1466" s="36"/>
      <c r="AJ1466" s="36"/>
      <c r="AK1466" s="36">
        <v>5</v>
      </c>
      <c r="AL1466" s="36">
        <v>1</v>
      </c>
      <c r="AM1466" s="36">
        <v>1</v>
      </c>
      <c r="AN1466" s="36">
        <v>1</v>
      </c>
      <c r="AO1466" s="36">
        <v>1</v>
      </c>
      <c r="AP1466" s="36">
        <v>1</v>
      </c>
      <c r="AQ1466" s="36">
        <v>1</v>
      </c>
      <c r="AR1466" s="36">
        <v>5</v>
      </c>
      <c r="AS1466" s="36">
        <v>3</v>
      </c>
      <c r="AT1466" s="36">
        <v>3</v>
      </c>
      <c r="AU1466" s="36">
        <v>3</v>
      </c>
      <c r="AV1466" s="36"/>
      <c r="AW1466" s="36"/>
      <c r="AX1466" s="36"/>
      <c r="AY1466" s="36"/>
      <c r="AZ1466" s="36"/>
      <c r="BA1466" s="36"/>
      <c r="BB1466" s="36"/>
      <c r="BC1466" s="36"/>
      <c r="BD1466" s="27"/>
      <c r="BF1466">
        <f>ROWS($U$46:U1466)</f>
        <v>1421</v>
      </c>
      <c r="BG1466" t="str">
        <f t="shared" si="228"/>
        <v/>
      </c>
    </row>
    <row r="1467" spans="14:59" x14ac:dyDescent="0.35">
      <c r="O1467" s="330">
        <v>5</v>
      </c>
      <c r="P1467" s="36">
        <v>179733</v>
      </c>
      <c r="Q1467" s="36">
        <v>18</v>
      </c>
      <c r="R1467" s="36"/>
      <c r="S1467" s="969" t="s">
        <v>1126</v>
      </c>
      <c r="T1467" s="36" t="s">
        <v>2051</v>
      </c>
      <c r="U1467" s="36">
        <v>1218052</v>
      </c>
      <c r="V1467" s="165" t="s">
        <v>91</v>
      </c>
      <c r="W1467" s="36">
        <v>4</v>
      </c>
      <c r="X1467" s="36">
        <v>4</v>
      </c>
      <c r="Y1467" s="36">
        <v>4</v>
      </c>
      <c r="Z1467" s="36">
        <v>4</v>
      </c>
      <c r="AA1467" s="36">
        <v>4</v>
      </c>
      <c r="AB1467" s="36">
        <v>6</v>
      </c>
      <c r="AC1467" s="36">
        <v>6</v>
      </c>
      <c r="AD1467" s="36">
        <v>6</v>
      </c>
      <c r="AE1467" s="36">
        <v>6</v>
      </c>
      <c r="AF1467" s="36">
        <v>6</v>
      </c>
      <c r="AG1467" s="36">
        <v>6</v>
      </c>
      <c r="AH1467" s="36">
        <v>1</v>
      </c>
      <c r="AI1467" s="36">
        <v>7</v>
      </c>
      <c r="AJ1467" s="36"/>
      <c r="AK1467" s="36">
        <v>5</v>
      </c>
      <c r="AL1467" s="36">
        <v>5</v>
      </c>
      <c r="AM1467" s="36">
        <v>1</v>
      </c>
      <c r="AN1467" s="36">
        <v>1</v>
      </c>
      <c r="AO1467" s="36">
        <v>1</v>
      </c>
      <c r="AP1467" s="36">
        <v>1</v>
      </c>
      <c r="AQ1467" s="36">
        <v>1</v>
      </c>
      <c r="AR1467" s="36">
        <v>1</v>
      </c>
      <c r="AS1467" s="36">
        <v>5</v>
      </c>
      <c r="AT1467" s="36">
        <v>3</v>
      </c>
      <c r="AU1467" s="36">
        <v>3</v>
      </c>
      <c r="AV1467" s="36">
        <v>3</v>
      </c>
      <c r="AW1467" s="36"/>
      <c r="AX1467" s="36"/>
      <c r="AY1467" s="36"/>
      <c r="AZ1467" s="36"/>
      <c r="BA1467" s="36"/>
      <c r="BB1467" s="36"/>
      <c r="BC1467" s="36"/>
      <c r="BD1467" s="27"/>
      <c r="BF1467">
        <f>ROWS($U$46:U1467)</f>
        <v>1422</v>
      </c>
      <c r="BG1467" t="str">
        <f t="shared" si="228"/>
        <v/>
      </c>
    </row>
    <row r="1468" spans="14:59" x14ac:dyDescent="0.35">
      <c r="O1468" s="330">
        <v>6</v>
      </c>
      <c r="P1468" s="36">
        <v>1209410</v>
      </c>
      <c r="Q1468" s="36">
        <v>16</v>
      </c>
      <c r="R1468" s="36"/>
      <c r="S1468" s="969" t="s">
        <v>1126</v>
      </c>
      <c r="T1468" s="36" t="s">
        <v>2051</v>
      </c>
      <c r="U1468" s="36">
        <v>1218052</v>
      </c>
      <c r="V1468" s="165" t="s">
        <v>92</v>
      </c>
      <c r="W1468" s="36">
        <v>4</v>
      </c>
      <c r="X1468" s="36">
        <v>2</v>
      </c>
      <c r="Y1468" s="36">
        <v>2</v>
      </c>
      <c r="Z1468" s="36">
        <v>2</v>
      </c>
      <c r="AA1468" s="36">
        <v>2</v>
      </c>
      <c r="AB1468" s="36">
        <v>2</v>
      </c>
      <c r="AC1468" s="36">
        <v>2</v>
      </c>
      <c r="AD1468" s="36">
        <v>1</v>
      </c>
      <c r="AE1468" s="36">
        <v>7</v>
      </c>
      <c r="AF1468" s="36"/>
      <c r="AG1468" s="36"/>
      <c r="AH1468" s="36"/>
      <c r="AI1468" s="36"/>
      <c r="AJ1468" s="36"/>
      <c r="AK1468" s="36">
        <v>5</v>
      </c>
      <c r="AL1468" s="36">
        <v>1</v>
      </c>
      <c r="AM1468" s="36">
        <v>1</v>
      </c>
      <c r="AN1468" s="36">
        <v>1</v>
      </c>
      <c r="AO1468" s="36">
        <v>1</v>
      </c>
      <c r="AP1468" s="36">
        <v>1</v>
      </c>
      <c r="AQ1468" s="36">
        <v>1</v>
      </c>
      <c r="AR1468" s="36">
        <v>5</v>
      </c>
      <c r="AS1468" s="36">
        <v>3</v>
      </c>
      <c r="AT1468" s="36">
        <v>3</v>
      </c>
      <c r="AU1468" s="36">
        <v>3</v>
      </c>
      <c r="AV1468" s="36"/>
      <c r="AW1468" s="36"/>
      <c r="AX1468" s="36"/>
      <c r="AY1468" s="36"/>
      <c r="AZ1468" s="36"/>
      <c r="BA1468" s="36"/>
      <c r="BB1468" s="36"/>
      <c r="BC1468" s="36"/>
      <c r="BD1468" s="27"/>
      <c r="BF1468">
        <f>ROWS($U$46:U1468)</f>
        <v>1423</v>
      </c>
      <c r="BG1468" t="str">
        <f t="shared" si="228"/>
        <v/>
      </c>
    </row>
    <row r="1469" spans="14:59" ht="15" thickBot="1" x14ac:dyDescent="0.4">
      <c r="O1469" s="331">
        <v>7</v>
      </c>
      <c r="P1469" s="328">
        <v>418525</v>
      </c>
      <c r="Q1469" s="328">
        <v>7</v>
      </c>
      <c r="R1469" s="328"/>
      <c r="S1469" s="975" t="s">
        <v>1126</v>
      </c>
      <c r="T1469" s="328" t="s">
        <v>2051</v>
      </c>
      <c r="U1469" s="328">
        <v>1218052</v>
      </c>
      <c r="V1469" s="327" t="s">
        <v>111</v>
      </c>
      <c r="W1469" s="328">
        <v>4</v>
      </c>
      <c r="X1469" s="328">
        <v>2</v>
      </c>
      <c r="Y1469" s="328">
        <v>2</v>
      </c>
      <c r="Z1469" s="328">
        <v>2</v>
      </c>
      <c r="AA1469" s="328">
        <v>2</v>
      </c>
      <c r="AB1469" s="328">
        <v>2</v>
      </c>
      <c r="AC1469" s="328">
        <v>2</v>
      </c>
      <c r="AD1469" s="328">
        <v>1</v>
      </c>
      <c r="AE1469" s="328">
        <v>7</v>
      </c>
      <c r="AF1469" s="328"/>
      <c r="AG1469" s="328"/>
      <c r="AH1469" s="328"/>
      <c r="AI1469" s="328"/>
      <c r="AJ1469" s="328"/>
      <c r="AK1469" s="328">
        <v>5</v>
      </c>
      <c r="AL1469" s="328">
        <v>1</v>
      </c>
      <c r="AM1469" s="328">
        <v>1</v>
      </c>
      <c r="AN1469" s="328">
        <v>1</v>
      </c>
      <c r="AO1469" s="328">
        <v>1</v>
      </c>
      <c r="AP1469" s="328">
        <v>1</v>
      </c>
      <c r="AQ1469" s="328">
        <v>1</v>
      </c>
      <c r="AR1469" s="328">
        <v>5</v>
      </c>
      <c r="AS1469" s="328">
        <v>3</v>
      </c>
      <c r="AT1469" s="328">
        <v>3</v>
      </c>
      <c r="AU1469" s="328">
        <v>3</v>
      </c>
      <c r="AV1469" s="328"/>
      <c r="AW1469" s="328"/>
      <c r="AX1469" s="328"/>
      <c r="AY1469" s="328"/>
      <c r="AZ1469" s="328"/>
      <c r="BA1469" s="328"/>
      <c r="BB1469" s="328"/>
      <c r="BC1469" s="328"/>
      <c r="BD1469" s="31"/>
      <c r="BF1469">
        <f>ROWS($U$46:U1469)</f>
        <v>1424</v>
      </c>
      <c r="BG1469" t="str">
        <f t="shared" si="228"/>
        <v/>
      </c>
    </row>
    <row r="1470" spans="14:59" x14ac:dyDescent="0.35">
      <c r="N1470">
        <f>O1470*Q1470</f>
        <v>42</v>
      </c>
      <c r="O1470" s="329">
        <v>1</v>
      </c>
      <c r="P1470" s="320">
        <v>410851</v>
      </c>
      <c r="Q1470" s="320">
        <v>42</v>
      </c>
      <c r="R1470" s="320"/>
      <c r="S1470" s="320">
        <v>16</v>
      </c>
      <c r="T1470" s="320" t="s">
        <v>1131</v>
      </c>
      <c r="U1470" s="320">
        <v>1272498</v>
      </c>
      <c r="V1470" s="319" t="s">
        <v>87</v>
      </c>
      <c r="W1470" s="320">
        <v>7</v>
      </c>
      <c r="X1470" s="320">
        <v>7</v>
      </c>
      <c r="Y1470" s="320">
        <v>7</v>
      </c>
      <c r="Z1470" s="320">
        <v>7</v>
      </c>
      <c r="AA1470" s="320">
        <v>7</v>
      </c>
      <c r="AB1470" s="320">
        <v>6</v>
      </c>
      <c r="AC1470" s="320">
        <v>2</v>
      </c>
      <c r="AD1470" s="320">
        <v>2</v>
      </c>
      <c r="AE1470" s="320">
        <v>2</v>
      </c>
      <c r="AF1470" s="320">
        <v>2</v>
      </c>
      <c r="AG1470" s="320">
        <v>2</v>
      </c>
      <c r="AH1470" s="320">
        <v>2</v>
      </c>
      <c r="AI1470" s="320">
        <v>6</v>
      </c>
      <c r="AJ1470" s="320">
        <v>5</v>
      </c>
      <c r="AK1470" s="320">
        <v>5</v>
      </c>
      <c r="AL1470" s="320"/>
      <c r="AM1470" s="320">
        <v>4</v>
      </c>
      <c r="AN1470" s="320">
        <v>4</v>
      </c>
      <c r="AO1470" s="320">
        <v>4</v>
      </c>
      <c r="AP1470" s="320">
        <v>4</v>
      </c>
      <c r="AQ1470" s="320">
        <v>3</v>
      </c>
      <c r="AR1470" s="320">
        <v>3</v>
      </c>
      <c r="AS1470" s="320">
        <v>3</v>
      </c>
      <c r="AT1470" s="320">
        <v>3</v>
      </c>
      <c r="AU1470" s="320">
        <v>3</v>
      </c>
      <c r="AV1470" s="320">
        <v>4</v>
      </c>
      <c r="AW1470" s="320">
        <v>1</v>
      </c>
      <c r="AX1470" s="320">
        <v>1</v>
      </c>
      <c r="AY1470" s="320">
        <v>1</v>
      </c>
      <c r="AZ1470" s="320">
        <v>1</v>
      </c>
      <c r="BA1470" s="320">
        <v>1</v>
      </c>
      <c r="BB1470" s="320">
        <v>1</v>
      </c>
      <c r="BC1470" s="119"/>
      <c r="BF1470">
        <f>ROWS($U$46:U1470)</f>
        <v>1425</v>
      </c>
      <c r="BG1470" t="str">
        <f t="shared" si="228"/>
        <v/>
      </c>
    </row>
    <row r="1471" spans="14:59" x14ac:dyDescent="0.35">
      <c r="N1471">
        <f t="shared" ref="N1471:N1477" si="229">O1471*Q1471</f>
        <v>82</v>
      </c>
      <c r="O1471" s="330">
        <v>2</v>
      </c>
      <c r="P1471" s="36">
        <v>1271790</v>
      </c>
      <c r="Q1471" s="36">
        <v>41</v>
      </c>
      <c r="R1471" s="36"/>
      <c r="S1471" s="36">
        <v>16</v>
      </c>
      <c r="T1471" s="36" t="s">
        <v>1131</v>
      </c>
      <c r="U1471" s="36">
        <v>1272498</v>
      </c>
      <c r="V1471" s="165" t="s">
        <v>88</v>
      </c>
      <c r="W1471" s="36">
        <v>2</v>
      </c>
      <c r="X1471" s="36">
        <v>2</v>
      </c>
      <c r="Y1471" s="36">
        <v>2</v>
      </c>
      <c r="Z1471" s="36">
        <v>2</v>
      </c>
      <c r="AA1471" s="36">
        <v>2</v>
      </c>
      <c r="AB1471" s="36">
        <v>2</v>
      </c>
      <c r="AC1471" s="36">
        <v>6</v>
      </c>
      <c r="AD1471" s="36">
        <v>5</v>
      </c>
      <c r="AE1471" s="36">
        <v>5</v>
      </c>
      <c r="AF1471" s="36"/>
      <c r="AG1471" s="36"/>
      <c r="AH1471" s="36"/>
      <c r="AI1471" s="36"/>
      <c r="AJ1471" s="36"/>
      <c r="AK1471" s="36"/>
      <c r="AL1471" s="36"/>
      <c r="AM1471" s="36">
        <v>4</v>
      </c>
      <c r="AN1471" s="36">
        <v>3</v>
      </c>
      <c r="AO1471" s="36">
        <v>3</v>
      </c>
      <c r="AP1471" s="36">
        <v>3</v>
      </c>
      <c r="AQ1471" s="36">
        <v>3</v>
      </c>
      <c r="AR1471" s="36">
        <v>3</v>
      </c>
      <c r="AS1471" s="36">
        <v>4</v>
      </c>
      <c r="AT1471" s="36">
        <v>1</v>
      </c>
      <c r="AU1471" s="36">
        <v>1</v>
      </c>
      <c r="AV1471" s="36">
        <v>1</v>
      </c>
      <c r="AW1471" s="36">
        <v>1</v>
      </c>
      <c r="AX1471" s="36">
        <v>1</v>
      </c>
      <c r="AY1471" s="36">
        <v>1</v>
      </c>
      <c r="AZ1471" s="36"/>
      <c r="BA1471" s="36"/>
      <c r="BB1471" s="36"/>
      <c r="BC1471" s="27"/>
      <c r="BF1471">
        <f>ROWS($U$46:U1471)</f>
        <v>1426</v>
      </c>
      <c r="BG1471" t="str">
        <f t="shared" si="228"/>
        <v/>
      </c>
    </row>
    <row r="1472" spans="14:59" x14ac:dyDescent="0.35">
      <c r="N1472">
        <f t="shared" si="229"/>
        <v>117</v>
      </c>
      <c r="O1472" s="3">
        <v>3</v>
      </c>
      <c r="P1472" s="36">
        <v>717751</v>
      </c>
      <c r="Q1472" s="36">
        <v>39</v>
      </c>
      <c r="R1472" s="36"/>
      <c r="S1472" s="36">
        <v>16</v>
      </c>
      <c r="T1472" s="36" t="s">
        <v>1131</v>
      </c>
      <c r="U1472" s="36">
        <v>1272498</v>
      </c>
      <c r="V1472" s="165" t="s">
        <v>89</v>
      </c>
      <c r="W1472" s="36">
        <v>7</v>
      </c>
      <c r="X1472" s="36">
        <v>7</v>
      </c>
      <c r="Y1472" s="36">
        <v>7</v>
      </c>
      <c r="Z1472" s="36">
        <v>7</v>
      </c>
      <c r="AA1472" s="36">
        <v>6</v>
      </c>
      <c r="AB1472" s="36">
        <v>6</v>
      </c>
      <c r="AC1472" s="36">
        <v>2</v>
      </c>
      <c r="AD1472" s="36">
        <v>2</v>
      </c>
      <c r="AE1472" s="36">
        <v>2</v>
      </c>
      <c r="AF1472" s="36">
        <v>2</v>
      </c>
      <c r="AG1472" s="36">
        <v>2</v>
      </c>
      <c r="AH1472" s="36">
        <v>6</v>
      </c>
      <c r="AI1472" s="36">
        <v>5</v>
      </c>
      <c r="AJ1472" s="36">
        <v>5</v>
      </c>
      <c r="AK1472" s="36"/>
      <c r="AL1472" s="36"/>
      <c r="AM1472" s="36">
        <v>4</v>
      </c>
      <c r="AN1472" s="36">
        <v>4</v>
      </c>
      <c r="AO1472" s="36">
        <v>4</v>
      </c>
      <c r="AP1472" s="36">
        <v>4</v>
      </c>
      <c r="AQ1472" s="36">
        <v>3</v>
      </c>
      <c r="AR1472" s="36">
        <v>3</v>
      </c>
      <c r="AS1472" s="36">
        <v>3</v>
      </c>
      <c r="AT1472" s="36">
        <v>3</v>
      </c>
      <c r="AU1472" s="36">
        <v>3</v>
      </c>
      <c r="AV1472" s="36">
        <v>4</v>
      </c>
      <c r="AW1472" s="36">
        <v>1</v>
      </c>
      <c r="AX1472" s="36">
        <v>1</v>
      </c>
      <c r="AY1472" s="36">
        <v>1</v>
      </c>
      <c r="AZ1472" s="36">
        <v>1</v>
      </c>
      <c r="BA1472" s="36">
        <v>1</v>
      </c>
      <c r="BB1472" s="36">
        <v>1</v>
      </c>
      <c r="BC1472" s="27"/>
      <c r="BF1472">
        <f>ROWS($U$46:U1472)</f>
        <v>1427</v>
      </c>
      <c r="BG1472" t="str">
        <f t="shared" si="228"/>
        <v/>
      </c>
    </row>
    <row r="1473" spans="14:59" x14ac:dyDescent="0.35">
      <c r="N1473">
        <f t="shared" si="229"/>
        <v>92</v>
      </c>
      <c r="O1473" s="3">
        <v>4</v>
      </c>
      <c r="P1473" s="36">
        <v>179733</v>
      </c>
      <c r="Q1473" s="36">
        <v>23</v>
      </c>
      <c r="R1473" s="36"/>
      <c r="S1473" s="36">
        <v>16</v>
      </c>
      <c r="T1473" s="36" t="s">
        <v>1131</v>
      </c>
      <c r="U1473" s="36">
        <v>1272498</v>
      </c>
      <c r="V1473" s="165" t="s">
        <v>90</v>
      </c>
      <c r="W1473" s="36">
        <v>6</v>
      </c>
      <c r="X1473" s="36">
        <v>2</v>
      </c>
      <c r="Y1473" s="36">
        <v>2</v>
      </c>
      <c r="Z1473" s="36">
        <v>2</v>
      </c>
      <c r="AA1473" s="36">
        <v>2</v>
      </c>
      <c r="AB1473" s="36">
        <v>2</v>
      </c>
      <c r="AC1473" s="36">
        <v>2</v>
      </c>
      <c r="AD1473" s="36">
        <v>6</v>
      </c>
      <c r="AE1473" s="36">
        <v>5</v>
      </c>
      <c r="AF1473" s="36">
        <v>5</v>
      </c>
      <c r="AG1473" s="36"/>
      <c r="AH1473" s="36"/>
      <c r="AI1473" s="36"/>
      <c r="AJ1473" s="36"/>
      <c r="AK1473" s="36"/>
      <c r="AL1473" s="36"/>
      <c r="AM1473" s="36">
        <v>4</v>
      </c>
      <c r="AN1473" s="36">
        <v>3</v>
      </c>
      <c r="AO1473" s="36">
        <v>3</v>
      </c>
      <c r="AP1473" s="36">
        <v>3</v>
      </c>
      <c r="AQ1473" s="36">
        <v>3</v>
      </c>
      <c r="AR1473" s="36">
        <v>3</v>
      </c>
      <c r="AS1473" s="36">
        <v>3</v>
      </c>
      <c r="AT1473" s="36">
        <v>4</v>
      </c>
      <c r="AU1473" s="36">
        <v>1</v>
      </c>
      <c r="AV1473" s="36">
        <v>1</v>
      </c>
      <c r="AW1473" s="36">
        <v>1</v>
      </c>
      <c r="AX1473" s="36">
        <v>1</v>
      </c>
      <c r="AY1473" s="36">
        <v>1</v>
      </c>
      <c r="AZ1473" s="36">
        <v>1</v>
      </c>
      <c r="BA1473" s="36"/>
      <c r="BB1473" s="36"/>
      <c r="BC1473" s="27"/>
      <c r="BF1473">
        <f>ROWS($U$46:U1473)</f>
        <v>1428</v>
      </c>
      <c r="BG1473" t="str">
        <f t="shared" si="228"/>
        <v/>
      </c>
    </row>
    <row r="1474" spans="14:59" x14ac:dyDescent="0.35">
      <c r="N1474">
        <f t="shared" si="229"/>
        <v>70</v>
      </c>
      <c r="O1474" s="3">
        <v>5</v>
      </c>
      <c r="P1474" s="36">
        <v>418525</v>
      </c>
      <c r="Q1474" s="36">
        <v>14</v>
      </c>
      <c r="R1474" s="36"/>
      <c r="S1474" s="36">
        <v>16</v>
      </c>
      <c r="T1474" s="36" t="s">
        <v>1131</v>
      </c>
      <c r="U1474" s="36">
        <v>1272498</v>
      </c>
      <c r="V1474" s="165" t="s">
        <v>91</v>
      </c>
      <c r="W1474" s="36">
        <v>7</v>
      </c>
      <c r="X1474" s="36">
        <v>7</v>
      </c>
      <c r="Y1474" s="36">
        <v>7</v>
      </c>
      <c r="Z1474" s="36">
        <v>7</v>
      </c>
      <c r="AA1474" s="36">
        <v>6</v>
      </c>
      <c r="AB1474" s="36">
        <v>6</v>
      </c>
      <c r="AC1474" s="36">
        <v>2</v>
      </c>
      <c r="AD1474" s="36">
        <v>2</v>
      </c>
      <c r="AE1474" s="36">
        <v>2</v>
      </c>
      <c r="AF1474" s="36">
        <v>2</v>
      </c>
      <c r="AG1474" s="36">
        <v>2</v>
      </c>
      <c r="AH1474" s="36">
        <v>2</v>
      </c>
      <c r="AI1474" s="36">
        <v>6</v>
      </c>
      <c r="AJ1474" s="36">
        <v>5</v>
      </c>
      <c r="AK1474" s="36">
        <v>5</v>
      </c>
      <c r="AL1474" s="36"/>
      <c r="AM1474" s="36">
        <v>4</v>
      </c>
      <c r="AN1474" s="36">
        <v>4</v>
      </c>
      <c r="AO1474" s="36">
        <v>4</v>
      </c>
      <c r="AP1474" s="36">
        <v>4</v>
      </c>
      <c r="AQ1474" s="36">
        <v>3</v>
      </c>
      <c r="AR1474" s="36">
        <v>3</v>
      </c>
      <c r="AS1474" s="36">
        <v>3</v>
      </c>
      <c r="AT1474" s="36">
        <v>3</v>
      </c>
      <c r="AU1474" s="36">
        <v>3</v>
      </c>
      <c r="AV1474" s="36">
        <v>3</v>
      </c>
      <c r="AW1474" s="36">
        <v>4</v>
      </c>
      <c r="AX1474" s="36">
        <v>1</v>
      </c>
      <c r="AY1474" s="36">
        <v>1</v>
      </c>
      <c r="AZ1474" s="36">
        <v>1</v>
      </c>
      <c r="BA1474" s="36">
        <v>1</v>
      </c>
      <c r="BB1474" s="36">
        <v>1</v>
      </c>
      <c r="BC1474" s="27">
        <v>1</v>
      </c>
      <c r="BF1474">
        <f>ROWS($U$46:U1474)</f>
        <v>1429</v>
      </c>
      <c r="BG1474" t="str">
        <f t="shared" si="228"/>
        <v/>
      </c>
    </row>
    <row r="1475" spans="14:59" x14ac:dyDescent="0.35">
      <c r="N1475">
        <f t="shared" si="229"/>
        <v>84</v>
      </c>
      <c r="O1475" s="3">
        <v>6</v>
      </c>
      <c r="P1475" s="36">
        <v>1146737</v>
      </c>
      <c r="Q1475" s="36">
        <v>14</v>
      </c>
      <c r="R1475" s="36"/>
      <c r="S1475" s="36">
        <v>16</v>
      </c>
      <c r="T1475" s="36" t="s">
        <v>1131</v>
      </c>
      <c r="U1475" s="36">
        <v>1272498</v>
      </c>
      <c r="V1475" s="165" t="s">
        <v>92</v>
      </c>
      <c r="W1475" s="36">
        <v>8</v>
      </c>
      <c r="X1475" s="36">
        <v>2</v>
      </c>
      <c r="Y1475" s="36">
        <v>2</v>
      </c>
      <c r="Z1475" s="36">
        <v>2</v>
      </c>
      <c r="AA1475" s="36">
        <v>2</v>
      </c>
      <c r="AB1475" s="36">
        <v>2</v>
      </c>
      <c r="AC1475" s="36">
        <v>2</v>
      </c>
      <c r="AD1475" s="36">
        <v>6</v>
      </c>
      <c r="AE1475" s="36">
        <v>5</v>
      </c>
      <c r="AF1475" s="36">
        <v>5</v>
      </c>
      <c r="AG1475" s="36"/>
      <c r="AH1475" s="36"/>
      <c r="AI1475" s="36"/>
      <c r="AJ1475" s="36"/>
      <c r="AK1475" s="36"/>
      <c r="AL1475" s="36"/>
      <c r="AM1475" s="36">
        <v>4</v>
      </c>
      <c r="AN1475" s="36">
        <v>3</v>
      </c>
      <c r="AO1475" s="36">
        <v>3</v>
      </c>
      <c r="AP1475" s="36">
        <v>3</v>
      </c>
      <c r="AQ1475" s="36">
        <v>3</v>
      </c>
      <c r="AR1475" s="36">
        <v>3</v>
      </c>
      <c r="AS1475" s="36">
        <v>3</v>
      </c>
      <c r="AT1475" s="36">
        <v>4</v>
      </c>
      <c r="AU1475" s="36">
        <v>1</v>
      </c>
      <c r="AV1475" s="36">
        <v>1</v>
      </c>
      <c r="AW1475" s="36">
        <v>1</v>
      </c>
      <c r="AX1475" s="36">
        <v>1</v>
      </c>
      <c r="AY1475" s="36">
        <v>1</v>
      </c>
      <c r="AZ1475" s="36">
        <v>1</v>
      </c>
      <c r="BA1475" s="36"/>
      <c r="BB1475" s="36"/>
      <c r="BC1475" s="27"/>
      <c r="BF1475">
        <f>ROWS($U$46:U1475)</f>
        <v>1430</v>
      </c>
      <c r="BG1475" t="str">
        <f t="shared" si="228"/>
        <v/>
      </c>
    </row>
    <row r="1476" spans="14:59" x14ac:dyDescent="0.35">
      <c r="N1476">
        <f t="shared" si="229"/>
        <v>91</v>
      </c>
      <c r="O1476" s="3">
        <v>7</v>
      </c>
      <c r="P1476" s="36">
        <v>1100739</v>
      </c>
      <c r="Q1476" s="36">
        <v>13</v>
      </c>
      <c r="R1476" s="36"/>
      <c r="S1476" s="36">
        <v>16</v>
      </c>
      <c r="T1476" s="36" t="s">
        <v>1131</v>
      </c>
      <c r="U1476" s="36">
        <v>1272498</v>
      </c>
      <c r="V1476" s="165" t="s">
        <v>111</v>
      </c>
      <c r="W1476" s="36">
        <v>6</v>
      </c>
      <c r="X1476" s="36">
        <v>2</v>
      </c>
      <c r="Y1476" s="36">
        <v>2</v>
      </c>
      <c r="Z1476" s="36">
        <v>2</v>
      </c>
      <c r="AA1476" s="36">
        <v>2</v>
      </c>
      <c r="AB1476" s="36">
        <v>2</v>
      </c>
      <c r="AC1476" s="36">
        <v>2</v>
      </c>
      <c r="AD1476" s="36">
        <v>6</v>
      </c>
      <c r="AE1476" s="36">
        <v>5</v>
      </c>
      <c r="AF1476" s="36">
        <v>5</v>
      </c>
      <c r="AG1476" s="36"/>
      <c r="AH1476" s="36"/>
      <c r="AI1476" s="36"/>
      <c r="AJ1476" s="36"/>
      <c r="AK1476" s="36"/>
      <c r="AL1476" s="36"/>
      <c r="AM1476" s="36">
        <v>4</v>
      </c>
      <c r="AN1476" s="36">
        <v>3</v>
      </c>
      <c r="AO1476" s="36">
        <v>3</v>
      </c>
      <c r="AP1476" s="36">
        <v>3</v>
      </c>
      <c r="AQ1476" s="36">
        <v>3</v>
      </c>
      <c r="AR1476" s="36">
        <v>3</v>
      </c>
      <c r="AS1476" s="36">
        <v>3</v>
      </c>
      <c r="AT1476" s="36">
        <v>4</v>
      </c>
      <c r="AU1476" s="36">
        <v>1</v>
      </c>
      <c r="AV1476" s="36">
        <v>1</v>
      </c>
      <c r="AW1476" s="36">
        <v>1</v>
      </c>
      <c r="AX1476" s="36">
        <v>1</v>
      </c>
      <c r="AY1476" s="36">
        <v>1</v>
      </c>
      <c r="AZ1476" s="36">
        <v>1</v>
      </c>
      <c r="BA1476" s="36"/>
      <c r="BB1476" s="36"/>
      <c r="BC1476" s="27"/>
      <c r="BF1476">
        <f>ROWS($U$46:U1476)</f>
        <v>1431</v>
      </c>
      <c r="BG1476" t="str">
        <f t="shared" si="228"/>
        <v/>
      </c>
    </row>
    <row r="1477" spans="14:59" ht="15" thickBot="1" x14ac:dyDescent="0.4">
      <c r="N1477">
        <f t="shared" si="229"/>
        <v>8</v>
      </c>
      <c r="O1477" s="76">
        <v>8</v>
      </c>
      <c r="P1477" s="328">
        <v>1100741</v>
      </c>
      <c r="Q1477" s="328">
        <v>1</v>
      </c>
      <c r="R1477" s="328"/>
      <c r="S1477" s="328">
        <v>16</v>
      </c>
      <c r="T1477" s="328" t="s">
        <v>1131</v>
      </c>
      <c r="U1477" s="328">
        <v>1272498</v>
      </c>
      <c r="V1477" s="327" t="s">
        <v>112</v>
      </c>
      <c r="W1477" s="328"/>
      <c r="X1477" s="328"/>
      <c r="Y1477" s="328"/>
      <c r="Z1477" s="328"/>
      <c r="AA1477" s="328"/>
      <c r="AB1477" s="328"/>
      <c r="AC1477" s="328"/>
      <c r="AD1477" s="328"/>
      <c r="AE1477" s="328"/>
      <c r="AF1477" s="328"/>
      <c r="AG1477" s="328"/>
      <c r="AH1477" s="328"/>
      <c r="AI1477" s="328"/>
      <c r="AJ1477" s="328"/>
      <c r="AK1477" s="328"/>
      <c r="AL1477" s="328"/>
      <c r="AM1477" s="328"/>
      <c r="AN1477" s="328"/>
      <c r="AO1477" s="328"/>
      <c r="AP1477" s="328"/>
      <c r="AQ1477" s="328"/>
      <c r="AR1477" s="328"/>
      <c r="AS1477" s="328"/>
      <c r="AT1477" s="328"/>
      <c r="AU1477" s="328"/>
      <c r="AV1477" s="328"/>
      <c r="AW1477" s="328"/>
      <c r="AX1477" s="328"/>
      <c r="AY1477" s="328"/>
      <c r="AZ1477" s="328"/>
      <c r="BA1477" s="328"/>
      <c r="BB1477" s="328"/>
      <c r="BC1477" s="31"/>
      <c r="BF1477">
        <f>ROWS($U$46:U1477)</f>
        <v>1432</v>
      </c>
      <c r="BG1477" t="str">
        <f t="shared" si="228"/>
        <v/>
      </c>
    </row>
    <row r="1478" spans="14:59" x14ac:dyDescent="0.35">
      <c r="O1478" s="1015">
        <v>1</v>
      </c>
      <c r="P1478" s="38">
        <v>717748</v>
      </c>
      <c r="Q1478" s="38">
        <v>19</v>
      </c>
      <c r="R1478" s="38"/>
      <c r="S1478" s="1017" t="s">
        <v>2058</v>
      </c>
      <c r="T1478" s="38" t="s">
        <v>737</v>
      </c>
      <c r="U1478" s="38">
        <v>1224225</v>
      </c>
      <c r="V1478" s="354" t="s">
        <v>87</v>
      </c>
      <c r="W1478" s="38">
        <v>1</v>
      </c>
      <c r="X1478" s="38">
        <v>1</v>
      </c>
      <c r="Y1478" s="38">
        <v>1</v>
      </c>
      <c r="Z1478" s="38">
        <v>1</v>
      </c>
      <c r="AA1478" s="38">
        <v>1</v>
      </c>
      <c r="AB1478" s="38"/>
      <c r="AC1478" s="38"/>
      <c r="AD1478" s="38"/>
      <c r="AE1478" s="38"/>
      <c r="AF1478" s="38"/>
      <c r="AG1478" s="38"/>
      <c r="AH1478" s="38"/>
      <c r="AI1478" s="38"/>
      <c r="AJ1478" s="38"/>
      <c r="AK1478" s="38"/>
      <c r="AL1478" s="38"/>
      <c r="AM1478" s="38"/>
      <c r="AN1478" s="38"/>
      <c r="AO1478" s="38"/>
      <c r="AP1478" s="38"/>
      <c r="AQ1478" s="38"/>
      <c r="AR1478" s="38"/>
      <c r="AS1478" s="38"/>
      <c r="AT1478" s="38"/>
      <c r="AU1478" s="38"/>
      <c r="AV1478" s="38"/>
      <c r="AW1478" s="38"/>
      <c r="AX1478" s="38"/>
      <c r="AY1478" s="38"/>
      <c r="AZ1478" s="38"/>
      <c r="BA1478" s="38"/>
      <c r="BB1478" s="38"/>
      <c r="BC1478" s="838"/>
      <c r="BF1478">
        <f>ROWS($U$46:U1478)</f>
        <v>1433</v>
      </c>
      <c r="BG1478" t="str">
        <f t="shared" si="228"/>
        <v/>
      </c>
    </row>
    <row r="1479" spans="14:59" x14ac:dyDescent="0.35">
      <c r="O1479" s="330"/>
      <c r="P1479" s="36"/>
      <c r="Q1479" s="36"/>
      <c r="R1479" s="36"/>
      <c r="S1479" s="972" t="s">
        <v>2058</v>
      </c>
      <c r="T1479" s="36" t="s">
        <v>737</v>
      </c>
      <c r="U1479" s="36">
        <v>1224225</v>
      </c>
      <c r="V1479" s="165" t="s">
        <v>88</v>
      </c>
      <c r="W1479" s="36">
        <v>1</v>
      </c>
      <c r="X1479" s="36">
        <v>1</v>
      </c>
      <c r="Y1479" s="36">
        <v>1</v>
      </c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  <c r="AV1479" s="36"/>
      <c r="AW1479" s="36"/>
      <c r="AX1479" s="36"/>
      <c r="AY1479" s="36"/>
      <c r="AZ1479" s="36"/>
      <c r="BA1479" s="36"/>
      <c r="BB1479" s="36"/>
      <c r="BC1479" s="27"/>
      <c r="BF1479">
        <f>ROWS($U$46:U1479)</f>
        <v>1434</v>
      </c>
      <c r="BG1479" t="str">
        <f t="shared" si="228"/>
        <v/>
      </c>
    </row>
    <row r="1480" spans="14:59" x14ac:dyDescent="0.35">
      <c r="O1480" s="3"/>
      <c r="P1480" s="36"/>
      <c r="Q1480" s="36"/>
      <c r="R1480" s="36"/>
      <c r="S1480" s="972" t="s">
        <v>2058</v>
      </c>
      <c r="T1480" s="36" t="s">
        <v>737</v>
      </c>
      <c r="U1480" s="36">
        <v>1224225</v>
      </c>
      <c r="V1480" s="165" t="s">
        <v>89</v>
      </c>
      <c r="W1480" s="36">
        <v>1</v>
      </c>
      <c r="X1480" s="36">
        <v>1</v>
      </c>
      <c r="Y1480" s="36">
        <v>1</v>
      </c>
      <c r="Z1480" s="36">
        <v>1</v>
      </c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  <c r="AV1480" s="36"/>
      <c r="AW1480" s="36"/>
      <c r="AX1480" s="36"/>
      <c r="AY1480" s="36"/>
      <c r="AZ1480" s="36"/>
      <c r="BA1480" s="36"/>
      <c r="BB1480" s="36"/>
      <c r="BC1480" s="27"/>
      <c r="BF1480">
        <f>ROWS($U$46:U1480)</f>
        <v>1435</v>
      </c>
      <c r="BG1480" t="str">
        <f t="shared" si="228"/>
        <v/>
      </c>
    </row>
    <row r="1481" spans="14:59" x14ac:dyDescent="0.35">
      <c r="O1481" s="3"/>
      <c r="P1481" s="36"/>
      <c r="Q1481" s="36"/>
      <c r="R1481" s="36"/>
      <c r="S1481" s="972" t="s">
        <v>2058</v>
      </c>
      <c r="T1481" s="36" t="s">
        <v>737</v>
      </c>
      <c r="U1481" s="36">
        <v>1224225</v>
      </c>
      <c r="V1481" s="165" t="s">
        <v>90</v>
      </c>
      <c r="W1481" s="36">
        <v>1</v>
      </c>
      <c r="X1481" s="36">
        <v>1</v>
      </c>
      <c r="Y1481" s="36">
        <v>1</v>
      </c>
      <c r="Z1481" s="36">
        <v>1</v>
      </c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  <c r="AV1481" s="36"/>
      <c r="AW1481" s="36"/>
      <c r="AX1481" s="36"/>
      <c r="AY1481" s="36"/>
      <c r="AZ1481" s="36"/>
      <c r="BA1481" s="36"/>
      <c r="BB1481" s="36"/>
      <c r="BC1481" s="27"/>
      <c r="BF1481">
        <f>ROWS($U$46:U1481)</f>
        <v>1436</v>
      </c>
      <c r="BG1481" t="str">
        <f t="shared" si="228"/>
        <v/>
      </c>
    </row>
    <row r="1482" spans="14:59" ht="15" thickBot="1" x14ac:dyDescent="0.4">
      <c r="O1482" s="3"/>
      <c r="P1482" s="36"/>
      <c r="Q1482" s="36"/>
      <c r="R1482" s="36"/>
      <c r="S1482" s="972" t="s">
        <v>2058</v>
      </c>
      <c r="T1482" s="36" t="s">
        <v>737</v>
      </c>
      <c r="U1482" s="36">
        <v>1224225</v>
      </c>
      <c r="V1482" s="165" t="s">
        <v>91</v>
      </c>
      <c r="W1482" s="36">
        <v>1</v>
      </c>
      <c r="X1482" s="36">
        <v>1</v>
      </c>
      <c r="Y1482" s="36">
        <v>1</v>
      </c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  <c r="AV1482" s="36"/>
      <c r="AW1482" s="36"/>
      <c r="AX1482" s="36"/>
      <c r="AY1482" s="36"/>
      <c r="AZ1482" s="36"/>
      <c r="BA1482" s="36"/>
      <c r="BB1482" s="36"/>
      <c r="BC1482" s="27"/>
      <c r="BF1482">
        <f>ROWS($U$46:U1482)</f>
        <v>1437</v>
      </c>
      <c r="BG1482" t="str">
        <f t="shared" si="228"/>
        <v/>
      </c>
    </row>
    <row r="1483" spans="14:59" x14ac:dyDescent="0.35">
      <c r="O1483" s="329">
        <v>1</v>
      </c>
      <c r="P1483" s="320">
        <v>1145493</v>
      </c>
      <c r="Q1483" s="320">
        <v>23</v>
      </c>
      <c r="R1483" s="320"/>
      <c r="S1483" s="320" t="s">
        <v>1319</v>
      </c>
      <c r="T1483" s="320" t="s">
        <v>2059</v>
      </c>
      <c r="U1483" s="320">
        <v>1219698</v>
      </c>
      <c r="V1483" s="319" t="s">
        <v>87</v>
      </c>
      <c r="W1483" s="320">
        <v>1</v>
      </c>
      <c r="X1483" s="320">
        <v>1</v>
      </c>
      <c r="Y1483" s="320">
        <v>1</v>
      </c>
      <c r="Z1483" s="320">
        <v>1</v>
      </c>
      <c r="AA1483" s="320">
        <v>1</v>
      </c>
      <c r="AB1483" s="320">
        <v>1</v>
      </c>
      <c r="AC1483" s="320">
        <v>2</v>
      </c>
      <c r="AD1483" s="320">
        <v>2</v>
      </c>
      <c r="AE1483" s="320"/>
      <c r="AF1483" s="320"/>
      <c r="AG1483" s="320"/>
      <c r="AH1483" s="320"/>
      <c r="AI1483" s="320"/>
      <c r="AJ1483" s="320"/>
      <c r="AK1483" s="320"/>
      <c r="AL1483" s="320"/>
      <c r="AM1483" s="320"/>
      <c r="AN1483" s="320"/>
      <c r="AO1483" s="320"/>
      <c r="AP1483" s="320"/>
      <c r="AQ1483" s="320"/>
      <c r="AR1483" s="320"/>
      <c r="AS1483" s="320"/>
      <c r="AT1483" s="320"/>
      <c r="AU1483" s="320"/>
      <c r="AV1483" s="320"/>
      <c r="AW1483" s="320"/>
      <c r="AX1483" s="320"/>
      <c r="AY1483" s="320"/>
      <c r="AZ1483" s="320"/>
      <c r="BA1483" s="320"/>
      <c r="BB1483" s="320"/>
      <c r="BC1483" s="119"/>
      <c r="BF1483">
        <f>ROWS($U$46:U1483)</f>
        <v>1438</v>
      </c>
      <c r="BG1483" t="str">
        <f t="shared" si="228"/>
        <v/>
      </c>
    </row>
    <row r="1484" spans="14:59" x14ac:dyDescent="0.35">
      <c r="O1484" s="330">
        <v>2</v>
      </c>
      <c r="P1484" s="36">
        <v>418525</v>
      </c>
      <c r="Q1484" s="36">
        <v>10</v>
      </c>
      <c r="R1484" s="36"/>
      <c r="S1484" s="36" t="s">
        <v>1319</v>
      </c>
      <c r="T1484" s="36" t="s">
        <v>2059</v>
      </c>
      <c r="U1484" s="36">
        <v>1219698</v>
      </c>
      <c r="V1484" s="165" t="s">
        <v>88</v>
      </c>
      <c r="W1484" s="36">
        <v>1</v>
      </c>
      <c r="X1484" s="36">
        <v>1</v>
      </c>
      <c r="Y1484" s="36">
        <v>1</v>
      </c>
      <c r="Z1484" s="36">
        <v>2</v>
      </c>
      <c r="AA1484" s="36">
        <v>2</v>
      </c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  <c r="AV1484" s="36"/>
      <c r="AW1484" s="36"/>
      <c r="AX1484" s="36"/>
      <c r="AY1484" s="36"/>
      <c r="AZ1484" s="36"/>
      <c r="BA1484" s="36"/>
      <c r="BB1484" s="36"/>
      <c r="BC1484" s="27"/>
      <c r="BF1484">
        <f>ROWS($U$46:U1484)</f>
        <v>1439</v>
      </c>
      <c r="BG1484" t="str">
        <f t="shared" si="228"/>
        <v/>
      </c>
    </row>
    <row r="1485" spans="14:59" x14ac:dyDescent="0.35">
      <c r="O1485" s="3"/>
      <c r="P1485" s="36"/>
      <c r="Q1485" s="36"/>
      <c r="R1485" s="36"/>
      <c r="S1485" s="36" t="s">
        <v>1319</v>
      </c>
      <c r="T1485" s="36" t="s">
        <v>2059</v>
      </c>
      <c r="U1485" s="36">
        <v>1219698</v>
      </c>
      <c r="V1485" s="165" t="s">
        <v>89</v>
      </c>
      <c r="W1485" s="36">
        <v>1</v>
      </c>
      <c r="X1485" s="36">
        <v>1</v>
      </c>
      <c r="Y1485" s="36">
        <v>1</v>
      </c>
      <c r="Z1485" s="36">
        <v>1</v>
      </c>
      <c r="AA1485" s="36">
        <v>1</v>
      </c>
      <c r="AB1485" s="36">
        <v>2</v>
      </c>
      <c r="AC1485" s="36">
        <v>2</v>
      </c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  <c r="AV1485" s="36"/>
      <c r="AW1485" s="36"/>
      <c r="AX1485" s="36"/>
      <c r="AY1485" s="36"/>
      <c r="AZ1485" s="36"/>
      <c r="BA1485" s="36"/>
      <c r="BB1485" s="36"/>
      <c r="BC1485" s="27"/>
      <c r="BF1485">
        <f>ROWS($U$46:U1485)</f>
        <v>1440</v>
      </c>
      <c r="BG1485" t="str">
        <f t="shared" si="228"/>
        <v/>
      </c>
    </row>
    <row r="1486" spans="14:59" x14ac:dyDescent="0.35">
      <c r="O1486" s="3"/>
      <c r="P1486" s="36"/>
      <c r="Q1486" s="36"/>
      <c r="R1486" s="36"/>
      <c r="S1486" s="36" t="s">
        <v>1319</v>
      </c>
      <c r="T1486" s="36" t="s">
        <v>2059</v>
      </c>
      <c r="U1486" s="36">
        <v>1219698</v>
      </c>
      <c r="V1486" s="165" t="s">
        <v>90</v>
      </c>
      <c r="W1486" s="36">
        <v>1</v>
      </c>
      <c r="X1486" s="36">
        <v>1</v>
      </c>
      <c r="Y1486" s="36">
        <v>1</v>
      </c>
      <c r="Z1486" s="36">
        <v>1</v>
      </c>
      <c r="AA1486" s="36">
        <v>1</v>
      </c>
      <c r="AB1486" s="36">
        <v>1</v>
      </c>
      <c r="AC1486" s="36">
        <v>2</v>
      </c>
      <c r="AD1486" s="36">
        <v>2</v>
      </c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  <c r="AV1486" s="36"/>
      <c r="AW1486" s="36"/>
      <c r="AX1486" s="36"/>
      <c r="AY1486" s="36"/>
      <c r="AZ1486" s="36"/>
      <c r="BA1486" s="36"/>
      <c r="BB1486" s="36"/>
      <c r="BC1486" s="27"/>
      <c r="BF1486">
        <f>ROWS($U$46:U1486)</f>
        <v>1441</v>
      </c>
      <c r="BG1486" t="str">
        <f t="shared" si="228"/>
        <v/>
      </c>
    </row>
    <row r="1487" spans="14:59" ht="15" thickBot="1" x14ac:dyDescent="0.4">
      <c r="O1487" s="3"/>
      <c r="P1487" s="36"/>
      <c r="Q1487" s="36"/>
      <c r="R1487" s="36"/>
      <c r="S1487" s="36" t="s">
        <v>1319</v>
      </c>
      <c r="T1487" s="36" t="s">
        <v>2059</v>
      </c>
      <c r="U1487" s="36">
        <v>1219698</v>
      </c>
      <c r="V1487" s="165" t="s">
        <v>91</v>
      </c>
      <c r="W1487" s="36">
        <v>1</v>
      </c>
      <c r="X1487" s="36">
        <v>1</v>
      </c>
      <c r="Y1487" s="36">
        <v>1</v>
      </c>
      <c r="Z1487" s="36">
        <v>2</v>
      </c>
      <c r="AA1487" s="36">
        <v>2</v>
      </c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  <c r="AV1487" s="36"/>
      <c r="AW1487" s="36"/>
      <c r="AX1487" s="36"/>
      <c r="AY1487" s="36"/>
      <c r="AZ1487" s="36"/>
      <c r="BA1487" s="36"/>
      <c r="BB1487" s="36"/>
      <c r="BC1487" s="27"/>
      <c r="BF1487">
        <f>ROWS($U$46:U1487)</f>
        <v>1442</v>
      </c>
      <c r="BG1487" t="str">
        <f t="shared" si="228"/>
        <v/>
      </c>
    </row>
    <row r="1488" spans="14:59" x14ac:dyDescent="0.35">
      <c r="O1488" s="329">
        <v>1</v>
      </c>
      <c r="P1488" s="320">
        <v>1145493</v>
      </c>
      <c r="Q1488" s="320">
        <v>16</v>
      </c>
      <c r="R1488" s="320"/>
      <c r="S1488" s="320" t="s">
        <v>1319</v>
      </c>
      <c r="T1488" s="320" t="s">
        <v>2064</v>
      </c>
      <c r="U1488" s="320">
        <v>1226735</v>
      </c>
      <c r="V1488" s="319" t="s">
        <v>87</v>
      </c>
      <c r="W1488" s="320">
        <v>5</v>
      </c>
      <c r="X1488" s="320">
        <v>1</v>
      </c>
      <c r="Y1488" s="320">
        <v>1</v>
      </c>
      <c r="Z1488" s="320">
        <v>2</v>
      </c>
      <c r="AA1488" s="320">
        <v>2</v>
      </c>
      <c r="AB1488" s="320">
        <v>1</v>
      </c>
      <c r="AC1488" s="320">
        <v>3</v>
      </c>
      <c r="AD1488" s="320"/>
      <c r="AE1488" s="320">
        <v>4</v>
      </c>
      <c r="AF1488" s="320"/>
      <c r="AG1488" s="320"/>
      <c r="AH1488" s="320"/>
      <c r="AI1488" s="320"/>
      <c r="AJ1488" s="320"/>
      <c r="AK1488" s="320"/>
      <c r="AL1488" s="320"/>
      <c r="AM1488" s="320"/>
      <c r="AN1488" s="320"/>
      <c r="AO1488" s="320"/>
      <c r="AP1488" s="320"/>
      <c r="AQ1488" s="320"/>
      <c r="AR1488" s="320"/>
      <c r="AS1488" s="320"/>
      <c r="AT1488" s="320"/>
      <c r="AU1488" s="320"/>
      <c r="AV1488" s="320"/>
      <c r="AW1488" s="320"/>
      <c r="AX1488" s="320"/>
      <c r="AY1488" s="320"/>
      <c r="AZ1488" s="974"/>
      <c r="BA1488" s="320"/>
      <c r="BB1488" s="320"/>
      <c r="BC1488" s="320"/>
      <c r="BD1488" s="119"/>
      <c r="BF1488">
        <f>ROWS($U$46:U1488)</f>
        <v>1443</v>
      </c>
      <c r="BG1488" t="str">
        <f t="shared" si="228"/>
        <v/>
      </c>
    </row>
    <row r="1489" spans="15:59" x14ac:dyDescent="0.35">
      <c r="O1489" s="330">
        <v>2</v>
      </c>
      <c r="P1489" s="36">
        <v>1209332</v>
      </c>
      <c r="Q1489" s="36">
        <v>9</v>
      </c>
      <c r="R1489" s="36"/>
      <c r="S1489" s="36" t="s">
        <v>1319</v>
      </c>
      <c r="T1489" s="36" t="s">
        <v>2064</v>
      </c>
      <c r="U1489" s="36">
        <v>1226735</v>
      </c>
      <c r="V1489" s="165" t="s">
        <v>88</v>
      </c>
      <c r="W1489" s="36">
        <v>2</v>
      </c>
      <c r="X1489" s="36">
        <v>2</v>
      </c>
      <c r="Y1489" s="36">
        <v>1</v>
      </c>
      <c r="Z1489" s="36">
        <v>3</v>
      </c>
      <c r="AA1489" s="36"/>
      <c r="AB1489" s="36"/>
      <c r="AC1489" s="36"/>
      <c r="AD1489" s="36"/>
      <c r="AE1489" s="36">
        <v>4</v>
      </c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  <c r="AV1489" s="36"/>
      <c r="AW1489" s="36"/>
      <c r="AX1489" s="36"/>
      <c r="AY1489" s="36"/>
      <c r="AZ1489" s="961"/>
      <c r="BA1489" s="36"/>
      <c r="BB1489" s="36"/>
      <c r="BC1489" s="36"/>
      <c r="BD1489" s="27"/>
      <c r="BF1489">
        <f>ROWS($U$46:U1489)</f>
        <v>1444</v>
      </c>
      <c r="BG1489" t="str">
        <f t="shared" si="228"/>
        <v/>
      </c>
    </row>
    <row r="1490" spans="15:59" x14ac:dyDescent="0.35">
      <c r="O1490" s="330">
        <v>3</v>
      </c>
      <c r="P1490" s="36">
        <v>418525</v>
      </c>
      <c r="Q1490" s="36">
        <v>6</v>
      </c>
      <c r="R1490" s="36"/>
      <c r="S1490" s="36" t="s">
        <v>1319</v>
      </c>
      <c r="T1490" s="36" t="s">
        <v>2064</v>
      </c>
      <c r="U1490" s="36">
        <v>1226735</v>
      </c>
      <c r="V1490" s="165" t="s">
        <v>89</v>
      </c>
      <c r="W1490" s="36">
        <v>1</v>
      </c>
      <c r="X1490" s="36">
        <v>1</v>
      </c>
      <c r="Y1490" s="36">
        <v>2</v>
      </c>
      <c r="Z1490" s="36">
        <v>2</v>
      </c>
      <c r="AA1490" s="36">
        <v>1</v>
      </c>
      <c r="AB1490" s="36">
        <v>3</v>
      </c>
      <c r="AC1490" s="36"/>
      <c r="AD1490" s="36"/>
      <c r="AE1490" s="36">
        <v>4</v>
      </c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  <c r="AV1490" s="36"/>
      <c r="AW1490" s="36"/>
      <c r="AX1490" s="36"/>
      <c r="AY1490" s="36"/>
      <c r="AZ1490" s="961"/>
      <c r="BA1490" s="36"/>
      <c r="BB1490" s="36"/>
      <c r="BC1490" s="36"/>
      <c r="BD1490" s="27"/>
      <c r="BF1490">
        <f>ROWS($U$46:U1490)</f>
        <v>1445</v>
      </c>
      <c r="BG1490" t="str">
        <f t="shared" si="228"/>
        <v/>
      </c>
    </row>
    <row r="1491" spans="15:59" x14ac:dyDescent="0.35">
      <c r="O1491" s="330">
        <v>4</v>
      </c>
      <c r="P1491" s="36">
        <v>649901</v>
      </c>
      <c r="Q1491" s="36">
        <v>5</v>
      </c>
      <c r="R1491" s="36"/>
      <c r="S1491" s="36" t="s">
        <v>1319</v>
      </c>
      <c r="T1491" s="36" t="s">
        <v>2064</v>
      </c>
      <c r="U1491" s="36">
        <v>1226735</v>
      </c>
      <c r="V1491" s="165" t="s">
        <v>90</v>
      </c>
      <c r="W1491" s="36">
        <v>1</v>
      </c>
      <c r="X1491" s="36">
        <v>2</v>
      </c>
      <c r="Y1491" s="36">
        <v>1</v>
      </c>
      <c r="Z1491" s="36">
        <v>1</v>
      </c>
      <c r="AA1491" s="36">
        <v>3</v>
      </c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  <c r="AV1491" s="36"/>
      <c r="AW1491" s="36"/>
      <c r="AX1491" s="36"/>
      <c r="AY1491" s="36"/>
      <c r="AZ1491" s="961"/>
      <c r="BA1491" s="36"/>
      <c r="BB1491" s="36"/>
      <c r="BC1491" s="36"/>
      <c r="BD1491" s="27"/>
      <c r="BF1491">
        <f>ROWS($U$46:U1491)</f>
        <v>1446</v>
      </c>
      <c r="BG1491" t="str">
        <f t="shared" si="228"/>
        <v/>
      </c>
    </row>
    <row r="1492" spans="15:59" x14ac:dyDescent="0.35">
      <c r="O1492" s="330">
        <v>5</v>
      </c>
      <c r="P1492" s="36">
        <v>1220334</v>
      </c>
      <c r="Q1492" s="36">
        <v>1</v>
      </c>
      <c r="R1492" s="36"/>
      <c r="S1492" s="36" t="s">
        <v>1319</v>
      </c>
      <c r="T1492" s="36" t="s">
        <v>2064</v>
      </c>
      <c r="U1492" s="36">
        <v>1226735</v>
      </c>
      <c r="V1492" s="165" t="s">
        <v>91</v>
      </c>
      <c r="W1492" s="36">
        <v>1</v>
      </c>
      <c r="X1492" s="36">
        <v>1</v>
      </c>
      <c r="Y1492" s="36">
        <v>1</v>
      </c>
      <c r="Z1492" s="36">
        <v>2</v>
      </c>
      <c r="AA1492" s="36">
        <v>1</v>
      </c>
      <c r="AB1492" s="36">
        <v>3</v>
      </c>
      <c r="AC1492" s="36"/>
      <c r="AD1492" s="36"/>
      <c r="AE1492" s="36">
        <v>4</v>
      </c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  <c r="AV1492" s="36"/>
      <c r="AW1492" s="36"/>
      <c r="AX1492" s="36"/>
      <c r="AY1492" s="36"/>
      <c r="AZ1492" s="961"/>
      <c r="BA1492" s="36"/>
      <c r="BB1492" s="36"/>
      <c r="BC1492" s="36"/>
      <c r="BD1492" s="27"/>
      <c r="BF1492">
        <f>ROWS($U$46:U1492)</f>
        <v>1447</v>
      </c>
      <c r="BG1492" t="str">
        <f t="shared" si="228"/>
        <v/>
      </c>
    </row>
    <row r="1493" spans="15:59" ht="15" thickBot="1" x14ac:dyDescent="0.4">
      <c r="O1493" s="331"/>
      <c r="P1493" s="328"/>
      <c r="Q1493" s="328"/>
      <c r="R1493" s="328"/>
      <c r="S1493" s="328" t="s">
        <v>1319</v>
      </c>
      <c r="T1493" s="328" t="s">
        <v>2064</v>
      </c>
      <c r="U1493" s="328">
        <v>1226735</v>
      </c>
      <c r="V1493" s="327" t="s">
        <v>92</v>
      </c>
      <c r="W1493" s="328">
        <v>2</v>
      </c>
      <c r="X1493" s="328">
        <v>1</v>
      </c>
      <c r="Y1493" s="328">
        <v>1</v>
      </c>
      <c r="Z1493" s="328">
        <v>3</v>
      </c>
      <c r="AA1493" s="328"/>
      <c r="AB1493" s="328"/>
      <c r="AC1493" s="328"/>
      <c r="AD1493" s="328"/>
      <c r="AE1493" s="328">
        <v>4</v>
      </c>
      <c r="AF1493" s="328"/>
      <c r="AG1493" s="328"/>
      <c r="AH1493" s="328"/>
      <c r="AI1493" s="328"/>
      <c r="AJ1493" s="328"/>
      <c r="AK1493" s="328"/>
      <c r="AL1493" s="328"/>
      <c r="AM1493" s="328"/>
      <c r="AN1493" s="328"/>
      <c r="AO1493" s="328"/>
      <c r="AP1493" s="328"/>
      <c r="AQ1493" s="328"/>
      <c r="AR1493" s="328"/>
      <c r="AS1493" s="328"/>
      <c r="AT1493" s="328"/>
      <c r="AU1493" s="328"/>
      <c r="AV1493" s="328"/>
      <c r="AW1493" s="328"/>
      <c r="AX1493" s="328"/>
      <c r="AY1493" s="328"/>
      <c r="AZ1493" s="962"/>
      <c r="BA1493" s="328"/>
      <c r="BB1493" s="328"/>
      <c r="BC1493" s="328"/>
      <c r="BD1493" s="31"/>
      <c r="BF1493">
        <f>ROWS($U$46:U1493)</f>
        <v>1448</v>
      </c>
      <c r="BG1493" t="str">
        <f t="shared" si="228"/>
        <v/>
      </c>
    </row>
    <row r="1494" spans="15:59" x14ac:dyDescent="0.35">
      <c r="O1494" s="329">
        <v>1</v>
      </c>
      <c r="P1494" s="320">
        <v>1217988</v>
      </c>
      <c r="Q1494" s="320">
        <v>13</v>
      </c>
      <c r="R1494" s="320"/>
      <c r="S1494" s="320" t="s">
        <v>1319</v>
      </c>
      <c r="T1494" s="320" t="s">
        <v>2069</v>
      </c>
      <c r="U1494" s="320">
        <v>1225753</v>
      </c>
      <c r="V1494" s="319" t="s">
        <v>87</v>
      </c>
      <c r="W1494" s="320">
        <v>5</v>
      </c>
      <c r="X1494" s="320">
        <v>2</v>
      </c>
      <c r="Y1494" s="320">
        <v>1</v>
      </c>
      <c r="Z1494" s="320">
        <v>1</v>
      </c>
      <c r="AA1494" s="320">
        <v>1</v>
      </c>
      <c r="AB1494" s="320">
        <v>2</v>
      </c>
      <c r="AC1494" s="320">
        <v>3</v>
      </c>
      <c r="AD1494" s="320"/>
      <c r="AE1494" s="320">
        <v>4</v>
      </c>
      <c r="AF1494" s="320"/>
      <c r="AG1494" s="320"/>
      <c r="AH1494" s="320"/>
      <c r="AI1494" s="320"/>
      <c r="AJ1494" s="320"/>
      <c r="AK1494" s="320"/>
      <c r="AL1494" s="320"/>
      <c r="AM1494" s="320"/>
      <c r="AN1494" s="320"/>
      <c r="AO1494" s="320"/>
      <c r="AP1494" s="320"/>
      <c r="AQ1494" s="320"/>
      <c r="AR1494" s="320"/>
      <c r="AS1494" s="320"/>
      <c r="AT1494" s="320"/>
      <c r="AU1494" s="320"/>
      <c r="AV1494" s="320"/>
      <c r="AW1494" s="320"/>
      <c r="AX1494" s="320"/>
      <c r="AY1494" s="320"/>
      <c r="AZ1494" s="974"/>
      <c r="BA1494" s="320"/>
      <c r="BB1494" s="320"/>
      <c r="BC1494" s="320"/>
      <c r="BD1494" s="119"/>
      <c r="BF1494">
        <f>ROWS($U$46:U1494)</f>
        <v>1449</v>
      </c>
      <c r="BG1494" t="str">
        <f t="shared" si="228"/>
        <v/>
      </c>
    </row>
    <row r="1495" spans="15:59" x14ac:dyDescent="0.35">
      <c r="O1495" s="330">
        <v>2</v>
      </c>
      <c r="P1495" s="36">
        <v>1145493</v>
      </c>
      <c r="Q1495" s="36">
        <v>12</v>
      </c>
      <c r="R1495" s="36"/>
      <c r="S1495" s="36" t="s">
        <v>1319</v>
      </c>
      <c r="T1495" s="36" t="s">
        <v>2069</v>
      </c>
      <c r="U1495" s="36">
        <v>1225753</v>
      </c>
      <c r="V1495" s="165" t="s">
        <v>88</v>
      </c>
      <c r="W1495" s="36">
        <v>1</v>
      </c>
      <c r="X1495" s="36">
        <v>1</v>
      </c>
      <c r="Y1495" s="36">
        <v>2</v>
      </c>
      <c r="Z1495" s="36">
        <v>3</v>
      </c>
      <c r="AA1495" s="36"/>
      <c r="AB1495" s="36"/>
      <c r="AC1495" s="36"/>
      <c r="AD1495" s="36"/>
      <c r="AE1495" s="36">
        <v>4</v>
      </c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  <c r="AV1495" s="36"/>
      <c r="AW1495" s="36"/>
      <c r="AX1495" s="36"/>
      <c r="AY1495" s="36"/>
      <c r="AZ1495" s="961"/>
      <c r="BA1495" s="36"/>
      <c r="BB1495" s="36"/>
      <c r="BC1495" s="36"/>
      <c r="BD1495" s="27"/>
      <c r="BF1495">
        <f>ROWS($U$46:U1495)</f>
        <v>1450</v>
      </c>
      <c r="BG1495" t="str">
        <f t="shared" si="228"/>
        <v/>
      </c>
    </row>
    <row r="1496" spans="15:59" x14ac:dyDescent="0.35">
      <c r="O1496" s="330">
        <v>3</v>
      </c>
      <c r="P1496" s="36">
        <v>418525</v>
      </c>
      <c r="Q1496" s="36">
        <v>6</v>
      </c>
      <c r="R1496" s="36"/>
      <c r="S1496" s="36" t="s">
        <v>1319</v>
      </c>
      <c r="T1496" s="36" t="s">
        <v>2069</v>
      </c>
      <c r="U1496" s="36">
        <v>1225753</v>
      </c>
      <c r="V1496" s="165" t="s">
        <v>89</v>
      </c>
      <c r="W1496" s="36">
        <v>2</v>
      </c>
      <c r="X1496" s="36">
        <v>2</v>
      </c>
      <c r="Y1496" s="36">
        <v>1</v>
      </c>
      <c r="Z1496" s="36">
        <v>1</v>
      </c>
      <c r="AA1496" s="36">
        <v>2</v>
      </c>
      <c r="AB1496" s="36">
        <v>3</v>
      </c>
      <c r="AC1496" s="36"/>
      <c r="AD1496" s="36"/>
      <c r="AE1496" s="36">
        <v>4</v>
      </c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  <c r="AV1496" s="36"/>
      <c r="AW1496" s="36"/>
      <c r="AX1496" s="36"/>
      <c r="AY1496" s="36"/>
      <c r="AZ1496" s="961"/>
      <c r="BA1496" s="36"/>
      <c r="BB1496" s="36"/>
      <c r="BC1496" s="36"/>
      <c r="BD1496" s="27"/>
      <c r="BF1496">
        <f>ROWS($U$46:U1496)</f>
        <v>1451</v>
      </c>
      <c r="BG1496" t="str">
        <f t="shared" si="228"/>
        <v/>
      </c>
    </row>
    <row r="1497" spans="15:59" x14ac:dyDescent="0.35">
      <c r="O1497" s="330">
        <v>4</v>
      </c>
      <c r="P1497" s="36">
        <v>1101509</v>
      </c>
      <c r="Q1497" s="36">
        <v>5</v>
      </c>
      <c r="R1497" s="36"/>
      <c r="S1497" s="36" t="s">
        <v>1319</v>
      </c>
      <c r="T1497" s="36" t="s">
        <v>2069</v>
      </c>
      <c r="U1497" s="36">
        <v>1225753</v>
      </c>
      <c r="V1497" s="165" t="s">
        <v>90</v>
      </c>
      <c r="W1497" s="36">
        <v>1</v>
      </c>
      <c r="X1497" s="36">
        <v>1</v>
      </c>
      <c r="Y1497" s="36">
        <v>2</v>
      </c>
      <c r="Z1497" s="36">
        <v>2</v>
      </c>
      <c r="AA1497" s="36">
        <v>3</v>
      </c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  <c r="AV1497" s="36"/>
      <c r="AW1497" s="36"/>
      <c r="AX1497" s="36"/>
      <c r="AY1497" s="36"/>
      <c r="AZ1497" s="961"/>
      <c r="BA1497" s="36"/>
      <c r="BB1497" s="36"/>
      <c r="BC1497" s="36"/>
      <c r="BD1497" s="27"/>
      <c r="BF1497">
        <f>ROWS($U$46:U1497)</f>
        <v>1452</v>
      </c>
      <c r="BG1497" t="str">
        <f t="shared" si="228"/>
        <v/>
      </c>
    </row>
    <row r="1498" spans="15:59" x14ac:dyDescent="0.35">
      <c r="O1498" s="330">
        <v>5</v>
      </c>
      <c r="P1498" s="36">
        <v>1104083</v>
      </c>
      <c r="Q1498" s="36">
        <v>1</v>
      </c>
      <c r="R1498" s="36"/>
      <c r="S1498" s="36" t="s">
        <v>1319</v>
      </c>
      <c r="T1498" s="36" t="s">
        <v>2069</v>
      </c>
      <c r="U1498" s="36">
        <v>1225753</v>
      </c>
      <c r="V1498" s="165" t="s">
        <v>91</v>
      </c>
      <c r="W1498" s="36">
        <v>2</v>
      </c>
      <c r="X1498" s="36">
        <v>2</v>
      </c>
      <c r="Y1498" s="36">
        <v>1</v>
      </c>
      <c r="Z1498" s="36">
        <v>1</v>
      </c>
      <c r="AA1498" s="36">
        <v>2</v>
      </c>
      <c r="AB1498" s="36">
        <v>3</v>
      </c>
      <c r="AC1498" s="36"/>
      <c r="AD1498" s="36"/>
      <c r="AE1498" s="36">
        <v>4</v>
      </c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  <c r="AV1498" s="36"/>
      <c r="AW1498" s="36"/>
      <c r="AX1498" s="36"/>
      <c r="AY1498" s="36"/>
      <c r="AZ1498" s="961"/>
      <c r="BA1498" s="36"/>
      <c r="BB1498" s="36"/>
      <c r="BC1498" s="36"/>
      <c r="BD1498" s="27"/>
      <c r="BF1498">
        <f>ROWS($U$46:U1498)</f>
        <v>1453</v>
      </c>
      <c r="BG1498" t="str">
        <f t="shared" si="228"/>
        <v/>
      </c>
    </row>
    <row r="1499" spans="15:59" ht="15" thickBot="1" x14ac:dyDescent="0.4">
      <c r="O1499" s="331"/>
      <c r="P1499" s="328"/>
      <c r="Q1499" s="328"/>
      <c r="R1499" s="328"/>
      <c r="S1499" s="328" t="s">
        <v>1319</v>
      </c>
      <c r="T1499" s="328" t="s">
        <v>2069</v>
      </c>
      <c r="U1499" s="328">
        <v>1225753</v>
      </c>
      <c r="V1499" s="327" t="s">
        <v>92</v>
      </c>
      <c r="W1499" s="328">
        <v>1</v>
      </c>
      <c r="X1499" s="328">
        <v>1</v>
      </c>
      <c r="Y1499" s="328">
        <v>2</v>
      </c>
      <c r="Z1499" s="328">
        <v>3</v>
      </c>
      <c r="AA1499" s="328"/>
      <c r="AB1499" s="328"/>
      <c r="AC1499" s="328"/>
      <c r="AD1499" s="328"/>
      <c r="AE1499" s="328">
        <v>4</v>
      </c>
      <c r="AF1499" s="328"/>
      <c r="AG1499" s="328"/>
      <c r="AH1499" s="328"/>
      <c r="AI1499" s="328"/>
      <c r="AJ1499" s="328"/>
      <c r="AK1499" s="328"/>
      <c r="AL1499" s="328"/>
      <c r="AM1499" s="328"/>
      <c r="AN1499" s="328"/>
      <c r="AO1499" s="328"/>
      <c r="AP1499" s="328"/>
      <c r="AQ1499" s="328"/>
      <c r="AR1499" s="328"/>
      <c r="AS1499" s="328"/>
      <c r="AT1499" s="328"/>
      <c r="AU1499" s="328"/>
      <c r="AV1499" s="328"/>
      <c r="AW1499" s="328"/>
      <c r="AX1499" s="328"/>
      <c r="AY1499" s="328"/>
      <c r="AZ1499" s="962"/>
      <c r="BA1499" s="328"/>
      <c r="BB1499" s="328"/>
      <c r="BC1499" s="328"/>
      <c r="BD1499" s="31"/>
      <c r="BF1499">
        <f>ROWS($U$46:U1499)</f>
        <v>1454</v>
      </c>
      <c r="BG1499" t="str">
        <f t="shared" si="228"/>
        <v/>
      </c>
    </row>
    <row r="1500" spans="15:59" x14ac:dyDescent="0.35">
      <c r="O1500" s="329">
        <v>1</v>
      </c>
      <c r="P1500" s="320">
        <v>717748</v>
      </c>
      <c r="Q1500" s="320">
        <v>23</v>
      </c>
      <c r="R1500" s="320"/>
      <c r="S1500" s="320" t="s">
        <v>1421</v>
      </c>
      <c r="T1500" s="320" t="s">
        <v>2073</v>
      </c>
      <c r="U1500" s="320">
        <v>1016454</v>
      </c>
      <c r="V1500" s="319" t="s">
        <v>87</v>
      </c>
      <c r="W1500" s="320">
        <v>2</v>
      </c>
      <c r="X1500" s="320">
        <v>2</v>
      </c>
      <c r="Y1500" s="320">
        <v>2</v>
      </c>
      <c r="Z1500" s="320">
        <v>1</v>
      </c>
      <c r="AA1500" s="320">
        <v>1</v>
      </c>
      <c r="AB1500" s="320">
        <v>3</v>
      </c>
      <c r="AC1500" s="320">
        <v>3</v>
      </c>
      <c r="AD1500" s="320"/>
      <c r="AE1500" s="320">
        <v>1</v>
      </c>
      <c r="AF1500" s="320">
        <v>1</v>
      </c>
      <c r="AG1500" s="320">
        <v>1</v>
      </c>
      <c r="AH1500" s="320"/>
      <c r="AI1500" s="320"/>
      <c r="AJ1500" s="320"/>
      <c r="AK1500" s="320"/>
      <c r="AL1500" s="320"/>
      <c r="AM1500" s="320"/>
      <c r="AN1500" s="320"/>
      <c r="AO1500" s="320"/>
      <c r="AP1500" s="320"/>
      <c r="AQ1500" s="320"/>
      <c r="AR1500" s="320"/>
      <c r="AS1500" s="320"/>
      <c r="AT1500" s="320"/>
      <c r="AU1500" s="320"/>
      <c r="AV1500" s="320"/>
      <c r="AW1500" s="320"/>
      <c r="AX1500" s="320"/>
      <c r="AY1500" s="320"/>
      <c r="AZ1500" s="320"/>
      <c r="BA1500" s="320"/>
      <c r="BB1500" s="320"/>
      <c r="BC1500" s="119"/>
      <c r="BF1500">
        <f>ROWS($U$46:U1500)</f>
        <v>1455</v>
      </c>
      <c r="BG1500" t="str">
        <f t="shared" si="228"/>
        <v/>
      </c>
    </row>
    <row r="1501" spans="15:59" x14ac:dyDescent="0.35">
      <c r="O1501" s="330">
        <v>2</v>
      </c>
      <c r="P1501" s="36">
        <v>773384</v>
      </c>
      <c r="Q1501" s="36">
        <v>10</v>
      </c>
      <c r="R1501" s="36"/>
      <c r="S1501" s="36" t="s">
        <v>1421</v>
      </c>
      <c r="T1501" s="36" t="s">
        <v>2073</v>
      </c>
      <c r="U1501" s="36">
        <v>1016454</v>
      </c>
      <c r="V1501" s="165" t="s">
        <v>88</v>
      </c>
      <c r="W1501" s="36">
        <v>2</v>
      </c>
      <c r="X1501" s="36">
        <v>1</v>
      </c>
      <c r="Y1501" s="36">
        <v>1</v>
      </c>
      <c r="Z1501" s="36">
        <v>3</v>
      </c>
      <c r="AA1501" s="36">
        <v>3</v>
      </c>
      <c r="AB1501" s="36"/>
      <c r="AC1501" s="36"/>
      <c r="AD1501" s="36"/>
      <c r="AE1501" s="36">
        <v>1</v>
      </c>
      <c r="AF1501" s="36">
        <v>1</v>
      </c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  <c r="AV1501" s="36"/>
      <c r="AW1501" s="36"/>
      <c r="AX1501" s="36"/>
      <c r="AY1501" s="36"/>
      <c r="AZ1501" s="36"/>
      <c r="BA1501" s="36"/>
      <c r="BB1501" s="36"/>
      <c r="BC1501" s="27"/>
      <c r="BF1501">
        <f>ROWS($U$46:U1501)</f>
        <v>1456</v>
      </c>
      <c r="BG1501" t="str">
        <f t="shared" si="228"/>
        <v/>
      </c>
    </row>
    <row r="1502" spans="15:59" x14ac:dyDescent="0.35">
      <c r="O1502" s="3">
        <v>3</v>
      </c>
      <c r="P1502" s="36">
        <v>882800</v>
      </c>
      <c r="Q1502" s="36">
        <v>10</v>
      </c>
      <c r="R1502" s="36"/>
      <c r="S1502" s="36" t="s">
        <v>1421</v>
      </c>
      <c r="T1502" s="36" t="s">
        <v>2073</v>
      </c>
      <c r="U1502" s="36">
        <v>1016454</v>
      </c>
      <c r="V1502" s="165" t="s">
        <v>89</v>
      </c>
      <c r="W1502" s="36">
        <v>2</v>
      </c>
      <c r="X1502" s="36">
        <v>2</v>
      </c>
      <c r="Y1502" s="36">
        <v>1</v>
      </c>
      <c r="Z1502" s="36">
        <v>1</v>
      </c>
      <c r="AA1502" s="36">
        <v>1</v>
      </c>
      <c r="AB1502" s="36">
        <v>3</v>
      </c>
      <c r="AC1502" s="36">
        <v>3</v>
      </c>
      <c r="AD1502" s="36"/>
      <c r="AE1502" s="36">
        <v>1</v>
      </c>
      <c r="AF1502" s="36">
        <v>1</v>
      </c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  <c r="AV1502" s="36"/>
      <c r="AW1502" s="36"/>
      <c r="AX1502" s="36"/>
      <c r="AY1502" s="36"/>
      <c r="AZ1502" s="36"/>
      <c r="BA1502" s="36"/>
      <c r="BB1502" s="36"/>
      <c r="BC1502" s="27"/>
      <c r="BF1502">
        <f>ROWS($U$46:U1502)</f>
        <v>1457</v>
      </c>
      <c r="BG1502" t="str">
        <f t="shared" si="228"/>
        <v/>
      </c>
    </row>
    <row r="1503" spans="15:59" x14ac:dyDescent="0.35">
      <c r="O1503" s="3"/>
      <c r="P1503" s="36"/>
      <c r="Q1503" s="36"/>
      <c r="R1503" s="36"/>
      <c r="S1503" s="36" t="s">
        <v>1421</v>
      </c>
      <c r="T1503" s="36" t="s">
        <v>2073</v>
      </c>
      <c r="U1503" s="36">
        <v>1016454</v>
      </c>
      <c r="V1503" s="165" t="s">
        <v>90</v>
      </c>
      <c r="W1503" s="36">
        <v>2</v>
      </c>
      <c r="X1503" s="36">
        <v>2</v>
      </c>
      <c r="Y1503" s="36">
        <v>1</v>
      </c>
      <c r="Z1503" s="36">
        <v>1</v>
      </c>
      <c r="AA1503" s="36">
        <v>1</v>
      </c>
      <c r="AB1503" s="36">
        <v>3</v>
      </c>
      <c r="AC1503" s="36">
        <v>3</v>
      </c>
      <c r="AD1503" s="36"/>
      <c r="AE1503" s="36">
        <v>1</v>
      </c>
      <c r="AF1503" s="36">
        <v>1</v>
      </c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  <c r="AV1503" s="36"/>
      <c r="AW1503" s="36"/>
      <c r="AX1503" s="36"/>
      <c r="AY1503" s="36"/>
      <c r="AZ1503" s="36"/>
      <c r="BA1503" s="36"/>
      <c r="BB1503" s="36"/>
      <c r="BC1503" s="27"/>
      <c r="BF1503">
        <f>ROWS($U$46:U1503)</f>
        <v>1458</v>
      </c>
      <c r="BG1503" t="str">
        <f t="shared" si="228"/>
        <v/>
      </c>
    </row>
    <row r="1504" spans="15:59" ht="15" thickBot="1" x14ac:dyDescent="0.4">
      <c r="O1504" s="3"/>
      <c r="P1504" s="36"/>
      <c r="Q1504" s="36"/>
      <c r="R1504" s="36"/>
      <c r="S1504" s="36" t="s">
        <v>1421</v>
      </c>
      <c r="T1504" s="36" t="s">
        <v>2073</v>
      </c>
      <c r="U1504" s="36">
        <v>1016454</v>
      </c>
      <c r="V1504" s="165" t="s">
        <v>91</v>
      </c>
      <c r="W1504" s="36">
        <v>2</v>
      </c>
      <c r="X1504" s="36">
        <v>2</v>
      </c>
      <c r="Y1504" s="36">
        <v>1</v>
      </c>
      <c r="Z1504" s="36">
        <v>1</v>
      </c>
      <c r="AA1504" s="36">
        <v>3</v>
      </c>
      <c r="AB1504" s="36">
        <v>3</v>
      </c>
      <c r="AC1504" s="36"/>
      <c r="AD1504" s="36"/>
      <c r="AE1504" s="36">
        <v>1</v>
      </c>
      <c r="AF1504" s="36">
        <v>1</v>
      </c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  <c r="AV1504" s="36"/>
      <c r="AW1504" s="36"/>
      <c r="AX1504" s="36"/>
      <c r="AY1504" s="36"/>
      <c r="AZ1504" s="36"/>
      <c r="BA1504" s="36"/>
      <c r="BB1504" s="36"/>
      <c r="BC1504" s="27"/>
      <c r="BF1504">
        <f>ROWS($U$46:U1504)</f>
        <v>1459</v>
      </c>
      <c r="BG1504" t="str">
        <f t="shared" si="228"/>
        <v/>
      </c>
    </row>
    <row r="1505" spans="15:59" x14ac:dyDescent="0.35">
      <c r="O1505" s="329">
        <v>1</v>
      </c>
      <c r="P1505" s="320">
        <v>1130217</v>
      </c>
      <c r="Q1505" s="320">
        <v>37</v>
      </c>
      <c r="R1505" s="320"/>
      <c r="S1505" s="320" t="s">
        <v>2075</v>
      </c>
      <c r="T1505" s="320" t="s">
        <v>2076</v>
      </c>
      <c r="U1505" s="320">
        <v>1138943</v>
      </c>
      <c r="V1505" s="319" t="s">
        <v>87</v>
      </c>
      <c r="W1505" s="320">
        <v>1</v>
      </c>
      <c r="X1505" s="320">
        <v>1</v>
      </c>
      <c r="Y1505" s="320">
        <v>1</v>
      </c>
      <c r="Z1505" s="320">
        <v>1</v>
      </c>
      <c r="AA1505" s="320">
        <v>1</v>
      </c>
      <c r="AB1505" s="320">
        <v>1</v>
      </c>
      <c r="AC1505" s="320">
        <v>1</v>
      </c>
      <c r="AD1505" s="320">
        <v>3</v>
      </c>
      <c r="AE1505" s="320"/>
      <c r="AF1505" s="320">
        <v>4</v>
      </c>
      <c r="AG1505" s="320">
        <v>2</v>
      </c>
      <c r="AH1505" s="320">
        <v>2</v>
      </c>
      <c r="AI1505" s="320"/>
      <c r="AJ1505" s="320"/>
      <c r="AK1505" s="320"/>
      <c r="AL1505" s="320"/>
      <c r="AM1505" s="320"/>
      <c r="AN1505" s="320"/>
      <c r="AO1505" s="320"/>
      <c r="AP1505" s="320"/>
      <c r="AQ1505" s="320"/>
      <c r="AR1505" s="320"/>
      <c r="AS1505" s="320"/>
      <c r="AT1505" s="320"/>
      <c r="AU1505" s="320"/>
      <c r="AV1505" s="320"/>
      <c r="AW1505" s="320"/>
      <c r="AX1505" s="320"/>
      <c r="AY1505" s="320"/>
      <c r="AZ1505" s="320"/>
      <c r="BA1505" s="320"/>
      <c r="BB1505" s="320"/>
      <c r="BC1505" s="119"/>
      <c r="BF1505">
        <f>ROWS($U$46:U1505)</f>
        <v>1460</v>
      </c>
      <c r="BG1505" t="str">
        <f t="shared" si="228"/>
        <v/>
      </c>
    </row>
    <row r="1506" spans="15:59" x14ac:dyDescent="0.35">
      <c r="O1506" s="330">
        <v>2</v>
      </c>
      <c r="P1506" s="36">
        <v>773383</v>
      </c>
      <c r="Q1506" s="36">
        <v>14</v>
      </c>
      <c r="R1506" s="36"/>
      <c r="S1506" s="36" t="s">
        <v>2075</v>
      </c>
      <c r="T1506" s="36" t="s">
        <v>2076</v>
      </c>
      <c r="U1506" s="36">
        <v>1138943</v>
      </c>
      <c r="V1506" s="165" t="s">
        <v>88</v>
      </c>
      <c r="W1506" s="36">
        <v>1</v>
      </c>
      <c r="X1506" s="36">
        <v>1</v>
      </c>
      <c r="Y1506" s="36">
        <v>1</v>
      </c>
      <c r="Z1506" s="36">
        <v>3</v>
      </c>
      <c r="AA1506" s="36"/>
      <c r="AB1506" s="36"/>
      <c r="AC1506" s="36"/>
      <c r="AD1506" s="36"/>
      <c r="AE1506" s="36"/>
      <c r="AF1506" s="36">
        <v>4</v>
      </c>
      <c r="AG1506" s="36">
        <v>2</v>
      </c>
      <c r="AH1506" s="36">
        <v>2</v>
      </c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  <c r="AV1506" s="36"/>
      <c r="AW1506" s="36"/>
      <c r="AX1506" s="36"/>
      <c r="AY1506" s="36"/>
      <c r="AZ1506" s="36"/>
      <c r="BA1506" s="36"/>
      <c r="BB1506" s="36"/>
      <c r="BC1506" s="27"/>
      <c r="BF1506">
        <f>ROWS($U$46:U1506)</f>
        <v>1461</v>
      </c>
      <c r="BG1506" t="str">
        <f t="shared" si="228"/>
        <v/>
      </c>
    </row>
    <row r="1507" spans="15:59" x14ac:dyDescent="0.35">
      <c r="O1507" s="3">
        <v>3</v>
      </c>
      <c r="P1507" s="36">
        <v>418525</v>
      </c>
      <c r="Q1507" s="36">
        <v>7</v>
      </c>
      <c r="R1507" s="36"/>
      <c r="S1507" s="36" t="s">
        <v>2075</v>
      </c>
      <c r="T1507" s="36" t="s">
        <v>2076</v>
      </c>
      <c r="U1507" s="36">
        <v>1138943</v>
      </c>
      <c r="V1507" s="165" t="s">
        <v>89</v>
      </c>
      <c r="W1507" s="36">
        <v>1</v>
      </c>
      <c r="X1507" s="36">
        <v>1</v>
      </c>
      <c r="Y1507" s="36">
        <v>1</v>
      </c>
      <c r="Z1507" s="36">
        <v>1</v>
      </c>
      <c r="AA1507" s="36">
        <v>1</v>
      </c>
      <c r="AB1507" s="36">
        <v>1</v>
      </c>
      <c r="AC1507" s="36">
        <v>1</v>
      </c>
      <c r="AD1507" s="36">
        <v>3</v>
      </c>
      <c r="AE1507" s="36"/>
      <c r="AF1507" s="36">
        <v>4</v>
      </c>
      <c r="AG1507" s="36">
        <v>2</v>
      </c>
      <c r="AH1507" s="36">
        <v>2</v>
      </c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  <c r="AV1507" s="36"/>
      <c r="AW1507" s="36"/>
      <c r="AX1507" s="36"/>
      <c r="AY1507" s="36"/>
      <c r="AZ1507" s="36"/>
      <c r="BA1507" s="36"/>
      <c r="BB1507" s="36"/>
      <c r="BC1507" s="27"/>
      <c r="BF1507">
        <f>ROWS($U$46:U1507)</f>
        <v>1462</v>
      </c>
      <c r="BG1507" t="str">
        <f t="shared" si="228"/>
        <v/>
      </c>
    </row>
    <row r="1508" spans="15:59" x14ac:dyDescent="0.35">
      <c r="O1508" s="3">
        <v>4</v>
      </c>
      <c r="P1508" s="36">
        <v>1101509</v>
      </c>
      <c r="Q1508" s="36">
        <v>7</v>
      </c>
      <c r="R1508" s="36"/>
      <c r="S1508" s="36" t="s">
        <v>2075</v>
      </c>
      <c r="T1508" s="36" t="s">
        <v>2076</v>
      </c>
      <c r="U1508" s="36">
        <v>1138943</v>
      </c>
      <c r="V1508" s="165" t="s">
        <v>90</v>
      </c>
      <c r="W1508" s="36">
        <v>1</v>
      </c>
      <c r="X1508" s="36">
        <v>1</v>
      </c>
      <c r="Y1508" s="36">
        <v>1</v>
      </c>
      <c r="Z1508" s="36">
        <v>1</v>
      </c>
      <c r="AA1508" s="36">
        <v>1</v>
      </c>
      <c r="AB1508" s="36">
        <v>3</v>
      </c>
      <c r="AC1508" s="36"/>
      <c r="AD1508" s="36"/>
      <c r="AE1508" s="36"/>
      <c r="AF1508" s="36">
        <v>4</v>
      </c>
      <c r="AG1508" s="36">
        <v>2</v>
      </c>
      <c r="AH1508" s="36">
        <v>2</v>
      </c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  <c r="AV1508" s="36"/>
      <c r="AW1508" s="36"/>
      <c r="AX1508" s="36"/>
      <c r="AY1508" s="36"/>
      <c r="AZ1508" s="36"/>
      <c r="BA1508" s="36"/>
      <c r="BB1508" s="36"/>
      <c r="BC1508" s="27"/>
      <c r="BF1508">
        <f>ROWS($U$46:U1508)</f>
        <v>1463</v>
      </c>
      <c r="BG1508" t="str">
        <f t="shared" si="228"/>
        <v/>
      </c>
    </row>
    <row r="1509" spans="15:59" x14ac:dyDescent="0.35">
      <c r="O1509" s="3"/>
      <c r="P1509" s="36"/>
      <c r="Q1509" s="36"/>
      <c r="R1509" s="36"/>
      <c r="S1509" s="36" t="s">
        <v>2075</v>
      </c>
      <c r="T1509" s="36" t="s">
        <v>2076</v>
      </c>
      <c r="U1509" s="36">
        <v>1138943</v>
      </c>
      <c r="V1509" s="165" t="s">
        <v>91</v>
      </c>
      <c r="W1509" s="36">
        <v>1</v>
      </c>
      <c r="X1509" s="36">
        <v>1</v>
      </c>
      <c r="Y1509" s="36">
        <v>1</v>
      </c>
      <c r="Z1509" s="36">
        <v>1</v>
      </c>
      <c r="AA1509" s="36">
        <v>1</v>
      </c>
      <c r="AB1509" s="36">
        <v>1</v>
      </c>
      <c r="AC1509" s="36">
        <v>1</v>
      </c>
      <c r="AD1509" s="36">
        <v>3</v>
      </c>
      <c r="AE1509" s="36"/>
      <c r="AF1509" s="36">
        <v>4</v>
      </c>
      <c r="AG1509" s="36">
        <v>2</v>
      </c>
      <c r="AH1509" s="36">
        <v>2</v>
      </c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  <c r="AV1509" s="36"/>
      <c r="AW1509" s="36"/>
      <c r="AX1509" s="36"/>
      <c r="AY1509" s="36"/>
      <c r="AZ1509" s="36"/>
      <c r="BA1509" s="36"/>
      <c r="BB1509" s="36"/>
      <c r="BC1509" s="27"/>
      <c r="BF1509">
        <f>ROWS($U$46:U1509)</f>
        <v>1464</v>
      </c>
      <c r="BG1509" t="str">
        <f t="shared" si="228"/>
        <v/>
      </c>
    </row>
    <row r="1510" spans="15:59" x14ac:dyDescent="0.35">
      <c r="O1510" s="3"/>
      <c r="P1510" s="36"/>
      <c r="Q1510" s="36"/>
      <c r="R1510" s="36"/>
      <c r="S1510" s="36" t="s">
        <v>2075</v>
      </c>
      <c r="T1510" s="36" t="s">
        <v>2076</v>
      </c>
      <c r="U1510" s="36">
        <v>1138943</v>
      </c>
      <c r="V1510" s="165" t="s">
        <v>92</v>
      </c>
      <c r="W1510" s="36">
        <v>1</v>
      </c>
      <c r="X1510" s="36">
        <v>1</v>
      </c>
      <c r="Y1510" s="36">
        <v>1</v>
      </c>
      <c r="Z1510" s="36">
        <v>1</v>
      </c>
      <c r="AA1510" s="36">
        <v>3</v>
      </c>
      <c r="AB1510" s="36"/>
      <c r="AC1510" s="36"/>
      <c r="AD1510" s="36"/>
      <c r="AE1510" s="36"/>
      <c r="AF1510" s="36">
        <v>4</v>
      </c>
      <c r="AG1510" s="36">
        <v>2</v>
      </c>
      <c r="AH1510" s="36">
        <v>2</v>
      </c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  <c r="AV1510" s="36"/>
      <c r="AW1510" s="36"/>
      <c r="AX1510" s="36"/>
      <c r="AY1510" s="36"/>
      <c r="AZ1510" s="36"/>
      <c r="BA1510" s="36"/>
      <c r="BB1510" s="36"/>
      <c r="BC1510" s="27"/>
      <c r="BF1510">
        <f>ROWS($U$46:U1510)</f>
        <v>1465</v>
      </c>
      <c r="BG1510" t="str">
        <f t="shared" si="228"/>
        <v/>
      </c>
    </row>
    <row r="1511" spans="15:59" ht="15" thickBot="1" x14ac:dyDescent="0.4">
      <c r="O1511" s="76"/>
      <c r="P1511" s="328"/>
      <c r="Q1511" s="328"/>
      <c r="R1511" s="328"/>
      <c r="S1511" s="328" t="s">
        <v>2075</v>
      </c>
      <c r="T1511" s="328" t="s">
        <v>2076</v>
      </c>
      <c r="U1511" s="328">
        <v>1138943</v>
      </c>
      <c r="V1511" s="327" t="s">
        <v>111</v>
      </c>
      <c r="W1511" s="328">
        <v>1</v>
      </c>
      <c r="X1511" s="328">
        <v>1</v>
      </c>
      <c r="Y1511" s="328">
        <v>1</v>
      </c>
      <c r="Z1511" s="328">
        <v>1</v>
      </c>
      <c r="AA1511" s="328">
        <v>3</v>
      </c>
      <c r="AB1511" s="328"/>
      <c r="AC1511" s="328"/>
      <c r="AD1511" s="328"/>
      <c r="AE1511" s="328"/>
      <c r="AF1511" s="328">
        <v>4</v>
      </c>
      <c r="AG1511" s="328">
        <v>2</v>
      </c>
      <c r="AH1511" s="328">
        <v>2</v>
      </c>
      <c r="AI1511" s="328"/>
      <c r="AJ1511" s="328"/>
      <c r="AK1511" s="328"/>
      <c r="AL1511" s="328"/>
      <c r="AM1511" s="328"/>
      <c r="AN1511" s="328"/>
      <c r="AO1511" s="328"/>
      <c r="AP1511" s="328"/>
      <c r="AQ1511" s="328"/>
      <c r="AR1511" s="328"/>
      <c r="AS1511" s="328"/>
      <c r="AT1511" s="328"/>
      <c r="AU1511" s="328"/>
      <c r="AV1511" s="328"/>
      <c r="AW1511" s="328"/>
      <c r="AX1511" s="328"/>
      <c r="AY1511" s="328"/>
      <c r="AZ1511" s="328"/>
      <c r="BA1511" s="328"/>
      <c r="BB1511" s="328"/>
      <c r="BC1511" s="31"/>
      <c r="BF1511">
        <f>ROWS($U$46:U1511)</f>
        <v>1466</v>
      </c>
      <c r="BG1511" t="str">
        <f t="shared" si="228"/>
        <v/>
      </c>
    </row>
    <row r="1512" spans="15:59" x14ac:dyDescent="0.35">
      <c r="O1512" s="329">
        <v>1</v>
      </c>
      <c r="P1512" s="320">
        <v>1165878</v>
      </c>
      <c r="Q1512" s="320">
        <v>3</v>
      </c>
      <c r="R1512" s="320"/>
      <c r="S1512" s="320" t="s">
        <v>872</v>
      </c>
      <c r="T1512" s="320" t="s">
        <v>2078</v>
      </c>
      <c r="U1512" s="320">
        <v>791141</v>
      </c>
      <c r="V1512" s="319" t="s">
        <v>87</v>
      </c>
      <c r="W1512" s="320">
        <v>3</v>
      </c>
      <c r="X1512" s="320">
        <v>2</v>
      </c>
      <c r="Y1512" s="320">
        <v>2</v>
      </c>
      <c r="Z1512" s="320">
        <v>2</v>
      </c>
      <c r="AA1512" s="320">
        <v>2</v>
      </c>
      <c r="AB1512" s="320">
        <v>3</v>
      </c>
      <c r="AC1512" s="320">
        <v>4</v>
      </c>
      <c r="AD1512" s="320"/>
      <c r="AE1512" s="320"/>
      <c r="AF1512" s="320"/>
      <c r="AG1512" s="320"/>
      <c r="AH1512" s="320"/>
      <c r="AI1512" s="320"/>
      <c r="AJ1512" s="320"/>
      <c r="AK1512" s="320"/>
      <c r="AL1512" s="320"/>
      <c r="AM1512" s="320"/>
      <c r="AN1512" s="320"/>
      <c r="AO1512" s="320"/>
      <c r="AP1512" s="320"/>
      <c r="AQ1512" s="320"/>
      <c r="AR1512" s="320"/>
      <c r="AS1512" s="320"/>
      <c r="AT1512" s="320"/>
      <c r="AU1512" s="320"/>
      <c r="AV1512" s="320"/>
      <c r="AW1512" s="320"/>
      <c r="AX1512" s="320"/>
      <c r="AY1512" s="320"/>
      <c r="AZ1512" s="320"/>
      <c r="BA1512" s="320"/>
      <c r="BB1512" s="320"/>
      <c r="BC1512" s="119"/>
      <c r="BF1512">
        <f>ROWS($U$46:U1512)</f>
        <v>1467</v>
      </c>
      <c r="BG1512" t="str">
        <f t="shared" si="228"/>
        <v/>
      </c>
    </row>
    <row r="1513" spans="15:59" x14ac:dyDescent="0.35">
      <c r="O1513" s="330">
        <v>2</v>
      </c>
      <c r="P1513" s="36">
        <v>1165879</v>
      </c>
      <c r="Q1513" s="36">
        <v>31</v>
      </c>
      <c r="R1513" s="36"/>
      <c r="S1513" s="36" t="s">
        <v>872</v>
      </c>
      <c r="T1513" s="36" t="s">
        <v>2078</v>
      </c>
      <c r="U1513" s="36">
        <v>791141</v>
      </c>
      <c r="V1513" s="165" t="s">
        <v>88</v>
      </c>
      <c r="W1513" s="36">
        <v>3</v>
      </c>
      <c r="X1513" s="36">
        <v>2</v>
      </c>
      <c r="Y1513" s="36">
        <v>2</v>
      </c>
      <c r="Z1513" s="36">
        <v>2</v>
      </c>
      <c r="AA1513" s="36">
        <v>2</v>
      </c>
      <c r="AB1513" s="36">
        <v>3</v>
      </c>
      <c r="AC1513" s="36">
        <v>4</v>
      </c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  <c r="AV1513" s="36"/>
      <c r="AW1513" s="36"/>
      <c r="AX1513" s="36"/>
      <c r="AY1513" s="36"/>
      <c r="AZ1513" s="36"/>
      <c r="BA1513" s="36"/>
      <c r="BB1513" s="36"/>
      <c r="BC1513" s="27"/>
      <c r="BF1513">
        <f>ROWS($U$46:U1513)</f>
        <v>1468</v>
      </c>
      <c r="BG1513" t="str">
        <f t="shared" si="228"/>
        <v/>
      </c>
    </row>
    <row r="1514" spans="15:59" x14ac:dyDescent="0.35">
      <c r="O1514" s="3">
        <v>3</v>
      </c>
      <c r="P1514" s="36">
        <v>717749</v>
      </c>
      <c r="Q1514" s="36">
        <v>9</v>
      </c>
      <c r="R1514" s="36"/>
      <c r="S1514" s="36" t="s">
        <v>872</v>
      </c>
      <c r="T1514" s="36" t="s">
        <v>2078</v>
      </c>
      <c r="U1514" s="36">
        <v>791141</v>
      </c>
      <c r="V1514" s="165" t="s">
        <v>89</v>
      </c>
      <c r="W1514" s="36">
        <v>1</v>
      </c>
      <c r="X1514" s="36">
        <v>2</v>
      </c>
      <c r="Y1514" s="36">
        <v>2</v>
      </c>
      <c r="Z1514" s="36">
        <v>2</v>
      </c>
      <c r="AA1514" s="36">
        <v>2</v>
      </c>
      <c r="AB1514" s="36">
        <v>3</v>
      </c>
      <c r="AC1514" s="36">
        <v>4</v>
      </c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  <c r="AV1514" s="36"/>
      <c r="AW1514" s="36"/>
      <c r="AX1514" s="36"/>
      <c r="AY1514" s="36"/>
      <c r="AZ1514" s="36"/>
      <c r="BA1514" s="36"/>
      <c r="BB1514" s="36"/>
      <c r="BC1514" s="27"/>
      <c r="BF1514">
        <f>ROWS($U$46:U1514)</f>
        <v>1469</v>
      </c>
      <c r="BG1514" t="str">
        <f t="shared" si="228"/>
        <v/>
      </c>
    </row>
    <row r="1515" spans="15:59" x14ac:dyDescent="0.35">
      <c r="O1515" s="3">
        <v>4</v>
      </c>
      <c r="P1515" s="36">
        <v>418525</v>
      </c>
      <c r="Q1515" s="36">
        <v>7</v>
      </c>
      <c r="R1515" s="36"/>
      <c r="S1515" s="36" t="s">
        <v>872</v>
      </c>
      <c r="T1515" s="36" t="s">
        <v>2078</v>
      </c>
      <c r="U1515" s="36">
        <v>791141</v>
      </c>
      <c r="V1515" s="165" t="s">
        <v>90</v>
      </c>
      <c r="W1515" s="36">
        <v>1</v>
      </c>
      <c r="X1515" s="36">
        <v>2</v>
      </c>
      <c r="Y1515" s="36">
        <v>2</v>
      </c>
      <c r="Z1515" s="36">
        <v>2</v>
      </c>
      <c r="AA1515" s="36">
        <v>2</v>
      </c>
      <c r="AB1515" s="36">
        <v>2</v>
      </c>
      <c r="AC1515" s="36">
        <v>3</v>
      </c>
      <c r="AD1515" s="36">
        <v>4</v>
      </c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  <c r="AV1515" s="36"/>
      <c r="AW1515" s="36"/>
      <c r="AX1515" s="36"/>
      <c r="AY1515" s="36"/>
      <c r="AZ1515" s="36"/>
      <c r="BA1515" s="36"/>
      <c r="BB1515" s="36"/>
      <c r="BC1515" s="27"/>
      <c r="BF1515">
        <f>ROWS($U$46:U1515)</f>
        <v>1470</v>
      </c>
      <c r="BG1515" t="str">
        <f t="shared" si="228"/>
        <v/>
      </c>
    </row>
    <row r="1516" spans="15:59" x14ac:dyDescent="0.35">
      <c r="O1516" s="3"/>
      <c r="P1516" s="36"/>
      <c r="Q1516" s="36"/>
      <c r="R1516" s="36"/>
      <c r="S1516" s="36" t="s">
        <v>872</v>
      </c>
      <c r="T1516" s="36" t="s">
        <v>2078</v>
      </c>
      <c r="U1516" s="36">
        <v>791141</v>
      </c>
      <c r="V1516" s="165" t="s">
        <v>91</v>
      </c>
      <c r="W1516" s="36">
        <v>1</v>
      </c>
      <c r="X1516" s="36">
        <v>2</v>
      </c>
      <c r="Y1516" s="36">
        <v>2</v>
      </c>
      <c r="Z1516" s="36">
        <v>2</v>
      </c>
      <c r="AA1516" s="36">
        <v>2</v>
      </c>
      <c r="AB1516" s="36">
        <v>3</v>
      </c>
      <c r="AC1516" s="36">
        <v>4</v>
      </c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  <c r="AV1516" s="36"/>
      <c r="AW1516" s="36"/>
      <c r="AX1516" s="36"/>
      <c r="AY1516" s="36"/>
      <c r="AZ1516" s="36"/>
      <c r="BA1516" s="36"/>
      <c r="BB1516" s="36"/>
      <c r="BC1516" s="27"/>
      <c r="BF1516">
        <f>ROWS($U$46:U1516)</f>
        <v>1471</v>
      </c>
      <c r="BG1516" t="str">
        <f t="shared" si="228"/>
        <v/>
      </c>
    </row>
    <row r="1517" spans="15:59" x14ac:dyDescent="0.35">
      <c r="O1517" s="3"/>
      <c r="P1517" s="36"/>
      <c r="Q1517" s="36"/>
      <c r="R1517" s="36"/>
      <c r="S1517" s="36" t="s">
        <v>872</v>
      </c>
      <c r="T1517" s="36" t="s">
        <v>2078</v>
      </c>
      <c r="U1517" s="36">
        <v>791141</v>
      </c>
      <c r="V1517" s="165" t="s">
        <v>92</v>
      </c>
      <c r="W1517" s="36">
        <v>2</v>
      </c>
      <c r="X1517" s="36">
        <v>2</v>
      </c>
      <c r="Y1517" s="36">
        <v>2</v>
      </c>
      <c r="Z1517" s="36">
        <v>2</v>
      </c>
      <c r="AA1517" s="36">
        <v>2</v>
      </c>
      <c r="AB1517" s="36">
        <v>3</v>
      </c>
      <c r="AC1517" s="36">
        <v>4</v>
      </c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  <c r="AV1517" s="36"/>
      <c r="AW1517" s="36"/>
      <c r="AX1517" s="36"/>
      <c r="AY1517" s="36"/>
      <c r="AZ1517" s="36"/>
      <c r="BA1517" s="36"/>
      <c r="BB1517" s="36"/>
      <c r="BC1517" s="27"/>
      <c r="BF1517">
        <f>ROWS($U$46:U1517)</f>
        <v>1472</v>
      </c>
      <c r="BG1517" t="str">
        <f t="shared" si="228"/>
        <v/>
      </c>
    </row>
    <row r="1518" spans="15:59" ht="15" thickBot="1" x14ac:dyDescent="0.4">
      <c r="O1518" s="76"/>
      <c r="P1518" s="328"/>
      <c r="Q1518" s="328"/>
      <c r="R1518" s="328"/>
      <c r="S1518" s="328" t="s">
        <v>872</v>
      </c>
      <c r="T1518" s="328" t="s">
        <v>2078</v>
      </c>
      <c r="U1518" s="328">
        <v>791141</v>
      </c>
      <c r="V1518" s="327" t="s">
        <v>111</v>
      </c>
      <c r="W1518" s="328">
        <v>2</v>
      </c>
      <c r="X1518" s="328">
        <v>2</v>
      </c>
      <c r="Y1518" s="328">
        <v>2</v>
      </c>
      <c r="Z1518" s="328">
        <v>2</v>
      </c>
      <c r="AA1518" s="328">
        <v>2</v>
      </c>
      <c r="AB1518" s="328">
        <v>3</v>
      </c>
      <c r="AC1518" s="328">
        <v>4</v>
      </c>
      <c r="AD1518" s="328"/>
      <c r="AE1518" s="328"/>
      <c r="AF1518" s="328"/>
      <c r="AG1518" s="328"/>
      <c r="AH1518" s="328"/>
      <c r="AI1518" s="328"/>
      <c r="AJ1518" s="328"/>
      <c r="AK1518" s="328"/>
      <c r="AL1518" s="328"/>
      <c r="AM1518" s="328"/>
      <c r="AN1518" s="328"/>
      <c r="AO1518" s="328"/>
      <c r="AP1518" s="328"/>
      <c r="AQ1518" s="328"/>
      <c r="AR1518" s="328"/>
      <c r="AS1518" s="328"/>
      <c r="AT1518" s="328"/>
      <c r="AU1518" s="328"/>
      <c r="AV1518" s="328"/>
      <c r="AW1518" s="328"/>
      <c r="AX1518" s="328"/>
      <c r="AY1518" s="328"/>
      <c r="AZ1518" s="328"/>
      <c r="BA1518" s="328"/>
      <c r="BB1518" s="328"/>
      <c r="BC1518" s="31"/>
      <c r="BF1518">
        <f>ROWS($U$46:U1518)</f>
        <v>1473</v>
      </c>
      <c r="BG1518" t="str">
        <f t="shared" si="228"/>
        <v/>
      </c>
    </row>
    <row r="1519" spans="15:59" x14ac:dyDescent="0.35">
      <c r="O1519" s="329">
        <v>1</v>
      </c>
      <c r="P1519" s="320">
        <v>745173</v>
      </c>
      <c r="Q1519" s="320">
        <v>24</v>
      </c>
      <c r="R1519" s="320"/>
      <c r="S1519" s="320" t="s">
        <v>872</v>
      </c>
      <c r="T1519" s="320" t="s">
        <v>1174</v>
      </c>
      <c r="U1519" s="320">
        <v>673359</v>
      </c>
      <c r="V1519" s="319" t="s">
        <v>87</v>
      </c>
      <c r="W1519" s="320">
        <v>2</v>
      </c>
      <c r="X1519" s="320">
        <v>1</v>
      </c>
      <c r="Y1519" s="320">
        <v>1</v>
      </c>
      <c r="Z1519" s="320">
        <v>1</v>
      </c>
      <c r="AA1519" s="320">
        <v>1</v>
      </c>
      <c r="AB1519" s="320">
        <v>2</v>
      </c>
      <c r="AC1519" s="320">
        <v>3</v>
      </c>
      <c r="AD1519" s="320"/>
      <c r="AE1519" s="320"/>
      <c r="AF1519" s="320"/>
      <c r="AG1519" s="320"/>
      <c r="AH1519" s="320"/>
      <c r="AI1519" s="320"/>
      <c r="AJ1519" s="320"/>
      <c r="AK1519" s="320"/>
      <c r="AL1519" s="320"/>
      <c r="AM1519" s="320"/>
      <c r="AN1519" s="320"/>
      <c r="AO1519" s="320"/>
      <c r="AP1519" s="320"/>
      <c r="AQ1519" s="320"/>
      <c r="AR1519" s="320"/>
      <c r="AS1519" s="320"/>
      <c r="AT1519" s="320"/>
      <c r="AU1519" s="320"/>
      <c r="AV1519" s="320"/>
      <c r="AW1519" s="320"/>
      <c r="AX1519" s="320"/>
      <c r="AY1519" s="320"/>
      <c r="AZ1519" s="974"/>
      <c r="BA1519" s="320"/>
      <c r="BB1519" s="320"/>
      <c r="BC1519" s="320"/>
      <c r="BD1519" s="119"/>
      <c r="BF1519">
        <f>ROWS($U$46:U1519)</f>
        <v>1474</v>
      </c>
      <c r="BG1519" t="str">
        <f t="shared" ref="BG1519:BG1582" si="230">IF(VALUE(SUBSTITUTE($B$5,"M",""))=U1519,BF1519,"")</f>
        <v/>
      </c>
    </row>
    <row r="1520" spans="15:59" x14ac:dyDescent="0.35">
      <c r="O1520" s="330">
        <v>2</v>
      </c>
      <c r="P1520" s="36">
        <v>703670</v>
      </c>
      <c r="Q1520" s="36">
        <v>9</v>
      </c>
      <c r="R1520" s="36"/>
      <c r="S1520" s="36" t="s">
        <v>872</v>
      </c>
      <c r="T1520" s="36" t="s">
        <v>1174</v>
      </c>
      <c r="U1520" s="36">
        <v>673359</v>
      </c>
      <c r="V1520" s="165" t="s">
        <v>88</v>
      </c>
      <c r="W1520" s="36">
        <v>1</v>
      </c>
      <c r="X1520" s="36">
        <v>1</v>
      </c>
      <c r="Y1520" s="36">
        <v>1</v>
      </c>
      <c r="Z1520" s="36">
        <v>1</v>
      </c>
      <c r="AA1520" s="36">
        <v>2</v>
      </c>
      <c r="AB1520" s="36">
        <v>3</v>
      </c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  <c r="AV1520" s="36"/>
      <c r="AW1520" s="36"/>
      <c r="AX1520" s="36"/>
      <c r="AY1520" s="36"/>
      <c r="AZ1520" s="961"/>
      <c r="BA1520" s="36"/>
      <c r="BB1520" s="36"/>
      <c r="BC1520" s="36"/>
      <c r="BD1520" s="27"/>
      <c r="BF1520">
        <f>ROWS($U$46:U1520)</f>
        <v>1475</v>
      </c>
      <c r="BG1520" t="str">
        <f t="shared" si="230"/>
        <v/>
      </c>
    </row>
    <row r="1521" spans="15:59" x14ac:dyDescent="0.35">
      <c r="O1521" s="330">
        <v>3</v>
      </c>
      <c r="P1521" s="36">
        <v>418525</v>
      </c>
      <c r="Q1521" s="36">
        <v>6</v>
      </c>
      <c r="R1521" s="36"/>
      <c r="S1521" s="36" t="s">
        <v>872</v>
      </c>
      <c r="T1521" s="36" t="s">
        <v>1174</v>
      </c>
      <c r="U1521" s="36">
        <v>673359</v>
      </c>
      <c r="V1521" s="165" t="s">
        <v>89</v>
      </c>
      <c r="W1521" s="36">
        <v>2</v>
      </c>
      <c r="X1521" s="36">
        <v>1</v>
      </c>
      <c r="Y1521" s="36">
        <v>1</v>
      </c>
      <c r="Z1521" s="36">
        <v>1</v>
      </c>
      <c r="AA1521" s="36">
        <v>1</v>
      </c>
      <c r="AB1521" s="36">
        <v>2</v>
      </c>
      <c r="AC1521" s="36">
        <v>3</v>
      </c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  <c r="AV1521" s="36"/>
      <c r="AW1521" s="36"/>
      <c r="AX1521" s="36"/>
      <c r="AY1521" s="36"/>
      <c r="AZ1521" s="961"/>
      <c r="BA1521" s="36"/>
      <c r="BB1521" s="36"/>
      <c r="BC1521" s="36"/>
      <c r="BD1521" s="27"/>
      <c r="BF1521">
        <f>ROWS($U$46:U1521)</f>
        <v>1476</v>
      </c>
      <c r="BG1521" t="str">
        <f t="shared" si="230"/>
        <v/>
      </c>
    </row>
    <row r="1522" spans="15:59" x14ac:dyDescent="0.35">
      <c r="O1522" s="330"/>
      <c r="P1522" s="36"/>
      <c r="Q1522" s="36"/>
      <c r="R1522" s="36"/>
      <c r="S1522" s="36" t="s">
        <v>872</v>
      </c>
      <c r="T1522" s="36" t="s">
        <v>1174</v>
      </c>
      <c r="U1522" s="36">
        <v>673359</v>
      </c>
      <c r="V1522" s="165" t="s">
        <v>90</v>
      </c>
      <c r="W1522" s="36">
        <v>1</v>
      </c>
      <c r="X1522" s="36">
        <v>1</v>
      </c>
      <c r="Y1522" s="36">
        <v>1</v>
      </c>
      <c r="Z1522" s="36">
        <v>1</v>
      </c>
      <c r="AA1522" s="36">
        <v>2</v>
      </c>
      <c r="AB1522" s="36">
        <v>3</v>
      </c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  <c r="AV1522" s="36"/>
      <c r="AW1522" s="36"/>
      <c r="AX1522" s="36"/>
      <c r="AY1522" s="36"/>
      <c r="AZ1522" s="961"/>
      <c r="BA1522" s="36"/>
      <c r="BB1522" s="36"/>
      <c r="BC1522" s="36"/>
      <c r="BD1522" s="27"/>
      <c r="BF1522">
        <f>ROWS($U$46:U1522)</f>
        <v>1477</v>
      </c>
      <c r="BG1522" t="str">
        <f t="shared" si="230"/>
        <v/>
      </c>
    </row>
    <row r="1523" spans="15:59" x14ac:dyDescent="0.35">
      <c r="O1523" s="330"/>
      <c r="P1523" s="36"/>
      <c r="Q1523" s="36"/>
      <c r="R1523" s="36"/>
      <c r="S1523" s="36" t="s">
        <v>872</v>
      </c>
      <c r="T1523" s="36" t="s">
        <v>1174</v>
      </c>
      <c r="U1523" s="36">
        <v>673359</v>
      </c>
      <c r="V1523" s="165" t="s">
        <v>91</v>
      </c>
      <c r="W1523" s="36">
        <v>2</v>
      </c>
      <c r="X1523" s="36">
        <v>1</v>
      </c>
      <c r="Y1523" s="36">
        <v>1</v>
      </c>
      <c r="Z1523" s="36">
        <v>1</v>
      </c>
      <c r="AA1523" s="36">
        <v>1</v>
      </c>
      <c r="AB1523" s="36">
        <v>2</v>
      </c>
      <c r="AC1523" s="36">
        <v>3</v>
      </c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  <c r="AV1523" s="36"/>
      <c r="AW1523" s="36"/>
      <c r="AX1523" s="36"/>
      <c r="AY1523" s="36"/>
      <c r="AZ1523" s="961"/>
      <c r="BA1523" s="36"/>
      <c r="BB1523" s="36"/>
      <c r="BC1523" s="36"/>
      <c r="BD1523" s="27"/>
      <c r="BF1523">
        <f>ROWS($U$46:U1523)</f>
        <v>1478</v>
      </c>
      <c r="BG1523" t="str">
        <f t="shared" si="230"/>
        <v/>
      </c>
    </row>
    <row r="1524" spans="15:59" ht="15" thickBot="1" x14ac:dyDescent="0.4">
      <c r="O1524" s="331"/>
      <c r="P1524" s="328"/>
      <c r="Q1524" s="328"/>
      <c r="R1524" s="328"/>
      <c r="S1524" s="328" t="s">
        <v>872</v>
      </c>
      <c r="T1524" s="328" t="s">
        <v>1174</v>
      </c>
      <c r="U1524" s="328">
        <v>673359</v>
      </c>
      <c r="V1524" s="327" t="s">
        <v>92</v>
      </c>
      <c r="W1524" s="328">
        <v>1</v>
      </c>
      <c r="X1524" s="328">
        <v>1</v>
      </c>
      <c r="Y1524" s="328">
        <v>1</v>
      </c>
      <c r="Z1524" s="328">
        <v>1</v>
      </c>
      <c r="AA1524" s="328">
        <v>2</v>
      </c>
      <c r="AB1524" s="328">
        <v>3</v>
      </c>
      <c r="AC1524" s="328"/>
      <c r="AD1524" s="328"/>
      <c r="AE1524" s="328"/>
      <c r="AF1524" s="328"/>
      <c r="AG1524" s="328"/>
      <c r="AH1524" s="328"/>
      <c r="AI1524" s="328"/>
      <c r="AJ1524" s="328"/>
      <c r="AK1524" s="328"/>
      <c r="AL1524" s="328"/>
      <c r="AM1524" s="328"/>
      <c r="AN1524" s="328"/>
      <c r="AO1524" s="328"/>
      <c r="AP1524" s="328"/>
      <c r="AQ1524" s="328"/>
      <c r="AR1524" s="328"/>
      <c r="AS1524" s="328"/>
      <c r="AT1524" s="328"/>
      <c r="AU1524" s="328"/>
      <c r="AV1524" s="328"/>
      <c r="AW1524" s="328"/>
      <c r="AX1524" s="328"/>
      <c r="AY1524" s="328"/>
      <c r="AZ1524" s="962"/>
      <c r="BA1524" s="328"/>
      <c r="BB1524" s="328"/>
      <c r="BC1524" s="328"/>
      <c r="BD1524" s="31"/>
      <c r="BF1524">
        <f>ROWS($U$46:U1524)</f>
        <v>1479</v>
      </c>
      <c r="BG1524" t="str">
        <f t="shared" si="230"/>
        <v/>
      </c>
    </row>
    <row r="1525" spans="15:59" x14ac:dyDescent="0.35">
      <c r="O1525" s="329">
        <v>1</v>
      </c>
      <c r="P1525" s="320">
        <v>177778</v>
      </c>
      <c r="Q1525" s="320">
        <v>6</v>
      </c>
      <c r="R1525" s="320"/>
      <c r="S1525" s="320" t="s">
        <v>1390</v>
      </c>
      <c r="T1525" s="320" t="s">
        <v>2083</v>
      </c>
      <c r="U1525" s="320">
        <v>508149</v>
      </c>
      <c r="V1525" s="319" t="s">
        <v>87</v>
      </c>
      <c r="W1525" s="320">
        <v>1</v>
      </c>
      <c r="X1525" s="320">
        <v>3</v>
      </c>
      <c r="Y1525" s="320">
        <v>3</v>
      </c>
      <c r="Z1525" s="320">
        <v>4</v>
      </c>
      <c r="AA1525" s="320"/>
      <c r="AB1525" s="320"/>
      <c r="AC1525" s="320"/>
      <c r="AD1525" s="320"/>
      <c r="AE1525" s="320"/>
      <c r="AF1525" s="320"/>
      <c r="AG1525" s="320"/>
      <c r="AH1525" s="320"/>
      <c r="AI1525" s="320"/>
      <c r="AJ1525" s="320"/>
      <c r="AK1525" s="320"/>
      <c r="AL1525" s="320"/>
      <c r="AM1525" s="320"/>
      <c r="AN1525" s="320"/>
      <c r="AO1525" s="320"/>
      <c r="AP1525" s="320"/>
      <c r="AQ1525" s="320"/>
      <c r="AR1525" s="320"/>
      <c r="AS1525" s="320"/>
      <c r="AT1525" s="320"/>
      <c r="AU1525" s="320"/>
      <c r="AV1525" s="320"/>
      <c r="AW1525" s="320"/>
      <c r="AX1525" s="320"/>
      <c r="AY1525" s="320"/>
      <c r="AZ1525" s="974"/>
      <c r="BA1525" s="320"/>
      <c r="BB1525" s="320"/>
      <c r="BC1525" s="320"/>
      <c r="BD1525" s="119"/>
      <c r="BF1525">
        <f>ROWS($U$46:U1525)</f>
        <v>1480</v>
      </c>
      <c r="BG1525" t="str">
        <f t="shared" si="230"/>
        <v/>
      </c>
    </row>
    <row r="1526" spans="15:59" x14ac:dyDescent="0.35">
      <c r="O1526" s="330">
        <v>2</v>
      </c>
      <c r="P1526" s="36">
        <v>395697</v>
      </c>
      <c r="Q1526" s="36">
        <v>9</v>
      </c>
      <c r="R1526" s="36"/>
      <c r="S1526" s="36" t="s">
        <v>1390</v>
      </c>
      <c r="T1526" s="36" t="s">
        <v>2083</v>
      </c>
      <c r="U1526" s="36">
        <v>508149</v>
      </c>
      <c r="V1526" s="165" t="s">
        <v>88</v>
      </c>
      <c r="W1526" s="36">
        <v>2</v>
      </c>
      <c r="X1526" s="36">
        <v>2</v>
      </c>
      <c r="Y1526" s="36">
        <v>2</v>
      </c>
      <c r="Z1526" s="36">
        <v>1</v>
      </c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  <c r="AV1526" s="36"/>
      <c r="AW1526" s="36"/>
      <c r="AX1526" s="36"/>
      <c r="AY1526" s="36"/>
      <c r="AZ1526" s="961"/>
      <c r="BA1526" s="36"/>
      <c r="BB1526" s="36"/>
      <c r="BC1526" s="36"/>
      <c r="BD1526" s="27"/>
      <c r="BF1526">
        <f>ROWS($U$46:U1526)</f>
        <v>1481</v>
      </c>
      <c r="BG1526" t="str">
        <f t="shared" si="230"/>
        <v/>
      </c>
    </row>
    <row r="1527" spans="15:59" x14ac:dyDescent="0.35">
      <c r="O1527" s="330">
        <v>3</v>
      </c>
      <c r="P1527" s="36">
        <v>179702</v>
      </c>
      <c r="Q1527" s="36">
        <v>6</v>
      </c>
      <c r="R1527" s="36"/>
      <c r="S1527" s="36" t="s">
        <v>1390</v>
      </c>
      <c r="T1527" s="36" t="s">
        <v>2083</v>
      </c>
      <c r="U1527" s="36">
        <v>508149</v>
      </c>
      <c r="V1527" s="165" t="s">
        <v>89</v>
      </c>
      <c r="W1527" s="36">
        <v>1</v>
      </c>
      <c r="X1527" s="36">
        <v>3</v>
      </c>
      <c r="Y1527" s="36">
        <v>3</v>
      </c>
      <c r="Z1527" s="36">
        <v>4</v>
      </c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  <c r="AV1527" s="36"/>
      <c r="AW1527" s="36"/>
      <c r="AX1527" s="36"/>
      <c r="AY1527" s="36"/>
      <c r="AZ1527" s="961"/>
      <c r="BA1527" s="36"/>
      <c r="BB1527" s="36"/>
      <c r="BC1527" s="36"/>
      <c r="BD1527" s="27"/>
      <c r="BF1527">
        <f>ROWS($U$46:U1527)</f>
        <v>1482</v>
      </c>
      <c r="BG1527" t="str">
        <f t="shared" si="230"/>
        <v/>
      </c>
    </row>
    <row r="1528" spans="15:59" x14ac:dyDescent="0.35">
      <c r="O1528" s="330">
        <v>4</v>
      </c>
      <c r="P1528" s="36">
        <v>179773</v>
      </c>
      <c r="Q1528" s="36">
        <v>3</v>
      </c>
      <c r="R1528" s="36"/>
      <c r="S1528" s="36" t="s">
        <v>1390</v>
      </c>
      <c r="T1528" s="36" t="s">
        <v>2083</v>
      </c>
      <c r="U1528" s="36">
        <v>508149</v>
      </c>
      <c r="V1528" s="165" t="s">
        <v>90</v>
      </c>
      <c r="W1528" s="36">
        <v>2</v>
      </c>
      <c r="X1528" s="36">
        <v>2</v>
      </c>
      <c r="Y1528" s="36">
        <v>2</v>
      </c>
      <c r="Z1528" s="36">
        <v>1</v>
      </c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  <c r="AV1528" s="36"/>
      <c r="AW1528" s="36"/>
      <c r="AX1528" s="36"/>
      <c r="AY1528" s="36"/>
      <c r="AZ1528" s="961"/>
      <c r="BA1528" s="36"/>
      <c r="BB1528" s="36"/>
      <c r="BC1528" s="36"/>
      <c r="BD1528" s="27"/>
      <c r="BF1528">
        <f>ROWS($U$46:U1528)</f>
        <v>1483</v>
      </c>
      <c r="BG1528" t="str">
        <f t="shared" si="230"/>
        <v/>
      </c>
    </row>
    <row r="1529" spans="15:59" x14ac:dyDescent="0.35">
      <c r="O1529" s="330"/>
      <c r="P1529" s="36"/>
      <c r="Q1529" s="36"/>
      <c r="R1529" s="36"/>
      <c r="S1529" s="36" t="s">
        <v>1390</v>
      </c>
      <c r="T1529" s="36" t="s">
        <v>2083</v>
      </c>
      <c r="U1529" s="36">
        <v>508149</v>
      </c>
      <c r="V1529" s="165" t="s">
        <v>91</v>
      </c>
      <c r="W1529" s="36">
        <v>1</v>
      </c>
      <c r="X1529" s="36">
        <v>3</v>
      </c>
      <c r="Y1529" s="36">
        <v>3</v>
      </c>
      <c r="Z1529" s="36">
        <v>4</v>
      </c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  <c r="AV1529" s="36"/>
      <c r="AW1529" s="36"/>
      <c r="AX1529" s="36"/>
      <c r="AY1529" s="36"/>
      <c r="AZ1529" s="961"/>
      <c r="BA1529" s="36"/>
      <c r="BB1529" s="36"/>
      <c r="BC1529" s="36"/>
      <c r="BD1529" s="27"/>
      <c r="BF1529">
        <f>ROWS($U$46:U1529)</f>
        <v>1484</v>
      </c>
      <c r="BG1529" t="str">
        <f t="shared" si="230"/>
        <v/>
      </c>
    </row>
    <row r="1530" spans="15:59" ht="15" thickBot="1" x14ac:dyDescent="0.4">
      <c r="O1530" s="331"/>
      <c r="P1530" s="328"/>
      <c r="Q1530" s="328"/>
      <c r="R1530" s="328"/>
      <c r="S1530" s="328" t="s">
        <v>1390</v>
      </c>
      <c r="T1530" s="328" t="s">
        <v>2083</v>
      </c>
      <c r="U1530" s="328">
        <v>508149</v>
      </c>
      <c r="V1530" s="327" t="s">
        <v>92</v>
      </c>
      <c r="W1530" s="328">
        <v>2</v>
      </c>
      <c r="X1530" s="328">
        <v>2</v>
      </c>
      <c r="Y1530" s="328">
        <v>2</v>
      </c>
      <c r="Z1530" s="328">
        <v>1</v>
      </c>
      <c r="AA1530" s="328"/>
      <c r="AB1530" s="328"/>
      <c r="AC1530" s="328"/>
      <c r="AD1530" s="328"/>
      <c r="AE1530" s="328"/>
      <c r="AF1530" s="328"/>
      <c r="AG1530" s="328"/>
      <c r="AH1530" s="328"/>
      <c r="AI1530" s="328"/>
      <c r="AJ1530" s="328"/>
      <c r="AK1530" s="328"/>
      <c r="AL1530" s="328"/>
      <c r="AM1530" s="328"/>
      <c r="AN1530" s="328"/>
      <c r="AO1530" s="328"/>
      <c r="AP1530" s="328"/>
      <c r="AQ1530" s="328"/>
      <c r="AR1530" s="328"/>
      <c r="AS1530" s="328"/>
      <c r="AT1530" s="328"/>
      <c r="AU1530" s="328"/>
      <c r="AV1530" s="328"/>
      <c r="AW1530" s="328"/>
      <c r="AX1530" s="328"/>
      <c r="AY1530" s="328"/>
      <c r="AZ1530" s="962"/>
      <c r="BA1530" s="328"/>
      <c r="BB1530" s="328"/>
      <c r="BC1530" s="328"/>
      <c r="BD1530" s="31"/>
      <c r="BF1530">
        <f>ROWS($U$46:U1530)</f>
        <v>1485</v>
      </c>
      <c r="BG1530" t="str">
        <f t="shared" si="230"/>
        <v/>
      </c>
    </row>
    <row r="1531" spans="15:59" x14ac:dyDescent="0.35">
      <c r="O1531" s="329">
        <v>1</v>
      </c>
      <c r="P1531" s="320">
        <v>729434</v>
      </c>
      <c r="Q1531" s="320">
        <v>21</v>
      </c>
      <c r="R1531" s="320"/>
      <c r="S1531" s="320" t="s">
        <v>1399</v>
      </c>
      <c r="T1531" s="320" t="s">
        <v>753</v>
      </c>
      <c r="U1531" s="320">
        <v>648918</v>
      </c>
      <c r="V1531" s="319" t="s">
        <v>87</v>
      </c>
      <c r="W1531" s="320">
        <v>2</v>
      </c>
      <c r="X1531" s="320">
        <v>1</v>
      </c>
      <c r="Y1531" s="320">
        <v>1</v>
      </c>
      <c r="Z1531" s="320">
        <v>1</v>
      </c>
      <c r="AA1531" s="320">
        <v>2</v>
      </c>
      <c r="AB1531" s="320"/>
      <c r="AC1531" s="320"/>
      <c r="AD1531" s="320">
        <v>4</v>
      </c>
      <c r="AE1531" s="320"/>
      <c r="AF1531" s="320"/>
      <c r="AG1531" s="320"/>
      <c r="AH1531" s="320"/>
      <c r="AI1531" s="320"/>
      <c r="AJ1531" s="320"/>
      <c r="AK1531" s="320"/>
      <c r="AL1531" s="320"/>
      <c r="AM1531" s="320"/>
      <c r="AN1531" s="320"/>
      <c r="AO1531" s="320"/>
      <c r="AP1531" s="320"/>
      <c r="AQ1531" s="320"/>
      <c r="AR1531" s="320"/>
      <c r="AS1531" s="320"/>
      <c r="AT1531" s="320"/>
      <c r="AU1531" s="320"/>
      <c r="AV1531" s="320"/>
      <c r="AW1531" s="320"/>
      <c r="AX1531" s="320"/>
      <c r="AY1531" s="320"/>
      <c r="AZ1531" s="320"/>
      <c r="BA1531" s="320"/>
      <c r="BB1531" s="320"/>
      <c r="BC1531" s="119"/>
      <c r="BF1531">
        <f>ROWS($U$46:U1531)</f>
        <v>1486</v>
      </c>
      <c r="BG1531" t="str">
        <f t="shared" si="230"/>
        <v/>
      </c>
    </row>
    <row r="1532" spans="15:59" x14ac:dyDescent="0.35">
      <c r="O1532" s="330">
        <v>2</v>
      </c>
      <c r="P1532" s="36">
        <v>717749</v>
      </c>
      <c r="Q1532" s="36">
        <v>15</v>
      </c>
      <c r="R1532" s="36"/>
      <c r="S1532" s="36" t="s">
        <v>1399</v>
      </c>
      <c r="T1532" s="36" t="s">
        <v>753</v>
      </c>
      <c r="U1532" s="36">
        <v>648918</v>
      </c>
      <c r="V1532" s="165" t="s">
        <v>88</v>
      </c>
      <c r="W1532" s="36">
        <v>2</v>
      </c>
      <c r="X1532" s="36">
        <v>1</v>
      </c>
      <c r="Y1532" s="36">
        <v>1</v>
      </c>
      <c r="Z1532" s="36">
        <v>1</v>
      </c>
      <c r="AA1532" s="36">
        <v>2</v>
      </c>
      <c r="AB1532" s="36"/>
      <c r="AC1532" s="36"/>
      <c r="AD1532" s="36">
        <v>4</v>
      </c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  <c r="AV1532" s="36"/>
      <c r="AW1532" s="36"/>
      <c r="AX1532" s="36"/>
      <c r="AY1532" s="36"/>
      <c r="AZ1532" s="36"/>
      <c r="BA1532" s="36"/>
      <c r="BB1532" s="36"/>
      <c r="BC1532" s="27"/>
      <c r="BF1532">
        <f>ROWS($U$46:U1532)</f>
        <v>1487</v>
      </c>
      <c r="BG1532" t="str">
        <f t="shared" si="230"/>
        <v/>
      </c>
    </row>
    <row r="1533" spans="15:59" x14ac:dyDescent="0.35">
      <c r="O1533" s="3">
        <v>3</v>
      </c>
      <c r="P1533" s="36">
        <v>177778</v>
      </c>
      <c r="Q1533" s="36">
        <v>2</v>
      </c>
      <c r="R1533" s="36"/>
      <c r="S1533" s="36" t="s">
        <v>1399</v>
      </c>
      <c r="T1533" s="36" t="s">
        <v>753</v>
      </c>
      <c r="U1533" s="36">
        <v>648918</v>
      </c>
      <c r="V1533" s="165" t="s">
        <v>89</v>
      </c>
      <c r="W1533" s="36">
        <v>2</v>
      </c>
      <c r="X1533" s="36">
        <v>1</v>
      </c>
      <c r="Y1533" s="36">
        <v>1</v>
      </c>
      <c r="Z1533" s="36">
        <v>1</v>
      </c>
      <c r="AA1533" s="36">
        <v>2</v>
      </c>
      <c r="AB1533" s="36">
        <v>2</v>
      </c>
      <c r="AC1533" s="36"/>
      <c r="AD1533" s="36">
        <v>4</v>
      </c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  <c r="AV1533" s="36"/>
      <c r="AW1533" s="36"/>
      <c r="AX1533" s="36"/>
      <c r="AY1533" s="36"/>
      <c r="AZ1533" s="36"/>
      <c r="BA1533" s="36"/>
      <c r="BB1533" s="36"/>
      <c r="BC1533" s="27"/>
      <c r="BF1533">
        <f>ROWS($U$46:U1533)</f>
        <v>1488</v>
      </c>
      <c r="BG1533" t="str">
        <f t="shared" si="230"/>
        <v/>
      </c>
    </row>
    <row r="1534" spans="15:59" x14ac:dyDescent="0.35">
      <c r="O1534" s="3">
        <v>4</v>
      </c>
      <c r="P1534" s="36">
        <v>176086</v>
      </c>
      <c r="Q1534" s="36">
        <v>7</v>
      </c>
      <c r="R1534" s="36"/>
      <c r="S1534" s="36" t="s">
        <v>1399</v>
      </c>
      <c r="T1534" s="36" t="s">
        <v>753</v>
      </c>
      <c r="U1534" s="36">
        <v>648918</v>
      </c>
      <c r="V1534" s="165" t="s">
        <v>90</v>
      </c>
      <c r="W1534" s="36">
        <v>3</v>
      </c>
      <c r="X1534" s="36">
        <v>1</v>
      </c>
      <c r="Y1534" s="36">
        <v>1</v>
      </c>
      <c r="Z1534" s="36">
        <v>1</v>
      </c>
      <c r="AA1534" s="36">
        <v>2</v>
      </c>
      <c r="AB1534" s="36">
        <v>2</v>
      </c>
      <c r="AC1534" s="36"/>
      <c r="AD1534" s="36">
        <v>4</v>
      </c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  <c r="AV1534" s="36"/>
      <c r="AW1534" s="36"/>
      <c r="AX1534" s="36"/>
      <c r="AY1534" s="36"/>
      <c r="AZ1534" s="36"/>
      <c r="BA1534" s="36"/>
      <c r="BB1534" s="36"/>
      <c r="BC1534" s="27"/>
      <c r="BF1534">
        <f>ROWS($U$46:U1534)</f>
        <v>1489</v>
      </c>
      <c r="BG1534" t="str">
        <f t="shared" si="230"/>
        <v/>
      </c>
    </row>
    <row r="1535" spans="15:59" x14ac:dyDescent="0.35">
      <c r="O1535" s="3"/>
      <c r="P1535" s="36"/>
      <c r="Q1535" s="36"/>
      <c r="R1535" s="36"/>
      <c r="S1535" s="36" t="s">
        <v>1399</v>
      </c>
      <c r="T1535" s="36" t="s">
        <v>753</v>
      </c>
      <c r="U1535" s="36">
        <v>648918</v>
      </c>
      <c r="V1535" s="165" t="s">
        <v>91</v>
      </c>
      <c r="W1535" s="36">
        <v>3</v>
      </c>
      <c r="X1535" s="36">
        <v>1</v>
      </c>
      <c r="Y1535" s="36">
        <v>1</v>
      </c>
      <c r="Z1535" s="36">
        <v>1</v>
      </c>
      <c r="AA1535" s="36">
        <v>2</v>
      </c>
      <c r="AB1535" s="36">
        <v>2</v>
      </c>
      <c r="AC1535" s="36"/>
      <c r="AD1535" s="36">
        <v>4</v>
      </c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  <c r="AV1535" s="36"/>
      <c r="AW1535" s="36"/>
      <c r="AX1535" s="36"/>
      <c r="AY1535" s="36"/>
      <c r="AZ1535" s="36"/>
      <c r="BA1535" s="36"/>
      <c r="BB1535" s="36"/>
      <c r="BC1535" s="27"/>
      <c r="BF1535">
        <f>ROWS($U$46:U1535)</f>
        <v>1490</v>
      </c>
      <c r="BG1535" t="str">
        <f t="shared" si="230"/>
        <v/>
      </c>
    </row>
    <row r="1536" spans="15:59" x14ac:dyDescent="0.35">
      <c r="O1536" s="3"/>
      <c r="P1536" s="36"/>
      <c r="Q1536" s="36"/>
      <c r="R1536" s="36"/>
      <c r="S1536" s="36" t="s">
        <v>1399</v>
      </c>
      <c r="T1536" s="36" t="s">
        <v>753</v>
      </c>
      <c r="U1536" s="36">
        <v>648918</v>
      </c>
      <c r="V1536" s="165" t="s">
        <v>92</v>
      </c>
      <c r="W1536" s="36">
        <v>1</v>
      </c>
      <c r="X1536" s="36">
        <v>1</v>
      </c>
      <c r="Y1536" s="36">
        <v>1</v>
      </c>
      <c r="Z1536" s="36">
        <v>2</v>
      </c>
      <c r="AA1536" s="36">
        <v>2</v>
      </c>
      <c r="AB1536" s="36"/>
      <c r="AC1536" s="36"/>
      <c r="AD1536" s="36">
        <v>4</v>
      </c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  <c r="AV1536" s="36"/>
      <c r="AW1536" s="36"/>
      <c r="AX1536" s="36"/>
      <c r="AY1536" s="36"/>
      <c r="AZ1536" s="36"/>
      <c r="BA1536" s="36"/>
      <c r="BB1536" s="36"/>
      <c r="BC1536" s="27"/>
      <c r="BF1536">
        <f>ROWS($U$46:U1536)</f>
        <v>1491</v>
      </c>
      <c r="BG1536" t="str">
        <f t="shared" si="230"/>
        <v/>
      </c>
    </row>
    <row r="1537" spans="15:59" ht="15" thickBot="1" x14ac:dyDescent="0.4">
      <c r="O1537" s="76"/>
      <c r="P1537" s="328"/>
      <c r="Q1537" s="328"/>
      <c r="R1537" s="328"/>
      <c r="S1537" s="328" t="s">
        <v>1399</v>
      </c>
      <c r="T1537" s="328" t="s">
        <v>753</v>
      </c>
      <c r="U1537" s="328">
        <v>648918</v>
      </c>
      <c r="V1537" s="327" t="s">
        <v>111</v>
      </c>
      <c r="W1537" s="328">
        <v>1</v>
      </c>
      <c r="X1537" s="328">
        <v>1</v>
      </c>
      <c r="Y1537" s="328">
        <v>1</v>
      </c>
      <c r="Z1537" s="328">
        <v>2</v>
      </c>
      <c r="AA1537" s="328">
        <v>2</v>
      </c>
      <c r="AB1537" s="328"/>
      <c r="AC1537" s="328"/>
      <c r="AD1537" s="328">
        <v>4</v>
      </c>
      <c r="AE1537" s="328"/>
      <c r="AF1537" s="328"/>
      <c r="AG1537" s="328"/>
      <c r="AH1537" s="328"/>
      <c r="AI1537" s="328"/>
      <c r="AJ1537" s="328"/>
      <c r="AK1537" s="328"/>
      <c r="AL1537" s="328"/>
      <c r="AM1537" s="328"/>
      <c r="AN1537" s="328"/>
      <c r="AO1537" s="328"/>
      <c r="AP1537" s="328"/>
      <c r="AQ1537" s="328"/>
      <c r="AR1537" s="328"/>
      <c r="AS1537" s="328"/>
      <c r="AT1537" s="328"/>
      <c r="AU1537" s="328"/>
      <c r="AV1537" s="328"/>
      <c r="AW1537" s="328"/>
      <c r="AX1537" s="328"/>
      <c r="AY1537" s="328"/>
      <c r="AZ1537" s="328"/>
      <c r="BA1537" s="328"/>
      <c r="BB1537" s="328"/>
      <c r="BC1537" s="31"/>
      <c r="BF1537">
        <f>ROWS($U$46:U1537)</f>
        <v>1492</v>
      </c>
      <c r="BG1537" t="str">
        <f t="shared" si="230"/>
        <v/>
      </c>
    </row>
    <row r="1538" spans="15:59" x14ac:dyDescent="0.35">
      <c r="O1538" s="329">
        <v>1</v>
      </c>
      <c r="P1538" s="320">
        <v>1145493</v>
      </c>
      <c r="Q1538" s="320">
        <v>16</v>
      </c>
      <c r="R1538" s="320"/>
      <c r="S1538" s="320" t="s">
        <v>1319</v>
      </c>
      <c r="T1538" s="320" t="s">
        <v>2092</v>
      </c>
      <c r="U1538" s="320">
        <v>1233276</v>
      </c>
      <c r="V1538" s="319" t="s">
        <v>87</v>
      </c>
      <c r="W1538" s="320">
        <v>1</v>
      </c>
      <c r="X1538" s="320">
        <v>1</v>
      </c>
      <c r="Y1538" s="320">
        <v>1</v>
      </c>
      <c r="Z1538" s="320">
        <v>3</v>
      </c>
      <c r="AA1538" s="320">
        <v>3</v>
      </c>
      <c r="AB1538" s="320">
        <v>1</v>
      </c>
      <c r="AC1538" s="320">
        <v>2</v>
      </c>
      <c r="AD1538" s="320">
        <v>2</v>
      </c>
      <c r="AE1538" s="320"/>
      <c r="AF1538" s="320"/>
      <c r="AG1538" s="320"/>
      <c r="AH1538" s="320"/>
      <c r="AI1538" s="320"/>
      <c r="AJ1538" s="320"/>
      <c r="AK1538" s="320"/>
      <c r="AL1538" s="320"/>
      <c r="AM1538" s="320"/>
      <c r="AN1538" s="320"/>
      <c r="AO1538" s="320"/>
      <c r="AP1538" s="320"/>
      <c r="AQ1538" s="320"/>
      <c r="AR1538" s="320"/>
      <c r="AS1538" s="320"/>
      <c r="AT1538" s="320"/>
      <c r="AU1538" s="320"/>
      <c r="AV1538" s="320"/>
      <c r="AW1538" s="320"/>
      <c r="AX1538" s="320"/>
      <c r="AY1538" s="320"/>
      <c r="AZ1538" s="320"/>
      <c r="BA1538" s="320"/>
      <c r="BB1538" s="320"/>
      <c r="BC1538" s="119"/>
      <c r="BF1538">
        <f>ROWS($U$46:U1538)</f>
        <v>1493</v>
      </c>
      <c r="BG1538" t="str">
        <f t="shared" si="230"/>
        <v/>
      </c>
    </row>
    <row r="1539" spans="15:59" x14ac:dyDescent="0.35">
      <c r="O1539" s="330">
        <v>2</v>
      </c>
      <c r="P1539" s="36">
        <v>418525</v>
      </c>
      <c r="Q1539" s="36">
        <v>10</v>
      </c>
      <c r="R1539" s="36"/>
      <c r="S1539" s="36" t="s">
        <v>1319</v>
      </c>
      <c r="T1539" s="36" t="s">
        <v>2092</v>
      </c>
      <c r="U1539" s="36">
        <v>1233276</v>
      </c>
      <c r="V1539" s="165" t="s">
        <v>88</v>
      </c>
      <c r="W1539" s="36">
        <v>1</v>
      </c>
      <c r="X1539" s="36">
        <v>3</v>
      </c>
      <c r="Y1539" s="36">
        <v>1</v>
      </c>
      <c r="Z1539" s="36">
        <v>2</v>
      </c>
      <c r="AA1539" s="36">
        <v>2</v>
      </c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  <c r="AV1539" s="36"/>
      <c r="AW1539" s="36"/>
      <c r="AX1539" s="36"/>
      <c r="AY1539" s="36"/>
      <c r="AZ1539" s="36"/>
      <c r="BA1539" s="36"/>
      <c r="BB1539" s="36"/>
      <c r="BC1539" s="27"/>
      <c r="BF1539">
        <f>ROWS($U$46:U1539)</f>
        <v>1494</v>
      </c>
      <c r="BG1539" t="str">
        <f t="shared" si="230"/>
        <v/>
      </c>
    </row>
    <row r="1540" spans="15:59" x14ac:dyDescent="0.35">
      <c r="O1540" s="3">
        <v>3</v>
      </c>
      <c r="P1540" s="36">
        <v>1209332</v>
      </c>
      <c r="Q1540" s="36">
        <v>7</v>
      </c>
      <c r="R1540" s="36"/>
      <c r="S1540" s="36" t="s">
        <v>1319</v>
      </c>
      <c r="T1540" s="36" t="s">
        <v>2092</v>
      </c>
      <c r="U1540" s="36">
        <v>1233276</v>
      </c>
      <c r="V1540" s="165" t="s">
        <v>89</v>
      </c>
      <c r="W1540" s="36">
        <v>1</v>
      </c>
      <c r="X1540" s="36">
        <v>1</v>
      </c>
      <c r="Y1540" s="36">
        <v>1</v>
      </c>
      <c r="Z1540" s="36">
        <v>3</v>
      </c>
      <c r="AA1540" s="36">
        <v>1</v>
      </c>
      <c r="AB1540" s="36">
        <v>2</v>
      </c>
      <c r="AC1540" s="36">
        <v>2</v>
      </c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  <c r="AV1540" s="36"/>
      <c r="AW1540" s="36"/>
      <c r="AX1540" s="36"/>
      <c r="AY1540" s="36"/>
      <c r="AZ1540" s="36"/>
      <c r="BA1540" s="36"/>
      <c r="BB1540" s="36"/>
      <c r="BC1540" s="27"/>
      <c r="BF1540">
        <f>ROWS($U$46:U1540)</f>
        <v>1495</v>
      </c>
      <c r="BG1540" t="str">
        <f t="shared" si="230"/>
        <v/>
      </c>
    </row>
    <row r="1541" spans="15:59" x14ac:dyDescent="0.35">
      <c r="O1541" s="3"/>
      <c r="P1541" s="36"/>
      <c r="Q1541" s="36"/>
      <c r="R1541" s="36"/>
      <c r="S1541" s="36" t="s">
        <v>1319</v>
      </c>
      <c r="T1541" s="36" t="s">
        <v>2092</v>
      </c>
      <c r="U1541" s="36">
        <v>1233276</v>
      </c>
      <c r="V1541" s="165" t="s">
        <v>90</v>
      </c>
      <c r="W1541" s="36">
        <v>1</v>
      </c>
      <c r="X1541" s="36">
        <v>1</v>
      </c>
      <c r="Y1541" s="36">
        <v>1</v>
      </c>
      <c r="Z1541" s="36">
        <v>3</v>
      </c>
      <c r="AA1541" s="36">
        <v>1</v>
      </c>
      <c r="AB1541" s="36">
        <v>1</v>
      </c>
      <c r="AC1541" s="36">
        <v>2</v>
      </c>
      <c r="AD1541" s="36">
        <v>2</v>
      </c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  <c r="AV1541" s="36"/>
      <c r="AW1541" s="36"/>
      <c r="AX1541" s="36"/>
      <c r="AY1541" s="36"/>
      <c r="AZ1541" s="36"/>
      <c r="BA1541" s="36"/>
      <c r="BB1541" s="36"/>
      <c r="BC1541" s="27"/>
      <c r="BF1541">
        <f>ROWS($U$46:U1541)</f>
        <v>1496</v>
      </c>
      <c r="BG1541" t="str">
        <f t="shared" si="230"/>
        <v/>
      </c>
    </row>
    <row r="1542" spans="15:59" ht="15" thickBot="1" x14ac:dyDescent="0.4">
      <c r="O1542" s="3"/>
      <c r="P1542" s="36"/>
      <c r="Q1542" s="36"/>
      <c r="R1542" s="36"/>
      <c r="S1542" s="36" t="s">
        <v>1319</v>
      </c>
      <c r="T1542" s="36" t="s">
        <v>2092</v>
      </c>
      <c r="U1542" s="36">
        <v>1233276</v>
      </c>
      <c r="V1542" s="165" t="s">
        <v>91</v>
      </c>
      <c r="W1542" s="36">
        <v>3</v>
      </c>
      <c r="X1542" s="36">
        <v>3</v>
      </c>
      <c r="Y1542" s="36">
        <v>1</v>
      </c>
      <c r="Z1542" s="36">
        <v>2</v>
      </c>
      <c r="AA1542" s="36">
        <v>2</v>
      </c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  <c r="AV1542" s="36"/>
      <c r="AW1542" s="36"/>
      <c r="AX1542" s="36"/>
      <c r="AY1542" s="36"/>
      <c r="AZ1542" s="36"/>
      <c r="BA1542" s="36"/>
      <c r="BB1542" s="36"/>
      <c r="BC1542" s="27"/>
      <c r="BF1542">
        <f>ROWS($U$46:U1542)</f>
        <v>1497</v>
      </c>
      <c r="BG1542" t="str">
        <f t="shared" si="230"/>
        <v/>
      </c>
    </row>
    <row r="1543" spans="15:59" x14ac:dyDescent="0.35">
      <c r="O1543" s="329">
        <v>1</v>
      </c>
      <c r="P1543" s="320">
        <v>1130198</v>
      </c>
      <c r="Q1543" s="320">
        <v>30</v>
      </c>
      <c r="R1543" s="320"/>
      <c r="S1543" s="320" t="s">
        <v>1207</v>
      </c>
      <c r="T1543" s="320" t="s">
        <v>1413</v>
      </c>
      <c r="U1543" s="320">
        <v>1220553</v>
      </c>
      <c r="V1543" s="319" t="s">
        <v>87</v>
      </c>
      <c r="W1543" s="320">
        <v>2</v>
      </c>
      <c r="X1543" s="320">
        <v>2</v>
      </c>
      <c r="Y1543" s="320">
        <v>2</v>
      </c>
      <c r="Z1543" s="320">
        <v>1</v>
      </c>
      <c r="AA1543" s="320">
        <v>1</v>
      </c>
      <c r="AB1543" s="320">
        <v>1</v>
      </c>
      <c r="AC1543" s="320">
        <v>1</v>
      </c>
      <c r="AD1543" s="320">
        <v>1</v>
      </c>
      <c r="AE1543" s="320">
        <v>1</v>
      </c>
      <c r="AF1543" s="320">
        <v>1</v>
      </c>
      <c r="AG1543" s="320">
        <v>2</v>
      </c>
      <c r="AH1543" s="320">
        <v>4</v>
      </c>
      <c r="AI1543" s="320"/>
      <c r="AJ1543" s="320">
        <v>3</v>
      </c>
      <c r="AK1543" s="320"/>
      <c r="AL1543" s="320"/>
      <c r="AM1543" s="320"/>
      <c r="AN1543" s="320"/>
      <c r="AO1543" s="320"/>
      <c r="AP1543" s="320"/>
      <c r="AQ1543" s="320"/>
      <c r="AR1543" s="320"/>
      <c r="AS1543" s="320"/>
      <c r="AT1543" s="320"/>
      <c r="AU1543" s="320"/>
      <c r="AV1543" s="320"/>
      <c r="AW1543" s="320"/>
      <c r="AX1543" s="320"/>
      <c r="AY1543" s="320"/>
      <c r="AZ1543" s="320"/>
      <c r="BA1543" s="320"/>
      <c r="BB1543" s="320"/>
      <c r="BC1543" s="119"/>
      <c r="BF1543">
        <f>ROWS($U$46:U1543)</f>
        <v>1498</v>
      </c>
      <c r="BG1543" t="str">
        <f t="shared" si="230"/>
        <v/>
      </c>
    </row>
    <row r="1544" spans="15:59" x14ac:dyDescent="0.35">
      <c r="O1544" s="330">
        <v>2</v>
      </c>
      <c r="P1544" s="36">
        <v>647436</v>
      </c>
      <c r="Q1544" s="36">
        <v>14</v>
      </c>
      <c r="R1544" s="36"/>
      <c r="S1544" s="36" t="s">
        <v>1207</v>
      </c>
      <c r="T1544" s="36" t="s">
        <v>1413</v>
      </c>
      <c r="U1544" s="36">
        <v>1220553</v>
      </c>
      <c r="V1544" s="165" t="s">
        <v>88</v>
      </c>
      <c r="W1544" s="36">
        <v>1</v>
      </c>
      <c r="X1544" s="36">
        <v>1</v>
      </c>
      <c r="Y1544" s="36">
        <v>1</v>
      </c>
      <c r="Z1544" s="36">
        <v>1</v>
      </c>
      <c r="AA1544" s="36">
        <v>1</v>
      </c>
      <c r="AB1544" s="36">
        <v>1</v>
      </c>
      <c r="AC1544" s="36">
        <v>2</v>
      </c>
      <c r="AD1544" s="36">
        <v>4</v>
      </c>
      <c r="AE1544" s="36"/>
      <c r="AF1544" s="36"/>
      <c r="AG1544" s="36"/>
      <c r="AH1544" s="36"/>
      <c r="AI1544" s="36"/>
      <c r="AJ1544" s="36">
        <v>3</v>
      </c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  <c r="AV1544" s="36"/>
      <c r="AW1544" s="36"/>
      <c r="AX1544" s="36"/>
      <c r="AY1544" s="36"/>
      <c r="AZ1544" s="36"/>
      <c r="BA1544" s="36"/>
      <c r="BB1544" s="36"/>
      <c r="BC1544" s="27"/>
      <c r="BF1544">
        <f>ROWS($U$46:U1544)</f>
        <v>1499</v>
      </c>
      <c r="BG1544" t="str">
        <f t="shared" si="230"/>
        <v/>
      </c>
    </row>
    <row r="1545" spans="15:59" x14ac:dyDescent="0.35">
      <c r="O1545" s="3">
        <v>3</v>
      </c>
      <c r="P1545" s="36">
        <v>649901</v>
      </c>
      <c r="Q1545" s="36">
        <v>5</v>
      </c>
      <c r="R1545" s="36"/>
      <c r="S1545" s="36" t="s">
        <v>1207</v>
      </c>
      <c r="T1545" s="36" t="s">
        <v>1413</v>
      </c>
      <c r="U1545" s="36">
        <v>1220553</v>
      </c>
      <c r="V1545" s="165" t="s">
        <v>89</v>
      </c>
      <c r="W1545" s="36">
        <v>2</v>
      </c>
      <c r="X1545" s="36">
        <v>1</v>
      </c>
      <c r="Y1545" s="36">
        <v>1</v>
      </c>
      <c r="Z1545" s="36">
        <v>1</v>
      </c>
      <c r="AA1545" s="36">
        <v>1</v>
      </c>
      <c r="AB1545" s="36">
        <v>1</v>
      </c>
      <c r="AC1545" s="36">
        <v>1</v>
      </c>
      <c r="AD1545" s="36">
        <v>2</v>
      </c>
      <c r="AE1545" s="36">
        <v>4</v>
      </c>
      <c r="AF1545" s="36"/>
      <c r="AG1545" s="36"/>
      <c r="AH1545" s="36"/>
      <c r="AI1545" s="36"/>
      <c r="AJ1545" s="36">
        <v>3</v>
      </c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  <c r="AV1545" s="36"/>
      <c r="AW1545" s="36"/>
      <c r="AX1545" s="36"/>
      <c r="AY1545" s="36"/>
      <c r="AZ1545" s="36"/>
      <c r="BA1545" s="36"/>
      <c r="BB1545" s="36"/>
      <c r="BC1545" s="27"/>
      <c r="BF1545">
        <f>ROWS($U$46:U1545)</f>
        <v>1500</v>
      </c>
      <c r="BG1545" t="str">
        <f t="shared" si="230"/>
        <v/>
      </c>
    </row>
    <row r="1546" spans="15:59" x14ac:dyDescent="0.35">
      <c r="O1546" s="3">
        <v>4</v>
      </c>
      <c r="P1546" s="36">
        <v>871781</v>
      </c>
      <c r="Q1546" s="36">
        <v>5</v>
      </c>
      <c r="R1546" s="36"/>
      <c r="S1546" s="36" t="s">
        <v>1207</v>
      </c>
      <c r="T1546" s="36" t="s">
        <v>1413</v>
      </c>
      <c r="U1546" s="36">
        <v>1220553</v>
      </c>
      <c r="V1546" s="165" t="s">
        <v>90</v>
      </c>
      <c r="W1546" s="36">
        <v>2</v>
      </c>
      <c r="X1546" s="36">
        <v>2</v>
      </c>
      <c r="Y1546" s="36">
        <v>2</v>
      </c>
      <c r="Z1546" s="36">
        <v>2</v>
      </c>
      <c r="AA1546" s="36">
        <v>1</v>
      </c>
      <c r="AB1546" s="36">
        <v>1</v>
      </c>
      <c r="AC1546" s="36">
        <v>1</v>
      </c>
      <c r="AD1546" s="36">
        <v>1</v>
      </c>
      <c r="AE1546" s="36">
        <v>1</v>
      </c>
      <c r="AF1546" s="36">
        <v>2</v>
      </c>
      <c r="AG1546" s="36">
        <v>2</v>
      </c>
      <c r="AH1546" s="36">
        <v>4</v>
      </c>
      <c r="AI1546" s="36"/>
      <c r="AJ1546" s="36">
        <v>3</v>
      </c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  <c r="AV1546" s="36"/>
      <c r="AW1546" s="36"/>
      <c r="AX1546" s="36"/>
      <c r="AY1546" s="36"/>
      <c r="AZ1546" s="36"/>
      <c r="BA1546" s="36"/>
      <c r="BB1546" s="36"/>
      <c r="BC1546" s="27"/>
      <c r="BF1546">
        <f>ROWS($U$46:U1546)</f>
        <v>1501</v>
      </c>
      <c r="BG1546" t="str">
        <f t="shared" si="230"/>
        <v/>
      </c>
    </row>
    <row r="1547" spans="15:59" ht="15" thickBot="1" x14ac:dyDescent="0.4">
      <c r="O1547" s="3"/>
      <c r="P1547" s="36"/>
      <c r="Q1547" s="36"/>
      <c r="R1547" s="36"/>
      <c r="S1547" s="36" t="s">
        <v>1207</v>
      </c>
      <c r="T1547" s="36" t="s">
        <v>1413</v>
      </c>
      <c r="U1547" s="36">
        <v>1220553</v>
      </c>
      <c r="V1547" s="165" t="s">
        <v>91</v>
      </c>
      <c r="W1547" s="36">
        <v>1</v>
      </c>
      <c r="X1547" s="36">
        <v>1</v>
      </c>
      <c r="Y1547" s="36">
        <v>1</v>
      </c>
      <c r="Z1547" s="36">
        <v>1</v>
      </c>
      <c r="AA1547" s="36">
        <v>1</v>
      </c>
      <c r="AB1547" s="36">
        <v>1</v>
      </c>
      <c r="AC1547" s="36">
        <v>2</v>
      </c>
      <c r="AD1547" s="36">
        <v>4</v>
      </c>
      <c r="AE1547" s="36"/>
      <c r="AF1547" s="36"/>
      <c r="AG1547" s="36"/>
      <c r="AH1547" s="36"/>
      <c r="AI1547" s="36"/>
      <c r="AJ1547" s="36">
        <v>3</v>
      </c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  <c r="AV1547" s="36"/>
      <c r="AW1547" s="36"/>
      <c r="AX1547" s="36"/>
      <c r="AY1547" s="36"/>
      <c r="AZ1547" s="36"/>
      <c r="BA1547" s="36"/>
      <c r="BB1547" s="36"/>
      <c r="BC1547" s="27"/>
      <c r="BF1547">
        <f>ROWS($U$46:U1547)</f>
        <v>1502</v>
      </c>
      <c r="BG1547" t="str">
        <f t="shared" si="230"/>
        <v/>
      </c>
    </row>
    <row r="1548" spans="15:59" x14ac:dyDescent="0.35">
      <c r="O1548" s="329">
        <v>1</v>
      </c>
      <c r="P1548" s="320">
        <v>1100741</v>
      </c>
      <c r="Q1548" s="320">
        <v>19</v>
      </c>
      <c r="R1548" s="320"/>
      <c r="S1548" s="320" t="s">
        <v>1200</v>
      </c>
      <c r="T1548" s="320" t="s">
        <v>2095</v>
      </c>
      <c r="U1548" s="320">
        <v>1240803</v>
      </c>
      <c r="V1548" s="319" t="s">
        <v>87</v>
      </c>
      <c r="W1548" s="320">
        <v>1</v>
      </c>
      <c r="X1548" s="320">
        <v>1</v>
      </c>
      <c r="Y1548" s="320">
        <v>1</v>
      </c>
      <c r="Z1548" s="320">
        <v>1</v>
      </c>
      <c r="AA1548" s="320">
        <v>2</v>
      </c>
      <c r="AB1548" s="320">
        <v>2</v>
      </c>
      <c r="AC1548" s="320">
        <v>1</v>
      </c>
      <c r="AD1548" s="320">
        <v>3</v>
      </c>
      <c r="AE1548" s="320"/>
      <c r="AF1548" s="320">
        <v>4</v>
      </c>
      <c r="AG1548" s="320">
        <v>4</v>
      </c>
      <c r="AH1548" s="320"/>
      <c r="AI1548" s="320"/>
      <c r="AJ1548" s="320"/>
      <c r="AK1548" s="320"/>
      <c r="AL1548" s="320"/>
      <c r="AM1548" s="320"/>
      <c r="AN1548" s="320"/>
      <c r="AO1548" s="320"/>
      <c r="AP1548" s="320"/>
      <c r="AQ1548" s="320"/>
      <c r="AR1548" s="320"/>
      <c r="AS1548" s="320"/>
      <c r="AT1548" s="320"/>
      <c r="AU1548" s="320"/>
      <c r="AV1548" s="320"/>
      <c r="AW1548" s="320"/>
      <c r="AX1548" s="320"/>
      <c r="AY1548" s="320"/>
      <c r="AZ1548" s="974"/>
      <c r="BA1548" s="320"/>
      <c r="BB1548" s="320"/>
      <c r="BC1548" s="320"/>
      <c r="BD1548" s="119"/>
      <c r="BF1548">
        <f>ROWS($U$46:U1548)</f>
        <v>1503</v>
      </c>
      <c r="BG1548" t="str">
        <f t="shared" si="230"/>
        <v/>
      </c>
    </row>
    <row r="1549" spans="15:59" x14ac:dyDescent="0.35">
      <c r="O1549" s="330">
        <v>2</v>
      </c>
      <c r="P1549" s="36">
        <v>1209333</v>
      </c>
      <c r="Q1549" s="36">
        <v>12</v>
      </c>
      <c r="R1549" s="36"/>
      <c r="S1549" s="36" t="s">
        <v>1200</v>
      </c>
      <c r="T1549" s="36" t="s">
        <v>2095</v>
      </c>
      <c r="U1549" s="36">
        <v>1240803</v>
      </c>
      <c r="V1549" s="165" t="s">
        <v>88</v>
      </c>
      <c r="W1549" s="36">
        <v>1</v>
      </c>
      <c r="X1549" s="36">
        <v>2</v>
      </c>
      <c r="Y1549" s="36">
        <v>2</v>
      </c>
      <c r="Z1549" s="36">
        <v>1</v>
      </c>
      <c r="AA1549" s="36">
        <v>3</v>
      </c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  <c r="AV1549" s="36"/>
      <c r="AW1549" s="36"/>
      <c r="AX1549" s="36"/>
      <c r="AY1549" s="36"/>
      <c r="AZ1549" s="961"/>
      <c r="BA1549" s="36"/>
      <c r="BB1549" s="36"/>
      <c r="BC1549" s="36"/>
      <c r="BD1549" s="27"/>
      <c r="BF1549">
        <f>ROWS($U$46:U1549)</f>
        <v>1504</v>
      </c>
      <c r="BG1549" t="str">
        <f t="shared" si="230"/>
        <v/>
      </c>
    </row>
    <row r="1550" spans="15:59" x14ac:dyDescent="0.35">
      <c r="O1550" s="330">
        <v>3</v>
      </c>
      <c r="P1550" s="36">
        <v>418525</v>
      </c>
      <c r="Q1550" s="36">
        <v>6</v>
      </c>
      <c r="R1550" s="36"/>
      <c r="S1550" s="36" t="s">
        <v>1200</v>
      </c>
      <c r="T1550" s="36" t="s">
        <v>2095</v>
      </c>
      <c r="U1550" s="36">
        <v>1240803</v>
      </c>
      <c r="V1550" s="165" t="s">
        <v>89</v>
      </c>
      <c r="W1550" s="36">
        <v>1</v>
      </c>
      <c r="X1550" s="36">
        <v>1</v>
      </c>
      <c r="Y1550" s="36">
        <v>1</v>
      </c>
      <c r="Z1550" s="36">
        <v>2</v>
      </c>
      <c r="AA1550" s="36">
        <v>2</v>
      </c>
      <c r="AB1550" s="36">
        <v>1</v>
      </c>
      <c r="AC1550" s="36">
        <v>3</v>
      </c>
      <c r="AD1550" s="36"/>
      <c r="AE1550" s="36"/>
      <c r="AF1550" s="36">
        <v>4</v>
      </c>
      <c r="AG1550" s="36">
        <v>4</v>
      </c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  <c r="AV1550" s="36"/>
      <c r="AW1550" s="36"/>
      <c r="AX1550" s="36"/>
      <c r="AY1550" s="36"/>
      <c r="AZ1550" s="961"/>
      <c r="BA1550" s="36"/>
      <c r="BB1550" s="36"/>
      <c r="BC1550" s="36"/>
      <c r="BD1550" s="27"/>
      <c r="BF1550">
        <f>ROWS($U$46:U1550)</f>
        <v>1505</v>
      </c>
      <c r="BG1550" t="str">
        <f t="shared" si="230"/>
        <v/>
      </c>
    </row>
    <row r="1551" spans="15:59" x14ac:dyDescent="0.35">
      <c r="O1551" s="330">
        <v>4</v>
      </c>
      <c r="P1551" s="36">
        <v>625854</v>
      </c>
      <c r="Q1551" s="36">
        <v>6</v>
      </c>
      <c r="R1551" s="36"/>
      <c r="S1551" s="36" t="s">
        <v>1200</v>
      </c>
      <c r="T1551" s="36" t="s">
        <v>2095</v>
      </c>
      <c r="U1551" s="36">
        <v>1240803</v>
      </c>
      <c r="V1551" s="165" t="s">
        <v>90</v>
      </c>
      <c r="W1551" s="36">
        <v>1</v>
      </c>
      <c r="X1551" s="36">
        <v>2</v>
      </c>
      <c r="Y1551" s="36">
        <v>2</v>
      </c>
      <c r="Z1551" s="36">
        <v>1</v>
      </c>
      <c r="AA1551" s="36">
        <v>3</v>
      </c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  <c r="AV1551" s="36"/>
      <c r="AW1551" s="36"/>
      <c r="AX1551" s="36"/>
      <c r="AY1551" s="36"/>
      <c r="AZ1551" s="961"/>
      <c r="BA1551" s="36"/>
      <c r="BB1551" s="36"/>
      <c r="BC1551" s="36"/>
      <c r="BD1551" s="27"/>
      <c r="BF1551">
        <f>ROWS($U$46:U1551)</f>
        <v>1506</v>
      </c>
      <c r="BG1551" t="str">
        <f t="shared" si="230"/>
        <v/>
      </c>
    </row>
    <row r="1552" spans="15:59" x14ac:dyDescent="0.35">
      <c r="O1552" s="330"/>
      <c r="P1552" s="36"/>
      <c r="Q1552" s="36"/>
      <c r="R1552" s="36"/>
      <c r="S1552" s="36" t="s">
        <v>1200</v>
      </c>
      <c r="T1552" s="36" t="s">
        <v>2095</v>
      </c>
      <c r="U1552" s="36">
        <v>1240803</v>
      </c>
      <c r="V1552" s="165" t="s">
        <v>91</v>
      </c>
      <c r="W1552" s="36">
        <v>1</v>
      </c>
      <c r="X1552" s="36">
        <v>1</v>
      </c>
      <c r="Y1552" s="36">
        <v>1</v>
      </c>
      <c r="Z1552" s="36">
        <v>2</v>
      </c>
      <c r="AA1552" s="36">
        <v>2</v>
      </c>
      <c r="AB1552" s="36">
        <v>1</v>
      </c>
      <c r="AC1552" s="36">
        <v>3</v>
      </c>
      <c r="AD1552" s="36"/>
      <c r="AE1552" s="36"/>
      <c r="AF1552" s="36">
        <v>4</v>
      </c>
      <c r="AG1552" s="36">
        <v>4</v>
      </c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  <c r="AV1552" s="36"/>
      <c r="AW1552" s="36"/>
      <c r="AX1552" s="36"/>
      <c r="AY1552" s="36"/>
      <c r="AZ1552" s="961"/>
      <c r="BA1552" s="36"/>
      <c r="BB1552" s="36"/>
      <c r="BC1552" s="36"/>
      <c r="BD1552" s="27"/>
      <c r="BF1552">
        <f>ROWS($U$46:U1552)</f>
        <v>1507</v>
      </c>
      <c r="BG1552" t="str">
        <f t="shared" si="230"/>
        <v/>
      </c>
    </row>
    <row r="1553" spans="15:59" ht="15" thickBot="1" x14ac:dyDescent="0.4">
      <c r="O1553" s="331"/>
      <c r="P1553" s="328"/>
      <c r="Q1553" s="328"/>
      <c r="R1553" s="328"/>
      <c r="S1553" s="328" t="s">
        <v>1200</v>
      </c>
      <c r="T1553" s="328" t="s">
        <v>2095</v>
      </c>
      <c r="U1553" s="328">
        <v>1240803</v>
      </c>
      <c r="V1553" s="327" t="s">
        <v>92</v>
      </c>
      <c r="W1553" s="328">
        <v>1</v>
      </c>
      <c r="X1553" s="328">
        <v>2</v>
      </c>
      <c r="Y1553" s="328">
        <v>2</v>
      </c>
      <c r="Z1553" s="328">
        <v>1</v>
      </c>
      <c r="AA1553" s="328">
        <v>3</v>
      </c>
      <c r="AB1553" s="328"/>
      <c r="AC1553" s="328"/>
      <c r="AD1553" s="328"/>
      <c r="AE1553" s="328"/>
      <c r="AF1553" s="328"/>
      <c r="AG1553" s="328"/>
      <c r="AH1553" s="328"/>
      <c r="AI1553" s="328"/>
      <c r="AJ1553" s="328"/>
      <c r="AK1553" s="328"/>
      <c r="AL1553" s="328"/>
      <c r="AM1553" s="328"/>
      <c r="AN1553" s="328"/>
      <c r="AO1553" s="328"/>
      <c r="AP1553" s="328"/>
      <c r="AQ1553" s="328"/>
      <c r="AR1553" s="328"/>
      <c r="AS1553" s="328"/>
      <c r="AT1553" s="328"/>
      <c r="AU1553" s="328"/>
      <c r="AV1553" s="328"/>
      <c r="AW1553" s="328"/>
      <c r="AX1553" s="328"/>
      <c r="AY1553" s="328"/>
      <c r="AZ1553" s="962"/>
      <c r="BA1553" s="328"/>
      <c r="BB1553" s="328"/>
      <c r="BC1553" s="328"/>
      <c r="BD1553" s="31"/>
      <c r="BF1553">
        <f>ROWS($U$46:U1553)</f>
        <v>1508</v>
      </c>
      <c r="BG1553" t="str">
        <f t="shared" si="230"/>
        <v/>
      </c>
    </row>
    <row r="1554" spans="15:59" x14ac:dyDescent="0.35">
      <c r="O1554" s="329">
        <v>1</v>
      </c>
      <c r="P1554" s="320">
        <v>1130198</v>
      </c>
      <c r="Q1554" s="320">
        <v>50</v>
      </c>
      <c r="R1554" s="320"/>
      <c r="S1554" s="320" t="s">
        <v>1209</v>
      </c>
      <c r="T1554" s="320" t="s">
        <v>2098</v>
      </c>
      <c r="U1554" s="320">
        <v>1134806</v>
      </c>
      <c r="V1554" s="319" t="s">
        <v>87</v>
      </c>
      <c r="W1554" s="320">
        <v>1</v>
      </c>
      <c r="X1554" s="320">
        <v>1</v>
      </c>
      <c r="Y1554" s="320">
        <v>1</v>
      </c>
      <c r="Z1554" s="320">
        <v>1</v>
      </c>
      <c r="AA1554" s="320">
        <v>1</v>
      </c>
      <c r="AB1554" s="320">
        <v>1</v>
      </c>
      <c r="AC1554" s="320">
        <v>1</v>
      </c>
      <c r="AD1554" s="320">
        <v>1</v>
      </c>
      <c r="AE1554" s="320">
        <v>1</v>
      </c>
      <c r="AF1554" s="320">
        <v>1</v>
      </c>
      <c r="AG1554" s="320">
        <v>3</v>
      </c>
      <c r="AH1554" s="320">
        <v>3</v>
      </c>
      <c r="AI1554" s="320"/>
      <c r="AJ1554" s="320">
        <v>2</v>
      </c>
      <c r="AK1554" s="320">
        <v>2</v>
      </c>
      <c r="AL1554" s="320">
        <v>2</v>
      </c>
      <c r="AM1554" s="320">
        <v>2</v>
      </c>
      <c r="AN1554" s="320">
        <v>2</v>
      </c>
      <c r="AO1554" s="320"/>
      <c r="AP1554" s="320"/>
      <c r="AQ1554" s="320"/>
      <c r="AR1554" s="320"/>
      <c r="AS1554" s="320"/>
      <c r="AT1554" s="320"/>
      <c r="AU1554" s="320"/>
      <c r="AV1554" s="320"/>
      <c r="AW1554" s="320"/>
      <c r="AX1554" s="320"/>
      <c r="AY1554" s="320"/>
      <c r="AZ1554" s="974"/>
      <c r="BA1554" s="320"/>
      <c r="BB1554" s="320"/>
      <c r="BC1554" s="320"/>
      <c r="BD1554" s="119"/>
      <c r="BF1554">
        <f>ROWS($U$46:U1554)</f>
        <v>1509</v>
      </c>
      <c r="BG1554" t="str">
        <f t="shared" si="230"/>
        <v/>
      </c>
    </row>
    <row r="1555" spans="15:59" x14ac:dyDescent="0.35">
      <c r="O1555" s="330">
        <v>2</v>
      </c>
      <c r="P1555" s="36">
        <v>647436</v>
      </c>
      <c r="Q1555" s="36">
        <v>31</v>
      </c>
      <c r="R1555" s="36"/>
      <c r="S1555" s="36" t="s">
        <v>1209</v>
      </c>
      <c r="T1555" s="36" t="s">
        <v>2098</v>
      </c>
      <c r="U1555" s="36">
        <v>1134806</v>
      </c>
      <c r="V1555" s="165" t="s">
        <v>88</v>
      </c>
      <c r="W1555" s="36">
        <v>1</v>
      </c>
      <c r="X1555" s="36">
        <v>1</v>
      </c>
      <c r="Y1555" s="36">
        <v>1</v>
      </c>
      <c r="Z1555" s="36">
        <v>1</v>
      </c>
      <c r="AA1555" s="36">
        <v>1</v>
      </c>
      <c r="AB1555" s="36">
        <v>1</v>
      </c>
      <c r="AC1555" s="36">
        <v>3</v>
      </c>
      <c r="AD1555" s="36">
        <v>3</v>
      </c>
      <c r="AE1555" s="36"/>
      <c r="AF1555" s="36"/>
      <c r="AG1555" s="36"/>
      <c r="AH1555" s="36"/>
      <c r="AI1555" s="36"/>
      <c r="AJ1555" s="36">
        <v>2</v>
      </c>
      <c r="AK1555" s="36">
        <v>2</v>
      </c>
      <c r="AL1555" s="36">
        <v>2</v>
      </c>
      <c r="AM1555" s="36">
        <v>2</v>
      </c>
      <c r="AN1555" s="36">
        <v>2</v>
      </c>
      <c r="AO1555" s="36"/>
      <c r="AP1555" s="36"/>
      <c r="AQ1555" s="36"/>
      <c r="AR1555" s="36"/>
      <c r="AS1555" s="36"/>
      <c r="AT1555" s="36"/>
      <c r="AU1555" s="36"/>
      <c r="AV1555" s="36"/>
      <c r="AW1555" s="36"/>
      <c r="AX1555" s="36"/>
      <c r="AY1555" s="36"/>
      <c r="AZ1555" s="961"/>
      <c r="BA1555" s="36"/>
      <c r="BB1555" s="36"/>
      <c r="BC1555" s="36"/>
      <c r="BD1555" s="27"/>
      <c r="BF1555">
        <f>ROWS($U$46:U1555)</f>
        <v>1510</v>
      </c>
      <c r="BG1555" t="str">
        <f t="shared" si="230"/>
        <v/>
      </c>
    </row>
    <row r="1556" spans="15:59" x14ac:dyDescent="0.35">
      <c r="O1556" s="330">
        <v>3</v>
      </c>
      <c r="P1556" s="36">
        <v>418525</v>
      </c>
      <c r="Q1556" s="36">
        <v>8</v>
      </c>
      <c r="R1556" s="36"/>
      <c r="S1556" s="36" t="s">
        <v>1209</v>
      </c>
      <c r="T1556" s="36" t="s">
        <v>2098</v>
      </c>
      <c r="U1556" s="36">
        <v>1134806</v>
      </c>
      <c r="V1556" s="165" t="s">
        <v>89</v>
      </c>
      <c r="W1556" s="36">
        <v>1</v>
      </c>
      <c r="X1556" s="36">
        <v>1</v>
      </c>
      <c r="Y1556" s="36">
        <v>1</v>
      </c>
      <c r="Z1556" s="36">
        <v>1</v>
      </c>
      <c r="AA1556" s="36">
        <v>1</v>
      </c>
      <c r="AB1556" s="36">
        <v>1</v>
      </c>
      <c r="AC1556" s="36">
        <v>1</v>
      </c>
      <c r="AD1556" s="36">
        <v>1</v>
      </c>
      <c r="AE1556" s="36">
        <v>1</v>
      </c>
      <c r="AF1556" s="36">
        <v>1</v>
      </c>
      <c r="AG1556" s="36">
        <v>3</v>
      </c>
      <c r="AH1556" s="36"/>
      <c r="AI1556" s="36"/>
      <c r="AJ1556" s="36">
        <v>2</v>
      </c>
      <c r="AK1556" s="36">
        <v>2</v>
      </c>
      <c r="AL1556" s="36">
        <v>2</v>
      </c>
      <c r="AM1556" s="36">
        <v>2</v>
      </c>
      <c r="AN1556" s="36">
        <v>2</v>
      </c>
      <c r="AO1556" s="36">
        <v>2</v>
      </c>
      <c r="AP1556" s="36"/>
      <c r="AQ1556" s="36"/>
      <c r="AR1556" s="36"/>
      <c r="AS1556" s="36"/>
      <c r="AT1556" s="36"/>
      <c r="AU1556" s="36"/>
      <c r="AV1556" s="36"/>
      <c r="AW1556" s="36"/>
      <c r="AX1556" s="36"/>
      <c r="AY1556" s="36"/>
      <c r="AZ1556" s="961"/>
      <c r="BA1556" s="36"/>
      <c r="BB1556" s="36"/>
      <c r="BC1556" s="36"/>
      <c r="BD1556" s="27"/>
      <c r="BF1556">
        <f>ROWS($U$46:U1556)</f>
        <v>1511</v>
      </c>
      <c r="BG1556" t="str">
        <f t="shared" si="230"/>
        <v/>
      </c>
    </row>
    <row r="1557" spans="15:59" x14ac:dyDescent="0.35">
      <c r="O1557" s="330"/>
      <c r="P1557" s="36"/>
      <c r="Q1557" s="36"/>
      <c r="R1557" s="36"/>
      <c r="S1557" s="36" t="s">
        <v>1209</v>
      </c>
      <c r="T1557" s="36" t="s">
        <v>2098</v>
      </c>
      <c r="U1557" s="36">
        <v>1134806</v>
      </c>
      <c r="V1557" s="165" t="s">
        <v>90</v>
      </c>
      <c r="W1557" s="36">
        <v>1</v>
      </c>
      <c r="X1557" s="36">
        <v>1</v>
      </c>
      <c r="Y1557" s="36">
        <v>1</v>
      </c>
      <c r="Z1557" s="36">
        <v>1</v>
      </c>
      <c r="AA1557" s="36">
        <v>1</v>
      </c>
      <c r="AB1557" s="36">
        <v>1</v>
      </c>
      <c r="AC1557" s="36">
        <v>1</v>
      </c>
      <c r="AD1557" s="36">
        <v>3</v>
      </c>
      <c r="AE1557" s="36"/>
      <c r="AF1557" s="36"/>
      <c r="AG1557" s="36"/>
      <c r="AH1557" s="36"/>
      <c r="AI1557" s="36"/>
      <c r="AJ1557" s="36">
        <v>2</v>
      </c>
      <c r="AK1557" s="36">
        <v>2</v>
      </c>
      <c r="AL1557" s="36">
        <v>2</v>
      </c>
      <c r="AM1557" s="36">
        <v>2</v>
      </c>
      <c r="AN1557" s="36">
        <v>2</v>
      </c>
      <c r="AO1557" s="36"/>
      <c r="AP1557" s="36"/>
      <c r="AQ1557" s="36"/>
      <c r="AR1557" s="36"/>
      <c r="AS1557" s="36"/>
      <c r="AT1557" s="36"/>
      <c r="AU1557" s="36"/>
      <c r="AV1557" s="36"/>
      <c r="AW1557" s="36"/>
      <c r="AX1557" s="36"/>
      <c r="AY1557" s="36"/>
      <c r="AZ1557" s="961"/>
      <c r="BA1557" s="36"/>
      <c r="BB1557" s="36"/>
      <c r="BC1557" s="36"/>
      <c r="BD1557" s="27"/>
      <c r="BF1557">
        <f>ROWS($U$46:U1557)</f>
        <v>1512</v>
      </c>
      <c r="BG1557" t="str">
        <f t="shared" si="230"/>
        <v/>
      </c>
    </row>
    <row r="1558" spans="15:59" x14ac:dyDescent="0.35">
      <c r="O1558" s="330"/>
      <c r="P1558" s="36"/>
      <c r="Q1558" s="36"/>
      <c r="R1558" s="36"/>
      <c r="S1558" s="36" t="s">
        <v>1209</v>
      </c>
      <c r="T1558" s="36" t="s">
        <v>2098</v>
      </c>
      <c r="U1558" s="36">
        <v>1134806</v>
      </c>
      <c r="V1558" s="165" t="s">
        <v>91</v>
      </c>
      <c r="W1558" s="36">
        <v>1</v>
      </c>
      <c r="X1558" s="36">
        <v>1</v>
      </c>
      <c r="Y1558" s="36">
        <v>1</v>
      </c>
      <c r="Z1558" s="36">
        <v>1</v>
      </c>
      <c r="AA1558" s="36">
        <v>1</v>
      </c>
      <c r="AB1558" s="36">
        <v>1</v>
      </c>
      <c r="AC1558" s="36">
        <v>1</v>
      </c>
      <c r="AD1558" s="36">
        <v>1</v>
      </c>
      <c r="AE1558" s="36">
        <v>1</v>
      </c>
      <c r="AF1558" s="36">
        <v>1</v>
      </c>
      <c r="AG1558" s="36">
        <v>3</v>
      </c>
      <c r="AH1558" s="36"/>
      <c r="AI1558" s="36"/>
      <c r="AJ1558" s="36">
        <v>2</v>
      </c>
      <c r="AK1558" s="36">
        <v>2</v>
      </c>
      <c r="AL1558" s="36">
        <v>2</v>
      </c>
      <c r="AM1558" s="36">
        <v>2</v>
      </c>
      <c r="AN1558" s="36">
        <v>2</v>
      </c>
      <c r="AO1558" s="36"/>
      <c r="AP1558" s="36"/>
      <c r="AQ1558" s="36"/>
      <c r="AR1558" s="36"/>
      <c r="AS1558" s="36"/>
      <c r="AT1558" s="36"/>
      <c r="AU1558" s="36"/>
      <c r="AV1558" s="36"/>
      <c r="AW1558" s="36"/>
      <c r="AX1558" s="36"/>
      <c r="AY1558" s="36"/>
      <c r="AZ1558" s="961"/>
      <c r="BA1558" s="36"/>
      <c r="BB1558" s="36"/>
      <c r="BC1558" s="36"/>
      <c r="BD1558" s="27"/>
      <c r="BF1558">
        <f>ROWS($U$46:U1558)</f>
        <v>1513</v>
      </c>
      <c r="BG1558" t="str">
        <f t="shared" si="230"/>
        <v/>
      </c>
    </row>
    <row r="1559" spans="15:59" ht="15" thickBot="1" x14ac:dyDescent="0.4">
      <c r="O1559" s="331"/>
      <c r="P1559" s="328"/>
      <c r="Q1559" s="328"/>
      <c r="R1559" s="328"/>
      <c r="S1559" s="328" t="s">
        <v>1209</v>
      </c>
      <c r="T1559" s="328" t="s">
        <v>2098</v>
      </c>
      <c r="U1559" s="328">
        <v>1134806</v>
      </c>
      <c r="V1559" s="327" t="s">
        <v>92</v>
      </c>
      <c r="W1559" s="328">
        <v>1</v>
      </c>
      <c r="X1559" s="328">
        <v>1</v>
      </c>
      <c r="Y1559" s="328">
        <v>1</v>
      </c>
      <c r="Z1559" s="328">
        <v>1</v>
      </c>
      <c r="AA1559" s="328">
        <v>1</v>
      </c>
      <c r="AB1559" s="328">
        <v>1</v>
      </c>
      <c r="AC1559" s="328">
        <v>1</v>
      </c>
      <c r="AD1559" s="328">
        <v>3</v>
      </c>
      <c r="AE1559" s="328"/>
      <c r="AF1559" s="328"/>
      <c r="AG1559" s="328"/>
      <c r="AH1559" s="328"/>
      <c r="AI1559" s="328"/>
      <c r="AJ1559" s="328">
        <v>2</v>
      </c>
      <c r="AK1559" s="328">
        <v>2</v>
      </c>
      <c r="AL1559" s="328">
        <v>2</v>
      </c>
      <c r="AM1559" s="328">
        <v>2</v>
      </c>
      <c r="AN1559" s="328">
        <v>2</v>
      </c>
      <c r="AO1559" s="328"/>
      <c r="AP1559" s="328"/>
      <c r="AQ1559" s="328"/>
      <c r="AR1559" s="328"/>
      <c r="AS1559" s="328"/>
      <c r="AT1559" s="328"/>
      <c r="AU1559" s="328"/>
      <c r="AV1559" s="328"/>
      <c r="AW1559" s="328"/>
      <c r="AX1559" s="328"/>
      <c r="AY1559" s="328"/>
      <c r="AZ1559" s="962"/>
      <c r="BA1559" s="328"/>
      <c r="BB1559" s="328"/>
      <c r="BC1559" s="328"/>
      <c r="BD1559" s="31"/>
      <c r="BF1559">
        <f>ROWS($U$46:U1559)</f>
        <v>1514</v>
      </c>
      <c r="BG1559" t="str">
        <f t="shared" si="230"/>
        <v/>
      </c>
    </row>
    <row r="1560" spans="15:59" x14ac:dyDescent="0.35">
      <c r="O1560" s="329">
        <v>1</v>
      </c>
      <c r="P1560" s="320">
        <v>907609</v>
      </c>
      <c r="Q1560" s="320">
        <v>20</v>
      </c>
      <c r="R1560" s="320"/>
      <c r="S1560" s="320" t="s">
        <v>1319</v>
      </c>
      <c r="T1560" s="320" t="s">
        <v>2100</v>
      </c>
      <c r="U1560" s="320">
        <v>1093690</v>
      </c>
      <c r="V1560" s="319" t="s">
        <v>87</v>
      </c>
      <c r="W1560" s="320">
        <v>3</v>
      </c>
      <c r="X1560" s="320">
        <v>1</v>
      </c>
      <c r="Y1560" s="320">
        <v>1</v>
      </c>
      <c r="Z1560" s="320">
        <v>1</v>
      </c>
      <c r="AA1560" s="320">
        <v>1</v>
      </c>
      <c r="AB1560" s="320">
        <v>1</v>
      </c>
      <c r="AC1560" s="320">
        <v>2</v>
      </c>
      <c r="AD1560" s="320">
        <v>2</v>
      </c>
      <c r="AE1560" s="320"/>
      <c r="AF1560" s="320"/>
      <c r="AG1560" s="320"/>
      <c r="AH1560" s="320"/>
      <c r="AI1560" s="320"/>
      <c r="AJ1560" s="320"/>
      <c r="AK1560" s="320"/>
      <c r="AL1560" s="320"/>
      <c r="AM1560" s="320"/>
      <c r="AN1560" s="320"/>
      <c r="AO1560" s="320"/>
      <c r="AP1560" s="320"/>
      <c r="AQ1560" s="320"/>
      <c r="AR1560" s="320"/>
      <c r="AS1560" s="320"/>
      <c r="AT1560" s="320"/>
      <c r="AU1560" s="320"/>
      <c r="AV1560" s="320"/>
      <c r="AW1560" s="320"/>
      <c r="AX1560" s="320"/>
      <c r="AY1560" s="320"/>
      <c r="AZ1560" s="320"/>
      <c r="BA1560" s="320"/>
      <c r="BB1560" s="320"/>
      <c r="BC1560" s="119"/>
      <c r="BF1560">
        <f>ROWS($U$46:U1560)</f>
        <v>1515</v>
      </c>
      <c r="BG1560" t="str">
        <f t="shared" si="230"/>
        <v/>
      </c>
    </row>
    <row r="1561" spans="15:59" x14ac:dyDescent="0.35">
      <c r="O1561" s="330">
        <v>2</v>
      </c>
      <c r="P1561" s="36">
        <v>418525</v>
      </c>
      <c r="Q1561" s="36">
        <v>10</v>
      </c>
      <c r="R1561" s="36"/>
      <c r="S1561" s="36" t="s">
        <v>1319</v>
      </c>
      <c r="T1561" s="36" t="s">
        <v>2100</v>
      </c>
      <c r="U1561" s="36">
        <v>1093690</v>
      </c>
      <c r="V1561" s="165" t="s">
        <v>88</v>
      </c>
      <c r="W1561" s="36">
        <v>1</v>
      </c>
      <c r="X1561" s="36">
        <v>1</v>
      </c>
      <c r="Y1561" s="36">
        <v>1</v>
      </c>
      <c r="Z1561" s="36">
        <v>2</v>
      </c>
      <c r="AA1561" s="36">
        <v>2</v>
      </c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  <c r="AV1561" s="36"/>
      <c r="AW1561" s="36"/>
      <c r="AX1561" s="36"/>
      <c r="AY1561" s="36"/>
      <c r="AZ1561" s="36"/>
      <c r="BA1561" s="36"/>
      <c r="BB1561" s="36"/>
      <c r="BC1561" s="27"/>
      <c r="BF1561">
        <f>ROWS($U$46:U1561)</f>
        <v>1516</v>
      </c>
      <c r="BG1561" t="str">
        <f t="shared" si="230"/>
        <v/>
      </c>
    </row>
    <row r="1562" spans="15:59" x14ac:dyDescent="0.35">
      <c r="O1562" s="3">
        <v>3</v>
      </c>
      <c r="P1562" s="36">
        <v>703670</v>
      </c>
      <c r="Q1562" s="36">
        <v>3</v>
      </c>
      <c r="R1562" s="36"/>
      <c r="S1562" s="36" t="s">
        <v>1319</v>
      </c>
      <c r="T1562" s="36" t="s">
        <v>2100</v>
      </c>
      <c r="U1562" s="36">
        <v>1093690</v>
      </c>
      <c r="V1562" s="165" t="s">
        <v>89</v>
      </c>
      <c r="W1562" s="36">
        <v>3</v>
      </c>
      <c r="X1562" s="36">
        <v>1</v>
      </c>
      <c r="Y1562" s="36">
        <v>1</v>
      </c>
      <c r="Z1562" s="36">
        <v>1</v>
      </c>
      <c r="AA1562" s="36">
        <v>1</v>
      </c>
      <c r="AB1562" s="36">
        <v>2</v>
      </c>
      <c r="AC1562" s="36">
        <v>2</v>
      </c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  <c r="AV1562" s="36"/>
      <c r="AW1562" s="36"/>
      <c r="AX1562" s="36"/>
      <c r="AY1562" s="36"/>
      <c r="AZ1562" s="36"/>
      <c r="BA1562" s="36"/>
      <c r="BB1562" s="36"/>
      <c r="BC1562" s="27"/>
      <c r="BF1562">
        <f>ROWS($U$46:U1562)</f>
        <v>1517</v>
      </c>
      <c r="BG1562" t="str">
        <f t="shared" si="230"/>
        <v/>
      </c>
    </row>
    <row r="1563" spans="15:59" x14ac:dyDescent="0.35">
      <c r="O1563" s="3"/>
      <c r="P1563" s="36"/>
      <c r="Q1563" s="36"/>
      <c r="R1563" s="36"/>
      <c r="S1563" s="36" t="s">
        <v>1319</v>
      </c>
      <c r="T1563" s="36" t="s">
        <v>2100</v>
      </c>
      <c r="U1563" s="36">
        <v>1093690</v>
      </c>
      <c r="V1563" s="165" t="s">
        <v>90</v>
      </c>
      <c r="W1563" s="36">
        <v>3</v>
      </c>
      <c r="X1563" s="36">
        <v>1</v>
      </c>
      <c r="Y1563" s="36">
        <v>1</v>
      </c>
      <c r="Z1563" s="36">
        <v>1</v>
      </c>
      <c r="AA1563" s="36">
        <v>1</v>
      </c>
      <c r="AB1563" s="36">
        <v>1</v>
      </c>
      <c r="AC1563" s="36">
        <v>2</v>
      </c>
      <c r="AD1563" s="36">
        <v>2</v>
      </c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  <c r="AV1563" s="36"/>
      <c r="AW1563" s="36"/>
      <c r="AX1563" s="36"/>
      <c r="AY1563" s="36"/>
      <c r="AZ1563" s="36"/>
      <c r="BA1563" s="36"/>
      <c r="BB1563" s="36"/>
      <c r="BC1563" s="27"/>
      <c r="BF1563">
        <f>ROWS($U$46:U1563)</f>
        <v>1518</v>
      </c>
      <c r="BG1563" t="str">
        <f t="shared" si="230"/>
        <v/>
      </c>
    </row>
    <row r="1564" spans="15:59" ht="15" thickBot="1" x14ac:dyDescent="0.4">
      <c r="O1564" s="3"/>
      <c r="P1564" s="36"/>
      <c r="Q1564" s="36"/>
      <c r="R1564" s="36"/>
      <c r="S1564" s="36" t="s">
        <v>1319</v>
      </c>
      <c r="T1564" s="36" t="s">
        <v>2100</v>
      </c>
      <c r="U1564" s="36">
        <v>1093690</v>
      </c>
      <c r="V1564" s="165" t="s">
        <v>91</v>
      </c>
      <c r="W1564" s="36">
        <v>1</v>
      </c>
      <c r="X1564" s="36">
        <v>1</v>
      </c>
      <c r="Y1564" s="36">
        <v>1</v>
      </c>
      <c r="Z1564" s="36">
        <v>2</v>
      </c>
      <c r="AA1564" s="36">
        <v>2</v>
      </c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  <c r="AV1564" s="36"/>
      <c r="AW1564" s="36"/>
      <c r="AX1564" s="36"/>
      <c r="AY1564" s="36"/>
      <c r="AZ1564" s="36"/>
      <c r="BA1564" s="36"/>
      <c r="BB1564" s="36"/>
      <c r="BC1564" s="27"/>
      <c r="BF1564">
        <f>ROWS($U$46:U1564)</f>
        <v>1519</v>
      </c>
      <c r="BG1564" t="str">
        <f t="shared" si="230"/>
        <v/>
      </c>
    </row>
    <row r="1565" spans="15:59" x14ac:dyDescent="0.35">
      <c r="O1565" s="329">
        <v>1</v>
      </c>
      <c r="P1565" s="320">
        <v>1209410</v>
      </c>
      <c r="Q1565" s="320">
        <v>19</v>
      </c>
      <c r="R1565" s="320"/>
      <c r="S1565" s="320" t="s">
        <v>1200</v>
      </c>
      <c r="T1565" s="320" t="s">
        <v>2102</v>
      </c>
      <c r="U1565" s="320">
        <v>1212690</v>
      </c>
      <c r="V1565" s="319" t="s">
        <v>87</v>
      </c>
      <c r="W1565" s="320">
        <v>3</v>
      </c>
      <c r="X1565" s="320">
        <v>3</v>
      </c>
      <c r="Y1565" s="320">
        <v>3</v>
      </c>
      <c r="Z1565" s="320">
        <v>1</v>
      </c>
      <c r="AA1565" s="320">
        <v>1</v>
      </c>
      <c r="AB1565" s="320">
        <v>1</v>
      </c>
      <c r="AC1565" s="320">
        <v>3</v>
      </c>
      <c r="AD1565" s="320">
        <v>4</v>
      </c>
      <c r="AE1565" s="320"/>
      <c r="AF1565" s="320">
        <v>2</v>
      </c>
      <c r="AG1565" s="320">
        <v>2</v>
      </c>
      <c r="AH1565" s="320">
        <v>2</v>
      </c>
      <c r="AI1565" s="320"/>
      <c r="AJ1565" s="320"/>
      <c r="AK1565" s="320"/>
      <c r="AL1565" s="320"/>
      <c r="AM1565" s="320"/>
      <c r="AN1565" s="320"/>
      <c r="AO1565" s="320"/>
      <c r="AP1565" s="320"/>
      <c r="AQ1565" s="320"/>
      <c r="AR1565" s="320"/>
      <c r="AS1565" s="320"/>
      <c r="AT1565" s="320"/>
      <c r="AU1565" s="320"/>
      <c r="AV1565" s="320"/>
      <c r="AW1565" s="320"/>
      <c r="AX1565" s="320"/>
      <c r="AY1565" s="320"/>
      <c r="AZ1565" s="974"/>
      <c r="BA1565" s="320"/>
      <c r="BB1565" s="320"/>
      <c r="BC1565" s="320"/>
      <c r="BD1565" s="119"/>
      <c r="BF1565">
        <f>ROWS($U$46:U1565)</f>
        <v>1520</v>
      </c>
      <c r="BG1565" t="str">
        <f t="shared" si="230"/>
        <v/>
      </c>
    </row>
    <row r="1566" spans="15:59" x14ac:dyDescent="0.35">
      <c r="O1566" s="330">
        <v>2</v>
      </c>
      <c r="P1566" s="36">
        <v>717751</v>
      </c>
      <c r="Q1566" s="36">
        <v>16</v>
      </c>
      <c r="R1566" s="36"/>
      <c r="S1566" s="36" t="s">
        <v>1200</v>
      </c>
      <c r="T1566" s="36" t="s">
        <v>2102</v>
      </c>
      <c r="U1566" s="36">
        <v>1212690</v>
      </c>
      <c r="V1566" s="165" t="s">
        <v>88</v>
      </c>
      <c r="W1566" s="36">
        <v>1</v>
      </c>
      <c r="X1566" s="36">
        <v>1</v>
      </c>
      <c r="Y1566" s="36">
        <v>1</v>
      </c>
      <c r="Z1566" s="36">
        <v>3</v>
      </c>
      <c r="AA1566" s="36">
        <v>4</v>
      </c>
      <c r="AB1566" s="36"/>
      <c r="AC1566" s="36"/>
      <c r="AD1566" s="36"/>
      <c r="AE1566" s="36"/>
      <c r="AF1566" s="36">
        <v>2</v>
      </c>
      <c r="AG1566" s="36">
        <v>2</v>
      </c>
      <c r="AH1566" s="36">
        <v>2</v>
      </c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  <c r="AV1566" s="36"/>
      <c r="AW1566" s="36"/>
      <c r="AX1566" s="36"/>
      <c r="AY1566" s="36"/>
      <c r="AZ1566" s="961"/>
      <c r="BA1566" s="36"/>
      <c r="BB1566" s="36"/>
      <c r="BC1566" s="36"/>
      <c r="BD1566" s="27"/>
      <c r="BF1566">
        <f>ROWS($U$46:U1566)</f>
        <v>1521</v>
      </c>
      <c r="BG1566" t="str">
        <f t="shared" si="230"/>
        <v/>
      </c>
    </row>
    <row r="1567" spans="15:59" x14ac:dyDescent="0.35">
      <c r="O1567" s="330">
        <v>3</v>
      </c>
      <c r="P1567" s="36">
        <v>1133896</v>
      </c>
      <c r="Q1567" s="36">
        <v>14</v>
      </c>
      <c r="R1567" s="36"/>
      <c r="S1567" s="36" t="s">
        <v>1200</v>
      </c>
      <c r="T1567" s="36" t="s">
        <v>2102</v>
      </c>
      <c r="U1567" s="36">
        <v>1212690</v>
      </c>
      <c r="V1567" s="165" t="s">
        <v>89</v>
      </c>
      <c r="W1567" s="36">
        <v>3</v>
      </c>
      <c r="X1567" s="36">
        <v>3</v>
      </c>
      <c r="Y1567" s="36">
        <v>1</v>
      </c>
      <c r="Z1567" s="36">
        <v>1</v>
      </c>
      <c r="AA1567" s="36">
        <v>1</v>
      </c>
      <c r="AB1567" s="36">
        <v>3</v>
      </c>
      <c r="AC1567" s="36">
        <v>4</v>
      </c>
      <c r="AD1567" s="36"/>
      <c r="AE1567" s="36"/>
      <c r="AF1567" s="36">
        <v>2</v>
      </c>
      <c r="AG1567" s="36">
        <v>2</v>
      </c>
      <c r="AH1567" s="36">
        <v>2</v>
      </c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  <c r="AV1567" s="36"/>
      <c r="AW1567" s="36"/>
      <c r="AX1567" s="36"/>
      <c r="AY1567" s="36"/>
      <c r="AZ1567" s="961"/>
      <c r="BA1567" s="36"/>
      <c r="BB1567" s="36"/>
      <c r="BC1567" s="36"/>
      <c r="BD1567" s="27"/>
      <c r="BF1567">
        <f>ROWS($U$46:U1567)</f>
        <v>1522</v>
      </c>
      <c r="BG1567" t="str">
        <f t="shared" si="230"/>
        <v/>
      </c>
    </row>
    <row r="1568" spans="15:59" x14ac:dyDescent="0.35">
      <c r="O1568" s="330">
        <v>4</v>
      </c>
      <c r="P1568" s="36">
        <v>871781</v>
      </c>
      <c r="Q1568" s="36">
        <v>6</v>
      </c>
      <c r="R1568" s="36"/>
      <c r="S1568" s="36" t="s">
        <v>1200</v>
      </c>
      <c r="T1568" s="36" t="s">
        <v>2102</v>
      </c>
      <c r="U1568" s="36">
        <v>1212690</v>
      </c>
      <c r="V1568" s="165" t="s">
        <v>90</v>
      </c>
      <c r="W1568" s="36">
        <v>1</v>
      </c>
      <c r="X1568" s="36">
        <v>1</v>
      </c>
      <c r="Y1568" s="36">
        <v>1</v>
      </c>
      <c r="Z1568" s="36">
        <v>3</v>
      </c>
      <c r="AA1568" s="36">
        <v>4</v>
      </c>
      <c r="AB1568" s="36"/>
      <c r="AC1568" s="36"/>
      <c r="AD1568" s="36"/>
      <c r="AE1568" s="36"/>
      <c r="AF1568" s="36">
        <v>2</v>
      </c>
      <c r="AG1568" s="36">
        <v>2</v>
      </c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  <c r="AV1568" s="36"/>
      <c r="AW1568" s="36"/>
      <c r="AX1568" s="36"/>
      <c r="AY1568" s="36"/>
      <c r="AZ1568" s="961"/>
      <c r="BA1568" s="36"/>
      <c r="BB1568" s="36"/>
      <c r="BC1568" s="36"/>
      <c r="BD1568" s="27"/>
      <c r="BF1568">
        <f>ROWS($U$46:U1568)</f>
        <v>1523</v>
      </c>
      <c r="BG1568" t="str">
        <f t="shared" si="230"/>
        <v/>
      </c>
    </row>
    <row r="1569" spans="14:59" x14ac:dyDescent="0.35">
      <c r="O1569" s="330"/>
      <c r="P1569" s="36"/>
      <c r="Q1569" s="36"/>
      <c r="R1569" s="36"/>
      <c r="S1569" s="36" t="s">
        <v>1200</v>
      </c>
      <c r="T1569" s="36" t="s">
        <v>2102</v>
      </c>
      <c r="U1569" s="36">
        <v>1212690</v>
      </c>
      <c r="V1569" s="165" t="s">
        <v>91</v>
      </c>
      <c r="W1569" s="36">
        <v>3</v>
      </c>
      <c r="X1569" s="36">
        <v>3</v>
      </c>
      <c r="Y1569" s="36">
        <v>1</v>
      </c>
      <c r="Z1569" s="36">
        <v>1</v>
      </c>
      <c r="AA1569" s="36">
        <v>1</v>
      </c>
      <c r="AB1569" s="36">
        <v>3</v>
      </c>
      <c r="AC1569" s="36">
        <v>3</v>
      </c>
      <c r="AD1569" s="36">
        <v>4</v>
      </c>
      <c r="AE1569" s="36"/>
      <c r="AF1569" s="36">
        <v>2</v>
      </c>
      <c r="AG1569" s="36">
        <v>2</v>
      </c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  <c r="AV1569" s="36"/>
      <c r="AW1569" s="36"/>
      <c r="AX1569" s="36"/>
      <c r="AY1569" s="36"/>
      <c r="AZ1569" s="961"/>
      <c r="BA1569" s="36"/>
      <c r="BB1569" s="36"/>
      <c r="BC1569" s="36"/>
      <c r="BD1569" s="27"/>
      <c r="BF1569">
        <f>ROWS($U$46:U1569)</f>
        <v>1524</v>
      </c>
      <c r="BG1569" t="str">
        <f t="shared" si="230"/>
        <v/>
      </c>
    </row>
    <row r="1570" spans="14:59" ht="15" thickBot="1" x14ac:dyDescent="0.4">
      <c r="O1570" s="331"/>
      <c r="P1570" s="328"/>
      <c r="Q1570" s="328"/>
      <c r="R1570" s="328"/>
      <c r="S1570" s="328" t="s">
        <v>1200</v>
      </c>
      <c r="T1570" s="328" t="s">
        <v>2102</v>
      </c>
      <c r="U1570" s="328">
        <v>1212690</v>
      </c>
      <c r="V1570" s="327" t="s">
        <v>92</v>
      </c>
      <c r="W1570" s="328">
        <v>1</v>
      </c>
      <c r="X1570" s="328">
        <v>1</v>
      </c>
      <c r="Y1570" s="328">
        <v>1</v>
      </c>
      <c r="Z1570" s="328">
        <v>1</v>
      </c>
      <c r="AA1570" s="328">
        <v>3</v>
      </c>
      <c r="AB1570" s="328">
        <v>4</v>
      </c>
      <c r="AC1570" s="328"/>
      <c r="AD1570" s="328"/>
      <c r="AE1570" s="328"/>
      <c r="AF1570" s="328">
        <v>2</v>
      </c>
      <c r="AG1570" s="328">
        <v>2</v>
      </c>
      <c r="AH1570" s="328">
        <v>2</v>
      </c>
      <c r="AI1570" s="328"/>
      <c r="AJ1570" s="328"/>
      <c r="AK1570" s="328"/>
      <c r="AL1570" s="328"/>
      <c r="AM1570" s="328"/>
      <c r="AN1570" s="328"/>
      <c r="AO1570" s="328"/>
      <c r="AP1570" s="328"/>
      <c r="AQ1570" s="328"/>
      <c r="AR1570" s="328"/>
      <c r="AS1570" s="328"/>
      <c r="AT1570" s="328"/>
      <c r="AU1570" s="328"/>
      <c r="AV1570" s="328"/>
      <c r="AW1570" s="328"/>
      <c r="AX1570" s="328"/>
      <c r="AY1570" s="328"/>
      <c r="AZ1570" s="962"/>
      <c r="BA1570" s="328"/>
      <c r="BB1570" s="328"/>
      <c r="BC1570" s="328"/>
      <c r="BD1570" s="31"/>
      <c r="BF1570">
        <f>ROWS($U$46:U1570)</f>
        <v>1525</v>
      </c>
      <c r="BG1570" t="str">
        <f t="shared" si="230"/>
        <v/>
      </c>
    </row>
    <row r="1571" spans="14:59" x14ac:dyDescent="0.35">
      <c r="O1571" s="329">
        <v>1</v>
      </c>
      <c r="P1571" s="320">
        <v>1145493</v>
      </c>
      <c r="Q1571" s="320">
        <v>16</v>
      </c>
      <c r="R1571" s="320"/>
      <c r="S1571" s="320" t="s">
        <v>1319</v>
      </c>
      <c r="T1571" s="320" t="s">
        <v>2028</v>
      </c>
      <c r="U1571" s="320">
        <v>1251085</v>
      </c>
      <c r="V1571" s="319" t="s">
        <v>87</v>
      </c>
      <c r="W1571" s="320">
        <v>1</v>
      </c>
      <c r="X1571" s="320">
        <v>1</v>
      </c>
      <c r="Y1571" s="320">
        <v>1</v>
      </c>
      <c r="Z1571" s="320">
        <v>3</v>
      </c>
      <c r="AA1571" s="320">
        <v>3</v>
      </c>
      <c r="AB1571" s="320">
        <v>1</v>
      </c>
      <c r="AC1571" s="320">
        <v>2</v>
      </c>
      <c r="AD1571" s="320">
        <v>2</v>
      </c>
      <c r="AE1571" s="320"/>
      <c r="AF1571" s="320"/>
      <c r="AG1571" s="320"/>
      <c r="AH1571" s="320"/>
      <c r="AI1571" s="320"/>
      <c r="AJ1571" s="320"/>
      <c r="AK1571" s="320"/>
      <c r="AL1571" s="320"/>
      <c r="AM1571" s="320"/>
      <c r="AN1571" s="320"/>
      <c r="AO1571" s="320"/>
      <c r="AP1571" s="320"/>
      <c r="AQ1571" s="320"/>
      <c r="AR1571" s="320"/>
      <c r="AS1571" s="320"/>
      <c r="AT1571" s="320"/>
      <c r="AU1571" s="320"/>
      <c r="AV1571" s="320"/>
      <c r="AW1571" s="320"/>
      <c r="AX1571" s="320"/>
      <c r="AY1571" s="320"/>
      <c r="AZ1571" s="320"/>
      <c r="BA1571" s="320"/>
      <c r="BB1571" s="320"/>
      <c r="BC1571" s="119"/>
      <c r="BF1571">
        <f>ROWS($U$46:U1571)</f>
        <v>1526</v>
      </c>
      <c r="BG1571" t="str">
        <f t="shared" si="230"/>
        <v/>
      </c>
    </row>
    <row r="1572" spans="14:59" x14ac:dyDescent="0.35">
      <c r="O1572" s="330">
        <v>2</v>
      </c>
      <c r="P1572" s="36">
        <v>418525</v>
      </c>
      <c r="Q1572" s="36">
        <v>10</v>
      </c>
      <c r="R1572" s="36"/>
      <c r="S1572" s="36" t="s">
        <v>1319</v>
      </c>
      <c r="T1572" s="36" t="s">
        <v>2028</v>
      </c>
      <c r="U1572" s="36">
        <v>1251085</v>
      </c>
      <c r="V1572" s="165" t="s">
        <v>88</v>
      </c>
      <c r="W1572" s="36">
        <v>1</v>
      </c>
      <c r="X1572" s="36">
        <v>3</v>
      </c>
      <c r="Y1572" s="36">
        <v>1</v>
      </c>
      <c r="Z1572" s="36">
        <v>2</v>
      </c>
      <c r="AA1572" s="36">
        <v>2</v>
      </c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  <c r="AV1572" s="36"/>
      <c r="AW1572" s="36"/>
      <c r="AX1572" s="36"/>
      <c r="AY1572" s="36"/>
      <c r="AZ1572" s="36"/>
      <c r="BA1572" s="36"/>
      <c r="BB1572" s="36"/>
      <c r="BC1572" s="27"/>
      <c r="BF1572">
        <f>ROWS($U$46:U1572)</f>
        <v>1527</v>
      </c>
      <c r="BG1572" t="str">
        <f t="shared" si="230"/>
        <v/>
      </c>
    </row>
    <row r="1573" spans="14:59" x14ac:dyDescent="0.35">
      <c r="O1573" s="3">
        <v>3</v>
      </c>
      <c r="P1573" s="36">
        <v>1209332</v>
      </c>
      <c r="Q1573" s="36">
        <v>7</v>
      </c>
      <c r="R1573" s="36"/>
      <c r="S1573" s="36" t="s">
        <v>1319</v>
      </c>
      <c r="T1573" s="36" t="s">
        <v>2028</v>
      </c>
      <c r="U1573" s="36">
        <v>1251085</v>
      </c>
      <c r="V1573" s="165" t="s">
        <v>89</v>
      </c>
      <c r="W1573" s="36">
        <v>1</v>
      </c>
      <c r="X1573" s="36">
        <v>1</v>
      </c>
      <c r="Y1573" s="36">
        <v>1</v>
      </c>
      <c r="Z1573" s="36">
        <v>3</v>
      </c>
      <c r="AA1573" s="36">
        <v>1</v>
      </c>
      <c r="AB1573" s="36">
        <v>2</v>
      </c>
      <c r="AC1573" s="36">
        <v>2</v>
      </c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  <c r="AV1573" s="36"/>
      <c r="AW1573" s="36"/>
      <c r="AX1573" s="36"/>
      <c r="AY1573" s="36"/>
      <c r="AZ1573" s="36"/>
      <c r="BA1573" s="36"/>
      <c r="BB1573" s="36"/>
      <c r="BC1573" s="27"/>
      <c r="BF1573">
        <f>ROWS($U$46:U1573)</f>
        <v>1528</v>
      </c>
      <c r="BG1573" t="str">
        <f t="shared" si="230"/>
        <v/>
      </c>
    </row>
    <row r="1574" spans="14:59" x14ac:dyDescent="0.35">
      <c r="O1574" s="3"/>
      <c r="P1574" s="36"/>
      <c r="Q1574" s="36"/>
      <c r="R1574" s="36"/>
      <c r="S1574" s="36" t="s">
        <v>1319</v>
      </c>
      <c r="T1574" s="36" t="s">
        <v>2028</v>
      </c>
      <c r="U1574" s="36">
        <v>1251085</v>
      </c>
      <c r="V1574" s="165" t="s">
        <v>90</v>
      </c>
      <c r="W1574" s="36">
        <v>1</v>
      </c>
      <c r="X1574" s="36">
        <v>1</v>
      </c>
      <c r="Y1574" s="36">
        <v>1</v>
      </c>
      <c r="Z1574" s="36">
        <v>3</v>
      </c>
      <c r="AA1574" s="36">
        <v>1</v>
      </c>
      <c r="AB1574" s="36">
        <v>1</v>
      </c>
      <c r="AC1574" s="36">
        <v>2</v>
      </c>
      <c r="AD1574" s="36">
        <v>2</v>
      </c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  <c r="AV1574" s="36"/>
      <c r="AW1574" s="36"/>
      <c r="AX1574" s="36"/>
      <c r="AY1574" s="36"/>
      <c r="AZ1574" s="36"/>
      <c r="BA1574" s="36"/>
      <c r="BB1574" s="36"/>
      <c r="BC1574" s="27"/>
      <c r="BF1574">
        <f>ROWS($U$46:U1574)</f>
        <v>1529</v>
      </c>
      <c r="BG1574" t="str">
        <f t="shared" si="230"/>
        <v/>
      </c>
    </row>
    <row r="1575" spans="14:59" ht="15" thickBot="1" x14ac:dyDescent="0.4">
      <c r="O1575" s="76"/>
      <c r="P1575" s="328"/>
      <c r="Q1575" s="328"/>
      <c r="R1575" s="328"/>
      <c r="S1575" s="328" t="s">
        <v>1319</v>
      </c>
      <c r="T1575" s="328" t="s">
        <v>2028</v>
      </c>
      <c r="U1575" s="328">
        <v>1251085</v>
      </c>
      <c r="V1575" s="327" t="s">
        <v>91</v>
      </c>
      <c r="W1575" s="328">
        <v>3</v>
      </c>
      <c r="X1575" s="328">
        <v>3</v>
      </c>
      <c r="Y1575" s="328">
        <v>1</v>
      </c>
      <c r="Z1575" s="328">
        <v>2</v>
      </c>
      <c r="AA1575" s="328">
        <v>2</v>
      </c>
      <c r="AB1575" s="328"/>
      <c r="AC1575" s="328"/>
      <c r="AD1575" s="328"/>
      <c r="AE1575" s="328"/>
      <c r="AF1575" s="328"/>
      <c r="AG1575" s="328"/>
      <c r="AH1575" s="328"/>
      <c r="AI1575" s="328"/>
      <c r="AJ1575" s="328"/>
      <c r="AK1575" s="328"/>
      <c r="AL1575" s="328"/>
      <c r="AM1575" s="328"/>
      <c r="AN1575" s="328"/>
      <c r="AO1575" s="328"/>
      <c r="AP1575" s="328"/>
      <c r="AQ1575" s="328"/>
      <c r="AR1575" s="328"/>
      <c r="AS1575" s="328"/>
      <c r="AT1575" s="328"/>
      <c r="AU1575" s="328"/>
      <c r="AV1575" s="328"/>
      <c r="AW1575" s="328"/>
      <c r="AX1575" s="328"/>
      <c r="AY1575" s="328"/>
      <c r="AZ1575" s="328"/>
      <c r="BA1575" s="328"/>
      <c r="BB1575" s="328"/>
      <c r="BC1575" s="31"/>
      <c r="BF1575">
        <f>ROWS($U$46:U1575)</f>
        <v>1530</v>
      </c>
      <c r="BG1575" t="str">
        <f t="shared" si="230"/>
        <v/>
      </c>
    </row>
    <row r="1576" spans="14:59" x14ac:dyDescent="0.35">
      <c r="N1576">
        <f>O1576*Q1576</f>
        <v>41</v>
      </c>
      <c r="O1576" s="329">
        <v>1</v>
      </c>
      <c r="P1576" s="320">
        <v>1100741</v>
      </c>
      <c r="Q1576" s="320">
        <v>41</v>
      </c>
      <c r="R1576" s="320"/>
      <c r="S1576" s="320">
        <v>16</v>
      </c>
      <c r="T1576" s="320" t="s">
        <v>2109</v>
      </c>
      <c r="U1576" s="320">
        <v>1241180</v>
      </c>
      <c r="V1576" s="319" t="s">
        <v>87</v>
      </c>
      <c r="W1576" s="320">
        <v>4</v>
      </c>
      <c r="X1576" s="320">
        <v>4</v>
      </c>
      <c r="Y1576" s="320">
        <v>4</v>
      </c>
      <c r="Z1576" s="320">
        <v>4</v>
      </c>
      <c r="AA1576" s="320">
        <v>4</v>
      </c>
      <c r="AB1576" s="320">
        <v>4</v>
      </c>
      <c r="AC1576" s="320">
        <v>2</v>
      </c>
      <c r="AD1576" s="320">
        <v>2</v>
      </c>
      <c r="AE1576" s="320">
        <v>2</v>
      </c>
      <c r="AF1576" s="320">
        <v>2</v>
      </c>
      <c r="AG1576" s="320">
        <v>2</v>
      </c>
      <c r="AH1576" s="320">
        <v>6</v>
      </c>
      <c r="AI1576" s="320">
        <v>5</v>
      </c>
      <c r="AJ1576" s="320"/>
      <c r="AK1576" s="320">
        <v>3</v>
      </c>
      <c r="AL1576" s="320">
        <v>3</v>
      </c>
      <c r="AM1576" s="320">
        <v>3</v>
      </c>
      <c r="AN1576" s="320">
        <v>3</v>
      </c>
      <c r="AO1576" s="320">
        <v>1</v>
      </c>
      <c r="AP1576" s="320">
        <v>1</v>
      </c>
      <c r="AQ1576" s="320">
        <v>1</v>
      </c>
      <c r="AR1576" s="320">
        <v>1</v>
      </c>
      <c r="AS1576" s="320">
        <v>1</v>
      </c>
      <c r="AT1576" s="320">
        <v>3</v>
      </c>
      <c r="AU1576" s="320"/>
      <c r="AV1576" s="320"/>
      <c r="AW1576" s="320"/>
      <c r="AX1576" s="320"/>
      <c r="AY1576" s="320"/>
      <c r="AZ1576" s="320"/>
      <c r="BA1576" s="320"/>
      <c r="BB1576" s="320"/>
      <c r="BC1576" s="119"/>
      <c r="BF1576">
        <f>ROWS($U$46:U1576)</f>
        <v>1531</v>
      </c>
      <c r="BG1576" t="str">
        <f t="shared" si="230"/>
        <v/>
      </c>
    </row>
    <row r="1577" spans="14:59" x14ac:dyDescent="0.35">
      <c r="N1577">
        <f t="shared" ref="N1577:N1582" si="231">O1577*Q1577</f>
        <v>82</v>
      </c>
      <c r="O1577" s="330">
        <v>2</v>
      </c>
      <c r="P1577" s="36">
        <v>1219562</v>
      </c>
      <c r="Q1577" s="36">
        <v>41</v>
      </c>
      <c r="R1577" s="36"/>
      <c r="S1577" s="36">
        <v>16</v>
      </c>
      <c r="T1577" s="36" t="s">
        <v>2109</v>
      </c>
      <c r="U1577" s="36">
        <v>1241180</v>
      </c>
      <c r="V1577" s="165" t="s">
        <v>88</v>
      </c>
      <c r="W1577" s="36">
        <v>4</v>
      </c>
      <c r="X1577" s="36">
        <v>2</v>
      </c>
      <c r="Y1577" s="36">
        <v>2</v>
      </c>
      <c r="Z1577" s="36">
        <v>2</v>
      </c>
      <c r="AA1577" s="36">
        <v>2</v>
      </c>
      <c r="AB1577" s="36">
        <v>2</v>
      </c>
      <c r="AC1577" s="36">
        <v>2</v>
      </c>
      <c r="AD1577" s="36">
        <v>6</v>
      </c>
      <c r="AE1577" s="36">
        <v>5</v>
      </c>
      <c r="AF1577" s="36"/>
      <c r="AG1577" s="36"/>
      <c r="AH1577" s="36"/>
      <c r="AI1577" s="36"/>
      <c r="AJ1577" s="36"/>
      <c r="AK1577" s="36">
        <v>3</v>
      </c>
      <c r="AL1577" s="36">
        <v>1</v>
      </c>
      <c r="AM1577" s="36">
        <v>1</v>
      </c>
      <c r="AN1577" s="36">
        <v>1</v>
      </c>
      <c r="AO1577" s="36">
        <v>1</v>
      </c>
      <c r="AP1577" s="36">
        <v>1</v>
      </c>
      <c r="AQ1577" s="36">
        <v>1</v>
      </c>
      <c r="AR1577" s="36"/>
      <c r="AS1577" s="36"/>
      <c r="AT1577" s="36"/>
      <c r="AU1577" s="36"/>
      <c r="AV1577" s="36"/>
      <c r="AW1577" s="36"/>
      <c r="AX1577" s="36"/>
      <c r="AY1577" s="36"/>
      <c r="AZ1577" s="36"/>
      <c r="BA1577" s="36"/>
      <c r="BB1577" s="36"/>
      <c r="BC1577" s="27"/>
      <c r="BF1577">
        <f>ROWS($U$46:U1577)</f>
        <v>1532</v>
      </c>
      <c r="BG1577" t="str">
        <f t="shared" si="230"/>
        <v/>
      </c>
    </row>
    <row r="1578" spans="14:59" x14ac:dyDescent="0.35">
      <c r="N1578">
        <f t="shared" si="231"/>
        <v>60</v>
      </c>
      <c r="O1578" s="3">
        <v>3</v>
      </c>
      <c r="P1578" s="36">
        <v>179733</v>
      </c>
      <c r="Q1578" s="36">
        <v>20</v>
      </c>
      <c r="R1578" s="36"/>
      <c r="S1578" s="36">
        <v>16</v>
      </c>
      <c r="T1578" s="36" t="s">
        <v>2109</v>
      </c>
      <c r="U1578" s="36">
        <v>1241180</v>
      </c>
      <c r="V1578" s="165" t="s">
        <v>89</v>
      </c>
      <c r="W1578" s="36">
        <v>4</v>
      </c>
      <c r="X1578" s="36">
        <v>4</v>
      </c>
      <c r="Y1578" s="36">
        <v>4</v>
      </c>
      <c r="Z1578" s="36">
        <v>4</v>
      </c>
      <c r="AA1578" s="36">
        <v>4</v>
      </c>
      <c r="AB1578" s="36">
        <v>2</v>
      </c>
      <c r="AC1578" s="36">
        <v>2</v>
      </c>
      <c r="AD1578" s="36">
        <v>2</v>
      </c>
      <c r="AE1578" s="36">
        <v>2</v>
      </c>
      <c r="AF1578" s="36">
        <v>2</v>
      </c>
      <c r="AG1578" s="36">
        <v>2</v>
      </c>
      <c r="AH1578" s="36">
        <v>6</v>
      </c>
      <c r="AI1578" s="36">
        <v>5</v>
      </c>
      <c r="AJ1578" s="36"/>
      <c r="AK1578" s="36">
        <v>3</v>
      </c>
      <c r="AL1578" s="36">
        <v>3</v>
      </c>
      <c r="AM1578" s="36">
        <v>3</v>
      </c>
      <c r="AN1578" s="36">
        <v>1</v>
      </c>
      <c r="AO1578" s="36">
        <v>1</v>
      </c>
      <c r="AP1578" s="36">
        <v>1</v>
      </c>
      <c r="AQ1578" s="36">
        <v>1</v>
      </c>
      <c r="AR1578" s="36">
        <v>1</v>
      </c>
      <c r="AS1578" s="36">
        <v>1</v>
      </c>
      <c r="AT1578" s="36">
        <v>3</v>
      </c>
      <c r="AU1578" s="36"/>
      <c r="AV1578" s="36"/>
      <c r="AW1578" s="36"/>
      <c r="AX1578" s="36"/>
      <c r="AY1578" s="36"/>
      <c r="AZ1578" s="36"/>
      <c r="BA1578" s="36"/>
      <c r="BB1578" s="36"/>
      <c r="BC1578" s="27"/>
      <c r="BF1578">
        <f>ROWS($U$46:U1578)</f>
        <v>1533</v>
      </c>
      <c r="BG1578" t="str">
        <f t="shared" si="230"/>
        <v/>
      </c>
    </row>
    <row r="1579" spans="14:59" x14ac:dyDescent="0.35">
      <c r="N1579">
        <f t="shared" si="231"/>
        <v>80</v>
      </c>
      <c r="O1579" s="3">
        <v>4</v>
      </c>
      <c r="P1579" s="36">
        <v>1100745</v>
      </c>
      <c r="Q1579" s="36">
        <v>20</v>
      </c>
      <c r="R1579" s="36"/>
      <c r="S1579" s="36">
        <v>16</v>
      </c>
      <c r="T1579" s="36" t="s">
        <v>2109</v>
      </c>
      <c r="U1579" s="36">
        <v>1241180</v>
      </c>
      <c r="V1579" s="165" t="s">
        <v>90</v>
      </c>
      <c r="W1579" s="36">
        <v>4</v>
      </c>
      <c r="X1579" s="36">
        <v>2</v>
      </c>
      <c r="Y1579" s="36">
        <v>2</v>
      </c>
      <c r="Z1579" s="36">
        <v>2</v>
      </c>
      <c r="AA1579" s="36">
        <v>2</v>
      </c>
      <c r="AB1579" s="36">
        <v>2</v>
      </c>
      <c r="AC1579" s="36">
        <v>2</v>
      </c>
      <c r="AD1579" s="36">
        <v>6</v>
      </c>
      <c r="AE1579" s="36">
        <v>5</v>
      </c>
      <c r="AF1579" s="36"/>
      <c r="AG1579" s="36"/>
      <c r="AH1579" s="36"/>
      <c r="AI1579" s="36"/>
      <c r="AJ1579" s="36"/>
      <c r="AK1579" s="36">
        <v>3</v>
      </c>
      <c r="AL1579" s="36">
        <v>1</v>
      </c>
      <c r="AM1579" s="36">
        <v>1</v>
      </c>
      <c r="AN1579" s="36">
        <v>1</v>
      </c>
      <c r="AO1579" s="36">
        <v>1</v>
      </c>
      <c r="AP1579" s="36">
        <v>1</v>
      </c>
      <c r="AQ1579" s="36">
        <v>1</v>
      </c>
      <c r="AR1579" s="36">
        <v>3</v>
      </c>
      <c r="AS1579" s="36"/>
      <c r="AT1579" s="36"/>
      <c r="AU1579" s="36"/>
      <c r="AV1579" s="36"/>
      <c r="AW1579" s="36"/>
      <c r="AX1579" s="36"/>
      <c r="AY1579" s="36"/>
      <c r="AZ1579" s="36"/>
      <c r="BA1579" s="36"/>
      <c r="BB1579" s="36"/>
      <c r="BC1579" s="27"/>
      <c r="BF1579">
        <f>ROWS($U$46:U1579)</f>
        <v>1534</v>
      </c>
      <c r="BG1579" t="str">
        <f t="shared" si="230"/>
        <v/>
      </c>
    </row>
    <row r="1580" spans="14:59" x14ac:dyDescent="0.35">
      <c r="N1580">
        <f t="shared" si="231"/>
        <v>35</v>
      </c>
      <c r="O1580" s="3">
        <v>5</v>
      </c>
      <c r="P1580" s="36">
        <v>418525</v>
      </c>
      <c r="Q1580" s="36">
        <v>7</v>
      </c>
      <c r="R1580" s="36"/>
      <c r="S1580" s="36">
        <v>16</v>
      </c>
      <c r="T1580" s="36" t="s">
        <v>2109</v>
      </c>
      <c r="U1580" s="36">
        <v>1241180</v>
      </c>
      <c r="V1580" s="165" t="s">
        <v>91</v>
      </c>
      <c r="W1580" s="36">
        <v>4</v>
      </c>
      <c r="X1580" s="36">
        <v>4</v>
      </c>
      <c r="Y1580" s="36">
        <v>4</v>
      </c>
      <c r="Z1580" s="36">
        <v>4</v>
      </c>
      <c r="AA1580" s="36">
        <v>4</v>
      </c>
      <c r="AB1580" s="36">
        <v>2</v>
      </c>
      <c r="AC1580" s="36">
        <v>2</v>
      </c>
      <c r="AD1580" s="36">
        <v>2</v>
      </c>
      <c r="AE1580" s="36">
        <v>2</v>
      </c>
      <c r="AF1580" s="36">
        <v>2</v>
      </c>
      <c r="AG1580" s="36">
        <v>2</v>
      </c>
      <c r="AH1580" s="36">
        <v>6</v>
      </c>
      <c r="AI1580" s="36">
        <v>5</v>
      </c>
      <c r="AJ1580" s="36"/>
      <c r="AK1580" s="36">
        <v>3</v>
      </c>
      <c r="AL1580" s="36">
        <v>3</v>
      </c>
      <c r="AM1580" s="36">
        <v>3</v>
      </c>
      <c r="AN1580" s="36">
        <v>1</v>
      </c>
      <c r="AO1580" s="36">
        <v>1</v>
      </c>
      <c r="AP1580" s="36">
        <v>1</v>
      </c>
      <c r="AQ1580" s="36">
        <v>1</v>
      </c>
      <c r="AR1580" s="36">
        <v>1</v>
      </c>
      <c r="AS1580" s="36">
        <v>1</v>
      </c>
      <c r="AT1580" s="36">
        <v>3</v>
      </c>
      <c r="AU1580" s="36"/>
      <c r="AV1580" s="36"/>
      <c r="AW1580" s="36"/>
      <c r="AX1580" s="36"/>
      <c r="AY1580" s="36"/>
      <c r="AZ1580" s="36"/>
      <c r="BA1580" s="36"/>
      <c r="BB1580" s="36"/>
      <c r="BC1580" s="27"/>
      <c r="BF1580">
        <f>ROWS($U$46:U1580)</f>
        <v>1535</v>
      </c>
      <c r="BG1580" t="str">
        <f t="shared" si="230"/>
        <v/>
      </c>
    </row>
    <row r="1581" spans="14:59" x14ac:dyDescent="0.35">
      <c r="N1581">
        <f t="shared" si="231"/>
        <v>42</v>
      </c>
      <c r="O1581" s="3">
        <v>6</v>
      </c>
      <c r="P1581" s="36">
        <v>1146737</v>
      </c>
      <c r="Q1581" s="36">
        <v>7</v>
      </c>
      <c r="R1581" s="36"/>
      <c r="S1581" s="36">
        <v>16</v>
      </c>
      <c r="T1581" s="36" t="s">
        <v>2109</v>
      </c>
      <c r="U1581" s="36">
        <v>1241180</v>
      </c>
      <c r="V1581" s="165" t="s">
        <v>92</v>
      </c>
      <c r="W1581" s="36">
        <v>4</v>
      </c>
      <c r="X1581" s="36">
        <v>2</v>
      </c>
      <c r="Y1581" s="36">
        <v>2</v>
      </c>
      <c r="Z1581" s="36">
        <v>2</v>
      </c>
      <c r="AA1581" s="36">
        <v>2</v>
      </c>
      <c r="AB1581" s="36">
        <v>2</v>
      </c>
      <c r="AC1581" s="36">
        <v>2</v>
      </c>
      <c r="AD1581" s="36">
        <v>6</v>
      </c>
      <c r="AE1581" s="36">
        <v>5</v>
      </c>
      <c r="AF1581" s="36"/>
      <c r="AG1581" s="36"/>
      <c r="AH1581" s="36"/>
      <c r="AI1581" s="36"/>
      <c r="AJ1581" s="36"/>
      <c r="AK1581" s="36">
        <v>3</v>
      </c>
      <c r="AL1581" s="36">
        <v>1</v>
      </c>
      <c r="AM1581" s="36">
        <v>1</v>
      </c>
      <c r="AN1581" s="36">
        <v>1</v>
      </c>
      <c r="AO1581" s="36">
        <v>1</v>
      </c>
      <c r="AP1581" s="36">
        <v>1</v>
      </c>
      <c r="AQ1581" s="36">
        <v>1</v>
      </c>
      <c r="AR1581" s="36">
        <v>3</v>
      </c>
      <c r="AS1581" s="36"/>
      <c r="AT1581" s="36"/>
      <c r="AU1581" s="36"/>
      <c r="AV1581" s="36"/>
      <c r="AW1581" s="36"/>
      <c r="AX1581" s="36"/>
      <c r="AY1581" s="36"/>
      <c r="AZ1581" s="36"/>
      <c r="BA1581" s="36"/>
      <c r="BB1581" s="36"/>
      <c r="BC1581" s="27"/>
      <c r="BF1581">
        <f>ROWS($U$46:U1581)</f>
        <v>1536</v>
      </c>
      <c r="BG1581" t="str">
        <f t="shared" si="230"/>
        <v/>
      </c>
    </row>
    <row r="1582" spans="14:59" ht="15" thickBot="1" x14ac:dyDescent="0.4">
      <c r="N1582">
        <f t="shared" si="231"/>
        <v>0</v>
      </c>
      <c r="O1582" s="76"/>
      <c r="P1582" s="328"/>
      <c r="Q1582" s="328"/>
      <c r="R1582" s="328"/>
      <c r="S1582" s="328">
        <v>16</v>
      </c>
      <c r="T1582" s="328" t="s">
        <v>2109</v>
      </c>
      <c r="U1582" s="328">
        <v>1241180</v>
      </c>
      <c r="V1582" s="327" t="s">
        <v>111</v>
      </c>
      <c r="W1582" s="328">
        <v>4</v>
      </c>
      <c r="X1582" s="328">
        <v>2</v>
      </c>
      <c r="Y1582" s="328">
        <v>2</v>
      </c>
      <c r="Z1582" s="328">
        <v>2</v>
      </c>
      <c r="AA1582" s="328">
        <v>2</v>
      </c>
      <c r="AB1582" s="328">
        <v>2</v>
      </c>
      <c r="AC1582" s="328">
        <v>2</v>
      </c>
      <c r="AD1582" s="328">
        <v>6</v>
      </c>
      <c r="AE1582" s="328">
        <v>5</v>
      </c>
      <c r="AF1582" s="328"/>
      <c r="AG1582" s="328"/>
      <c r="AH1582" s="328"/>
      <c r="AI1582" s="328"/>
      <c r="AJ1582" s="328"/>
      <c r="AK1582" s="328">
        <v>3</v>
      </c>
      <c r="AL1582" s="328">
        <v>1</v>
      </c>
      <c r="AM1582" s="328">
        <v>1</v>
      </c>
      <c r="AN1582" s="328">
        <v>1</v>
      </c>
      <c r="AO1582" s="328">
        <v>1</v>
      </c>
      <c r="AP1582" s="328">
        <v>1</v>
      </c>
      <c r="AQ1582" s="328">
        <v>1</v>
      </c>
      <c r="AR1582" s="328">
        <v>3</v>
      </c>
      <c r="AS1582" s="328"/>
      <c r="AT1582" s="328"/>
      <c r="AU1582" s="328"/>
      <c r="AV1582" s="328"/>
      <c r="AW1582" s="328"/>
      <c r="AX1582" s="328"/>
      <c r="AY1582" s="328"/>
      <c r="AZ1582" s="328"/>
      <c r="BA1582" s="328"/>
      <c r="BB1582" s="328"/>
      <c r="BC1582" s="31"/>
      <c r="BF1582">
        <f>ROWS($U$46:U1582)</f>
        <v>1537</v>
      </c>
      <c r="BG1582" t="str">
        <f t="shared" si="230"/>
        <v/>
      </c>
    </row>
    <row r="1583" spans="14:59" x14ac:dyDescent="0.35">
      <c r="O1583" s="329">
        <v>1</v>
      </c>
      <c r="P1583" s="320">
        <v>1100755</v>
      </c>
      <c r="Q1583" s="320">
        <v>9</v>
      </c>
      <c r="R1583" s="320"/>
      <c r="S1583" s="320" t="s">
        <v>1198</v>
      </c>
      <c r="T1583" s="320" t="s">
        <v>2102</v>
      </c>
      <c r="U1583" s="320">
        <v>1141517</v>
      </c>
      <c r="V1583" s="319" t="s">
        <v>87</v>
      </c>
      <c r="W1583" s="320">
        <v>4</v>
      </c>
      <c r="X1583" s="320">
        <v>4</v>
      </c>
      <c r="Y1583" s="320">
        <v>4</v>
      </c>
      <c r="Z1583" s="320">
        <v>5</v>
      </c>
      <c r="AA1583" s="320">
        <v>5</v>
      </c>
      <c r="AB1583" s="320">
        <v>5</v>
      </c>
      <c r="AC1583" s="320">
        <v>1</v>
      </c>
      <c r="AD1583" s="320">
        <v>3</v>
      </c>
      <c r="AE1583" s="320"/>
      <c r="AF1583" s="320">
        <v>2</v>
      </c>
      <c r="AG1583" s="320">
        <v>2</v>
      </c>
      <c r="AH1583" s="320">
        <v>2</v>
      </c>
      <c r="AI1583" s="320">
        <v>2</v>
      </c>
      <c r="AJ1583" s="320"/>
      <c r="AK1583" s="320"/>
      <c r="AL1583" s="320"/>
      <c r="AM1583" s="320"/>
      <c r="AN1583" s="320"/>
      <c r="AO1583" s="320"/>
      <c r="AP1583" s="320"/>
      <c r="AQ1583" s="320"/>
      <c r="AR1583" s="320"/>
      <c r="AS1583" s="320"/>
      <c r="AT1583" s="320"/>
      <c r="AU1583" s="320"/>
      <c r="AV1583" s="320"/>
      <c r="AW1583" s="320"/>
      <c r="AX1583" s="320"/>
      <c r="AY1583" s="320"/>
      <c r="AZ1583" s="974"/>
      <c r="BA1583" s="320"/>
      <c r="BB1583" s="320"/>
      <c r="BC1583" s="320"/>
      <c r="BD1583" s="119"/>
      <c r="BF1583">
        <f>ROWS($U$46:U1583)</f>
        <v>1538</v>
      </c>
      <c r="BG1583" t="str">
        <f t="shared" ref="BG1583:BG1646" si="232">IF(VALUE(SUBSTITUTE($B$5,"M",""))=U1583,BF1583,"")</f>
        <v/>
      </c>
    </row>
    <row r="1584" spans="14:59" x14ac:dyDescent="0.35">
      <c r="O1584" s="330">
        <v>2</v>
      </c>
      <c r="P1584" s="36">
        <v>647435</v>
      </c>
      <c r="Q1584" s="36">
        <v>23</v>
      </c>
      <c r="R1584" s="36"/>
      <c r="S1584" s="36" t="s">
        <v>1198</v>
      </c>
      <c r="T1584" s="36" t="s">
        <v>2102</v>
      </c>
      <c r="U1584" s="36">
        <v>1141517</v>
      </c>
      <c r="V1584" s="165" t="s">
        <v>88</v>
      </c>
      <c r="W1584" s="36">
        <v>5</v>
      </c>
      <c r="X1584" s="36">
        <v>5</v>
      </c>
      <c r="Y1584" s="36">
        <v>5</v>
      </c>
      <c r="Z1584" s="36">
        <v>1</v>
      </c>
      <c r="AA1584" s="36">
        <v>3</v>
      </c>
      <c r="AB1584" s="36"/>
      <c r="AC1584" s="36"/>
      <c r="AD1584" s="36"/>
      <c r="AE1584" s="36"/>
      <c r="AF1584" s="36">
        <v>2</v>
      </c>
      <c r="AG1584" s="36">
        <v>2</v>
      </c>
      <c r="AH1584" s="36">
        <v>2</v>
      </c>
      <c r="AI1584" s="36">
        <v>2</v>
      </c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  <c r="AV1584" s="36"/>
      <c r="AW1584" s="36"/>
      <c r="AX1584" s="36"/>
      <c r="AY1584" s="36"/>
      <c r="AZ1584" s="961"/>
      <c r="BA1584" s="36"/>
      <c r="BB1584" s="36"/>
      <c r="BC1584" s="36"/>
      <c r="BD1584" s="27"/>
      <c r="BF1584">
        <f>ROWS($U$46:U1584)</f>
        <v>1539</v>
      </c>
      <c r="BG1584" t="str">
        <f t="shared" si="232"/>
        <v/>
      </c>
    </row>
    <row r="1585" spans="15:59" x14ac:dyDescent="0.35">
      <c r="O1585" s="330">
        <v>3</v>
      </c>
      <c r="P1585" s="36">
        <v>418525</v>
      </c>
      <c r="Q1585" s="36">
        <v>6</v>
      </c>
      <c r="R1585" s="36"/>
      <c r="S1585" s="36" t="s">
        <v>1198</v>
      </c>
      <c r="T1585" s="36" t="s">
        <v>2102</v>
      </c>
      <c r="U1585" s="36">
        <v>1141517</v>
      </c>
      <c r="V1585" s="165" t="s">
        <v>89</v>
      </c>
      <c r="W1585" s="36">
        <v>4</v>
      </c>
      <c r="X1585" s="36">
        <v>4</v>
      </c>
      <c r="Y1585" s="36">
        <v>5</v>
      </c>
      <c r="Z1585" s="36">
        <v>5</v>
      </c>
      <c r="AA1585" s="36">
        <v>5</v>
      </c>
      <c r="AB1585" s="36">
        <v>1</v>
      </c>
      <c r="AC1585" s="36">
        <v>3</v>
      </c>
      <c r="AD1585" s="36"/>
      <c r="AE1585" s="36"/>
      <c r="AF1585" s="36">
        <v>2</v>
      </c>
      <c r="AG1585" s="36">
        <v>2</v>
      </c>
      <c r="AH1585" s="36">
        <v>2</v>
      </c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  <c r="AV1585" s="36"/>
      <c r="AW1585" s="36"/>
      <c r="AX1585" s="36"/>
      <c r="AY1585" s="36"/>
      <c r="AZ1585" s="961"/>
      <c r="BA1585" s="36"/>
      <c r="BB1585" s="36"/>
      <c r="BC1585" s="36"/>
      <c r="BD1585" s="27"/>
      <c r="BF1585">
        <f>ROWS($U$46:U1585)</f>
        <v>1540</v>
      </c>
      <c r="BG1585" t="str">
        <f t="shared" si="232"/>
        <v/>
      </c>
    </row>
    <row r="1586" spans="15:59" x14ac:dyDescent="0.35">
      <c r="O1586" s="330">
        <v>4</v>
      </c>
      <c r="P1586" s="36">
        <v>1208601</v>
      </c>
      <c r="Q1586" s="36">
        <v>8</v>
      </c>
      <c r="R1586" s="36"/>
      <c r="S1586" s="36" t="s">
        <v>1198</v>
      </c>
      <c r="T1586" s="36" t="s">
        <v>2102</v>
      </c>
      <c r="U1586" s="36">
        <v>1141517</v>
      </c>
      <c r="V1586" s="165" t="s">
        <v>90</v>
      </c>
      <c r="W1586" s="36">
        <v>5</v>
      </c>
      <c r="X1586" s="36">
        <v>5</v>
      </c>
      <c r="Y1586" s="36">
        <v>5</v>
      </c>
      <c r="Z1586" s="36">
        <v>1</v>
      </c>
      <c r="AA1586" s="36">
        <v>1</v>
      </c>
      <c r="AB1586" s="36">
        <v>3</v>
      </c>
      <c r="AC1586" s="36"/>
      <c r="AD1586" s="36"/>
      <c r="AE1586" s="36"/>
      <c r="AF1586" s="36">
        <v>2</v>
      </c>
      <c r="AG1586" s="36">
        <v>2</v>
      </c>
      <c r="AH1586" s="36">
        <v>2</v>
      </c>
      <c r="AI1586" s="36">
        <v>2</v>
      </c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  <c r="AV1586" s="36"/>
      <c r="AW1586" s="36"/>
      <c r="AX1586" s="36"/>
      <c r="AY1586" s="36"/>
      <c r="AZ1586" s="961"/>
      <c r="BA1586" s="36"/>
      <c r="BB1586" s="36"/>
      <c r="BC1586" s="36"/>
      <c r="BD1586" s="27"/>
      <c r="BF1586">
        <f>ROWS($U$46:U1586)</f>
        <v>1541</v>
      </c>
      <c r="BG1586" t="str">
        <f t="shared" si="232"/>
        <v/>
      </c>
    </row>
    <row r="1587" spans="15:59" x14ac:dyDescent="0.35">
      <c r="O1587" s="330">
        <v>5</v>
      </c>
      <c r="P1587" s="36">
        <v>1235963</v>
      </c>
      <c r="Q1587" s="36">
        <v>16</v>
      </c>
      <c r="R1587" s="36"/>
      <c r="S1587" s="36" t="s">
        <v>1198</v>
      </c>
      <c r="T1587" s="36" t="s">
        <v>2102</v>
      </c>
      <c r="U1587" s="36">
        <v>1141517</v>
      </c>
      <c r="V1587" s="165" t="s">
        <v>91</v>
      </c>
      <c r="W1587" s="36">
        <v>4</v>
      </c>
      <c r="X1587" s="36">
        <v>4</v>
      </c>
      <c r="Y1587" s="36">
        <v>4</v>
      </c>
      <c r="Z1587" s="36">
        <v>5</v>
      </c>
      <c r="AA1587" s="36">
        <v>5</v>
      </c>
      <c r="AB1587" s="36">
        <v>1</v>
      </c>
      <c r="AC1587" s="36">
        <v>1</v>
      </c>
      <c r="AD1587" s="36">
        <v>3</v>
      </c>
      <c r="AE1587" s="36"/>
      <c r="AF1587" s="36">
        <v>2</v>
      </c>
      <c r="AG1587" s="36">
        <v>2</v>
      </c>
      <c r="AH1587" s="36">
        <v>2</v>
      </c>
      <c r="AI1587" s="36">
        <v>2</v>
      </c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  <c r="AV1587" s="36"/>
      <c r="AW1587" s="36"/>
      <c r="AX1587" s="36"/>
      <c r="AY1587" s="36"/>
      <c r="AZ1587" s="961"/>
      <c r="BA1587" s="36"/>
      <c r="BB1587" s="36"/>
      <c r="BC1587" s="36"/>
      <c r="BD1587" s="27"/>
      <c r="BF1587">
        <f>ROWS($U$46:U1587)</f>
        <v>1542</v>
      </c>
      <c r="BG1587" t="str">
        <f t="shared" si="232"/>
        <v/>
      </c>
    </row>
    <row r="1588" spans="15:59" ht="15" thickBot="1" x14ac:dyDescent="0.4">
      <c r="O1588" s="331"/>
      <c r="P1588" s="328"/>
      <c r="Q1588" s="328"/>
      <c r="R1588" s="328"/>
      <c r="S1588" s="328" t="s">
        <v>1198</v>
      </c>
      <c r="T1588" s="328" t="s">
        <v>2102</v>
      </c>
      <c r="U1588" s="328">
        <v>1141517</v>
      </c>
      <c r="V1588" s="327" t="s">
        <v>92</v>
      </c>
      <c r="W1588" s="328">
        <v>5</v>
      </c>
      <c r="X1588" s="328">
        <v>5</v>
      </c>
      <c r="Y1588" s="328">
        <v>1</v>
      </c>
      <c r="Z1588" s="328">
        <v>1</v>
      </c>
      <c r="AA1588" s="328">
        <v>3</v>
      </c>
      <c r="AB1588" s="328"/>
      <c r="AC1588" s="328"/>
      <c r="AD1588" s="328"/>
      <c r="AE1588" s="328"/>
      <c r="AF1588" s="328">
        <v>2</v>
      </c>
      <c r="AG1588" s="328">
        <v>2</v>
      </c>
      <c r="AH1588" s="328">
        <v>2</v>
      </c>
      <c r="AI1588" s="328">
        <v>2</v>
      </c>
      <c r="AJ1588" s="328"/>
      <c r="AK1588" s="328"/>
      <c r="AL1588" s="328"/>
      <c r="AM1588" s="328"/>
      <c r="AN1588" s="328"/>
      <c r="AO1588" s="328"/>
      <c r="AP1588" s="328"/>
      <c r="AQ1588" s="328"/>
      <c r="AR1588" s="328"/>
      <c r="AS1588" s="328"/>
      <c r="AT1588" s="328"/>
      <c r="AU1588" s="328"/>
      <c r="AV1588" s="328"/>
      <c r="AW1588" s="328"/>
      <c r="AX1588" s="328"/>
      <c r="AY1588" s="328"/>
      <c r="AZ1588" s="962"/>
      <c r="BA1588" s="328"/>
      <c r="BB1588" s="328"/>
      <c r="BC1588" s="328"/>
      <c r="BD1588" s="31"/>
      <c r="BF1588">
        <f>ROWS($U$46:U1588)</f>
        <v>1543</v>
      </c>
      <c r="BG1588" t="str">
        <f t="shared" si="232"/>
        <v/>
      </c>
    </row>
    <row r="1589" spans="15:59" x14ac:dyDescent="0.35">
      <c r="O1589" s="329">
        <v>1</v>
      </c>
      <c r="P1589" s="320">
        <v>1141583</v>
      </c>
      <c r="Q1589" s="320">
        <v>47</v>
      </c>
      <c r="R1589" s="320"/>
      <c r="S1589" s="320">
        <v>16</v>
      </c>
      <c r="T1589" s="320" t="s">
        <v>2115</v>
      </c>
      <c r="U1589" s="320">
        <v>1226210</v>
      </c>
      <c r="V1589" s="319" t="s">
        <v>87</v>
      </c>
      <c r="W1589" s="320">
        <v>3</v>
      </c>
      <c r="X1589" s="320">
        <v>3</v>
      </c>
      <c r="Y1589" s="320">
        <v>3</v>
      </c>
      <c r="Z1589" s="320">
        <v>3</v>
      </c>
      <c r="AA1589" s="320">
        <v>3</v>
      </c>
      <c r="AB1589" s="320">
        <v>3</v>
      </c>
      <c r="AC1589" s="320">
        <v>1</v>
      </c>
      <c r="AD1589" s="320">
        <v>1</v>
      </c>
      <c r="AE1589" s="320">
        <v>1</v>
      </c>
      <c r="AF1589" s="320">
        <v>1</v>
      </c>
      <c r="AG1589" s="320">
        <v>1</v>
      </c>
      <c r="AH1589" s="320">
        <v>1</v>
      </c>
      <c r="AI1589" s="320">
        <v>1</v>
      </c>
      <c r="AJ1589" s="320">
        <v>3</v>
      </c>
      <c r="AK1589" s="320">
        <v>6</v>
      </c>
      <c r="AL1589" s="320"/>
      <c r="AM1589" s="320">
        <v>5</v>
      </c>
      <c r="AN1589" s="320">
        <v>5</v>
      </c>
      <c r="AO1589" s="320">
        <v>5</v>
      </c>
      <c r="AP1589" s="320">
        <v>2</v>
      </c>
      <c r="AQ1589" s="320">
        <v>2</v>
      </c>
      <c r="AR1589" s="320">
        <v>2</v>
      </c>
      <c r="AS1589" s="320">
        <v>2</v>
      </c>
      <c r="AT1589" s="320">
        <v>2</v>
      </c>
      <c r="AU1589" s="320">
        <v>2</v>
      </c>
      <c r="AV1589" s="320">
        <v>5</v>
      </c>
      <c r="AW1589" s="320">
        <v>4</v>
      </c>
      <c r="AX1589" s="320">
        <v>4</v>
      </c>
      <c r="AY1589" s="320">
        <v>4</v>
      </c>
      <c r="AZ1589" s="320">
        <v>4</v>
      </c>
      <c r="BA1589" s="320"/>
      <c r="BB1589" s="320"/>
      <c r="BC1589" s="119"/>
      <c r="BF1589">
        <f>ROWS($U$46:U1589)</f>
        <v>1544</v>
      </c>
      <c r="BG1589" t="str">
        <f t="shared" si="232"/>
        <v/>
      </c>
    </row>
    <row r="1590" spans="15:59" x14ac:dyDescent="0.35">
      <c r="O1590" s="330">
        <v>2</v>
      </c>
      <c r="P1590" s="36">
        <v>871781</v>
      </c>
      <c r="Q1590" s="36">
        <v>42</v>
      </c>
      <c r="R1590" s="36"/>
      <c r="S1590" s="36">
        <v>16</v>
      </c>
      <c r="T1590" s="36" t="s">
        <v>2115</v>
      </c>
      <c r="U1590" s="36">
        <v>1226210</v>
      </c>
      <c r="V1590" s="165" t="s">
        <v>88</v>
      </c>
      <c r="W1590" s="36">
        <v>3</v>
      </c>
      <c r="X1590" s="36">
        <v>3</v>
      </c>
      <c r="Y1590" s="36">
        <v>1</v>
      </c>
      <c r="Z1590" s="36">
        <v>1</v>
      </c>
      <c r="AA1590" s="36">
        <v>1</v>
      </c>
      <c r="AB1590" s="36">
        <v>1</v>
      </c>
      <c r="AC1590" s="36">
        <v>1</v>
      </c>
      <c r="AD1590" s="36">
        <v>1</v>
      </c>
      <c r="AE1590" s="36">
        <v>3</v>
      </c>
      <c r="AF1590" s="36">
        <v>3</v>
      </c>
      <c r="AG1590" s="36">
        <v>6</v>
      </c>
      <c r="AH1590" s="36"/>
      <c r="AI1590" s="36"/>
      <c r="AJ1590" s="36"/>
      <c r="AK1590" s="36"/>
      <c r="AL1590" s="36"/>
      <c r="AM1590" s="36">
        <v>5</v>
      </c>
      <c r="AN1590" s="36">
        <v>2</v>
      </c>
      <c r="AO1590" s="36">
        <v>2</v>
      </c>
      <c r="AP1590" s="36">
        <v>2</v>
      </c>
      <c r="AQ1590" s="36">
        <v>2</v>
      </c>
      <c r="AR1590" s="36">
        <v>2</v>
      </c>
      <c r="AS1590" s="36">
        <v>2</v>
      </c>
      <c r="AT1590" s="36">
        <v>5</v>
      </c>
      <c r="AU1590" s="36">
        <v>5</v>
      </c>
      <c r="AV1590" s="36">
        <v>4</v>
      </c>
      <c r="AW1590" s="36">
        <v>4</v>
      </c>
      <c r="AX1590" s="36">
        <v>4</v>
      </c>
      <c r="AY1590" s="36">
        <v>4</v>
      </c>
      <c r="AZ1590" s="36"/>
      <c r="BA1590" s="36"/>
      <c r="BB1590" s="36"/>
      <c r="BC1590" s="27"/>
      <c r="BF1590">
        <f>ROWS($U$46:U1590)</f>
        <v>1545</v>
      </c>
      <c r="BG1590" t="str">
        <f t="shared" si="232"/>
        <v/>
      </c>
    </row>
    <row r="1591" spans="15:59" x14ac:dyDescent="0.35">
      <c r="O1591" s="3">
        <v>3</v>
      </c>
      <c r="P1591" s="36">
        <v>1133896</v>
      </c>
      <c r="Q1591" s="36">
        <v>32</v>
      </c>
      <c r="R1591" s="36"/>
      <c r="S1591" s="36">
        <v>16</v>
      </c>
      <c r="T1591" s="36" t="s">
        <v>2115</v>
      </c>
      <c r="U1591" s="36">
        <v>1226210</v>
      </c>
      <c r="V1591" s="165" t="s">
        <v>89</v>
      </c>
      <c r="W1591" s="36">
        <v>3</v>
      </c>
      <c r="X1591" s="36">
        <v>3</v>
      </c>
      <c r="Y1591" s="36">
        <v>3</v>
      </c>
      <c r="Z1591" s="36">
        <v>3</v>
      </c>
      <c r="AA1591" s="36">
        <v>3</v>
      </c>
      <c r="AB1591" s="36">
        <v>1</v>
      </c>
      <c r="AC1591" s="36">
        <v>1</v>
      </c>
      <c r="AD1591" s="36">
        <v>1</v>
      </c>
      <c r="AE1591" s="36">
        <v>1</v>
      </c>
      <c r="AF1591" s="36">
        <v>1</v>
      </c>
      <c r="AG1591" s="36">
        <v>1</v>
      </c>
      <c r="AH1591" s="36">
        <v>1</v>
      </c>
      <c r="AI1591" s="36">
        <v>3</v>
      </c>
      <c r="AJ1591" s="36">
        <v>6</v>
      </c>
      <c r="AK1591" s="36"/>
      <c r="AL1591" s="36"/>
      <c r="AM1591" s="36">
        <v>5</v>
      </c>
      <c r="AN1591" s="36">
        <v>5</v>
      </c>
      <c r="AO1591" s="36">
        <v>5</v>
      </c>
      <c r="AP1591" s="36">
        <v>2</v>
      </c>
      <c r="AQ1591" s="36">
        <v>2</v>
      </c>
      <c r="AR1591" s="36">
        <v>2</v>
      </c>
      <c r="AS1591" s="36">
        <v>2</v>
      </c>
      <c r="AT1591" s="36">
        <v>2</v>
      </c>
      <c r="AU1591" s="36">
        <v>2</v>
      </c>
      <c r="AV1591" s="36">
        <v>5</v>
      </c>
      <c r="AW1591" s="36">
        <v>4</v>
      </c>
      <c r="AX1591" s="36">
        <v>4</v>
      </c>
      <c r="AY1591" s="36">
        <v>4</v>
      </c>
      <c r="AZ1591" s="36">
        <v>4</v>
      </c>
      <c r="BA1591" s="36"/>
      <c r="BB1591" s="36"/>
      <c r="BC1591" s="27"/>
      <c r="BF1591">
        <f>ROWS($U$46:U1591)</f>
        <v>1546</v>
      </c>
      <c r="BG1591" t="str">
        <f t="shared" si="232"/>
        <v/>
      </c>
    </row>
    <row r="1592" spans="15:59" x14ac:dyDescent="0.35">
      <c r="O1592" s="3">
        <v>4</v>
      </c>
      <c r="P1592" s="36">
        <v>410851</v>
      </c>
      <c r="Q1592" s="36">
        <v>28</v>
      </c>
      <c r="R1592" s="36"/>
      <c r="S1592" s="36">
        <v>16</v>
      </c>
      <c r="T1592" s="36" t="s">
        <v>2115</v>
      </c>
      <c r="U1592" s="36">
        <v>1226210</v>
      </c>
      <c r="V1592" s="165" t="s">
        <v>90</v>
      </c>
      <c r="W1592" s="36">
        <v>3</v>
      </c>
      <c r="X1592" s="36">
        <v>3</v>
      </c>
      <c r="Y1592" s="36">
        <v>1</v>
      </c>
      <c r="Z1592" s="36">
        <v>1</v>
      </c>
      <c r="AA1592" s="36">
        <v>1</v>
      </c>
      <c r="AB1592" s="36">
        <v>1</v>
      </c>
      <c r="AC1592" s="36">
        <v>1</v>
      </c>
      <c r="AD1592" s="36">
        <v>1</v>
      </c>
      <c r="AE1592" s="36">
        <v>3</v>
      </c>
      <c r="AF1592" s="36">
        <v>3</v>
      </c>
      <c r="AG1592" s="36">
        <v>6</v>
      </c>
      <c r="AH1592" s="36"/>
      <c r="AI1592" s="36"/>
      <c r="AJ1592" s="36"/>
      <c r="AK1592" s="36"/>
      <c r="AL1592" s="36"/>
      <c r="AM1592" s="36">
        <v>5</v>
      </c>
      <c r="AN1592" s="36">
        <v>2</v>
      </c>
      <c r="AO1592" s="36">
        <v>2</v>
      </c>
      <c r="AP1592" s="36">
        <v>2</v>
      </c>
      <c r="AQ1592" s="36">
        <v>2</v>
      </c>
      <c r="AR1592" s="36">
        <v>2</v>
      </c>
      <c r="AS1592" s="36">
        <v>2</v>
      </c>
      <c r="AT1592" s="36">
        <v>5</v>
      </c>
      <c r="AU1592" s="36">
        <v>5</v>
      </c>
      <c r="AV1592" s="36">
        <v>4</v>
      </c>
      <c r="AW1592" s="36">
        <v>4</v>
      </c>
      <c r="AX1592" s="36">
        <v>4</v>
      </c>
      <c r="AY1592" s="36">
        <v>4</v>
      </c>
      <c r="AZ1592" s="36"/>
      <c r="BA1592" s="36"/>
      <c r="BB1592" s="36"/>
      <c r="BC1592" s="27"/>
      <c r="BF1592">
        <f>ROWS($U$46:U1592)</f>
        <v>1547</v>
      </c>
      <c r="BG1592" t="str">
        <f t="shared" si="232"/>
        <v/>
      </c>
    </row>
    <row r="1593" spans="15:59" x14ac:dyDescent="0.35">
      <c r="O1593" s="3">
        <v>5</v>
      </c>
      <c r="P1593" s="36">
        <v>179734</v>
      </c>
      <c r="Q1593" s="36">
        <v>22</v>
      </c>
      <c r="R1593" s="36"/>
      <c r="S1593" s="36">
        <v>16</v>
      </c>
      <c r="T1593" s="36" t="s">
        <v>2115</v>
      </c>
      <c r="U1593" s="36">
        <v>1226210</v>
      </c>
      <c r="V1593" s="165" t="s">
        <v>91</v>
      </c>
      <c r="W1593" s="36">
        <v>3</v>
      </c>
      <c r="X1593" s="36">
        <v>3</v>
      </c>
      <c r="Y1593" s="36">
        <v>3</v>
      </c>
      <c r="Z1593" s="36">
        <v>3</v>
      </c>
      <c r="AA1593" s="36">
        <v>3</v>
      </c>
      <c r="AB1593" s="36">
        <v>1</v>
      </c>
      <c r="AC1593" s="36">
        <v>1</v>
      </c>
      <c r="AD1593" s="36">
        <v>1</v>
      </c>
      <c r="AE1593" s="36">
        <v>1</v>
      </c>
      <c r="AF1593" s="36">
        <v>1</v>
      </c>
      <c r="AG1593" s="36">
        <v>1</v>
      </c>
      <c r="AH1593" s="36">
        <v>1</v>
      </c>
      <c r="AI1593" s="36">
        <v>3</v>
      </c>
      <c r="AJ1593" s="36">
        <v>6</v>
      </c>
      <c r="AK1593" s="36"/>
      <c r="AL1593" s="36"/>
      <c r="AM1593" s="36">
        <v>5</v>
      </c>
      <c r="AN1593" s="36">
        <v>5</v>
      </c>
      <c r="AO1593" s="36">
        <v>5</v>
      </c>
      <c r="AP1593" s="36">
        <v>2</v>
      </c>
      <c r="AQ1593" s="36">
        <v>2</v>
      </c>
      <c r="AR1593" s="36">
        <v>2</v>
      </c>
      <c r="AS1593" s="36">
        <v>2</v>
      </c>
      <c r="AT1593" s="36">
        <v>2</v>
      </c>
      <c r="AU1593" s="36">
        <v>2</v>
      </c>
      <c r="AV1593" s="36">
        <v>5</v>
      </c>
      <c r="AW1593" s="36">
        <v>4</v>
      </c>
      <c r="AX1593" s="36">
        <v>4</v>
      </c>
      <c r="AY1593" s="36">
        <v>4</v>
      </c>
      <c r="AZ1593" s="36">
        <v>4</v>
      </c>
      <c r="BA1593" s="36"/>
      <c r="BB1593" s="36"/>
      <c r="BC1593" s="27"/>
      <c r="BF1593">
        <f>ROWS($U$46:U1593)</f>
        <v>1548</v>
      </c>
      <c r="BG1593" t="str">
        <f t="shared" si="232"/>
        <v/>
      </c>
    </row>
    <row r="1594" spans="15:59" x14ac:dyDescent="0.35">
      <c r="O1594" s="3">
        <v>6</v>
      </c>
      <c r="P1594" s="36">
        <v>418525</v>
      </c>
      <c r="Q1594" s="36">
        <v>7</v>
      </c>
      <c r="R1594" s="36"/>
      <c r="S1594" s="36">
        <v>16</v>
      </c>
      <c r="T1594" s="36" t="s">
        <v>2115</v>
      </c>
      <c r="U1594" s="36">
        <v>1226210</v>
      </c>
      <c r="V1594" s="165" t="s">
        <v>92</v>
      </c>
      <c r="W1594" s="36">
        <v>3</v>
      </c>
      <c r="X1594" s="36">
        <v>3</v>
      </c>
      <c r="Y1594" s="36">
        <v>1</v>
      </c>
      <c r="Z1594" s="36">
        <v>1</v>
      </c>
      <c r="AA1594" s="36">
        <v>1</v>
      </c>
      <c r="AB1594" s="36">
        <v>1</v>
      </c>
      <c r="AC1594" s="36">
        <v>1</v>
      </c>
      <c r="AD1594" s="36">
        <v>1</v>
      </c>
      <c r="AE1594" s="36">
        <v>1</v>
      </c>
      <c r="AF1594" s="36">
        <v>3</v>
      </c>
      <c r="AG1594" s="36">
        <v>6</v>
      </c>
      <c r="AH1594" s="36"/>
      <c r="AI1594" s="36"/>
      <c r="AJ1594" s="36"/>
      <c r="AK1594" s="36"/>
      <c r="AL1594" s="36"/>
      <c r="AM1594" s="36">
        <v>5</v>
      </c>
      <c r="AN1594" s="36">
        <v>2</v>
      </c>
      <c r="AO1594" s="36">
        <v>2</v>
      </c>
      <c r="AP1594" s="36">
        <v>2</v>
      </c>
      <c r="AQ1594" s="36">
        <v>2</v>
      </c>
      <c r="AR1594" s="36">
        <v>2</v>
      </c>
      <c r="AS1594" s="36">
        <v>2</v>
      </c>
      <c r="AT1594" s="36">
        <v>5</v>
      </c>
      <c r="AU1594" s="36">
        <v>4</v>
      </c>
      <c r="AV1594" s="36">
        <v>4</v>
      </c>
      <c r="AW1594" s="36">
        <v>4</v>
      </c>
      <c r="AX1594" s="36">
        <v>4</v>
      </c>
      <c r="AY1594" s="36"/>
      <c r="AZ1594" s="36"/>
      <c r="BA1594" s="36"/>
      <c r="BB1594" s="36"/>
      <c r="BC1594" s="27"/>
      <c r="BF1594">
        <f>ROWS($U$46:U1594)</f>
        <v>1549</v>
      </c>
      <c r="BG1594" t="str">
        <f t="shared" si="232"/>
        <v/>
      </c>
    </row>
    <row r="1595" spans="15:59" ht="15" thickBot="1" x14ac:dyDescent="0.4">
      <c r="O1595" s="76"/>
      <c r="P1595" s="328"/>
      <c r="Q1595" s="328"/>
      <c r="R1595" s="328"/>
      <c r="S1595" s="328">
        <v>16</v>
      </c>
      <c r="T1595" s="328" t="s">
        <v>2115</v>
      </c>
      <c r="U1595" s="328">
        <v>1226210</v>
      </c>
      <c r="V1595" s="327" t="s">
        <v>111</v>
      </c>
      <c r="W1595" s="328">
        <v>3</v>
      </c>
      <c r="X1595" s="328">
        <v>1</v>
      </c>
      <c r="Y1595" s="328">
        <v>1</v>
      </c>
      <c r="Z1595" s="328">
        <v>1</v>
      </c>
      <c r="AA1595" s="328">
        <v>1</v>
      </c>
      <c r="AB1595" s="328">
        <v>1</v>
      </c>
      <c r="AC1595" s="328">
        <v>1</v>
      </c>
      <c r="AD1595" s="328">
        <v>1</v>
      </c>
      <c r="AE1595" s="328">
        <v>3</v>
      </c>
      <c r="AF1595" s="328">
        <v>6</v>
      </c>
      <c r="AG1595" s="328"/>
      <c r="AH1595" s="328"/>
      <c r="AI1595" s="328"/>
      <c r="AJ1595" s="328"/>
      <c r="AK1595" s="328"/>
      <c r="AL1595" s="328"/>
      <c r="AM1595" s="328">
        <v>5</v>
      </c>
      <c r="AN1595" s="328">
        <v>2</v>
      </c>
      <c r="AO1595" s="328">
        <v>2</v>
      </c>
      <c r="AP1595" s="328">
        <v>2</v>
      </c>
      <c r="AQ1595" s="328">
        <v>2</v>
      </c>
      <c r="AR1595" s="328">
        <v>2</v>
      </c>
      <c r="AS1595" s="328">
        <v>2</v>
      </c>
      <c r="AT1595" s="328">
        <v>5</v>
      </c>
      <c r="AU1595" s="328">
        <v>4</v>
      </c>
      <c r="AV1595" s="328">
        <v>4</v>
      </c>
      <c r="AW1595" s="328">
        <v>4</v>
      </c>
      <c r="AX1595" s="328">
        <v>4</v>
      </c>
      <c r="AY1595" s="328"/>
      <c r="AZ1595" s="328"/>
      <c r="BA1595" s="328"/>
      <c r="BB1595" s="328"/>
      <c r="BC1595" s="31"/>
      <c r="BF1595">
        <f>ROWS($U$46:U1595)</f>
        <v>1550</v>
      </c>
      <c r="BG1595" t="str">
        <f t="shared" si="232"/>
        <v/>
      </c>
    </row>
    <row r="1596" spans="15:59" x14ac:dyDescent="0.35">
      <c r="O1596" s="329">
        <v>1</v>
      </c>
      <c r="P1596" s="320">
        <v>1271790</v>
      </c>
      <c r="Q1596" s="320">
        <v>30</v>
      </c>
      <c r="R1596" s="320"/>
      <c r="S1596" s="320" t="s">
        <v>1209</v>
      </c>
      <c r="T1596" s="320" t="s">
        <v>1941</v>
      </c>
      <c r="U1596" s="320">
        <v>1269308</v>
      </c>
      <c r="V1596" s="319" t="s">
        <v>87</v>
      </c>
      <c r="W1596" s="320">
        <v>3</v>
      </c>
      <c r="X1596" s="320">
        <v>4</v>
      </c>
      <c r="Y1596" s="320">
        <v>4</v>
      </c>
      <c r="Z1596" s="320">
        <v>4</v>
      </c>
      <c r="AA1596" s="320">
        <v>1</v>
      </c>
      <c r="AB1596" s="320">
        <v>1</v>
      </c>
      <c r="AC1596" s="320">
        <v>1</v>
      </c>
      <c r="AD1596" s="320">
        <v>1</v>
      </c>
      <c r="AE1596" s="320">
        <v>1</v>
      </c>
      <c r="AF1596" s="320">
        <v>1</v>
      </c>
      <c r="AG1596" s="320">
        <v>3</v>
      </c>
      <c r="AH1596" s="320">
        <v>3</v>
      </c>
      <c r="AI1596" s="320">
        <v>5</v>
      </c>
      <c r="AJ1596" s="320"/>
      <c r="AK1596" s="320">
        <v>2</v>
      </c>
      <c r="AL1596" s="320">
        <v>2</v>
      </c>
      <c r="AM1596" s="320">
        <v>2</v>
      </c>
      <c r="AN1596" s="320">
        <v>2</v>
      </c>
      <c r="AO1596" s="320">
        <v>2</v>
      </c>
      <c r="AP1596" s="320"/>
      <c r="AQ1596" s="320"/>
      <c r="AR1596" s="320"/>
      <c r="AS1596" s="320"/>
      <c r="AT1596" s="320"/>
      <c r="AU1596" s="320"/>
      <c r="AV1596" s="320"/>
      <c r="AW1596" s="320"/>
      <c r="AX1596" s="320"/>
      <c r="AY1596" s="320"/>
      <c r="AZ1596" s="320"/>
      <c r="BA1596" s="320"/>
      <c r="BB1596" s="320"/>
      <c r="BC1596" s="119"/>
      <c r="BF1596">
        <f>ROWS($U$46:U1596)</f>
        <v>1551</v>
      </c>
      <c r="BG1596" t="str">
        <f t="shared" si="232"/>
        <v/>
      </c>
    </row>
    <row r="1597" spans="15:59" x14ac:dyDescent="0.35">
      <c r="O1597" s="330">
        <v>2</v>
      </c>
      <c r="P1597">
        <v>1100751</v>
      </c>
      <c r="Q1597" s="36">
        <v>22</v>
      </c>
      <c r="R1597" s="36"/>
      <c r="S1597" s="36" t="s">
        <v>1209</v>
      </c>
      <c r="T1597" s="36" t="s">
        <v>1941</v>
      </c>
      <c r="U1597" s="36">
        <v>1269308</v>
      </c>
      <c r="V1597" s="165" t="s">
        <v>88</v>
      </c>
      <c r="W1597" s="36">
        <v>1</v>
      </c>
      <c r="X1597" s="36">
        <v>1</v>
      </c>
      <c r="Y1597" s="36">
        <v>1</v>
      </c>
      <c r="Z1597" s="36">
        <v>1</v>
      </c>
      <c r="AA1597" s="36">
        <v>1</v>
      </c>
      <c r="AB1597" s="36">
        <v>1</v>
      </c>
      <c r="AC1597" s="36">
        <v>3</v>
      </c>
      <c r="AD1597" s="36">
        <v>3</v>
      </c>
      <c r="AE1597" s="36">
        <v>5</v>
      </c>
      <c r="AF1597" s="36"/>
      <c r="AG1597" s="36"/>
      <c r="AH1597" s="36"/>
      <c r="AI1597" s="36"/>
      <c r="AJ1597" s="36"/>
      <c r="AK1597" s="36">
        <v>2</v>
      </c>
      <c r="AL1597" s="36">
        <v>2</v>
      </c>
      <c r="AM1597" s="36">
        <v>2</v>
      </c>
      <c r="AN1597" s="36">
        <v>2</v>
      </c>
      <c r="AO1597" s="36"/>
      <c r="AP1597" s="36"/>
      <c r="AQ1597" s="36"/>
      <c r="AR1597" s="36"/>
      <c r="AS1597" s="36"/>
      <c r="AT1597" s="36"/>
      <c r="AU1597" s="36"/>
      <c r="AV1597" s="36"/>
      <c r="AW1597" s="36"/>
      <c r="AX1597" s="36"/>
      <c r="AY1597" s="36"/>
      <c r="AZ1597" s="36"/>
      <c r="BA1597" s="36"/>
      <c r="BB1597" s="36"/>
      <c r="BC1597" s="27"/>
      <c r="BF1597">
        <f>ROWS($U$46:U1597)</f>
        <v>1552</v>
      </c>
      <c r="BG1597" t="str">
        <f t="shared" si="232"/>
        <v/>
      </c>
    </row>
    <row r="1598" spans="15:59" x14ac:dyDescent="0.35">
      <c r="O1598" s="3">
        <v>3</v>
      </c>
      <c r="P1598" s="36">
        <v>1146737</v>
      </c>
      <c r="Q1598" s="36">
        <v>10</v>
      </c>
      <c r="R1598" s="36"/>
      <c r="S1598" s="36" t="s">
        <v>1209</v>
      </c>
      <c r="T1598" s="36" t="s">
        <v>1941</v>
      </c>
      <c r="U1598" s="36">
        <v>1269308</v>
      </c>
      <c r="V1598" s="165" t="s">
        <v>89</v>
      </c>
      <c r="W1598" s="36">
        <v>4</v>
      </c>
      <c r="X1598" s="36">
        <v>4</v>
      </c>
      <c r="Y1598" s="36">
        <v>4</v>
      </c>
      <c r="Z1598" s="36">
        <v>1</v>
      </c>
      <c r="AA1598" s="36">
        <v>1</v>
      </c>
      <c r="AB1598" s="36">
        <v>1</v>
      </c>
      <c r="AC1598" s="36">
        <v>1</v>
      </c>
      <c r="AD1598" s="36">
        <v>1</v>
      </c>
      <c r="AE1598" s="36">
        <v>1</v>
      </c>
      <c r="AF1598" s="36">
        <v>3</v>
      </c>
      <c r="AG1598" s="36">
        <v>3</v>
      </c>
      <c r="AH1598" s="36">
        <v>5</v>
      </c>
      <c r="AI1598" s="36"/>
      <c r="AJ1598" s="36"/>
      <c r="AK1598" s="36">
        <v>2</v>
      </c>
      <c r="AL1598" s="36">
        <v>2</v>
      </c>
      <c r="AM1598" s="36">
        <v>2</v>
      </c>
      <c r="AN1598" s="36">
        <v>2</v>
      </c>
      <c r="AO1598" s="36">
        <v>2</v>
      </c>
      <c r="AP1598" s="36"/>
      <c r="AQ1598" s="36"/>
      <c r="AR1598" s="36"/>
      <c r="AS1598" s="36"/>
      <c r="AT1598" s="36"/>
      <c r="AU1598" s="36"/>
      <c r="AV1598" s="36"/>
      <c r="AW1598" s="36"/>
      <c r="AX1598" s="36"/>
      <c r="AY1598" s="36"/>
      <c r="AZ1598" s="36"/>
      <c r="BA1598" s="36"/>
      <c r="BB1598" s="36"/>
      <c r="BC1598" s="27"/>
      <c r="BF1598">
        <f>ROWS($U$46:U1598)</f>
        <v>1553</v>
      </c>
      <c r="BG1598" t="str">
        <f t="shared" si="232"/>
        <v/>
      </c>
    </row>
    <row r="1599" spans="15:59" x14ac:dyDescent="0.35">
      <c r="O1599" s="3">
        <v>4</v>
      </c>
      <c r="P1599" s="36">
        <v>1209410</v>
      </c>
      <c r="Q1599" s="36">
        <v>10</v>
      </c>
      <c r="R1599" s="36"/>
      <c r="S1599" s="36" t="s">
        <v>1209</v>
      </c>
      <c r="T1599" s="36" t="s">
        <v>1941</v>
      </c>
      <c r="U1599" s="36">
        <v>1269308</v>
      </c>
      <c r="V1599" s="165" t="s">
        <v>90</v>
      </c>
      <c r="W1599" s="36">
        <v>4</v>
      </c>
      <c r="X1599" s="36">
        <v>4</v>
      </c>
      <c r="Y1599" s="36">
        <v>4</v>
      </c>
      <c r="Z1599" s="36">
        <v>4</v>
      </c>
      <c r="AA1599" s="36">
        <v>1</v>
      </c>
      <c r="AB1599" s="36">
        <v>1</v>
      </c>
      <c r="AC1599" s="36">
        <v>1</v>
      </c>
      <c r="AD1599" s="36">
        <v>1</v>
      </c>
      <c r="AE1599" s="36">
        <v>1</v>
      </c>
      <c r="AF1599" s="36">
        <v>1</v>
      </c>
      <c r="AG1599" s="36">
        <v>3</v>
      </c>
      <c r="AH1599" s="36">
        <v>5</v>
      </c>
      <c r="AI1599" s="36"/>
      <c r="AJ1599" s="36"/>
      <c r="AK1599" s="36">
        <v>2</v>
      </c>
      <c r="AL1599" s="36">
        <v>2</v>
      </c>
      <c r="AM1599" s="36">
        <v>2</v>
      </c>
      <c r="AN1599" s="36">
        <v>2</v>
      </c>
      <c r="AO1599" s="36"/>
      <c r="AP1599" s="36"/>
      <c r="AQ1599" s="36"/>
      <c r="AR1599" s="36"/>
      <c r="AS1599" s="36"/>
      <c r="AT1599" s="36"/>
      <c r="AU1599" s="36"/>
      <c r="AV1599" s="36"/>
      <c r="AW1599" s="36"/>
      <c r="AX1599" s="36"/>
      <c r="AY1599" s="36"/>
      <c r="AZ1599" s="36"/>
      <c r="BA1599" s="36"/>
      <c r="BB1599" s="36"/>
      <c r="BC1599" s="27"/>
      <c r="BF1599">
        <f>ROWS($U$46:U1599)</f>
        <v>1554</v>
      </c>
      <c r="BG1599" t="str">
        <f t="shared" si="232"/>
        <v/>
      </c>
    </row>
    <row r="1600" spans="15:59" ht="15" thickBot="1" x14ac:dyDescent="0.4">
      <c r="O1600" s="76">
        <v>5</v>
      </c>
      <c r="P1600" s="328">
        <v>871781</v>
      </c>
      <c r="Q1600" s="328">
        <v>5</v>
      </c>
      <c r="R1600" s="328"/>
      <c r="S1600" s="328" t="s">
        <v>1209</v>
      </c>
      <c r="T1600" s="328" t="s">
        <v>1941</v>
      </c>
      <c r="U1600" s="328">
        <v>1269308</v>
      </c>
      <c r="V1600" s="327" t="s">
        <v>91</v>
      </c>
      <c r="W1600" s="328">
        <v>1</v>
      </c>
      <c r="X1600" s="328">
        <v>1</v>
      </c>
      <c r="Y1600" s="328">
        <v>1</v>
      </c>
      <c r="Z1600" s="328">
        <v>1</v>
      </c>
      <c r="AA1600" s="328">
        <v>1</v>
      </c>
      <c r="AB1600" s="328">
        <v>1</v>
      </c>
      <c r="AC1600" s="328">
        <v>3</v>
      </c>
      <c r="AD1600" s="328">
        <v>3</v>
      </c>
      <c r="AE1600" s="328">
        <v>5</v>
      </c>
      <c r="AF1600" s="328"/>
      <c r="AG1600" s="328"/>
      <c r="AH1600" s="328"/>
      <c r="AI1600" s="328"/>
      <c r="AJ1600" s="328"/>
      <c r="AK1600" s="328">
        <v>2</v>
      </c>
      <c r="AL1600" s="328">
        <v>2</v>
      </c>
      <c r="AM1600" s="328">
        <v>2</v>
      </c>
      <c r="AN1600" s="328">
        <v>2</v>
      </c>
      <c r="AO1600" s="328"/>
      <c r="AP1600" s="328"/>
      <c r="AQ1600" s="328"/>
      <c r="AR1600" s="328"/>
      <c r="AS1600" s="328"/>
      <c r="AT1600" s="328"/>
      <c r="AU1600" s="328"/>
      <c r="AV1600" s="328"/>
      <c r="AW1600" s="328"/>
      <c r="AX1600" s="328"/>
      <c r="AY1600" s="328"/>
      <c r="AZ1600" s="328"/>
      <c r="BA1600" s="328"/>
      <c r="BB1600" s="328"/>
      <c r="BC1600" s="31"/>
      <c r="BF1600">
        <f>ROWS($U$46:U1600)</f>
        <v>1555</v>
      </c>
      <c r="BG1600" t="str">
        <f t="shared" si="232"/>
        <v/>
      </c>
    </row>
    <row r="1601" spans="13:59" x14ac:dyDescent="0.35">
      <c r="O1601" s="329">
        <v>1</v>
      </c>
      <c r="P1601" s="320">
        <v>871781</v>
      </c>
      <c r="Q1601" s="320">
        <v>42</v>
      </c>
      <c r="R1601" s="320"/>
      <c r="S1601" s="320">
        <v>16</v>
      </c>
      <c r="T1601" s="320" t="s">
        <v>2115</v>
      </c>
      <c r="U1601" s="320">
        <v>1254482</v>
      </c>
      <c r="V1601" s="319" t="s">
        <v>87</v>
      </c>
      <c r="W1601" s="320">
        <v>6</v>
      </c>
      <c r="X1601" s="320">
        <v>6</v>
      </c>
      <c r="Y1601" s="320">
        <v>6</v>
      </c>
      <c r="Z1601" s="320">
        <v>6</v>
      </c>
      <c r="AA1601" s="320">
        <v>6</v>
      </c>
      <c r="AB1601" s="320">
        <v>2</v>
      </c>
      <c r="AC1601" s="320">
        <v>2</v>
      </c>
      <c r="AD1601" s="320">
        <v>2</v>
      </c>
      <c r="AE1601" s="320">
        <v>2</v>
      </c>
      <c r="AF1601" s="320">
        <v>2</v>
      </c>
      <c r="AG1601" s="320">
        <v>2</v>
      </c>
      <c r="AH1601" s="320">
        <v>5</v>
      </c>
      <c r="AI1601" s="320">
        <v>5</v>
      </c>
      <c r="AJ1601" s="320">
        <v>5</v>
      </c>
      <c r="AK1601" s="320">
        <v>7</v>
      </c>
      <c r="AL1601" s="320"/>
      <c r="AM1601" s="320">
        <v>4</v>
      </c>
      <c r="AN1601" s="320">
        <v>4</v>
      </c>
      <c r="AO1601" s="320">
        <v>4</v>
      </c>
      <c r="AP1601" s="320">
        <v>1</v>
      </c>
      <c r="AQ1601" s="320">
        <v>1</v>
      </c>
      <c r="AR1601" s="320">
        <v>1</v>
      </c>
      <c r="AS1601" s="320">
        <v>1</v>
      </c>
      <c r="AT1601" s="320">
        <v>1</v>
      </c>
      <c r="AU1601" s="320">
        <v>1</v>
      </c>
      <c r="AV1601" s="320">
        <v>4</v>
      </c>
      <c r="AW1601" s="320">
        <v>3</v>
      </c>
      <c r="AX1601" s="320">
        <v>3</v>
      </c>
      <c r="AY1601" s="320">
        <v>3</v>
      </c>
      <c r="AZ1601" s="320">
        <v>3</v>
      </c>
      <c r="BA1601" s="320"/>
      <c r="BB1601" s="320"/>
      <c r="BC1601" s="119"/>
      <c r="BF1601">
        <f>ROWS($U$46:U1601)</f>
        <v>1556</v>
      </c>
      <c r="BG1601" t="str">
        <f t="shared" si="232"/>
        <v/>
      </c>
    </row>
    <row r="1602" spans="13:59" x14ac:dyDescent="0.35">
      <c r="O1602" s="330">
        <v>2</v>
      </c>
      <c r="P1602" s="36">
        <v>1219562</v>
      </c>
      <c r="Q1602" s="36">
        <v>42</v>
      </c>
      <c r="R1602" s="36"/>
      <c r="S1602" s="36">
        <v>16</v>
      </c>
      <c r="T1602" s="36" t="s">
        <v>2115</v>
      </c>
      <c r="U1602" s="36">
        <v>1254482</v>
      </c>
      <c r="V1602" s="165" t="s">
        <v>88</v>
      </c>
      <c r="W1602" s="36">
        <v>2</v>
      </c>
      <c r="X1602" s="36">
        <v>2</v>
      </c>
      <c r="Y1602" s="36">
        <v>2</v>
      </c>
      <c r="Z1602" s="36">
        <v>2</v>
      </c>
      <c r="AA1602" s="36">
        <v>2</v>
      </c>
      <c r="AB1602" s="36">
        <v>2</v>
      </c>
      <c r="AC1602" s="36">
        <v>5</v>
      </c>
      <c r="AD1602" s="36">
        <v>5</v>
      </c>
      <c r="AE1602" s="36">
        <v>5</v>
      </c>
      <c r="AF1602" s="36">
        <v>5</v>
      </c>
      <c r="AG1602" s="36">
        <v>7</v>
      </c>
      <c r="AH1602" s="36"/>
      <c r="AI1602" s="36"/>
      <c r="AJ1602" s="36"/>
      <c r="AK1602" s="36"/>
      <c r="AL1602" s="36"/>
      <c r="AM1602" s="36">
        <v>4</v>
      </c>
      <c r="AN1602" s="36">
        <v>1</v>
      </c>
      <c r="AO1602" s="36">
        <v>1</v>
      </c>
      <c r="AP1602" s="36">
        <v>1</v>
      </c>
      <c r="AQ1602" s="36">
        <v>1</v>
      </c>
      <c r="AR1602" s="36">
        <v>1</v>
      </c>
      <c r="AS1602" s="36">
        <v>1</v>
      </c>
      <c r="AT1602" s="36">
        <v>4</v>
      </c>
      <c r="AU1602" s="36">
        <v>4</v>
      </c>
      <c r="AV1602" s="36">
        <v>3</v>
      </c>
      <c r="AW1602" s="36">
        <v>3</v>
      </c>
      <c r="AX1602" s="36">
        <v>3</v>
      </c>
      <c r="AY1602" s="36">
        <v>3</v>
      </c>
      <c r="AZ1602" s="36"/>
      <c r="BA1602" s="36"/>
      <c r="BB1602" s="36"/>
      <c r="BC1602" s="27"/>
      <c r="BF1602">
        <f>ROWS($U$46:U1602)</f>
        <v>1557</v>
      </c>
      <c r="BG1602" t="str">
        <f t="shared" si="232"/>
        <v/>
      </c>
    </row>
    <row r="1603" spans="13:59" x14ac:dyDescent="0.35">
      <c r="O1603" s="3">
        <v>3</v>
      </c>
      <c r="P1603" s="36">
        <v>410851</v>
      </c>
      <c r="Q1603" s="36">
        <v>28</v>
      </c>
      <c r="R1603" s="36"/>
      <c r="S1603" s="36">
        <v>16</v>
      </c>
      <c r="T1603" s="36" t="s">
        <v>2115</v>
      </c>
      <c r="U1603" s="36">
        <v>1254482</v>
      </c>
      <c r="V1603" s="165" t="s">
        <v>89</v>
      </c>
      <c r="W1603" s="36">
        <v>6</v>
      </c>
      <c r="X1603" s="36">
        <v>6</v>
      </c>
      <c r="Y1603" s="36">
        <v>6</v>
      </c>
      <c r="Z1603" s="36">
        <v>6</v>
      </c>
      <c r="AA1603" s="36">
        <v>2</v>
      </c>
      <c r="AB1603" s="36">
        <v>2</v>
      </c>
      <c r="AC1603" s="36">
        <v>2</v>
      </c>
      <c r="AD1603" s="36">
        <v>2</v>
      </c>
      <c r="AE1603" s="36">
        <v>2</v>
      </c>
      <c r="AF1603" s="36">
        <v>2</v>
      </c>
      <c r="AG1603" s="36">
        <v>5</v>
      </c>
      <c r="AH1603" s="36">
        <v>5</v>
      </c>
      <c r="AI1603" s="36">
        <v>5</v>
      </c>
      <c r="AJ1603" s="36">
        <v>7</v>
      </c>
      <c r="AK1603" s="36"/>
      <c r="AL1603" s="36"/>
      <c r="AM1603" s="36">
        <v>4</v>
      </c>
      <c r="AN1603" s="36">
        <v>4</v>
      </c>
      <c r="AO1603" s="36">
        <v>4</v>
      </c>
      <c r="AP1603" s="36">
        <v>1</v>
      </c>
      <c r="AQ1603" s="36">
        <v>1</v>
      </c>
      <c r="AR1603" s="36">
        <v>1</v>
      </c>
      <c r="AS1603" s="36">
        <v>1</v>
      </c>
      <c r="AT1603" s="36">
        <v>1</v>
      </c>
      <c r="AU1603" s="36">
        <v>1</v>
      </c>
      <c r="AV1603" s="36">
        <v>4</v>
      </c>
      <c r="AW1603" s="36">
        <v>3</v>
      </c>
      <c r="AX1603" s="36">
        <v>3</v>
      </c>
      <c r="AY1603" s="36">
        <v>3</v>
      </c>
      <c r="AZ1603" s="36">
        <v>3</v>
      </c>
      <c r="BA1603" s="36"/>
      <c r="BB1603" s="36"/>
      <c r="BC1603" s="27"/>
      <c r="BF1603">
        <f>ROWS($U$46:U1603)</f>
        <v>1558</v>
      </c>
      <c r="BG1603" t="str">
        <f t="shared" si="232"/>
        <v/>
      </c>
    </row>
    <row r="1604" spans="13:59" x14ac:dyDescent="0.35">
      <c r="O1604" s="3">
        <v>4</v>
      </c>
      <c r="P1604" s="36">
        <v>179734</v>
      </c>
      <c r="Q1604" s="36">
        <v>22</v>
      </c>
      <c r="R1604" s="36"/>
      <c r="S1604" s="36">
        <v>16</v>
      </c>
      <c r="T1604" s="36" t="s">
        <v>2115</v>
      </c>
      <c r="U1604" s="36">
        <v>1254482</v>
      </c>
      <c r="V1604" s="165" t="s">
        <v>90</v>
      </c>
      <c r="W1604" s="36">
        <v>6</v>
      </c>
      <c r="X1604" s="36">
        <v>2</v>
      </c>
      <c r="Y1604" s="36">
        <v>2</v>
      </c>
      <c r="Z1604" s="36">
        <v>2</v>
      </c>
      <c r="AA1604" s="36">
        <v>2</v>
      </c>
      <c r="AB1604" s="36">
        <v>2</v>
      </c>
      <c r="AC1604" s="36">
        <v>2</v>
      </c>
      <c r="AD1604" s="36">
        <v>5</v>
      </c>
      <c r="AE1604" s="36">
        <v>5</v>
      </c>
      <c r="AF1604" s="36">
        <v>5</v>
      </c>
      <c r="AG1604" s="36">
        <v>7</v>
      </c>
      <c r="AH1604" s="36"/>
      <c r="AI1604" s="36"/>
      <c r="AJ1604" s="36"/>
      <c r="AK1604" s="36"/>
      <c r="AL1604" s="36"/>
      <c r="AM1604" s="36">
        <v>4</v>
      </c>
      <c r="AN1604" s="36">
        <v>1</v>
      </c>
      <c r="AO1604" s="36">
        <v>1</v>
      </c>
      <c r="AP1604" s="36">
        <v>1</v>
      </c>
      <c r="AQ1604" s="36">
        <v>1</v>
      </c>
      <c r="AR1604" s="36">
        <v>1</v>
      </c>
      <c r="AS1604" s="36">
        <v>1</v>
      </c>
      <c r="AT1604" s="36">
        <v>4</v>
      </c>
      <c r="AU1604" s="36">
        <v>4</v>
      </c>
      <c r="AV1604" s="36">
        <v>3</v>
      </c>
      <c r="AW1604" s="36">
        <v>3</v>
      </c>
      <c r="AX1604" s="36">
        <v>3</v>
      </c>
      <c r="AY1604" s="36">
        <v>3</v>
      </c>
      <c r="AZ1604" s="36"/>
      <c r="BA1604" s="36"/>
      <c r="BB1604" s="36"/>
      <c r="BC1604" s="27"/>
      <c r="BF1604">
        <f>ROWS($U$46:U1604)</f>
        <v>1559</v>
      </c>
      <c r="BG1604" t="str">
        <f t="shared" si="232"/>
        <v/>
      </c>
    </row>
    <row r="1605" spans="13:59" x14ac:dyDescent="0.35">
      <c r="O1605" s="3">
        <v>5</v>
      </c>
      <c r="P1605" s="36">
        <v>1130198</v>
      </c>
      <c r="Q1605" s="36">
        <v>22</v>
      </c>
      <c r="R1605" s="36"/>
      <c r="S1605" s="36">
        <v>16</v>
      </c>
      <c r="T1605" s="36" t="s">
        <v>2115</v>
      </c>
      <c r="U1605" s="36">
        <v>1254482</v>
      </c>
      <c r="V1605" s="165" t="s">
        <v>91</v>
      </c>
      <c r="W1605" s="36">
        <v>6</v>
      </c>
      <c r="X1605" s="36">
        <v>6</v>
      </c>
      <c r="Y1605" s="36">
        <v>6</v>
      </c>
      <c r="Z1605" s="36">
        <v>6</v>
      </c>
      <c r="AA1605" s="36">
        <v>2</v>
      </c>
      <c r="AB1605" s="36">
        <v>2</v>
      </c>
      <c r="AC1605" s="36">
        <v>2</v>
      </c>
      <c r="AD1605" s="36">
        <v>2</v>
      </c>
      <c r="AE1605" s="36">
        <v>2</v>
      </c>
      <c r="AF1605" s="36">
        <v>2</v>
      </c>
      <c r="AG1605" s="36">
        <v>5</v>
      </c>
      <c r="AH1605" s="36">
        <v>5</v>
      </c>
      <c r="AI1605" s="36">
        <v>5</v>
      </c>
      <c r="AJ1605" s="36">
        <v>7</v>
      </c>
      <c r="AK1605" s="36"/>
      <c r="AL1605" s="36"/>
      <c r="AM1605" s="36">
        <v>4</v>
      </c>
      <c r="AN1605" s="36">
        <v>4</v>
      </c>
      <c r="AO1605" s="36">
        <v>4</v>
      </c>
      <c r="AP1605" s="36">
        <v>1</v>
      </c>
      <c r="AQ1605" s="36">
        <v>1</v>
      </c>
      <c r="AR1605" s="36">
        <v>1</v>
      </c>
      <c r="AS1605" s="36">
        <v>1</v>
      </c>
      <c r="AT1605" s="36">
        <v>1</v>
      </c>
      <c r="AU1605" s="36">
        <v>1</v>
      </c>
      <c r="AV1605" s="36">
        <v>4</v>
      </c>
      <c r="AW1605" s="36">
        <v>3</v>
      </c>
      <c r="AX1605" s="36">
        <v>3</v>
      </c>
      <c r="AY1605" s="36">
        <v>3</v>
      </c>
      <c r="AZ1605" s="36">
        <v>3</v>
      </c>
      <c r="BA1605" s="36"/>
      <c r="BB1605" s="36"/>
      <c r="BC1605" s="27"/>
      <c r="BF1605">
        <f>ROWS($U$46:U1605)</f>
        <v>1560</v>
      </c>
      <c r="BG1605" t="str">
        <f t="shared" si="232"/>
        <v/>
      </c>
    </row>
    <row r="1606" spans="13:59" x14ac:dyDescent="0.35">
      <c r="M1606" s="10"/>
      <c r="O1606" s="3">
        <v>6</v>
      </c>
      <c r="P1606" s="36">
        <v>1208601</v>
      </c>
      <c r="Q1606" s="36">
        <v>15</v>
      </c>
      <c r="R1606" s="36"/>
      <c r="S1606" s="36">
        <v>16</v>
      </c>
      <c r="T1606" s="36" t="s">
        <v>2115</v>
      </c>
      <c r="U1606" s="36">
        <v>1254482</v>
      </c>
      <c r="V1606" s="165" t="s">
        <v>92</v>
      </c>
      <c r="W1606" s="36">
        <v>6</v>
      </c>
      <c r="X1606" s="36">
        <v>2</v>
      </c>
      <c r="Y1606" s="36">
        <v>2</v>
      </c>
      <c r="Z1606" s="36">
        <v>2</v>
      </c>
      <c r="AA1606" s="36">
        <v>2</v>
      </c>
      <c r="AB1606" s="36">
        <v>2</v>
      </c>
      <c r="AC1606" s="36">
        <v>2</v>
      </c>
      <c r="AD1606" s="36">
        <v>5</v>
      </c>
      <c r="AE1606" s="36">
        <v>5</v>
      </c>
      <c r="AF1606" s="36">
        <v>5</v>
      </c>
      <c r="AG1606" s="36">
        <v>7</v>
      </c>
      <c r="AH1606" s="36"/>
      <c r="AI1606" s="36"/>
      <c r="AJ1606" s="36"/>
      <c r="AK1606" s="36"/>
      <c r="AL1606" s="36"/>
      <c r="AM1606" s="36">
        <v>4</v>
      </c>
      <c r="AN1606" s="36">
        <v>1</v>
      </c>
      <c r="AO1606" s="36">
        <v>1</v>
      </c>
      <c r="AP1606" s="36">
        <v>1</v>
      </c>
      <c r="AQ1606" s="36">
        <v>1</v>
      </c>
      <c r="AR1606" s="36">
        <v>1</v>
      </c>
      <c r="AS1606" s="36">
        <v>1</v>
      </c>
      <c r="AT1606" s="36">
        <v>4</v>
      </c>
      <c r="AU1606" s="36">
        <v>3</v>
      </c>
      <c r="AV1606" s="36">
        <v>3</v>
      </c>
      <c r="AW1606" s="36">
        <v>3</v>
      </c>
      <c r="AX1606" s="36">
        <v>3</v>
      </c>
      <c r="AY1606" s="36"/>
      <c r="AZ1606" s="36"/>
      <c r="BA1606" s="36"/>
      <c r="BB1606" s="36"/>
      <c r="BC1606" s="27"/>
      <c r="BF1606">
        <f>ROWS($U$46:U1606)</f>
        <v>1561</v>
      </c>
      <c r="BG1606" t="str">
        <f t="shared" si="232"/>
        <v/>
      </c>
    </row>
    <row r="1607" spans="13:59" ht="15" thickBot="1" x14ac:dyDescent="0.4">
      <c r="M1607" s="10"/>
      <c r="O1607" s="76">
        <v>7</v>
      </c>
      <c r="P1607" s="328">
        <v>418525</v>
      </c>
      <c r="Q1607" s="328">
        <v>7</v>
      </c>
      <c r="R1607" s="328"/>
      <c r="S1607" s="328">
        <v>16</v>
      </c>
      <c r="T1607" s="328" t="s">
        <v>2115</v>
      </c>
      <c r="U1607" s="328">
        <v>1254482</v>
      </c>
      <c r="V1607" s="327" t="s">
        <v>111</v>
      </c>
      <c r="W1607" s="328">
        <v>2</v>
      </c>
      <c r="X1607" s="328">
        <v>2</v>
      </c>
      <c r="Y1607" s="328">
        <v>2</v>
      </c>
      <c r="Z1607" s="328">
        <v>2</v>
      </c>
      <c r="AA1607" s="328">
        <v>2</v>
      </c>
      <c r="AB1607" s="328">
        <v>2</v>
      </c>
      <c r="AC1607" s="328">
        <v>5</v>
      </c>
      <c r="AD1607" s="328">
        <v>5</v>
      </c>
      <c r="AE1607" s="328">
        <v>5</v>
      </c>
      <c r="AF1607" s="328">
        <v>7</v>
      </c>
      <c r="AG1607" s="328"/>
      <c r="AH1607" s="328"/>
      <c r="AI1607" s="328"/>
      <c r="AJ1607" s="328"/>
      <c r="AK1607" s="328"/>
      <c r="AL1607" s="328"/>
      <c r="AM1607" s="328">
        <v>4</v>
      </c>
      <c r="AN1607" s="328">
        <v>1</v>
      </c>
      <c r="AO1607" s="328">
        <v>1</v>
      </c>
      <c r="AP1607" s="328">
        <v>1</v>
      </c>
      <c r="AQ1607" s="328">
        <v>1</v>
      </c>
      <c r="AR1607" s="328">
        <v>1</v>
      </c>
      <c r="AS1607" s="328">
        <v>1</v>
      </c>
      <c r="AT1607" s="328">
        <v>4</v>
      </c>
      <c r="AU1607" s="328">
        <v>3</v>
      </c>
      <c r="AV1607" s="328">
        <v>3</v>
      </c>
      <c r="AW1607" s="328">
        <v>3</v>
      </c>
      <c r="AX1607" s="328">
        <v>3</v>
      </c>
      <c r="AY1607" s="328"/>
      <c r="AZ1607" s="328"/>
      <c r="BA1607" s="328"/>
      <c r="BB1607" s="328"/>
      <c r="BC1607" s="31"/>
      <c r="BF1607">
        <f>ROWS($U$46:U1607)</f>
        <v>1562</v>
      </c>
      <c r="BG1607" t="str">
        <f t="shared" si="232"/>
        <v/>
      </c>
    </row>
    <row r="1608" spans="13:59" x14ac:dyDescent="0.35">
      <c r="M1608" s="10"/>
      <c r="O1608" s="329">
        <v>1</v>
      </c>
      <c r="P1608" s="320">
        <v>717748</v>
      </c>
      <c r="Q1608" s="320">
        <v>19</v>
      </c>
      <c r="R1608" s="320"/>
      <c r="S1608" s="320" t="s">
        <v>2058</v>
      </c>
      <c r="T1608" s="320" t="s">
        <v>737</v>
      </c>
      <c r="U1608" s="320">
        <v>1252149</v>
      </c>
      <c r="V1608" s="319" t="s">
        <v>87</v>
      </c>
      <c r="W1608" s="320">
        <v>1</v>
      </c>
      <c r="X1608" s="320">
        <v>1</v>
      </c>
      <c r="Y1608" s="320">
        <v>1</v>
      </c>
      <c r="Z1608" s="320">
        <v>1</v>
      </c>
      <c r="AA1608" s="320">
        <v>1</v>
      </c>
      <c r="AB1608" s="320"/>
      <c r="AC1608" s="320"/>
      <c r="AD1608" s="320"/>
      <c r="AE1608" s="320"/>
      <c r="AF1608" s="320"/>
      <c r="AG1608" s="320"/>
      <c r="AH1608" s="320"/>
      <c r="AI1608" s="320"/>
      <c r="AJ1608" s="320"/>
      <c r="AK1608" s="320"/>
      <c r="AL1608" s="320"/>
      <c r="AM1608" s="320"/>
      <c r="AN1608" s="320"/>
      <c r="AO1608" s="320"/>
      <c r="AP1608" s="320"/>
      <c r="AQ1608" s="320"/>
      <c r="AR1608" s="320"/>
      <c r="AS1608" s="320"/>
      <c r="AT1608" s="320"/>
      <c r="AU1608" s="320"/>
      <c r="AV1608" s="320"/>
      <c r="AW1608" s="320"/>
      <c r="AX1608" s="320"/>
      <c r="AY1608" s="320"/>
      <c r="AZ1608" s="320"/>
      <c r="BA1608" s="320"/>
      <c r="BB1608" s="320"/>
      <c r="BC1608" s="119"/>
      <c r="BF1608">
        <f>ROWS($U$46:U1608)</f>
        <v>1563</v>
      </c>
      <c r="BG1608" t="str">
        <f t="shared" si="232"/>
        <v/>
      </c>
    </row>
    <row r="1609" spans="13:59" x14ac:dyDescent="0.35">
      <c r="M1609" s="10"/>
      <c r="O1609" s="330"/>
      <c r="P1609" s="36"/>
      <c r="Q1609" s="36"/>
      <c r="R1609" s="36"/>
      <c r="S1609" s="36" t="s">
        <v>2058</v>
      </c>
      <c r="T1609" s="36" t="s">
        <v>737</v>
      </c>
      <c r="U1609" s="36">
        <v>1252149</v>
      </c>
      <c r="V1609" s="165" t="s">
        <v>88</v>
      </c>
      <c r="W1609" s="36">
        <v>1</v>
      </c>
      <c r="X1609" s="36">
        <v>1</v>
      </c>
      <c r="Y1609" s="36">
        <v>1</v>
      </c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  <c r="AV1609" s="36"/>
      <c r="AW1609" s="36"/>
      <c r="AX1609" s="36"/>
      <c r="AY1609" s="36"/>
      <c r="AZ1609" s="36"/>
      <c r="BA1609" s="36"/>
      <c r="BB1609" s="36"/>
      <c r="BC1609" s="27"/>
      <c r="BF1609">
        <f>ROWS($U$46:U1609)</f>
        <v>1564</v>
      </c>
      <c r="BG1609" t="str">
        <f t="shared" si="232"/>
        <v/>
      </c>
    </row>
    <row r="1610" spans="13:59" x14ac:dyDescent="0.35">
      <c r="M1610" s="10"/>
      <c r="O1610" s="3"/>
      <c r="P1610" s="36"/>
      <c r="Q1610" s="36"/>
      <c r="R1610" s="36"/>
      <c r="S1610" s="36" t="s">
        <v>2058</v>
      </c>
      <c r="T1610" s="36" t="s">
        <v>737</v>
      </c>
      <c r="U1610" s="36">
        <v>1252149</v>
      </c>
      <c r="V1610" s="165" t="s">
        <v>89</v>
      </c>
      <c r="W1610" s="36">
        <v>1</v>
      </c>
      <c r="X1610" s="36">
        <v>1</v>
      </c>
      <c r="Y1610" s="36">
        <v>1</v>
      </c>
      <c r="Z1610" s="36">
        <v>1</v>
      </c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  <c r="AV1610" s="36"/>
      <c r="AW1610" s="36"/>
      <c r="AX1610" s="36"/>
      <c r="AY1610" s="36"/>
      <c r="AZ1610" s="36"/>
      <c r="BA1610" s="36"/>
      <c r="BB1610" s="36"/>
      <c r="BC1610" s="27"/>
      <c r="BF1610">
        <f>ROWS($U$46:U1610)</f>
        <v>1565</v>
      </c>
      <c r="BG1610" t="str">
        <f t="shared" si="232"/>
        <v/>
      </c>
    </row>
    <row r="1611" spans="13:59" x14ac:dyDescent="0.35">
      <c r="M1611" s="10"/>
      <c r="O1611" s="3"/>
      <c r="P1611" s="36"/>
      <c r="Q1611" s="36"/>
      <c r="R1611" s="36"/>
      <c r="S1611" s="36" t="s">
        <v>2058</v>
      </c>
      <c r="T1611" s="36" t="s">
        <v>737</v>
      </c>
      <c r="U1611" s="36">
        <v>1252149</v>
      </c>
      <c r="V1611" s="165" t="s">
        <v>90</v>
      </c>
      <c r="W1611" s="36">
        <v>1</v>
      </c>
      <c r="X1611" s="36">
        <v>1</v>
      </c>
      <c r="Y1611" s="36">
        <v>1</v>
      </c>
      <c r="Z1611" s="36">
        <v>1</v>
      </c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  <c r="AV1611" s="36"/>
      <c r="AW1611" s="36"/>
      <c r="AX1611" s="36"/>
      <c r="AY1611" s="36"/>
      <c r="AZ1611" s="36"/>
      <c r="BA1611" s="36"/>
      <c r="BB1611" s="36"/>
      <c r="BC1611" s="27"/>
      <c r="BF1611">
        <f>ROWS($U$46:U1611)</f>
        <v>1566</v>
      </c>
      <c r="BG1611" t="str">
        <f t="shared" si="232"/>
        <v/>
      </c>
    </row>
    <row r="1612" spans="13:59" ht="15" thickBot="1" x14ac:dyDescent="0.4">
      <c r="O1612" s="959"/>
      <c r="P1612" s="486"/>
      <c r="Q1612" s="486"/>
      <c r="R1612" s="486"/>
      <c r="S1612" s="486" t="s">
        <v>2058</v>
      </c>
      <c r="T1612" s="486" t="s">
        <v>737</v>
      </c>
      <c r="U1612" s="486">
        <v>1252149</v>
      </c>
      <c r="V1612" s="487" t="s">
        <v>91</v>
      </c>
      <c r="W1612" s="486">
        <v>1</v>
      </c>
      <c r="X1612" s="486">
        <v>1</v>
      </c>
      <c r="Y1612" s="486">
        <v>1</v>
      </c>
      <c r="Z1612" s="486"/>
      <c r="AA1612" s="486"/>
      <c r="AB1612" s="486"/>
      <c r="AC1612" s="486"/>
      <c r="AD1612" s="486"/>
      <c r="AE1612" s="486"/>
      <c r="AF1612" s="486"/>
      <c r="AG1612" s="486"/>
      <c r="AH1612" s="486"/>
      <c r="AI1612" s="486"/>
      <c r="AJ1612" s="486"/>
      <c r="AK1612" s="486"/>
      <c r="AL1612" s="486"/>
      <c r="AM1612" s="486"/>
      <c r="AN1612" s="486"/>
      <c r="AO1612" s="486"/>
      <c r="AP1612" s="486"/>
      <c r="AQ1612" s="486"/>
      <c r="AR1612" s="486"/>
      <c r="AS1612" s="486"/>
      <c r="AT1612" s="486"/>
      <c r="AU1612" s="486"/>
      <c r="AV1612" s="486"/>
      <c r="AW1612" s="486"/>
      <c r="AX1612" s="486"/>
      <c r="AY1612" s="486"/>
      <c r="AZ1612" s="486"/>
      <c r="BA1612" s="486"/>
      <c r="BB1612" s="486"/>
      <c r="BC1612" s="488"/>
      <c r="BF1612">
        <f>ROWS($U$46:U1612)</f>
        <v>1567</v>
      </c>
      <c r="BG1612" t="str">
        <f t="shared" si="232"/>
        <v/>
      </c>
    </row>
    <row r="1613" spans="13:59" x14ac:dyDescent="0.35">
      <c r="O1613" s="329">
        <v>1</v>
      </c>
      <c r="P1613" s="320">
        <v>1145493</v>
      </c>
      <c r="Q1613" s="320">
        <v>20</v>
      </c>
      <c r="R1613" s="320"/>
      <c r="S1613" s="320" t="s">
        <v>1319</v>
      </c>
      <c r="T1613" s="320" t="s">
        <v>2124</v>
      </c>
      <c r="U1613" s="320">
        <v>1238638</v>
      </c>
      <c r="V1613" s="319" t="s">
        <v>87</v>
      </c>
      <c r="W1613" s="320">
        <v>1</v>
      </c>
      <c r="X1613" s="320">
        <v>1</v>
      </c>
      <c r="Y1613" s="320">
        <v>1</v>
      </c>
      <c r="Z1613" s="320">
        <v>2</v>
      </c>
      <c r="AA1613" s="320">
        <v>2</v>
      </c>
      <c r="AB1613" s="320">
        <v>1</v>
      </c>
      <c r="AC1613" s="320">
        <v>1</v>
      </c>
      <c r="AD1613" s="320">
        <v>4</v>
      </c>
      <c r="AE1613" s="320"/>
      <c r="AF1613" s="320">
        <v>3</v>
      </c>
      <c r="AG1613" s="320"/>
      <c r="AH1613" s="320"/>
      <c r="AI1613" s="320"/>
      <c r="AJ1613" s="320"/>
      <c r="AK1613" s="320"/>
      <c r="AL1613" s="320"/>
      <c r="AM1613" s="320"/>
      <c r="AN1613" s="320"/>
      <c r="AO1613" s="320"/>
      <c r="AP1613" s="320"/>
      <c r="AQ1613" s="320"/>
      <c r="AR1613" s="320"/>
      <c r="AS1613" s="320"/>
      <c r="AT1613" s="320"/>
      <c r="AU1613" s="320"/>
      <c r="AV1613" s="320"/>
      <c r="AW1613" s="320"/>
      <c r="AX1613" s="320"/>
      <c r="AY1613" s="320"/>
      <c r="AZ1613" s="320"/>
      <c r="BA1613" s="320"/>
      <c r="BB1613" s="320"/>
      <c r="BC1613" s="119"/>
      <c r="BF1613">
        <f>ROWS($U$46:U1613)</f>
        <v>1568</v>
      </c>
      <c r="BG1613" t="str">
        <f t="shared" si="232"/>
        <v/>
      </c>
    </row>
    <row r="1614" spans="13:59" x14ac:dyDescent="0.35">
      <c r="O1614" s="330">
        <v>2</v>
      </c>
      <c r="P1614" s="36">
        <v>1209332</v>
      </c>
      <c r="Q1614" s="36">
        <v>7</v>
      </c>
      <c r="R1614" s="36"/>
      <c r="S1614" s="36" t="s">
        <v>1319</v>
      </c>
      <c r="T1614" s="36" t="s">
        <v>2124</v>
      </c>
      <c r="U1614" s="36">
        <v>1238638</v>
      </c>
      <c r="V1614" s="165" t="s">
        <v>88</v>
      </c>
      <c r="W1614" s="36">
        <v>1</v>
      </c>
      <c r="X1614" s="36">
        <v>2</v>
      </c>
      <c r="Y1614" s="36">
        <v>1</v>
      </c>
      <c r="Z1614" s="36">
        <v>1</v>
      </c>
      <c r="AA1614" s="36">
        <v>4</v>
      </c>
      <c r="AB1614" s="36"/>
      <c r="AC1614" s="36"/>
      <c r="AD1614" s="36"/>
      <c r="AE1614" s="36"/>
      <c r="AF1614" s="36">
        <v>3</v>
      </c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  <c r="AV1614" s="36"/>
      <c r="AW1614" s="36"/>
      <c r="AX1614" s="36"/>
      <c r="AY1614" s="36"/>
      <c r="AZ1614" s="36"/>
      <c r="BA1614" s="36"/>
      <c r="BB1614" s="36"/>
      <c r="BC1614" s="27"/>
      <c r="BF1614">
        <f>ROWS($U$46:U1614)</f>
        <v>1569</v>
      </c>
      <c r="BG1614" t="str">
        <f t="shared" si="232"/>
        <v/>
      </c>
    </row>
    <row r="1615" spans="13:59" x14ac:dyDescent="0.35">
      <c r="O1615" s="3">
        <v>3</v>
      </c>
      <c r="P1615" s="36">
        <v>625854</v>
      </c>
      <c r="Q1615" s="36">
        <v>6</v>
      </c>
      <c r="R1615" s="36"/>
      <c r="S1615" s="36" t="s">
        <v>1319</v>
      </c>
      <c r="T1615" s="36" t="s">
        <v>2124</v>
      </c>
      <c r="U1615" s="36">
        <v>1238638</v>
      </c>
      <c r="V1615" s="165" t="s">
        <v>89</v>
      </c>
      <c r="W1615" s="36">
        <v>1</v>
      </c>
      <c r="X1615" s="36">
        <v>1</v>
      </c>
      <c r="Y1615" s="36">
        <v>1</v>
      </c>
      <c r="Z1615" s="36">
        <v>2</v>
      </c>
      <c r="AA1615" s="36">
        <v>1</v>
      </c>
      <c r="AB1615" s="36">
        <v>1</v>
      </c>
      <c r="AC1615" s="36">
        <v>4</v>
      </c>
      <c r="AD1615" s="36"/>
      <c r="AE1615" s="36"/>
      <c r="AF1615" s="36">
        <v>3</v>
      </c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  <c r="AV1615" s="36"/>
      <c r="AW1615" s="36"/>
      <c r="AX1615" s="36"/>
      <c r="AY1615" s="36"/>
      <c r="AZ1615" s="36"/>
      <c r="BA1615" s="36"/>
      <c r="BB1615" s="36"/>
      <c r="BC1615" s="27"/>
      <c r="BF1615">
        <f>ROWS($U$46:U1615)</f>
        <v>1570</v>
      </c>
      <c r="BG1615" t="str">
        <f t="shared" si="232"/>
        <v/>
      </c>
    </row>
    <row r="1616" spans="13:59" x14ac:dyDescent="0.35">
      <c r="O1616" s="3">
        <v>4</v>
      </c>
      <c r="P1616" s="36">
        <v>418525</v>
      </c>
      <c r="Q1616" s="36">
        <v>5</v>
      </c>
      <c r="R1616" s="36"/>
      <c r="S1616" s="36" t="s">
        <v>1319</v>
      </c>
      <c r="T1616" s="36" t="s">
        <v>2124</v>
      </c>
      <c r="U1616" s="36">
        <v>1238638</v>
      </c>
      <c r="V1616" s="165" t="s">
        <v>90</v>
      </c>
      <c r="W1616" s="36">
        <v>1</v>
      </c>
      <c r="X1616" s="36">
        <v>1</v>
      </c>
      <c r="Y1616" s="36">
        <v>1</v>
      </c>
      <c r="Z1616" s="36">
        <v>2</v>
      </c>
      <c r="AA1616" s="36">
        <v>1</v>
      </c>
      <c r="AB1616" s="36">
        <v>1</v>
      </c>
      <c r="AC1616" s="36">
        <v>4</v>
      </c>
      <c r="AD1616" s="36"/>
      <c r="AE1616" s="36"/>
      <c r="AF1616" s="36">
        <v>3</v>
      </c>
      <c r="AG1616" s="36">
        <v>3</v>
      </c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  <c r="AV1616" s="36"/>
      <c r="AW1616" s="36"/>
      <c r="AX1616" s="36"/>
      <c r="AY1616" s="36"/>
      <c r="AZ1616" s="36"/>
      <c r="BA1616" s="36"/>
      <c r="BB1616" s="36"/>
      <c r="BC1616" s="27"/>
      <c r="BF1616">
        <f>ROWS($U$46:U1616)</f>
        <v>1571</v>
      </c>
      <c r="BG1616" t="str">
        <f t="shared" si="232"/>
        <v/>
      </c>
    </row>
    <row r="1617" spans="15:59" ht="15" thickBot="1" x14ac:dyDescent="0.4">
      <c r="O1617" s="959"/>
      <c r="P1617" s="486"/>
      <c r="Q1617" s="486"/>
      <c r="R1617" s="486"/>
      <c r="S1617" s="486" t="s">
        <v>1319</v>
      </c>
      <c r="T1617" s="486" t="s">
        <v>2124</v>
      </c>
      <c r="U1617" s="486">
        <v>1238638</v>
      </c>
      <c r="V1617" s="487" t="s">
        <v>91</v>
      </c>
      <c r="W1617" s="486">
        <v>2</v>
      </c>
      <c r="X1617" s="486">
        <v>2</v>
      </c>
      <c r="Y1617" s="486">
        <v>1</v>
      </c>
      <c r="Z1617" s="486">
        <v>1</v>
      </c>
      <c r="AA1617" s="486">
        <v>4</v>
      </c>
      <c r="AB1617" s="486"/>
      <c r="AC1617" s="486"/>
      <c r="AD1617" s="486"/>
      <c r="AE1617" s="486"/>
      <c r="AF1617" s="486">
        <v>3</v>
      </c>
      <c r="AG1617" s="486"/>
      <c r="AH1617" s="486"/>
      <c r="AI1617" s="486"/>
      <c r="AJ1617" s="486"/>
      <c r="AK1617" s="486"/>
      <c r="AL1617" s="486"/>
      <c r="AM1617" s="486"/>
      <c r="AN1617" s="486"/>
      <c r="AO1617" s="486"/>
      <c r="AP1617" s="486"/>
      <c r="AQ1617" s="486"/>
      <c r="AR1617" s="486"/>
      <c r="AS1617" s="486"/>
      <c r="AT1617" s="486"/>
      <c r="AU1617" s="486"/>
      <c r="AV1617" s="486"/>
      <c r="AW1617" s="486"/>
      <c r="AX1617" s="486"/>
      <c r="AY1617" s="486"/>
      <c r="AZ1617" s="486"/>
      <c r="BA1617" s="486"/>
      <c r="BB1617" s="486"/>
      <c r="BC1617" s="488"/>
      <c r="BF1617">
        <f>ROWS($U$46:U1617)</f>
        <v>1572</v>
      </c>
      <c r="BG1617" t="str">
        <f t="shared" si="232"/>
        <v/>
      </c>
    </row>
    <row r="1618" spans="15:59" x14ac:dyDescent="0.35">
      <c r="O1618" s="329">
        <v>1</v>
      </c>
      <c r="P1618" s="320">
        <v>1100759</v>
      </c>
      <c r="Q1618" s="320">
        <v>48</v>
      </c>
      <c r="R1618" s="320"/>
      <c r="S1618" s="320">
        <v>12</v>
      </c>
      <c r="T1618" s="320" t="s">
        <v>1852</v>
      </c>
      <c r="U1618" s="320">
        <v>1249569</v>
      </c>
      <c r="V1618" s="319" t="s">
        <v>87</v>
      </c>
      <c r="W1618" s="320">
        <v>3</v>
      </c>
      <c r="X1618" s="320">
        <v>3</v>
      </c>
      <c r="Y1618" s="320">
        <v>3</v>
      </c>
      <c r="Z1618" s="320">
        <v>1</v>
      </c>
      <c r="AA1618" s="320">
        <v>1</v>
      </c>
      <c r="AB1618" s="320">
        <v>1</v>
      </c>
      <c r="AC1618" s="320">
        <v>1</v>
      </c>
      <c r="AD1618" s="320">
        <v>1</v>
      </c>
      <c r="AE1618" s="320">
        <v>1</v>
      </c>
      <c r="AF1618" s="320">
        <v>4</v>
      </c>
      <c r="AG1618" s="320"/>
      <c r="AH1618" s="320">
        <v>2</v>
      </c>
      <c r="AI1618" s="320">
        <v>2</v>
      </c>
      <c r="AJ1618" s="320">
        <v>2</v>
      </c>
      <c r="AK1618" s="320">
        <v>2</v>
      </c>
      <c r="AL1618" s="320"/>
      <c r="AM1618" s="320"/>
      <c r="AN1618" s="320"/>
      <c r="AO1618" s="320"/>
      <c r="AP1618" s="320"/>
      <c r="AQ1618" s="320"/>
      <c r="AR1618" s="320"/>
      <c r="AS1618" s="320"/>
      <c r="AT1618" s="320"/>
      <c r="AU1618" s="320"/>
      <c r="AV1618" s="320"/>
      <c r="AW1618" s="320"/>
      <c r="AX1618" s="320"/>
      <c r="AY1618" s="320"/>
      <c r="AZ1618" s="320"/>
      <c r="BA1618" s="320"/>
      <c r="BB1618" s="320"/>
      <c r="BC1618" s="320"/>
      <c r="BD1618" s="119"/>
      <c r="BF1618">
        <f>ROWS($U$46:U1618)</f>
        <v>1573</v>
      </c>
      <c r="BG1618" t="str">
        <f t="shared" si="232"/>
        <v/>
      </c>
    </row>
    <row r="1619" spans="15:59" x14ac:dyDescent="0.35">
      <c r="O1619" s="330">
        <v>2</v>
      </c>
      <c r="P1619" s="36">
        <v>708306</v>
      </c>
      <c r="Q1619" s="36">
        <v>34</v>
      </c>
      <c r="R1619" s="36"/>
      <c r="S1619" s="36">
        <v>12</v>
      </c>
      <c r="T1619" s="36" t="s">
        <v>1852</v>
      </c>
      <c r="U1619" s="36">
        <v>1249569</v>
      </c>
      <c r="V1619" s="165" t="s">
        <v>88</v>
      </c>
      <c r="W1619" s="36">
        <v>1</v>
      </c>
      <c r="X1619" s="36">
        <v>1</v>
      </c>
      <c r="Y1619" s="36">
        <v>1</v>
      </c>
      <c r="Z1619" s="36">
        <v>1</v>
      </c>
      <c r="AA1619" s="36">
        <v>1</v>
      </c>
      <c r="AB1619" s="36">
        <v>1</v>
      </c>
      <c r="AC1619" s="36">
        <v>4</v>
      </c>
      <c r="AD1619" s="36"/>
      <c r="AE1619" s="36"/>
      <c r="AF1619" s="36"/>
      <c r="AG1619" s="36"/>
      <c r="AH1619" s="36">
        <v>2</v>
      </c>
      <c r="AI1619" s="36">
        <v>2</v>
      </c>
      <c r="AJ1619" s="36">
        <v>2</v>
      </c>
      <c r="AK1619" s="36">
        <v>2</v>
      </c>
      <c r="AL1619" s="36">
        <v>2</v>
      </c>
      <c r="AM1619" s="36"/>
      <c r="AN1619" s="36"/>
      <c r="AO1619" s="36"/>
      <c r="AP1619" s="36"/>
      <c r="AQ1619" s="36"/>
      <c r="AR1619" s="36"/>
      <c r="AS1619" s="36"/>
      <c r="AT1619" s="36"/>
      <c r="AU1619" s="36"/>
      <c r="AV1619" s="36"/>
      <c r="AW1619" s="36"/>
      <c r="AX1619" s="36"/>
      <c r="AY1619" s="36"/>
      <c r="AZ1619" s="36"/>
      <c r="BA1619" s="36"/>
      <c r="BB1619" s="36"/>
      <c r="BC1619" s="36"/>
      <c r="BD1619" s="27"/>
      <c r="BF1619">
        <f>ROWS($U$46:U1619)</f>
        <v>1574</v>
      </c>
      <c r="BG1619" t="str">
        <f t="shared" si="232"/>
        <v/>
      </c>
    </row>
    <row r="1620" spans="15:59" x14ac:dyDescent="0.35">
      <c r="O1620" s="330">
        <v>3</v>
      </c>
      <c r="P1620" s="36">
        <v>1100755</v>
      </c>
      <c r="Q1620" s="36">
        <v>9</v>
      </c>
      <c r="R1620" s="36"/>
      <c r="S1620" s="36">
        <v>12</v>
      </c>
      <c r="T1620" s="36" t="s">
        <v>1852</v>
      </c>
      <c r="U1620" s="36">
        <v>1249569</v>
      </c>
      <c r="V1620" s="165" t="s">
        <v>89</v>
      </c>
      <c r="W1620" s="36">
        <v>1</v>
      </c>
      <c r="X1620" s="36">
        <v>1</v>
      </c>
      <c r="Y1620" s="36">
        <v>1</v>
      </c>
      <c r="Z1620" s="36">
        <v>1</v>
      </c>
      <c r="AA1620" s="36">
        <v>1</v>
      </c>
      <c r="AB1620" s="36">
        <v>1</v>
      </c>
      <c r="AC1620" s="36">
        <v>4</v>
      </c>
      <c r="AD1620" s="36"/>
      <c r="AE1620" s="36"/>
      <c r="AF1620" s="36"/>
      <c r="AG1620" s="36"/>
      <c r="AH1620" s="36">
        <v>2</v>
      </c>
      <c r="AI1620" s="36">
        <v>2</v>
      </c>
      <c r="AJ1620" s="36">
        <v>2</v>
      </c>
      <c r="AK1620" s="36">
        <v>2</v>
      </c>
      <c r="AL1620" s="36">
        <v>2</v>
      </c>
      <c r="AM1620" s="36"/>
      <c r="AN1620" s="36"/>
      <c r="AO1620" s="36"/>
      <c r="AP1620" s="36"/>
      <c r="AQ1620" s="36"/>
      <c r="AR1620" s="36"/>
      <c r="AS1620" s="36"/>
      <c r="AT1620" s="36"/>
      <c r="AU1620" s="36"/>
      <c r="AV1620" s="36"/>
      <c r="AW1620" s="36"/>
      <c r="AX1620" s="36"/>
      <c r="AY1620" s="36"/>
      <c r="AZ1620" s="36"/>
      <c r="BA1620" s="36"/>
      <c r="BB1620" s="36"/>
      <c r="BC1620" s="36"/>
      <c r="BD1620" s="27"/>
      <c r="BF1620">
        <f>ROWS($U$46:U1620)</f>
        <v>1575</v>
      </c>
      <c r="BG1620" t="str">
        <f t="shared" si="232"/>
        <v/>
      </c>
    </row>
    <row r="1621" spans="15:59" x14ac:dyDescent="0.35">
      <c r="O1621" s="330">
        <v>4</v>
      </c>
      <c r="P1621" s="36">
        <v>871781</v>
      </c>
      <c r="Q1621" s="36">
        <v>8</v>
      </c>
      <c r="R1621" s="36"/>
      <c r="S1621" s="36">
        <v>12</v>
      </c>
      <c r="T1621" s="36" t="s">
        <v>1852</v>
      </c>
      <c r="U1621" s="36">
        <v>1249569</v>
      </c>
      <c r="V1621" s="165" t="s">
        <v>90</v>
      </c>
      <c r="W1621" s="36">
        <v>3</v>
      </c>
      <c r="X1621" s="36">
        <v>3</v>
      </c>
      <c r="Y1621" s="36">
        <v>3</v>
      </c>
      <c r="Z1621" s="36">
        <v>1</v>
      </c>
      <c r="AA1621" s="36">
        <v>1</v>
      </c>
      <c r="AB1621" s="36">
        <v>1</v>
      </c>
      <c r="AC1621" s="36">
        <v>1</v>
      </c>
      <c r="AD1621" s="36">
        <v>1</v>
      </c>
      <c r="AE1621" s="36">
        <v>1</v>
      </c>
      <c r="AF1621" s="36">
        <v>4</v>
      </c>
      <c r="AG1621" s="36"/>
      <c r="AH1621" s="36">
        <v>2</v>
      </c>
      <c r="AI1621" s="36">
        <v>2</v>
      </c>
      <c r="AJ1621" s="36">
        <v>2</v>
      </c>
      <c r="AK1621" s="36">
        <v>2</v>
      </c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  <c r="AV1621" s="36"/>
      <c r="AW1621" s="36"/>
      <c r="AX1621" s="36"/>
      <c r="AY1621" s="36"/>
      <c r="AZ1621" s="36"/>
      <c r="BA1621" s="36"/>
      <c r="BB1621" s="36"/>
      <c r="BC1621" s="36"/>
      <c r="BD1621" s="27"/>
      <c r="BF1621">
        <f>ROWS($U$46:U1621)</f>
        <v>1576</v>
      </c>
      <c r="BG1621" t="str">
        <f t="shared" si="232"/>
        <v/>
      </c>
    </row>
    <row r="1622" spans="15:59" x14ac:dyDescent="0.35">
      <c r="O1622" s="330"/>
      <c r="P1622" s="36"/>
      <c r="Q1622" s="36"/>
      <c r="R1622" s="36"/>
      <c r="S1622" s="36">
        <v>12</v>
      </c>
      <c r="T1622" s="36" t="s">
        <v>1852</v>
      </c>
      <c r="U1622" s="36">
        <v>1249569</v>
      </c>
      <c r="V1622" s="165" t="s">
        <v>91</v>
      </c>
      <c r="W1622" s="36">
        <v>1</v>
      </c>
      <c r="X1622" s="36">
        <v>1</v>
      </c>
      <c r="Y1622" s="36">
        <v>1</v>
      </c>
      <c r="Z1622" s="36">
        <v>1</v>
      </c>
      <c r="AA1622" s="36">
        <v>1</v>
      </c>
      <c r="AB1622" s="36">
        <v>1</v>
      </c>
      <c r="AC1622" s="36">
        <v>4</v>
      </c>
      <c r="AD1622" s="36"/>
      <c r="AE1622" s="36"/>
      <c r="AF1622" s="36"/>
      <c r="AG1622" s="36"/>
      <c r="AH1622" s="36">
        <v>2</v>
      </c>
      <c r="AI1622" s="36">
        <v>2</v>
      </c>
      <c r="AJ1622" s="36">
        <v>2</v>
      </c>
      <c r="AK1622" s="36">
        <v>2</v>
      </c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  <c r="AV1622" s="36"/>
      <c r="AW1622" s="36"/>
      <c r="AX1622" s="36"/>
      <c r="AY1622" s="36"/>
      <c r="AZ1622" s="36"/>
      <c r="BA1622" s="36"/>
      <c r="BB1622" s="36"/>
      <c r="BC1622" s="36"/>
      <c r="BD1622" s="27"/>
      <c r="BF1622">
        <f>ROWS($U$46:U1622)</f>
        <v>1577</v>
      </c>
      <c r="BG1622" t="str">
        <f t="shared" si="232"/>
        <v/>
      </c>
    </row>
    <row r="1623" spans="15:59" x14ac:dyDescent="0.35">
      <c r="O1623" s="330"/>
      <c r="P1623" s="36"/>
      <c r="Q1623" s="36"/>
      <c r="R1623" s="36"/>
      <c r="S1623" s="36">
        <v>12</v>
      </c>
      <c r="T1623" s="36" t="s">
        <v>1852</v>
      </c>
      <c r="U1623" s="36">
        <v>1249569</v>
      </c>
      <c r="V1623" s="165" t="s">
        <v>92</v>
      </c>
      <c r="W1623" s="36">
        <v>3</v>
      </c>
      <c r="X1623" s="36">
        <v>3</v>
      </c>
      <c r="Y1623" s="36">
        <v>3</v>
      </c>
      <c r="Z1623" s="36">
        <v>1</v>
      </c>
      <c r="AA1623" s="36">
        <v>1</v>
      </c>
      <c r="AB1623" s="36">
        <v>1</v>
      </c>
      <c r="AC1623" s="36">
        <v>1</v>
      </c>
      <c r="AD1623" s="36">
        <v>1</v>
      </c>
      <c r="AE1623" s="36">
        <v>1</v>
      </c>
      <c r="AF1623" s="36">
        <v>4</v>
      </c>
      <c r="AG1623" s="36"/>
      <c r="AH1623" s="36">
        <v>2</v>
      </c>
      <c r="AI1623" s="36">
        <v>2</v>
      </c>
      <c r="AJ1623" s="36">
        <v>2</v>
      </c>
      <c r="AK1623" s="36">
        <v>2</v>
      </c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  <c r="AV1623" s="36"/>
      <c r="AW1623" s="36"/>
      <c r="AX1623" s="36"/>
      <c r="AY1623" s="36"/>
      <c r="AZ1623" s="36"/>
      <c r="BA1623" s="36"/>
      <c r="BB1623" s="36"/>
      <c r="BC1623" s="36"/>
      <c r="BD1623" s="27"/>
      <c r="BF1623">
        <f>ROWS($U$46:U1623)</f>
        <v>1578</v>
      </c>
      <c r="BG1623" t="str">
        <f t="shared" si="232"/>
        <v/>
      </c>
    </row>
    <row r="1624" spans="15:59" x14ac:dyDescent="0.35">
      <c r="O1624" s="330"/>
      <c r="P1624" s="36"/>
      <c r="Q1624" s="36"/>
      <c r="R1624" s="36"/>
      <c r="S1624" s="36">
        <v>12</v>
      </c>
      <c r="T1624" s="36" t="s">
        <v>1852</v>
      </c>
      <c r="U1624" s="36">
        <v>1249569</v>
      </c>
      <c r="V1624" s="165" t="s">
        <v>111</v>
      </c>
      <c r="W1624" s="36">
        <v>1</v>
      </c>
      <c r="X1624" s="36">
        <v>1</v>
      </c>
      <c r="Y1624" s="36">
        <v>1</v>
      </c>
      <c r="Z1624" s="36">
        <v>1</v>
      </c>
      <c r="AA1624" s="36">
        <v>1</v>
      </c>
      <c r="AB1624" s="36">
        <v>1</v>
      </c>
      <c r="AC1624" s="36">
        <v>4</v>
      </c>
      <c r="AD1624" s="36"/>
      <c r="AE1624" s="36"/>
      <c r="AF1624" s="36"/>
      <c r="AG1624" s="36"/>
      <c r="AH1624" s="36">
        <v>2</v>
      </c>
      <c r="AI1624" s="36">
        <v>2</v>
      </c>
      <c r="AJ1624" s="36">
        <v>2</v>
      </c>
      <c r="AK1624" s="36">
        <v>2</v>
      </c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  <c r="AV1624" s="36"/>
      <c r="AW1624" s="36"/>
      <c r="AX1624" s="36"/>
      <c r="AY1624" s="36"/>
      <c r="AZ1624" s="36"/>
      <c r="BA1624" s="36"/>
      <c r="BB1624" s="36"/>
      <c r="BC1624" s="36"/>
      <c r="BD1624" s="27"/>
      <c r="BF1624">
        <f>ROWS($U$46:U1624)</f>
        <v>1579</v>
      </c>
      <c r="BG1624" t="str">
        <f t="shared" si="232"/>
        <v/>
      </c>
    </row>
    <row r="1625" spans="15:59" ht="15" thickBot="1" x14ac:dyDescent="0.4">
      <c r="O1625" s="485"/>
      <c r="P1625" s="486"/>
      <c r="Q1625" s="486"/>
      <c r="R1625" s="486"/>
      <c r="S1625" s="486">
        <v>12</v>
      </c>
      <c r="T1625" s="486" t="s">
        <v>1852</v>
      </c>
      <c r="U1625" s="486">
        <v>1249569</v>
      </c>
      <c r="V1625" s="487" t="s">
        <v>112</v>
      </c>
      <c r="W1625" s="486">
        <v>1</v>
      </c>
      <c r="X1625" s="486">
        <v>1</v>
      </c>
      <c r="Y1625" s="486">
        <v>1</v>
      </c>
      <c r="Z1625" s="486">
        <v>1</v>
      </c>
      <c r="AA1625" s="486">
        <v>1</v>
      </c>
      <c r="AB1625" s="486">
        <v>1</v>
      </c>
      <c r="AC1625" s="486">
        <v>4</v>
      </c>
      <c r="AD1625" s="486"/>
      <c r="AE1625" s="486"/>
      <c r="AF1625" s="486"/>
      <c r="AG1625" s="486"/>
      <c r="AH1625" s="486">
        <v>2</v>
      </c>
      <c r="AI1625" s="486">
        <v>2</v>
      </c>
      <c r="AJ1625" s="486">
        <v>2</v>
      </c>
      <c r="AK1625" s="486">
        <v>2</v>
      </c>
      <c r="AL1625" s="486"/>
      <c r="AM1625" s="486"/>
      <c r="AN1625" s="486"/>
      <c r="AO1625" s="486"/>
      <c r="AP1625" s="486"/>
      <c r="AQ1625" s="486"/>
      <c r="AR1625" s="486"/>
      <c r="AS1625" s="486"/>
      <c r="AT1625" s="486"/>
      <c r="AU1625" s="486"/>
      <c r="AV1625" s="486"/>
      <c r="AW1625" s="486"/>
      <c r="AX1625" s="486"/>
      <c r="AY1625" s="486"/>
      <c r="AZ1625" s="486"/>
      <c r="BA1625" s="486"/>
      <c r="BB1625" s="486"/>
      <c r="BC1625" s="486"/>
      <c r="BD1625" s="31"/>
      <c r="BF1625">
        <f>ROWS($U$46:U1625)</f>
        <v>1580</v>
      </c>
      <c r="BG1625" t="str">
        <f t="shared" si="232"/>
        <v/>
      </c>
    </row>
    <row r="1626" spans="15:59" x14ac:dyDescent="0.35">
      <c r="O1626" s="329">
        <v>1</v>
      </c>
      <c r="P1626" s="320">
        <v>1165786</v>
      </c>
      <c r="Q1626" s="320">
        <v>69</v>
      </c>
      <c r="R1626" s="320"/>
      <c r="S1626" s="320">
        <v>12</v>
      </c>
      <c r="T1626" s="320" t="s">
        <v>2125</v>
      </c>
      <c r="U1626" s="320">
        <v>1251098</v>
      </c>
      <c r="V1626" s="319" t="s">
        <v>87</v>
      </c>
      <c r="W1626" s="320">
        <v>3</v>
      </c>
      <c r="X1626" s="320">
        <v>3</v>
      </c>
      <c r="Y1626" s="320">
        <v>3</v>
      </c>
      <c r="Z1626" s="320">
        <v>2</v>
      </c>
      <c r="AA1626" s="320">
        <v>2</v>
      </c>
      <c r="AB1626" s="320">
        <v>2</v>
      </c>
      <c r="AC1626" s="320">
        <v>1</v>
      </c>
      <c r="AD1626" s="320">
        <v>1</v>
      </c>
      <c r="AE1626" s="320">
        <v>1</v>
      </c>
      <c r="AF1626" s="320">
        <v>1</v>
      </c>
      <c r="AG1626" s="320">
        <v>1</v>
      </c>
      <c r="AH1626" s="320">
        <v>4</v>
      </c>
      <c r="AI1626" s="320"/>
      <c r="AJ1626" s="320">
        <v>5</v>
      </c>
      <c r="AK1626" s="320">
        <v>1</v>
      </c>
      <c r="AL1626" s="320">
        <v>1</v>
      </c>
      <c r="AM1626" s="320">
        <v>1</v>
      </c>
      <c r="AN1626" s="320">
        <v>1</v>
      </c>
      <c r="AO1626" s="320">
        <v>1</v>
      </c>
      <c r="AP1626" s="320"/>
      <c r="AQ1626" s="320"/>
      <c r="AR1626" s="320"/>
      <c r="AS1626" s="320"/>
      <c r="AT1626" s="320"/>
      <c r="AU1626" s="320"/>
      <c r="AV1626" s="320"/>
      <c r="AW1626" s="320"/>
      <c r="AX1626" s="320"/>
      <c r="AY1626" s="320"/>
      <c r="AZ1626" s="320"/>
      <c r="BA1626" s="320"/>
      <c r="BB1626" s="320"/>
      <c r="BC1626" s="119"/>
      <c r="BF1626">
        <f>ROWS($U$46:U1626)</f>
        <v>1581</v>
      </c>
      <c r="BG1626" t="str">
        <f t="shared" si="232"/>
        <v/>
      </c>
    </row>
    <row r="1627" spans="15:59" x14ac:dyDescent="0.35">
      <c r="O1627" s="330">
        <v>2</v>
      </c>
      <c r="P1627" s="36">
        <v>1165788</v>
      </c>
      <c r="Q1627" s="36">
        <v>24</v>
      </c>
      <c r="R1627" s="36"/>
      <c r="S1627" s="36">
        <v>12</v>
      </c>
      <c r="T1627" s="36" t="s">
        <v>2125</v>
      </c>
      <c r="U1627" s="36">
        <v>1251098</v>
      </c>
      <c r="V1627" s="165" t="s">
        <v>88</v>
      </c>
      <c r="W1627" s="36">
        <v>2</v>
      </c>
      <c r="X1627" s="36">
        <v>2</v>
      </c>
      <c r="Y1627" s="36">
        <v>2</v>
      </c>
      <c r="Z1627" s="36">
        <v>1</v>
      </c>
      <c r="AA1627" s="36">
        <v>1</v>
      </c>
      <c r="AB1627" s="36">
        <v>1</v>
      </c>
      <c r="AC1627" s="36">
        <v>1</v>
      </c>
      <c r="AD1627" s="36">
        <v>4</v>
      </c>
      <c r="AE1627" s="36"/>
      <c r="AF1627" s="36"/>
      <c r="AG1627" s="36"/>
      <c r="AH1627" s="36"/>
      <c r="AI1627" s="36"/>
      <c r="AJ1627" s="36">
        <v>5</v>
      </c>
      <c r="AK1627" s="36">
        <v>1</v>
      </c>
      <c r="AL1627" s="36">
        <v>1</v>
      </c>
      <c r="AM1627" s="36">
        <v>1</v>
      </c>
      <c r="AN1627" s="36">
        <v>1</v>
      </c>
      <c r="AO1627" s="36">
        <v>1</v>
      </c>
      <c r="AP1627" s="36"/>
      <c r="AQ1627" s="36"/>
      <c r="AR1627" s="36"/>
      <c r="AS1627" s="36"/>
      <c r="AT1627" s="36"/>
      <c r="AU1627" s="36"/>
      <c r="AV1627" s="36"/>
      <c r="AW1627" s="36"/>
      <c r="AX1627" s="36"/>
      <c r="AY1627" s="36"/>
      <c r="AZ1627" s="36"/>
      <c r="BA1627" s="36"/>
      <c r="BB1627" s="36"/>
      <c r="BC1627" s="27"/>
      <c r="BF1627">
        <f>ROWS($U$46:U1627)</f>
        <v>1582</v>
      </c>
      <c r="BG1627" t="str">
        <f t="shared" si="232"/>
        <v/>
      </c>
    </row>
    <row r="1628" spans="15:59" x14ac:dyDescent="0.35">
      <c r="O1628" s="330">
        <v>3</v>
      </c>
      <c r="P1628" s="36">
        <v>1100741</v>
      </c>
      <c r="Q1628" s="36">
        <v>9</v>
      </c>
      <c r="R1628" s="36"/>
      <c r="S1628" s="36">
        <v>12</v>
      </c>
      <c r="T1628" s="36" t="s">
        <v>2125</v>
      </c>
      <c r="U1628" s="36">
        <v>1251098</v>
      </c>
      <c r="V1628" s="165" t="s">
        <v>89</v>
      </c>
      <c r="W1628" s="36">
        <v>2</v>
      </c>
      <c r="X1628" s="36">
        <v>2</v>
      </c>
      <c r="Y1628" s="36">
        <v>2</v>
      </c>
      <c r="Z1628" s="36">
        <v>1</v>
      </c>
      <c r="AA1628" s="36">
        <v>1</v>
      </c>
      <c r="AB1628" s="36">
        <v>1</v>
      </c>
      <c r="AC1628" s="36">
        <v>1</v>
      </c>
      <c r="AD1628" s="36">
        <v>4</v>
      </c>
      <c r="AE1628" s="36"/>
      <c r="AF1628" s="36"/>
      <c r="AG1628" s="36"/>
      <c r="AH1628" s="36"/>
      <c r="AI1628" s="36"/>
      <c r="AJ1628" s="36">
        <v>5</v>
      </c>
      <c r="AK1628" s="36">
        <v>1</v>
      </c>
      <c r="AL1628" s="36">
        <v>1</v>
      </c>
      <c r="AM1628" s="36">
        <v>1</v>
      </c>
      <c r="AN1628" s="36">
        <v>1</v>
      </c>
      <c r="AO1628" s="36"/>
      <c r="AP1628" s="36"/>
      <c r="AQ1628" s="36"/>
      <c r="AR1628" s="36"/>
      <c r="AS1628" s="36"/>
      <c r="AT1628" s="36"/>
      <c r="AU1628" s="36"/>
      <c r="AV1628" s="36"/>
      <c r="AW1628" s="36"/>
      <c r="AX1628" s="36"/>
      <c r="AY1628" s="36"/>
      <c r="AZ1628" s="36"/>
      <c r="BA1628" s="36"/>
      <c r="BB1628" s="36"/>
      <c r="BC1628" s="27"/>
      <c r="BF1628">
        <f>ROWS($U$46:U1628)</f>
        <v>1583</v>
      </c>
      <c r="BG1628" t="str">
        <f t="shared" si="232"/>
        <v/>
      </c>
    </row>
    <row r="1629" spans="15:59" x14ac:dyDescent="0.35">
      <c r="O1629" s="330">
        <v>4</v>
      </c>
      <c r="P1629" s="36">
        <v>871781</v>
      </c>
      <c r="Q1629" s="36">
        <v>8</v>
      </c>
      <c r="R1629" s="36"/>
      <c r="S1629" s="36">
        <v>12</v>
      </c>
      <c r="T1629" s="36" t="s">
        <v>2125</v>
      </c>
      <c r="U1629" s="36">
        <v>1251098</v>
      </c>
      <c r="V1629" s="165" t="s">
        <v>90</v>
      </c>
      <c r="W1629" s="36">
        <v>3</v>
      </c>
      <c r="X1629" s="36">
        <v>3</v>
      </c>
      <c r="Y1629" s="36">
        <v>3</v>
      </c>
      <c r="Z1629" s="36">
        <v>2</v>
      </c>
      <c r="AA1629" s="36">
        <v>2</v>
      </c>
      <c r="AB1629" s="36">
        <v>2</v>
      </c>
      <c r="AC1629" s="36">
        <v>1</v>
      </c>
      <c r="AD1629" s="36">
        <v>1</v>
      </c>
      <c r="AE1629" s="36">
        <v>1</v>
      </c>
      <c r="AF1629" s="36">
        <v>1</v>
      </c>
      <c r="AG1629" s="36">
        <v>4</v>
      </c>
      <c r="AH1629" s="36"/>
      <c r="AI1629" s="36"/>
      <c r="AJ1629" s="36">
        <v>5</v>
      </c>
      <c r="AK1629" s="36">
        <v>1</v>
      </c>
      <c r="AL1629" s="36">
        <v>1</v>
      </c>
      <c r="AM1629" s="36">
        <v>1</v>
      </c>
      <c r="AN1629" s="36">
        <v>1</v>
      </c>
      <c r="AO1629" s="36"/>
      <c r="AP1629" s="36"/>
      <c r="AQ1629" s="36"/>
      <c r="AR1629" s="36"/>
      <c r="AS1629" s="36"/>
      <c r="AT1629" s="36"/>
      <c r="AU1629" s="36"/>
      <c r="AV1629" s="36"/>
      <c r="AW1629" s="36"/>
      <c r="AX1629" s="36"/>
      <c r="AY1629" s="36"/>
      <c r="AZ1629" s="36"/>
      <c r="BA1629" s="36"/>
      <c r="BB1629" s="36"/>
      <c r="BC1629" s="27"/>
      <c r="BF1629">
        <f>ROWS($U$46:U1629)</f>
        <v>1584</v>
      </c>
      <c r="BG1629" t="str">
        <f t="shared" si="232"/>
        <v/>
      </c>
    </row>
    <row r="1630" spans="15:59" x14ac:dyDescent="0.35">
      <c r="O1630" s="330">
        <v>5</v>
      </c>
      <c r="P1630" s="36">
        <v>1165785</v>
      </c>
      <c r="Q1630" s="36">
        <v>8</v>
      </c>
      <c r="R1630" s="36"/>
      <c r="S1630" s="36">
        <v>12</v>
      </c>
      <c r="T1630" s="36" t="s">
        <v>2125</v>
      </c>
      <c r="U1630" s="36">
        <v>1251098</v>
      </c>
      <c r="V1630" s="165" t="s">
        <v>91</v>
      </c>
      <c r="W1630" s="36">
        <v>2</v>
      </c>
      <c r="X1630" s="36">
        <v>2</v>
      </c>
      <c r="Y1630" s="36">
        <v>2</v>
      </c>
      <c r="Z1630" s="36">
        <v>1</v>
      </c>
      <c r="AA1630" s="36">
        <v>1</v>
      </c>
      <c r="AB1630" s="36">
        <v>1</v>
      </c>
      <c r="AC1630" s="36">
        <v>1</v>
      </c>
      <c r="AD1630" s="36">
        <v>4</v>
      </c>
      <c r="AE1630" s="36"/>
      <c r="AF1630" s="36"/>
      <c r="AG1630" s="36"/>
      <c r="AH1630" s="36"/>
      <c r="AI1630" s="36"/>
      <c r="AJ1630" s="36">
        <v>5</v>
      </c>
      <c r="AK1630" s="36">
        <v>1</v>
      </c>
      <c r="AL1630" s="36">
        <v>1</v>
      </c>
      <c r="AM1630" s="36">
        <v>1</v>
      </c>
      <c r="AN1630" s="36">
        <v>1</v>
      </c>
      <c r="AO1630" s="36"/>
      <c r="AP1630" s="36"/>
      <c r="AQ1630" s="36"/>
      <c r="AR1630" s="36"/>
      <c r="AS1630" s="36"/>
      <c r="AT1630" s="36"/>
      <c r="AU1630" s="36"/>
      <c r="AV1630" s="36"/>
      <c r="AW1630" s="36"/>
      <c r="AX1630" s="36"/>
      <c r="AY1630" s="36"/>
      <c r="AZ1630" s="36"/>
      <c r="BA1630" s="36"/>
      <c r="BB1630" s="36"/>
      <c r="BC1630" s="27"/>
      <c r="BF1630">
        <f>ROWS($U$46:U1630)</f>
        <v>1585</v>
      </c>
      <c r="BG1630" t="str">
        <f t="shared" si="232"/>
        <v/>
      </c>
    </row>
    <row r="1631" spans="15:59" x14ac:dyDescent="0.35">
      <c r="O1631" s="330"/>
      <c r="P1631" s="36"/>
      <c r="Q1631" s="36"/>
      <c r="R1631" s="36"/>
      <c r="S1631" s="36">
        <v>12</v>
      </c>
      <c r="T1631" s="36" t="s">
        <v>2125</v>
      </c>
      <c r="U1631" s="36">
        <v>1251098</v>
      </c>
      <c r="V1631" s="165" t="s">
        <v>92</v>
      </c>
      <c r="W1631" s="36">
        <v>3</v>
      </c>
      <c r="X1631" s="36">
        <v>3</v>
      </c>
      <c r="Y1631" s="36">
        <v>3</v>
      </c>
      <c r="Z1631" s="36">
        <v>2</v>
      </c>
      <c r="AA1631" s="36">
        <v>2</v>
      </c>
      <c r="AB1631" s="36">
        <v>2</v>
      </c>
      <c r="AC1631" s="36">
        <v>1</v>
      </c>
      <c r="AD1631" s="36">
        <v>1</v>
      </c>
      <c r="AE1631" s="36">
        <v>1</v>
      </c>
      <c r="AF1631" s="36">
        <v>1</v>
      </c>
      <c r="AG1631" s="36">
        <v>4</v>
      </c>
      <c r="AH1631" s="36"/>
      <c r="AI1631" s="36"/>
      <c r="AJ1631" s="36">
        <v>5</v>
      </c>
      <c r="AK1631" s="36">
        <v>1</v>
      </c>
      <c r="AL1631" s="36">
        <v>1</v>
      </c>
      <c r="AM1631" s="36">
        <v>1</v>
      </c>
      <c r="AN1631" s="36">
        <v>1</v>
      </c>
      <c r="AO1631" s="36"/>
      <c r="AP1631" s="36"/>
      <c r="AQ1631" s="36"/>
      <c r="AR1631" s="36"/>
      <c r="AS1631" s="36"/>
      <c r="AT1631" s="36"/>
      <c r="AU1631" s="36"/>
      <c r="AV1631" s="36"/>
      <c r="AW1631" s="36"/>
      <c r="AX1631" s="36"/>
      <c r="AY1631" s="36"/>
      <c r="AZ1631" s="36"/>
      <c r="BA1631" s="36"/>
      <c r="BB1631" s="36"/>
      <c r="BC1631" s="27"/>
      <c r="BF1631">
        <f>ROWS($U$46:U1631)</f>
        <v>1586</v>
      </c>
      <c r="BG1631" t="str">
        <f t="shared" si="232"/>
        <v/>
      </c>
    </row>
    <row r="1632" spans="15:59" x14ac:dyDescent="0.35">
      <c r="O1632" s="330"/>
      <c r="P1632" s="36"/>
      <c r="Q1632" s="36"/>
      <c r="R1632" s="36"/>
      <c r="S1632" s="36">
        <v>12</v>
      </c>
      <c r="T1632" s="36" t="s">
        <v>2125</v>
      </c>
      <c r="U1632" s="36">
        <v>1251098</v>
      </c>
      <c r="V1632" s="165" t="s">
        <v>111</v>
      </c>
      <c r="W1632" s="36">
        <v>2</v>
      </c>
      <c r="X1632" s="36">
        <v>2</v>
      </c>
      <c r="Y1632" s="36">
        <v>2</v>
      </c>
      <c r="Z1632" s="36">
        <v>1</v>
      </c>
      <c r="AA1632" s="36">
        <v>1</v>
      </c>
      <c r="AB1632" s="36">
        <v>1</v>
      </c>
      <c r="AC1632" s="36">
        <v>1</v>
      </c>
      <c r="AD1632" s="36">
        <v>4</v>
      </c>
      <c r="AE1632" s="36"/>
      <c r="AF1632" s="36"/>
      <c r="AG1632" s="36"/>
      <c r="AH1632" s="36"/>
      <c r="AI1632" s="36"/>
      <c r="AJ1632" s="36">
        <v>5</v>
      </c>
      <c r="AK1632" s="36">
        <v>1</v>
      </c>
      <c r="AL1632" s="36">
        <v>1</v>
      </c>
      <c r="AM1632" s="36">
        <v>1</v>
      </c>
      <c r="AN1632" s="36">
        <v>1</v>
      </c>
      <c r="AO1632" s="36"/>
      <c r="AP1632" s="36"/>
      <c r="AQ1632" s="36"/>
      <c r="AR1632" s="36"/>
      <c r="AS1632" s="36"/>
      <c r="AT1632" s="36"/>
      <c r="AU1632" s="36"/>
      <c r="AV1632" s="36"/>
      <c r="AW1632" s="36"/>
      <c r="AX1632" s="36"/>
      <c r="AY1632" s="36"/>
      <c r="AZ1632" s="36"/>
      <c r="BA1632" s="36"/>
      <c r="BB1632" s="36"/>
      <c r="BC1632" s="27"/>
      <c r="BF1632">
        <f>ROWS($U$46:U1632)</f>
        <v>1587</v>
      </c>
      <c r="BG1632" t="str">
        <f t="shared" si="232"/>
        <v/>
      </c>
    </row>
    <row r="1633" spans="15:59" ht="15" thickBot="1" x14ac:dyDescent="0.4">
      <c r="O1633" s="485"/>
      <c r="P1633" s="486"/>
      <c r="Q1633" s="486"/>
      <c r="R1633" s="486"/>
      <c r="S1633" s="486">
        <v>12</v>
      </c>
      <c r="T1633" s="486" t="s">
        <v>2125</v>
      </c>
      <c r="U1633" s="486">
        <v>1251098</v>
      </c>
      <c r="V1633" s="487" t="s">
        <v>112</v>
      </c>
      <c r="W1633" s="486">
        <v>2</v>
      </c>
      <c r="X1633" s="486">
        <v>2</v>
      </c>
      <c r="Y1633" s="486">
        <v>2</v>
      </c>
      <c r="Z1633" s="486">
        <v>1</v>
      </c>
      <c r="AA1633" s="486">
        <v>1</v>
      </c>
      <c r="AB1633" s="486">
        <v>1</v>
      </c>
      <c r="AC1633" s="486">
        <v>1</v>
      </c>
      <c r="AD1633" s="486">
        <v>1</v>
      </c>
      <c r="AE1633" s="486">
        <v>4</v>
      </c>
      <c r="AF1633" s="486"/>
      <c r="AG1633" s="486"/>
      <c r="AH1633" s="486"/>
      <c r="AI1633" s="486"/>
      <c r="AJ1633" s="486">
        <v>5</v>
      </c>
      <c r="AK1633" s="486">
        <v>1</v>
      </c>
      <c r="AL1633" s="486">
        <v>1</v>
      </c>
      <c r="AM1633" s="486">
        <v>1</v>
      </c>
      <c r="AN1633" s="486">
        <v>1</v>
      </c>
      <c r="AO1633" s="486">
        <v>1</v>
      </c>
      <c r="AP1633" s="486"/>
      <c r="AQ1633" s="486"/>
      <c r="AR1633" s="486"/>
      <c r="AS1633" s="486"/>
      <c r="AT1633" s="486"/>
      <c r="AU1633" s="486"/>
      <c r="AV1633" s="486"/>
      <c r="AW1633" s="486"/>
      <c r="AX1633" s="486"/>
      <c r="AY1633" s="486"/>
      <c r="AZ1633" s="486"/>
      <c r="BA1633" s="486"/>
      <c r="BB1633" s="486"/>
      <c r="BC1633" s="488"/>
      <c r="BF1633">
        <f>ROWS($U$46:U1633)</f>
        <v>1588</v>
      </c>
      <c r="BG1633" t="str">
        <f t="shared" si="232"/>
        <v/>
      </c>
    </row>
    <row r="1634" spans="15:59" x14ac:dyDescent="0.35">
      <c r="O1634" s="329">
        <v>1</v>
      </c>
      <c r="P1634" s="320">
        <v>1163816</v>
      </c>
      <c r="Q1634" s="320">
        <v>2</v>
      </c>
      <c r="R1634" s="320"/>
      <c r="S1634" s="320" t="s">
        <v>1187</v>
      </c>
      <c r="T1634" s="320" t="s">
        <v>2127</v>
      </c>
      <c r="U1634" s="320">
        <v>1137431</v>
      </c>
      <c r="V1634" s="319" t="s">
        <v>87</v>
      </c>
      <c r="W1634" s="320">
        <v>2</v>
      </c>
      <c r="X1634" s="320">
        <v>2</v>
      </c>
      <c r="Y1634" s="320">
        <v>2</v>
      </c>
      <c r="Z1634" s="320">
        <v>2</v>
      </c>
      <c r="AA1634" s="320">
        <v>2</v>
      </c>
      <c r="AB1634" s="320">
        <v>6</v>
      </c>
      <c r="AC1634" s="320">
        <v>7</v>
      </c>
      <c r="AD1634" s="320"/>
      <c r="AE1634" s="320"/>
      <c r="AF1634" s="320">
        <v>5</v>
      </c>
      <c r="AG1634" s="320">
        <v>4</v>
      </c>
      <c r="AH1634" s="320">
        <v>4</v>
      </c>
      <c r="AI1634" s="320">
        <v>3</v>
      </c>
      <c r="AJ1634" s="320">
        <v>3</v>
      </c>
      <c r="AK1634" s="320"/>
      <c r="AL1634" s="320"/>
      <c r="AM1634" s="320"/>
      <c r="AN1634" s="320"/>
      <c r="AO1634" s="320"/>
      <c r="AP1634" s="320"/>
      <c r="AQ1634" s="320"/>
      <c r="AR1634" s="320"/>
      <c r="AS1634" s="320"/>
      <c r="AT1634" s="320"/>
      <c r="AU1634" s="320"/>
      <c r="AV1634" s="320"/>
      <c r="AW1634" s="320"/>
      <c r="AX1634" s="320"/>
      <c r="AY1634" s="320"/>
      <c r="AZ1634" s="320"/>
      <c r="BA1634" s="320"/>
      <c r="BB1634" s="320"/>
      <c r="BC1634" s="119"/>
      <c r="BF1634">
        <f>ROWS($U$46:U1634)</f>
        <v>1589</v>
      </c>
      <c r="BG1634" t="str">
        <f t="shared" si="232"/>
        <v/>
      </c>
    </row>
    <row r="1635" spans="15:59" x14ac:dyDescent="0.35">
      <c r="O1635" s="330">
        <v>2</v>
      </c>
      <c r="P1635" s="36">
        <v>1163818</v>
      </c>
      <c r="Q1635" s="36">
        <v>35</v>
      </c>
      <c r="R1635" s="36"/>
      <c r="S1635" s="36" t="s">
        <v>1187</v>
      </c>
      <c r="T1635" s="36" t="s">
        <v>2127</v>
      </c>
      <c r="U1635" s="36">
        <v>1137431</v>
      </c>
      <c r="V1635" s="165" t="s">
        <v>88</v>
      </c>
      <c r="W1635" s="36">
        <v>2</v>
      </c>
      <c r="X1635" s="36">
        <v>2</v>
      </c>
      <c r="Y1635" s="36">
        <v>2</v>
      </c>
      <c r="Z1635" s="36">
        <v>2</v>
      </c>
      <c r="AA1635" s="36">
        <v>2</v>
      </c>
      <c r="AB1635" s="36">
        <v>6</v>
      </c>
      <c r="AC1635" s="36">
        <v>7</v>
      </c>
      <c r="AD1635" s="36"/>
      <c r="AE1635" s="36"/>
      <c r="AF1635" s="36">
        <v>5</v>
      </c>
      <c r="AG1635" s="36">
        <v>4</v>
      </c>
      <c r="AH1635" s="36">
        <v>4</v>
      </c>
      <c r="AI1635" s="36">
        <v>4</v>
      </c>
      <c r="AJ1635" s="36">
        <v>3</v>
      </c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  <c r="AV1635" s="36"/>
      <c r="AW1635" s="36"/>
      <c r="AX1635" s="36"/>
      <c r="AY1635" s="36"/>
      <c r="AZ1635" s="36"/>
      <c r="BA1635" s="36"/>
      <c r="BB1635" s="36"/>
      <c r="BC1635" s="27"/>
      <c r="BF1635">
        <f>ROWS($U$46:U1635)</f>
        <v>1590</v>
      </c>
      <c r="BG1635" t="str">
        <f t="shared" si="232"/>
        <v/>
      </c>
    </row>
    <row r="1636" spans="15:59" x14ac:dyDescent="0.35">
      <c r="O1636" s="3">
        <v>3</v>
      </c>
      <c r="P1636" s="36">
        <v>1100695</v>
      </c>
      <c r="Q1636" s="36">
        <v>9</v>
      </c>
      <c r="R1636" s="36"/>
      <c r="S1636" s="36" t="s">
        <v>1187</v>
      </c>
      <c r="T1636" s="36" t="s">
        <v>2127</v>
      </c>
      <c r="U1636" s="36">
        <v>1137431</v>
      </c>
      <c r="V1636" s="165" t="s">
        <v>89</v>
      </c>
      <c r="W1636" s="36">
        <v>1</v>
      </c>
      <c r="X1636" s="36">
        <v>2</v>
      </c>
      <c r="Y1636" s="36">
        <v>2</v>
      </c>
      <c r="Z1636" s="36">
        <v>2</v>
      </c>
      <c r="AA1636" s="36">
        <v>2</v>
      </c>
      <c r="AB1636" s="36">
        <v>2</v>
      </c>
      <c r="AC1636" s="36">
        <v>6</v>
      </c>
      <c r="AD1636" s="36">
        <v>7</v>
      </c>
      <c r="AE1636" s="36"/>
      <c r="AF1636" s="36">
        <v>5</v>
      </c>
      <c r="AG1636" s="36">
        <v>4</v>
      </c>
      <c r="AH1636" s="36">
        <v>4</v>
      </c>
      <c r="AI1636" s="36">
        <v>4</v>
      </c>
      <c r="AJ1636" s="36">
        <v>3</v>
      </c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  <c r="AV1636" s="36"/>
      <c r="AW1636" s="36"/>
      <c r="AX1636" s="36"/>
      <c r="AY1636" s="36"/>
      <c r="AZ1636" s="36"/>
      <c r="BA1636" s="36"/>
      <c r="BB1636" s="36"/>
      <c r="BC1636" s="27"/>
      <c r="BF1636">
        <f>ROWS($U$46:U1636)</f>
        <v>1591</v>
      </c>
      <c r="BG1636" t="str">
        <f t="shared" si="232"/>
        <v/>
      </c>
    </row>
    <row r="1637" spans="15:59" x14ac:dyDescent="0.35">
      <c r="O1637" s="3">
        <v>4</v>
      </c>
      <c r="P1637" s="36">
        <v>1217967</v>
      </c>
      <c r="Q1637" s="36">
        <v>17</v>
      </c>
      <c r="R1637" s="36"/>
      <c r="S1637" s="36" t="s">
        <v>1187</v>
      </c>
      <c r="T1637" s="36" t="s">
        <v>2127</v>
      </c>
      <c r="U1637" s="36">
        <v>1137431</v>
      </c>
      <c r="V1637" s="165" t="s">
        <v>90</v>
      </c>
      <c r="W1637" s="36">
        <v>1</v>
      </c>
      <c r="X1637" s="36">
        <v>2</v>
      </c>
      <c r="Y1637" s="36">
        <v>2</v>
      </c>
      <c r="Z1637" s="36">
        <v>2</v>
      </c>
      <c r="AA1637" s="36">
        <v>2</v>
      </c>
      <c r="AB1637" s="36">
        <v>2</v>
      </c>
      <c r="AC1637" s="36">
        <v>6</v>
      </c>
      <c r="AD1637" s="36">
        <v>7</v>
      </c>
      <c r="AE1637" s="36"/>
      <c r="AF1637" s="36">
        <v>5</v>
      </c>
      <c r="AG1637" s="36">
        <v>4</v>
      </c>
      <c r="AH1637" s="36">
        <v>4</v>
      </c>
      <c r="AI1637" s="36">
        <v>4</v>
      </c>
      <c r="AJ1637" s="36">
        <v>3</v>
      </c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  <c r="AV1637" s="36"/>
      <c r="AW1637" s="36"/>
      <c r="AX1637" s="36"/>
      <c r="AY1637" s="36"/>
      <c r="AZ1637" s="36"/>
      <c r="BA1637" s="36"/>
      <c r="BB1637" s="36"/>
      <c r="BC1637" s="27"/>
      <c r="BF1637">
        <f>ROWS($U$46:U1637)</f>
        <v>1592</v>
      </c>
      <c r="BG1637" t="str">
        <f t="shared" si="232"/>
        <v/>
      </c>
    </row>
    <row r="1638" spans="15:59" x14ac:dyDescent="0.35">
      <c r="O1638" s="3">
        <v>5</v>
      </c>
      <c r="P1638" s="36">
        <v>107348</v>
      </c>
      <c r="Q1638" s="36">
        <v>7</v>
      </c>
      <c r="R1638" s="36"/>
      <c r="S1638" s="36" t="s">
        <v>1187</v>
      </c>
      <c r="T1638" s="36" t="s">
        <v>2127</v>
      </c>
      <c r="U1638" s="36">
        <v>1137431</v>
      </c>
      <c r="V1638" s="165" t="s">
        <v>91</v>
      </c>
      <c r="W1638" s="36">
        <v>2</v>
      </c>
      <c r="X1638" s="36">
        <v>2</v>
      </c>
      <c r="Y1638" s="36">
        <v>2</v>
      </c>
      <c r="Z1638" s="36">
        <v>2</v>
      </c>
      <c r="AA1638" s="36">
        <v>2</v>
      </c>
      <c r="AB1638" s="36">
        <v>6</v>
      </c>
      <c r="AC1638" s="36">
        <v>7</v>
      </c>
      <c r="AD1638" s="36"/>
      <c r="AE1638" s="36"/>
      <c r="AF1638" s="36">
        <v>5</v>
      </c>
      <c r="AG1638" s="36">
        <v>4</v>
      </c>
      <c r="AH1638" s="36">
        <v>4</v>
      </c>
      <c r="AI1638" s="36">
        <v>3</v>
      </c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  <c r="AV1638" s="36"/>
      <c r="AW1638" s="36"/>
      <c r="AX1638" s="36"/>
      <c r="AY1638" s="36"/>
      <c r="AZ1638" s="36"/>
      <c r="BA1638" s="36"/>
      <c r="BB1638" s="36"/>
      <c r="BC1638" s="27"/>
      <c r="BF1638">
        <f>ROWS($U$46:U1638)</f>
        <v>1593</v>
      </c>
      <c r="BG1638" t="str">
        <f t="shared" si="232"/>
        <v/>
      </c>
    </row>
    <row r="1639" spans="15:59" x14ac:dyDescent="0.35">
      <c r="O1639" s="3">
        <v>6</v>
      </c>
      <c r="P1639" s="36">
        <v>717751</v>
      </c>
      <c r="Q1639" s="36">
        <v>7</v>
      </c>
      <c r="R1639" s="36"/>
      <c r="S1639" s="36" t="s">
        <v>1187</v>
      </c>
      <c r="T1639" s="36" t="s">
        <v>2127</v>
      </c>
      <c r="U1639" s="36">
        <v>1137431</v>
      </c>
      <c r="V1639" s="165" t="s">
        <v>92</v>
      </c>
      <c r="W1639" s="36">
        <v>2</v>
      </c>
      <c r="X1639" s="36">
        <v>2</v>
      </c>
      <c r="Y1639" s="36">
        <v>2</v>
      </c>
      <c r="Z1639" s="36">
        <v>2</v>
      </c>
      <c r="AA1639" s="36">
        <v>2</v>
      </c>
      <c r="AB1639" s="36">
        <v>6</v>
      </c>
      <c r="AC1639" s="36">
        <v>7</v>
      </c>
      <c r="AD1639" s="36"/>
      <c r="AE1639" s="36"/>
      <c r="AF1639" s="36">
        <v>5</v>
      </c>
      <c r="AG1639" s="36">
        <v>4</v>
      </c>
      <c r="AH1639" s="36">
        <v>4</v>
      </c>
      <c r="AI1639" s="36">
        <v>3</v>
      </c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  <c r="AV1639" s="36"/>
      <c r="AW1639" s="36"/>
      <c r="AX1639" s="36"/>
      <c r="AY1639" s="36"/>
      <c r="AZ1639" s="36"/>
      <c r="BA1639" s="36"/>
      <c r="BB1639" s="36"/>
      <c r="BC1639" s="27"/>
      <c r="BF1639">
        <f>ROWS($U$46:U1639)</f>
        <v>1594</v>
      </c>
      <c r="BG1639" t="str">
        <f t="shared" si="232"/>
        <v/>
      </c>
    </row>
    <row r="1640" spans="15:59" ht="15" thickBot="1" x14ac:dyDescent="0.4">
      <c r="O1640" s="959">
        <v>7</v>
      </c>
      <c r="P1640" s="486">
        <v>871781</v>
      </c>
      <c r="Q1640" s="486">
        <v>7</v>
      </c>
      <c r="R1640" s="486"/>
      <c r="S1640" s="486" t="s">
        <v>1187</v>
      </c>
      <c r="T1640" s="486" t="s">
        <v>2127</v>
      </c>
      <c r="U1640" s="486">
        <v>1137431</v>
      </c>
      <c r="V1640" s="487" t="s">
        <v>111</v>
      </c>
      <c r="W1640" s="486">
        <v>2</v>
      </c>
      <c r="X1640" s="486">
        <v>2</v>
      </c>
      <c r="Y1640" s="486">
        <v>2</v>
      </c>
      <c r="Z1640" s="486">
        <v>2</v>
      </c>
      <c r="AA1640" s="486">
        <v>2</v>
      </c>
      <c r="AB1640" s="486">
        <v>6</v>
      </c>
      <c r="AC1640" s="486">
        <v>7</v>
      </c>
      <c r="AD1640" s="486"/>
      <c r="AE1640" s="486"/>
      <c r="AF1640" s="486">
        <v>5</v>
      </c>
      <c r="AG1640" s="486">
        <v>4</v>
      </c>
      <c r="AH1640" s="486">
        <v>4</v>
      </c>
      <c r="AI1640" s="486">
        <v>3</v>
      </c>
      <c r="AJ1640" s="486">
        <v>3</v>
      </c>
      <c r="AK1640" s="486"/>
      <c r="AL1640" s="486"/>
      <c r="AM1640" s="486"/>
      <c r="AN1640" s="486"/>
      <c r="AO1640" s="486"/>
      <c r="AP1640" s="486"/>
      <c r="AQ1640" s="486"/>
      <c r="AR1640" s="486"/>
      <c r="AS1640" s="486"/>
      <c r="AT1640" s="486"/>
      <c r="AU1640" s="486"/>
      <c r="AV1640" s="486"/>
      <c r="AW1640" s="486"/>
      <c r="AX1640" s="486"/>
      <c r="AY1640" s="486"/>
      <c r="AZ1640" s="486"/>
      <c r="BA1640" s="486"/>
      <c r="BB1640" s="486"/>
      <c r="BC1640" s="488"/>
      <c r="BF1640">
        <f>ROWS($U$46:U1640)</f>
        <v>1595</v>
      </c>
      <c r="BG1640" t="str">
        <f t="shared" si="232"/>
        <v/>
      </c>
    </row>
    <row r="1641" spans="15:59" x14ac:dyDescent="0.35">
      <c r="O1641" s="329">
        <v>1</v>
      </c>
      <c r="P1641" s="320">
        <v>1130217</v>
      </c>
      <c r="Q1641" s="320">
        <v>19</v>
      </c>
      <c r="R1641" s="320"/>
      <c r="S1641" s="552" t="s">
        <v>1421</v>
      </c>
      <c r="T1641" s="320" t="s">
        <v>1422</v>
      </c>
      <c r="U1641" s="320">
        <v>1261733</v>
      </c>
      <c r="V1641" s="319" t="s">
        <v>87</v>
      </c>
      <c r="W1641" s="320">
        <v>2</v>
      </c>
      <c r="X1641" s="320">
        <v>1</v>
      </c>
      <c r="Y1641" s="320">
        <v>1</v>
      </c>
      <c r="Z1641" s="320">
        <v>1</v>
      </c>
      <c r="AA1641" s="320">
        <v>1</v>
      </c>
      <c r="AB1641" s="320"/>
      <c r="AC1641" s="320">
        <v>2</v>
      </c>
      <c r="AD1641" s="320">
        <v>2</v>
      </c>
      <c r="AE1641" s="320">
        <v>2</v>
      </c>
      <c r="AF1641" s="320"/>
      <c r="AG1641" s="320"/>
      <c r="AH1641" s="320"/>
      <c r="AI1641" s="320"/>
      <c r="AJ1641" s="320"/>
      <c r="AK1641" s="320"/>
      <c r="AL1641" s="320"/>
      <c r="AM1641" s="320"/>
      <c r="AN1641" s="320"/>
      <c r="AO1641" s="320"/>
      <c r="AP1641" s="320"/>
      <c r="AQ1641" s="320"/>
      <c r="AR1641" s="320"/>
      <c r="AS1641" s="320"/>
      <c r="AT1641" s="320"/>
      <c r="AU1641" s="320"/>
      <c r="AV1641" s="320"/>
      <c r="AW1641" s="320"/>
      <c r="AX1641" s="320"/>
      <c r="AY1641" s="320"/>
      <c r="AZ1641" s="320"/>
      <c r="BA1641" s="320"/>
      <c r="BB1641" s="320"/>
      <c r="BC1641" s="320"/>
      <c r="BD1641" s="119"/>
      <c r="BF1641">
        <f>ROWS($U$46:U1641)</f>
        <v>1596</v>
      </c>
      <c r="BG1641" t="str">
        <f t="shared" si="232"/>
        <v/>
      </c>
    </row>
    <row r="1642" spans="15:59" x14ac:dyDescent="0.35">
      <c r="O1642" s="330">
        <v>2</v>
      </c>
      <c r="P1642" s="36">
        <v>1129936</v>
      </c>
      <c r="Q1642" s="36">
        <v>14</v>
      </c>
      <c r="R1642" s="36"/>
      <c r="S1642" s="553" t="s">
        <v>1421</v>
      </c>
      <c r="T1642" s="36" t="s">
        <v>1422</v>
      </c>
      <c r="U1642" s="36">
        <v>1261733</v>
      </c>
      <c r="V1642" s="165" t="s">
        <v>88</v>
      </c>
      <c r="W1642" s="36">
        <v>1</v>
      </c>
      <c r="X1642" s="36">
        <v>1</v>
      </c>
      <c r="Y1642" s="36">
        <v>1</v>
      </c>
      <c r="Z1642" s="36"/>
      <c r="AA1642" s="36"/>
      <c r="AB1642" s="36"/>
      <c r="AC1642" s="36">
        <v>2</v>
      </c>
      <c r="AD1642" s="36">
        <v>2</v>
      </c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  <c r="AV1642" s="36"/>
      <c r="AW1642" s="36"/>
      <c r="AX1642" s="36"/>
      <c r="AY1642" s="36"/>
      <c r="AZ1642" s="36"/>
      <c r="BA1642" s="36"/>
      <c r="BB1642" s="36"/>
      <c r="BC1642" s="36"/>
      <c r="BD1642" s="27"/>
      <c r="BF1642">
        <f>ROWS($U$46:U1642)</f>
        <v>1597</v>
      </c>
      <c r="BG1642" t="str">
        <f t="shared" si="232"/>
        <v/>
      </c>
    </row>
    <row r="1643" spans="15:59" x14ac:dyDescent="0.35">
      <c r="O1643" s="330"/>
      <c r="P1643" s="36"/>
      <c r="Q1643" s="36"/>
      <c r="R1643" s="36"/>
      <c r="S1643" s="553" t="s">
        <v>1421</v>
      </c>
      <c r="T1643" s="36" t="s">
        <v>1422</v>
      </c>
      <c r="U1643" s="36">
        <v>1261733</v>
      </c>
      <c r="V1643" s="165" t="s">
        <v>89</v>
      </c>
      <c r="W1643" s="36">
        <v>2</v>
      </c>
      <c r="X1643" s="36">
        <v>1</v>
      </c>
      <c r="Y1643" s="36">
        <v>1</v>
      </c>
      <c r="Z1643" s="36">
        <v>1</v>
      </c>
      <c r="AA1643" s="36">
        <v>1</v>
      </c>
      <c r="AB1643" s="36"/>
      <c r="AC1643" s="36">
        <v>2</v>
      </c>
      <c r="AD1643" s="36">
        <v>2</v>
      </c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  <c r="AV1643" s="36"/>
      <c r="AW1643" s="36"/>
      <c r="AX1643" s="36"/>
      <c r="AY1643" s="36"/>
      <c r="AZ1643" s="36"/>
      <c r="BA1643" s="36"/>
      <c r="BB1643" s="36"/>
      <c r="BC1643" s="36"/>
      <c r="BD1643" s="27"/>
      <c r="BF1643">
        <f>ROWS($U$46:U1643)</f>
        <v>1598</v>
      </c>
      <c r="BG1643" t="str">
        <f t="shared" si="232"/>
        <v/>
      </c>
    </row>
    <row r="1644" spans="15:59" x14ac:dyDescent="0.35">
      <c r="O1644" s="330"/>
      <c r="P1644" s="36"/>
      <c r="Q1644" s="36"/>
      <c r="R1644" s="36"/>
      <c r="S1644" s="553" t="s">
        <v>1421</v>
      </c>
      <c r="T1644" s="36" t="s">
        <v>1422</v>
      </c>
      <c r="U1644" s="36">
        <v>1261733</v>
      </c>
      <c r="V1644" s="165" t="s">
        <v>90</v>
      </c>
      <c r="W1644" s="36">
        <v>2</v>
      </c>
      <c r="X1644" s="36">
        <v>1</v>
      </c>
      <c r="Y1644" s="36">
        <v>1</v>
      </c>
      <c r="Z1644" s="36">
        <v>1</v>
      </c>
      <c r="AA1644" s="36">
        <v>1</v>
      </c>
      <c r="AB1644" s="36"/>
      <c r="AC1644" s="36">
        <v>2</v>
      </c>
      <c r="AD1644" s="36">
        <v>2</v>
      </c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  <c r="AV1644" s="36"/>
      <c r="AW1644" s="36"/>
      <c r="AX1644" s="36"/>
      <c r="AY1644" s="36"/>
      <c r="AZ1644" s="36"/>
      <c r="BA1644" s="36"/>
      <c r="BB1644" s="36"/>
      <c r="BC1644" s="36"/>
      <c r="BD1644" s="27"/>
      <c r="BF1644">
        <f>ROWS($U$46:U1644)</f>
        <v>1599</v>
      </c>
      <c r="BG1644" t="str">
        <f t="shared" si="232"/>
        <v/>
      </c>
    </row>
    <row r="1645" spans="15:59" ht="15" thickBot="1" x14ac:dyDescent="0.4">
      <c r="O1645" s="485"/>
      <c r="P1645" s="486"/>
      <c r="Q1645" s="486"/>
      <c r="R1645" s="486"/>
      <c r="S1645" s="976" t="s">
        <v>1421</v>
      </c>
      <c r="T1645" s="486" t="s">
        <v>1422</v>
      </c>
      <c r="U1645" s="486">
        <v>1261733</v>
      </c>
      <c r="V1645" s="487" t="s">
        <v>91</v>
      </c>
      <c r="W1645" s="486">
        <v>1</v>
      </c>
      <c r="X1645" s="486">
        <v>1</v>
      </c>
      <c r="Y1645" s="486">
        <v>1</v>
      </c>
      <c r="Z1645" s="486">
        <v>1</v>
      </c>
      <c r="AA1645" s="486"/>
      <c r="AB1645" s="486"/>
      <c r="AC1645" s="486">
        <v>2</v>
      </c>
      <c r="AD1645" s="486">
        <v>2</v>
      </c>
      <c r="AE1645" s="486"/>
      <c r="AF1645" s="486"/>
      <c r="AG1645" s="486"/>
      <c r="AH1645" s="486"/>
      <c r="AI1645" s="486"/>
      <c r="AJ1645" s="486"/>
      <c r="AK1645" s="486"/>
      <c r="AL1645" s="486"/>
      <c r="AM1645" s="486"/>
      <c r="AN1645" s="486"/>
      <c r="AO1645" s="486"/>
      <c r="AP1645" s="486"/>
      <c r="AQ1645" s="486"/>
      <c r="AR1645" s="486"/>
      <c r="AS1645" s="486"/>
      <c r="AT1645" s="486"/>
      <c r="AU1645" s="486"/>
      <c r="AV1645" s="486"/>
      <c r="AW1645" s="486"/>
      <c r="AX1645" s="486"/>
      <c r="AY1645" s="486"/>
      <c r="AZ1645" s="486"/>
      <c r="BA1645" s="486"/>
      <c r="BB1645" s="486"/>
      <c r="BC1645" s="486"/>
      <c r="BD1645" s="31"/>
      <c r="BF1645">
        <f>ROWS($U$46:U1645)</f>
        <v>1600</v>
      </c>
      <c r="BG1645" t="str">
        <f t="shared" si="232"/>
        <v/>
      </c>
    </row>
    <row r="1646" spans="15:59" x14ac:dyDescent="0.35">
      <c r="O1646" s="329">
        <v>1</v>
      </c>
      <c r="P1646" s="320">
        <v>177778</v>
      </c>
      <c r="Q1646" s="320">
        <v>8</v>
      </c>
      <c r="R1646" s="320"/>
      <c r="S1646" s="320" t="s">
        <v>1399</v>
      </c>
      <c r="T1646" s="320" t="s">
        <v>873</v>
      </c>
      <c r="U1646" s="320">
        <v>742471</v>
      </c>
      <c r="V1646" s="319" t="s">
        <v>87</v>
      </c>
      <c r="W1646" s="320">
        <v>4</v>
      </c>
      <c r="X1646" s="320">
        <v>3</v>
      </c>
      <c r="Y1646" s="320">
        <v>3</v>
      </c>
      <c r="Z1646" s="320">
        <v>3</v>
      </c>
      <c r="AA1646" s="320">
        <v>3</v>
      </c>
      <c r="AB1646" s="320"/>
      <c r="AC1646" s="320">
        <v>1</v>
      </c>
      <c r="AD1646" s="320"/>
      <c r="AE1646" s="320"/>
      <c r="AF1646" s="320"/>
      <c r="AG1646" s="320"/>
      <c r="AH1646" s="320"/>
      <c r="AI1646" s="320"/>
      <c r="AJ1646" s="320"/>
      <c r="AK1646" s="320"/>
      <c r="AL1646" s="320"/>
      <c r="AM1646" s="320"/>
      <c r="AN1646" s="320"/>
      <c r="AO1646" s="320"/>
      <c r="AP1646" s="320"/>
      <c r="AQ1646" s="320"/>
      <c r="AR1646" s="320"/>
      <c r="AS1646" s="320"/>
      <c r="AT1646" s="320"/>
      <c r="AU1646" s="320"/>
      <c r="AV1646" s="320"/>
      <c r="AW1646" s="320"/>
      <c r="AX1646" s="320"/>
      <c r="AY1646" s="320"/>
      <c r="AZ1646" s="320"/>
      <c r="BA1646" s="320"/>
      <c r="BB1646" s="320"/>
      <c r="BC1646" s="119"/>
      <c r="BF1646">
        <f>ROWS($U$46:U1646)</f>
        <v>1601</v>
      </c>
      <c r="BG1646" t="str">
        <f t="shared" si="232"/>
        <v/>
      </c>
    </row>
    <row r="1647" spans="15:59" x14ac:dyDescent="0.35">
      <c r="O1647" s="330">
        <v>2</v>
      </c>
      <c r="P1647" s="36">
        <v>179702</v>
      </c>
      <c r="Q1647" s="36">
        <v>8</v>
      </c>
      <c r="R1647" s="36"/>
      <c r="S1647" s="36" t="s">
        <v>1399</v>
      </c>
      <c r="T1647" s="36" t="s">
        <v>873</v>
      </c>
      <c r="U1647" s="36">
        <v>742471</v>
      </c>
      <c r="V1647" s="165" t="s">
        <v>88</v>
      </c>
      <c r="W1647" s="36">
        <v>1</v>
      </c>
      <c r="X1647" s="36">
        <v>2</v>
      </c>
      <c r="Y1647" s="36">
        <v>2</v>
      </c>
      <c r="Z1647" s="36">
        <v>3</v>
      </c>
      <c r="AA1647" s="36">
        <v>3</v>
      </c>
      <c r="AB1647" s="36"/>
      <c r="AC1647" s="36">
        <v>1</v>
      </c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  <c r="AV1647" s="36"/>
      <c r="AW1647" s="36"/>
      <c r="AX1647" s="36"/>
      <c r="AY1647" s="36"/>
      <c r="AZ1647" s="36"/>
      <c r="BA1647" s="36"/>
      <c r="BB1647" s="36"/>
      <c r="BC1647" s="27"/>
      <c r="BF1647">
        <f>ROWS($U$46:U1647)</f>
        <v>1602</v>
      </c>
      <c r="BG1647" t="str">
        <f t="shared" ref="BG1647:BG1710" si="233">IF(VALUE(SUBSTITUTE($B$5,"M",""))=U1647,BF1647,"")</f>
        <v/>
      </c>
    </row>
    <row r="1648" spans="15:59" x14ac:dyDescent="0.35">
      <c r="O1648" s="330">
        <v>3</v>
      </c>
      <c r="P1648" s="36">
        <v>745171</v>
      </c>
      <c r="Q1648" s="36">
        <v>20</v>
      </c>
      <c r="R1648" s="36"/>
      <c r="S1648" s="36" t="s">
        <v>1399</v>
      </c>
      <c r="T1648" s="36" t="s">
        <v>873</v>
      </c>
      <c r="U1648" s="36">
        <v>742471</v>
      </c>
      <c r="V1648" s="165" t="s">
        <v>89</v>
      </c>
      <c r="W1648" s="36">
        <v>4</v>
      </c>
      <c r="X1648" s="36">
        <v>3</v>
      </c>
      <c r="Y1648" s="36">
        <v>3</v>
      </c>
      <c r="Z1648" s="36">
        <v>3</v>
      </c>
      <c r="AA1648" s="36">
        <v>3</v>
      </c>
      <c r="AB1648" s="36"/>
      <c r="AC1648" s="36">
        <v>1</v>
      </c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  <c r="AV1648" s="36"/>
      <c r="AW1648" s="36"/>
      <c r="AX1648" s="36"/>
      <c r="AY1648" s="36"/>
      <c r="AZ1648" s="36"/>
      <c r="BA1648" s="36"/>
      <c r="BB1648" s="36"/>
      <c r="BC1648" s="27"/>
      <c r="BF1648">
        <f>ROWS($U$46:U1648)</f>
        <v>1603</v>
      </c>
      <c r="BG1648" t="str">
        <f t="shared" si="233"/>
        <v/>
      </c>
    </row>
    <row r="1649" spans="15:59" x14ac:dyDescent="0.35">
      <c r="O1649" s="330">
        <v>4</v>
      </c>
      <c r="P1649" s="36">
        <v>717749</v>
      </c>
      <c r="Q1649" s="36">
        <v>4</v>
      </c>
      <c r="R1649" s="36"/>
      <c r="S1649" s="36" t="s">
        <v>1399</v>
      </c>
      <c r="T1649" s="36" t="s">
        <v>873</v>
      </c>
      <c r="U1649" s="36">
        <v>742471</v>
      </c>
      <c r="V1649" s="165" t="s">
        <v>90</v>
      </c>
      <c r="W1649" s="36">
        <v>1</v>
      </c>
      <c r="X1649" s="36">
        <v>2</v>
      </c>
      <c r="Y1649" s="36">
        <v>2</v>
      </c>
      <c r="Z1649" s="36">
        <v>3</v>
      </c>
      <c r="AA1649" s="36">
        <v>3</v>
      </c>
      <c r="AB1649" s="36"/>
      <c r="AC1649" s="36">
        <v>1</v>
      </c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  <c r="AV1649" s="36"/>
      <c r="AW1649" s="36"/>
      <c r="AX1649" s="36"/>
      <c r="AY1649" s="36"/>
      <c r="AZ1649" s="36"/>
      <c r="BA1649" s="36"/>
      <c r="BB1649" s="36"/>
      <c r="BC1649" s="27"/>
      <c r="BF1649">
        <f>ROWS($U$46:U1649)</f>
        <v>1604</v>
      </c>
      <c r="BG1649" t="str">
        <f t="shared" si="233"/>
        <v/>
      </c>
    </row>
    <row r="1650" spans="15:59" x14ac:dyDescent="0.35">
      <c r="O1650" s="330"/>
      <c r="P1650" s="36"/>
      <c r="Q1650" s="36"/>
      <c r="R1650" s="36"/>
      <c r="S1650" s="36" t="s">
        <v>1399</v>
      </c>
      <c r="T1650" s="36" t="s">
        <v>873</v>
      </c>
      <c r="U1650" s="36">
        <v>742471</v>
      </c>
      <c r="V1650" s="165" t="s">
        <v>91</v>
      </c>
      <c r="W1650" s="36">
        <v>4</v>
      </c>
      <c r="X1650" s="36">
        <v>3</v>
      </c>
      <c r="Y1650" s="36">
        <v>3</v>
      </c>
      <c r="Z1650" s="36">
        <v>3</v>
      </c>
      <c r="AA1650" s="36">
        <v>3</v>
      </c>
      <c r="AB1650" s="36"/>
      <c r="AC1650" s="36">
        <v>1</v>
      </c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  <c r="AV1650" s="36"/>
      <c r="AW1650" s="36"/>
      <c r="AX1650" s="36"/>
      <c r="AY1650" s="36"/>
      <c r="AZ1650" s="36"/>
      <c r="BA1650" s="36"/>
      <c r="BB1650" s="36"/>
      <c r="BC1650" s="27"/>
      <c r="BF1650">
        <f>ROWS($U$46:U1650)</f>
        <v>1605</v>
      </c>
      <c r="BG1650" t="str">
        <f t="shared" si="233"/>
        <v/>
      </c>
    </row>
    <row r="1651" spans="15:59" x14ac:dyDescent="0.35">
      <c r="O1651" s="330"/>
      <c r="P1651" s="36"/>
      <c r="Q1651" s="36"/>
      <c r="R1651" s="36"/>
      <c r="S1651" s="36" t="s">
        <v>1399</v>
      </c>
      <c r="T1651" s="36" t="s">
        <v>873</v>
      </c>
      <c r="U1651" s="36">
        <v>742471</v>
      </c>
      <c r="V1651" s="165" t="s">
        <v>92</v>
      </c>
      <c r="W1651" s="36">
        <v>1</v>
      </c>
      <c r="X1651" s="36">
        <v>2</v>
      </c>
      <c r="Y1651" s="36">
        <v>2</v>
      </c>
      <c r="Z1651" s="36">
        <v>3</v>
      </c>
      <c r="AA1651" s="36">
        <v>3</v>
      </c>
      <c r="AB1651" s="36"/>
      <c r="AC1651" s="36">
        <v>1</v>
      </c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  <c r="AV1651" s="36"/>
      <c r="AW1651" s="36"/>
      <c r="AX1651" s="36"/>
      <c r="AY1651" s="36"/>
      <c r="AZ1651" s="36"/>
      <c r="BA1651" s="36"/>
      <c r="BB1651" s="36"/>
      <c r="BC1651" s="27"/>
      <c r="BF1651">
        <f>ROWS($U$46:U1651)</f>
        <v>1606</v>
      </c>
      <c r="BG1651" t="str">
        <f t="shared" si="233"/>
        <v/>
      </c>
    </row>
    <row r="1652" spans="15:59" x14ac:dyDescent="0.35">
      <c r="O1652" s="330"/>
      <c r="P1652" s="36"/>
      <c r="Q1652" s="36"/>
      <c r="R1652" s="36"/>
      <c r="S1652" s="36" t="s">
        <v>1399</v>
      </c>
      <c r="T1652" s="36" t="s">
        <v>873</v>
      </c>
      <c r="U1652" s="36">
        <v>742471</v>
      </c>
      <c r="V1652" s="165" t="s">
        <v>111</v>
      </c>
      <c r="W1652" s="36">
        <v>4</v>
      </c>
      <c r="X1652" s="36">
        <v>3</v>
      </c>
      <c r="Y1652" s="36">
        <v>3</v>
      </c>
      <c r="Z1652" s="36">
        <v>3</v>
      </c>
      <c r="AA1652" s="36">
        <v>3</v>
      </c>
      <c r="AB1652" s="36"/>
      <c r="AC1652" s="36">
        <v>1</v>
      </c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  <c r="AV1652" s="36"/>
      <c r="AW1652" s="36"/>
      <c r="AX1652" s="36"/>
      <c r="AY1652" s="36"/>
      <c r="AZ1652" s="36"/>
      <c r="BA1652" s="36"/>
      <c r="BB1652" s="36"/>
      <c r="BC1652" s="27"/>
      <c r="BF1652">
        <f>ROWS($U$46:U1652)</f>
        <v>1607</v>
      </c>
      <c r="BG1652" t="str">
        <f t="shared" si="233"/>
        <v/>
      </c>
    </row>
    <row r="1653" spans="15:59" ht="15" thickBot="1" x14ac:dyDescent="0.4">
      <c r="O1653" s="331"/>
      <c r="P1653" s="328"/>
      <c r="Q1653" s="328"/>
      <c r="R1653" s="328"/>
      <c r="S1653" s="328" t="s">
        <v>1399</v>
      </c>
      <c r="T1653" s="328" t="s">
        <v>873</v>
      </c>
      <c r="U1653" s="328">
        <v>742471</v>
      </c>
      <c r="V1653" s="327" t="s">
        <v>112</v>
      </c>
      <c r="W1653" s="328">
        <v>1</v>
      </c>
      <c r="X1653" s="328">
        <v>2</v>
      </c>
      <c r="Y1653" s="328">
        <v>2</v>
      </c>
      <c r="Z1653" s="328">
        <v>3</v>
      </c>
      <c r="AA1653" s="328">
        <v>3</v>
      </c>
      <c r="AB1653" s="328"/>
      <c r="AC1653" s="328">
        <v>1</v>
      </c>
      <c r="AD1653" s="328"/>
      <c r="AE1653" s="328"/>
      <c r="AF1653" s="328"/>
      <c r="AG1653" s="328"/>
      <c r="AH1653" s="328"/>
      <c r="AI1653" s="328"/>
      <c r="AJ1653" s="328"/>
      <c r="AK1653" s="328"/>
      <c r="AL1653" s="328"/>
      <c r="AM1653" s="328"/>
      <c r="AN1653" s="328"/>
      <c r="AO1653" s="328"/>
      <c r="AP1653" s="328"/>
      <c r="AQ1653" s="328"/>
      <c r="AR1653" s="328"/>
      <c r="AS1653" s="328"/>
      <c r="AT1653" s="328"/>
      <c r="AU1653" s="328"/>
      <c r="AV1653" s="328"/>
      <c r="AW1653" s="328"/>
      <c r="AX1653" s="328"/>
      <c r="AY1653" s="328"/>
      <c r="AZ1653" s="328"/>
      <c r="BA1653" s="328"/>
      <c r="BB1653" s="328"/>
      <c r="BC1653" s="31"/>
      <c r="BF1653">
        <f>ROWS($U$46:U1653)</f>
        <v>1608</v>
      </c>
      <c r="BG1653" t="str">
        <f t="shared" si="233"/>
        <v/>
      </c>
    </row>
    <row r="1654" spans="15:59" x14ac:dyDescent="0.35">
      <c r="O1654" s="329">
        <v>1</v>
      </c>
      <c r="P1654" s="320">
        <v>717747</v>
      </c>
      <c r="Q1654" s="320">
        <v>4</v>
      </c>
      <c r="R1654" s="320"/>
      <c r="S1654" s="320" t="s">
        <v>1399</v>
      </c>
      <c r="T1654" s="320" t="s">
        <v>2141</v>
      </c>
      <c r="U1654" s="320">
        <v>888995</v>
      </c>
      <c r="V1654" s="319" t="s">
        <v>87</v>
      </c>
      <c r="W1654" s="320">
        <v>2</v>
      </c>
      <c r="X1654" s="320">
        <v>2</v>
      </c>
      <c r="Y1654" s="320">
        <v>2</v>
      </c>
      <c r="Z1654" s="320">
        <v>2</v>
      </c>
      <c r="AA1654" s="320">
        <v>2</v>
      </c>
      <c r="AB1654" s="320">
        <v>3</v>
      </c>
      <c r="AC1654" s="320">
        <v>4</v>
      </c>
      <c r="AD1654" s="320"/>
      <c r="AE1654" s="320"/>
      <c r="AF1654" s="320">
        <v>5</v>
      </c>
      <c r="AG1654" s="320"/>
      <c r="AH1654" s="320"/>
      <c r="AI1654" s="320"/>
      <c r="AJ1654" s="320"/>
      <c r="AK1654" s="320"/>
      <c r="AL1654" s="320"/>
      <c r="AM1654" s="320"/>
      <c r="AN1654" s="320"/>
      <c r="AO1654" s="320"/>
      <c r="AP1654" s="320"/>
      <c r="AQ1654" s="320"/>
      <c r="AR1654" s="320"/>
      <c r="AS1654" s="320"/>
      <c r="AT1654" s="320"/>
      <c r="AU1654" s="320"/>
      <c r="AV1654" s="320"/>
      <c r="AW1654" s="320"/>
      <c r="AX1654" s="320"/>
      <c r="AY1654" s="320"/>
      <c r="AZ1654" s="320"/>
      <c r="BA1654" s="320"/>
      <c r="BB1654" s="320"/>
      <c r="BC1654" s="119"/>
      <c r="BF1654">
        <f>ROWS($U$46:U1654)</f>
        <v>1609</v>
      </c>
      <c r="BG1654" t="str">
        <f t="shared" si="233"/>
        <v/>
      </c>
    </row>
    <row r="1655" spans="15:59" x14ac:dyDescent="0.35">
      <c r="O1655" s="330">
        <v>2</v>
      </c>
      <c r="P1655" s="36">
        <v>742474</v>
      </c>
      <c r="Q1655" s="36">
        <v>30</v>
      </c>
      <c r="R1655" s="36"/>
      <c r="S1655" s="36" t="s">
        <v>1399</v>
      </c>
      <c r="T1655" s="36" t="s">
        <v>2141</v>
      </c>
      <c r="U1655" s="36">
        <v>888995</v>
      </c>
      <c r="V1655" s="165" t="s">
        <v>88</v>
      </c>
      <c r="W1655" s="36">
        <v>1</v>
      </c>
      <c r="X1655" s="36">
        <v>2</v>
      </c>
      <c r="Y1655" s="36">
        <v>2</v>
      </c>
      <c r="Z1655" s="36">
        <v>2</v>
      </c>
      <c r="AA1655" s="36">
        <v>2</v>
      </c>
      <c r="AB1655" s="36">
        <v>3</v>
      </c>
      <c r="AC1655" s="36">
        <v>4</v>
      </c>
      <c r="AD1655" s="36"/>
      <c r="AE1655" s="36"/>
      <c r="AF1655" s="36">
        <v>5</v>
      </c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  <c r="AV1655" s="36"/>
      <c r="AW1655" s="36"/>
      <c r="AX1655" s="36"/>
      <c r="AY1655" s="36"/>
      <c r="AZ1655" s="36"/>
      <c r="BA1655" s="36"/>
      <c r="BB1655" s="36"/>
      <c r="BC1655" s="27"/>
      <c r="BF1655">
        <f>ROWS($U$46:U1655)</f>
        <v>1610</v>
      </c>
      <c r="BG1655" t="str">
        <f t="shared" si="233"/>
        <v/>
      </c>
    </row>
    <row r="1656" spans="15:59" x14ac:dyDescent="0.35">
      <c r="O1656" s="330">
        <v>3</v>
      </c>
      <c r="P1656" s="36">
        <v>703670</v>
      </c>
      <c r="Q1656" s="36">
        <v>10</v>
      </c>
      <c r="R1656" s="36"/>
      <c r="S1656" s="36" t="s">
        <v>1399</v>
      </c>
      <c r="T1656" s="36" t="s">
        <v>2141</v>
      </c>
      <c r="U1656" s="36">
        <v>888995</v>
      </c>
      <c r="V1656" s="165" t="s">
        <v>89</v>
      </c>
      <c r="W1656" s="36">
        <v>1</v>
      </c>
      <c r="X1656" s="36">
        <v>2</v>
      </c>
      <c r="Y1656" s="36">
        <v>2</v>
      </c>
      <c r="Z1656" s="36">
        <v>2</v>
      </c>
      <c r="AA1656" s="36">
        <v>2</v>
      </c>
      <c r="AB1656" s="36">
        <v>3</v>
      </c>
      <c r="AC1656" s="36">
        <v>4</v>
      </c>
      <c r="AD1656" s="36"/>
      <c r="AE1656" s="36"/>
      <c r="AF1656" s="36">
        <v>5</v>
      </c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  <c r="AV1656" s="36"/>
      <c r="AW1656" s="36"/>
      <c r="AX1656" s="36"/>
      <c r="AY1656" s="36"/>
      <c r="AZ1656" s="36"/>
      <c r="BA1656" s="36"/>
      <c r="BB1656" s="36"/>
      <c r="BC1656" s="27"/>
      <c r="BF1656">
        <f>ROWS($U$46:U1656)</f>
        <v>1611</v>
      </c>
      <c r="BG1656" t="str">
        <f t="shared" si="233"/>
        <v/>
      </c>
    </row>
    <row r="1657" spans="15:59" x14ac:dyDescent="0.35">
      <c r="O1657" s="330">
        <v>4</v>
      </c>
      <c r="P1657" s="36">
        <v>418525</v>
      </c>
      <c r="Q1657" s="36">
        <v>7</v>
      </c>
      <c r="R1657" s="36"/>
      <c r="S1657" s="36" t="s">
        <v>1399</v>
      </c>
      <c r="T1657" s="36" t="s">
        <v>2141</v>
      </c>
      <c r="U1657" s="36">
        <v>888995</v>
      </c>
      <c r="V1657" s="165" t="s">
        <v>90</v>
      </c>
      <c r="W1657" s="36">
        <v>2</v>
      </c>
      <c r="X1657" s="36">
        <v>2</v>
      </c>
      <c r="Y1657" s="36">
        <v>2</v>
      </c>
      <c r="Z1657" s="36">
        <v>2</v>
      </c>
      <c r="AA1657" s="36">
        <v>2</v>
      </c>
      <c r="AB1657" s="36">
        <v>3</v>
      </c>
      <c r="AC1657" s="36">
        <v>4</v>
      </c>
      <c r="AD1657" s="36"/>
      <c r="AE1657" s="36"/>
      <c r="AF1657" s="36">
        <v>5</v>
      </c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  <c r="AV1657" s="36"/>
      <c r="AW1657" s="36"/>
      <c r="AX1657" s="36"/>
      <c r="AY1657" s="36"/>
      <c r="AZ1657" s="36"/>
      <c r="BA1657" s="36"/>
      <c r="BB1657" s="36"/>
      <c r="BC1657" s="27"/>
      <c r="BF1657">
        <f>ROWS($U$46:U1657)</f>
        <v>1612</v>
      </c>
      <c r="BG1657" t="str">
        <f t="shared" si="233"/>
        <v/>
      </c>
    </row>
    <row r="1658" spans="15:59" x14ac:dyDescent="0.35">
      <c r="O1658" s="330">
        <v>5</v>
      </c>
      <c r="P1658" s="36">
        <v>179734</v>
      </c>
      <c r="Q1658" s="36">
        <v>10</v>
      </c>
      <c r="R1658" s="36"/>
      <c r="S1658" s="36" t="s">
        <v>1399</v>
      </c>
      <c r="T1658" s="36" t="s">
        <v>2141</v>
      </c>
      <c r="U1658" s="36">
        <v>888995</v>
      </c>
      <c r="V1658" s="165" t="s">
        <v>91</v>
      </c>
      <c r="W1658" s="36">
        <v>1</v>
      </c>
      <c r="X1658" s="36">
        <v>2</v>
      </c>
      <c r="Y1658" s="36">
        <v>2</v>
      </c>
      <c r="Z1658" s="36">
        <v>2</v>
      </c>
      <c r="AA1658" s="36">
        <v>2</v>
      </c>
      <c r="AB1658" s="36">
        <v>3</v>
      </c>
      <c r="AC1658" s="36">
        <v>3</v>
      </c>
      <c r="AD1658" s="36">
        <v>4</v>
      </c>
      <c r="AE1658" s="36"/>
      <c r="AF1658" s="36">
        <v>5</v>
      </c>
      <c r="AG1658" s="36">
        <v>5</v>
      </c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  <c r="AV1658" s="36"/>
      <c r="AW1658" s="36"/>
      <c r="AX1658" s="36"/>
      <c r="AY1658" s="36"/>
      <c r="AZ1658" s="36"/>
      <c r="BA1658" s="36"/>
      <c r="BB1658" s="36"/>
      <c r="BC1658" s="27"/>
      <c r="BF1658">
        <f>ROWS($U$46:U1658)</f>
        <v>1613</v>
      </c>
      <c r="BG1658" t="str">
        <f t="shared" si="233"/>
        <v/>
      </c>
    </row>
    <row r="1659" spans="15:59" x14ac:dyDescent="0.35">
      <c r="O1659" s="330"/>
      <c r="P1659" s="36"/>
      <c r="Q1659" s="36"/>
      <c r="R1659" s="36"/>
      <c r="S1659" s="36" t="s">
        <v>1399</v>
      </c>
      <c r="T1659" s="36" t="s">
        <v>2141</v>
      </c>
      <c r="U1659" s="36">
        <v>888995</v>
      </c>
      <c r="V1659" s="165" t="s">
        <v>92</v>
      </c>
      <c r="W1659" s="36">
        <v>2</v>
      </c>
      <c r="X1659" s="36">
        <v>2</v>
      </c>
      <c r="Y1659" s="36">
        <v>2</v>
      </c>
      <c r="Z1659" s="36">
        <v>2</v>
      </c>
      <c r="AA1659" s="36">
        <v>3</v>
      </c>
      <c r="AB1659" s="36">
        <v>3</v>
      </c>
      <c r="AC1659" s="36">
        <v>4</v>
      </c>
      <c r="AD1659" s="36"/>
      <c r="AE1659" s="36"/>
      <c r="AF1659" s="36">
        <v>5</v>
      </c>
      <c r="AG1659" s="36">
        <v>5</v>
      </c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  <c r="AV1659" s="36"/>
      <c r="AW1659" s="36"/>
      <c r="AX1659" s="36"/>
      <c r="AY1659" s="36"/>
      <c r="AZ1659" s="36"/>
      <c r="BA1659" s="36"/>
      <c r="BB1659" s="36"/>
      <c r="BC1659" s="27"/>
      <c r="BF1659">
        <f>ROWS($U$46:U1659)</f>
        <v>1614</v>
      </c>
      <c r="BG1659" t="str">
        <f t="shared" si="233"/>
        <v/>
      </c>
    </row>
    <row r="1660" spans="15:59" ht="15" thickBot="1" x14ac:dyDescent="0.4">
      <c r="O1660" s="331"/>
      <c r="P1660" s="328"/>
      <c r="Q1660" s="328"/>
      <c r="R1660" s="328"/>
      <c r="S1660" s="328" t="s">
        <v>1399</v>
      </c>
      <c r="T1660" s="328" t="s">
        <v>2141</v>
      </c>
      <c r="U1660" s="328">
        <v>888995</v>
      </c>
      <c r="V1660" s="327" t="s">
        <v>111</v>
      </c>
      <c r="W1660" s="328">
        <v>1</v>
      </c>
      <c r="X1660" s="328">
        <v>2</v>
      </c>
      <c r="Y1660" s="328">
        <v>2</v>
      </c>
      <c r="Z1660" s="328">
        <v>2</v>
      </c>
      <c r="AA1660" s="328">
        <v>2</v>
      </c>
      <c r="AB1660" s="328">
        <v>3</v>
      </c>
      <c r="AC1660" s="328">
        <v>3</v>
      </c>
      <c r="AD1660" s="328">
        <v>4</v>
      </c>
      <c r="AE1660" s="328"/>
      <c r="AF1660" s="328">
        <v>5</v>
      </c>
      <c r="AG1660" s="328">
        <v>5</v>
      </c>
      <c r="AH1660" s="328"/>
      <c r="AI1660" s="328"/>
      <c r="AJ1660" s="328"/>
      <c r="AK1660" s="328"/>
      <c r="AL1660" s="328"/>
      <c r="AM1660" s="328"/>
      <c r="AN1660" s="328"/>
      <c r="AO1660" s="328"/>
      <c r="AP1660" s="328"/>
      <c r="AQ1660" s="328"/>
      <c r="AR1660" s="328"/>
      <c r="AS1660" s="328"/>
      <c r="AT1660" s="328"/>
      <c r="AU1660" s="328"/>
      <c r="AV1660" s="328"/>
      <c r="AW1660" s="328"/>
      <c r="AX1660" s="328"/>
      <c r="AY1660" s="328"/>
      <c r="AZ1660" s="328"/>
      <c r="BA1660" s="328"/>
      <c r="BB1660" s="328"/>
      <c r="BC1660" s="31"/>
      <c r="BF1660">
        <f>ROWS($U$46:U1660)</f>
        <v>1615</v>
      </c>
      <c r="BG1660" t="str">
        <f t="shared" si="233"/>
        <v/>
      </c>
    </row>
    <row r="1661" spans="15:59" x14ac:dyDescent="0.35">
      <c r="O1661" s="329">
        <v>1</v>
      </c>
      <c r="P1661" s="320">
        <v>1208601</v>
      </c>
      <c r="Q1661" s="320">
        <v>13</v>
      </c>
      <c r="R1661" s="320"/>
      <c r="S1661" s="320" t="s">
        <v>1200</v>
      </c>
      <c r="T1661" s="320" t="s">
        <v>2095</v>
      </c>
      <c r="U1661" s="320">
        <v>1255267</v>
      </c>
      <c r="V1661" s="319" t="s">
        <v>87</v>
      </c>
      <c r="W1661" s="320">
        <v>1</v>
      </c>
      <c r="X1661" s="320">
        <v>1</v>
      </c>
      <c r="Y1661" s="320">
        <v>1</v>
      </c>
      <c r="Z1661" s="320">
        <v>1</v>
      </c>
      <c r="AA1661" s="320">
        <v>2</v>
      </c>
      <c r="AB1661" s="320">
        <v>2</v>
      </c>
      <c r="AC1661" s="320">
        <v>5</v>
      </c>
      <c r="AD1661" s="320">
        <v>3</v>
      </c>
      <c r="AE1661" s="320"/>
      <c r="AF1661" s="320">
        <v>4</v>
      </c>
      <c r="AG1661" s="320">
        <v>4</v>
      </c>
      <c r="AH1661" s="320"/>
      <c r="AI1661" s="320"/>
      <c r="AJ1661" s="320"/>
      <c r="AK1661" s="320"/>
      <c r="AL1661" s="320"/>
      <c r="AM1661" s="320"/>
      <c r="AN1661" s="320"/>
      <c r="AO1661" s="320"/>
      <c r="AP1661" s="320"/>
      <c r="AQ1661" s="320"/>
      <c r="AR1661" s="320"/>
      <c r="AS1661" s="320"/>
      <c r="AT1661" s="320"/>
      <c r="AU1661" s="320"/>
      <c r="AV1661" s="320"/>
      <c r="AW1661" s="320"/>
      <c r="AX1661" s="320"/>
      <c r="AY1661" s="320"/>
      <c r="AZ1661" s="974"/>
      <c r="BA1661" s="320"/>
      <c r="BB1661" s="320"/>
      <c r="BC1661" s="320"/>
      <c r="BD1661" s="119"/>
      <c r="BF1661">
        <f>ROWS($U$46:U1661)</f>
        <v>1616</v>
      </c>
      <c r="BG1661" t="str">
        <f t="shared" si="233"/>
        <v/>
      </c>
    </row>
    <row r="1662" spans="15:59" x14ac:dyDescent="0.35">
      <c r="O1662" s="330">
        <v>2</v>
      </c>
      <c r="P1662" s="36">
        <v>1209333</v>
      </c>
      <c r="Q1662" s="36">
        <v>12</v>
      </c>
      <c r="R1662" s="36"/>
      <c r="S1662" s="36" t="s">
        <v>1200</v>
      </c>
      <c r="T1662" s="36" t="s">
        <v>2095</v>
      </c>
      <c r="U1662" s="36">
        <v>1255267</v>
      </c>
      <c r="V1662" s="165" t="s">
        <v>88</v>
      </c>
      <c r="W1662" s="36">
        <v>1</v>
      </c>
      <c r="X1662" s="36">
        <v>2</v>
      </c>
      <c r="Y1662" s="36">
        <v>2</v>
      </c>
      <c r="Z1662" s="36">
        <v>5</v>
      </c>
      <c r="AA1662" s="36">
        <v>3</v>
      </c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  <c r="AV1662" s="36"/>
      <c r="AW1662" s="36"/>
      <c r="AX1662" s="36"/>
      <c r="AY1662" s="36"/>
      <c r="AZ1662" s="961"/>
      <c r="BA1662" s="36"/>
      <c r="BB1662" s="36"/>
      <c r="BC1662" s="36"/>
      <c r="BD1662" s="27"/>
      <c r="BF1662">
        <f>ROWS($U$46:U1662)</f>
        <v>1617</v>
      </c>
      <c r="BG1662" t="str">
        <f t="shared" si="233"/>
        <v/>
      </c>
    </row>
    <row r="1663" spans="15:59" x14ac:dyDescent="0.35">
      <c r="O1663" s="330">
        <v>3</v>
      </c>
      <c r="P1663" s="36">
        <v>418525</v>
      </c>
      <c r="Q1663" s="36">
        <v>6</v>
      </c>
      <c r="R1663" s="36"/>
      <c r="S1663" s="36" t="s">
        <v>1200</v>
      </c>
      <c r="T1663" s="36" t="s">
        <v>2095</v>
      </c>
      <c r="U1663" s="36">
        <v>1255267</v>
      </c>
      <c r="V1663" s="165" t="s">
        <v>89</v>
      </c>
      <c r="W1663" s="36">
        <v>1</v>
      </c>
      <c r="X1663" s="36">
        <v>1</v>
      </c>
      <c r="Y1663" s="36">
        <v>1</v>
      </c>
      <c r="Z1663" s="36">
        <v>2</v>
      </c>
      <c r="AA1663" s="36">
        <v>2</v>
      </c>
      <c r="AB1663" s="36">
        <v>5</v>
      </c>
      <c r="AC1663" s="36">
        <v>3</v>
      </c>
      <c r="AD1663" s="36"/>
      <c r="AE1663" s="36"/>
      <c r="AF1663" s="36">
        <v>4</v>
      </c>
      <c r="AG1663" s="36">
        <v>4</v>
      </c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  <c r="AV1663" s="36"/>
      <c r="AW1663" s="36"/>
      <c r="AX1663" s="36"/>
      <c r="AY1663" s="36"/>
      <c r="AZ1663" s="961"/>
      <c r="BA1663" s="36"/>
      <c r="BB1663" s="36"/>
      <c r="BC1663" s="36"/>
      <c r="BD1663" s="27"/>
      <c r="BF1663">
        <f>ROWS($U$46:U1663)</f>
        <v>1618</v>
      </c>
      <c r="BG1663" t="str">
        <f t="shared" si="233"/>
        <v/>
      </c>
    </row>
    <row r="1664" spans="15:59" x14ac:dyDescent="0.35">
      <c r="O1664" s="330">
        <v>4</v>
      </c>
      <c r="P1664" s="36">
        <v>625854</v>
      </c>
      <c r="Q1664" s="36">
        <v>6</v>
      </c>
      <c r="R1664" s="36"/>
      <c r="S1664" s="36" t="s">
        <v>1200</v>
      </c>
      <c r="T1664" s="36" t="s">
        <v>2095</v>
      </c>
      <c r="U1664" s="36">
        <v>1255267</v>
      </c>
      <c r="V1664" s="165" t="s">
        <v>90</v>
      </c>
      <c r="W1664" s="36">
        <v>1</v>
      </c>
      <c r="X1664" s="36">
        <v>2</v>
      </c>
      <c r="Y1664" s="36">
        <v>2</v>
      </c>
      <c r="Z1664" s="36">
        <v>5</v>
      </c>
      <c r="AA1664" s="36">
        <v>3</v>
      </c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  <c r="AV1664" s="36"/>
      <c r="AW1664" s="36"/>
      <c r="AX1664" s="36"/>
      <c r="AY1664" s="36"/>
      <c r="AZ1664" s="961"/>
      <c r="BA1664" s="36"/>
      <c r="BB1664" s="36"/>
      <c r="BC1664" s="36"/>
      <c r="BD1664" s="27"/>
      <c r="BF1664">
        <f>ROWS($U$46:U1664)</f>
        <v>1619</v>
      </c>
      <c r="BG1664" t="str">
        <f t="shared" si="233"/>
        <v/>
      </c>
    </row>
    <row r="1665" spans="15:59" x14ac:dyDescent="0.35">
      <c r="O1665" s="330"/>
      <c r="P1665" s="36">
        <v>1146737</v>
      </c>
      <c r="Q1665" s="36">
        <v>6</v>
      </c>
      <c r="R1665" s="36"/>
      <c r="S1665" s="36" t="s">
        <v>1200</v>
      </c>
      <c r="T1665" s="36" t="s">
        <v>2095</v>
      </c>
      <c r="U1665" s="36">
        <v>1255267</v>
      </c>
      <c r="V1665" s="165" t="s">
        <v>91</v>
      </c>
      <c r="W1665" s="36">
        <v>1</v>
      </c>
      <c r="X1665" s="36">
        <v>1</v>
      </c>
      <c r="Y1665" s="36">
        <v>1</v>
      </c>
      <c r="Z1665" s="36">
        <v>2</v>
      </c>
      <c r="AA1665" s="36">
        <v>2</v>
      </c>
      <c r="AB1665" s="36">
        <v>5</v>
      </c>
      <c r="AC1665" s="36">
        <v>3</v>
      </c>
      <c r="AD1665" s="36"/>
      <c r="AE1665" s="36"/>
      <c r="AF1665" s="36">
        <v>4</v>
      </c>
      <c r="AG1665" s="36">
        <v>4</v>
      </c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  <c r="AV1665" s="36"/>
      <c r="AW1665" s="36"/>
      <c r="AX1665" s="36"/>
      <c r="AY1665" s="36"/>
      <c r="AZ1665" s="961"/>
      <c r="BA1665" s="36"/>
      <c r="BB1665" s="36"/>
      <c r="BC1665" s="36"/>
      <c r="BD1665" s="27"/>
      <c r="BF1665">
        <f>ROWS($U$46:U1665)</f>
        <v>1620</v>
      </c>
      <c r="BG1665" t="str">
        <f t="shared" si="233"/>
        <v/>
      </c>
    </row>
    <row r="1666" spans="15:59" ht="15" thickBot="1" x14ac:dyDescent="0.4">
      <c r="O1666" s="331"/>
      <c r="P1666" s="328"/>
      <c r="Q1666" s="328"/>
      <c r="R1666" s="328"/>
      <c r="S1666" s="328" t="s">
        <v>1200</v>
      </c>
      <c r="T1666" s="328" t="s">
        <v>2095</v>
      </c>
      <c r="U1666" s="328">
        <v>1255267</v>
      </c>
      <c r="V1666" s="327" t="s">
        <v>92</v>
      </c>
      <c r="W1666" s="328">
        <v>1</v>
      </c>
      <c r="X1666" s="328">
        <v>2</v>
      </c>
      <c r="Y1666" s="328">
        <v>2</v>
      </c>
      <c r="Z1666" s="328">
        <v>5</v>
      </c>
      <c r="AA1666" s="328">
        <v>3</v>
      </c>
      <c r="AB1666" s="328"/>
      <c r="AC1666" s="328"/>
      <c r="AD1666" s="328"/>
      <c r="AE1666" s="328"/>
      <c r="AF1666" s="328"/>
      <c r="AG1666" s="328"/>
      <c r="AH1666" s="328"/>
      <c r="AI1666" s="328"/>
      <c r="AJ1666" s="328"/>
      <c r="AK1666" s="328"/>
      <c r="AL1666" s="328"/>
      <c r="AM1666" s="328"/>
      <c r="AN1666" s="328"/>
      <c r="AO1666" s="328"/>
      <c r="AP1666" s="328"/>
      <c r="AQ1666" s="328"/>
      <c r="AR1666" s="328"/>
      <c r="AS1666" s="328"/>
      <c r="AT1666" s="328"/>
      <c r="AU1666" s="328"/>
      <c r="AV1666" s="328"/>
      <c r="AW1666" s="328"/>
      <c r="AX1666" s="328"/>
      <c r="AY1666" s="328"/>
      <c r="AZ1666" s="962"/>
      <c r="BA1666" s="328"/>
      <c r="BB1666" s="328"/>
      <c r="BC1666" s="328"/>
      <c r="BD1666" s="31"/>
      <c r="BF1666">
        <f>ROWS($U$46:U1666)</f>
        <v>1621</v>
      </c>
      <c r="BG1666" t="str">
        <f t="shared" si="233"/>
        <v/>
      </c>
    </row>
    <row r="1667" spans="15:59" x14ac:dyDescent="0.35">
      <c r="O1667" s="329">
        <v>1</v>
      </c>
      <c r="P1667" s="320">
        <v>1271790</v>
      </c>
      <c r="Q1667" s="320">
        <v>17</v>
      </c>
      <c r="R1667" s="320"/>
      <c r="S1667" s="320" t="s">
        <v>1200</v>
      </c>
      <c r="T1667" s="320" t="s">
        <v>2147</v>
      </c>
      <c r="U1667" s="320">
        <v>1267829</v>
      </c>
      <c r="V1667" s="319" t="s">
        <v>87</v>
      </c>
      <c r="W1667" s="320">
        <v>3</v>
      </c>
      <c r="X1667" s="320">
        <v>3</v>
      </c>
      <c r="Y1667" s="320">
        <v>3</v>
      </c>
      <c r="Z1667" s="320">
        <v>1</v>
      </c>
      <c r="AA1667" s="320">
        <v>1</v>
      </c>
      <c r="AB1667" s="320">
        <v>1</v>
      </c>
      <c r="AC1667" s="320">
        <v>5</v>
      </c>
      <c r="AD1667" s="320">
        <v>4</v>
      </c>
      <c r="AE1667" s="320"/>
      <c r="AF1667" s="320">
        <v>2</v>
      </c>
      <c r="AG1667" s="320">
        <v>2</v>
      </c>
      <c r="AH1667" s="320">
        <v>2</v>
      </c>
      <c r="AI1667" s="320"/>
      <c r="AJ1667" s="320"/>
      <c r="AK1667" s="320"/>
      <c r="AL1667" s="320"/>
      <c r="AM1667" s="320"/>
      <c r="AN1667" s="320"/>
      <c r="AO1667" s="320"/>
      <c r="AP1667" s="320"/>
      <c r="AQ1667" s="320"/>
      <c r="AR1667" s="320"/>
      <c r="AS1667" s="320"/>
      <c r="AT1667" s="320"/>
      <c r="AU1667" s="320"/>
      <c r="AV1667" s="320"/>
      <c r="AW1667" s="320"/>
      <c r="AX1667" s="320"/>
      <c r="AY1667" s="320"/>
      <c r="AZ1667" s="974"/>
      <c r="BA1667" s="320"/>
      <c r="BB1667" s="320"/>
      <c r="BC1667" s="320"/>
      <c r="BD1667" s="119"/>
      <c r="BF1667">
        <f>ROWS($U$46:U1667)</f>
        <v>1622</v>
      </c>
      <c r="BG1667" t="str">
        <f t="shared" si="233"/>
        <v/>
      </c>
    </row>
    <row r="1668" spans="15:59" x14ac:dyDescent="0.35">
      <c r="O1668" s="330">
        <v>2</v>
      </c>
      <c r="P1668" s="36">
        <v>1078377</v>
      </c>
      <c r="Q1668" s="36">
        <v>15</v>
      </c>
      <c r="R1668" s="36"/>
      <c r="S1668" s="36" t="s">
        <v>1200</v>
      </c>
      <c r="T1668" s="36" t="s">
        <v>2147</v>
      </c>
      <c r="U1668" s="36">
        <v>1267829</v>
      </c>
      <c r="V1668" s="165" t="s">
        <v>88</v>
      </c>
      <c r="W1668" s="36">
        <v>1</v>
      </c>
      <c r="X1668" s="36">
        <v>1</v>
      </c>
      <c r="Y1668" s="36">
        <v>1</v>
      </c>
      <c r="Z1668" s="36">
        <v>5</v>
      </c>
      <c r="AA1668" s="36">
        <v>4</v>
      </c>
      <c r="AB1668" s="36"/>
      <c r="AC1668" s="36"/>
      <c r="AD1668" s="36"/>
      <c r="AE1668" s="36"/>
      <c r="AF1668" s="36">
        <v>2</v>
      </c>
      <c r="AG1668" s="36">
        <v>2</v>
      </c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  <c r="AV1668" s="36"/>
      <c r="AW1668" s="36"/>
      <c r="AX1668" s="36"/>
      <c r="AY1668" s="36"/>
      <c r="AZ1668" s="961"/>
      <c r="BA1668" s="36"/>
      <c r="BB1668" s="36"/>
      <c r="BC1668" s="36"/>
      <c r="BD1668" s="27"/>
      <c r="BF1668">
        <f>ROWS($U$46:U1668)</f>
        <v>1623</v>
      </c>
      <c r="BG1668" t="str">
        <f t="shared" si="233"/>
        <v/>
      </c>
    </row>
    <row r="1669" spans="15:59" x14ac:dyDescent="0.35">
      <c r="O1669" s="330">
        <v>3</v>
      </c>
      <c r="P1669" s="36">
        <v>1208601</v>
      </c>
      <c r="Q1669" s="36">
        <v>8</v>
      </c>
      <c r="R1669" s="36"/>
      <c r="S1669" s="36" t="s">
        <v>1200</v>
      </c>
      <c r="T1669" s="36" t="s">
        <v>2147</v>
      </c>
      <c r="U1669" s="36">
        <v>1267829</v>
      </c>
      <c r="V1669" s="165" t="s">
        <v>89</v>
      </c>
      <c r="W1669" s="36">
        <v>3</v>
      </c>
      <c r="X1669" s="36">
        <v>3</v>
      </c>
      <c r="Y1669" s="36">
        <v>1</v>
      </c>
      <c r="Z1669" s="36">
        <v>1</v>
      </c>
      <c r="AA1669" s="36">
        <v>1</v>
      </c>
      <c r="AB1669" s="36">
        <v>5</v>
      </c>
      <c r="AC1669" s="36">
        <v>4</v>
      </c>
      <c r="AD1669" s="36"/>
      <c r="AE1669" s="36"/>
      <c r="AF1669" s="36">
        <v>2</v>
      </c>
      <c r="AG1669" s="36">
        <v>2</v>
      </c>
      <c r="AH1669" s="36">
        <v>2</v>
      </c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  <c r="AV1669" s="36"/>
      <c r="AW1669" s="36"/>
      <c r="AX1669" s="36"/>
      <c r="AY1669" s="36"/>
      <c r="AZ1669" s="961"/>
      <c r="BA1669" s="36"/>
      <c r="BB1669" s="36"/>
      <c r="BC1669" s="36"/>
      <c r="BD1669" s="27"/>
      <c r="BF1669">
        <f>ROWS($U$46:U1669)</f>
        <v>1624</v>
      </c>
      <c r="BG1669" t="str">
        <f t="shared" si="233"/>
        <v/>
      </c>
    </row>
    <row r="1670" spans="15:59" x14ac:dyDescent="0.35">
      <c r="O1670" s="330">
        <v>4</v>
      </c>
      <c r="P1670" s="36">
        <v>418525</v>
      </c>
      <c r="Q1670" s="36">
        <v>6</v>
      </c>
      <c r="R1670" s="36"/>
      <c r="S1670" s="36" t="s">
        <v>1200</v>
      </c>
      <c r="T1670" s="36" t="s">
        <v>2147</v>
      </c>
      <c r="U1670" s="36">
        <v>1267829</v>
      </c>
      <c r="V1670" s="165" t="s">
        <v>90</v>
      </c>
      <c r="W1670" s="36">
        <v>1</v>
      </c>
      <c r="X1670" s="36">
        <v>1</v>
      </c>
      <c r="Y1670" s="36">
        <v>1</v>
      </c>
      <c r="Z1670" s="36">
        <v>5</v>
      </c>
      <c r="AA1670" s="36">
        <v>4</v>
      </c>
      <c r="AB1670" s="36"/>
      <c r="AC1670" s="36"/>
      <c r="AD1670" s="36"/>
      <c r="AE1670" s="36"/>
      <c r="AF1670" s="36">
        <v>2</v>
      </c>
      <c r="AG1670" s="36">
        <v>2</v>
      </c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  <c r="AV1670" s="36"/>
      <c r="AW1670" s="36"/>
      <c r="AX1670" s="36"/>
      <c r="AY1670" s="36"/>
      <c r="AZ1670" s="961"/>
      <c r="BA1670" s="36"/>
      <c r="BB1670" s="36"/>
      <c r="BC1670" s="36"/>
      <c r="BD1670" s="27"/>
      <c r="BF1670">
        <f>ROWS($U$46:U1670)</f>
        <v>1625</v>
      </c>
      <c r="BG1670" t="str">
        <f t="shared" si="233"/>
        <v/>
      </c>
    </row>
    <row r="1671" spans="15:59" x14ac:dyDescent="0.35">
      <c r="O1671" s="330">
        <v>5</v>
      </c>
      <c r="P1671" s="36">
        <v>1146737</v>
      </c>
      <c r="Q1671" s="36">
        <v>6</v>
      </c>
      <c r="R1671" s="36"/>
      <c r="S1671" s="36" t="s">
        <v>1200</v>
      </c>
      <c r="T1671" s="36" t="s">
        <v>2147</v>
      </c>
      <c r="U1671" s="36">
        <v>1267829</v>
      </c>
      <c r="V1671" s="165" t="s">
        <v>91</v>
      </c>
      <c r="W1671" s="36">
        <v>3</v>
      </c>
      <c r="X1671" s="36">
        <v>3</v>
      </c>
      <c r="Y1671" s="36">
        <v>1</v>
      </c>
      <c r="Z1671" s="36">
        <v>1</v>
      </c>
      <c r="AA1671" s="36">
        <v>1</v>
      </c>
      <c r="AB1671" s="36">
        <v>5</v>
      </c>
      <c r="AC1671" s="36">
        <v>4</v>
      </c>
      <c r="AD1671" s="36"/>
      <c r="AE1671" s="36"/>
      <c r="AF1671" s="36">
        <v>2</v>
      </c>
      <c r="AG1671" s="36">
        <v>2</v>
      </c>
      <c r="AH1671" s="36">
        <v>2</v>
      </c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  <c r="AV1671" s="36"/>
      <c r="AW1671" s="36"/>
      <c r="AX1671" s="36"/>
      <c r="AY1671" s="36"/>
      <c r="AZ1671" s="961"/>
      <c r="BA1671" s="36"/>
      <c r="BB1671" s="36"/>
      <c r="BC1671" s="36"/>
      <c r="BD1671" s="27"/>
      <c r="BF1671">
        <f>ROWS($U$46:U1671)</f>
        <v>1626</v>
      </c>
      <c r="BG1671" t="str">
        <f t="shared" si="233"/>
        <v/>
      </c>
    </row>
    <row r="1672" spans="15:59" ht="15" thickBot="1" x14ac:dyDescent="0.4">
      <c r="O1672" s="331"/>
      <c r="P1672" s="328"/>
      <c r="Q1672" s="328"/>
      <c r="R1672" s="328"/>
      <c r="S1672" s="328" t="s">
        <v>1200</v>
      </c>
      <c r="T1672" s="328" t="s">
        <v>2147</v>
      </c>
      <c r="U1672" s="328">
        <v>1267829</v>
      </c>
      <c r="V1672" s="327" t="s">
        <v>92</v>
      </c>
      <c r="W1672" s="328">
        <v>3</v>
      </c>
      <c r="X1672" s="328">
        <v>1</v>
      </c>
      <c r="Y1672" s="328">
        <v>1</v>
      </c>
      <c r="Z1672" s="328">
        <v>5</v>
      </c>
      <c r="AA1672" s="328">
        <v>4</v>
      </c>
      <c r="AB1672" s="328"/>
      <c r="AC1672" s="328"/>
      <c r="AD1672" s="328"/>
      <c r="AE1672" s="328"/>
      <c r="AF1672" s="328">
        <v>2</v>
      </c>
      <c r="AG1672" s="328">
        <v>2</v>
      </c>
      <c r="AH1672" s="328"/>
      <c r="AI1672" s="328"/>
      <c r="AJ1672" s="328"/>
      <c r="AK1672" s="328"/>
      <c r="AL1672" s="328"/>
      <c r="AM1672" s="328"/>
      <c r="AN1672" s="328"/>
      <c r="AO1672" s="328"/>
      <c r="AP1672" s="328"/>
      <c r="AQ1672" s="328"/>
      <c r="AR1672" s="328"/>
      <c r="AS1672" s="328"/>
      <c r="AT1672" s="328"/>
      <c r="AU1672" s="328"/>
      <c r="AV1672" s="328"/>
      <c r="AW1672" s="328"/>
      <c r="AX1672" s="328"/>
      <c r="AY1672" s="328"/>
      <c r="AZ1672" s="962"/>
      <c r="BA1672" s="328"/>
      <c r="BB1672" s="328"/>
      <c r="BC1672" s="328"/>
      <c r="BD1672" s="31"/>
      <c r="BF1672">
        <f>ROWS($U$46:U1672)</f>
        <v>1627</v>
      </c>
      <c r="BG1672" t="str">
        <f t="shared" si="233"/>
        <v/>
      </c>
    </row>
    <row r="1673" spans="15:59" x14ac:dyDescent="0.35">
      <c r="O1673" s="329">
        <v>1</v>
      </c>
      <c r="P1673" s="320">
        <v>1136984</v>
      </c>
      <c r="Q1673" s="320">
        <v>13</v>
      </c>
      <c r="R1673" s="320"/>
      <c r="S1673" s="320" t="s">
        <v>1319</v>
      </c>
      <c r="T1673" s="320" t="s">
        <v>1364</v>
      </c>
      <c r="U1673" s="320">
        <v>1198387</v>
      </c>
      <c r="V1673" s="319" t="s">
        <v>87</v>
      </c>
      <c r="W1673" s="320">
        <v>5</v>
      </c>
      <c r="X1673" s="320">
        <v>2</v>
      </c>
      <c r="Y1673" s="320">
        <v>1</v>
      </c>
      <c r="Z1673" s="320">
        <v>1</v>
      </c>
      <c r="AA1673" s="320">
        <v>1</v>
      </c>
      <c r="AB1673" s="320">
        <v>6</v>
      </c>
      <c r="AC1673" s="320">
        <v>3</v>
      </c>
      <c r="AD1673" s="320"/>
      <c r="AE1673" s="320">
        <v>4</v>
      </c>
      <c r="AF1673" s="320"/>
      <c r="AG1673" s="320"/>
      <c r="AH1673" s="320"/>
      <c r="AI1673" s="320"/>
      <c r="AJ1673" s="320"/>
      <c r="AK1673" s="320"/>
      <c r="AL1673" s="320"/>
      <c r="AM1673" s="320"/>
      <c r="AN1673" s="320"/>
      <c r="AO1673" s="320"/>
      <c r="AP1673" s="320"/>
      <c r="AQ1673" s="320"/>
      <c r="AR1673" s="320"/>
      <c r="AS1673" s="320"/>
      <c r="AT1673" s="320"/>
      <c r="AU1673" s="320"/>
      <c r="AV1673" s="320"/>
      <c r="AW1673" s="320"/>
      <c r="AX1673" s="320"/>
      <c r="AY1673" s="952"/>
      <c r="AZ1673" s="36"/>
      <c r="BA1673" s="36"/>
      <c r="BB1673" s="36"/>
      <c r="BC1673" s="36"/>
      <c r="BD1673" s="36"/>
      <c r="BF1673">
        <f>ROWS($U$46:U1673)</f>
        <v>1628</v>
      </c>
      <c r="BG1673" t="str">
        <f t="shared" si="233"/>
        <v/>
      </c>
    </row>
    <row r="1674" spans="15:59" x14ac:dyDescent="0.35">
      <c r="O1674" s="330">
        <v>2</v>
      </c>
      <c r="P1674" s="36">
        <v>1100696</v>
      </c>
      <c r="Q1674" s="36">
        <v>5</v>
      </c>
      <c r="R1674" s="36"/>
      <c r="S1674" s="36" t="s">
        <v>1319</v>
      </c>
      <c r="T1674" s="36" t="s">
        <v>1364</v>
      </c>
      <c r="U1674" s="36">
        <v>1198387</v>
      </c>
      <c r="V1674" s="165" t="s">
        <v>88</v>
      </c>
      <c r="W1674" s="36">
        <v>1</v>
      </c>
      <c r="X1674" s="36">
        <v>1</v>
      </c>
      <c r="Y1674" s="36">
        <v>6</v>
      </c>
      <c r="Z1674" s="36">
        <v>3</v>
      </c>
      <c r="AA1674" s="36"/>
      <c r="AB1674" s="36"/>
      <c r="AC1674" s="36"/>
      <c r="AD1674" s="36"/>
      <c r="AE1674" s="36">
        <v>4</v>
      </c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  <c r="AV1674" s="36"/>
      <c r="AW1674" s="36"/>
      <c r="AX1674" s="36"/>
      <c r="AY1674" s="953"/>
      <c r="AZ1674" s="36"/>
      <c r="BA1674" s="36"/>
      <c r="BB1674" s="36"/>
      <c r="BC1674" s="36"/>
      <c r="BD1674" s="36"/>
      <c r="BF1674">
        <f>ROWS($U$46:U1674)</f>
        <v>1629</v>
      </c>
      <c r="BG1674" t="str">
        <f t="shared" si="233"/>
        <v/>
      </c>
    </row>
    <row r="1675" spans="15:59" x14ac:dyDescent="0.35">
      <c r="O1675" s="330">
        <v>3</v>
      </c>
      <c r="P1675" s="36">
        <v>418525</v>
      </c>
      <c r="Q1675" s="36">
        <v>6</v>
      </c>
      <c r="R1675" s="36"/>
      <c r="S1675" s="36" t="s">
        <v>1319</v>
      </c>
      <c r="T1675" s="36" t="s">
        <v>1364</v>
      </c>
      <c r="U1675" s="36">
        <v>1198387</v>
      </c>
      <c r="V1675" s="165" t="s">
        <v>89</v>
      </c>
      <c r="W1675" s="36">
        <v>2</v>
      </c>
      <c r="X1675" s="36">
        <v>2</v>
      </c>
      <c r="Y1675" s="36">
        <v>1</v>
      </c>
      <c r="Z1675" s="36">
        <v>1</v>
      </c>
      <c r="AA1675" s="36">
        <v>6</v>
      </c>
      <c r="AB1675" s="36">
        <v>3</v>
      </c>
      <c r="AC1675" s="36"/>
      <c r="AD1675" s="36"/>
      <c r="AE1675" s="36">
        <v>4</v>
      </c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  <c r="AV1675" s="36"/>
      <c r="AW1675" s="36"/>
      <c r="AX1675" s="36"/>
      <c r="AY1675" s="953"/>
      <c r="AZ1675" s="36"/>
      <c r="BA1675" s="36"/>
      <c r="BB1675" s="36"/>
      <c r="BC1675" s="36"/>
      <c r="BD1675" s="36"/>
      <c r="BF1675">
        <f>ROWS($U$46:U1675)</f>
        <v>1630</v>
      </c>
      <c r="BG1675" t="str">
        <f t="shared" si="233"/>
        <v/>
      </c>
    </row>
    <row r="1676" spans="15:59" x14ac:dyDescent="0.35">
      <c r="O1676" s="330">
        <v>4</v>
      </c>
      <c r="P1676" s="36">
        <v>1101509</v>
      </c>
      <c r="Q1676" s="36">
        <v>5</v>
      </c>
      <c r="R1676" s="36"/>
      <c r="S1676" s="36" t="s">
        <v>1319</v>
      </c>
      <c r="T1676" s="36" t="s">
        <v>1364</v>
      </c>
      <c r="U1676" s="36">
        <v>1198387</v>
      </c>
      <c r="V1676" s="165" t="s">
        <v>90</v>
      </c>
      <c r="W1676" s="36">
        <v>1</v>
      </c>
      <c r="X1676" s="36">
        <v>1</v>
      </c>
      <c r="Y1676" s="36">
        <v>6</v>
      </c>
      <c r="Z1676" s="36">
        <v>6</v>
      </c>
      <c r="AA1676" s="36">
        <v>3</v>
      </c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  <c r="AV1676" s="36"/>
      <c r="AW1676" s="36"/>
      <c r="AX1676" s="36"/>
      <c r="AY1676" s="953"/>
      <c r="AZ1676" s="36"/>
      <c r="BA1676" s="36"/>
      <c r="BB1676" s="36"/>
      <c r="BC1676" s="36"/>
      <c r="BD1676" s="36"/>
      <c r="BF1676">
        <f>ROWS($U$46:U1676)</f>
        <v>1631</v>
      </c>
      <c r="BG1676" t="str">
        <f t="shared" si="233"/>
        <v/>
      </c>
    </row>
    <row r="1677" spans="15:59" x14ac:dyDescent="0.35">
      <c r="O1677" s="330">
        <v>5</v>
      </c>
      <c r="P1677" s="36">
        <v>1104083</v>
      </c>
      <c r="Q1677" s="36">
        <v>1</v>
      </c>
      <c r="R1677" s="36"/>
      <c r="S1677" s="36" t="s">
        <v>1319</v>
      </c>
      <c r="T1677" s="36" t="s">
        <v>1364</v>
      </c>
      <c r="U1677" s="36">
        <v>1198387</v>
      </c>
      <c r="V1677" s="165" t="s">
        <v>91</v>
      </c>
      <c r="W1677" s="36">
        <v>2</v>
      </c>
      <c r="X1677" s="36">
        <v>2</v>
      </c>
      <c r="Y1677" s="36">
        <v>1</v>
      </c>
      <c r="Z1677" s="36">
        <v>1</v>
      </c>
      <c r="AA1677" s="36">
        <v>6</v>
      </c>
      <c r="AB1677" s="36">
        <v>3</v>
      </c>
      <c r="AC1677" s="36"/>
      <c r="AD1677" s="36"/>
      <c r="AE1677" s="36">
        <v>4</v>
      </c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  <c r="AV1677" s="36"/>
      <c r="AW1677" s="36"/>
      <c r="AX1677" s="36"/>
      <c r="AY1677" s="953"/>
      <c r="AZ1677" s="36"/>
      <c r="BA1677" s="36"/>
      <c r="BB1677" s="36"/>
      <c r="BC1677" s="36"/>
      <c r="BD1677" s="36"/>
      <c r="BF1677">
        <f>ROWS($U$46:U1677)</f>
        <v>1632</v>
      </c>
      <c r="BG1677" t="str">
        <f t="shared" si="233"/>
        <v/>
      </c>
    </row>
    <row r="1678" spans="15:59" ht="15" thickBot="1" x14ac:dyDescent="0.4">
      <c r="O1678" s="331">
        <v>6</v>
      </c>
      <c r="P1678" s="328">
        <v>1238831</v>
      </c>
      <c r="Q1678" s="328">
        <v>7</v>
      </c>
      <c r="R1678" s="328"/>
      <c r="S1678" s="328" t="s">
        <v>1319</v>
      </c>
      <c r="T1678" s="328" t="s">
        <v>1364</v>
      </c>
      <c r="U1678" s="328">
        <v>1198387</v>
      </c>
      <c r="V1678" s="327" t="s">
        <v>92</v>
      </c>
      <c r="W1678" s="328">
        <v>1</v>
      </c>
      <c r="X1678" s="328">
        <v>1</v>
      </c>
      <c r="Y1678" s="328">
        <v>6</v>
      </c>
      <c r="Z1678" s="328">
        <v>3</v>
      </c>
      <c r="AA1678" s="328"/>
      <c r="AB1678" s="328"/>
      <c r="AC1678" s="328"/>
      <c r="AD1678" s="328"/>
      <c r="AE1678" s="328">
        <v>4</v>
      </c>
      <c r="AF1678" s="328"/>
      <c r="AG1678" s="328"/>
      <c r="AH1678" s="328"/>
      <c r="AI1678" s="328"/>
      <c r="AJ1678" s="328"/>
      <c r="AK1678" s="328"/>
      <c r="AL1678" s="328"/>
      <c r="AM1678" s="328"/>
      <c r="AN1678" s="328"/>
      <c r="AO1678" s="328"/>
      <c r="AP1678" s="328"/>
      <c r="AQ1678" s="328"/>
      <c r="AR1678" s="328"/>
      <c r="AS1678" s="328"/>
      <c r="AT1678" s="328"/>
      <c r="AU1678" s="328"/>
      <c r="AV1678" s="328"/>
      <c r="AW1678" s="328"/>
      <c r="AX1678" s="328"/>
      <c r="AY1678" s="954"/>
      <c r="AZ1678" s="36"/>
      <c r="BA1678" s="36"/>
      <c r="BB1678" s="36"/>
      <c r="BC1678" s="36"/>
      <c r="BD1678" s="36"/>
      <c r="BF1678">
        <f>ROWS($U$46:U1678)</f>
        <v>1633</v>
      </c>
      <c r="BG1678" t="str">
        <f t="shared" si="233"/>
        <v/>
      </c>
    </row>
    <row r="1679" spans="15:59" x14ac:dyDescent="0.35">
      <c r="O1679" s="329">
        <v>1</v>
      </c>
      <c r="P1679" s="320">
        <v>1130198</v>
      </c>
      <c r="Q1679" s="320">
        <v>56</v>
      </c>
      <c r="R1679" s="320"/>
      <c r="S1679" s="320" t="s">
        <v>1126</v>
      </c>
      <c r="T1679" s="320" t="s">
        <v>881</v>
      </c>
      <c r="U1679">
        <v>1252168</v>
      </c>
      <c r="V1679" s="319" t="s">
        <v>87</v>
      </c>
      <c r="W1679" s="320">
        <v>6</v>
      </c>
      <c r="X1679" s="320">
        <v>6</v>
      </c>
      <c r="Y1679" s="320">
        <v>6</v>
      </c>
      <c r="Z1679" s="320">
        <v>6</v>
      </c>
      <c r="AA1679" s="320">
        <v>6</v>
      </c>
      <c r="AB1679" s="320">
        <v>1</v>
      </c>
      <c r="AC1679" s="320">
        <v>1</v>
      </c>
      <c r="AD1679" s="320">
        <v>1</v>
      </c>
      <c r="AE1679" s="320">
        <v>1</v>
      </c>
      <c r="AF1679" s="320">
        <v>1</v>
      </c>
      <c r="AG1679" s="320">
        <v>1</v>
      </c>
      <c r="AH1679" s="320">
        <v>1</v>
      </c>
      <c r="AI1679" s="320">
        <v>1</v>
      </c>
      <c r="AJ1679" s="320">
        <v>5</v>
      </c>
      <c r="AK1679" s="320">
        <v>5</v>
      </c>
      <c r="AL1679" s="320"/>
      <c r="AM1679" s="320">
        <v>4</v>
      </c>
      <c r="AN1679" s="320">
        <v>4</v>
      </c>
      <c r="AO1679" s="320">
        <v>4</v>
      </c>
      <c r="AP1679" s="320">
        <v>4</v>
      </c>
      <c r="AQ1679" s="320">
        <v>3</v>
      </c>
      <c r="AR1679" s="320">
        <v>3</v>
      </c>
      <c r="AS1679" s="320">
        <v>3</v>
      </c>
      <c r="AT1679" s="320">
        <v>3</v>
      </c>
      <c r="AU1679" s="320">
        <v>3</v>
      </c>
      <c r="AV1679" s="320">
        <v>4</v>
      </c>
      <c r="AW1679" s="320">
        <v>2</v>
      </c>
      <c r="AX1679" s="320">
        <v>2</v>
      </c>
      <c r="AY1679" s="320">
        <v>2</v>
      </c>
      <c r="AZ1679" s="320">
        <v>2</v>
      </c>
      <c r="BA1679" s="320">
        <v>2</v>
      </c>
      <c r="BB1679" s="320">
        <v>2</v>
      </c>
      <c r="BC1679" s="119"/>
      <c r="BF1679">
        <f>ROWS($U$46:U1679)</f>
        <v>1634</v>
      </c>
      <c r="BG1679" t="str">
        <f t="shared" si="233"/>
        <v/>
      </c>
    </row>
    <row r="1680" spans="15:59" x14ac:dyDescent="0.35">
      <c r="O1680" s="330">
        <v>2</v>
      </c>
      <c r="P1680" s="36">
        <v>410851</v>
      </c>
      <c r="Q1680" s="36">
        <v>42</v>
      </c>
      <c r="R1680" s="36"/>
      <c r="S1680" s="36" t="s">
        <v>1126</v>
      </c>
      <c r="T1680" s="36" t="s">
        <v>881</v>
      </c>
      <c r="U1680" s="36">
        <v>1252168</v>
      </c>
      <c r="V1680" s="165" t="s">
        <v>88</v>
      </c>
      <c r="W1680" s="36">
        <v>1</v>
      </c>
      <c r="X1680" s="36">
        <v>1</v>
      </c>
      <c r="Y1680" s="36">
        <v>1</v>
      </c>
      <c r="Z1680" s="36">
        <v>1</v>
      </c>
      <c r="AA1680" s="36">
        <v>1</v>
      </c>
      <c r="AB1680" s="36">
        <v>1</v>
      </c>
      <c r="AC1680" s="36">
        <v>1</v>
      </c>
      <c r="AD1680" s="36">
        <v>5</v>
      </c>
      <c r="AE1680" s="36">
        <v>5</v>
      </c>
      <c r="AF1680" s="36"/>
      <c r="AG1680" s="36"/>
      <c r="AH1680" s="36"/>
      <c r="AI1680" s="36"/>
      <c r="AJ1680" s="36"/>
      <c r="AK1680" s="36"/>
      <c r="AL1680" s="36"/>
      <c r="AM1680" s="36">
        <v>4</v>
      </c>
      <c r="AN1680" s="36">
        <v>3</v>
      </c>
      <c r="AO1680" s="36">
        <v>3</v>
      </c>
      <c r="AP1680" s="36">
        <v>3</v>
      </c>
      <c r="AQ1680" s="36">
        <v>3</v>
      </c>
      <c r="AR1680" s="36">
        <v>3</v>
      </c>
      <c r="AS1680" s="36">
        <v>4</v>
      </c>
      <c r="AT1680" s="36">
        <v>2</v>
      </c>
      <c r="AU1680" s="36">
        <v>2</v>
      </c>
      <c r="AV1680" s="36">
        <v>2</v>
      </c>
      <c r="AW1680" s="36">
        <v>2</v>
      </c>
      <c r="AX1680" s="36">
        <v>2</v>
      </c>
      <c r="AY1680" s="36">
        <v>2</v>
      </c>
      <c r="AZ1680" s="36"/>
      <c r="BA1680" s="36"/>
      <c r="BB1680" s="36"/>
      <c r="BC1680" s="27"/>
      <c r="BF1680">
        <f>ROWS($U$46:U1680)</f>
        <v>1635</v>
      </c>
      <c r="BG1680" t="str">
        <f t="shared" si="233"/>
        <v/>
      </c>
    </row>
    <row r="1681" spans="15:59" x14ac:dyDescent="0.35">
      <c r="O1681" s="330">
        <v>3</v>
      </c>
      <c r="P1681" s="36">
        <v>717751</v>
      </c>
      <c r="Q1681" s="36">
        <v>39</v>
      </c>
      <c r="R1681" s="36"/>
      <c r="S1681" s="36" t="s">
        <v>1126</v>
      </c>
      <c r="T1681" s="36" t="s">
        <v>881</v>
      </c>
      <c r="U1681" s="36">
        <v>1252168</v>
      </c>
      <c r="V1681" s="165" t="s">
        <v>89</v>
      </c>
      <c r="W1681" s="36">
        <v>6</v>
      </c>
      <c r="X1681" s="36">
        <v>6</v>
      </c>
      <c r="Y1681" s="36">
        <v>6</v>
      </c>
      <c r="Z1681" s="36">
        <v>6</v>
      </c>
      <c r="AA1681" s="36">
        <v>1</v>
      </c>
      <c r="AB1681" s="36">
        <v>1</v>
      </c>
      <c r="AC1681" s="36">
        <v>1</v>
      </c>
      <c r="AD1681" s="36">
        <v>1</v>
      </c>
      <c r="AE1681" s="36">
        <v>1</v>
      </c>
      <c r="AF1681" s="36">
        <v>1</v>
      </c>
      <c r="AG1681" s="36">
        <v>1</v>
      </c>
      <c r="AH1681" s="36">
        <v>1</v>
      </c>
      <c r="AI1681" s="36">
        <v>5</v>
      </c>
      <c r="AJ1681" s="36">
        <v>5</v>
      </c>
      <c r="AK1681" s="36"/>
      <c r="AL1681" s="36"/>
      <c r="AM1681" s="36">
        <v>4</v>
      </c>
      <c r="AN1681" s="36">
        <v>4</v>
      </c>
      <c r="AO1681" s="36">
        <v>4</v>
      </c>
      <c r="AP1681" s="36">
        <v>4</v>
      </c>
      <c r="AQ1681" s="36">
        <v>3</v>
      </c>
      <c r="AR1681" s="36">
        <v>3</v>
      </c>
      <c r="AS1681" s="36">
        <v>3</v>
      </c>
      <c r="AT1681" s="36">
        <v>3</v>
      </c>
      <c r="AU1681" s="36">
        <v>3</v>
      </c>
      <c r="AV1681" s="36">
        <v>4</v>
      </c>
      <c r="AW1681" s="36">
        <v>2</v>
      </c>
      <c r="AX1681" s="36">
        <v>2</v>
      </c>
      <c r="AY1681" s="36">
        <v>2</v>
      </c>
      <c r="AZ1681" s="36">
        <v>2</v>
      </c>
      <c r="BA1681" s="36">
        <v>2</v>
      </c>
      <c r="BB1681" s="36">
        <v>2</v>
      </c>
      <c r="BC1681" s="27"/>
      <c r="BF1681">
        <f>ROWS($U$46:U1681)</f>
        <v>1636</v>
      </c>
      <c r="BG1681" t="str">
        <f t="shared" si="233"/>
        <v/>
      </c>
    </row>
    <row r="1682" spans="15:59" x14ac:dyDescent="0.35">
      <c r="O1682" s="330">
        <v>4</v>
      </c>
      <c r="P1682" s="36">
        <v>179733</v>
      </c>
      <c r="Q1682" s="36">
        <v>23</v>
      </c>
      <c r="R1682" s="36"/>
      <c r="S1682" s="36" t="s">
        <v>1126</v>
      </c>
      <c r="T1682" s="36" t="s">
        <v>881</v>
      </c>
      <c r="U1682" s="36">
        <v>1252168</v>
      </c>
      <c r="V1682" s="165" t="s">
        <v>90</v>
      </c>
      <c r="W1682" s="36">
        <v>1</v>
      </c>
      <c r="X1682" s="36">
        <v>1</v>
      </c>
      <c r="Y1682" s="36">
        <v>1</v>
      </c>
      <c r="Z1682" s="36">
        <v>1</v>
      </c>
      <c r="AA1682" s="36">
        <v>1</v>
      </c>
      <c r="AB1682" s="36">
        <v>1</v>
      </c>
      <c r="AC1682" s="36">
        <v>1</v>
      </c>
      <c r="AD1682" s="36">
        <v>1</v>
      </c>
      <c r="AE1682" s="36">
        <v>5</v>
      </c>
      <c r="AF1682" s="36">
        <v>5</v>
      </c>
      <c r="AG1682" s="36"/>
      <c r="AH1682" s="36"/>
      <c r="AI1682" s="36"/>
      <c r="AJ1682" s="36"/>
      <c r="AK1682" s="36"/>
      <c r="AL1682" s="36"/>
      <c r="AM1682" s="36">
        <v>4</v>
      </c>
      <c r="AN1682" s="36">
        <v>3</v>
      </c>
      <c r="AO1682" s="36">
        <v>3</v>
      </c>
      <c r="AP1682" s="36">
        <v>3</v>
      </c>
      <c r="AQ1682" s="36">
        <v>3</v>
      </c>
      <c r="AR1682" s="36">
        <v>3</v>
      </c>
      <c r="AS1682" s="36">
        <v>3</v>
      </c>
      <c r="AT1682" s="36">
        <v>4</v>
      </c>
      <c r="AU1682" s="36">
        <v>2</v>
      </c>
      <c r="AV1682" s="36">
        <v>2</v>
      </c>
      <c r="AW1682" s="36">
        <v>2</v>
      </c>
      <c r="AX1682" s="36">
        <v>2</v>
      </c>
      <c r="AY1682" s="36">
        <v>2</v>
      </c>
      <c r="AZ1682" s="36">
        <v>2</v>
      </c>
      <c r="BA1682" s="36"/>
      <c r="BB1682" s="36"/>
      <c r="BC1682" s="27"/>
      <c r="BF1682">
        <f>ROWS($U$46:U1682)</f>
        <v>1637</v>
      </c>
      <c r="BG1682" t="str">
        <f t="shared" si="233"/>
        <v/>
      </c>
    </row>
    <row r="1683" spans="15:59" x14ac:dyDescent="0.35">
      <c r="O1683" s="330">
        <v>5</v>
      </c>
      <c r="P1683" s="36">
        <v>418525</v>
      </c>
      <c r="Q1683" s="36">
        <v>14</v>
      </c>
      <c r="R1683" s="36"/>
      <c r="S1683" s="36" t="s">
        <v>1126</v>
      </c>
      <c r="T1683" s="36" t="s">
        <v>881</v>
      </c>
      <c r="U1683" s="36">
        <v>1252168</v>
      </c>
      <c r="V1683" s="165" t="s">
        <v>91</v>
      </c>
      <c r="W1683" s="36">
        <v>6</v>
      </c>
      <c r="X1683" s="36">
        <v>6</v>
      </c>
      <c r="Y1683" s="36">
        <v>6</v>
      </c>
      <c r="Z1683" s="36">
        <v>6</v>
      </c>
      <c r="AA1683" s="36">
        <v>1</v>
      </c>
      <c r="AB1683" s="36">
        <v>1</v>
      </c>
      <c r="AC1683" s="36">
        <v>1</v>
      </c>
      <c r="AD1683" s="36">
        <v>1</v>
      </c>
      <c r="AE1683" s="36">
        <v>1</v>
      </c>
      <c r="AF1683" s="36">
        <v>1</v>
      </c>
      <c r="AG1683" s="36">
        <v>1</v>
      </c>
      <c r="AH1683" s="36">
        <v>1</v>
      </c>
      <c r="AI1683" s="36">
        <v>1</v>
      </c>
      <c r="AJ1683" s="36">
        <v>5</v>
      </c>
      <c r="AK1683" s="36">
        <v>5</v>
      </c>
      <c r="AL1683" s="36"/>
      <c r="AM1683" s="36">
        <v>4</v>
      </c>
      <c r="AN1683" s="36">
        <v>4</v>
      </c>
      <c r="AO1683" s="36">
        <v>4</v>
      </c>
      <c r="AP1683" s="36">
        <v>4</v>
      </c>
      <c r="AQ1683" s="36">
        <v>3</v>
      </c>
      <c r="AR1683" s="36">
        <v>3</v>
      </c>
      <c r="AS1683" s="36">
        <v>3</v>
      </c>
      <c r="AT1683" s="36">
        <v>3</v>
      </c>
      <c r="AU1683" s="36">
        <v>3</v>
      </c>
      <c r="AV1683" s="36">
        <v>3</v>
      </c>
      <c r="AW1683" s="36">
        <v>4</v>
      </c>
      <c r="AX1683" s="36">
        <v>2</v>
      </c>
      <c r="AY1683" s="36">
        <v>2</v>
      </c>
      <c r="AZ1683" s="36">
        <v>2</v>
      </c>
      <c r="BA1683" s="36">
        <v>2</v>
      </c>
      <c r="BB1683" s="36">
        <v>2</v>
      </c>
      <c r="BC1683" s="27">
        <v>2</v>
      </c>
      <c r="BF1683">
        <f>ROWS($U$46:U1683)</f>
        <v>1638</v>
      </c>
      <c r="BG1683" t="str">
        <f t="shared" si="233"/>
        <v/>
      </c>
    </row>
    <row r="1684" spans="15:59" x14ac:dyDescent="0.35">
      <c r="O1684" s="330">
        <v>6</v>
      </c>
      <c r="P1684" s="36">
        <v>1130197</v>
      </c>
      <c r="Q1684" s="36">
        <v>13</v>
      </c>
      <c r="R1684" s="36"/>
      <c r="S1684" s="36" t="s">
        <v>1126</v>
      </c>
      <c r="T1684" s="36" t="s">
        <v>881</v>
      </c>
      <c r="U1684" s="36">
        <v>1252168</v>
      </c>
      <c r="V1684" s="165" t="s">
        <v>92</v>
      </c>
      <c r="W1684" s="36">
        <v>1</v>
      </c>
      <c r="X1684" s="36">
        <v>1</v>
      </c>
      <c r="Y1684" s="36">
        <v>1</v>
      </c>
      <c r="Z1684" s="36">
        <v>1</v>
      </c>
      <c r="AA1684" s="36">
        <v>1</v>
      </c>
      <c r="AB1684" s="36">
        <v>1</v>
      </c>
      <c r="AC1684" s="36">
        <v>1</v>
      </c>
      <c r="AD1684" s="36">
        <v>1</v>
      </c>
      <c r="AE1684" s="36">
        <v>5</v>
      </c>
      <c r="AF1684" s="36">
        <v>5</v>
      </c>
      <c r="AG1684" s="36"/>
      <c r="AH1684" s="36"/>
      <c r="AI1684" s="36"/>
      <c r="AJ1684" s="36"/>
      <c r="AK1684" s="36"/>
      <c r="AL1684" s="36"/>
      <c r="AM1684" s="36">
        <v>4</v>
      </c>
      <c r="AN1684" s="36">
        <v>3</v>
      </c>
      <c r="AO1684" s="36">
        <v>3</v>
      </c>
      <c r="AP1684" s="36">
        <v>3</v>
      </c>
      <c r="AQ1684" s="36">
        <v>3</v>
      </c>
      <c r="AR1684" s="36">
        <v>3</v>
      </c>
      <c r="AS1684" s="36">
        <v>3</v>
      </c>
      <c r="AT1684" s="36">
        <v>4</v>
      </c>
      <c r="AU1684" s="36">
        <v>2</v>
      </c>
      <c r="AV1684" s="36">
        <v>2</v>
      </c>
      <c r="AW1684" s="36">
        <v>2</v>
      </c>
      <c r="AX1684" s="36">
        <v>2</v>
      </c>
      <c r="AY1684" s="36">
        <v>2</v>
      </c>
      <c r="AZ1684" s="36">
        <v>2</v>
      </c>
      <c r="BA1684" s="36"/>
      <c r="BB1684" s="36"/>
      <c r="BC1684" s="27"/>
      <c r="BF1684">
        <f>ROWS($U$46:U1684)</f>
        <v>1639</v>
      </c>
      <c r="BG1684" t="str">
        <f t="shared" si="233"/>
        <v/>
      </c>
    </row>
    <row r="1685" spans="15:59" ht="15" thickBot="1" x14ac:dyDescent="0.4">
      <c r="O1685" s="331"/>
      <c r="P1685" s="328"/>
      <c r="Q1685" s="328"/>
      <c r="R1685" s="328"/>
      <c r="S1685" s="328" t="s">
        <v>1126</v>
      </c>
      <c r="T1685" s="328" t="s">
        <v>881</v>
      </c>
      <c r="U1685" s="328">
        <v>1252168</v>
      </c>
      <c r="V1685" s="327" t="s">
        <v>111</v>
      </c>
      <c r="W1685" s="328">
        <v>1</v>
      </c>
      <c r="X1685" s="328">
        <v>1</v>
      </c>
      <c r="Y1685" s="328">
        <v>1</v>
      </c>
      <c r="Z1685" s="328">
        <v>1</v>
      </c>
      <c r="AA1685" s="328">
        <v>1</v>
      </c>
      <c r="AB1685" s="328">
        <v>1</v>
      </c>
      <c r="AC1685" s="328">
        <v>1</v>
      </c>
      <c r="AD1685" s="328">
        <v>1</v>
      </c>
      <c r="AE1685" s="328">
        <v>5</v>
      </c>
      <c r="AF1685" s="328">
        <v>5</v>
      </c>
      <c r="AG1685" s="328"/>
      <c r="AH1685" s="328"/>
      <c r="AI1685" s="328"/>
      <c r="AJ1685" s="328"/>
      <c r="AK1685" s="328"/>
      <c r="AL1685" s="328"/>
      <c r="AM1685" s="328">
        <v>4</v>
      </c>
      <c r="AN1685" s="328">
        <v>3</v>
      </c>
      <c r="AO1685" s="328">
        <v>3</v>
      </c>
      <c r="AP1685" s="328">
        <v>3</v>
      </c>
      <c r="AQ1685" s="328">
        <v>3</v>
      </c>
      <c r="AR1685" s="328">
        <v>3</v>
      </c>
      <c r="AS1685" s="328">
        <v>3</v>
      </c>
      <c r="AT1685" s="328">
        <v>4</v>
      </c>
      <c r="AU1685" s="328">
        <v>2</v>
      </c>
      <c r="AV1685" s="328">
        <v>2</v>
      </c>
      <c r="AW1685" s="328">
        <v>2</v>
      </c>
      <c r="AX1685" s="328">
        <v>2</v>
      </c>
      <c r="AY1685" s="328">
        <v>2</v>
      </c>
      <c r="AZ1685" s="328">
        <v>2</v>
      </c>
      <c r="BA1685" s="328"/>
      <c r="BB1685" s="328"/>
      <c r="BC1685" s="31"/>
      <c r="BF1685">
        <f>ROWS($U$46:U1685)</f>
        <v>1640</v>
      </c>
      <c r="BG1685" t="str">
        <f t="shared" si="233"/>
        <v/>
      </c>
    </row>
    <row r="1686" spans="15:59" x14ac:dyDescent="0.35">
      <c r="O1686" s="329">
        <v>1</v>
      </c>
      <c r="P1686" s="320">
        <v>1261319</v>
      </c>
      <c r="Q1686" s="320">
        <v>24</v>
      </c>
      <c r="R1686" s="320"/>
      <c r="S1686" s="320" t="s">
        <v>1179</v>
      </c>
      <c r="T1686" s="320" t="s">
        <v>2154</v>
      </c>
      <c r="U1686" s="320">
        <v>1235768</v>
      </c>
      <c r="V1686" s="319" t="s">
        <v>87</v>
      </c>
      <c r="W1686" s="320">
        <v>1</v>
      </c>
      <c r="X1686" s="320">
        <v>1</v>
      </c>
      <c r="Y1686" s="320">
        <v>1</v>
      </c>
      <c r="Z1686" s="320">
        <v>2</v>
      </c>
      <c r="AA1686" s="320">
        <v>2</v>
      </c>
      <c r="AB1686" s="320">
        <v>4</v>
      </c>
      <c r="AC1686" s="320">
        <v>3</v>
      </c>
      <c r="AD1686" s="320"/>
      <c r="AE1686" s="320">
        <v>1</v>
      </c>
      <c r="AF1686" s="320">
        <v>1</v>
      </c>
      <c r="AG1686" s="320"/>
      <c r="AH1686" s="320"/>
      <c r="AI1686" s="320"/>
      <c r="AJ1686" s="320"/>
      <c r="AK1686" s="320"/>
      <c r="AL1686" s="320"/>
      <c r="AM1686" s="320"/>
      <c r="AN1686" s="320"/>
      <c r="AO1686" s="320"/>
      <c r="AP1686" s="320"/>
      <c r="AQ1686" s="320"/>
      <c r="AR1686" s="320"/>
      <c r="AS1686" s="320"/>
      <c r="AT1686" s="320"/>
      <c r="AU1686" s="320"/>
      <c r="AV1686" s="320"/>
      <c r="AW1686" s="320"/>
      <c r="AX1686" s="320"/>
      <c r="AY1686" s="952"/>
      <c r="AZ1686" s="36"/>
      <c r="BA1686" s="36"/>
      <c r="BB1686" s="36"/>
      <c r="BC1686" s="36"/>
      <c r="BD1686" s="36"/>
      <c r="BF1686">
        <f>ROWS($U$46:U1686)</f>
        <v>1641</v>
      </c>
      <c r="BG1686" t="str">
        <f t="shared" si="233"/>
        <v/>
      </c>
    </row>
    <row r="1687" spans="15:59" x14ac:dyDescent="0.35">
      <c r="O1687" s="330">
        <v>2</v>
      </c>
      <c r="P1687" s="36">
        <v>1228502</v>
      </c>
      <c r="Q1687" s="36">
        <v>10</v>
      </c>
      <c r="R1687" s="36"/>
      <c r="S1687" s="36" t="s">
        <v>1179</v>
      </c>
      <c r="T1687" s="36" t="s">
        <v>2154</v>
      </c>
      <c r="U1687" s="36">
        <v>1235768</v>
      </c>
      <c r="V1687" s="165" t="s">
        <v>88</v>
      </c>
      <c r="W1687" s="36">
        <v>2</v>
      </c>
      <c r="X1687" s="36">
        <v>2</v>
      </c>
      <c r="Y1687" s="36">
        <v>4</v>
      </c>
      <c r="Z1687" s="36">
        <v>3</v>
      </c>
      <c r="AA1687" s="36"/>
      <c r="AB1687" s="36"/>
      <c r="AC1687" s="36"/>
      <c r="AD1687" s="36"/>
      <c r="AE1687" s="36">
        <v>1</v>
      </c>
      <c r="AF1687" s="36">
        <v>1</v>
      </c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  <c r="AV1687" s="36"/>
      <c r="AW1687" s="36"/>
      <c r="AX1687" s="36"/>
      <c r="AY1687" s="953"/>
      <c r="AZ1687" s="36"/>
      <c r="BA1687" s="36"/>
      <c r="BB1687" s="36"/>
      <c r="BC1687" s="36"/>
      <c r="BD1687" s="36"/>
      <c r="BF1687">
        <f>ROWS($U$46:U1687)</f>
        <v>1642</v>
      </c>
      <c r="BG1687" t="str">
        <f t="shared" si="233"/>
        <v/>
      </c>
    </row>
    <row r="1688" spans="15:59" x14ac:dyDescent="0.35">
      <c r="O1688" s="330">
        <v>3</v>
      </c>
      <c r="P1688" s="36">
        <v>871781</v>
      </c>
      <c r="Q1688" s="36">
        <v>6</v>
      </c>
      <c r="R1688" s="36"/>
      <c r="S1688" s="36" t="s">
        <v>1179</v>
      </c>
      <c r="T1688" s="36" t="s">
        <v>2154</v>
      </c>
      <c r="U1688" s="36">
        <v>1235768</v>
      </c>
      <c r="V1688" s="165" t="s">
        <v>89</v>
      </c>
      <c r="W1688" s="36">
        <v>1</v>
      </c>
      <c r="X1688" s="36">
        <v>1</v>
      </c>
      <c r="Y1688" s="36">
        <v>2</v>
      </c>
      <c r="Z1688" s="36">
        <v>2</v>
      </c>
      <c r="AA1688" s="36">
        <v>5</v>
      </c>
      <c r="AB1688" s="36">
        <v>4</v>
      </c>
      <c r="AC1688" s="36">
        <v>3</v>
      </c>
      <c r="AD1688" s="36"/>
      <c r="AE1688" s="36">
        <v>1</v>
      </c>
      <c r="AF1688" s="36">
        <v>1</v>
      </c>
      <c r="AG1688" s="36">
        <v>1</v>
      </c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  <c r="AV1688" s="36"/>
      <c r="AW1688" s="36"/>
      <c r="AX1688" s="36"/>
      <c r="AY1688" s="953"/>
      <c r="AZ1688" s="36"/>
      <c r="BA1688" s="36"/>
      <c r="BB1688" s="36"/>
      <c r="BC1688" s="36"/>
      <c r="BD1688" s="36"/>
      <c r="BF1688">
        <f>ROWS($U$46:U1688)</f>
        <v>1643</v>
      </c>
      <c r="BG1688" t="str">
        <f t="shared" si="233"/>
        <v/>
      </c>
    </row>
    <row r="1689" spans="15:59" x14ac:dyDescent="0.35">
      <c r="O1689" s="330">
        <v>4</v>
      </c>
      <c r="P1689" s="36">
        <v>1261320</v>
      </c>
      <c r="Q1689" s="36">
        <v>6</v>
      </c>
      <c r="R1689" s="36"/>
      <c r="S1689" s="36" t="s">
        <v>1179</v>
      </c>
      <c r="T1689" s="36" t="s">
        <v>2154</v>
      </c>
      <c r="U1689" s="36">
        <v>1235768</v>
      </c>
      <c r="V1689" s="165" t="s">
        <v>90</v>
      </c>
      <c r="W1689" s="36">
        <v>5</v>
      </c>
      <c r="X1689" s="36">
        <v>2</v>
      </c>
      <c r="Y1689" s="36">
        <v>5</v>
      </c>
      <c r="Z1689" s="36">
        <v>4</v>
      </c>
      <c r="AA1689" s="36">
        <v>3</v>
      </c>
      <c r="AB1689" s="36"/>
      <c r="AC1689" s="36"/>
      <c r="AD1689" s="36"/>
      <c r="AE1689" s="36">
        <v>1</v>
      </c>
      <c r="AF1689" s="36">
        <v>1</v>
      </c>
      <c r="AG1689" s="36">
        <v>1</v>
      </c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  <c r="AV1689" s="36"/>
      <c r="AW1689" s="36"/>
      <c r="AX1689" s="36"/>
      <c r="AY1689" s="953"/>
      <c r="AZ1689" s="36"/>
      <c r="BA1689" s="36"/>
      <c r="BB1689" s="36"/>
      <c r="BC1689" s="36"/>
      <c r="BD1689" s="36"/>
      <c r="BF1689">
        <f>ROWS($U$46:U1689)</f>
        <v>1644</v>
      </c>
      <c r="BG1689" t="str">
        <f t="shared" si="233"/>
        <v/>
      </c>
    </row>
    <row r="1690" spans="15:59" x14ac:dyDescent="0.35">
      <c r="O1690" s="330">
        <v>5</v>
      </c>
      <c r="P1690" s="36">
        <v>1261321</v>
      </c>
      <c r="Q1690" s="36">
        <v>4</v>
      </c>
      <c r="R1690" s="36"/>
      <c r="S1690" s="36" t="s">
        <v>1179</v>
      </c>
      <c r="T1690" s="36" t="s">
        <v>2154</v>
      </c>
      <c r="U1690" s="36">
        <v>1235768</v>
      </c>
      <c r="V1690" s="165" t="s">
        <v>91</v>
      </c>
      <c r="W1690" s="36">
        <v>1</v>
      </c>
      <c r="X1690" s="36">
        <v>1</v>
      </c>
      <c r="Y1690" s="36">
        <v>1</v>
      </c>
      <c r="Z1690" s="36">
        <v>2</v>
      </c>
      <c r="AA1690" s="36">
        <v>5</v>
      </c>
      <c r="AB1690" s="36">
        <v>4</v>
      </c>
      <c r="AC1690" s="36">
        <v>3</v>
      </c>
      <c r="AD1690" s="36"/>
      <c r="AE1690" s="36">
        <v>1</v>
      </c>
      <c r="AF1690" s="36">
        <v>1</v>
      </c>
      <c r="AG1690" s="36">
        <v>1</v>
      </c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  <c r="AV1690" s="36"/>
      <c r="AW1690" s="36"/>
      <c r="AX1690" s="36"/>
      <c r="AY1690" s="953"/>
      <c r="AZ1690" s="36"/>
      <c r="BA1690" s="36"/>
      <c r="BB1690" s="36"/>
      <c r="BC1690" s="36"/>
      <c r="BD1690" s="36"/>
      <c r="BF1690">
        <f>ROWS($U$46:U1690)</f>
        <v>1645</v>
      </c>
      <c r="BG1690" t="str">
        <f t="shared" si="233"/>
        <v/>
      </c>
    </row>
    <row r="1691" spans="15:59" ht="15" thickBot="1" x14ac:dyDescent="0.4">
      <c r="O1691" s="331"/>
      <c r="P1691" s="328"/>
      <c r="Q1691" s="328"/>
      <c r="R1691" s="328"/>
      <c r="S1691" s="328" t="s">
        <v>1179</v>
      </c>
      <c r="T1691" s="328" t="s">
        <v>2154</v>
      </c>
      <c r="U1691" s="328">
        <v>1235768</v>
      </c>
      <c r="V1691" s="327" t="s">
        <v>92</v>
      </c>
      <c r="W1691" s="328">
        <v>1</v>
      </c>
      <c r="X1691" s="328">
        <v>2</v>
      </c>
      <c r="Y1691" s="328">
        <v>2</v>
      </c>
      <c r="Z1691" s="328">
        <v>4</v>
      </c>
      <c r="AA1691" s="328">
        <v>3</v>
      </c>
      <c r="AB1691" s="328"/>
      <c r="AC1691" s="328"/>
      <c r="AD1691" s="328"/>
      <c r="AE1691" s="328">
        <v>1</v>
      </c>
      <c r="AF1691" s="328">
        <v>1</v>
      </c>
      <c r="AG1691" s="328"/>
      <c r="AH1691" s="328"/>
      <c r="AI1691" s="328"/>
      <c r="AJ1691" s="328"/>
      <c r="AK1691" s="328"/>
      <c r="AL1691" s="328"/>
      <c r="AM1691" s="328"/>
      <c r="AN1691" s="328"/>
      <c r="AO1691" s="328"/>
      <c r="AP1691" s="328"/>
      <c r="AQ1691" s="328"/>
      <c r="AR1691" s="328"/>
      <c r="AS1691" s="328"/>
      <c r="AT1691" s="328"/>
      <c r="AU1691" s="328"/>
      <c r="AV1691" s="328"/>
      <c r="AW1691" s="328"/>
      <c r="AX1691" s="328"/>
      <c r="AY1691" s="954"/>
      <c r="AZ1691" s="36"/>
      <c r="BA1691" s="36"/>
      <c r="BB1691" s="36"/>
      <c r="BC1691" s="36"/>
      <c r="BD1691" s="36"/>
      <c r="BF1691">
        <f>ROWS($U$46:U1691)</f>
        <v>1646</v>
      </c>
      <c r="BG1691" t="str">
        <f t="shared" si="233"/>
        <v/>
      </c>
    </row>
    <row r="1692" spans="15:59" x14ac:dyDescent="0.35">
      <c r="O1692" s="329">
        <v>1</v>
      </c>
      <c r="P1692" s="320">
        <v>1152018</v>
      </c>
      <c r="Q1692" s="320">
        <v>18</v>
      </c>
      <c r="R1692" s="320"/>
      <c r="S1692" s="552" t="s">
        <v>1319</v>
      </c>
      <c r="T1692" s="320" t="s">
        <v>2092</v>
      </c>
      <c r="U1692" s="320">
        <v>1259957</v>
      </c>
      <c r="V1692" s="319" t="s">
        <v>87</v>
      </c>
      <c r="W1692" s="320">
        <v>1</v>
      </c>
      <c r="X1692" s="320">
        <v>1</v>
      </c>
      <c r="Y1692" s="320">
        <v>1</v>
      </c>
      <c r="Z1692" s="320">
        <v>2</v>
      </c>
      <c r="AA1692" s="320">
        <v>2</v>
      </c>
      <c r="AB1692" s="320">
        <v>1</v>
      </c>
      <c r="AC1692" s="320">
        <v>1</v>
      </c>
      <c r="AD1692" s="320">
        <v>4</v>
      </c>
      <c r="AE1692" s="320"/>
      <c r="AF1692" s="320">
        <v>3</v>
      </c>
      <c r="AG1692" s="320"/>
      <c r="AH1692" s="320"/>
      <c r="AI1692" s="320"/>
      <c r="AJ1692" s="320"/>
      <c r="AK1692" s="320"/>
      <c r="AL1692" s="320"/>
      <c r="AM1692" s="320"/>
      <c r="AN1692" s="320"/>
      <c r="AO1692" s="320"/>
      <c r="AP1692" s="320"/>
      <c r="AQ1692" s="320"/>
      <c r="AR1692" s="320"/>
      <c r="AS1692" s="320"/>
      <c r="AT1692" s="320"/>
      <c r="AU1692" s="320"/>
      <c r="AV1692" s="320"/>
      <c r="AW1692" s="320"/>
      <c r="AX1692" s="320"/>
      <c r="AY1692" s="320"/>
      <c r="AZ1692" s="320"/>
      <c r="BA1692" s="320"/>
      <c r="BB1692" s="320"/>
      <c r="BC1692" s="320"/>
      <c r="BD1692" s="119"/>
      <c r="BF1692">
        <f>ROWS($U$46:U1692)</f>
        <v>1647</v>
      </c>
      <c r="BG1692" t="str">
        <f t="shared" si="233"/>
        <v/>
      </c>
    </row>
    <row r="1693" spans="15:59" x14ac:dyDescent="0.35">
      <c r="O1693" s="330">
        <v>2</v>
      </c>
      <c r="P1693" s="36">
        <v>1244299</v>
      </c>
      <c r="Q1693" s="36">
        <v>9</v>
      </c>
      <c r="R1693" s="36"/>
      <c r="S1693" s="553" t="s">
        <v>1319</v>
      </c>
      <c r="T1693" s="36" t="s">
        <v>2092</v>
      </c>
      <c r="U1693" s="36">
        <v>1259957</v>
      </c>
      <c r="V1693" s="165" t="s">
        <v>88</v>
      </c>
      <c r="W1693" s="36">
        <v>2</v>
      </c>
      <c r="X1693" s="36">
        <v>2</v>
      </c>
      <c r="Y1693" s="36">
        <v>1</v>
      </c>
      <c r="Z1693" s="36">
        <v>1</v>
      </c>
      <c r="AA1693" s="36">
        <v>4</v>
      </c>
      <c r="AB1693" s="36"/>
      <c r="AC1693" s="36"/>
      <c r="AD1693" s="36"/>
      <c r="AE1693" s="36"/>
      <c r="AF1693" s="36">
        <v>3</v>
      </c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  <c r="AV1693" s="36"/>
      <c r="AW1693" s="36"/>
      <c r="AX1693" s="36"/>
      <c r="AY1693" s="36"/>
      <c r="AZ1693" s="36"/>
      <c r="BA1693" s="36"/>
      <c r="BB1693" s="36"/>
      <c r="BC1693" s="36"/>
      <c r="BD1693" s="27"/>
      <c r="BF1693">
        <f>ROWS($U$46:U1693)</f>
        <v>1648</v>
      </c>
      <c r="BG1693" t="str">
        <f t="shared" si="233"/>
        <v/>
      </c>
    </row>
    <row r="1694" spans="15:59" x14ac:dyDescent="0.35">
      <c r="O1694" s="330">
        <v>3</v>
      </c>
      <c r="P1694" s="36">
        <v>625854</v>
      </c>
      <c r="Q1694" s="36">
        <v>6</v>
      </c>
      <c r="R1694" s="36"/>
      <c r="S1694" s="553" t="s">
        <v>1319</v>
      </c>
      <c r="T1694" s="36" t="s">
        <v>2092</v>
      </c>
      <c r="U1694" s="36">
        <v>1259957</v>
      </c>
      <c r="V1694" s="165" t="s">
        <v>89</v>
      </c>
      <c r="W1694" s="36">
        <v>1</v>
      </c>
      <c r="X1694" s="36">
        <v>1</v>
      </c>
      <c r="Y1694" s="36">
        <v>2</v>
      </c>
      <c r="Z1694" s="36">
        <v>2</v>
      </c>
      <c r="AA1694" s="36">
        <v>1</v>
      </c>
      <c r="AB1694" s="36">
        <v>1</v>
      </c>
      <c r="AC1694" s="36">
        <v>4</v>
      </c>
      <c r="AD1694" s="36"/>
      <c r="AE1694" s="36"/>
      <c r="AF1694" s="36">
        <v>3</v>
      </c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  <c r="AV1694" s="36"/>
      <c r="AW1694" s="36"/>
      <c r="AX1694" s="36"/>
      <c r="AY1694" s="36"/>
      <c r="AZ1694" s="36"/>
      <c r="BA1694" s="36"/>
      <c r="BB1694" s="36"/>
      <c r="BC1694" s="36"/>
      <c r="BD1694" s="27"/>
      <c r="BF1694">
        <f>ROWS($U$46:U1694)</f>
        <v>1649</v>
      </c>
      <c r="BG1694" t="str">
        <f t="shared" si="233"/>
        <v/>
      </c>
    </row>
    <row r="1695" spans="15:59" x14ac:dyDescent="0.35">
      <c r="O1695" s="330">
        <v>4</v>
      </c>
      <c r="P1695" s="36">
        <v>871781</v>
      </c>
      <c r="Q1695" s="36">
        <v>5</v>
      </c>
      <c r="R1695" s="36"/>
      <c r="S1695" s="553" t="s">
        <v>1319</v>
      </c>
      <c r="T1695" s="36" t="s">
        <v>2092</v>
      </c>
      <c r="U1695" s="36">
        <v>1259957</v>
      </c>
      <c r="V1695" s="165" t="s">
        <v>90</v>
      </c>
      <c r="W1695" s="36">
        <v>1</v>
      </c>
      <c r="X1695" s="36">
        <v>1</v>
      </c>
      <c r="Y1695" s="36">
        <v>1</v>
      </c>
      <c r="Z1695" s="36">
        <v>2</v>
      </c>
      <c r="AA1695" s="36">
        <v>1</v>
      </c>
      <c r="AB1695" s="36">
        <v>1</v>
      </c>
      <c r="AC1695" s="36">
        <v>4</v>
      </c>
      <c r="AD1695" s="36"/>
      <c r="AE1695" s="36"/>
      <c r="AF1695" s="36">
        <v>3</v>
      </c>
      <c r="AG1695" s="36">
        <v>3</v>
      </c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  <c r="AV1695" s="36"/>
      <c r="AW1695" s="36"/>
      <c r="AX1695" s="36"/>
      <c r="AY1695" s="36"/>
      <c r="AZ1695" s="36"/>
      <c r="BA1695" s="36"/>
      <c r="BB1695" s="36"/>
      <c r="BC1695" s="36"/>
      <c r="BD1695" s="27"/>
      <c r="BF1695">
        <f>ROWS($U$46:U1695)</f>
        <v>1650</v>
      </c>
      <c r="BG1695" t="str">
        <f t="shared" si="233"/>
        <v/>
      </c>
    </row>
    <row r="1696" spans="15:59" ht="15" thickBot="1" x14ac:dyDescent="0.4">
      <c r="O1696" s="331"/>
      <c r="P1696" s="328"/>
      <c r="Q1696" s="328"/>
      <c r="R1696" s="328"/>
      <c r="S1696" s="554" t="s">
        <v>1319</v>
      </c>
      <c r="T1696" s="328" t="s">
        <v>2092</v>
      </c>
      <c r="U1696" s="328">
        <v>1259957</v>
      </c>
      <c r="V1696" s="327" t="s">
        <v>91</v>
      </c>
      <c r="W1696" s="328">
        <v>2</v>
      </c>
      <c r="X1696" s="328">
        <v>2</v>
      </c>
      <c r="Y1696" s="328">
        <v>1</v>
      </c>
      <c r="Z1696" s="328">
        <v>1</v>
      </c>
      <c r="AA1696" s="328">
        <v>4</v>
      </c>
      <c r="AB1696" s="328"/>
      <c r="AC1696" s="328"/>
      <c r="AD1696" s="328"/>
      <c r="AE1696" s="328"/>
      <c r="AF1696" s="328">
        <v>3</v>
      </c>
      <c r="AG1696" s="328"/>
      <c r="AH1696" s="328"/>
      <c r="AI1696" s="328"/>
      <c r="AJ1696" s="328"/>
      <c r="AK1696" s="328"/>
      <c r="AL1696" s="328"/>
      <c r="AM1696" s="328"/>
      <c r="AN1696" s="328"/>
      <c r="AO1696" s="328"/>
      <c r="AP1696" s="328"/>
      <c r="AQ1696" s="328"/>
      <c r="AR1696" s="328"/>
      <c r="AS1696" s="328"/>
      <c r="AT1696" s="328"/>
      <c r="AU1696" s="328"/>
      <c r="AV1696" s="328"/>
      <c r="AW1696" s="328"/>
      <c r="AX1696" s="328"/>
      <c r="AY1696" s="328"/>
      <c r="AZ1696" s="328"/>
      <c r="BA1696" s="328"/>
      <c r="BB1696" s="328"/>
      <c r="BC1696" s="328"/>
      <c r="BD1696" s="31"/>
      <c r="BF1696">
        <f>ROWS($U$46:U1696)</f>
        <v>1651</v>
      </c>
      <c r="BG1696" t="str">
        <f t="shared" si="233"/>
        <v/>
      </c>
    </row>
    <row r="1697" spans="15:59" x14ac:dyDescent="0.35">
      <c r="O1697" s="329">
        <v>1</v>
      </c>
      <c r="P1697" s="320">
        <v>647436</v>
      </c>
      <c r="Q1697" s="320">
        <v>64</v>
      </c>
      <c r="R1697" s="320"/>
      <c r="S1697" s="935" t="s">
        <v>1126</v>
      </c>
      <c r="T1697" s="320" t="s">
        <v>1548</v>
      </c>
      <c r="U1697" s="119">
        <v>1268728</v>
      </c>
      <c r="V1697" s="989" t="s">
        <v>87</v>
      </c>
      <c r="W1697" s="320">
        <v>3</v>
      </c>
      <c r="X1697" s="320">
        <v>3</v>
      </c>
      <c r="Y1697" s="320">
        <v>3</v>
      </c>
      <c r="Z1697" s="320">
        <v>3</v>
      </c>
      <c r="AA1697" s="320">
        <v>3</v>
      </c>
      <c r="AB1697" s="320">
        <v>3</v>
      </c>
      <c r="AC1697" s="320">
        <v>3</v>
      </c>
      <c r="AD1697" s="320">
        <v>2</v>
      </c>
      <c r="AE1697" s="320">
        <v>2</v>
      </c>
      <c r="AF1697" s="320">
        <v>2</v>
      </c>
      <c r="AG1697" s="320">
        <v>2</v>
      </c>
      <c r="AH1697" s="320">
        <v>2</v>
      </c>
      <c r="AI1697" s="320">
        <v>2</v>
      </c>
      <c r="AJ1697" s="320">
        <v>2</v>
      </c>
      <c r="AK1697" s="320">
        <v>3</v>
      </c>
      <c r="AL1697" s="320">
        <v>5</v>
      </c>
      <c r="AM1697" s="320"/>
      <c r="AN1697" s="320"/>
      <c r="AO1697" s="320">
        <v>4</v>
      </c>
      <c r="AP1697" s="320">
        <v>4</v>
      </c>
      <c r="AQ1697" s="320">
        <v>4</v>
      </c>
      <c r="AR1697" s="320">
        <v>1</v>
      </c>
      <c r="AS1697" s="320">
        <v>1</v>
      </c>
      <c r="AT1697" s="320">
        <v>1</v>
      </c>
      <c r="AU1697" s="320">
        <v>1</v>
      </c>
      <c r="AV1697" s="320">
        <v>1</v>
      </c>
      <c r="AW1697" s="320">
        <v>1</v>
      </c>
      <c r="AX1697" s="320">
        <v>1</v>
      </c>
      <c r="AY1697" s="320">
        <v>1</v>
      </c>
      <c r="AZ1697" s="320"/>
      <c r="BA1697" s="320"/>
      <c r="BB1697" s="320"/>
      <c r="BC1697" s="320"/>
      <c r="BD1697" s="119"/>
      <c r="BF1697">
        <f>ROWS($U$46:U1697)</f>
        <v>1652</v>
      </c>
      <c r="BG1697" t="str">
        <f t="shared" si="233"/>
        <v/>
      </c>
    </row>
    <row r="1698" spans="15:59" x14ac:dyDescent="0.35">
      <c r="O1698" s="330">
        <v>2</v>
      </c>
      <c r="P1698" s="36">
        <v>1271790</v>
      </c>
      <c r="Q1698" s="36">
        <v>53</v>
      </c>
      <c r="R1698" s="36"/>
      <c r="S1698" s="93" t="s">
        <v>1126</v>
      </c>
      <c r="T1698" s="36" t="s">
        <v>1548</v>
      </c>
      <c r="U1698" s="27">
        <v>1268728</v>
      </c>
      <c r="V1698" s="990" t="s">
        <v>88</v>
      </c>
      <c r="W1698" s="36">
        <v>3</v>
      </c>
      <c r="X1698" s="36">
        <v>3</v>
      </c>
      <c r="Y1698" s="36">
        <v>2</v>
      </c>
      <c r="Z1698" s="36">
        <v>2</v>
      </c>
      <c r="AA1698" s="36">
        <v>2</v>
      </c>
      <c r="AB1698" s="36">
        <v>2</v>
      </c>
      <c r="AC1698" s="36">
        <v>2</v>
      </c>
      <c r="AD1698" s="36">
        <v>2</v>
      </c>
      <c r="AE1698" s="36">
        <v>2</v>
      </c>
      <c r="AF1698" s="36">
        <v>3</v>
      </c>
      <c r="AG1698" s="36">
        <v>5</v>
      </c>
      <c r="AH1698" s="36"/>
      <c r="AI1698" s="36"/>
      <c r="AJ1698" s="36"/>
      <c r="AK1698" s="36"/>
      <c r="AL1698" s="36"/>
      <c r="AM1698" s="36"/>
      <c r="AN1698" s="36"/>
      <c r="AO1698" s="36">
        <v>4</v>
      </c>
      <c r="AP1698" s="36">
        <v>4</v>
      </c>
      <c r="AQ1698" s="36">
        <v>1</v>
      </c>
      <c r="AR1698" s="36">
        <v>1</v>
      </c>
      <c r="AS1698" s="36">
        <v>1</v>
      </c>
      <c r="AT1698" s="36">
        <v>1</v>
      </c>
      <c r="AU1698" s="36">
        <v>1</v>
      </c>
      <c r="AV1698" s="36">
        <v>1</v>
      </c>
      <c r="AW1698" s="36">
        <v>1</v>
      </c>
      <c r="AX1698" s="36">
        <v>1</v>
      </c>
      <c r="AY1698" s="36"/>
      <c r="AZ1698" s="36"/>
      <c r="BA1698" s="36"/>
      <c r="BB1698" s="36"/>
      <c r="BC1698" s="36"/>
      <c r="BD1698" s="27"/>
      <c r="BF1698">
        <f>ROWS($U$46:U1698)</f>
        <v>1653</v>
      </c>
      <c r="BG1698" t="str">
        <f t="shared" si="233"/>
        <v/>
      </c>
    </row>
    <row r="1699" spans="15:59" x14ac:dyDescent="0.35">
      <c r="O1699" s="330">
        <v>3</v>
      </c>
      <c r="P1699" s="36">
        <v>1146737</v>
      </c>
      <c r="Q1699" s="36">
        <v>39</v>
      </c>
      <c r="R1699" s="36"/>
      <c r="S1699" s="93" t="s">
        <v>1126</v>
      </c>
      <c r="T1699" s="36" t="s">
        <v>1548</v>
      </c>
      <c r="U1699" s="27">
        <v>1268728</v>
      </c>
      <c r="V1699" s="990" t="s">
        <v>89</v>
      </c>
      <c r="W1699" s="36">
        <v>3</v>
      </c>
      <c r="X1699" s="36">
        <v>3</v>
      </c>
      <c r="Y1699" s="36">
        <v>2</v>
      </c>
      <c r="Z1699" s="36">
        <v>2</v>
      </c>
      <c r="AA1699" s="36">
        <v>2</v>
      </c>
      <c r="AB1699" s="36">
        <v>2</v>
      </c>
      <c r="AC1699" s="36">
        <v>2</v>
      </c>
      <c r="AD1699" s="36">
        <v>2</v>
      </c>
      <c r="AE1699" s="36">
        <v>2</v>
      </c>
      <c r="AF1699" s="36">
        <v>3</v>
      </c>
      <c r="AG1699" s="36">
        <v>5</v>
      </c>
      <c r="AH1699" s="36"/>
      <c r="AI1699" s="36"/>
      <c r="AJ1699" s="36"/>
      <c r="AK1699" s="36"/>
      <c r="AL1699" s="36"/>
      <c r="AM1699" s="36"/>
      <c r="AN1699" s="36"/>
      <c r="AO1699" s="36">
        <v>4</v>
      </c>
      <c r="AP1699" s="36">
        <v>4</v>
      </c>
      <c r="AQ1699" s="36">
        <v>1</v>
      </c>
      <c r="AR1699" s="36">
        <v>1</v>
      </c>
      <c r="AS1699" s="36">
        <v>1</v>
      </c>
      <c r="AT1699" s="36">
        <v>1</v>
      </c>
      <c r="AU1699" s="36">
        <v>1</v>
      </c>
      <c r="AV1699" s="36">
        <v>1</v>
      </c>
      <c r="AW1699" s="36">
        <v>1</v>
      </c>
      <c r="AX1699" s="36">
        <v>1</v>
      </c>
      <c r="AY1699" s="36"/>
      <c r="AZ1699" s="36"/>
      <c r="BA1699" s="36"/>
      <c r="BB1699" s="36"/>
      <c r="BC1699" s="36"/>
      <c r="BD1699" s="27"/>
      <c r="BF1699">
        <f>ROWS($U$46:U1699)</f>
        <v>1654</v>
      </c>
      <c r="BG1699" t="str">
        <f t="shared" si="233"/>
        <v/>
      </c>
    </row>
    <row r="1700" spans="15:59" x14ac:dyDescent="0.35">
      <c r="O1700" s="330">
        <v>4</v>
      </c>
      <c r="P1700" s="36">
        <v>647435</v>
      </c>
      <c r="Q1700" s="36">
        <v>16</v>
      </c>
      <c r="R1700" s="36"/>
      <c r="S1700" s="93" t="s">
        <v>1126</v>
      </c>
      <c r="T1700" s="36" t="s">
        <v>1548</v>
      </c>
      <c r="U1700" s="27">
        <v>1268728</v>
      </c>
      <c r="V1700" s="990" t="s">
        <v>90</v>
      </c>
      <c r="W1700" s="36">
        <v>3</v>
      </c>
      <c r="X1700" s="36">
        <v>3</v>
      </c>
      <c r="Y1700" s="36">
        <v>3</v>
      </c>
      <c r="Z1700" s="36">
        <v>3</v>
      </c>
      <c r="AA1700" s="36">
        <v>3</v>
      </c>
      <c r="AB1700" s="36">
        <v>3</v>
      </c>
      <c r="AC1700" s="36">
        <v>2</v>
      </c>
      <c r="AD1700" s="36">
        <v>2</v>
      </c>
      <c r="AE1700" s="36">
        <v>2</v>
      </c>
      <c r="AF1700" s="36">
        <v>2</v>
      </c>
      <c r="AG1700" s="36">
        <v>2</v>
      </c>
      <c r="AH1700" s="36">
        <v>2</v>
      </c>
      <c r="AI1700" s="36">
        <v>2</v>
      </c>
      <c r="AJ1700" s="36">
        <v>3</v>
      </c>
      <c r="AK1700" s="36">
        <v>5</v>
      </c>
      <c r="AL1700" s="36"/>
      <c r="AM1700" s="36"/>
      <c r="AN1700" s="36"/>
      <c r="AO1700" s="36">
        <v>4</v>
      </c>
      <c r="AP1700" s="36">
        <v>4</v>
      </c>
      <c r="AQ1700" s="36">
        <v>1</v>
      </c>
      <c r="AR1700" s="36">
        <v>1</v>
      </c>
      <c r="AS1700" s="36">
        <v>1</v>
      </c>
      <c r="AT1700" s="36">
        <v>1</v>
      </c>
      <c r="AU1700" s="36">
        <v>1</v>
      </c>
      <c r="AV1700" s="36">
        <v>1</v>
      </c>
      <c r="AW1700" s="36">
        <v>1</v>
      </c>
      <c r="AX1700" s="36">
        <v>1</v>
      </c>
      <c r="AY1700" s="36"/>
      <c r="AZ1700" s="36"/>
      <c r="BA1700" s="36"/>
      <c r="BB1700" s="36"/>
      <c r="BC1700" s="36"/>
      <c r="BD1700" s="27"/>
      <c r="BF1700">
        <f>ROWS($U$46:U1700)</f>
        <v>1655</v>
      </c>
      <c r="BG1700" t="str">
        <f t="shared" si="233"/>
        <v/>
      </c>
    </row>
    <row r="1701" spans="15:59" x14ac:dyDescent="0.35">
      <c r="O1701" s="330">
        <v>5</v>
      </c>
      <c r="P1701" s="36">
        <v>418525</v>
      </c>
      <c r="Q1701" s="36">
        <v>8</v>
      </c>
      <c r="R1701" s="36"/>
      <c r="S1701" s="93" t="s">
        <v>1126</v>
      </c>
      <c r="T1701" s="36" t="s">
        <v>1548</v>
      </c>
      <c r="U1701" s="27">
        <v>1268728</v>
      </c>
      <c r="V1701" s="990" t="s">
        <v>91</v>
      </c>
      <c r="W1701" s="36">
        <v>3</v>
      </c>
      <c r="X1701" s="36">
        <v>2</v>
      </c>
      <c r="Y1701" s="36">
        <v>2</v>
      </c>
      <c r="Z1701" s="36">
        <v>2</v>
      </c>
      <c r="AA1701" s="36">
        <v>2</v>
      </c>
      <c r="AB1701" s="36">
        <v>2</v>
      </c>
      <c r="AC1701" s="36">
        <v>2</v>
      </c>
      <c r="AD1701" s="36">
        <v>2</v>
      </c>
      <c r="AE1701" s="36">
        <v>3</v>
      </c>
      <c r="AF1701" s="36">
        <v>5</v>
      </c>
      <c r="AG1701" s="36"/>
      <c r="AH1701" s="36"/>
      <c r="AI1701" s="36"/>
      <c r="AJ1701" s="36"/>
      <c r="AK1701" s="36"/>
      <c r="AL1701" s="36"/>
      <c r="AM1701" s="36"/>
      <c r="AN1701" s="36"/>
      <c r="AO1701" s="36">
        <v>4</v>
      </c>
      <c r="AP1701" s="36">
        <v>1</v>
      </c>
      <c r="AQ1701" s="36">
        <v>1</v>
      </c>
      <c r="AR1701" s="36">
        <v>1</v>
      </c>
      <c r="AS1701" s="36">
        <v>1</v>
      </c>
      <c r="AT1701" s="36">
        <v>1</v>
      </c>
      <c r="AU1701" s="36">
        <v>1</v>
      </c>
      <c r="AV1701" s="36">
        <v>1</v>
      </c>
      <c r="AW1701" s="36">
        <v>1</v>
      </c>
      <c r="AX1701" s="36"/>
      <c r="AY1701" s="36"/>
      <c r="AZ1701" s="36"/>
      <c r="BA1701" s="36"/>
      <c r="BB1701" s="36"/>
      <c r="BC1701" s="36"/>
      <c r="BD1701" s="27"/>
      <c r="BF1701">
        <f>ROWS($U$46:U1701)</f>
        <v>1656</v>
      </c>
      <c r="BG1701" t="str">
        <f t="shared" si="233"/>
        <v/>
      </c>
    </row>
    <row r="1702" spans="15:59" x14ac:dyDescent="0.35">
      <c r="O1702" s="330"/>
      <c r="P1702" s="36"/>
      <c r="Q1702" s="36"/>
      <c r="R1702" s="36"/>
      <c r="S1702" s="93" t="s">
        <v>1126</v>
      </c>
      <c r="T1702" s="36" t="s">
        <v>1548</v>
      </c>
      <c r="U1702" s="27">
        <v>1268728</v>
      </c>
      <c r="V1702" s="990" t="s">
        <v>92</v>
      </c>
      <c r="W1702" s="36">
        <v>3</v>
      </c>
      <c r="X1702" s="36">
        <v>3</v>
      </c>
      <c r="Y1702" s="36">
        <v>3</v>
      </c>
      <c r="Z1702" s="36">
        <v>3</v>
      </c>
      <c r="AA1702" s="36">
        <v>3</v>
      </c>
      <c r="AB1702" s="36">
        <v>3</v>
      </c>
      <c r="AC1702" s="36">
        <v>3</v>
      </c>
      <c r="AD1702" s="36">
        <v>2</v>
      </c>
      <c r="AE1702" s="36">
        <v>2</v>
      </c>
      <c r="AF1702" s="36">
        <v>2</v>
      </c>
      <c r="AG1702" s="36">
        <v>2</v>
      </c>
      <c r="AH1702" s="36">
        <v>2</v>
      </c>
      <c r="AI1702" s="36">
        <v>2</v>
      </c>
      <c r="AJ1702" s="36">
        <v>3</v>
      </c>
      <c r="AK1702" s="36">
        <v>5</v>
      </c>
      <c r="AL1702" s="36"/>
      <c r="AM1702" s="36"/>
      <c r="AN1702" s="36"/>
      <c r="AO1702" s="36">
        <v>4</v>
      </c>
      <c r="AP1702" s="36">
        <v>4</v>
      </c>
      <c r="AQ1702" s="36">
        <v>1</v>
      </c>
      <c r="AR1702" s="36">
        <v>1</v>
      </c>
      <c r="AS1702" s="36">
        <v>1</v>
      </c>
      <c r="AT1702" s="36">
        <v>1</v>
      </c>
      <c r="AU1702" s="36">
        <v>1</v>
      </c>
      <c r="AV1702" s="36">
        <v>1</v>
      </c>
      <c r="AW1702" s="36">
        <v>1</v>
      </c>
      <c r="AX1702" s="36">
        <v>1</v>
      </c>
      <c r="AY1702" s="36"/>
      <c r="AZ1702" s="36"/>
      <c r="BA1702" s="36"/>
      <c r="BB1702" s="36"/>
      <c r="BC1702" s="36"/>
      <c r="BD1702" s="27"/>
      <c r="BF1702">
        <f>ROWS($U$46:U1702)</f>
        <v>1657</v>
      </c>
      <c r="BG1702" t="str">
        <f t="shared" si="233"/>
        <v/>
      </c>
    </row>
    <row r="1703" spans="15:59" x14ac:dyDescent="0.35">
      <c r="O1703" s="330"/>
      <c r="P1703" s="36"/>
      <c r="Q1703" s="36"/>
      <c r="R1703" s="36"/>
      <c r="S1703" s="93" t="s">
        <v>1126</v>
      </c>
      <c r="T1703" s="36" t="s">
        <v>1548</v>
      </c>
      <c r="U1703" s="27">
        <v>1268728</v>
      </c>
      <c r="V1703" s="990" t="s">
        <v>111</v>
      </c>
      <c r="W1703" s="36">
        <v>3</v>
      </c>
      <c r="X1703" s="36">
        <v>3</v>
      </c>
      <c r="Y1703" s="36">
        <v>3</v>
      </c>
      <c r="Z1703" s="36">
        <v>2</v>
      </c>
      <c r="AA1703" s="36">
        <v>2</v>
      </c>
      <c r="AB1703" s="36">
        <v>2</v>
      </c>
      <c r="AC1703" s="36">
        <v>2</v>
      </c>
      <c r="AD1703" s="36">
        <v>2</v>
      </c>
      <c r="AE1703" s="36">
        <v>2</v>
      </c>
      <c r="AF1703" s="36">
        <v>3</v>
      </c>
      <c r="AG1703" s="36">
        <v>5</v>
      </c>
      <c r="AH1703" s="36"/>
      <c r="AI1703" s="36"/>
      <c r="AJ1703" s="36"/>
      <c r="AK1703" s="36"/>
      <c r="AL1703" s="36"/>
      <c r="AM1703" s="36"/>
      <c r="AN1703" s="36"/>
      <c r="AO1703" s="36">
        <v>4</v>
      </c>
      <c r="AP1703" s="36">
        <v>4</v>
      </c>
      <c r="AQ1703" s="36">
        <v>1</v>
      </c>
      <c r="AR1703" s="36">
        <v>1</v>
      </c>
      <c r="AS1703" s="36">
        <v>1</v>
      </c>
      <c r="AT1703" s="36">
        <v>1</v>
      </c>
      <c r="AU1703" s="36">
        <v>1</v>
      </c>
      <c r="AV1703" s="36">
        <v>1</v>
      </c>
      <c r="AW1703" s="36">
        <v>1</v>
      </c>
      <c r="AX1703" s="36">
        <v>1</v>
      </c>
      <c r="AY1703" s="36"/>
      <c r="AZ1703" s="36"/>
      <c r="BA1703" s="36"/>
      <c r="BB1703" s="36"/>
      <c r="BC1703" s="36"/>
      <c r="BD1703" s="27"/>
      <c r="BF1703">
        <f>ROWS($U$46:U1703)</f>
        <v>1658</v>
      </c>
      <c r="BG1703" t="str">
        <f t="shared" si="233"/>
        <v/>
      </c>
    </row>
    <row r="1704" spans="15:59" ht="15" thickBot="1" x14ac:dyDescent="0.4">
      <c r="O1704" s="331"/>
      <c r="P1704" s="328"/>
      <c r="Q1704" s="328"/>
      <c r="R1704" s="328"/>
      <c r="S1704" s="937" t="s">
        <v>1126</v>
      </c>
      <c r="T1704" s="328" t="s">
        <v>1548</v>
      </c>
      <c r="U1704" s="31">
        <v>1268728</v>
      </c>
      <c r="V1704" s="990" t="s">
        <v>112</v>
      </c>
      <c r="W1704" s="36">
        <v>3</v>
      </c>
      <c r="X1704" s="36">
        <v>3</v>
      </c>
      <c r="Y1704" s="36">
        <v>2</v>
      </c>
      <c r="Z1704" s="36">
        <v>2</v>
      </c>
      <c r="AA1704" s="36">
        <v>2</v>
      </c>
      <c r="AB1704" s="36">
        <v>2</v>
      </c>
      <c r="AC1704" s="36">
        <v>2</v>
      </c>
      <c r="AD1704" s="36">
        <v>2</v>
      </c>
      <c r="AE1704" s="36">
        <v>3</v>
      </c>
      <c r="AF1704" s="36">
        <v>3</v>
      </c>
      <c r="AG1704" s="36">
        <v>5</v>
      </c>
      <c r="AH1704" s="36"/>
      <c r="AI1704" s="36"/>
      <c r="AJ1704" s="36"/>
      <c r="AK1704" s="36"/>
      <c r="AL1704" s="36"/>
      <c r="AM1704" s="36"/>
      <c r="AN1704" s="36"/>
      <c r="AO1704" s="36">
        <v>4</v>
      </c>
      <c r="AP1704" s="36">
        <v>4</v>
      </c>
      <c r="AQ1704" s="36">
        <v>1</v>
      </c>
      <c r="AR1704" s="36">
        <v>1</v>
      </c>
      <c r="AS1704" s="36">
        <v>1</v>
      </c>
      <c r="AT1704" s="36">
        <v>1</v>
      </c>
      <c r="AU1704" s="36">
        <v>1</v>
      </c>
      <c r="AV1704" s="36">
        <v>1</v>
      </c>
      <c r="AW1704" s="36">
        <v>1</v>
      </c>
      <c r="AX1704" s="36">
        <v>1</v>
      </c>
      <c r="AY1704" s="36"/>
      <c r="AZ1704" s="36"/>
      <c r="BA1704" s="36"/>
      <c r="BB1704" s="36"/>
      <c r="BC1704" s="36"/>
      <c r="BD1704" s="27"/>
      <c r="BF1704">
        <f>ROWS($U$46:U1704)</f>
        <v>1659</v>
      </c>
      <c r="BG1704" t="str">
        <f t="shared" si="233"/>
        <v/>
      </c>
    </row>
    <row r="1705" spans="15:59" x14ac:dyDescent="0.35">
      <c r="O1705" s="329">
        <v>1</v>
      </c>
      <c r="P1705" s="320">
        <v>1175118</v>
      </c>
      <c r="Q1705" s="320">
        <v>17</v>
      </c>
      <c r="R1705" s="320"/>
      <c r="S1705" s="320" t="s">
        <v>1200</v>
      </c>
      <c r="T1705" s="320" t="s">
        <v>2147</v>
      </c>
      <c r="U1705" s="320">
        <v>1269498</v>
      </c>
      <c r="V1705" s="319" t="s">
        <v>87</v>
      </c>
      <c r="W1705" s="320">
        <v>3</v>
      </c>
      <c r="X1705" s="320">
        <v>3</v>
      </c>
      <c r="Y1705" s="320">
        <v>3</v>
      </c>
      <c r="Z1705" s="320">
        <v>1</v>
      </c>
      <c r="AA1705" s="320">
        <v>1</v>
      </c>
      <c r="AB1705" s="320">
        <v>1</v>
      </c>
      <c r="AC1705" s="320">
        <v>5</v>
      </c>
      <c r="AD1705" s="320">
        <v>4</v>
      </c>
      <c r="AE1705" s="320"/>
      <c r="AF1705" s="320">
        <v>2</v>
      </c>
      <c r="AG1705" s="320">
        <v>2</v>
      </c>
      <c r="AH1705" s="320">
        <v>2</v>
      </c>
      <c r="AI1705" s="320"/>
      <c r="AJ1705" s="320"/>
      <c r="AK1705" s="320"/>
      <c r="AL1705" s="320"/>
      <c r="AM1705" s="320"/>
      <c r="AN1705" s="320"/>
      <c r="AO1705" s="320"/>
      <c r="AP1705" s="320"/>
      <c r="AQ1705" s="320"/>
      <c r="AR1705" s="320"/>
      <c r="AS1705" s="320"/>
      <c r="AT1705" s="320"/>
      <c r="AU1705" s="320"/>
      <c r="AV1705" s="320"/>
      <c r="AW1705" s="320"/>
      <c r="AX1705" s="320"/>
      <c r="AY1705" s="320"/>
      <c r="AZ1705" s="974"/>
      <c r="BA1705" s="320"/>
      <c r="BB1705" s="320"/>
      <c r="BC1705" s="320"/>
      <c r="BD1705" s="119"/>
      <c r="BF1705">
        <f>ROWS($U$46:U1705)</f>
        <v>1660</v>
      </c>
      <c r="BG1705" t="str">
        <f t="shared" si="233"/>
        <v/>
      </c>
    </row>
    <row r="1706" spans="15:59" x14ac:dyDescent="0.35">
      <c r="O1706" s="330">
        <v>2</v>
      </c>
      <c r="P1706" s="36">
        <v>1078377</v>
      </c>
      <c r="Q1706" s="36">
        <v>15</v>
      </c>
      <c r="R1706" s="36"/>
      <c r="S1706" s="36" t="s">
        <v>1200</v>
      </c>
      <c r="T1706" s="36" t="s">
        <v>2147</v>
      </c>
      <c r="U1706" s="36">
        <v>1269498</v>
      </c>
      <c r="V1706" s="165" t="s">
        <v>88</v>
      </c>
      <c r="W1706" s="36">
        <v>1</v>
      </c>
      <c r="X1706" s="36">
        <v>1</v>
      </c>
      <c r="Y1706" s="36">
        <v>1</v>
      </c>
      <c r="Z1706" s="36">
        <v>5</v>
      </c>
      <c r="AA1706" s="36">
        <v>4</v>
      </c>
      <c r="AB1706" s="36"/>
      <c r="AC1706" s="36"/>
      <c r="AD1706" s="36"/>
      <c r="AE1706" s="36"/>
      <c r="AF1706" s="36">
        <v>2</v>
      </c>
      <c r="AG1706" s="36">
        <v>2</v>
      </c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  <c r="AV1706" s="36"/>
      <c r="AW1706" s="36"/>
      <c r="AX1706" s="36"/>
      <c r="AY1706" s="36"/>
      <c r="AZ1706" s="961"/>
      <c r="BA1706" s="36"/>
      <c r="BB1706" s="36"/>
      <c r="BC1706" s="36"/>
      <c r="BD1706" s="27"/>
      <c r="BF1706">
        <f>ROWS($U$46:U1706)</f>
        <v>1661</v>
      </c>
      <c r="BG1706" t="str">
        <f t="shared" si="233"/>
        <v/>
      </c>
    </row>
    <row r="1707" spans="15:59" x14ac:dyDescent="0.35">
      <c r="O1707" s="330">
        <v>3</v>
      </c>
      <c r="P1707" s="36">
        <v>1208601</v>
      </c>
      <c r="Q1707" s="36">
        <v>8</v>
      </c>
      <c r="R1707" s="36"/>
      <c r="S1707" s="36" t="s">
        <v>1200</v>
      </c>
      <c r="T1707" s="36" t="s">
        <v>2147</v>
      </c>
      <c r="U1707" s="36">
        <v>1269498</v>
      </c>
      <c r="V1707" s="165" t="s">
        <v>89</v>
      </c>
      <c r="W1707" s="36">
        <v>3</v>
      </c>
      <c r="X1707" s="36">
        <v>3</v>
      </c>
      <c r="Y1707" s="36">
        <v>1</v>
      </c>
      <c r="Z1707" s="36">
        <v>1</v>
      </c>
      <c r="AA1707" s="36">
        <v>1</v>
      </c>
      <c r="AB1707" s="36">
        <v>5</v>
      </c>
      <c r="AC1707" s="36">
        <v>4</v>
      </c>
      <c r="AD1707" s="36"/>
      <c r="AE1707" s="36"/>
      <c r="AF1707" s="36">
        <v>2</v>
      </c>
      <c r="AG1707" s="36">
        <v>2</v>
      </c>
      <c r="AH1707" s="36">
        <v>2</v>
      </c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  <c r="AV1707" s="36"/>
      <c r="AW1707" s="36"/>
      <c r="AX1707" s="36"/>
      <c r="AY1707" s="36"/>
      <c r="AZ1707" s="961"/>
      <c r="BA1707" s="36"/>
      <c r="BB1707" s="36"/>
      <c r="BC1707" s="36"/>
      <c r="BD1707" s="27"/>
      <c r="BF1707">
        <f>ROWS($U$46:U1707)</f>
        <v>1662</v>
      </c>
      <c r="BG1707" t="str">
        <f t="shared" si="233"/>
        <v/>
      </c>
    </row>
    <row r="1708" spans="15:59" x14ac:dyDescent="0.35">
      <c r="O1708" s="330">
        <v>4</v>
      </c>
      <c r="P1708" s="36">
        <v>418525</v>
      </c>
      <c r="Q1708" s="36">
        <v>6</v>
      </c>
      <c r="R1708" s="36"/>
      <c r="S1708" s="36" t="s">
        <v>1200</v>
      </c>
      <c r="T1708" s="36" t="s">
        <v>2147</v>
      </c>
      <c r="U1708" s="36">
        <v>1269498</v>
      </c>
      <c r="V1708" s="165" t="s">
        <v>90</v>
      </c>
      <c r="W1708" s="36">
        <v>1</v>
      </c>
      <c r="X1708" s="36">
        <v>1</v>
      </c>
      <c r="Y1708" s="36">
        <v>1</v>
      </c>
      <c r="Z1708" s="36">
        <v>5</v>
      </c>
      <c r="AA1708" s="36">
        <v>4</v>
      </c>
      <c r="AB1708" s="36"/>
      <c r="AC1708" s="36"/>
      <c r="AD1708" s="36"/>
      <c r="AE1708" s="36"/>
      <c r="AF1708" s="36">
        <v>2</v>
      </c>
      <c r="AG1708" s="36">
        <v>2</v>
      </c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  <c r="AV1708" s="36"/>
      <c r="AW1708" s="36"/>
      <c r="AX1708" s="36"/>
      <c r="AY1708" s="36"/>
      <c r="AZ1708" s="961"/>
      <c r="BA1708" s="36"/>
      <c r="BB1708" s="36"/>
      <c r="BC1708" s="36"/>
      <c r="BD1708" s="27"/>
      <c r="BF1708">
        <f>ROWS($U$46:U1708)</f>
        <v>1663</v>
      </c>
      <c r="BG1708" t="str">
        <f t="shared" si="233"/>
        <v/>
      </c>
    </row>
    <row r="1709" spans="15:59" x14ac:dyDescent="0.35">
      <c r="O1709" s="330">
        <v>5</v>
      </c>
      <c r="P1709" s="36">
        <v>1146737</v>
      </c>
      <c r="Q1709" s="36">
        <v>6</v>
      </c>
      <c r="R1709" s="36"/>
      <c r="S1709" s="36" t="s">
        <v>1200</v>
      </c>
      <c r="T1709" s="36" t="s">
        <v>2147</v>
      </c>
      <c r="U1709" s="36">
        <v>1269498</v>
      </c>
      <c r="V1709" s="165" t="s">
        <v>91</v>
      </c>
      <c r="W1709" s="36">
        <v>3</v>
      </c>
      <c r="X1709" s="36">
        <v>3</v>
      </c>
      <c r="Y1709" s="36">
        <v>1</v>
      </c>
      <c r="Z1709" s="36">
        <v>1</v>
      </c>
      <c r="AA1709" s="36">
        <v>1</v>
      </c>
      <c r="AB1709" s="36">
        <v>5</v>
      </c>
      <c r="AC1709" s="36">
        <v>4</v>
      </c>
      <c r="AD1709" s="36"/>
      <c r="AE1709" s="36"/>
      <c r="AF1709" s="36">
        <v>2</v>
      </c>
      <c r="AG1709" s="36">
        <v>2</v>
      </c>
      <c r="AH1709" s="36">
        <v>2</v>
      </c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  <c r="AV1709" s="36"/>
      <c r="AW1709" s="36"/>
      <c r="AX1709" s="36"/>
      <c r="AY1709" s="36"/>
      <c r="AZ1709" s="961"/>
      <c r="BA1709" s="36"/>
      <c r="BB1709" s="36"/>
      <c r="BC1709" s="36"/>
      <c r="BD1709" s="27"/>
      <c r="BF1709">
        <f>ROWS($U$46:U1709)</f>
        <v>1664</v>
      </c>
      <c r="BG1709" t="str">
        <f t="shared" si="233"/>
        <v/>
      </c>
    </row>
    <row r="1710" spans="15:59" ht="15" thickBot="1" x14ac:dyDescent="0.4">
      <c r="O1710" s="331"/>
      <c r="P1710" s="328"/>
      <c r="Q1710" s="328"/>
      <c r="R1710" s="328"/>
      <c r="S1710" s="328" t="s">
        <v>1200</v>
      </c>
      <c r="T1710" s="328" t="s">
        <v>2147</v>
      </c>
      <c r="U1710" s="328">
        <v>1269498</v>
      </c>
      <c r="V1710" s="327" t="s">
        <v>92</v>
      </c>
      <c r="W1710" s="328">
        <v>3</v>
      </c>
      <c r="X1710" s="328">
        <v>1</v>
      </c>
      <c r="Y1710" s="328">
        <v>1</v>
      </c>
      <c r="Z1710" s="328">
        <v>5</v>
      </c>
      <c r="AA1710" s="328">
        <v>4</v>
      </c>
      <c r="AB1710" s="328"/>
      <c r="AC1710" s="328"/>
      <c r="AD1710" s="328"/>
      <c r="AE1710" s="328"/>
      <c r="AF1710" s="328">
        <v>2</v>
      </c>
      <c r="AG1710" s="328">
        <v>2</v>
      </c>
      <c r="AH1710" s="328"/>
      <c r="AI1710" s="328"/>
      <c r="AJ1710" s="328"/>
      <c r="AK1710" s="328"/>
      <c r="AL1710" s="328"/>
      <c r="AM1710" s="328"/>
      <c r="AN1710" s="328"/>
      <c r="AO1710" s="328"/>
      <c r="AP1710" s="328"/>
      <c r="AQ1710" s="328"/>
      <c r="AR1710" s="328"/>
      <c r="AS1710" s="328"/>
      <c r="AT1710" s="328"/>
      <c r="AU1710" s="328"/>
      <c r="AV1710" s="328"/>
      <c r="AW1710" s="328"/>
      <c r="AX1710" s="328"/>
      <c r="AY1710" s="328"/>
      <c r="AZ1710" s="962"/>
      <c r="BA1710" s="328"/>
      <c r="BB1710" s="328"/>
      <c r="BC1710" s="328"/>
      <c r="BD1710" s="31"/>
      <c r="BF1710">
        <f>ROWS($U$46:U1710)</f>
        <v>1665</v>
      </c>
      <c r="BG1710" t="str">
        <f t="shared" si="233"/>
        <v/>
      </c>
    </row>
    <row r="1711" spans="15:59" x14ac:dyDescent="0.35">
      <c r="O1711" s="329">
        <v>1</v>
      </c>
      <c r="P1711" s="320">
        <v>1130198</v>
      </c>
      <c r="Q1711" s="320">
        <v>33</v>
      </c>
      <c r="R1711" s="320"/>
      <c r="S1711" s="320" t="s">
        <v>1198</v>
      </c>
      <c r="T1711" s="320" t="s">
        <v>2172</v>
      </c>
      <c r="U1711" s="320">
        <v>1239176</v>
      </c>
      <c r="V1711" s="319" t="s">
        <v>87</v>
      </c>
      <c r="W1711" s="320">
        <v>1</v>
      </c>
      <c r="X1711" s="320">
        <v>1</v>
      </c>
      <c r="Y1711" s="320">
        <v>1</v>
      </c>
      <c r="Z1711" s="320">
        <v>1</v>
      </c>
      <c r="AA1711" s="320">
        <v>1</v>
      </c>
      <c r="AB1711" s="320">
        <v>1</v>
      </c>
      <c r="AC1711" s="320">
        <v>1</v>
      </c>
      <c r="AD1711" s="320">
        <v>3</v>
      </c>
      <c r="AE1711" s="320"/>
      <c r="AF1711" s="320">
        <v>2</v>
      </c>
      <c r="AG1711" s="320">
        <v>2</v>
      </c>
      <c r="AH1711" s="320">
        <v>2</v>
      </c>
      <c r="AI1711" s="320">
        <v>2</v>
      </c>
      <c r="AJ1711" s="320"/>
      <c r="AK1711" s="320"/>
      <c r="AL1711" s="320"/>
      <c r="AM1711" s="320"/>
      <c r="AN1711" s="320"/>
      <c r="AO1711" s="320"/>
      <c r="AP1711" s="320"/>
      <c r="AQ1711" s="320"/>
      <c r="AR1711" s="320"/>
      <c r="AS1711" s="320"/>
      <c r="AT1711" s="320"/>
      <c r="AU1711" s="320"/>
      <c r="AV1711" s="320"/>
      <c r="AW1711" s="320"/>
      <c r="AX1711" s="320"/>
      <c r="AY1711" s="320"/>
      <c r="AZ1711" s="974"/>
      <c r="BA1711" s="320"/>
      <c r="BB1711" s="320"/>
      <c r="BC1711" s="320"/>
      <c r="BD1711" s="119"/>
      <c r="BF1711">
        <f>ROWS($U$46:U1711)</f>
        <v>1666</v>
      </c>
      <c r="BG1711" t="str">
        <f t="shared" ref="BG1711:BG1774" si="234">IF(VALUE(SUBSTITUTE($B$5,"M",""))=U1711,BF1711,"")</f>
        <v/>
      </c>
    </row>
    <row r="1712" spans="15:59" x14ac:dyDescent="0.35">
      <c r="O1712" s="330">
        <v>2</v>
      </c>
      <c r="P1712" s="36">
        <v>647435</v>
      </c>
      <c r="Q1712" s="36">
        <v>23</v>
      </c>
      <c r="R1712" s="36"/>
      <c r="S1712" s="36" t="s">
        <v>1198</v>
      </c>
      <c r="T1712" s="36" t="s">
        <v>2172</v>
      </c>
      <c r="U1712" s="36">
        <v>1239176</v>
      </c>
      <c r="V1712" s="165" t="s">
        <v>88</v>
      </c>
      <c r="W1712" s="36">
        <v>1</v>
      </c>
      <c r="X1712" s="36">
        <v>1</v>
      </c>
      <c r="Y1712" s="36">
        <v>1</v>
      </c>
      <c r="Z1712" s="36">
        <v>1</v>
      </c>
      <c r="AA1712" s="36">
        <v>3</v>
      </c>
      <c r="AB1712" s="36"/>
      <c r="AC1712" s="36"/>
      <c r="AD1712" s="36"/>
      <c r="AE1712" s="36"/>
      <c r="AF1712" s="36">
        <v>2</v>
      </c>
      <c r="AG1712" s="36">
        <v>2</v>
      </c>
      <c r="AH1712" s="36">
        <v>2</v>
      </c>
      <c r="AI1712" s="36">
        <v>2</v>
      </c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  <c r="AV1712" s="36"/>
      <c r="AW1712" s="36"/>
      <c r="AX1712" s="36"/>
      <c r="AY1712" s="36"/>
      <c r="AZ1712" s="961"/>
      <c r="BA1712" s="36"/>
      <c r="BB1712" s="36"/>
      <c r="BC1712" s="36"/>
      <c r="BD1712" s="27"/>
      <c r="BF1712">
        <f>ROWS($U$46:U1712)</f>
        <v>1667</v>
      </c>
      <c r="BG1712" t="str">
        <f t="shared" si="234"/>
        <v/>
      </c>
    </row>
    <row r="1713" spans="15:59" x14ac:dyDescent="0.35">
      <c r="O1713" s="330">
        <v>3</v>
      </c>
      <c r="P1713" s="36">
        <v>871781</v>
      </c>
      <c r="Q1713" s="36">
        <v>6</v>
      </c>
      <c r="R1713" s="36"/>
      <c r="S1713" s="36" t="s">
        <v>1198</v>
      </c>
      <c r="T1713" s="36" t="s">
        <v>2172</v>
      </c>
      <c r="U1713" s="36">
        <v>1239176</v>
      </c>
      <c r="V1713" s="165" t="s">
        <v>89</v>
      </c>
      <c r="W1713" s="36">
        <v>1</v>
      </c>
      <c r="X1713" s="36">
        <v>1</v>
      </c>
      <c r="Y1713" s="36">
        <v>1</v>
      </c>
      <c r="Z1713" s="36">
        <v>1</v>
      </c>
      <c r="AA1713" s="36">
        <v>1</v>
      </c>
      <c r="AB1713" s="36">
        <v>1</v>
      </c>
      <c r="AC1713" s="36">
        <v>3</v>
      </c>
      <c r="AD1713" s="36"/>
      <c r="AE1713" s="36"/>
      <c r="AF1713" s="36">
        <v>2</v>
      </c>
      <c r="AG1713" s="36">
        <v>2</v>
      </c>
      <c r="AH1713" s="36">
        <v>2</v>
      </c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  <c r="AV1713" s="36"/>
      <c r="AW1713" s="36"/>
      <c r="AX1713" s="36"/>
      <c r="AY1713" s="36"/>
      <c r="AZ1713" s="961"/>
      <c r="BA1713" s="36"/>
      <c r="BB1713" s="36"/>
      <c r="BC1713" s="36"/>
      <c r="BD1713" s="27"/>
      <c r="BF1713">
        <f>ROWS($U$46:U1713)</f>
        <v>1668</v>
      </c>
      <c r="BG1713" t="str">
        <f t="shared" si="234"/>
        <v/>
      </c>
    </row>
    <row r="1714" spans="15:59" x14ac:dyDescent="0.35">
      <c r="O1714" s="330"/>
      <c r="P1714" s="36"/>
      <c r="Q1714" s="36"/>
      <c r="R1714" s="36"/>
      <c r="S1714" s="36" t="s">
        <v>1198</v>
      </c>
      <c r="T1714" s="36" t="s">
        <v>2172</v>
      </c>
      <c r="U1714" s="36">
        <v>1239176</v>
      </c>
      <c r="V1714" s="165" t="s">
        <v>90</v>
      </c>
      <c r="W1714" s="36">
        <v>1</v>
      </c>
      <c r="X1714" s="36">
        <v>1</v>
      </c>
      <c r="Y1714" s="36">
        <v>1</v>
      </c>
      <c r="Z1714" s="36">
        <v>1</v>
      </c>
      <c r="AA1714" s="36">
        <v>1</v>
      </c>
      <c r="AB1714" s="36">
        <v>3</v>
      </c>
      <c r="AC1714" s="36"/>
      <c r="AD1714" s="36"/>
      <c r="AE1714" s="36"/>
      <c r="AF1714" s="36">
        <v>2</v>
      </c>
      <c r="AG1714" s="36">
        <v>2</v>
      </c>
      <c r="AH1714" s="36">
        <v>2</v>
      </c>
      <c r="AI1714" s="36">
        <v>2</v>
      </c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  <c r="AV1714" s="36"/>
      <c r="AW1714" s="36"/>
      <c r="AX1714" s="36"/>
      <c r="AY1714" s="36"/>
      <c r="AZ1714" s="961"/>
      <c r="BA1714" s="36"/>
      <c r="BB1714" s="36"/>
      <c r="BC1714" s="36"/>
      <c r="BD1714" s="27"/>
      <c r="BF1714">
        <f>ROWS($U$46:U1714)</f>
        <v>1669</v>
      </c>
      <c r="BG1714" t="str">
        <f t="shared" si="234"/>
        <v/>
      </c>
    </row>
    <row r="1715" spans="15:59" x14ac:dyDescent="0.35">
      <c r="O1715" s="330"/>
      <c r="P1715" s="36"/>
      <c r="Q1715" s="36"/>
      <c r="R1715" s="36"/>
      <c r="S1715" s="36" t="s">
        <v>1198</v>
      </c>
      <c r="T1715" s="36" t="s">
        <v>2172</v>
      </c>
      <c r="U1715" s="36">
        <v>1239176</v>
      </c>
      <c r="V1715" s="165" t="s">
        <v>91</v>
      </c>
      <c r="W1715" s="36">
        <v>1</v>
      </c>
      <c r="X1715" s="36">
        <v>1</v>
      </c>
      <c r="Y1715" s="36">
        <v>1</v>
      </c>
      <c r="Z1715" s="36">
        <v>1</v>
      </c>
      <c r="AA1715" s="36">
        <v>1</v>
      </c>
      <c r="AB1715" s="36">
        <v>1</v>
      </c>
      <c r="AC1715" s="36">
        <v>1</v>
      </c>
      <c r="AD1715" s="36">
        <v>3</v>
      </c>
      <c r="AE1715" s="36"/>
      <c r="AF1715" s="36">
        <v>2</v>
      </c>
      <c r="AG1715" s="36">
        <v>2</v>
      </c>
      <c r="AH1715" s="36">
        <v>2</v>
      </c>
      <c r="AI1715" s="36">
        <v>2</v>
      </c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  <c r="AV1715" s="36"/>
      <c r="AW1715" s="36"/>
      <c r="AX1715" s="36"/>
      <c r="AY1715" s="36"/>
      <c r="AZ1715" s="961"/>
      <c r="BA1715" s="36"/>
      <c r="BB1715" s="36"/>
      <c r="BC1715" s="36"/>
      <c r="BD1715" s="27"/>
      <c r="BF1715">
        <f>ROWS($U$46:U1715)</f>
        <v>1670</v>
      </c>
      <c r="BG1715" t="str">
        <f t="shared" si="234"/>
        <v/>
      </c>
    </row>
    <row r="1716" spans="15:59" ht="15" thickBot="1" x14ac:dyDescent="0.4">
      <c r="O1716" s="331"/>
      <c r="P1716" s="328"/>
      <c r="Q1716" s="328"/>
      <c r="R1716" s="328"/>
      <c r="S1716" s="328" t="s">
        <v>1198</v>
      </c>
      <c r="T1716" s="328" t="s">
        <v>2172</v>
      </c>
      <c r="U1716" s="328">
        <v>1239176</v>
      </c>
      <c r="V1716" s="327" t="s">
        <v>92</v>
      </c>
      <c r="W1716" s="328">
        <v>1</v>
      </c>
      <c r="X1716" s="328">
        <v>1</v>
      </c>
      <c r="Y1716" s="328">
        <v>1</v>
      </c>
      <c r="Z1716" s="328">
        <v>1</v>
      </c>
      <c r="AA1716" s="328">
        <v>3</v>
      </c>
      <c r="AB1716" s="328"/>
      <c r="AC1716" s="328"/>
      <c r="AD1716" s="328"/>
      <c r="AE1716" s="328"/>
      <c r="AF1716" s="328">
        <v>2</v>
      </c>
      <c r="AG1716" s="328">
        <v>2</v>
      </c>
      <c r="AH1716" s="328">
        <v>2</v>
      </c>
      <c r="AI1716" s="328">
        <v>2</v>
      </c>
      <c r="AJ1716" s="328"/>
      <c r="AK1716" s="328"/>
      <c r="AL1716" s="328"/>
      <c r="AM1716" s="328"/>
      <c r="AN1716" s="328"/>
      <c r="AO1716" s="328"/>
      <c r="AP1716" s="328"/>
      <c r="AQ1716" s="328"/>
      <c r="AR1716" s="328"/>
      <c r="AS1716" s="328"/>
      <c r="AT1716" s="328"/>
      <c r="AU1716" s="328"/>
      <c r="AV1716" s="328"/>
      <c r="AW1716" s="328"/>
      <c r="AX1716" s="328"/>
      <c r="AY1716" s="328"/>
      <c r="AZ1716" s="962"/>
      <c r="BA1716" s="328"/>
      <c r="BB1716" s="328"/>
      <c r="BC1716" s="328"/>
      <c r="BD1716" s="31"/>
      <c r="BF1716">
        <f>ROWS($U$46:U1716)</f>
        <v>1671</v>
      </c>
      <c r="BG1716" t="str">
        <f t="shared" si="234"/>
        <v/>
      </c>
    </row>
    <row r="1717" spans="15:59" x14ac:dyDescent="0.35">
      <c r="O1717" s="329">
        <v>1</v>
      </c>
      <c r="P1717" s="320">
        <v>1219562</v>
      </c>
      <c r="Q1717" s="320">
        <v>16</v>
      </c>
      <c r="R1717" s="320"/>
      <c r="S1717" s="935" t="s">
        <v>1200</v>
      </c>
      <c r="T1717" s="320" t="s">
        <v>2174</v>
      </c>
      <c r="U1717" s="119">
        <v>1263805</v>
      </c>
      <c r="V1717" s="989" t="s">
        <v>87</v>
      </c>
      <c r="W1717" s="320">
        <v>4</v>
      </c>
      <c r="X1717" s="320">
        <v>4</v>
      </c>
      <c r="Y1717" s="320">
        <v>4</v>
      </c>
      <c r="Z1717" s="320">
        <v>1</v>
      </c>
      <c r="AA1717" s="320">
        <v>1</v>
      </c>
      <c r="AB1717" s="320">
        <v>1</v>
      </c>
      <c r="AC1717" s="320">
        <v>2</v>
      </c>
      <c r="AD1717" s="320">
        <v>8</v>
      </c>
      <c r="AE1717" s="320">
        <v>5</v>
      </c>
      <c r="AF1717" s="320"/>
      <c r="AG1717" s="320">
        <v>6</v>
      </c>
      <c r="AH1717" s="320">
        <v>7</v>
      </c>
      <c r="AI1717" s="320">
        <v>3</v>
      </c>
      <c r="AJ1717" s="320">
        <v>3</v>
      </c>
      <c r="AK1717" s="320">
        <v>8</v>
      </c>
      <c r="AL1717" s="320"/>
      <c r="AM1717" s="320"/>
      <c r="AN1717" s="320"/>
      <c r="AO1717" s="320"/>
      <c r="AP1717" s="320"/>
      <c r="AQ1717" s="320"/>
      <c r="AR1717" s="320"/>
      <c r="AS1717" s="320"/>
      <c r="AT1717" s="320"/>
      <c r="AU1717" s="320"/>
      <c r="AV1717" s="320"/>
      <c r="AW1717" s="320"/>
      <c r="AX1717" s="320"/>
      <c r="AY1717" s="320"/>
      <c r="AZ1717" s="320"/>
      <c r="BA1717" s="320"/>
      <c r="BB1717" s="320"/>
      <c r="BC1717" s="320"/>
      <c r="BD1717" s="119"/>
      <c r="BF1717">
        <f>ROWS($U$46:U1717)</f>
        <v>1672</v>
      </c>
      <c r="BG1717" t="str">
        <f t="shared" si="234"/>
        <v/>
      </c>
    </row>
    <row r="1718" spans="15:59" x14ac:dyDescent="0.35">
      <c r="O1718" s="330">
        <v>2</v>
      </c>
      <c r="P1718" s="36">
        <v>1271790</v>
      </c>
      <c r="Q1718" s="36">
        <v>6</v>
      </c>
      <c r="R1718" s="36"/>
      <c r="S1718" s="93" t="s">
        <v>1200</v>
      </c>
      <c r="T1718" s="36" t="s">
        <v>2174</v>
      </c>
      <c r="U1718" s="27">
        <v>1263805</v>
      </c>
      <c r="V1718" s="990" t="s">
        <v>88</v>
      </c>
      <c r="W1718" s="36">
        <v>1</v>
      </c>
      <c r="X1718" s="36">
        <v>1</v>
      </c>
      <c r="Y1718" s="36">
        <v>1</v>
      </c>
      <c r="Z1718" s="36">
        <v>2</v>
      </c>
      <c r="AA1718" s="36">
        <v>8</v>
      </c>
      <c r="AB1718" s="36">
        <v>8</v>
      </c>
      <c r="AC1718" s="36">
        <v>5</v>
      </c>
      <c r="AD1718" s="36"/>
      <c r="AE1718" s="36"/>
      <c r="AF1718" s="36"/>
      <c r="AG1718" s="36">
        <v>6</v>
      </c>
      <c r="AH1718" s="36">
        <v>3</v>
      </c>
      <c r="AI1718" s="36">
        <v>8</v>
      </c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  <c r="AV1718" s="36"/>
      <c r="AW1718" s="36"/>
      <c r="AX1718" s="36"/>
      <c r="AY1718" s="36"/>
      <c r="AZ1718" s="36"/>
      <c r="BA1718" s="36"/>
      <c r="BB1718" s="36"/>
      <c r="BC1718" s="36"/>
      <c r="BD1718" s="27"/>
      <c r="BF1718">
        <f>ROWS($U$46:U1718)</f>
        <v>1673</v>
      </c>
      <c r="BG1718" t="str">
        <f t="shared" si="234"/>
        <v/>
      </c>
    </row>
    <row r="1719" spans="15:59" x14ac:dyDescent="0.35">
      <c r="O1719" s="330">
        <v>3</v>
      </c>
      <c r="P1719" s="36">
        <v>1142711</v>
      </c>
      <c r="Q1719" s="36">
        <v>10</v>
      </c>
      <c r="R1719" s="36"/>
      <c r="S1719" s="93" t="s">
        <v>1200</v>
      </c>
      <c r="T1719" s="36" t="s">
        <v>2174</v>
      </c>
      <c r="U1719" s="27">
        <v>1263805</v>
      </c>
      <c r="V1719" s="990" t="s">
        <v>89</v>
      </c>
      <c r="W1719" s="36">
        <v>4</v>
      </c>
      <c r="X1719" s="36">
        <v>4</v>
      </c>
      <c r="Y1719" s="36">
        <v>1</v>
      </c>
      <c r="Z1719" s="36">
        <v>1</v>
      </c>
      <c r="AA1719" s="36">
        <v>1</v>
      </c>
      <c r="AB1719" s="36">
        <v>2</v>
      </c>
      <c r="AC1719" s="36">
        <v>8</v>
      </c>
      <c r="AD1719" s="36">
        <v>8</v>
      </c>
      <c r="AE1719" s="36">
        <v>5</v>
      </c>
      <c r="AF1719" s="36"/>
      <c r="AG1719" s="36">
        <v>6</v>
      </c>
      <c r="AH1719" s="36">
        <v>7</v>
      </c>
      <c r="AI1719" s="36">
        <v>3</v>
      </c>
      <c r="AJ1719" s="36">
        <v>3</v>
      </c>
      <c r="AK1719" s="36">
        <v>8</v>
      </c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  <c r="AV1719" s="36"/>
      <c r="AW1719" s="36"/>
      <c r="AX1719" s="36"/>
      <c r="AY1719" s="36"/>
      <c r="AZ1719" s="36"/>
      <c r="BA1719" s="36"/>
      <c r="BB1719" s="36"/>
      <c r="BC1719" s="36"/>
      <c r="BD1719" s="27"/>
      <c r="BF1719">
        <f>ROWS($U$46:U1719)</f>
        <v>1674</v>
      </c>
      <c r="BG1719" t="str">
        <f t="shared" si="234"/>
        <v/>
      </c>
    </row>
    <row r="1720" spans="15:59" x14ac:dyDescent="0.35">
      <c r="O1720" s="330">
        <v>4</v>
      </c>
      <c r="P1720" s="36">
        <v>1208601</v>
      </c>
      <c r="Q1720" s="36">
        <v>7</v>
      </c>
      <c r="R1720" s="36"/>
      <c r="S1720" s="93" t="s">
        <v>1200</v>
      </c>
      <c r="T1720" s="36" t="s">
        <v>2174</v>
      </c>
      <c r="U1720" s="27">
        <v>1263805</v>
      </c>
      <c r="V1720" s="990" t="s">
        <v>90</v>
      </c>
      <c r="W1720" s="36">
        <v>4</v>
      </c>
      <c r="X1720" s="36">
        <v>4</v>
      </c>
      <c r="Y1720" s="36">
        <v>1</v>
      </c>
      <c r="Z1720" s="36">
        <v>1</v>
      </c>
      <c r="AA1720" s="36">
        <v>1</v>
      </c>
      <c r="AB1720" s="36">
        <v>2</v>
      </c>
      <c r="AC1720" s="36">
        <v>2</v>
      </c>
      <c r="AD1720" s="36">
        <v>8</v>
      </c>
      <c r="AE1720" s="36">
        <v>5</v>
      </c>
      <c r="AF1720" s="36"/>
      <c r="AG1720" s="36">
        <v>6</v>
      </c>
      <c r="AH1720" s="36">
        <v>7</v>
      </c>
      <c r="AI1720" s="36">
        <v>3</v>
      </c>
      <c r="AJ1720" s="36">
        <v>3</v>
      </c>
      <c r="AK1720" s="36">
        <v>3</v>
      </c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  <c r="AV1720" s="36"/>
      <c r="AW1720" s="36"/>
      <c r="AX1720" s="36"/>
      <c r="AY1720" s="36"/>
      <c r="AZ1720" s="36"/>
      <c r="BA1720" s="36"/>
      <c r="BB1720" s="36"/>
      <c r="BC1720" s="36"/>
      <c r="BD1720" s="27"/>
      <c r="BF1720">
        <f>ROWS($U$46:U1720)</f>
        <v>1675</v>
      </c>
      <c r="BG1720" t="str">
        <f t="shared" si="234"/>
        <v/>
      </c>
    </row>
    <row r="1721" spans="15:59" x14ac:dyDescent="0.35">
      <c r="O1721" s="330">
        <v>5</v>
      </c>
      <c r="P1721" s="36">
        <v>871781</v>
      </c>
      <c r="Q1721" s="36">
        <v>5</v>
      </c>
      <c r="R1721" s="36"/>
      <c r="S1721" s="93" t="s">
        <v>1200</v>
      </c>
      <c r="T1721" s="36" t="s">
        <v>2174</v>
      </c>
      <c r="U1721" s="27">
        <v>1263805</v>
      </c>
      <c r="V1721" s="990" t="s">
        <v>91</v>
      </c>
      <c r="W1721" s="36">
        <v>1</v>
      </c>
      <c r="X1721" s="36">
        <v>1</v>
      </c>
      <c r="Y1721" s="36">
        <v>1</v>
      </c>
      <c r="Z1721" s="36">
        <v>1</v>
      </c>
      <c r="AA1721" s="36">
        <v>2</v>
      </c>
      <c r="AB1721" s="36">
        <v>8</v>
      </c>
      <c r="AC1721" s="36">
        <v>5</v>
      </c>
      <c r="AD1721" s="36"/>
      <c r="AE1721" s="36"/>
      <c r="AF1721" s="36"/>
      <c r="AG1721" s="36">
        <v>6</v>
      </c>
      <c r="AH1721" s="36">
        <v>3</v>
      </c>
      <c r="AI1721" s="36">
        <v>3</v>
      </c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  <c r="AV1721" s="36"/>
      <c r="AW1721" s="36"/>
      <c r="AX1721" s="36"/>
      <c r="AY1721" s="36"/>
      <c r="AZ1721" s="36"/>
      <c r="BA1721" s="36"/>
      <c r="BB1721" s="36"/>
      <c r="BC1721" s="36"/>
      <c r="BD1721" s="27"/>
      <c r="BF1721">
        <f>ROWS($U$46:U1721)</f>
        <v>1676</v>
      </c>
      <c r="BG1721" t="str">
        <f t="shared" si="234"/>
        <v/>
      </c>
    </row>
    <row r="1722" spans="15:59" x14ac:dyDescent="0.35">
      <c r="O1722" s="330">
        <v>6</v>
      </c>
      <c r="P1722" s="36">
        <v>1200972</v>
      </c>
      <c r="Q1722" s="36">
        <v>5</v>
      </c>
      <c r="R1722" s="36"/>
      <c r="S1722" s="93" t="s">
        <v>1200</v>
      </c>
      <c r="T1722" s="36" t="s">
        <v>2174</v>
      </c>
      <c r="U1722" s="27">
        <v>1263805</v>
      </c>
      <c r="V1722" s="990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  <c r="AV1722" s="36"/>
      <c r="AW1722" s="36"/>
      <c r="AX1722" s="36"/>
      <c r="AY1722" s="36"/>
      <c r="AZ1722" s="36"/>
      <c r="BA1722" s="36"/>
      <c r="BB1722" s="36"/>
      <c r="BC1722" s="36"/>
      <c r="BD1722" s="27"/>
      <c r="BF1722">
        <f>ROWS($U$46:U1722)</f>
        <v>1677</v>
      </c>
      <c r="BG1722" t="str">
        <f t="shared" si="234"/>
        <v/>
      </c>
    </row>
    <row r="1723" spans="15:59" x14ac:dyDescent="0.35">
      <c r="O1723" s="330">
        <v>7</v>
      </c>
      <c r="P1723" s="36">
        <v>1234189</v>
      </c>
      <c r="Q1723" s="36">
        <v>3</v>
      </c>
      <c r="R1723" s="36"/>
      <c r="S1723" s="93" t="s">
        <v>1200</v>
      </c>
      <c r="T1723" s="36" t="s">
        <v>2174</v>
      </c>
      <c r="U1723" s="27">
        <v>1263805</v>
      </c>
      <c r="V1723" s="990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  <c r="AV1723" s="36"/>
      <c r="AW1723" s="36"/>
      <c r="AX1723" s="36"/>
      <c r="AY1723" s="36"/>
      <c r="AZ1723" s="36"/>
      <c r="BA1723" s="36"/>
      <c r="BB1723" s="36"/>
      <c r="BC1723" s="36"/>
      <c r="BD1723" s="27"/>
      <c r="BF1723">
        <f>ROWS($U$46:U1723)</f>
        <v>1678</v>
      </c>
      <c r="BG1723" t="str">
        <f t="shared" si="234"/>
        <v/>
      </c>
    </row>
    <row r="1724" spans="15:59" ht="15" thickBot="1" x14ac:dyDescent="0.4">
      <c r="O1724" s="331">
        <v>8</v>
      </c>
      <c r="P1724" s="328">
        <v>1146737</v>
      </c>
      <c r="Q1724" s="328">
        <v>10</v>
      </c>
      <c r="R1724" s="328"/>
      <c r="S1724" s="937" t="s">
        <v>1200</v>
      </c>
      <c r="T1724" s="328" t="s">
        <v>2174</v>
      </c>
      <c r="U1724" s="31">
        <v>1263805</v>
      </c>
      <c r="V1724" s="990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  <c r="AV1724" s="36"/>
      <c r="AW1724" s="36"/>
      <c r="AX1724" s="36"/>
      <c r="AY1724" s="36"/>
      <c r="AZ1724" s="36"/>
      <c r="BA1724" s="36"/>
      <c r="BB1724" s="36"/>
      <c r="BC1724" s="36"/>
      <c r="BD1724" s="27"/>
      <c r="BF1724">
        <f>ROWS($U$46:U1724)</f>
        <v>1679</v>
      </c>
      <c r="BG1724" t="str">
        <f t="shared" si="234"/>
        <v/>
      </c>
    </row>
    <row r="1725" spans="15:59" x14ac:dyDescent="0.35">
      <c r="O1725" s="329">
        <v>1</v>
      </c>
      <c r="P1725" s="320">
        <v>647436</v>
      </c>
      <c r="Q1725" s="320">
        <v>64</v>
      </c>
      <c r="R1725" s="320"/>
      <c r="S1725" s="320" t="s">
        <v>1399</v>
      </c>
      <c r="T1725" s="320" t="s">
        <v>873</v>
      </c>
      <c r="U1725" s="320">
        <v>742471</v>
      </c>
      <c r="V1725" s="319" t="s">
        <v>87</v>
      </c>
      <c r="W1725" s="320">
        <v>4</v>
      </c>
      <c r="X1725" s="320">
        <v>3</v>
      </c>
      <c r="Y1725" s="320">
        <v>3</v>
      </c>
      <c r="Z1725" s="320">
        <v>3</v>
      </c>
      <c r="AA1725" s="320">
        <v>3</v>
      </c>
      <c r="AB1725" s="320"/>
      <c r="AC1725" s="320">
        <v>1</v>
      </c>
      <c r="AD1725" s="320"/>
      <c r="AE1725" s="320"/>
      <c r="AF1725" s="320"/>
      <c r="AG1725" s="320"/>
      <c r="AH1725" s="320"/>
      <c r="AI1725" s="320"/>
      <c r="AJ1725" s="320"/>
      <c r="AK1725" s="320"/>
      <c r="AL1725" s="320"/>
      <c r="AM1725" s="320"/>
      <c r="AN1725" s="320"/>
      <c r="AO1725" s="320"/>
      <c r="AP1725" s="320"/>
      <c r="AQ1725" s="320"/>
      <c r="AR1725" s="320"/>
      <c r="AS1725" s="320"/>
      <c r="AT1725" s="320"/>
      <c r="AU1725" s="320"/>
      <c r="AV1725" s="320"/>
      <c r="AW1725" s="320"/>
      <c r="AX1725" s="320"/>
      <c r="AY1725" s="320"/>
      <c r="AZ1725" s="320"/>
      <c r="BA1725" s="320"/>
      <c r="BB1725" s="320"/>
      <c r="BC1725" s="119"/>
      <c r="BF1725">
        <f>ROWS($U$46:U1725)</f>
        <v>1680</v>
      </c>
      <c r="BG1725" t="str">
        <f t="shared" si="234"/>
        <v/>
      </c>
    </row>
    <row r="1726" spans="15:59" x14ac:dyDescent="0.35">
      <c r="O1726" s="330">
        <v>2</v>
      </c>
      <c r="P1726" s="36">
        <v>1271790</v>
      </c>
      <c r="Q1726" s="36">
        <v>53</v>
      </c>
      <c r="R1726" s="36"/>
      <c r="S1726" s="36" t="s">
        <v>1399</v>
      </c>
      <c r="T1726" s="36" t="s">
        <v>873</v>
      </c>
      <c r="U1726" s="36">
        <v>742471</v>
      </c>
      <c r="V1726" s="165" t="s">
        <v>88</v>
      </c>
      <c r="W1726" s="36">
        <v>1</v>
      </c>
      <c r="X1726" s="36">
        <v>2</v>
      </c>
      <c r="Y1726" s="36">
        <v>2</v>
      </c>
      <c r="Z1726" s="36">
        <v>3</v>
      </c>
      <c r="AA1726" s="36">
        <v>3</v>
      </c>
      <c r="AB1726" s="36"/>
      <c r="AC1726" s="36">
        <v>1</v>
      </c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  <c r="AV1726" s="36"/>
      <c r="AW1726" s="36"/>
      <c r="AX1726" s="36"/>
      <c r="AY1726" s="36"/>
      <c r="AZ1726" s="36"/>
      <c r="BA1726" s="36"/>
      <c r="BB1726" s="36"/>
      <c r="BC1726" s="27"/>
      <c r="BF1726">
        <f>ROWS($U$46:U1726)</f>
        <v>1681</v>
      </c>
      <c r="BG1726" t="str">
        <f t="shared" si="234"/>
        <v/>
      </c>
    </row>
    <row r="1727" spans="15:59" x14ac:dyDescent="0.35">
      <c r="O1727" s="330">
        <v>3</v>
      </c>
      <c r="P1727" s="36">
        <v>1146737</v>
      </c>
      <c r="Q1727" s="36">
        <v>39</v>
      </c>
      <c r="R1727" s="36"/>
      <c r="S1727" s="36" t="s">
        <v>1399</v>
      </c>
      <c r="T1727" s="36" t="s">
        <v>873</v>
      </c>
      <c r="U1727" s="36">
        <v>742471</v>
      </c>
      <c r="V1727" s="165" t="s">
        <v>89</v>
      </c>
      <c r="W1727" s="36">
        <v>4</v>
      </c>
      <c r="X1727" s="36">
        <v>3</v>
      </c>
      <c r="Y1727" s="36">
        <v>3</v>
      </c>
      <c r="Z1727" s="36">
        <v>3</v>
      </c>
      <c r="AA1727" s="36">
        <v>3</v>
      </c>
      <c r="AB1727" s="36"/>
      <c r="AC1727" s="36">
        <v>1</v>
      </c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  <c r="AV1727" s="36"/>
      <c r="AW1727" s="36"/>
      <c r="AX1727" s="36"/>
      <c r="AY1727" s="36"/>
      <c r="AZ1727" s="36"/>
      <c r="BA1727" s="36"/>
      <c r="BB1727" s="36"/>
      <c r="BC1727" s="27"/>
      <c r="BF1727">
        <f>ROWS($U$46:U1727)</f>
        <v>1682</v>
      </c>
      <c r="BG1727" t="str">
        <f t="shared" si="234"/>
        <v/>
      </c>
    </row>
    <row r="1728" spans="15:59" x14ac:dyDescent="0.35">
      <c r="O1728" s="330">
        <v>4</v>
      </c>
      <c r="P1728" s="36">
        <v>647435</v>
      </c>
      <c r="Q1728" s="36">
        <v>16</v>
      </c>
      <c r="R1728" s="36"/>
      <c r="S1728" s="36" t="s">
        <v>1399</v>
      </c>
      <c r="T1728" s="36" t="s">
        <v>873</v>
      </c>
      <c r="U1728" s="36">
        <v>742471</v>
      </c>
      <c r="V1728" s="165" t="s">
        <v>90</v>
      </c>
      <c r="W1728" s="36">
        <v>1</v>
      </c>
      <c r="X1728" s="36">
        <v>2</v>
      </c>
      <c r="Y1728" s="36">
        <v>2</v>
      </c>
      <c r="Z1728" s="36">
        <v>3</v>
      </c>
      <c r="AA1728" s="36">
        <v>3</v>
      </c>
      <c r="AB1728" s="36"/>
      <c r="AC1728" s="36">
        <v>1</v>
      </c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  <c r="AV1728" s="36"/>
      <c r="AW1728" s="36"/>
      <c r="AX1728" s="36"/>
      <c r="AY1728" s="36"/>
      <c r="AZ1728" s="36"/>
      <c r="BA1728" s="36"/>
      <c r="BB1728" s="36"/>
      <c r="BC1728" s="27"/>
      <c r="BF1728">
        <f>ROWS($U$46:U1728)</f>
        <v>1683</v>
      </c>
      <c r="BG1728" t="str">
        <f t="shared" si="234"/>
        <v/>
      </c>
    </row>
    <row r="1729" spans="14:59" x14ac:dyDescent="0.35">
      <c r="O1729" s="330">
        <v>5</v>
      </c>
      <c r="P1729" s="36">
        <v>418525</v>
      </c>
      <c r="Q1729" s="36">
        <v>8</v>
      </c>
      <c r="R1729" s="36"/>
      <c r="S1729" s="36" t="s">
        <v>1399</v>
      </c>
      <c r="T1729" s="36" t="s">
        <v>873</v>
      </c>
      <c r="U1729" s="36">
        <v>742471</v>
      </c>
      <c r="V1729" s="165" t="s">
        <v>91</v>
      </c>
      <c r="W1729" s="36">
        <v>4</v>
      </c>
      <c r="X1729" s="36">
        <v>3</v>
      </c>
      <c r="Y1729" s="36">
        <v>3</v>
      </c>
      <c r="Z1729" s="36">
        <v>3</v>
      </c>
      <c r="AA1729" s="36">
        <v>3</v>
      </c>
      <c r="AB1729" s="36"/>
      <c r="AC1729" s="36">
        <v>1</v>
      </c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  <c r="AV1729" s="36"/>
      <c r="AW1729" s="36"/>
      <c r="AX1729" s="36"/>
      <c r="AY1729" s="36"/>
      <c r="AZ1729" s="36"/>
      <c r="BA1729" s="36"/>
      <c r="BB1729" s="36"/>
      <c r="BC1729" s="27"/>
      <c r="BF1729">
        <f>ROWS($U$46:U1729)</f>
        <v>1684</v>
      </c>
      <c r="BG1729" t="str">
        <f t="shared" si="234"/>
        <v/>
      </c>
    </row>
    <row r="1730" spans="14:59" x14ac:dyDescent="0.35">
      <c r="O1730" s="330"/>
      <c r="P1730" s="36"/>
      <c r="Q1730" s="36"/>
      <c r="R1730" s="36"/>
      <c r="S1730" s="36" t="s">
        <v>1399</v>
      </c>
      <c r="T1730" s="36" t="s">
        <v>873</v>
      </c>
      <c r="U1730" s="36">
        <v>742471</v>
      </c>
      <c r="V1730" s="165" t="s">
        <v>92</v>
      </c>
      <c r="W1730" s="36">
        <v>1</v>
      </c>
      <c r="X1730" s="36">
        <v>2</v>
      </c>
      <c r="Y1730" s="36">
        <v>2</v>
      </c>
      <c r="Z1730" s="36">
        <v>3</v>
      </c>
      <c r="AA1730" s="36">
        <v>3</v>
      </c>
      <c r="AB1730" s="36"/>
      <c r="AC1730" s="36">
        <v>1</v>
      </c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  <c r="AV1730" s="36"/>
      <c r="AW1730" s="36"/>
      <c r="AX1730" s="36"/>
      <c r="AY1730" s="36"/>
      <c r="AZ1730" s="36"/>
      <c r="BA1730" s="36"/>
      <c r="BB1730" s="36"/>
      <c r="BC1730" s="27"/>
      <c r="BF1730">
        <f>ROWS($U$46:U1730)</f>
        <v>1685</v>
      </c>
      <c r="BG1730" t="str">
        <f t="shared" si="234"/>
        <v/>
      </c>
    </row>
    <row r="1731" spans="14:59" x14ac:dyDescent="0.35">
      <c r="O1731" s="330"/>
      <c r="P1731" s="36"/>
      <c r="Q1731" s="36"/>
      <c r="R1731" s="36"/>
      <c r="S1731" s="36" t="s">
        <v>1399</v>
      </c>
      <c r="T1731" s="36" t="s">
        <v>873</v>
      </c>
      <c r="U1731" s="36">
        <v>742471</v>
      </c>
      <c r="V1731" s="165" t="s">
        <v>111</v>
      </c>
      <c r="W1731" s="36">
        <v>4</v>
      </c>
      <c r="X1731" s="36">
        <v>3</v>
      </c>
      <c r="Y1731" s="36">
        <v>3</v>
      </c>
      <c r="Z1731" s="36">
        <v>3</v>
      </c>
      <c r="AA1731" s="36">
        <v>3</v>
      </c>
      <c r="AB1731" s="36"/>
      <c r="AC1731" s="36">
        <v>1</v>
      </c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  <c r="AV1731" s="36"/>
      <c r="AW1731" s="36"/>
      <c r="AX1731" s="36"/>
      <c r="AY1731" s="36"/>
      <c r="AZ1731" s="36"/>
      <c r="BA1731" s="36"/>
      <c r="BB1731" s="36"/>
      <c r="BC1731" s="27"/>
      <c r="BF1731">
        <f>ROWS($U$46:U1731)</f>
        <v>1686</v>
      </c>
      <c r="BG1731" t="str">
        <f t="shared" si="234"/>
        <v/>
      </c>
    </row>
    <row r="1732" spans="14:59" ht="15" thickBot="1" x14ac:dyDescent="0.4">
      <c r="N1732">
        <f>O1732*Q1732</f>
        <v>0</v>
      </c>
      <c r="O1732" s="331"/>
      <c r="P1732" s="328"/>
      <c r="Q1732" s="328"/>
      <c r="R1732" s="328"/>
      <c r="S1732" s="328" t="s">
        <v>1399</v>
      </c>
      <c r="T1732" s="328" t="s">
        <v>873</v>
      </c>
      <c r="U1732" s="328">
        <v>742471</v>
      </c>
      <c r="V1732" s="327" t="s">
        <v>112</v>
      </c>
      <c r="W1732" s="328">
        <v>1</v>
      </c>
      <c r="X1732" s="328">
        <v>2</v>
      </c>
      <c r="Y1732" s="328">
        <v>2</v>
      </c>
      <c r="Z1732" s="328">
        <v>3</v>
      </c>
      <c r="AA1732" s="328">
        <v>3</v>
      </c>
      <c r="AB1732" s="328"/>
      <c r="AC1732" s="328">
        <v>1</v>
      </c>
      <c r="AD1732" s="328"/>
      <c r="AE1732" s="328"/>
      <c r="AF1732" s="328"/>
      <c r="AG1732" s="328"/>
      <c r="AH1732" s="328"/>
      <c r="AI1732" s="328"/>
      <c r="AJ1732" s="328"/>
      <c r="AK1732" s="328"/>
      <c r="AL1732" s="328"/>
      <c r="AM1732" s="328"/>
      <c r="AN1732" s="328"/>
      <c r="AO1732" s="328"/>
      <c r="AP1732" s="328"/>
      <c r="AQ1732" s="328"/>
      <c r="AR1732" s="328"/>
      <c r="AS1732" s="328"/>
      <c r="AT1732" s="328"/>
      <c r="AU1732" s="328"/>
      <c r="AV1732" s="328"/>
      <c r="AW1732" s="328"/>
      <c r="AX1732" s="328"/>
      <c r="AY1732" s="328"/>
      <c r="AZ1732" s="328"/>
      <c r="BA1732" s="328"/>
      <c r="BB1732" s="328"/>
      <c r="BC1732" s="31"/>
      <c r="BF1732">
        <f>ROWS($U$46:U1732)</f>
        <v>1687</v>
      </c>
      <c r="BG1732" t="str">
        <f t="shared" si="234"/>
        <v/>
      </c>
    </row>
    <row r="1733" spans="14:59" x14ac:dyDescent="0.35">
      <c r="N1733">
        <f t="shared" ref="N1733:N1741" si="235">O1733*Q1733</f>
        <v>30</v>
      </c>
      <c r="O1733" s="329">
        <v>1</v>
      </c>
      <c r="P1733" s="320">
        <v>1234679</v>
      </c>
      <c r="Q1733" s="320">
        <v>30</v>
      </c>
      <c r="R1733" s="320"/>
      <c r="S1733" s="320" t="s">
        <v>1207</v>
      </c>
      <c r="T1733" s="320" t="s">
        <v>2176</v>
      </c>
      <c r="U1733">
        <v>1257458</v>
      </c>
      <c r="V1733" s="319" t="s">
        <v>87</v>
      </c>
      <c r="W1733" s="320">
        <v>3</v>
      </c>
      <c r="X1733" s="320">
        <v>3</v>
      </c>
      <c r="Y1733" s="320">
        <v>3</v>
      </c>
      <c r="Z1733" s="320">
        <v>3</v>
      </c>
      <c r="AA1733" s="320">
        <v>1</v>
      </c>
      <c r="AB1733" s="320">
        <v>1</v>
      </c>
      <c r="AC1733" s="320">
        <v>1</v>
      </c>
      <c r="AD1733" s="320">
        <v>1</v>
      </c>
      <c r="AE1733" s="320">
        <v>7</v>
      </c>
      <c r="AF1733" s="320">
        <v>4</v>
      </c>
      <c r="AG1733" s="320">
        <v>5</v>
      </c>
      <c r="AH1733" s="320"/>
      <c r="AI1733" s="320">
        <v>6</v>
      </c>
      <c r="AJ1733" s="320">
        <v>6</v>
      </c>
      <c r="AK1733" s="320">
        <v>2</v>
      </c>
      <c r="AL1733" s="320">
        <v>2</v>
      </c>
      <c r="AM1733" s="320">
        <v>2</v>
      </c>
      <c r="AN1733" s="320"/>
      <c r="AO1733" s="320"/>
      <c r="AP1733" s="320"/>
      <c r="AQ1733" s="320"/>
      <c r="AR1733" s="320"/>
      <c r="AS1733" s="320"/>
      <c r="AT1733" s="320"/>
      <c r="AU1733" s="320"/>
      <c r="AV1733" s="320"/>
      <c r="AW1733" s="320"/>
      <c r="AX1733" s="320"/>
      <c r="AY1733" s="320"/>
      <c r="AZ1733" s="320"/>
      <c r="BA1733" s="320"/>
      <c r="BB1733" s="320"/>
      <c r="BC1733" s="119"/>
      <c r="BF1733">
        <f>ROWS($U$46:U1733)</f>
        <v>1688</v>
      </c>
      <c r="BG1733" t="str">
        <f t="shared" si="234"/>
        <v/>
      </c>
    </row>
    <row r="1734" spans="14:59" x14ac:dyDescent="0.35">
      <c r="N1734">
        <f t="shared" si="235"/>
        <v>42</v>
      </c>
      <c r="O1734" s="330">
        <v>2</v>
      </c>
      <c r="P1734" s="36">
        <v>1142711</v>
      </c>
      <c r="Q1734" s="36">
        <v>21</v>
      </c>
      <c r="R1734" s="36"/>
      <c r="S1734" s="36" t="s">
        <v>1207</v>
      </c>
      <c r="T1734" s="36" t="s">
        <v>2176</v>
      </c>
      <c r="U1734" s="36">
        <v>1257458</v>
      </c>
      <c r="V1734" s="165" t="s">
        <v>88</v>
      </c>
      <c r="W1734" s="36">
        <v>1</v>
      </c>
      <c r="X1734" s="36">
        <v>1</v>
      </c>
      <c r="Y1734" s="36">
        <v>1</v>
      </c>
      <c r="Z1734" s="36">
        <v>1</v>
      </c>
      <c r="AA1734" s="36">
        <v>1</v>
      </c>
      <c r="AB1734" s="36">
        <v>4</v>
      </c>
      <c r="AC1734" s="36">
        <v>5</v>
      </c>
      <c r="AD1734" s="36"/>
      <c r="AE1734" s="36"/>
      <c r="AF1734" s="36"/>
      <c r="AG1734" s="36"/>
      <c r="AH1734" s="36"/>
      <c r="AI1734" s="36">
        <v>2</v>
      </c>
      <c r="AJ1734" s="36">
        <v>2</v>
      </c>
      <c r="AK1734" s="36">
        <v>2</v>
      </c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  <c r="AV1734" s="36"/>
      <c r="AW1734" s="36"/>
      <c r="AX1734" s="36"/>
      <c r="AY1734" s="36"/>
      <c r="AZ1734" s="36"/>
      <c r="BA1734" s="36"/>
      <c r="BB1734" s="36"/>
      <c r="BC1734" s="27"/>
      <c r="BF1734">
        <f>ROWS($U$46:U1734)</f>
        <v>1689</v>
      </c>
      <c r="BG1734" t="str">
        <f t="shared" si="234"/>
        <v/>
      </c>
    </row>
    <row r="1735" spans="14:59" x14ac:dyDescent="0.35">
      <c r="N1735">
        <f t="shared" si="235"/>
        <v>33</v>
      </c>
      <c r="O1735" s="330">
        <v>3</v>
      </c>
      <c r="P1735" s="36">
        <v>1208601</v>
      </c>
      <c r="Q1735" s="36">
        <v>11</v>
      </c>
      <c r="R1735" s="36"/>
      <c r="S1735" s="36" t="s">
        <v>1207</v>
      </c>
      <c r="T1735" s="36" t="s">
        <v>2176</v>
      </c>
      <c r="U1735" s="36">
        <v>1257458</v>
      </c>
      <c r="V1735" s="165" t="s">
        <v>89</v>
      </c>
      <c r="W1735" s="36">
        <v>3</v>
      </c>
      <c r="X1735" s="36">
        <v>3</v>
      </c>
      <c r="Y1735" s="36">
        <v>3</v>
      </c>
      <c r="Z1735" s="36">
        <v>1</v>
      </c>
      <c r="AA1735" s="36">
        <v>1</v>
      </c>
      <c r="AB1735" s="36">
        <v>1</v>
      </c>
      <c r="AC1735" s="36">
        <v>1</v>
      </c>
      <c r="AD1735" s="36">
        <v>1</v>
      </c>
      <c r="AE1735" s="36">
        <v>4</v>
      </c>
      <c r="AF1735" s="36">
        <v>4</v>
      </c>
      <c r="AG1735" s="36">
        <v>5</v>
      </c>
      <c r="AH1735" s="36"/>
      <c r="AI1735" s="36">
        <v>6</v>
      </c>
      <c r="AJ1735" s="36">
        <v>6</v>
      </c>
      <c r="AK1735" s="36">
        <v>2</v>
      </c>
      <c r="AL1735" s="36">
        <v>2</v>
      </c>
      <c r="AM1735" s="36">
        <v>2</v>
      </c>
      <c r="AN1735" s="36"/>
      <c r="AO1735" s="36"/>
      <c r="AP1735" s="36"/>
      <c r="AQ1735" s="36"/>
      <c r="AR1735" s="36"/>
      <c r="AS1735" s="36"/>
      <c r="AT1735" s="36"/>
      <c r="AU1735" s="36"/>
      <c r="AV1735" s="36"/>
      <c r="AW1735" s="36"/>
      <c r="AX1735" s="36"/>
      <c r="AY1735" s="36"/>
      <c r="AZ1735" s="36"/>
      <c r="BA1735" s="36"/>
      <c r="BB1735" s="36"/>
      <c r="BC1735" s="27"/>
      <c r="BF1735">
        <f>ROWS($U$46:U1735)</f>
        <v>1690</v>
      </c>
      <c r="BG1735" t="str">
        <f t="shared" si="234"/>
        <v/>
      </c>
    </row>
    <row r="1736" spans="14:59" x14ac:dyDescent="0.35">
      <c r="N1736">
        <f t="shared" si="235"/>
        <v>32</v>
      </c>
      <c r="O1736" s="330">
        <v>4</v>
      </c>
      <c r="P1736" s="36">
        <v>1146737</v>
      </c>
      <c r="Q1736" s="36">
        <v>8</v>
      </c>
      <c r="R1736" s="36"/>
      <c r="S1736" s="36" t="s">
        <v>1207</v>
      </c>
      <c r="T1736" s="36" t="s">
        <v>2176</v>
      </c>
      <c r="U1736" s="36">
        <v>1257458</v>
      </c>
      <c r="V1736" s="165" t="s">
        <v>90</v>
      </c>
      <c r="W1736" s="36">
        <v>1</v>
      </c>
      <c r="X1736" s="36">
        <v>1</v>
      </c>
      <c r="Y1736" s="36">
        <v>1</v>
      </c>
      <c r="Z1736" s="36">
        <v>1</v>
      </c>
      <c r="AA1736" s="36">
        <v>7</v>
      </c>
      <c r="AB1736" s="36">
        <v>7</v>
      </c>
      <c r="AC1736" s="36">
        <v>4</v>
      </c>
      <c r="AD1736" s="36">
        <v>5</v>
      </c>
      <c r="AE1736" s="36"/>
      <c r="AF1736" s="36"/>
      <c r="AG1736" s="36"/>
      <c r="AH1736" s="36"/>
      <c r="AI1736" s="36">
        <v>2</v>
      </c>
      <c r="AJ1736" s="36">
        <v>2</v>
      </c>
      <c r="AK1736" s="36">
        <v>2</v>
      </c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  <c r="AV1736" s="36"/>
      <c r="AW1736" s="36"/>
      <c r="AX1736" s="36"/>
      <c r="AY1736" s="36"/>
      <c r="AZ1736" s="36"/>
      <c r="BA1736" s="36"/>
      <c r="BB1736" s="36"/>
      <c r="BC1736" s="27"/>
      <c r="BF1736">
        <f>ROWS($U$46:U1736)</f>
        <v>1691</v>
      </c>
      <c r="BG1736" t="str">
        <f t="shared" si="234"/>
        <v/>
      </c>
    </row>
    <row r="1737" spans="14:59" x14ac:dyDescent="0.35">
      <c r="N1737">
        <f t="shared" si="235"/>
        <v>35</v>
      </c>
      <c r="O1737" s="330">
        <v>5</v>
      </c>
      <c r="P1737" s="36">
        <v>871781</v>
      </c>
      <c r="Q1737" s="36">
        <v>7</v>
      </c>
      <c r="R1737" s="36"/>
      <c r="S1737" s="36" t="s">
        <v>1207</v>
      </c>
      <c r="T1737" s="36" t="s">
        <v>2176</v>
      </c>
      <c r="U1737" s="36">
        <v>1257458</v>
      </c>
      <c r="V1737" s="165" t="s">
        <v>91</v>
      </c>
      <c r="W1737" s="36">
        <v>3</v>
      </c>
      <c r="X1737" s="36">
        <v>3</v>
      </c>
      <c r="Y1737" s="36">
        <v>3</v>
      </c>
      <c r="Z1737" s="36">
        <v>3</v>
      </c>
      <c r="AA1737" s="36">
        <v>1</v>
      </c>
      <c r="AB1737" s="36">
        <v>1</v>
      </c>
      <c r="AC1737" s="36">
        <v>1</v>
      </c>
      <c r="AD1737" s="36">
        <v>1</v>
      </c>
      <c r="AE1737" s="36">
        <v>7</v>
      </c>
      <c r="AF1737" s="36">
        <v>4</v>
      </c>
      <c r="AG1737" s="36">
        <v>5</v>
      </c>
      <c r="AH1737" s="36"/>
      <c r="AI1737" s="36">
        <v>6</v>
      </c>
      <c r="AJ1737" s="36">
        <v>6</v>
      </c>
      <c r="AK1737" s="36">
        <v>2</v>
      </c>
      <c r="AL1737" s="36">
        <v>2</v>
      </c>
      <c r="AM1737" s="36">
        <v>2</v>
      </c>
      <c r="AN1737" s="36"/>
      <c r="AO1737" s="36"/>
      <c r="AP1737" s="36"/>
      <c r="AQ1737" s="36"/>
      <c r="AR1737" s="36"/>
      <c r="AS1737" s="36"/>
      <c r="AT1737" s="36"/>
      <c r="AU1737" s="36"/>
      <c r="AV1737" s="36"/>
      <c r="AW1737" s="36"/>
      <c r="AX1737" s="36"/>
      <c r="AY1737" s="36"/>
      <c r="AZ1737" s="36"/>
      <c r="BA1737" s="36"/>
      <c r="BB1737" s="36"/>
      <c r="BC1737" s="27"/>
      <c r="BF1737">
        <f>ROWS($U$46:U1737)</f>
        <v>1692</v>
      </c>
      <c r="BG1737" t="str">
        <f t="shared" si="234"/>
        <v/>
      </c>
    </row>
    <row r="1738" spans="14:59" x14ac:dyDescent="0.35">
      <c r="N1738">
        <f t="shared" si="235"/>
        <v>36</v>
      </c>
      <c r="O1738" s="330">
        <v>6</v>
      </c>
      <c r="P1738" s="36">
        <v>625854</v>
      </c>
      <c r="Q1738" s="36">
        <v>6</v>
      </c>
      <c r="R1738" s="36"/>
      <c r="S1738" s="36" t="s">
        <v>1207</v>
      </c>
      <c r="T1738" s="36" t="s">
        <v>2176</v>
      </c>
      <c r="U1738" s="36">
        <v>1257458</v>
      </c>
      <c r="V1738" s="165" t="s">
        <v>92</v>
      </c>
      <c r="W1738" s="36">
        <v>1</v>
      </c>
      <c r="X1738" s="36">
        <v>1</v>
      </c>
      <c r="Y1738" s="36">
        <v>1</v>
      </c>
      <c r="Z1738" s="36">
        <v>1</v>
      </c>
      <c r="AA1738" s="36">
        <v>7</v>
      </c>
      <c r="AB1738" s="36">
        <v>4</v>
      </c>
      <c r="AC1738" s="36">
        <v>5</v>
      </c>
      <c r="AD1738" s="36"/>
      <c r="AE1738" s="36"/>
      <c r="AF1738" s="36"/>
      <c r="AG1738" s="36"/>
      <c r="AH1738" s="36"/>
      <c r="AI1738" s="36">
        <v>2</v>
      </c>
      <c r="AJ1738" s="36">
        <v>2</v>
      </c>
      <c r="AK1738" s="36">
        <v>2</v>
      </c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  <c r="AV1738" s="36"/>
      <c r="AW1738" s="36"/>
      <c r="AX1738" s="36"/>
      <c r="AY1738" s="36"/>
      <c r="AZ1738" s="36"/>
      <c r="BA1738" s="36"/>
      <c r="BB1738" s="36"/>
      <c r="BC1738" s="27"/>
      <c r="BF1738">
        <f>ROWS($U$46:U1738)</f>
        <v>1693</v>
      </c>
      <c r="BG1738" t="str">
        <f t="shared" si="234"/>
        <v/>
      </c>
    </row>
    <row r="1739" spans="14:59" ht="15" thickBot="1" x14ac:dyDescent="0.4">
      <c r="N1739">
        <f t="shared" si="235"/>
        <v>42</v>
      </c>
      <c r="O1739" s="331">
        <v>7</v>
      </c>
      <c r="P1739" s="328">
        <v>1231982</v>
      </c>
      <c r="Q1739" s="328">
        <v>6</v>
      </c>
      <c r="R1739" s="328"/>
      <c r="S1739" s="328" t="s">
        <v>1207</v>
      </c>
      <c r="T1739" s="328" t="s">
        <v>2176</v>
      </c>
      <c r="U1739" s="328">
        <v>1257458</v>
      </c>
      <c r="V1739" s="327" t="s">
        <v>111</v>
      </c>
      <c r="W1739" s="328">
        <v>1</v>
      </c>
      <c r="X1739" s="328">
        <v>1</v>
      </c>
      <c r="Y1739" s="328">
        <v>1</v>
      </c>
      <c r="Z1739" s="328">
        <v>1</v>
      </c>
      <c r="AA1739" s="328">
        <v>7</v>
      </c>
      <c r="AB1739" s="328">
        <v>4</v>
      </c>
      <c r="AC1739" s="328">
        <v>5</v>
      </c>
      <c r="AD1739" s="328"/>
      <c r="AE1739" s="328"/>
      <c r="AF1739" s="328"/>
      <c r="AG1739" s="328"/>
      <c r="AH1739" s="328"/>
      <c r="AI1739" s="328">
        <v>2</v>
      </c>
      <c r="AJ1739" s="328">
        <v>2</v>
      </c>
      <c r="AK1739" s="328">
        <v>2</v>
      </c>
      <c r="AL1739" s="328"/>
      <c r="AM1739" s="328"/>
      <c r="AN1739" s="328"/>
      <c r="AO1739" s="328"/>
      <c r="AP1739" s="328"/>
      <c r="AQ1739" s="328"/>
      <c r="AR1739" s="328"/>
      <c r="AS1739" s="328"/>
      <c r="AT1739" s="328"/>
      <c r="AU1739" s="328"/>
      <c r="AV1739" s="328"/>
      <c r="AW1739" s="328"/>
      <c r="AX1739" s="328"/>
      <c r="AY1739" s="328"/>
      <c r="AZ1739" s="328"/>
      <c r="BA1739" s="328"/>
      <c r="BB1739" s="328"/>
      <c r="BC1739" s="31"/>
      <c r="BF1739">
        <f>ROWS($U$46:U1739)</f>
        <v>1694</v>
      </c>
      <c r="BG1739" t="str">
        <f t="shared" si="234"/>
        <v/>
      </c>
    </row>
    <row r="1740" spans="14:59" x14ac:dyDescent="0.35">
      <c r="N1740">
        <f t="shared" si="235"/>
        <v>26</v>
      </c>
      <c r="O1740" s="329">
        <v>1</v>
      </c>
      <c r="P1740" s="320">
        <v>1165770</v>
      </c>
      <c r="Q1740" s="320">
        <v>26</v>
      </c>
      <c r="R1740" s="320"/>
      <c r="S1740" s="320" t="s">
        <v>2185</v>
      </c>
      <c r="T1740" s="320" t="s">
        <v>2184</v>
      </c>
      <c r="U1740" s="320">
        <v>1193587</v>
      </c>
      <c r="V1740" s="319" t="s">
        <v>87</v>
      </c>
      <c r="W1740" s="320">
        <v>3</v>
      </c>
      <c r="X1740" s="320">
        <v>1</v>
      </c>
      <c r="Y1740" s="320">
        <v>1</v>
      </c>
      <c r="Z1740" s="320">
        <v>1</v>
      </c>
      <c r="AA1740" s="320">
        <v>1</v>
      </c>
      <c r="AB1740" s="320">
        <v>1</v>
      </c>
      <c r="AC1740" s="320"/>
      <c r="AD1740" s="320">
        <v>2</v>
      </c>
      <c r="AE1740" s="320"/>
      <c r="AF1740" s="320"/>
      <c r="AG1740" s="320"/>
      <c r="AH1740" s="320"/>
      <c r="AI1740" s="320"/>
      <c r="AJ1740" s="320"/>
      <c r="AK1740" s="320"/>
      <c r="AL1740" s="320"/>
      <c r="AM1740" s="320"/>
      <c r="AN1740" s="320"/>
      <c r="AO1740" s="320"/>
      <c r="AP1740" s="320"/>
      <c r="AQ1740" s="320"/>
      <c r="AR1740" s="320"/>
      <c r="AS1740" s="320"/>
      <c r="AT1740" s="320"/>
      <c r="AU1740" s="320"/>
      <c r="AV1740" s="320"/>
      <c r="AW1740" s="320"/>
      <c r="AX1740" s="320"/>
      <c r="AY1740" s="320"/>
      <c r="AZ1740" s="974"/>
      <c r="BA1740" s="320"/>
      <c r="BB1740" s="320"/>
      <c r="BC1740" s="320"/>
      <c r="BD1740" s="119"/>
      <c r="BF1740">
        <f>ROWS($U$46:U1740)</f>
        <v>1695</v>
      </c>
      <c r="BG1740" t="str">
        <f t="shared" si="234"/>
        <v/>
      </c>
    </row>
    <row r="1741" spans="14:59" x14ac:dyDescent="0.35">
      <c r="N1741">
        <f t="shared" si="235"/>
        <v>12</v>
      </c>
      <c r="O1741" s="330">
        <v>2</v>
      </c>
      <c r="P1741" s="36">
        <v>1129936</v>
      </c>
      <c r="Q1741" s="36">
        <v>6</v>
      </c>
      <c r="R1741" s="36"/>
      <c r="S1741" s="36" t="s">
        <v>2185</v>
      </c>
      <c r="T1741" s="36" t="s">
        <v>2184</v>
      </c>
      <c r="U1741" s="36">
        <v>1193587</v>
      </c>
      <c r="V1741" s="165" t="s">
        <v>88</v>
      </c>
      <c r="W1741" s="36">
        <v>1</v>
      </c>
      <c r="X1741" s="36">
        <v>1</v>
      </c>
      <c r="Y1741" s="36">
        <v>1</v>
      </c>
      <c r="Z1741" s="36"/>
      <c r="AA1741" s="36"/>
      <c r="AB1741" s="36"/>
      <c r="AC1741" s="36"/>
      <c r="AD1741" s="36">
        <v>2</v>
      </c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  <c r="AV1741" s="36"/>
      <c r="AW1741" s="36"/>
      <c r="AX1741" s="36"/>
      <c r="AY1741" s="36"/>
      <c r="AZ1741" s="961"/>
      <c r="BA1741" s="36"/>
      <c r="BB1741" s="36"/>
      <c r="BC1741" s="36"/>
      <c r="BD1741" s="27"/>
      <c r="BF1741">
        <f>ROWS($U$46:U1741)</f>
        <v>1696</v>
      </c>
      <c r="BG1741" t="str">
        <f t="shared" si="234"/>
        <v/>
      </c>
    </row>
    <row r="1742" spans="14:59" x14ac:dyDescent="0.35">
      <c r="O1742" s="330">
        <v>3</v>
      </c>
      <c r="P1742" s="36">
        <v>1104083</v>
      </c>
      <c r="Q1742" s="36">
        <v>1</v>
      </c>
      <c r="R1742" s="36"/>
      <c r="S1742" s="36" t="s">
        <v>2185</v>
      </c>
      <c r="T1742" s="36" t="s">
        <v>2184</v>
      </c>
      <c r="U1742" s="36">
        <v>1193587</v>
      </c>
      <c r="V1742" s="165" t="s">
        <v>89</v>
      </c>
      <c r="W1742" s="36">
        <v>1</v>
      </c>
      <c r="X1742" s="36">
        <v>1</v>
      </c>
      <c r="Y1742" s="36">
        <v>1</v>
      </c>
      <c r="Z1742" s="36">
        <v>1</v>
      </c>
      <c r="AA1742" s="36">
        <v>1</v>
      </c>
      <c r="AB1742" s="36"/>
      <c r="AC1742" s="36"/>
      <c r="AD1742" s="36">
        <v>2</v>
      </c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  <c r="AV1742" s="36"/>
      <c r="AW1742" s="36"/>
      <c r="AX1742" s="36"/>
      <c r="AY1742" s="36"/>
      <c r="AZ1742" s="961"/>
      <c r="BA1742" s="36"/>
      <c r="BB1742" s="36"/>
      <c r="BC1742" s="36"/>
      <c r="BD1742" s="27"/>
      <c r="BF1742">
        <f>ROWS($U$46:U1742)</f>
        <v>1697</v>
      </c>
      <c r="BG1742" t="str">
        <f t="shared" si="234"/>
        <v/>
      </c>
    </row>
    <row r="1743" spans="14:59" x14ac:dyDescent="0.35">
      <c r="O1743" s="330"/>
      <c r="P1743" s="36"/>
      <c r="Q1743" s="36"/>
      <c r="R1743" s="36"/>
      <c r="S1743" s="36" t="s">
        <v>2185</v>
      </c>
      <c r="T1743" s="36" t="s">
        <v>2184</v>
      </c>
      <c r="U1743" s="36">
        <v>1193587</v>
      </c>
      <c r="V1743" s="165" t="s">
        <v>90</v>
      </c>
      <c r="W1743" s="36">
        <v>1</v>
      </c>
      <c r="X1743" s="36">
        <v>1</v>
      </c>
      <c r="Y1743" s="36">
        <v>1</v>
      </c>
      <c r="Z1743" s="36">
        <v>1</v>
      </c>
      <c r="AA1743" s="36"/>
      <c r="AB1743" s="36"/>
      <c r="AC1743" s="36"/>
      <c r="AD1743" s="36">
        <v>2</v>
      </c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  <c r="AV1743" s="36"/>
      <c r="AW1743" s="36"/>
      <c r="AX1743" s="36"/>
      <c r="AY1743" s="36"/>
      <c r="AZ1743" s="961"/>
      <c r="BA1743" s="36"/>
      <c r="BB1743" s="36"/>
      <c r="BC1743" s="36"/>
      <c r="BD1743" s="27"/>
      <c r="BF1743">
        <f>ROWS($U$46:U1743)</f>
        <v>1698</v>
      </c>
      <c r="BG1743" t="str">
        <f t="shared" si="234"/>
        <v/>
      </c>
    </row>
    <row r="1744" spans="14:59" x14ac:dyDescent="0.35">
      <c r="O1744" s="330"/>
      <c r="P1744" s="36"/>
      <c r="Q1744" s="36"/>
      <c r="R1744" s="36"/>
      <c r="S1744" s="36" t="s">
        <v>2185</v>
      </c>
      <c r="T1744" s="36" t="s">
        <v>2184</v>
      </c>
      <c r="U1744" s="36">
        <v>1193587</v>
      </c>
      <c r="V1744" s="165" t="s">
        <v>91</v>
      </c>
      <c r="W1744" s="36">
        <v>1</v>
      </c>
      <c r="X1744" s="36">
        <v>1</v>
      </c>
      <c r="Y1744" s="36">
        <v>1</v>
      </c>
      <c r="Z1744" s="36">
        <v>1</v>
      </c>
      <c r="AA1744" s="36">
        <v>1</v>
      </c>
      <c r="AB1744" s="36">
        <v>1</v>
      </c>
      <c r="AC1744" s="36"/>
      <c r="AD1744" s="36">
        <v>2</v>
      </c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  <c r="AV1744" s="36"/>
      <c r="AW1744" s="36"/>
      <c r="AX1744" s="36"/>
      <c r="AY1744" s="36"/>
      <c r="AZ1744" s="961"/>
      <c r="BA1744" s="36"/>
      <c r="BB1744" s="36"/>
      <c r="BC1744" s="36"/>
      <c r="BD1744" s="27"/>
      <c r="BF1744">
        <f>ROWS($U$46:U1744)</f>
        <v>1699</v>
      </c>
      <c r="BG1744" t="str">
        <f t="shared" si="234"/>
        <v/>
      </c>
    </row>
    <row r="1745" spans="14:59" ht="15" thickBot="1" x14ac:dyDescent="0.4">
      <c r="N1745">
        <f t="shared" ref="N1745:N1772" si="236">O1745*Q1745</f>
        <v>0</v>
      </c>
      <c r="O1745" s="331"/>
      <c r="P1745" s="328"/>
      <c r="Q1745" s="328"/>
      <c r="R1745" s="328"/>
      <c r="S1745" s="328" t="s">
        <v>2185</v>
      </c>
      <c r="T1745" s="328" t="s">
        <v>2184</v>
      </c>
      <c r="U1745" s="328">
        <v>1193587</v>
      </c>
      <c r="V1745" s="327" t="s">
        <v>92</v>
      </c>
      <c r="W1745" s="328">
        <v>1</v>
      </c>
      <c r="X1745" s="328">
        <v>1</v>
      </c>
      <c r="Y1745" s="328">
        <v>1</v>
      </c>
      <c r="Z1745" s="328"/>
      <c r="AA1745" s="328"/>
      <c r="AB1745" s="328"/>
      <c r="AC1745" s="328"/>
      <c r="AD1745" s="328">
        <v>2</v>
      </c>
      <c r="AE1745" s="328"/>
      <c r="AF1745" s="328"/>
      <c r="AG1745" s="328"/>
      <c r="AH1745" s="328"/>
      <c r="AI1745" s="328"/>
      <c r="AJ1745" s="328"/>
      <c r="AK1745" s="328"/>
      <c r="AL1745" s="328"/>
      <c r="AM1745" s="328"/>
      <c r="AN1745" s="328"/>
      <c r="AO1745" s="328"/>
      <c r="AP1745" s="328"/>
      <c r="AQ1745" s="328"/>
      <c r="AR1745" s="328"/>
      <c r="AS1745" s="328"/>
      <c r="AT1745" s="328"/>
      <c r="AU1745" s="328"/>
      <c r="AV1745" s="328"/>
      <c r="AW1745" s="328"/>
      <c r="AX1745" s="328"/>
      <c r="AY1745" s="328"/>
      <c r="AZ1745" s="962"/>
      <c r="BA1745" s="328"/>
      <c r="BB1745" s="328"/>
      <c r="BC1745" s="328"/>
      <c r="BD1745" s="31"/>
      <c r="BF1745">
        <f>ROWS($U$46:U1745)</f>
        <v>1700</v>
      </c>
      <c r="BG1745" t="str">
        <f t="shared" si="234"/>
        <v/>
      </c>
    </row>
    <row r="1746" spans="14:59" x14ac:dyDescent="0.35">
      <c r="N1746">
        <f t="shared" si="236"/>
        <v>23</v>
      </c>
      <c r="O1746" s="329">
        <v>1</v>
      </c>
      <c r="P1746" s="320">
        <v>647435</v>
      </c>
      <c r="Q1746" s="320">
        <v>23</v>
      </c>
      <c r="R1746" s="320"/>
      <c r="S1746" s="320" t="s">
        <v>1198</v>
      </c>
      <c r="T1746" s="320" t="s">
        <v>2102</v>
      </c>
      <c r="U1746" s="320">
        <v>1262090</v>
      </c>
      <c r="V1746" s="319" t="s">
        <v>87</v>
      </c>
      <c r="W1746" s="320">
        <v>4</v>
      </c>
      <c r="X1746" s="320">
        <v>4</v>
      </c>
      <c r="Y1746" s="320">
        <v>4</v>
      </c>
      <c r="Z1746" s="320">
        <v>2</v>
      </c>
      <c r="AA1746" s="320">
        <v>2</v>
      </c>
      <c r="AB1746" s="320">
        <v>2</v>
      </c>
      <c r="AC1746" s="320">
        <v>3</v>
      </c>
      <c r="AD1746" s="320">
        <v>5</v>
      </c>
      <c r="AE1746" s="320"/>
      <c r="AF1746" s="320">
        <v>1</v>
      </c>
      <c r="AG1746" s="320">
        <v>1</v>
      </c>
      <c r="AH1746" s="320">
        <v>1</v>
      </c>
      <c r="AI1746" s="320">
        <v>1</v>
      </c>
      <c r="AJ1746" s="320"/>
      <c r="AK1746" s="320"/>
      <c r="AL1746" s="320"/>
      <c r="AM1746" s="320"/>
      <c r="AN1746" s="320"/>
      <c r="AO1746" s="320"/>
      <c r="AP1746" s="320"/>
      <c r="AQ1746" s="320"/>
      <c r="AR1746" s="320"/>
      <c r="AS1746" s="320"/>
      <c r="AT1746" s="320"/>
      <c r="AU1746" s="320"/>
      <c r="AV1746" s="320"/>
      <c r="AW1746" s="320"/>
      <c r="AX1746" s="320"/>
      <c r="AY1746" s="320"/>
      <c r="AZ1746" s="974"/>
      <c r="BA1746" s="320"/>
      <c r="BB1746" s="320"/>
      <c r="BC1746" s="320"/>
      <c r="BD1746" s="119"/>
      <c r="BF1746">
        <f>ROWS($U$46:U1746)</f>
        <v>1701</v>
      </c>
      <c r="BG1746" t="str">
        <f t="shared" si="234"/>
        <v/>
      </c>
    </row>
    <row r="1747" spans="14:59" x14ac:dyDescent="0.35">
      <c r="N1747">
        <f t="shared" si="236"/>
        <v>32</v>
      </c>
      <c r="O1747" s="330">
        <v>2</v>
      </c>
      <c r="P1747" s="36">
        <v>1234679</v>
      </c>
      <c r="Q1747" s="36">
        <v>16</v>
      </c>
      <c r="R1747" s="36"/>
      <c r="S1747" s="36" t="s">
        <v>1198</v>
      </c>
      <c r="T1747" s="36" t="s">
        <v>2102</v>
      </c>
      <c r="U1747" s="36">
        <v>1262090</v>
      </c>
      <c r="V1747" s="165" t="s">
        <v>88</v>
      </c>
      <c r="W1747" s="36">
        <v>2</v>
      </c>
      <c r="X1747" s="36">
        <v>2</v>
      </c>
      <c r="Y1747" s="36">
        <v>2</v>
      </c>
      <c r="Z1747" s="36">
        <v>3</v>
      </c>
      <c r="AA1747" s="36">
        <v>5</v>
      </c>
      <c r="AB1747" s="36"/>
      <c r="AC1747" s="36"/>
      <c r="AD1747" s="36"/>
      <c r="AE1747" s="36"/>
      <c r="AF1747" s="36">
        <v>1</v>
      </c>
      <c r="AG1747" s="36">
        <v>1</v>
      </c>
      <c r="AH1747" s="36">
        <v>1</v>
      </c>
      <c r="AI1747" s="36">
        <v>1</v>
      </c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  <c r="AV1747" s="36"/>
      <c r="AW1747" s="36"/>
      <c r="AX1747" s="36"/>
      <c r="AY1747" s="36"/>
      <c r="AZ1747" s="961"/>
      <c r="BA1747" s="36"/>
      <c r="BB1747" s="36"/>
      <c r="BC1747" s="36"/>
      <c r="BD1747" s="27"/>
      <c r="BF1747">
        <f>ROWS($U$46:U1747)</f>
        <v>1702</v>
      </c>
      <c r="BG1747" t="str">
        <f t="shared" si="234"/>
        <v/>
      </c>
    </row>
    <row r="1748" spans="14:59" x14ac:dyDescent="0.35">
      <c r="N1748">
        <f t="shared" si="236"/>
        <v>27</v>
      </c>
      <c r="O1748" s="330">
        <v>3</v>
      </c>
      <c r="P1748" s="36">
        <v>1165786</v>
      </c>
      <c r="Q1748" s="36">
        <v>9</v>
      </c>
      <c r="R1748" s="36"/>
      <c r="S1748" s="36" t="s">
        <v>1198</v>
      </c>
      <c r="T1748" s="36" t="s">
        <v>2102</v>
      </c>
      <c r="U1748" s="36">
        <v>1262090</v>
      </c>
      <c r="V1748" s="165" t="s">
        <v>89</v>
      </c>
      <c r="W1748" s="36">
        <v>4</v>
      </c>
      <c r="X1748" s="36">
        <v>4</v>
      </c>
      <c r="Y1748" s="36">
        <v>2</v>
      </c>
      <c r="Z1748" s="36">
        <v>2</v>
      </c>
      <c r="AA1748" s="36">
        <v>2</v>
      </c>
      <c r="AB1748" s="36">
        <v>3</v>
      </c>
      <c r="AC1748" s="36">
        <v>5</v>
      </c>
      <c r="AD1748" s="36"/>
      <c r="AE1748" s="36"/>
      <c r="AF1748" s="36">
        <v>1</v>
      </c>
      <c r="AG1748" s="36">
        <v>1</v>
      </c>
      <c r="AH1748" s="36">
        <v>1</v>
      </c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  <c r="AV1748" s="36"/>
      <c r="AW1748" s="36"/>
      <c r="AX1748" s="36"/>
      <c r="AY1748" s="36"/>
      <c r="AZ1748" s="961"/>
      <c r="BA1748" s="36"/>
      <c r="BB1748" s="36"/>
      <c r="BC1748" s="36"/>
      <c r="BD1748" s="27"/>
      <c r="BF1748">
        <f>ROWS($U$46:U1748)</f>
        <v>1703</v>
      </c>
      <c r="BG1748" t="str">
        <f t="shared" si="234"/>
        <v/>
      </c>
    </row>
    <row r="1749" spans="14:59" x14ac:dyDescent="0.35">
      <c r="N1749">
        <f t="shared" si="236"/>
        <v>32</v>
      </c>
      <c r="O1749" s="330">
        <v>4</v>
      </c>
      <c r="P1749" s="36">
        <v>1208601</v>
      </c>
      <c r="Q1749" s="36">
        <v>8</v>
      </c>
      <c r="R1749" s="36"/>
      <c r="S1749" s="36" t="s">
        <v>1198</v>
      </c>
      <c r="T1749" s="36" t="s">
        <v>2102</v>
      </c>
      <c r="U1749" s="36">
        <v>1262090</v>
      </c>
      <c r="V1749" s="165" t="s">
        <v>90</v>
      </c>
      <c r="W1749" s="36">
        <v>2</v>
      </c>
      <c r="X1749" s="36">
        <v>2</v>
      </c>
      <c r="Y1749" s="36">
        <v>2</v>
      </c>
      <c r="Z1749" s="36">
        <v>3</v>
      </c>
      <c r="AA1749" s="36">
        <v>3</v>
      </c>
      <c r="AB1749" s="36">
        <v>5</v>
      </c>
      <c r="AC1749" s="36"/>
      <c r="AD1749" s="36"/>
      <c r="AE1749" s="36"/>
      <c r="AF1749" s="36">
        <v>1</v>
      </c>
      <c r="AG1749" s="36">
        <v>1</v>
      </c>
      <c r="AH1749" s="36">
        <v>1</v>
      </c>
      <c r="AI1749" s="36">
        <v>1</v>
      </c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  <c r="AV1749" s="36"/>
      <c r="AW1749" s="36"/>
      <c r="AX1749" s="36"/>
      <c r="AY1749" s="36"/>
      <c r="AZ1749" s="961"/>
      <c r="BA1749" s="36"/>
      <c r="BB1749" s="36"/>
      <c r="BC1749" s="36"/>
      <c r="BD1749" s="27"/>
      <c r="BF1749">
        <f>ROWS($U$46:U1749)</f>
        <v>1704</v>
      </c>
      <c r="BG1749" t="str">
        <f t="shared" si="234"/>
        <v/>
      </c>
    </row>
    <row r="1750" spans="14:59" x14ac:dyDescent="0.35">
      <c r="N1750">
        <f t="shared" si="236"/>
        <v>30</v>
      </c>
      <c r="O1750" s="330">
        <v>5</v>
      </c>
      <c r="P1750" s="36">
        <v>871781</v>
      </c>
      <c r="Q1750" s="36">
        <v>6</v>
      </c>
      <c r="R1750" s="36"/>
      <c r="S1750" s="36" t="s">
        <v>1198</v>
      </c>
      <c r="T1750" s="36" t="s">
        <v>2102</v>
      </c>
      <c r="U1750" s="36">
        <v>1262090</v>
      </c>
      <c r="V1750" s="165" t="s">
        <v>91</v>
      </c>
      <c r="W1750" s="36">
        <v>4</v>
      </c>
      <c r="X1750" s="36">
        <v>4</v>
      </c>
      <c r="Y1750" s="36">
        <v>4</v>
      </c>
      <c r="Z1750" s="36">
        <v>2</v>
      </c>
      <c r="AA1750" s="36">
        <v>2</v>
      </c>
      <c r="AB1750" s="36">
        <v>3</v>
      </c>
      <c r="AC1750" s="36">
        <v>3</v>
      </c>
      <c r="AD1750" s="36">
        <v>5</v>
      </c>
      <c r="AE1750" s="36"/>
      <c r="AF1750" s="36">
        <v>1</v>
      </c>
      <c r="AG1750" s="36">
        <v>1</v>
      </c>
      <c r="AH1750" s="36">
        <v>1</v>
      </c>
      <c r="AI1750" s="36">
        <v>1</v>
      </c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  <c r="AV1750" s="36"/>
      <c r="AW1750" s="36"/>
      <c r="AX1750" s="36"/>
      <c r="AY1750" s="36"/>
      <c r="AZ1750" s="961"/>
      <c r="BA1750" s="36"/>
      <c r="BB1750" s="36"/>
      <c r="BC1750" s="36"/>
      <c r="BD1750" s="27"/>
      <c r="BF1750">
        <f>ROWS($U$46:U1750)</f>
        <v>1705</v>
      </c>
      <c r="BG1750" t="str">
        <f t="shared" si="234"/>
        <v/>
      </c>
    </row>
    <row r="1751" spans="14:59" ht="15" thickBot="1" x14ac:dyDescent="0.4">
      <c r="N1751">
        <f t="shared" si="236"/>
        <v>0</v>
      </c>
      <c r="O1751" s="331"/>
      <c r="P1751" s="328"/>
      <c r="Q1751" s="328"/>
      <c r="R1751" s="328"/>
      <c r="S1751" s="328" t="s">
        <v>1198</v>
      </c>
      <c r="T1751" s="328" t="s">
        <v>2102</v>
      </c>
      <c r="U1751" s="328">
        <v>1262090</v>
      </c>
      <c r="V1751" s="327" t="s">
        <v>92</v>
      </c>
      <c r="W1751" s="328">
        <v>2</v>
      </c>
      <c r="X1751" s="328">
        <v>2</v>
      </c>
      <c r="Y1751" s="328">
        <v>3</v>
      </c>
      <c r="Z1751" s="328">
        <v>3</v>
      </c>
      <c r="AA1751" s="328">
        <v>5</v>
      </c>
      <c r="AB1751" s="328"/>
      <c r="AC1751" s="328"/>
      <c r="AD1751" s="328"/>
      <c r="AE1751" s="328"/>
      <c r="AF1751" s="328">
        <v>1</v>
      </c>
      <c r="AG1751" s="328">
        <v>1</v>
      </c>
      <c r="AH1751" s="328">
        <v>1</v>
      </c>
      <c r="AI1751" s="328">
        <v>1</v>
      </c>
      <c r="AJ1751" s="328"/>
      <c r="AK1751" s="328"/>
      <c r="AL1751" s="328"/>
      <c r="AM1751" s="328"/>
      <c r="AN1751" s="328"/>
      <c r="AO1751" s="328"/>
      <c r="AP1751" s="328"/>
      <c r="AQ1751" s="328"/>
      <c r="AR1751" s="328"/>
      <c r="AS1751" s="328"/>
      <c r="AT1751" s="328"/>
      <c r="AU1751" s="328"/>
      <c r="AV1751" s="328"/>
      <c r="AW1751" s="328"/>
      <c r="AX1751" s="328"/>
      <c r="AY1751" s="328"/>
      <c r="AZ1751" s="962"/>
      <c r="BA1751" s="328"/>
      <c r="BB1751" s="328"/>
      <c r="BC1751" s="328"/>
      <c r="BD1751" s="31"/>
      <c r="BF1751">
        <f>ROWS($U$46:U1751)</f>
        <v>1706</v>
      </c>
      <c r="BG1751" t="str">
        <f t="shared" si="234"/>
        <v/>
      </c>
    </row>
    <row r="1752" spans="14:59" x14ac:dyDescent="0.35">
      <c r="N1752">
        <f t="shared" si="236"/>
        <v>34</v>
      </c>
      <c r="O1752" s="329">
        <v>1</v>
      </c>
      <c r="P1752" s="320">
        <v>708306</v>
      </c>
      <c r="Q1752" s="320">
        <v>34</v>
      </c>
      <c r="R1752" s="320"/>
      <c r="S1752" s="320" t="s">
        <v>1209</v>
      </c>
      <c r="T1752" s="320" t="s">
        <v>2188</v>
      </c>
      <c r="U1752" s="320">
        <v>1251627</v>
      </c>
      <c r="V1752" s="319" t="s">
        <v>87</v>
      </c>
      <c r="W1752" s="320">
        <v>4</v>
      </c>
      <c r="X1752" s="320">
        <v>4</v>
      </c>
      <c r="Y1752" s="320">
        <v>4</v>
      </c>
      <c r="Z1752" s="320">
        <v>2</v>
      </c>
      <c r="AA1752" s="320">
        <v>2</v>
      </c>
      <c r="AB1752" s="320">
        <v>2</v>
      </c>
      <c r="AC1752" s="320">
        <v>2</v>
      </c>
      <c r="AD1752" s="320">
        <v>3</v>
      </c>
      <c r="AE1752" s="320">
        <v>3</v>
      </c>
      <c r="AF1752" s="320">
        <v>5</v>
      </c>
      <c r="AG1752" s="320"/>
      <c r="AH1752" s="320">
        <v>1</v>
      </c>
      <c r="AI1752" s="320">
        <v>1</v>
      </c>
      <c r="AJ1752" s="320">
        <v>1</v>
      </c>
      <c r="AK1752" s="320">
        <v>1</v>
      </c>
      <c r="AL1752" s="320"/>
      <c r="AM1752" s="320"/>
      <c r="AN1752" s="320"/>
      <c r="AO1752" s="320"/>
      <c r="AP1752" s="320"/>
      <c r="AQ1752" s="320"/>
      <c r="AR1752" s="320"/>
      <c r="AS1752" s="320"/>
      <c r="AT1752" s="320"/>
      <c r="AU1752" s="320"/>
      <c r="AV1752" s="320"/>
      <c r="AW1752" s="320"/>
      <c r="AX1752" s="320"/>
      <c r="AY1752" s="320"/>
      <c r="AZ1752" s="320"/>
      <c r="BA1752" s="320"/>
      <c r="BB1752" s="320"/>
      <c r="BC1752" s="119"/>
      <c r="BF1752">
        <f>ROWS($U$46:U1752)</f>
        <v>1707</v>
      </c>
      <c r="BG1752" t="str">
        <f t="shared" si="234"/>
        <v/>
      </c>
    </row>
    <row r="1753" spans="14:59" x14ac:dyDescent="0.35">
      <c r="N1753">
        <f t="shared" si="236"/>
        <v>60</v>
      </c>
      <c r="O1753" s="330">
        <v>2</v>
      </c>
      <c r="P1753" s="36">
        <v>1250971</v>
      </c>
      <c r="Q1753" s="36">
        <v>30</v>
      </c>
      <c r="R1753" s="36"/>
      <c r="S1753" s="36" t="s">
        <v>1209</v>
      </c>
      <c r="T1753" s="36" t="s">
        <v>2188</v>
      </c>
      <c r="U1753" s="36">
        <v>1251627</v>
      </c>
      <c r="V1753" s="165" t="s">
        <v>88</v>
      </c>
      <c r="W1753" s="36">
        <v>2</v>
      </c>
      <c r="X1753" s="36">
        <v>2</v>
      </c>
      <c r="Y1753" s="36">
        <v>2</v>
      </c>
      <c r="Z1753" s="36">
        <v>3</v>
      </c>
      <c r="AA1753" s="36">
        <v>3</v>
      </c>
      <c r="AB1753" s="36">
        <v>3</v>
      </c>
      <c r="AC1753" s="36">
        <v>5</v>
      </c>
      <c r="AD1753" s="36"/>
      <c r="AE1753" s="36"/>
      <c r="AF1753" s="36"/>
      <c r="AG1753" s="36"/>
      <c r="AH1753" s="36">
        <v>1</v>
      </c>
      <c r="AI1753" s="36">
        <v>1</v>
      </c>
      <c r="AJ1753" s="36">
        <v>1</v>
      </c>
      <c r="AK1753" s="36">
        <v>1</v>
      </c>
      <c r="AL1753" s="36">
        <v>1</v>
      </c>
      <c r="AM1753" s="36"/>
      <c r="AN1753" s="36"/>
      <c r="AO1753" s="36"/>
      <c r="AP1753" s="36"/>
      <c r="AQ1753" s="36"/>
      <c r="AR1753" s="36"/>
      <c r="AS1753" s="36"/>
      <c r="AT1753" s="36"/>
      <c r="AU1753" s="36"/>
      <c r="AV1753" s="36"/>
      <c r="AW1753" s="36"/>
      <c r="AX1753" s="36"/>
      <c r="AY1753" s="36"/>
      <c r="AZ1753" s="36"/>
      <c r="BA1753" s="36"/>
      <c r="BB1753" s="36"/>
      <c r="BC1753" s="27"/>
      <c r="BF1753">
        <f>ROWS($U$46:U1753)</f>
        <v>1708</v>
      </c>
      <c r="BG1753" t="str">
        <f t="shared" si="234"/>
        <v/>
      </c>
    </row>
    <row r="1754" spans="14:59" x14ac:dyDescent="0.35">
      <c r="N1754">
        <f t="shared" si="236"/>
        <v>54</v>
      </c>
      <c r="O1754" s="330">
        <v>3</v>
      </c>
      <c r="P1754" s="36">
        <v>1100759</v>
      </c>
      <c r="Q1754" s="36">
        <v>18</v>
      </c>
      <c r="R1754" s="36"/>
      <c r="S1754" s="36" t="s">
        <v>1209</v>
      </c>
      <c r="T1754" s="36" t="s">
        <v>2188</v>
      </c>
      <c r="U1754" s="36">
        <v>1251627</v>
      </c>
      <c r="V1754" s="165" t="s">
        <v>89</v>
      </c>
      <c r="W1754" s="36">
        <v>2</v>
      </c>
      <c r="X1754" s="36">
        <v>2</v>
      </c>
      <c r="Y1754" s="36">
        <v>2</v>
      </c>
      <c r="Z1754" s="36">
        <v>3</v>
      </c>
      <c r="AA1754" s="36">
        <v>3</v>
      </c>
      <c r="AB1754" s="36">
        <v>3</v>
      </c>
      <c r="AC1754" s="36">
        <v>5</v>
      </c>
      <c r="AD1754" s="36"/>
      <c r="AE1754" s="36"/>
      <c r="AF1754" s="36"/>
      <c r="AG1754" s="36"/>
      <c r="AH1754" s="36">
        <v>1</v>
      </c>
      <c r="AI1754" s="36">
        <v>1</v>
      </c>
      <c r="AJ1754" s="36">
        <v>1</v>
      </c>
      <c r="AK1754" s="36">
        <v>1</v>
      </c>
      <c r="AL1754" s="36">
        <v>1</v>
      </c>
      <c r="AM1754" s="36"/>
      <c r="AN1754" s="36"/>
      <c r="AO1754" s="36"/>
      <c r="AP1754" s="36"/>
      <c r="AQ1754" s="36"/>
      <c r="AR1754" s="36"/>
      <c r="AS1754" s="36"/>
      <c r="AT1754" s="36"/>
      <c r="AU1754" s="36"/>
      <c r="AV1754" s="36"/>
      <c r="AW1754" s="36"/>
      <c r="AX1754" s="36"/>
      <c r="AY1754" s="36"/>
      <c r="AZ1754" s="36"/>
      <c r="BA1754" s="36"/>
      <c r="BB1754" s="36"/>
      <c r="BC1754" s="27"/>
      <c r="BF1754">
        <f>ROWS($U$46:U1754)</f>
        <v>1709</v>
      </c>
      <c r="BG1754" t="str">
        <f t="shared" si="234"/>
        <v/>
      </c>
    </row>
    <row r="1755" spans="14:59" x14ac:dyDescent="0.35">
      <c r="N1755">
        <f t="shared" si="236"/>
        <v>36</v>
      </c>
      <c r="O1755" s="330">
        <v>4</v>
      </c>
      <c r="P1755" s="36">
        <v>1146737</v>
      </c>
      <c r="Q1755" s="36">
        <v>9</v>
      </c>
      <c r="R1755" s="36"/>
      <c r="S1755" s="36" t="s">
        <v>1209</v>
      </c>
      <c r="T1755" s="36" t="s">
        <v>2188</v>
      </c>
      <c r="U1755" s="36">
        <v>1251627</v>
      </c>
      <c r="V1755" s="165" t="s">
        <v>90</v>
      </c>
      <c r="W1755" s="36">
        <v>4</v>
      </c>
      <c r="X1755" s="36">
        <v>4</v>
      </c>
      <c r="Y1755" s="36">
        <v>4</v>
      </c>
      <c r="Z1755" s="36">
        <v>2</v>
      </c>
      <c r="AA1755" s="36">
        <v>2</v>
      </c>
      <c r="AB1755" s="36">
        <v>2</v>
      </c>
      <c r="AC1755" s="36">
        <v>2</v>
      </c>
      <c r="AD1755" s="36">
        <v>3</v>
      </c>
      <c r="AE1755" s="36">
        <v>3</v>
      </c>
      <c r="AF1755" s="36">
        <v>5</v>
      </c>
      <c r="AG1755" s="36"/>
      <c r="AH1755" s="36">
        <v>1</v>
      </c>
      <c r="AI1755" s="36">
        <v>1</v>
      </c>
      <c r="AJ1755" s="36">
        <v>1</v>
      </c>
      <c r="AK1755" s="36">
        <v>1</v>
      </c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  <c r="AV1755" s="36"/>
      <c r="AW1755" s="36"/>
      <c r="AX1755" s="36"/>
      <c r="AY1755" s="36"/>
      <c r="AZ1755" s="36"/>
      <c r="BA1755" s="36"/>
      <c r="BB1755" s="36"/>
      <c r="BC1755" s="27"/>
      <c r="BF1755">
        <f>ROWS($U$46:U1755)</f>
        <v>1710</v>
      </c>
      <c r="BG1755" t="str">
        <f t="shared" si="234"/>
        <v/>
      </c>
    </row>
    <row r="1756" spans="14:59" x14ac:dyDescent="0.35">
      <c r="N1756">
        <f t="shared" si="236"/>
        <v>40</v>
      </c>
      <c r="O1756" s="330">
        <v>5</v>
      </c>
      <c r="P1756" s="36">
        <v>871781</v>
      </c>
      <c r="Q1756" s="36">
        <v>8</v>
      </c>
      <c r="R1756" s="36"/>
      <c r="S1756" s="36" t="s">
        <v>1209</v>
      </c>
      <c r="T1756" s="36" t="s">
        <v>2188</v>
      </c>
      <c r="U1756" s="36">
        <v>1251627</v>
      </c>
      <c r="V1756" s="165" t="s">
        <v>91</v>
      </c>
      <c r="W1756" s="36">
        <v>2</v>
      </c>
      <c r="X1756" s="36">
        <v>2</v>
      </c>
      <c r="Y1756" s="36">
        <v>2</v>
      </c>
      <c r="Z1756" s="36">
        <v>2</v>
      </c>
      <c r="AA1756" s="36">
        <v>3</v>
      </c>
      <c r="AB1756" s="36">
        <v>3</v>
      </c>
      <c r="AC1756" s="36">
        <v>5</v>
      </c>
      <c r="AD1756" s="36"/>
      <c r="AE1756" s="36"/>
      <c r="AF1756" s="36"/>
      <c r="AG1756" s="36"/>
      <c r="AH1756" s="36">
        <v>1</v>
      </c>
      <c r="AI1756" s="36">
        <v>1</v>
      </c>
      <c r="AJ1756" s="36">
        <v>1</v>
      </c>
      <c r="AK1756" s="36">
        <v>1</v>
      </c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  <c r="AV1756" s="36"/>
      <c r="AW1756" s="36"/>
      <c r="AX1756" s="36"/>
      <c r="AY1756" s="36"/>
      <c r="AZ1756" s="36"/>
      <c r="BA1756" s="36"/>
      <c r="BB1756" s="36"/>
      <c r="BC1756" s="27"/>
      <c r="BF1756">
        <f>ROWS($U$46:U1756)</f>
        <v>1711</v>
      </c>
      <c r="BG1756" t="str">
        <f t="shared" si="234"/>
        <v/>
      </c>
    </row>
    <row r="1757" spans="14:59" x14ac:dyDescent="0.35">
      <c r="N1757">
        <f t="shared" si="236"/>
        <v>0</v>
      </c>
      <c r="O1757" s="330"/>
      <c r="P1757" s="36"/>
      <c r="Q1757" s="36"/>
      <c r="R1757" s="36"/>
      <c r="S1757" s="36" t="s">
        <v>1209</v>
      </c>
      <c r="T1757" s="36" t="s">
        <v>2188</v>
      </c>
      <c r="U1757" s="36">
        <v>1251627</v>
      </c>
      <c r="V1757" s="165" t="s">
        <v>92</v>
      </c>
      <c r="W1757" s="36">
        <v>4</v>
      </c>
      <c r="X1757" s="36">
        <v>4</v>
      </c>
      <c r="Y1757" s="36">
        <v>4</v>
      </c>
      <c r="Z1757" s="36">
        <v>2</v>
      </c>
      <c r="AA1757" s="36">
        <v>2</v>
      </c>
      <c r="AB1757" s="36">
        <v>2</v>
      </c>
      <c r="AC1757" s="36">
        <v>2</v>
      </c>
      <c r="AD1757" s="36">
        <v>3</v>
      </c>
      <c r="AE1757" s="36">
        <v>3</v>
      </c>
      <c r="AF1757" s="36">
        <v>5</v>
      </c>
      <c r="AG1757" s="36"/>
      <c r="AH1757" s="36">
        <v>1</v>
      </c>
      <c r="AI1757" s="36">
        <v>1</v>
      </c>
      <c r="AJ1757" s="36">
        <v>1</v>
      </c>
      <c r="AK1757" s="36">
        <v>1</v>
      </c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  <c r="AV1757" s="36"/>
      <c r="AW1757" s="36"/>
      <c r="AX1757" s="36"/>
      <c r="AY1757" s="36"/>
      <c r="AZ1757" s="36"/>
      <c r="BA1757" s="36"/>
      <c r="BB1757" s="36"/>
      <c r="BC1757" s="27"/>
      <c r="BF1757">
        <f>ROWS($U$46:U1757)</f>
        <v>1712</v>
      </c>
      <c r="BG1757" t="str">
        <f t="shared" si="234"/>
        <v/>
      </c>
    </row>
    <row r="1758" spans="14:59" x14ac:dyDescent="0.35">
      <c r="N1758">
        <f t="shared" si="236"/>
        <v>0</v>
      </c>
      <c r="O1758" s="330"/>
      <c r="P1758" s="36"/>
      <c r="Q1758" s="36"/>
      <c r="R1758" s="36"/>
      <c r="S1758" s="36" t="s">
        <v>1209</v>
      </c>
      <c r="T1758" s="36" t="s">
        <v>2188</v>
      </c>
      <c r="U1758" s="36">
        <v>1251627</v>
      </c>
      <c r="V1758" s="165" t="s">
        <v>111</v>
      </c>
      <c r="W1758" s="36">
        <v>2</v>
      </c>
      <c r="X1758" s="36">
        <v>2</v>
      </c>
      <c r="Y1758" s="36">
        <v>2</v>
      </c>
      <c r="Z1758" s="36">
        <v>2</v>
      </c>
      <c r="AA1758" s="36">
        <v>3</v>
      </c>
      <c r="AB1758" s="36">
        <v>3</v>
      </c>
      <c r="AC1758" s="36">
        <v>5</v>
      </c>
      <c r="AD1758" s="36"/>
      <c r="AE1758" s="36"/>
      <c r="AF1758" s="36"/>
      <c r="AG1758" s="36"/>
      <c r="AH1758" s="36">
        <v>1</v>
      </c>
      <c r="AI1758" s="36">
        <v>1</v>
      </c>
      <c r="AJ1758" s="36">
        <v>1</v>
      </c>
      <c r="AK1758" s="36">
        <v>1</v>
      </c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  <c r="AV1758" s="36"/>
      <c r="AW1758" s="36"/>
      <c r="AX1758" s="36"/>
      <c r="AY1758" s="36"/>
      <c r="AZ1758" s="36"/>
      <c r="BA1758" s="36"/>
      <c r="BB1758" s="36"/>
      <c r="BC1758" s="27"/>
      <c r="BF1758">
        <f>ROWS($U$46:U1758)</f>
        <v>1713</v>
      </c>
      <c r="BG1758" t="str">
        <f t="shared" si="234"/>
        <v/>
      </c>
    </row>
    <row r="1759" spans="14:59" ht="15" thickBot="1" x14ac:dyDescent="0.4">
      <c r="N1759">
        <f t="shared" si="236"/>
        <v>0</v>
      </c>
      <c r="O1759" s="331"/>
      <c r="P1759" s="328"/>
      <c r="Q1759" s="328"/>
      <c r="R1759" s="328"/>
      <c r="S1759" s="328" t="s">
        <v>1209</v>
      </c>
      <c r="T1759" s="328" t="s">
        <v>2188</v>
      </c>
      <c r="U1759" s="328">
        <v>1251627</v>
      </c>
      <c r="V1759" s="327" t="s">
        <v>112</v>
      </c>
      <c r="W1759" s="328">
        <v>2</v>
      </c>
      <c r="X1759" s="328">
        <v>2</v>
      </c>
      <c r="Y1759" s="328">
        <v>2</v>
      </c>
      <c r="Z1759" s="328">
        <v>2</v>
      </c>
      <c r="AA1759" s="328">
        <v>3</v>
      </c>
      <c r="AB1759" s="328">
        <v>3</v>
      </c>
      <c r="AC1759" s="328">
        <v>5</v>
      </c>
      <c r="AD1759" s="328"/>
      <c r="AE1759" s="328"/>
      <c r="AF1759" s="328"/>
      <c r="AG1759" s="328"/>
      <c r="AH1759" s="328">
        <v>1</v>
      </c>
      <c r="AI1759" s="328">
        <v>1</v>
      </c>
      <c r="AJ1759" s="328">
        <v>1</v>
      </c>
      <c r="AK1759" s="328">
        <v>1</v>
      </c>
      <c r="AL1759" s="328"/>
      <c r="AM1759" s="328"/>
      <c r="AN1759" s="328"/>
      <c r="AO1759" s="328"/>
      <c r="AP1759" s="328"/>
      <c r="AQ1759" s="328"/>
      <c r="AR1759" s="328"/>
      <c r="AS1759" s="328"/>
      <c r="AT1759" s="328"/>
      <c r="AU1759" s="328"/>
      <c r="AV1759" s="328"/>
      <c r="AW1759" s="328"/>
      <c r="AX1759" s="328"/>
      <c r="AY1759" s="328"/>
      <c r="AZ1759" s="328"/>
      <c r="BA1759" s="328"/>
      <c r="BB1759" s="328"/>
      <c r="BC1759" s="31"/>
      <c r="BF1759">
        <f>ROWS($U$46:U1759)</f>
        <v>1714</v>
      </c>
      <c r="BG1759" t="str">
        <f t="shared" si="234"/>
        <v/>
      </c>
    </row>
    <row r="1760" spans="14:59" x14ac:dyDescent="0.35">
      <c r="N1760">
        <f t="shared" si="236"/>
        <v>11</v>
      </c>
      <c r="O1760" s="329">
        <v>1</v>
      </c>
      <c r="P1760" s="320">
        <v>179733</v>
      </c>
      <c r="Q1760" s="320">
        <v>11</v>
      </c>
      <c r="R1760" s="320"/>
      <c r="S1760" s="320" t="s">
        <v>2185</v>
      </c>
      <c r="T1760" s="320" t="s">
        <v>2200</v>
      </c>
      <c r="U1760">
        <v>1166297</v>
      </c>
      <c r="V1760" s="319" t="s">
        <v>87</v>
      </c>
      <c r="W1760" s="320">
        <v>3</v>
      </c>
      <c r="X1760" s="320">
        <v>3</v>
      </c>
      <c r="Y1760" s="320">
        <v>3</v>
      </c>
      <c r="Z1760" s="320">
        <v>2</v>
      </c>
      <c r="AA1760" s="320">
        <v>2</v>
      </c>
      <c r="AB1760" s="320">
        <v>7</v>
      </c>
      <c r="AC1760" s="320">
        <v>4</v>
      </c>
      <c r="AD1760" s="320">
        <v>6</v>
      </c>
      <c r="AE1760" s="320"/>
      <c r="AF1760" s="320">
        <v>5</v>
      </c>
      <c r="AG1760" s="320">
        <v>5</v>
      </c>
      <c r="AH1760" s="320">
        <v>1</v>
      </c>
      <c r="AI1760" s="320">
        <v>1</v>
      </c>
      <c r="AJ1760" s="320"/>
      <c r="AK1760" s="320"/>
      <c r="AL1760" s="320"/>
      <c r="AM1760" s="320"/>
      <c r="AN1760" s="320"/>
      <c r="AO1760" s="320"/>
      <c r="AP1760" s="320"/>
      <c r="AQ1760" s="320"/>
      <c r="AR1760" s="320"/>
      <c r="AS1760" s="320"/>
      <c r="AT1760" s="320"/>
      <c r="AU1760" s="320"/>
      <c r="AV1760" s="320"/>
      <c r="AW1760" s="320"/>
      <c r="AX1760" s="320"/>
      <c r="AY1760" s="320"/>
      <c r="AZ1760" s="320"/>
      <c r="BA1760" s="320"/>
      <c r="BB1760" s="320"/>
      <c r="BC1760" s="119"/>
      <c r="BF1760">
        <f>ROWS($U$46:U1760)</f>
        <v>1715</v>
      </c>
      <c r="BG1760" t="str">
        <f t="shared" si="234"/>
        <v/>
      </c>
    </row>
    <row r="1761" spans="14:59" x14ac:dyDescent="0.35">
      <c r="N1761">
        <f t="shared" si="236"/>
        <v>22</v>
      </c>
      <c r="O1761" s="330">
        <v>2</v>
      </c>
      <c r="P1761" s="36">
        <v>1257653</v>
      </c>
      <c r="Q1761" s="36">
        <v>11</v>
      </c>
      <c r="R1761" s="36"/>
      <c r="S1761" s="36" t="s">
        <v>2185</v>
      </c>
      <c r="T1761" s="36" t="s">
        <v>2200</v>
      </c>
      <c r="U1761" s="36">
        <v>1166297</v>
      </c>
      <c r="V1761" s="165" t="s">
        <v>88</v>
      </c>
      <c r="W1761" s="36">
        <v>2</v>
      </c>
      <c r="X1761" s="36">
        <v>2</v>
      </c>
      <c r="Y1761" s="36">
        <v>7</v>
      </c>
      <c r="Z1761" s="36">
        <v>4</v>
      </c>
      <c r="AA1761" s="36">
        <v>6</v>
      </c>
      <c r="AB1761" s="36"/>
      <c r="AC1761" s="36"/>
      <c r="AD1761" s="36"/>
      <c r="AE1761" s="36"/>
      <c r="AF1761" s="36">
        <v>1</v>
      </c>
      <c r="AG1761" s="36">
        <v>1</v>
      </c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  <c r="AV1761" s="36"/>
      <c r="AW1761" s="36"/>
      <c r="AX1761" s="36"/>
      <c r="AY1761" s="36"/>
      <c r="AZ1761" s="36"/>
      <c r="BA1761" s="36"/>
      <c r="BB1761" s="36"/>
      <c r="BC1761" s="27"/>
      <c r="BF1761">
        <f>ROWS($U$46:U1761)</f>
        <v>1716</v>
      </c>
      <c r="BG1761" t="str">
        <f t="shared" si="234"/>
        <v/>
      </c>
    </row>
    <row r="1762" spans="14:59" x14ac:dyDescent="0.35">
      <c r="N1762">
        <f t="shared" si="236"/>
        <v>27</v>
      </c>
      <c r="O1762" s="330">
        <v>3</v>
      </c>
      <c r="P1762" s="36">
        <v>1165879</v>
      </c>
      <c r="Q1762" s="36">
        <v>9</v>
      </c>
      <c r="R1762" s="36"/>
      <c r="S1762" s="36" t="s">
        <v>2185</v>
      </c>
      <c r="T1762" s="36" t="s">
        <v>2200</v>
      </c>
      <c r="U1762" s="36">
        <v>1166297</v>
      </c>
      <c r="V1762" s="165" t="s">
        <v>89</v>
      </c>
      <c r="W1762" s="36">
        <v>3</v>
      </c>
      <c r="X1762" s="36">
        <v>3</v>
      </c>
      <c r="Y1762" s="36">
        <v>3</v>
      </c>
      <c r="Z1762" s="36">
        <v>2</v>
      </c>
      <c r="AA1762" s="36">
        <v>7</v>
      </c>
      <c r="AB1762" s="36">
        <v>4</v>
      </c>
      <c r="AC1762" s="36">
        <v>6</v>
      </c>
      <c r="AD1762" s="36"/>
      <c r="AE1762" s="36"/>
      <c r="AF1762" s="36">
        <v>5</v>
      </c>
      <c r="AG1762" s="36">
        <v>5</v>
      </c>
      <c r="AH1762" s="36">
        <v>1</v>
      </c>
      <c r="AI1762" s="36">
        <v>1</v>
      </c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  <c r="AV1762" s="36"/>
      <c r="AW1762" s="36"/>
      <c r="AX1762" s="36"/>
      <c r="AY1762" s="36"/>
      <c r="AZ1762" s="36"/>
      <c r="BA1762" s="36"/>
      <c r="BB1762" s="36"/>
      <c r="BC1762" s="27"/>
      <c r="BF1762">
        <f>ROWS($U$46:U1762)</f>
        <v>1717</v>
      </c>
      <c r="BG1762" t="str">
        <f t="shared" si="234"/>
        <v/>
      </c>
    </row>
    <row r="1763" spans="14:59" x14ac:dyDescent="0.35">
      <c r="N1763">
        <f t="shared" si="236"/>
        <v>24</v>
      </c>
      <c r="O1763" s="330">
        <v>4</v>
      </c>
      <c r="P1763" s="36">
        <v>418525</v>
      </c>
      <c r="Q1763" s="36">
        <v>6</v>
      </c>
      <c r="R1763" s="36"/>
      <c r="S1763" s="36" t="s">
        <v>2185</v>
      </c>
      <c r="T1763" s="36" t="s">
        <v>2200</v>
      </c>
      <c r="U1763" s="36">
        <v>1166297</v>
      </c>
      <c r="V1763" s="165" t="s">
        <v>90</v>
      </c>
      <c r="W1763" s="36">
        <v>2</v>
      </c>
      <c r="X1763" s="36">
        <v>2</v>
      </c>
      <c r="Y1763" s="36">
        <v>7</v>
      </c>
      <c r="Z1763" s="36">
        <v>4</v>
      </c>
      <c r="AA1763" s="36">
        <v>6</v>
      </c>
      <c r="AB1763" s="36"/>
      <c r="AC1763" s="36"/>
      <c r="AD1763" s="36"/>
      <c r="AE1763" s="36"/>
      <c r="AF1763" s="36">
        <v>1</v>
      </c>
      <c r="AG1763" s="36">
        <v>1</v>
      </c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  <c r="AV1763" s="36"/>
      <c r="AW1763" s="36"/>
      <c r="AX1763" s="36"/>
      <c r="AY1763" s="36"/>
      <c r="AZ1763" s="36"/>
      <c r="BA1763" s="36"/>
      <c r="BB1763" s="36"/>
      <c r="BC1763" s="27"/>
      <c r="BF1763">
        <f>ROWS($U$46:U1763)</f>
        <v>1718</v>
      </c>
      <c r="BG1763" t="str">
        <f t="shared" si="234"/>
        <v/>
      </c>
    </row>
    <row r="1764" spans="14:59" x14ac:dyDescent="0.35">
      <c r="N1764">
        <f t="shared" si="236"/>
        <v>30</v>
      </c>
      <c r="O1764" s="330">
        <v>5</v>
      </c>
      <c r="P1764" s="36">
        <v>649901</v>
      </c>
      <c r="Q1764" s="36">
        <v>6</v>
      </c>
      <c r="R1764" s="36"/>
      <c r="S1764" s="36" t="s">
        <v>2185</v>
      </c>
      <c r="T1764" s="36" t="s">
        <v>2200</v>
      </c>
      <c r="U1764" s="36">
        <v>1166297</v>
      </c>
      <c r="V1764" s="165" t="s">
        <v>91</v>
      </c>
      <c r="W1764" s="36">
        <v>3</v>
      </c>
      <c r="X1764" s="36">
        <v>3</v>
      </c>
      <c r="Y1764" s="36">
        <v>3</v>
      </c>
      <c r="Z1764" s="36">
        <v>2</v>
      </c>
      <c r="AA1764" s="36">
        <v>2</v>
      </c>
      <c r="AB1764" s="36">
        <v>4</v>
      </c>
      <c r="AC1764" s="36">
        <v>6</v>
      </c>
      <c r="AD1764" s="36"/>
      <c r="AE1764" s="36"/>
      <c r="AF1764" s="36">
        <v>5</v>
      </c>
      <c r="AG1764" s="36">
        <v>5</v>
      </c>
      <c r="AH1764" s="36">
        <v>1</v>
      </c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  <c r="AV1764" s="36"/>
      <c r="AW1764" s="36"/>
      <c r="AX1764" s="36"/>
      <c r="AY1764" s="36"/>
      <c r="AZ1764" s="36"/>
      <c r="BA1764" s="36"/>
      <c r="BB1764" s="36"/>
      <c r="BC1764" s="27"/>
      <c r="BF1764">
        <f>ROWS($U$46:U1764)</f>
        <v>1719</v>
      </c>
      <c r="BG1764" t="str">
        <f t="shared" si="234"/>
        <v/>
      </c>
    </row>
    <row r="1765" spans="14:59" x14ac:dyDescent="0.35">
      <c r="N1765">
        <f t="shared" si="236"/>
        <v>36</v>
      </c>
      <c r="O1765" s="330">
        <v>6</v>
      </c>
      <c r="P1765" s="36">
        <v>871781</v>
      </c>
      <c r="Q1765" s="36">
        <v>6</v>
      </c>
      <c r="R1765" s="36"/>
      <c r="S1765" s="36" t="s">
        <v>2185</v>
      </c>
      <c r="T1765" s="36" t="s">
        <v>2200</v>
      </c>
      <c r="U1765" s="36">
        <v>1166297</v>
      </c>
      <c r="V1765" s="165" t="s">
        <v>92</v>
      </c>
      <c r="W1765" s="36">
        <v>2</v>
      </c>
      <c r="X1765" s="36">
        <v>2</v>
      </c>
      <c r="Y1765" s="36">
        <v>7</v>
      </c>
      <c r="Z1765" s="36">
        <v>4</v>
      </c>
      <c r="AA1765" s="36">
        <v>6</v>
      </c>
      <c r="AB1765" s="36"/>
      <c r="AC1765" s="36"/>
      <c r="AD1765" s="36"/>
      <c r="AE1765" s="36"/>
      <c r="AF1765" s="36">
        <v>1</v>
      </c>
      <c r="AG1765" s="36">
        <v>1</v>
      </c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  <c r="AV1765" s="36"/>
      <c r="AW1765" s="36"/>
      <c r="AX1765" s="36"/>
      <c r="AY1765" s="36"/>
      <c r="AZ1765" s="36"/>
      <c r="BA1765" s="36"/>
      <c r="BB1765" s="36"/>
      <c r="BC1765" s="27"/>
      <c r="BF1765">
        <f>ROWS($U$46:U1765)</f>
        <v>1720</v>
      </c>
      <c r="BG1765" t="str">
        <f t="shared" si="234"/>
        <v/>
      </c>
    </row>
    <row r="1766" spans="14:59" ht="15" thickBot="1" x14ac:dyDescent="0.4">
      <c r="N1766">
        <f t="shared" si="236"/>
        <v>35</v>
      </c>
      <c r="O1766" s="485">
        <v>7</v>
      </c>
      <c r="P1766" s="486">
        <v>1165880</v>
      </c>
      <c r="Q1766" s="486">
        <v>5</v>
      </c>
      <c r="R1766" s="486"/>
      <c r="S1766" s="486" t="s">
        <v>2185</v>
      </c>
      <c r="T1766" s="486" t="s">
        <v>2200</v>
      </c>
      <c r="U1766" s="486">
        <v>1166297</v>
      </c>
      <c r="V1766" s="487" t="s">
        <v>111</v>
      </c>
      <c r="W1766" s="486"/>
      <c r="X1766" s="486"/>
      <c r="Y1766" s="486"/>
      <c r="Z1766" s="486"/>
      <c r="AA1766" s="486"/>
      <c r="AB1766" s="486"/>
      <c r="AC1766" s="486"/>
      <c r="AD1766" s="486"/>
      <c r="AE1766" s="486"/>
      <c r="AF1766" s="486"/>
      <c r="AG1766" s="486"/>
      <c r="AH1766" s="486"/>
      <c r="AI1766" s="486"/>
      <c r="AJ1766" s="486"/>
      <c r="AK1766" s="486"/>
      <c r="AL1766" s="486"/>
      <c r="AM1766" s="486"/>
      <c r="AN1766" s="486"/>
      <c r="AO1766" s="486"/>
      <c r="AP1766" s="486"/>
      <c r="AQ1766" s="486"/>
      <c r="AR1766" s="486"/>
      <c r="AS1766" s="486"/>
      <c r="AT1766" s="486"/>
      <c r="AU1766" s="486"/>
      <c r="AV1766" s="486"/>
      <c r="AW1766" s="486"/>
      <c r="AX1766" s="486"/>
      <c r="AY1766" s="486"/>
      <c r="AZ1766" s="486"/>
      <c r="BA1766" s="486"/>
      <c r="BB1766" s="486"/>
      <c r="BC1766" s="488"/>
      <c r="BF1766">
        <f>ROWS($U$46:U1766)</f>
        <v>1721</v>
      </c>
      <c r="BG1766" t="str">
        <f t="shared" si="234"/>
        <v/>
      </c>
    </row>
    <row r="1767" spans="14:59" x14ac:dyDescent="0.35">
      <c r="N1767">
        <f t="shared" si="236"/>
        <v>14</v>
      </c>
      <c r="O1767" s="329">
        <v>1</v>
      </c>
      <c r="P1767" s="320">
        <v>1165880</v>
      </c>
      <c r="Q1767" s="320">
        <v>14</v>
      </c>
      <c r="R1767" s="320"/>
      <c r="S1767" s="320" t="s">
        <v>2185</v>
      </c>
      <c r="T1767" s="320" t="s">
        <v>2201</v>
      </c>
      <c r="U1767" s="67">
        <v>1186627</v>
      </c>
      <c r="V1767" s="319" t="s">
        <v>87</v>
      </c>
      <c r="W1767" s="320">
        <v>1</v>
      </c>
      <c r="X1767" s="320">
        <v>1</v>
      </c>
      <c r="Y1767" s="320">
        <v>1</v>
      </c>
      <c r="Z1767" s="320">
        <v>2</v>
      </c>
      <c r="AA1767" s="320">
        <v>2</v>
      </c>
      <c r="AB1767" s="320">
        <v>1</v>
      </c>
      <c r="AC1767" s="320">
        <v>4</v>
      </c>
      <c r="AD1767" s="320">
        <v>5</v>
      </c>
      <c r="AE1767" s="320"/>
      <c r="AF1767" s="320">
        <v>6</v>
      </c>
      <c r="AG1767" s="320">
        <v>3</v>
      </c>
      <c r="AH1767" s="320"/>
      <c r="AI1767" s="320"/>
      <c r="AJ1767" s="320"/>
      <c r="AK1767" s="320"/>
      <c r="AL1767" s="320"/>
      <c r="AM1767" s="320"/>
      <c r="AN1767" s="320"/>
      <c r="AO1767" s="320"/>
      <c r="AP1767" s="320"/>
      <c r="AQ1767" s="320"/>
      <c r="AR1767" s="320"/>
      <c r="AS1767" s="320"/>
      <c r="AT1767" s="320"/>
      <c r="AU1767" s="320"/>
      <c r="AV1767" s="320"/>
      <c r="AW1767" s="320"/>
      <c r="AX1767" s="320"/>
      <c r="AY1767" s="320"/>
      <c r="AZ1767" s="320"/>
      <c r="BA1767" s="320"/>
      <c r="BB1767" s="320"/>
      <c r="BC1767" s="119"/>
      <c r="BF1767">
        <f>ROWS($U$46:U1767)</f>
        <v>1722</v>
      </c>
      <c r="BG1767" t="str">
        <f t="shared" si="234"/>
        <v/>
      </c>
    </row>
    <row r="1768" spans="14:59" x14ac:dyDescent="0.35">
      <c r="N1768">
        <f t="shared" si="236"/>
        <v>22</v>
      </c>
      <c r="O1768" s="330">
        <v>2</v>
      </c>
      <c r="P1768" s="36">
        <v>1257653</v>
      </c>
      <c r="Q1768" s="36">
        <v>11</v>
      </c>
      <c r="R1768" s="36"/>
      <c r="S1768" s="36" t="s">
        <v>2185</v>
      </c>
      <c r="T1768" s="36" t="s">
        <v>2201</v>
      </c>
      <c r="U1768" s="36">
        <v>1186627</v>
      </c>
      <c r="V1768" s="165" t="s">
        <v>88</v>
      </c>
      <c r="W1768" s="36">
        <v>2</v>
      </c>
      <c r="X1768" s="36">
        <v>2</v>
      </c>
      <c r="Y1768" s="36">
        <v>1</v>
      </c>
      <c r="Z1768" s="36">
        <v>4</v>
      </c>
      <c r="AA1768" s="36">
        <v>5</v>
      </c>
      <c r="AB1768" s="36"/>
      <c r="AC1768" s="36"/>
      <c r="AD1768" s="36"/>
      <c r="AE1768" s="36"/>
      <c r="AF1768" s="36">
        <v>3</v>
      </c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  <c r="AV1768" s="36"/>
      <c r="AW1768" s="36"/>
      <c r="AX1768" s="36"/>
      <c r="AY1768" s="36"/>
      <c r="AZ1768" s="36"/>
      <c r="BA1768" s="36"/>
      <c r="BB1768" s="36"/>
      <c r="BC1768" s="27"/>
      <c r="BF1768">
        <f>ROWS($U$46:U1768)</f>
        <v>1723</v>
      </c>
      <c r="BG1768" t="str">
        <f t="shared" si="234"/>
        <v/>
      </c>
    </row>
    <row r="1769" spans="14:59" x14ac:dyDescent="0.35">
      <c r="N1769">
        <f t="shared" si="236"/>
        <v>18</v>
      </c>
      <c r="O1769" s="330">
        <v>3</v>
      </c>
      <c r="P1769" s="36">
        <v>179733</v>
      </c>
      <c r="Q1769" s="36">
        <v>6</v>
      </c>
      <c r="R1769" s="36"/>
      <c r="S1769" s="36" t="s">
        <v>2185</v>
      </c>
      <c r="T1769" s="36" t="s">
        <v>2201</v>
      </c>
      <c r="U1769" s="36">
        <v>1186627</v>
      </c>
      <c r="V1769" s="165" t="s">
        <v>89</v>
      </c>
      <c r="W1769" s="36">
        <v>1</v>
      </c>
      <c r="X1769" s="36">
        <v>1</v>
      </c>
      <c r="Y1769" s="36">
        <v>2</v>
      </c>
      <c r="Z1769" s="36">
        <v>2</v>
      </c>
      <c r="AA1769" s="36">
        <v>1</v>
      </c>
      <c r="AB1769" s="36">
        <v>4</v>
      </c>
      <c r="AC1769" s="36">
        <v>5</v>
      </c>
      <c r="AD1769" s="36"/>
      <c r="AE1769" s="36"/>
      <c r="AF1769" s="36">
        <v>6</v>
      </c>
      <c r="AG1769" s="36">
        <v>3</v>
      </c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  <c r="AV1769" s="36"/>
      <c r="AW1769" s="36"/>
      <c r="AX1769" s="36"/>
      <c r="AY1769" s="36"/>
      <c r="AZ1769" s="36"/>
      <c r="BA1769" s="36"/>
      <c r="BB1769" s="36"/>
      <c r="BC1769" s="27"/>
      <c r="BF1769">
        <f>ROWS($U$46:U1769)</f>
        <v>1724</v>
      </c>
      <c r="BG1769" t="str">
        <f t="shared" si="234"/>
        <v/>
      </c>
    </row>
    <row r="1770" spans="14:59" x14ac:dyDescent="0.35">
      <c r="N1770">
        <f t="shared" si="236"/>
        <v>24</v>
      </c>
      <c r="O1770" s="330">
        <v>4</v>
      </c>
      <c r="P1770" s="36">
        <v>418525</v>
      </c>
      <c r="Q1770" s="36">
        <v>6</v>
      </c>
      <c r="R1770" s="36"/>
      <c r="S1770" s="36" t="s">
        <v>2185</v>
      </c>
      <c r="T1770" s="36" t="s">
        <v>2201</v>
      </c>
      <c r="U1770" s="36">
        <v>1186627</v>
      </c>
      <c r="V1770" s="165" t="s">
        <v>90</v>
      </c>
      <c r="W1770" s="36">
        <v>2</v>
      </c>
      <c r="X1770" s="36">
        <v>2</v>
      </c>
      <c r="Y1770" s="36">
        <v>1</v>
      </c>
      <c r="Z1770" s="36">
        <v>4</v>
      </c>
      <c r="AA1770" s="36">
        <v>5</v>
      </c>
      <c r="AB1770" s="36"/>
      <c r="AC1770" s="36"/>
      <c r="AD1770" s="36"/>
      <c r="AE1770" s="36"/>
      <c r="AF1770" s="36">
        <v>3</v>
      </c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  <c r="AV1770" s="36"/>
      <c r="AW1770" s="36"/>
      <c r="AX1770" s="36"/>
      <c r="AY1770" s="36"/>
      <c r="AZ1770" s="36"/>
      <c r="BA1770" s="36"/>
      <c r="BB1770" s="36"/>
      <c r="BC1770" s="27"/>
      <c r="BF1770">
        <f>ROWS($U$46:U1770)</f>
        <v>1725</v>
      </c>
      <c r="BG1770" t="str">
        <f t="shared" si="234"/>
        <v/>
      </c>
    </row>
    <row r="1771" spans="14:59" x14ac:dyDescent="0.35">
      <c r="N1771">
        <f t="shared" si="236"/>
        <v>30</v>
      </c>
      <c r="O1771" s="330">
        <v>5</v>
      </c>
      <c r="P1771" s="36">
        <v>871781</v>
      </c>
      <c r="Q1771" s="36">
        <v>6</v>
      </c>
      <c r="R1771" s="36"/>
      <c r="S1771" s="36" t="s">
        <v>2185</v>
      </c>
      <c r="T1771" s="36" t="s">
        <v>2201</v>
      </c>
      <c r="U1771" s="36">
        <v>1186627</v>
      </c>
      <c r="V1771" s="165" t="s">
        <v>91</v>
      </c>
      <c r="W1771" s="36">
        <v>1</v>
      </c>
      <c r="X1771" s="36">
        <v>1</v>
      </c>
      <c r="Y1771" s="36">
        <v>2</v>
      </c>
      <c r="Z1771" s="36">
        <v>2</v>
      </c>
      <c r="AA1771" s="36">
        <v>1</v>
      </c>
      <c r="AB1771" s="36">
        <v>4</v>
      </c>
      <c r="AC1771" s="36">
        <v>5</v>
      </c>
      <c r="AD1771" s="36"/>
      <c r="AE1771" s="36"/>
      <c r="AF1771" s="36">
        <v>6</v>
      </c>
      <c r="AG1771" s="36">
        <v>3</v>
      </c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  <c r="AV1771" s="36"/>
      <c r="AW1771" s="36"/>
      <c r="AX1771" s="36"/>
      <c r="AY1771" s="36"/>
      <c r="AZ1771" s="36"/>
      <c r="BA1771" s="36"/>
      <c r="BB1771" s="36"/>
      <c r="BC1771" s="27"/>
      <c r="BF1771">
        <f>ROWS($U$46:U1771)</f>
        <v>1726</v>
      </c>
      <c r="BG1771" t="str">
        <f t="shared" si="234"/>
        <v/>
      </c>
    </row>
    <row r="1772" spans="14:59" x14ac:dyDescent="0.35">
      <c r="N1772">
        <f t="shared" si="236"/>
        <v>18</v>
      </c>
      <c r="O1772" s="330">
        <v>6</v>
      </c>
      <c r="P1772" s="36">
        <v>1086351</v>
      </c>
      <c r="Q1772" s="36">
        <v>3</v>
      </c>
      <c r="R1772" s="36"/>
      <c r="S1772" s="36" t="s">
        <v>2185</v>
      </c>
      <c r="T1772" s="36" t="s">
        <v>2201</v>
      </c>
      <c r="U1772" s="36">
        <v>1186627</v>
      </c>
      <c r="V1772" s="165" t="s">
        <v>92</v>
      </c>
      <c r="W1772" s="36">
        <v>1</v>
      </c>
      <c r="X1772" s="36">
        <v>2</v>
      </c>
      <c r="Y1772" s="36">
        <v>1</v>
      </c>
      <c r="Z1772" s="36">
        <v>4</v>
      </c>
      <c r="AA1772" s="36">
        <v>5</v>
      </c>
      <c r="AB1772" s="36"/>
      <c r="AC1772" s="36"/>
      <c r="AD1772" s="36"/>
      <c r="AE1772" s="36"/>
      <c r="AF1772" s="36">
        <v>3</v>
      </c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  <c r="AV1772" s="36"/>
      <c r="AW1772" s="36"/>
      <c r="AX1772" s="36"/>
      <c r="AY1772" s="36"/>
      <c r="AZ1772" s="36"/>
      <c r="BA1772" s="36"/>
      <c r="BB1772" s="36"/>
      <c r="BC1772" s="27"/>
      <c r="BF1772">
        <f>ROWS($U$46:U1772)</f>
        <v>1727</v>
      </c>
      <c r="BG1772" t="str">
        <f t="shared" si="234"/>
        <v/>
      </c>
    </row>
    <row r="1773" spans="14:59" ht="15" thickBot="1" x14ac:dyDescent="0.4">
      <c r="O1773" s="331">
        <v>7</v>
      </c>
      <c r="P1773" s="328"/>
      <c r="Q1773" s="328"/>
      <c r="R1773" s="328"/>
      <c r="S1773" s="328" t="s">
        <v>2185</v>
      </c>
      <c r="T1773" s="328" t="s">
        <v>2201</v>
      </c>
      <c r="U1773" s="328">
        <v>1186627</v>
      </c>
      <c r="V1773" s="327" t="s">
        <v>111</v>
      </c>
      <c r="W1773" s="328"/>
      <c r="X1773" s="328"/>
      <c r="Y1773" s="328"/>
      <c r="Z1773" s="328"/>
      <c r="AA1773" s="328"/>
      <c r="AB1773" s="328"/>
      <c r="AC1773" s="328"/>
      <c r="AD1773" s="328"/>
      <c r="AE1773" s="328"/>
      <c r="AF1773" s="328"/>
      <c r="AG1773" s="328"/>
      <c r="AH1773" s="328"/>
      <c r="AI1773" s="328"/>
      <c r="AJ1773" s="328"/>
      <c r="AK1773" s="328"/>
      <c r="AL1773" s="328"/>
      <c r="AM1773" s="328"/>
      <c r="AN1773" s="328"/>
      <c r="AO1773" s="328"/>
      <c r="AP1773" s="328"/>
      <c r="AQ1773" s="328"/>
      <c r="AR1773" s="328"/>
      <c r="AS1773" s="328"/>
      <c r="AT1773" s="328"/>
      <c r="AU1773" s="328"/>
      <c r="AV1773" s="328"/>
      <c r="AW1773" s="328"/>
      <c r="AX1773" s="328"/>
      <c r="AY1773" s="328"/>
      <c r="AZ1773" s="328"/>
      <c r="BA1773" s="328"/>
      <c r="BB1773" s="328"/>
      <c r="BC1773" s="31"/>
      <c r="BF1773">
        <f>ROWS($U$46:U1773)</f>
        <v>1728</v>
      </c>
      <c r="BG1773" t="str">
        <f t="shared" si="234"/>
        <v/>
      </c>
    </row>
    <row r="1774" spans="14:59" x14ac:dyDescent="0.35">
      <c r="O1774" s="329">
        <v>1</v>
      </c>
      <c r="P1774" s="320">
        <v>1271790</v>
      </c>
      <c r="Q1774" s="320">
        <v>17</v>
      </c>
      <c r="R1774" s="320"/>
      <c r="S1774" s="320" t="s">
        <v>1200</v>
      </c>
      <c r="T1774" s="320" t="s">
        <v>2216</v>
      </c>
      <c r="U1774" s="1001">
        <v>1276939</v>
      </c>
      <c r="V1774" s="319" t="s">
        <v>87</v>
      </c>
      <c r="W1774" s="320">
        <v>3</v>
      </c>
      <c r="X1774" s="320">
        <v>3</v>
      </c>
      <c r="Y1774" s="320">
        <v>3</v>
      </c>
      <c r="Z1774" s="320">
        <v>1</v>
      </c>
      <c r="AA1774" s="320">
        <v>1</v>
      </c>
      <c r="AB1774" s="320">
        <v>1</v>
      </c>
      <c r="AC1774" s="320">
        <v>5</v>
      </c>
      <c r="AD1774" s="320">
        <v>4</v>
      </c>
      <c r="AE1774" s="320"/>
      <c r="AF1774" s="320">
        <v>2</v>
      </c>
      <c r="AG1774" s="320">
        <v>2</v>
      </c>
      <c r="AH1774" s="320">
        <v>2</v>
      </c>
      <c r="AI1774" s="320"/>
      <c r="AJ1774" s="320"/>
      <c r="AK1774" s="320"/>
      <c r="AL1774" s="320"/>
      <c r="AM1774" s="320"/>
      <c r="AN1774" s="320"/>
      <c r="AO1774" s="320"/>
      <c r="AP1774" s="320"/>
      <c r="AQ1774" s="320"/>
      <c r="AR1774" s="320"/>
      <c r="AS1774" s="320"/>
      <c r="AT1774" s="320"/>
      <c r="AU1774" s="320"/>
      <c r="AV1774" s="320"/>
      <c r="AW1774" s="320"/>
      <c r="AX1774" s="320"/>
      <c r="AY1774" s="320"/>
      <c r="AZ1774" s="974"/>
      <c r="BA1774" s="320"/>
      <c r="BB1774" s="320"/>
      <c r="BC1774" s="320"/>
      <c r="BD1774" s="119"/>
      <c r="BF1774">
        <f>ROWS($U$46:U1774)</f>
        <v>1729</v>
      </c>
      <c r="BG1774" t="str">
        <f t="shared" si="234"/>
        <v/>
      </c>
    </row>
    <row r="1775" spans="14:59" x14ac:dyDescent="0.35">
      <c r="O1775" s="330">
        <v>2</v>
      </c>
      <c r="P1775" s="36">
        <v>1078377</v>
      </c>
      <c r="Q1775" s="36">
        <v>15</v>
      </c>
      <c r="R1775" s="36"/>
      <c r="S1775" s="36" t="s">
        <v>1200</v>
      </c>
      <c r="T1775" s="36" t="s">
        <v>2216</v>
      </c>
      <c r="U1775" s="36">
        <v>1276939</v>
      </c>
      <c r="V1775" s="165" t="s">
        <v>88</v>
      </c>
      <c r="W1775" s="36">
        <v>1</v>
      </c>
      <c r="X1775" s="36">
        <v>1</v>
      </c>
      <c r="Y1775" s="36">
        <v>1</v>
      </c>
      <c r="Z1775" s="36">
        <v>5</v>
      </c>
      <c r="AA1775" s="36">
        <v>4</v>
      </c>
      <c r="AB1775" s="36"/>
      <c r="AC1775" s="36"/>
      <c r="AD1775" s="36"/>
      <c r="AE1775" s="36"/>
      <c r="AF1775" s="36">
        <v>2</v>
      </c>
      <c r="AG1775" s="36">
        <v>2</v>
      </c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  <c r="AV1775" s="36"/>
      <c r="AW1775" s="36"/>
      <c r="AX1775" s="36"/>
      <c r="AY1775" s="36"/>
      <c r="AZ1775" s="961"/>
      <c r="BA1775" s="36"/>
      <c r="BB1775" s="36"/>
      <c r="BC1775" s="36"/>
      <c r="BD1775" s="27"/>
      <c r="BF1775">
        <f>ROWS($U$46:U1775)</f>
        <v>1730</v>
      </c>
      <c r="BG1775" t="str">
        <f t="shared" ref="BG1775:BG1838" si="237">IF(VALUE(SUBSTITUTE($B$5,"M",""))=U1775,BF1775,"")</f>
        <v/>
      </c>
    </row>
    <row r="1776" spans="14:59" x14ac:dyDescent="0.35">
      <c r="O1776" s="330">
        <v>3</v>
      </c>
      <c r="P1776" s="36">
        <v>1208601</v>
      </c>
      <c r="Q1776" s="36">
        <v>8</v>
      </c>
      <c r="R1776" s="36"/>
      <c r="S1776" s="36" t="s">
        <v>1200</v>
      </c>
      <c r="T1776" s="36" t="s">
        <v>2216</v>
      </c>
      <c r="U1776" s="36">
        <v>1276939</v>
      </c>
      <c r="V1776" s="165" t="s">
        <v>89</v>
      </c>
      <c r="W1776" s="36">
        <v>3</v>
      </c>
      <c r="X1776" s="36">
        <v>3</v>
      </c>
      <c r="Y1776" s="36">
        <v>1</v>
      </c>
      <c r="Z1776" s="36">
        <v>1</v>
      </c>
      <c r="AA1776" s="36">
        <v>1</v>
      </c>
      <c r="AB1776" s="36">
        <v>5</v>
      </c>
      <c r="AC1776" s="36">
        <v>4</v>
      </c>
      <c r="AD1776" s="36"/>
      <c r="AE1776" s="36"/>
      <c r="AF1776" s="36">
        <v>2</v>
      </c>
      <c r="AG1776" s="36">
        <v>2</v>
      </c>
      <c r="AH1776" s="36">
        <v>2</v>
      </c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  <c r="AV1776" s="36"/>
      <c r="AW1776" s="36"/>
      <c r="AX1776" s="36"/>
      <c r="AY1776" s="36"/>
      <c r="AZ1776" s="961"/>
      <c r="BA1776" s="36"/>
      <c r="BB1776" s="36"/>
      <c r="BC1776" s="36"/>
      <c r="BD1776" s="27"/>
      <c r="BF1776">
        <f>ROWS($U$46:U1776)</f>
        <v>1731</v>
      </c>
      <c r="BG1776" t="str">
        <f t="shared" si="237"/>
        <v/>
      </c>
    </row>
    <row r="1777" spans="15:59" x14ac:dyDescent="0.35">
      <c r="O1777" s="330">
        <v>4</v>
      </c>
      <c r="P1777" s="36">
        <v>418525</v>
      </c>
      <c r="Q1777" s="36">
        <v>6</v>
      </c>
      <c r="R1777" s="36"/>
      <c r="S1777" s="36" t="s">
        <v>1200</v>
      </c>
      <c r="T1777" s="36" t="s">
        <v>2216</v>
      </c>
      <c r="U1777" s="36">
        <v>1276939</v>
      </c>
      <c r="V1777" s="165" t="s">
        <v>90</v>
      </c>
      <c r="W1777" s="36">
        <v>1</v>
      </c>
      <c r="X1777" s="36">
        <v>1</v>
      </c>
      <c r="Y1777" s="36">
        <v>1</v>
      </c>
      <c r="Z1777" s="36">
        <v>5</v>
      </c>
      <c r="AA1777" s="36">
        <v>4</v>
      </c>
      <c r="AB1777" s="36"/>
      <c r="AC1777" s="36"/>
      <c r="AD1777" s="36"/>
      <c r="AE1777" s="36"/>
      <c r="AF1777" s="36">
        <v>2</v>
      </c>
      <c r="AG1777" s="36">
        <v>2</v>
      </c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  <c r="AV1777" s="36"/>
      <c r="AW1777" s="36"/>
      <c r="AX1777" s="36"/>
      <c r="AY1777" s="36"/>
      <c r="AZ1777" s="961"/>
      <c r="BA1777" s="36"/>
      <c r="BB1777" s="36"/>
      <c r="BC1777" s="36"/>
      <c r="BD1777" s="27"/>
      <c r="BF1777">
        <f>ROWS($U$46:U1777)</f>
        <v>1732</v>
      </c>
      <c r="BG1777" t="str">
        <f t="shared" si="237"/>
        <v/>
      </c>
    </row>
    <row r="1778" spans="15:59" x14ac:dyDescent="0.35">
      <c r="O1778" s="330">
        <v>5</v>
      </c>
      <c r="P1778" s="36">
        <v>1146737</v>
      </c>
      <c r="Q1778" s="36">
        <v>6</v>
      </c>
      <c r="R1778" s="36"/>
      <c r="S1778" s="36" t="s">
        <v>1200</v>
      </c>
      <c r="T1778" s="36" t="s">
        <v>2216</v>
      </c>
      <c r="U1778" s="36">
        <v>1276939</v>
      </c>
      <c r="V1778" s="165" t="s">
        <v>91</v>
      </c>
      <c r="W1778" s="36">
        <v>3</v>
      </c>
      <c r="X1778" s="36">
        <v>3</v>
      </c>
      <c r="Y1778" s="36">
        <v>1</v>
      </c>
      <c r="Z1778" s="36">
        <v>1</v>
      </c>
      <c r="AA1778" s="36">
        <v>1</v>
      </c>
      <c r="AB1778" s="36">
        <v>5</v>
      </c>
      <c r="AC1778" s="36">
        <v>4</v>
      </c>
      <c r="AD1778" s="36"/>
      <c r="AE1778" s="36"/>
      <c r="AF1778" s="36">
        <v>2</v>
      </c>
      <c r="AG1778" s="36">
        <v>2</v>
      </c>
      <c r="AH1778" s="36">
        <v>2</v>
      </c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  <c r="AV1778" s="36"/>
      <c r="AW1778" s="36"/>
      <c r="AX1778" s="36"/>
      <c r="AY1778" s="36"/>
      <c r="AZ1778" s="961"/>
      <c r="BA1778" s="36"/>
      <c r="BB1778" s="36"/>
      <c r="BC1778" s="36"/>
      <c r="BD1778" s="27"/>
      <c r="BF1778">
        <f>ROWS($U$46:U1778)</f>
        <v>1733</v>
      </c>
      <c r="BG1778" t="str">
        <f t="shared" si="237"/>
        <v/>
      </c>
    </row>
    <row r="1779" spans="15:59" ht="15" thickBot="1" x14ac:dyDescent="0.4">
      <c r="O1779" s="331"/>
      <c r="P1779" s="328"/>
      <c r="Q1779" s="328"/>
      <c r="R1779" s="328"/>
      <c r="S1779" s="328" t="s">
        <v>1200</v>
      </c>
      <c r="T1779" s="328" t="s">
        <v>2216</v>
      </c>
      <c r="U1779" s="328">
        <v>1276939</v>
      </c>
      <c r="V1779" s="327" t="s">
        <v>92</v>
      </c>
      <c r="W1779" s="328">
        <v>3</v>
      </c>
      <c r="X1779" s="328">
        <v>1</v>
      </c>
      <c r="Y1779" s="328">
        <v>1</v>
      </c>
      <c r="Z1779" s="328">
        <v>5</v>
      </c>
      <c r="AA1779" s="328">
        <v>4</v>
      </c>
      <c r="AB1779" s="328"/>
      <c r="AC1779" s="328"/>
      <c r="AD1779" s="328"/>
      <c r="AE1779" s="328"/>
      <c r="AF1779" s="328">
        <v>2</v>
      </c>
      <c r="AG1779" s="328">
        <v>2</v>
      </c>
      <c r="AH1779" s="328"/>
      <c r="AI1779" s="328"/>
      <c r="AJ1779" s="328"/>
      <c r="AK1779" s="328"/>
      <c r="AL1779" s="328"/>
      <c r="AM1779" s="328"/>
      <c r="AN1779" s="328"/>
      <c r="AO1779" s="328"/>
      <c r="AP1779" s="328"/>
      <c r="AQ1779" s="328"/>
      <c r="AR1779" s="328"/>
      <c r="AS1779" s="328"/>
      <c r="AT1779" s="328"/>
      <c r="AU1779" s="328"/>
      <c r="AV1779" s="328"/>
      <c r="AW1779" s="328"/>
      <c r="AX1779" s="328"/>
      <c r="AY1779" s="328"/>
      <c r="AZ1779" s="962"/>
      <c r="BA1779" s="328"/>
      <c r="BB1779" s="328"/>
      <c r="BC1779" s="328"/>
      <c r="BD1779" s="31"/>
      <c r="BF1779">
        <f>ROWS($U$46:U1779)</f>
        <v>1734</v>
      </c>
      <c r="BG1779" t="str">
        <f t="shared" si="237"/>
        <v/>
      </c>
    </row>
    <row r="1780" spans="15:59" x14ac:dyDescent="0.35">
      <c r="O1780" s="329">
        <v>1</v>
      </c>
      <c r="P1780" s="320">
        <v>1130198</v>
      </c>
      <c r="Q1780" s="320">
        <v>147</v>
      </c>
      <c r="R1780" s="320"/>
      <c r="S1780" s="320" t="s">
        <v>1126</v>
      </c>
      <c r="T1780" s="320" t="s">
        <v>2244</v>
      </c>
      <c r="U1780" s="320">
        <v>1239258</v>
      </c>
      <c r="V1780" s="319" t="s">
        <v>87</v>
      </c>
      <c r="W1780" s="320">
        <v>1</v>
      </c>
      <c r="X1780" s="320">
        <v>1</v>
      </c>
      <c r="Y1780" s="320">
        <v>1</v>
      </c>
      <c r="Z1780" s="320">
        <v>1</v>
      </c>
      <c r="AA1780" s="320">
        <v>1</v>
      </c>
      <c r="AB1780" s="320">
        <v>1</v>
      </c>
      <c r="AC1780" s="320">
        <v>1</v>
      </c>
      <c r="AD1780" s="320">
        <v>1</v>
      </c>
      <c r="AE1780" s="320">
        <v>1</v>
      </c>
      <c r="AF1780" s="320">
        <v>1</v>
      </c>
      <c r="AG1780" s="320">
        <v>1</v>
      </c>
      <c r="AH1780" s="320">
        <v>1</v>
      </c>
      <c r="AI1780" s="320">
        <v>1</v>
      </c>
      <c r="AJ1780" s="320">
        <v>1</v>
      </c>
      <c r="AK1780" s="320">
        <v>1</v>
      </c>
      <c r="AL1780" s="320">
        <v>2</v>
      </c>
      <c r="AM1780" s="320"/>
      <c r="AN1780" s="320">
        <v>1</v>
      </c>
      <c r="AO1780" s="320">
        <v>1</v>
      </c>
      <c r="AP1780" s="320">
        <v>1</v>
      </c>
      <c r="AQ1780" s="320">
        <v>1</v>
      </c>
      <c r="AR1780" s="320">
        <v>1</v>
      </c>
      <c r="AS1780" s="320">
        <v>1</v>
      </c>
      <c r="AT1780" s="320">
        <v>1</v>
      </c>
      <c r="AU1780" s="320"/>
      <c r="AV1780" s="320"/>
      <c r="AW1780" s="320"/>
      <c r="AX1780" s="320"/>
      <c r="AY1780" s="952"/>
      <c r="AZ1780" s="36"/>
      <c r="BA1780" s="36"/>
      <c r="BB1780" s="36"/>
      <c r="BC1780" s="36"/>
      <c r="BD1780" s="36"/>
      <c r="BF1780">
        <f>ROWS($U$46:U1780)</f>
        <v>1735</v>
      </c>
      <c r="BG1780" t="str">
        <f t="shared" si="237"/>
        <v/>
      </c>
    </row>
    <row r="1781" spans="15:59" x14ac:dyDescent="0.35">
      <c r="O1781" s="330">
        <v>2</v>
      </c>
      <c r="P1781" s="36">
        <v>418525</v>
      </c>
      <c r="Q1781" s="36">
        <v>8</v>
      </c>
      <c r="R1781" s="36"/>
      <c r="S1781" s="36" t="s">
        <v>1126</v>
      </c>
      <c r="T1781" s="36" t="s">
        <v>2244</v>
      </c>
      <c r="U1781" s="36">
        <v>1239258</v>
      </c>
      <c r="V1781" s="165" t="s">
        <v>88</v>
      </c>
      <c r="W1781" s="36">
        <v>1</v>
      </c>
      <c r="X1781" s="36">
        <v>1</v>
      </c>
      <c r="Y1781" s="36">
        <v>1</v>
      </c>
      <c r="Z1781" s="36">
        <v>1</v>
      </c>
      <c r="AA1781" s="36">
        <v>1</v>
      </c>
      <c r="AB1781" s="36">
        <v>1</v>
      </c>
      <c r="AC1781" s="36">
        <v>1</v>
      </c>
      <c r="AD1781" s="36">
        <v>1</v>
      </c>
      <c r="AE1781" s="36">
        <v>1</v>
      </c>
      <c r="AF1781" s="36">
        <v>1</v>
      </c>
      <c r="AG1781" s="36">
        <v>2</v>
      </c>
      <c r="AH1781" s="36"/>
      <c r="AI1781" s="36"/>
      <c r="AJ1781" s="36"/>
      <c r="AK1781" s="36"/>
      <c r="AL1781" s="36"/>
      <c r="AM1781" s="36"/>
      <c r="AN1781" s="36">
        <v>1</v>
      </c>
      <c r="AO1781" s="36">
        <v>1</v>
      </c>
      <c r="AP1781" s="36">
        <v>1</v>
      </c>
      <c r="AQ1781" s="36">
        <v>1</v>
      </c>
      <c r="AR1781" s="36">
        <v>1</v>
      </c>
      <c r="AS1781" s="36">
        <v>1</v>
      </c>
      <c r="AT1781" s="36">
        <v>1</v>
      </c>
      <c r="AU1781" s="36"/>
      <c r="AV1781" s="36"/>
      <c r="AW1781" s="36"/>
      <c r="AX1781" s="36"/>
      <c r="AY1781" s="953"/>
      <c r="AZ1781" s="36"/>
      <c r="BA1781" s="36"/>
      <c r="BB1781" s="36"/>
      <c r="BC1781" s="36"/>
      <c r="BD1781" s="36"/>
      <c r="BF1781">
        <f>ROWS($U$46:U1781)</f>
        <v>1736</v>
      </c>
      <c r="BG1781" t="str">
        <f t="shared" si="237"/>
        <v/>
      </c>
    </row>
    <row r="1782" spans="15:59" x14ac:dyDescent="0.35">
      <c r="O1782" s="330"/>
      <c r="P1782" s="36"/>
      <c r="Q1782" s="36"/>
      <c r="R1782" s="36"/>
      <c r="S1782" s="36" t="s">
        <v>1126</v>
      </c>
      <c r="T1782" s="36" t="s">
        <v>2244</v>
      </c>
      <c r="U1782" s="36">
        <v>1239258</v>
      </c>
      <c r="V1782" s="165" t="s">
        <v>89</v>
      </c>
      <c r="W1782" s="36">
        <v>1</v>
      </c>
      <c r="X1782" s="36">
        <v>1</v>
      </c>
      <c r="Y1782" s="36">
        <v>1</v>
      </c>
      <c r="Z1782" s="36">
        <v>1</v>
      </c>
      <c r="AA1782" s="36">
        <v>1</v>
      </c>
      <c r="AB1782" s="36">
        <v>1</v>
      </c>
      <c r="AC1782" s="36">
        <v>1</v>
      </c>
      <c r="AD1782" s="36">
        <v>1</v>
      </c>
      <c r="AE1782" s="36">
        <v>1</v>
      </c>
      <c r="AF1782" s="36">
        <v>2</v>
      </c>
      <c r="AG1782" s="36"/>
      <c r="AH1782" s="36"/>
      <c r="AI1782" s="36"/>
      <c r="AJ1782" s="36"/>
      <c r="AK1782" s="36"/>
      <c r="AL1782" s="36"/>
      <c r="AM1782" s="36"/>
      <c r="AN1782" s="36">
        <v>1</v>
      </c>
      <c r="AO1782" s="36">
        <v>1</v>
      </c>
      <c r="AP1782" s="36">
        <v>1</v>
      </c>
      <c r="AQ1782" s="36">
        <v>1</v>
      </c>
      <c r="AR1782" s="36">
        <v>1</v>
      </c>
      <c r="AS1782" s="36">
        <v>1</v>
      </c>
      <c r="AT1782" s="36">
        <v>1</v>
      </c>
      <c r="AU1782" s="36"/>
      <c r="AV1782" s="36"/>
      <c r="AW1782" s="36"/>
      <c r="AX1782" s="36"/>
      <c r="AY1782" s="953"/>
      <c r="AZ1782" s="36"/>
      <c r="BA1782" s="36"/>
      <c r="BB1782" s="36"/>
      <c r="BC1782" s="36"/>
      <c r="BD1782" s="36"/>
      <c r="BF1782">
        <f>ROWS($U$46:U1782)</f>
        <v>1737</v>
      </c>
      <c r="BG1782" t="str">
        <f t="shared" si="237"/>
        <v/>
      </c>
    </row>
    <row r="1783" spans="15:59" x14ac:dyDescent="0.35">
      <c r="O1783" s="330"/>
      <c r="P1783" s="36"/>
      <c r="Q1783" s="36"/>
      <c r="R1783" s="36"/>
      <c r="S1783" s="36" t="s">
        <v>1126</v>
      </c>
      <c r="T1783" s="36" t="s">
        <v>2244</v>
      </c>
      <c r="U1783" s="36">
        <v>1239258</v>
      </c>
      <c r="V1783" s="165" t="s">
        <v>90</v>
      </c>
      <c r="W1783" s="36">
        <v>1</v>
      </c>
      <c r="X1783" s="36">
        <v>1</v>
      </c>
      <c r="Y1783" s="36">
        <v>1</v>
      </c>
      <c r="Z1783" s="36">
        <v>1</v>
      </c>
      <c r="AA1783" s="36">
        <v>1</v>
      </c>
      <c r="AB1783" s="36">
        <v>1</v>
      </c>
      <c r="AC1783" s="36">
        <v>1</v>
      </c>
      <c r="AD1783" s="36">
        <v>1</v>
      </c>
      <c r="AE1783" s="36">
        <v>1</v>
      </c>
      <c r="AF1783" s="36">
        <v>1</v>
      </c>
      <c r="AG1783" s="36">
        <v>1</v>
      </c>
      <c r="AH1783" s="36">
        <v>1</v>
      </c>
      <c r="AI1783" s="36">
        <v>1</v>
      </c>
      <c r="AJ1783" s="36">
        <v>1</v>
      </c>
      <c r="AK1783" s="36">
        <v>2</v>
      </c>
      <c r="AL1783" s="36"/>
      <c r="AM1783" s="36"/>
      <c r="AN1783" s="36">
        <v>1</v>
      </c>
      <c r="AO1783" s="36">
        <v>1</v>
      </c>
      <c r="AP1783" s="36">
        <v>1</v>
      </c>
      <c r="AQ1783" s="36">
        <v>1</v>
      </c>
      <c r="AR1783" s="36">
        <v>1</v>
      </c>
      <c r="AS1783" s="36">
        <v>1</v>
      </c>
      <c r="AT1783" s="36">
        <v>1</v>
      </c>
      <c r="AU1783" s="36"/>
      <c r="AV1783" s="36"/>
      <c r="AW1783" s="36"/>
      <c r="AX1783" s="36"/>
      <c r="AY1783" s="953"/>
      <c r="AZ1783" s="36"/>
      <c r="BA1783" s="36"/>
      <c r="BB1783" s="36"/>
      <c r="BC1783" s="36"/>
      <c r="BD1783" s="36"/>
      <c r="BF1783">
        <f>ROWS($U$46:U1783)</f>
        <v>1738</v>
      </c>
      <c r="BG1783" t="str">
        <f t="shared" si="237"/>
        <v/>
      </c>
    </row>
    <row r="1784" spans="15:59" x14ac:dyDescent="0.35">
      <c r="O1784" s="330"/>
      <c r="P1784" s="36"/>
      <c r="Q1784" s="36"/>
      <c r="R1784" s="36"/>
      <c r="S1784" s="36" t="s">
        <v>1126</v>
      </c>
      <c r="T1784" s="36" t="s">
        <v>2244</v>
      </c>
      <c r="U1784" s="36">
        <v>1239258</v>
      </c>
      <c r="V1784" s="165" t="s">
        <v>91</v>
      </c>
      <c r="W1784" s="36">
        <v>1</v>
      </c>
      <c r="X1784" s="36">
        <v>1</v>
      </c>
      <c r="Y1784" s="36">
        <v>1</v>
      </c>
      <c r="Z1784" s="36">
        <v>1</v>
      </c>
      <c r="AA1784" s="36">
        <v>1</v>
      </c>
      <c r="AB1784" s="36">
        <v>1</v>
      </c>
      <c r="AC1784" s="36">
        <v>1</v>
      </c>
      <c r="AD1784" s="36">
        <v>1</v>
      </c>
      <c r="AE1784" s="36">
        <v>1</v>
      </c>
      <c r="AF1784" s="36">
        <v>1</v>
      </c>
      <c r="AG1784" s="36">
        <v>2</v>
      </c>
      <c r="AH1784" s="36"/>
      <c r="AI1784" s="36"/>
      <c r="AJ1784" s="36"/>
      <c r="AK1784" s="36"/>
      <c r="AL1784" s="36"/>
      <c r="AM1784" s="36"/>
      <c r="AN1784" s="36">
        <v>1</v>
      </c>
      <c r="AO1784" s="36">
        <v>1</v>
      </c>
      <c r="AP1784" s="36">
        <v>1</v>
      </c>
      <c r="AQ1784" s="36">
        <v>1</v>
      </c>
      <c r="AR1784" s="36">
        <v>1</v>
      </c>
      <c r="AS1784" s="36">
        <v>1</v>
      </c>
      <c r="AT1784" s="36">
        <v>1</v>
      </c>
      <c r="AU1784" s="36"/>
      <c r="AV1784" s="36"/>
      <c r="AW1784" s="36"/>
      <c r="AX1784" s="36"/>
      <c r="AY1784" s="953"/>
      <c r="AZ1784" s="36"/>
      <c r="BA1784" s="36"/>
      <c r="BB1784" s="36"/>
      <c r="BC1784" s="36"/>
      <c r="BD1784" s="36"/>
      <c r="BF1784">
        <f>ROWS($U$46:U1784)</f>
        <v>1739</v>
      </c>
      <c r="BG1784" t="str">
        <f t="shared" si="237"/>
        <v/>
      </c>
    </row>
    <row r="1785" spans="15:59" x14ac:dyDescent="0.35">
      <c r="O1785" s="330"/>
      <c r="P1785" s="36"/>
      <c r="Q1785" s="36"/>
      <c r="R1785" s="36"/>
      <c r="S1785" s="36" t="s">
        <v>1126</v>
      </c>
      <c r="T1785" s="36" t="s">
        <v>2244</v>
      </c>
      <c r="U1785" s="36">
        <v>1239258</v>
      </c>
      <c r="V1785" s="165" t="s">
        <v>92</v>
      </c>
      <c r="W1785" s="36">
        <v>1</v>
      </c>
      <c r="X1785" s="36">
        <v>1</v>
      </c>
      <c r="Y1785" s="36">
        <v>1</v>
      </c>
      <c r="Z1785" s="36">
        <v>1</v>
      </c>
      <c r="AA1785" s="36">
        <v>1</v>
      </c>
      <c r="AB1785" s="36">
        <v>1</v>
      </c>
      <c r="AC1785" s="36">
        <v>1</v>
      </c>
      <c r="AD1785" s="36">
        <v>1</v>
      </c>
      <c r="AE1785" s="36">
        <v>1</v>
      </c>
      <c r="AF1785" s="36">
        <v>1</v>
      </c>
      <c r="AG1785" s="36">
        <v>1</v>
      </c>
      <c r="AH1785" s="36">
        <v>1</v>
      </c>
      <c r="AI1785" s="36">
        <v>1</v>
      </c>
      <c r="AJ1785" s="36">
        <v>1</v>
      </c>
      <c r="AK1785" s="36">
        <v>1</v>
      </c>
      <c r="AL1785" s="36">
        <v>2</v>
      </c>
      <c r="AM1785" s="36"/>
      <c r="AN1785" s="36">
        <v>1</v>
      </c>
      <c r="AO1785" s="36">
        <v>1</v>
      </c>
      <c r="AP1785" s="36">
        <v>1</v>
      </c>
      <c r="AQ1785" s="36">
        <v>1</v>
      </c>
      <c r="AR1785" s="36">
        <v>1</v>
      </c>
      <c r="AS1785" s="36">
        <v>1</v>
      </c>
      <c r="AT1785" s="36">
        <v>1</v>
      </c>
      <c r="AU1785" s="36"/>
      <c r="AV1785" s="36"/>
      <c r="AW1785" s="36"/>
      <c r="AX1785" s="36"/>
      <c r="AY1785" s="953"/>
      <c r="AZ1785" s="36"/>
      <c r="BA1785" s="36"/>
      <c r="BB1785" s="36"/>
      <c r="BC1785" s="36"/>
      <c r="BD1785" s="36"/>
      <c r="BF1785">
        <f>ROWS($U$46:U1785)</f>
        <v>1740</v>
      </c>
      <c r="BG1785" t="str">
        <f t="shared" si="237"/>
        <v/>
      </c>
    </row>
    <row r="1786" spans="15:59" x14ac:dyDescent="0.35">
      <c r="O1786" s="330"/>
      <c r="P1786" s="36"/>
      <c r="Q1786" s="36"/>
      <c r="R1786" s="36"/>
      <c r="S1786" s="36" t="s">
        <v>1126</v>
      </c>
      <c r="T1786" s="36" t="s">
        <v>2244</v>
      </c>
      <c r="U1786" s="36">
        <v>1239258</v>
      </c>
      <c r="V1786" s="165" t="s">
        <v>111</v>
      </c>
      <c r="W1786" s="36">
        <v>1</v>
      </c>
      <c r="X1786" s="36">
        <v>1</v>
      </c>
      <c r="Y1786" s="36">
        <v>1</v>
      </c>
      <c r="Z1786" s="36">
        <v>1</v>
      </c>
      <c r="AA1786" s="36">
        <v>1</v>
      </c>
      <c r="AB1786" s="36">
        <v>1</v>
      </c>
      <c r="AC1786" s="36">
        <v>1</v>
      </c>
      <c r="AD1786" s="36">
        <v>1</v>
      </c>
      <c r="AE1786" s="36">
        <v>1</v>
      </c>
      <c r="AF1786" s="36">
        <v>1</v>
      </c>
      <c r="AG1786" s="36">
        <v>2</v>
      </c>
      <c r="AH1786" s="36"/>
      <c r="AI1786" s="36"/>
      <c r="AJ1786" s="36"/>
      <c r="AK1786" s="36"/>
      <c r="AL1786" s="36"/>
      <c r="AM1786" s="36"/>
      <c r="AN1786" s="36">
        <v>1</v>
      </c>
      <c r="AO1786" s="36">
        <v>1</v>
      </c>
      <c r="AP1786" s="36">
        <v>1</v>
      </c>
      <c r="AQ1786" s="36">
        <v>1</v>
      </c>
      <c r="AR1786" s="36">
        <v>1</v>
      </c>
      <c r="AS1786" s="36">
        <v>1</v>
      </c>
      <c r="AT1786" s="36"/>
      <c r="AU1786" s="36"/>
      <c r="AV1786" s="36"/>
      <c r="AW1786" s="36"/>
      <c r="AX1786" s="36"/>
      <c r="AY1786" s="953"/>
      <c r="AZ1786" s="36"/>
      <c r="BA1786" s="36"/>
      <c r="BB1786" s="36"/>
      <c r="BC1786" s="36"/>
      <c r="BD1786" s="36"/>
      <c r="BF1786">
        <f>ROWS($U$46:U1786)</f>
        <v>1741</v>
      </c>
      <c r="BG1786" t="str">
        <f t="shared" si="237"/>
        <v/>
      </c>
    </row>
    <row r="1787" spans="15:59" ht="15" thickBot="1" x14ac:dyDescent="0.4">
      <c r="O1787" s="485"/>
      <c r="P1787" s="486"/>
      <c r="Q1787" s="486"/>
      <c r="R1787" s="486"/>
      <c r="S1787" s="486" t="s">
        <v>1126</v>
      </c>
      <c r="T1787" s="486" t="s">
        <v>2244</v>
      </c>
      <c r="U1787" s="486">
        <v>1239258</v>
      </c>
      <c r="V1787" s="487" t="s">
        <v>112</v>
      </c>
      <c r="W1787" s="486">
        <v>1</v>
      </c>
      <c r="X1787" s="486">
        <v>1</v>
      </c>
      <c r="Y1787" s="486">
        <v>1</v>
      </c>
      <c r="Z1787" s="486">
        <v>1</v>
      </c>
      <c r="AA1787" s="486">
        <v>1</v>
      </c>
      <c r="AB1787" s="486">
        <v>1</v>
      </c>
      <c r="AC1787" s="486">
        <v>1</v>
      </c>
      <c r="AD1787" s="486">
        <v>1</v>
      </c>
      <c r="AE1787" s="486">
        <v>1</v>
      </c>
      <c r="AF1787" s="486">
        <v>2</v>
      </c>
      <c r="AG1787" s="486"/>
      <c r="AH1787" s="486"/>
      <c r="AI1787" s="486"/>
      <c r="AJ1787" s="486"/>
      <c r="AK1787" s="486"/>
      <c r="AL1787" s="486"/>
      <c r="AM1787" s="486"/>
      <c r="AN1787" s="486">
        <v>1</v>
      </c>
      <c r="AO1787" s="486">
        <v>1</v>
      </c>
      <c r="AP1787" s="486">
        <v>1</v>
      </c>
      <c r="AQ1787" s="486">
        <v>1</v>
      </c>
      <c r="AR1787" s="486">
        <v>1</v>
      </c>
      <c r="AS1787" s="486">
        <v>1</v>
      </c>
      <c r="AT1787" s="486">
        <v>1</v>
      </c>
      <c r="AU1787" s="486"/>
      <c r="AV1787" s="486"/>
      <c r="AW1787" s="486"/>
      <c r="AX1787" s="486"/>
      <c r="AY1787" s="151"/>
      <c r="AZ1787" s="486"/>
      <c r="BA1787" s="486"/>
      <c r="BB1787" s="486"/>
      <c r="BC1787" s="486"/>
      <c r="BD1787" s="486"/>
      <c r="BF1787">
        <f>ROWS($U$46:U1787)</f>
        <v>1742</v>
      </c>
      <c r="BG1787" t="str">
        <f t="shared" si="237"/>
        <v/>
      </c>
    </row>
    <row r="1788" spans="15:59" x14ac:dyDescent="0.35">
      <c r="O1788" s="118">
        <v>1</v>
      </c>
      <c r="P1788" s="320">
        <v>1100755</v>
      </c>
      <c r="Q1788" s="320">
        <v>69</v>
      </c>
      <c r="R1788" s="320"/>
      <c r="S1788" s="320">
        <v>12</v>
      </c>
      <c r="T1788" s="320" t="s">
        <v>2247</v>
      </c>
      <c r="U1788" s="320">
        <v>1239239</v>
      </c>
      <c r="V1788" s="319" t="s">
        <v>87</v>
      </c>
      <c r="W1788" s="320">
        <v>3</v>
      </c>
      <c r="X1788" s="320">
        <v>3</v>
      </c>
      <c r="Y1788" s="320">
        <v>3</v>
      </c>
      <c r="Z1788" s="320">
        <v>2</v>
      </c>
      <c r="AA1788" s="320">
        <v>2</v>
      </c>
      <c r="AB1788" s="320">
        <v>2</v>
      </c>
      <c r="AC1788" s="320">
        <v>1</v>
      </c>
      <c r="AD1788" s="320">
        <v>1</v>
      </c>
      <c r="AE1788" s="320">
        <v>1</v>
      </c>
      <c r="AF1788" s="320">
        <v>1</v>
      </c>
      <c r="AG1788" s="320">
        <v>1</v>
      </c>
      <c r="AH1788" s="320">
        <v>4</v>
      </c>
      <c r="AI1788" s="320"/>
      <c r="AJ1788" s="320">
        <v>5</v>
      </c>
      <c r="AK1788" s="320">
        <v>1</v>
      </c>
      <c r="AL1788" s="320">
        <v>1</v>
      </c>
      <c r="AM1788" s="320">
        <v>1</v>
      </c>
      <c r="AN1788" s="320">
        <v>1</v>
      </c>
      <c r="AO1788" s="320">
        <v>1</v>
      </c>
      <c r="AP1788" s="320"/>
      <c r="AQ1788" s="320"/>
      <c r="AR1788" s="320"/>
      <c r="AS1788" s="320"/>
      <c r="AT1788" s="320"/>
      <c r="AU1788" s="320"/>
      <c r="AV1788" s="320"/>
      <c r="AW1788" s="320"/>
      <c r="AX1788" s="320"/>
      <c r="AY1788" s="320"/>
      <c r="AZ1788" s="320"/>
      <c r="BA1788" s="320"/>
      <c r="BB1788" s="320"/>
      <c r="BC1788" s="320"/>
      <c r="BD1788" s="119"/>
      <c r="BF1788">
        <f>ROWS($U$46:U1788)</f>
        <v>1743</v>
      </c>
      <c r="BG1788" t="str">
        <f t="shared" si="237"/>
        <v/>
      </c>
    </row>
    <row r="1789" spans="15:59" x14ac:dyDescent="0.35">
      <c r="O1789" s="3">
        <v>2</v>
      </c>
      <c r="P1789" s="36">
        <v>1100759</v>
      </c>
      <c r="Q1789" s="36">
        <v>24</v>
      </c>
      <c r="R1789" s="36"/>
      <c r="S1789" s="36">
        <v>12</v>
      </c>
      <c r="T1789" s="36" t="s">
        <v>2247</v>
      </c>
      <c r="U1789" s="36">
        <v>1239239</v>
      </c>
      <c r="V1789" s="165" t="s">
        <v>88</v>
      </c>
      <c r="W1789" s="36">
        <v>2</v>
      </c>
      <c r="X1789" s="36">
        <v>2</v>
      </c>
      <c r="Y1789" s="36">
        <v>2</v>
      </c>
      <c r="Z1789" s="36">
        <v>1</v>
      </c>
      <c r="AA1789" s="36">
        <v>1</v>
      </c>
      <c r="AB1789" s="36">
        <v>1</v>
      </c>
      <c r="AC1789" s="36">
        <v>1</v>
      </c>
      <c r="AD1789" s="36">
        <v>4</v>
      </c>
      <c r="AE1789" s="36"/>
      <c r="AF1789" s="36"/>
      <c r="AG1789" s="36"/>
      <c r="AH1789" s="36"/>
      <c r="AI1789" s="36"/>
      <c r="AJ1789" s="36">
        <v>5</v>
      </c>
      <c r="AK1789" s="36">
        <v>1</v>
      </c>
      <c r="AL1789" s="36">
        <v>1</v>
      </c>
      <c r="AM1789" s="36">
        <v>1</v>
      </c>
      <c r="AN1789" s="36">
        <v>1</v>
      </c>
      <c r="AO1789" s="36">
        <v>1</v>
      </c>
      <c r="AP1789" s="36"/>
      <c r="AQ1789" s="36"/>
      <c r="AR1789" s="36"/>
      <c r="AS1789" s="36"/>
      <c r="AT1789" s="36"/>
      <c r="AU1789" s="36"/>
      <c r="AV1789" s="36"/>
      <c r="AW1789" s="36"/>
      <c r="AX1789" s="36"/>
      <c r="AY1789" s="36"/>
      <c r="AZ1789" s="36"/>
      <c r="BA1789" s="36"/>
      <c r="BB1789" s="36"/>
      <c r="BC1789" s="36"/>
      <c r="BD1789" s="27"/>
      <c r="BF1789">
        <f>ROWS($U$46:U1789)</f>
        <v>1744</v>
      </c>
      <c r="BG1789" t="str">
        <f t="shared" si="237"/>
        <v/>
      </c>
    </row>
    <row r="1790" spans="15:59" x14ac:dyDescent="0.35">
      <c r="O1790" s="3">
        <v>3</v>
      </c>
      <c r="P1790" s="36">
        <v>1146737</v>
      </c>
      <c r="Q1790" s="36">
        <v>9</v>
      </c>
      <c r="R1790" s="36"/>
      <c r="S1790" s="36">
        <v>12</v>
      </c>
      <c r="T1790" s="36" t="s">
        <v>2247</v>
      </c>
      <c r="U1790" s="36">
        <v>1239239</v>
      </c>
      <c r="V1790" s="165" t="s">
        <v>89</v>
      </c>
      <c r="W1790" s="36">
        <v>2</v>
      </c>
      <c r="X1790" s="36">
        <v>2</v>
      </c>
      <c r="Y1790" s="36">
        <v>2</v>
      </c>
      <c r="Z1790" s="36">
        <v>1</v>
      </c>
      <c r="AA1790" s="36">
        <v>1</v>
      </c>
      <c r="AB1790" s="36">
        <v>1</v>
      </c>
      <c r="AC1790" s="36">
        <v>1</v>
      </c>
      <c r="AD1790" s="36">
        <v>4</v>
      </c>
      <c r="AE1790" s="36"/>
      <c r="AF1790" s="36"/>
      <c r="AG1790" s="36"/>
      <c r="AH1790" s="36"/>
      <c r="AI1790" s="36"/>
      <c r="AJ1790" s="36">
        <v>5</v>
      </c>
      <c r="AK1790" s="36">
        <v>1</v>
      </c>
      <c r="AL1790" s="36">
        <v>1</v>
      </c>
      <c r="AM1790" s="36">
        <v>1</v>
      </c>
      <c r="AN1790" s="36">
        <v>1</v>
      </c>
      <c r="AO1790" s="36"/>
      <c r="AP1790" s="36"/>
      <c r="AQ1790" s="36"/>
      <c r="AR1790" s="36"/>
      <c r="AS1790" s="36"/>
      <c r="AT1790" s="36"/>
      <c r="AU1790" s="36"/>
      <c r="AV1790" s="36"/>
      <c r="AW1790" s="36"/>
      <c r="AX1790" s="36"/>
      <c r="AY1790" s="36"/>
      <c r="AZ1790" s="36"/>
      <c r="BA1790" s="36"/>
      <c r="BB1790" s="36"/>
      <c r="BC1790" s="36"/>
      <c r="BD1790" s="27"/>
      <c r="BF1790">
        <f>ROWS($U$46:U1790)</f>
        <v>1745</v>
      </c>
      <c r="BG1790" t="str">
        <f t="shared" si="237"/>
        <v/>
      </c>
    </row>
    <row r="1791" spans="15:59" x14ac:dyDescent="0.35">
      <c r="O1791" s="3">
        <v>4</v>
      </c>
      <c r="P1791" s="36">
        <v>871781</v>
      </c>
      <c r="Q1791" s="36">
        <v>8</v>
      </c>
      <c r="R1791" s="36"/>
      <c r="S1791" s="36">
        <v>12</v>
      </c>
      <c r="T1791" s="36" t="s">
        <v>2247</v>
      </c>
      <c r="U1791" s="36">
        <v>1239239</v>
      </c>
      <c r="V1791" s="165" t="s">
        <v>90</v>
      </c>
      <c r="W1791" s="36">
        <v>3</v>
      </c>
      <c r="X1791" s="36">
        <v>3</v>
      </c>
      <c r="Y1791" s="36">
        <v>3</v>
      </c>
      <c r="Z1791" s="36">
        <v>2</v>
      </c>
      <c r="AA1791" s="36">
        <v>2</v>
      </c>
      <c r="AB1791" s="36">
        <v>2</v>
      </c>
      <c r="AC1791" s="36">
        <v>1</v>
      </c>
      <c r="AD1791" s="36">
        <v>1</v>
      </c>
      <c r="AE1791" s="36">
        <v>1</v>
      </c>
      <c r="AF1791" s="36">
        <v>1</v>
      </c>
      <c r="AG1791" s="36">
        <v>4</v>
      </c>
      <c r="AH1791" s="36"/>
      <c r="AI1791" s="36"/>
      <c r="AJ1791" s="36">
        <v>5</v>
      </c>
      <c r="AK1791" s="36">
        <v>1</v>
      </c>
      <c r="AL1791" s="36">
        <v>1</v>
      </c>
      <c r="AM1791" s="36">
        <v>1</v>
      </c>
      <c r="AN1791" s="36">
        <v>1</v>
      </c>
      <c r="AO1791" s="36"/>
      <c r="AP1791" s="36"/>
      <c r="AQ1791" s="36"/>
      <c r="AR1791" s="36"/>
      <c r="AS1791" s="36"/>
      <c r="AT1791" s="36"/>
      <c r="AU1791" s="36"/>
      <c r="AV1791" s="36"/>
      <c r="AW1791" s="36"/>
      <c r="AX1791" s="36"/>
      <c r="AY1791" s="36"/>
      <c r="AZ1791" s="36"/>
      <c r="BA1791" s="36"/>
      <c r="BB1791" s="36"/>
      <c r="BC1791" s="36"/>
      <c r="BD1791" s="27"/>
      <c r="BF1791">
        <f>ROWS($U$46:U1791)</f>
        <v>1746</v>
      </c>
      <c r="BG1791" t="str">
        <f t="shared" si="237"/>
        <v/>
      </c>
    </row>
    <row r="1792" spans="15:59" x14ac:dyDescent="0.35">
      <c r="O1792" s="3">
        <v>5</v>
      </c>
      <c r="P1792" s="36">
        <v>1100753</v>
      </c>
      <c r="Q1792" s="36">
        <v>8</v>
      </c>
      <c r="R1792" s="36"/>
      <c r="S1792" s="36">
        <v>12</v>
      </c>
      <c r="T1792" s="36" t="s">
        <v>2247</v>
      </c>
      <c r="U1792" s="36">
        <v>1239239</v>
      </c>
      <c r="V1792" s="165" t="s">
        <v>91</v>
      </c>
      <c r="W1792" s="36">
        <v>2</v>
      </c>
      <c r="X1792" s="36">
        <v>2</v>
      </c>
      <c r="Y1792" s="36">
        <v>2</v>
      </c>
      <c r="Z1792" s="36">
        <v>1</v>
      </c>
      <c r="AA1792" s="36">
        <v>1</v>
      </c>
      <c r="AB1792" s="36">
        <v>1</v>
      </c>
      <c r="AC1792" s="36">
        <v>1</v>
      </c>
      <c r="AD1792" s="36">
        <v>4</v>
      </c>
      <c r="AE1792" s="36"/>
      <c r="AF1792" s="36"/>
      <c r="AG1792" s="36"/>
      <c r="AH1792" s="36"/>
      <c r="AI1792" s="36"/>
      <c r="AJ1792" s="36">
        <v>5</v>
      </c>
      <c r="AK1792" s="36">
        <v>1</v>
      </c>
      <c r="AL1792" s="36">
        <v>1</v>
      </c>
      <c r="AM1792" s="36">
        <v>1</v>
      </c>
      <c r="AN1792" s="36">
        <v>1</v>
      </c>
      <c r="AO1792" s="36"/>
      <c r="AP1792" s="36"/>
      <c r="AQ1792" s="36"/>
      <c r="AR1792" s="36"/>
      <c r="AS1792" s="36"/>
      <c r="AT1792" s="36"/>
      <c r="AU1792" s="36"/>
      <c r="AV1792" s="36"/>
      <c r="AW1792" s="36"/>
      <c r="AX1792" s="36"/>
      <c r="AY1792" s="36"/>
      <c r="AZ1792" s="36"/>
      <c r="BA1792" s="36"/>
      <c r="BB1792" s="36"/>
      <c r="BC1792" s="36"/>
      <c r="BD1792" s="27"/>
      <c r="BF1792">
        <f>ROWS($U$46:U1792)</f>
        <v>1747</v>
      </c>
      <c r="BG1792" t="str">
        <f t="shared" si="237"/>
        <v/>
      </c>
    </row>
    <row r="1793" spans="15:59" x14ac:dyDescent="0.35">
      <c r="O1793" s="3"/>
      <c r="P1793" s="36"/>
      <c r="Q1793" s="36"/>
      <c r="R1793" s="36"/>
      <c r="S1793" s="36">
        <v>12</v>
      </c>
      <c r="T1793" s="36" t="s">
        <v>2247</v>
      </c>
      <c r="U1793" s="36">
        <v>1239239</v>
      </c>
      <c r="V1793" s="165" t="s">
        <v>92</v>
      </c>
      <c r="W1793" s="36">
        <v>3</v>
      </c>
      <c r="X1793" s="36">
        <v>3</v>
      </c>
      <c r="Y1793" s="36">
        <v>3</v>
      </c>
      <c r="Z1793" s="36">
        <v>2</v>
      </c>
      <c r="AA1793" s="36">
        <v>2</v>
      </c>
      <c r="AB1793" s="36">
        <v>2</v>
      </c>
      <c r="AC1793" s="36">
        <v>1</v>
      </c>
      <c r="AD1793" s="36">
        <v>1</v>
      </c>
      <c r="AE1793" s="36">
        <v>1</v>
      </c>
      <c r="AF1793" s="36">
        <v>1</v>
      </c>
      <c r="AG1793" s="36">
        <v>4</v>
      </c>
      <c r="AH1793" s="36"/>
      <c r="AI1793" s="36"/>
      <c r="AJ1793" s="36">
        <v>5</v>
      </c>
      <c r="AK1793" s="36">
        <v>1</v>
      </c>
      <c r="AL1793" s="36">
        <v>1</v>
      </c>
      <c r="AM1793" s="36">
        <v>1</v>
      </c>
      <c r="AN1793" s="36">
        <v>1</v>
      </c>
      <c r="AO1793" s="36"/>
      <c r="AP1793" s="36"/>
      <c r="AQ1793" s="36"/>
      <c r="AR1793" s="36"/>
      <c r="AS1793" s="36"/>
      <c r="AT1793" s="36"/>
      <c r="AU1793" s="36"/>
      <c r="AV1793" s="36"/>
      <c r="AW1793" s="36"/>
      <c r="AX1793" s="36"/>
      <c r="AY1793" s="36"/>
      <c r="AZ1793" s="36"/>
      <c r="BA1793" s="36"/>
      <c r="BB1793" s="36"/>
      <c r="BC1793" s="36"/>
      <c r="BD1793" s="27"/>
      <c r="BF1793">
        <f>ROWS($U$46:U1793)</f>
        <v>1748</v>
      </c>
      <c r="BG1793" t="str">
        <f t="shared" si="237"/>
        <v/>
      </c>
    </row>
    <row r="1794" spans="15:59" x14ac:dyDescent="0.35">
      <c r="O1794" s="3"/>
      <c r="P1794" s="36"/>
      <c r="Q1794" s="36"/>
      <c r="R1794" s="36"/>
      <c r="S1794" s="36">
        <v>12</v>
      </c>
      <c r="T1794" s="36" t="s">
        <v>2247</v>
      </c>
      <c r="U1794" s="36">
        <v>1239239</v>
      </c>
      <c r="V1794" s="165" t="s">
        <v>111</v>
      </c>
      <c r="W1794" s="36">
        <v>2</v>
      </c>
      <c r="X1794" s="36">
        <v>2</v>
      </c>
      <c r="Y1794" s="36">
        <v>2</v>
      </c>
      <c r="Z1794" s="36">
        <v>1</v>
      </c>
      <c r="AA1794" s="36">
        <v>1</v>
      </c>
      <c r="AB1794" s="36">
        <v>1</v>
      </c>
      <c r="AC1794" s="36">
        <v>1</v>
      </c>
      <c r="AD1794" s="36">
        <v>4</v>
      </c>
      <c r="AE1794" s="36"/>
      <c r="AF1794" s="36"/>
      <c r="AG1794" s="36"/>
      <c r="AH1794" s="36"/>
      <c r="AI1794" s="36"/>
      <c r="AJ1794" s="36">
        <v>5</v>
      </c>
      <c r="AK1794" s="36">
        <v>1</v>
      </c>
      <c r="AL1794" s="36">
        <v>1</v>
      </c>
      <c r="AM1794" s="36">
        <v>1</v>
      </c>
      <c r="AN1794" s="36">
        <v>1</v>
      </c>
      <c r="AO1794" s="36"/>
      <c r="AP1794" s="36"/>
      <c r="AQ1794" s="36"/>
      <c r="AR1794" s="36"/>
      <c r="AS1794" s="36"/>
      <c r="AT1794" s="36"/>
      <c r="AU1794" s="36"/>
      <c r="AV1794" s="36"/>
      <c r="AW1794" s="36"/>
      <c r="AX1794" s="36"/>
      <c r="AY1794" s="36"/>
      <c r="AZ1794" s="36"/>
      <c r="BA1794" s="36"/>
      <c r="BB1794" s="36"/>
      <c r="BC1794" s="36"/>
      <c r="BD1794" s="27"/>
      <c r="BF1794">
        <f>ROWS($U$46:U1794)</f>
        <v>1749</v>
      </c>
      <c r="BG1794" t="str">
        <f t="shared" si="237"/>
        <v/>
      </c>
    </row>
    <row r="1795" spans="15:59" ht="15" thickBot="1" x14ac:dyDescent="0.4">
      <c r="O1795" s="76"/>
      <c r="P1795" s="328"/>
      <c r="Q1795" s="328"/>
      <c r="R1795" s="328"/>
      <c r="S1795" s="328">
        <v>12</v>
      </c>
      <c r="T1795" s="328" t="s">
        <v>2247</v>
      </c>
      <c r="U1795" s="328">
        <v>1239239</v>
      </c>
      <c r="V1795" s="327" t="s">
        <v>112</v>
      </c>
      <c r="W1795" s="328">
        <v>2</v>
      </c>
      <c r="X1795" s="328">
        <v>2</v>
      </c>
      <c r="Y1795" s="328">
        <v>2</v>
      </c>
      <c r="Z1795" s="328">
        <v>1</v>
      </c>
      <c r="AA1795" s="328">
        <v>1</v>
      </c>
      <c r="AB1795" s="328">
        <v>1</v>
      </c>
      <c r="AC1795" s="328">
        <v>1</v>
      </c>
      <c r="AD1795" s="328">
        <v>1</v>
      </c>
      <c r="AE1795" s="328">
        <v>4</v>
      </c>
      <c r="AF1795" s="328"/>
      <c r="AG1795" s="328"/>
      <c r="AH1795" s="328"/>
      <c r="AI1795" s="328"/>
      <c r="AJ1795" s="328">
        <v>5</v>
      </c>
      <c r="AK1795" s="328">
        <v>1</v>
      </c>
      <c r="AL1795" s="328">
        <v>1</v>
      </c>
      <c r="AM1795" s="328">
        <v>1</v>
      </c>
      <c r="AN1795" s="328">
        <v>1</v>
      </c>
      <c r="AO1795" s="328">
        <v>1</v>
      </c>
      <c r="AP1795" s="328"/>
      <c r="AQ1795" s="328"/>
      <c r="AR1795" s="328"/>
      <c r="AS1795" s="328"/>
      <c r="AT1795" s="328"/>
      <c r="AU1795" s="328"/>
      <c r="AV1795" s="328"/>
      <c r="AW1795" s="328"/>
      <c r="AX1795" s="328"/>
      <c r="AY1795" s="328"/>
      <c r="AZ1795" s="328"/>
      <c r="BA1795" s="328"/>
      <c r="BB1795" s="328"/>
      <c r="BC1795" s="328"/>
      <c r="BD1795" s="31"/>
      <c r="BF1795">
        <f>ROWS($U$46:U1795)</f>
        <v>1750</v>
      </c>
      <c r="BG1795" t="str">
        <f t="shared" si="237"/>
        <v/>
      </c>
    </row>
    <row r="1796" spans="15:59" x14ac:dyDescent="0.35">
      <c r="O1796" s="329">
        <v>1</v>
      </c>
      <c r="P1796" s="320">
        <v>1220688</v>
      </c>
      <c r="Q1796" s="320">
        <v>38</v>
      </c>
      <c r="R1796" s="320"/>
      <c r="S1796" s="320" t="s">
        <v>1421</v>
      </c>
      <c r="T1796" s="320" t="s">
        <v>2249</v>
      </c>
      <c r="U1796" s="1001">
        <v>1216970</v>
      </c>
      <c r="V1796" s="319" t="s">
        <v>87</v>
      </c>
      <c r="W1796" s="320">
        <v>1</v>
      </c>
      <c r="X1796" s="320">
        <v>1</v>
      </c>
      <c r="Y1796" s="320">
        <v>1</v>
      </c>
      <c r="Z1796" s="320">
        <v>1</v>
      </c>
      <c r="AA1796" s="320">
        <v>1</v>
      </c>
      <c r="AB1796" s="320"/>
      <c r="AC1796" s="320">
        <v>1</v>
      </c>
      <c r="AD1796" s="320">
        <v>1</v>
      </c>
      <c r="AE1796" s="320"/>
      <c r="AF1796" s="320"/>
      <c r="AG1796" s="320"/>
      <c r="AH1796" s="320"/>
      <c r="AI1796" s="320"/>
      <c r="AJ1796" s="320"/>
      <c r="AK1796" s="320"/>
      <c r="AL1796" s="320"/>
      <c r="AM1796" s="320"/>
      <c r="AN1796" s="320"/>
      <c r="AO1796" s="320"/>
      <c r="AP1796" s="320"/>
      <c r="AQ1796" s="320"/>
      <c r="AR1796" s="320"/>
      <c r="AS1796" s="320"/>
      <c r="AT1796" s="320"/>
      <c r="AU1796" s="320"/>
      <c r="AV1796" s="320"/>
      <c r="AW1796" s="320"/>
      <c r="AX1796" s="320"/>
      <c r="AY1796" s="320"/>
      <c r="AZ1796" s="974"/>
      <c r="BA1796" s="320"/>
      <c r="BB1796" s="320"/>
      <c r="BC1796" s="320"/>
      <c r="BD1796" s="119"/>
      <c r="BF1796">
        <f>ROWS($U$46:U1796)</f>
        <v>1751</v>
      </c>
      <c r="BG1796" t="str">
        <f t="shared" si="237"/>
        <v/>
      </c>
    </row>
    <row r="1797" spans="15:59" x14ac:dyDescent="0.35">
      <c r="O1797" s="330"/>
      <c r="P1797" s="36"/>
      <c r="Q1797" s="36"/>
      <c r="R1797" s="36"/>
      <c r="S1797" s="36" t="s">
        <v>1421</v>
      </c>
      <c r="T1797" s="36" t="s">
        <v>2249</v>
      </c>
      <c r="U1797" s="36">
        <v>1216970</v>
      </c>
      <c r="V1797" s="165" t="s">
        <v>88</v>
      </c>
      <c r="W1797" s="36">
        <v>1</v>
      </c>
      <c r="X1797" s="36">
        <v>1</v>
      </c>
      <c r="Y1797" s="36">
        <v>1</v>
      </c>
      <c r="Z1797" s="36"/>
      <c r="AA1797" s="36"/>
      <c r="AB1797" s="36"/>
      <c r="AC1797" s="36">
        <v>1</v>
      </c>
      <c r="AD1797" s="36">
        <v>1</v>
      </c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  <c r="AV1797" s="36"/>
      <c r="AW1797" s="36"/>
      <c r="AX1797" s="36"/>
      <c r="AY1797" s="36"/>
      <c r="AZ1797" s="961"/>
      <c r="BA1797" s="36"/>
      <c r="BB1797" s="36"/>
      <c r="BC1797" s="36"/>
      <c r="BD1797" s="27"/>
      <c r="BF1797">
        <f>ROWS($U$46:U1797)</f>
        <v>1752</v>
      </c>
      <c r="BG1797" t="str">
        <f t="shared" si="237"/>
        <v/>
      </c>
    </row>
    <row r="1798" spans="15:59" x14ac:dyDescent="0.35">
      <c r="O1798" s="330"/>
      <c r="P1798" s="36"/>
      <c r="Q1798" s="36"/>
      <c r="R1798" s="36"/>
      <c r="S1798" s="36" t="s">
        <v>1421</v>
      </c>
      <c r="T1798" s="36" t="s">
        <v>2249</v>
      </c>
      <c r="U1798" s="36">
        <v>1216970</v>
      </c>
      <c r="V1798" s="165" t="s">
        <v>89</v>
      </c>
      <c r="W1798" s="36">
        <v>1</v>
      </c>
      <c r="X1798" s="36">
        <v>1</v>
      </c>
      <c r="Y1798" s="36">
        <v>1</v>
      </c>
      <c r="Z1798" s="36">
        <v>1</v>
      </c>
      <c r="AA1798" s="36">
        <v>1</v>
      </c>
      <c r="AB1798" s="36"/>
      <c r="AC1798" s="36">
        <v>1</v>
      </c>
      <c r="AD1798" s="36">
        <v>1</v>
      </c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  <c r="AV1798" s="36"/>
      <c r="AW1798" s="36"/>
      <c r="AX1798" s="36"/>
      <c r="AY1798" s="36"/>
      <c r="AZ1798" s="961"/>
      <c r="BA1798" s="36"/>
      <c r="BB1798" s="36"/>
      <c r="BC1798" s="36"/>
      <c r="BD1798" s="27"/>
      <c r="BF1798">
        <f>ROWS($U$46:U1798)</f>
        <v>1753</v>
      </c>
      <c r="BG1798" t="str">
        <f t="shared" si="237"/>
        <v/>
      </c>
    </row>
    <row r="1799" spans="15:59" x14ac:dyDescent="0.35">
      <c r="O1799" s="330"/>
      <c r="P1799" s="36"/>
      <c r="Q1799" s="36"/>
      <c r="R1799" s="36"/>
      <c r="S1799" s="36" t="s">
        <v>1421</v>
      </c>
      <c r="T1799" s="36" t="s">
        <v>2249</v>
      </c>
      <c r="U1799" s="36">
        <v>1216970</v>
      </c>
      <c r="V1799" s="165" t="s">
        <v>90</v>
      </c>
      <c r="W1799" s="36">
        <v>1</v>
      </c>
      <c r="X1799" s="36">
        <v>1</v>
      </c>
      <c r="Y1799" s="36">
        <v>1</v>
      </c>
      <c r="Z1799" s="36">
        <v>1</v>
      </c>
      <c r="AA1799" s="36"/>
      <c r="AB1799" s="36"/>
      <c r="AC1799" s="36">
        <v>1</v>
      </c>
      <c r="AD1799" s="36">
        <v>1</v>
      </c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  <c r="AV1799" s="36"/>
      <c r="AW1799" s="36"/>
      <c r="AX1799" s="36"/>
      <c r="AY1799" s="36"/>
      <c r="AZ1799" s="961"/>
      <c r="BA1799" s="36"/>
      <c r="BB1799" s="36"/>
      <c r="BC1799" s="36"/>
      <c r="BD1799" s="27"/>
      <c r="BF1799">
        <f>ROWS($U$46:U1799)</f>
        <v>1754</v>
      </c>
      <c r="BG1799" t="str">
        <f t="shared" si="237"/>
        <v/>
      </c>
    </row>
    <row r="1800" spans="15:59" x14ac:dyDescent="0.35">
      <c r="O1800" s="330"/>
      <c r="P1800" s="36"/>
      <c r="Q1800" s="36"/>
      <c r="R1800" s="36"/>
      <c r="S1800" s="36" t="s">
        <v>1421</v>
      </c>
      <c r="T1800" s="36" t="s">
        <v>2249</v>
      </c>
      <c r="U1800" s="36">
        <v>1216970</v>
      </c>
      <c r="V1800" s="165" t="s">
        <v>91</v>
      </c>
      <c r="W1800" s="36">
        <v>1</v>
      </c>
      <c r="X1800" s="36">
        <v>1</v>
      </c>
      <c r="Y1800" s="36">
        <v>1</v>
      </c>
      <c r="Z1800" s="36">
        <v>1</v>
      </c>
      <c r="AA1800" s="36">
        <v>1</v>
      </c>
      <c r="AB1800" s="36"/>
      <c r="AC1800" s="36">
        <v>1</v>
      </c>
      <c r="AD1800" s="36">
        <v>1</v>
      </c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  <c r="AV1800" s="36"/>
      <c r="AW1800" s="36"/>
      <c r="AX1800" s="36"/>
      <c r="AY1800" s="36"/>
      <c r="AZ1800" s="961"/>
      <c r="BA1800" s="36"/>
      <c r="BB1800" s="36"/>
      <c r="BC1800" s="36"/>
      <c r="BD1800" s="27"/>
      <c r="BF1800">
        <f>ROWS($U$46:U1800)</f>
        <v>1755</v>
      </c>
      <c r="BG1800" t="str">
        <f t="shared" si="237"/>
        <v/>
      </c>
    </row>
    <row r="1801" spans="15:59" ht="15" thickBot="1" x14ac:dyDescent="0.4">
      <c r="O1801" s="331"/>
      <c r="P1801" s="328"/>
      <c r="Q1801" s="328"/>
      <c r="R1801" s="328"/>
      <c r="S1801" s="328" t="s">
        <v>1421</v>
      </c>
      <c r="T1801" s="328" t="s">
        <v>2249</v>
      </c>
      <c r="U1801" s="328">
        <v>1216970</v>
      </c>
      <c r="V1801" s="327" t="s">
        <v>92</v>
      </c>
      <c r="W1801" s="328">
        <v>1</v>
      </c>
      <c r="X1801" s="328">
        <v>1</v>
      </c>
      <c r="Y1801" s="328">
        <v>1</v>
      </c>
      <c r="Z1801" s="328">
        <v>1</v>
      </c>
      <c r="AA1801" s="328"/>
      <c r="AB1801" s="328"/>
      <c r="AC1801" s="328">
        <v>1</v>
      </c>
      <c r="AD1801" s="328">
        <v>1</v>
      </c>
      <c r="AE1801" s="328"/>
      <c r="AF1801" s="328"/>
      <c r="AG1801" s="328"/>
      <c r="AH1801" s="328"/>
      <c r="AI1801" s="328"/>
      <c r="AJ1801" s="328"/>
      <c r="AK1801" s="328"/>
      <c r="AL1801" s="328"/>
      <c r="AM1801" s="328"/>
      <c r="AN1801" s="328"/>
      <c r="AO1801" s="328"/>
      <c r="AP1801" s="328"/>
      <c r="AQ1801" s="328"/>
      <c r="AR1801" s="328"/>
      <c r="AS1801" s="328"/>
      <c r="AT1801" s="328"/>
      <c r="AU1801" s="328"/>
      <c r="AV1801" s="328"/>
      <c r="AW1801" s="328"/>
      <c r="AX1801" s="328"/>
      <c r="AY1801" s="328"/>
      <c r="AZ1801" s="962"/>
      <c r="BA1801" s="328"/>
      <c r="BB1801" s="328"/>
      <c r="BC1801" s="328"/>
      <c r="BD1801" s="31"/>
      <c r="BF1801">
        <f>ROWS($U$46:U1801)</f>
        <v>1756</v>
      </c>
      <c r="BG1801" t="str">
        <f t="shared" si="237"/>
        <v/>
      </c>
    </row>
    <row r="1802" spans="15:59" x14ac:dyDescent="0.35">
      <c r="O1802" s="329">
        <v>1</v>
      </c>
      <c r="P1802" s="320">
        <v>1165882</v>
      </c>
      <c r="Q1802" s="320">
        <v>30</v>
      </c>
      <c r="R1802" s="320"/>
      <c r="S1802" s="1010" t="s">
        <v>2261</v>
      </c>
      <c r="T1802" s="320" t="s">
        <v>2262</v>
      </c>
      <c r="U1802" s="67">
        <v>1257527</v>
      </c>
      <c r="V1802" s="319" t="s">
        <v>87</v>
      </c>
      <c r="W1802" s="320">
        <v>1</v>
      </c>
      <c r="X1802" s="320">
        <v>2</v>
      </c>
      <c r="Y1802" s="320">
        <v>2</v>
      </c>
      <c r="Z1802" s="320">
        <v>2</v>
      </c>
      <c r="AA1802" s="320">
        <v>2</v>
      </c>
      <c r="AB1802" s="320">
        <v>2</v>
      </c>
      <c r="AC1802" s="320">
        <v>2</v>
      </c>
      <c r="AD1802" s="320">
        <v>2</v>
      </c>
      <c r="AE1802" s="320">
        <v>2</v>
      </c>
      <c r="AF1802" s="320">
        <v>2</v>
      </c>
      <c r="AG1802" s="320">
        <v>1</v>
      </c>
      <c r="AH1802" s="320">
        <v>5</v>
      </c>
      <c r="AI1802" s="320"/>
      <c r="AJ1802" s="320">
        <v>7</v>
      </c>
      <c r="AK1802" s="320">
        <v>7</v>
      </c>
      <c r="AL1802" s="320">
        <v>6</v>
      </c>
      <c r="AM1802" s="320">
        <v>3</v>
      </c>
      <c r="AN1802" s="320">
        <v>3</v>
      </c>
      <c r="AO1802" s="320">
        <v>3</v>
      </c>
      <c r="AP1802" s="320">
        <v>3</v>
      </c>
      <c r="AQ1802" s="320">
        <v>4</v>
      </c>
      <c r="AR1802" s="320"/>
      <c r="AS1802" s="320"/>
      <c r="AT1802" s="320"/>
      <c r="AU1802" s="320"/>
      <c r="AV1802" s="320"/>
      <c r="AW1802" s="320"/>
      <c r="AX1802" s="320"/>
      <c r="AY1802" s="320"/>
      <c r="AZ1802" s="320"/>
      <c r="BA1802" s="320"/>
      <c r="BB1802" s="320"/>
      <c r="BC1802" s="119"/>
      <c r="BF1802">
        <f>ROWS($U$46:U1802)</f>
        <v>1757</v>
      </c>
      <c r="BG1802" t="str">
        <f t="shared" si="237"/>
        <v/>
      </c>
    </row>
    <row r="1803" spans="15:59" x14ac:dyDescent="0.35">
      <c r="O1803" s="330">
        <v>2</v>
      </c>
      <c r="P1803" s="36">
        <v>1209410</v>
      </c>
      <c r="Q1803" s="36">
        <v>27</v>
      </c>
      <c r="R1803" s="36"/>
      <c r="S1803" s="1011" t="s">
        <v>2261</v>
      </c>
      <c r="T1803" s="36" t="s">
        <v>2262</v>
      </c>
      <c r="U1803" s="36">
        <v>1257527</v>
      </c>
      <c r="V1803" s="165" t="s">
        <v>88</v>
      </c>
      <c r="W1803" s="36">
        <v>1</v>
      </c>
      <c r="X1803" s="36">
        <v>1</v>
      </c>
      <c r="Y1803" s="36">
        <v>1</v>
      </c>
      <c r="Z1803" s="36">
        <v>1</v>
      </c>
      <c r="AA1803" s="36">
        <v>1</v>
      </c>
      <c r="AB1803" s="36">
        <v>1</v>
      </c>
      <c r="AC1803" s="36">
        <v>1</v>
      </c>
      <c r="AD1803" s="36">
        <v>5</v>
      </c>
      <c r="AE1803" s="36"/>
      <c r="AF1803" s="36"/>
      <c r="AG1803" s="36"/>
      <c r="AH1803" s="36"/>
      <c r="AI1803" s="36"/>
      <c r="AJ1803" s="36">
        <v>6</v>
      </c>
      <c r="AK1803" s="36">
        <v>3</v>
      </c>
      <c r="AL1803" s="36">
        <v>3</v>
      </c>
      <c r="AM1803" s="36">
        <v>3</v>
      </c>
      <c r="AN1803" s="36">
        <v>3</v>
      </c>
      <c r="AO1803" s="36">
        <v>4</v>
      </c>
      <c r="AP1803" s="36"/>
      <c r="AQ1803" s="36"/>
      <c r="AR1803" s="36"/>
      <c r="AS1803" s="36"/>
      <c r="AT1803" s="36"/>
      <c r="AU1803" s="36"/>
      <c r="AV1803" s="36"/>
      <c r="AW1803" s="36"/>
      <c r="AX1803" s="36"/>
      <c r="AY1803" s="36"/>
      <c r="AZ1803" s="36"/>
      <c r="BA1803" s="36"/>
      <c r="BB1803" s="36"/>
      <c r="BC1803" s="27"/>
      <c r="BF1803">
        <f>ROWS($U$46:U1803)</f>
        <v>1758</v>
      </c>
      <c r="BG1803" t="str">
        <f t="shared" si="237"/>
        <v/>
      </c>
    </row>
    <row r="1804" spans="15:59" x14ac:dyDescent="0.35">
      <c r="O1804" s="330">
        <v>3</v>
      </c>
      <c r="P1804" s="36">
        <v>1165880</v>
      </c>
      <c r="Q1804" s="36">
        <v>26</v>
      </c>
      <c r="R1804" s="36"/>
      <c r="S1804" s="1011" t="s">
        <v>2261</v>
      </c>
      <c r="T1804" s="36" t="s">
        <v>2262</v>
      </c>
      <c r="U1804" s="36">
        <v>1257527</v>
      </c>
      <c r="V1804" s="165" t="s">
        <v>89</v>
      </c>
      <c r="W1804" s="36">
        <v>2</v>
      </c>
      <c r="X1804" s="36">
        <v>2</v>
      </c>
      <c r="Y1804" s="36">
        <v>2</v>
      </c>
      <c r="Z1804" s="36">
        <v>2</v>
      </c>
      <c r="AA1804" s="36">
        <v>2</v>
      </c>
      <c r="AB1804" s="36">
        <v>2</v>
      </c>
      <c r="AC1804" s="36">
        <v>2</v>
      </c>
      <c r="AD1804" s="36">
        <v>2</v>
      </c>
      <c r="AE1804" s="36">
        <v>2</v>
      </c>
      <c r="AF1804" s="36">
        <v>1</v>
      </c>
      <c r="AG1804" s="36">
        <v>5</v>
      </c>
      <c r="AH1804" s="36"/>
      <c r="AI1804" s="36"/>
      <c r="AJ1804" s="36">
        <v>7</v>
      </c>
      <c r="AK1804" s="36">
        <v>7</v>
      </c>
      <c r="AL1804" s="36">
        <v>6</v>
      </c>
      <c r="AM1804" s="36">
        <v>3</v>
      </c>
      <c r="AN1804" s="36">
        <v>3</v>
      </c>
      <c r="AO1804" s="36">
        <v>3</v>
      </c>
      <c r="AP1804" s="36">
        <v>3</v>
      </c>
      <c r="AQ1804" s="36">
        <v>4</v>
      </c>
      <c r="AR1804" s="36"/>
      <c r="AS1804" s="36"/>
      <c r="AT1804" s="36"/>
      <c r="AU1804" s="36"/>
      <c r="AV1804" s="36"/>
      <c r="AW1804" s="36"/>
      <c r="AX1804" s="36"/>
      <c r="AY1804" s="36"/>
      <c r="AZ1804" s="36"/>
      <c r="BA1804" s="36"/>
      <c r="BB1804" s="36"/>
      <c r="BC1804" s="27"/>
      <c r="BF1804">
        <f>ROWS($U$46:U1804)</f>
        <v>1759</v>
      </c>
      <c r="BG1804" t="str">
        <f t="shared" si="237"/>
        <v/>
      </c>
    </row>
    <row r="1805" spans="15:59" x14ac:dyDescent="0.35">
      <c r="O1805" s="330">
        <v>4</v>
      </c>
      <c r="P1805" s="36">
        <v>179734</v>
      </c>
      <c r="Q1805" s="36">
        <v>7</v>
      </c>
      <c r="R1805" s="36"/>
      <c r="S1805" s="1011" t="s">
        <v>2261</v>
      </c>
      <c r="T1805" s="36" t="s">
        <v>2262</v>
      </c>
      <c r="U1805" s="36">
        <v>1257527</v>
      </c>
      <c r="V1805" s="165" t="s">
        <v>90</v>
      </c>
      <c r="W1805" s="36">
        <v>1</v>
      </c>
      <c r="X1805" s="36">
        <v>1</v>
      </c>
      <c r="Y1805" s="36">
        <v>1</v>
      </c>
      <c r="Z1805" s="36">
        <v>1</v>
      </c>
      <c r="AA1805" s="36">
        <v>1</v>
      </c>
      <c r="AB1805" s="36">
        <v>1</v>
      </c>
      <c r="AC1805" s="36">
        <v>5</v>
      </c>
      <c r="AD1805" s="36"/>
      <c r="AE1805" s="36"/>
      <c r="AF1805" s="36"/>
      <c r="AG1805" s="36"/>
      <c r="AH1805" s="36"/>
      <c r="AI1805" s="36"/>
      <c r="AJ1805" s="36">
        <v>6</v>
      </c>
      <c r="AK1805" s="36">
        <v>3</v>
      </c>
      <c r="AL1805" s="36">
        <v>3</v>
      </c>
      <c r="AM1805" s="36">
        <v>3</v>
      </c>
      <c r="AN1805" s="36">
        <v>3</v>
      </c>
      <c r="AO1805" s="36">
        <v>4</v>
      </c>
      <c r="AP1805" s="36"/>
      <c r="AQ1805" s="36"/>
      <c r="AR1805" s="36"/>
      <c r="AS1805" s="36"/>
      <c r="AT1805" s="36"/>
      <c r="AU1805" s="36"/>
      <c r="AV1805" s="36"/>
      <c r="AW1805" s="36"/>
      <c r="AX1805" s="36"/>
      <c r="AY1805" s="36"/>
      <c r="AZ1805" s="36"/>
      <c r="BA1805" s="36"/>
      <c r="BB1805" s="36"/>
      <c r="BC1805" s="27"/>
      <c r="BF1805">
        <f>ROWS($U$46:U1805)</f>
        <v>1760</v>
      </c>
      <c r="BG1805" t="str">
        <f t="shared" si="237"/>
        <v/>
      </c>
    </row>
    <row r="1806" spans="15:59" x14ac:dyDescent="0.35">
      <c r="O1806" s="330">
        <v>5</v>
      </c>
      <c r="P1806" s="36">
        <v>418525</v>
      </c>
      <c r="Q1806" s="36">
        <v>7</v>
      </c>
      <c r="R1806" s="36"/>
      <c r="S1806" s="1011" t="s">
        <v>2261</v>
      </c>
      <c r="T1806" s="36" t="s">
        <v>2262</v>
      </c>
      <c r="U1806" s="36">
        <v>1257527</v>
      </c>
      <c r="V1806" s="165" t="s">
        <v>91</v>
      </c>
      <c r="W1806" s="36">
        <v>2</v>
      </c>
      <c r="X1806" s="36">
        <v>2</v>
      </c>
      <c r="Y1806" s="36">
        <v>2</v>
      </c>
      <c r="Z1806" s="36">
        <v>2</v>
      </c>
      <c r="AA1806" s="36">
        <v>2</v>
      </c>
      <c r="AB1806" s="36">
        <v>2</v>
      </c>
      <c r="AC1806" s="36">
        <v>2</v>
      </c>
      <c r="AD1806" s="36">
        <v>2</v>
      </c>
      <c r="AE1806" s="36">
        <v>2</v>
      </c>
      <c r="AF1806" s="36">
        <v>1</v>
      </c>
      <c r="AG1806" s="36">
        <v>5</v>
      </c>
      <c r="AH1806" s="36"/>
      <c r="AI1806" s="36"/>
      <c r="AJ1806" s="36">
        <v>7</v>
      </c>
      <c r="AK1806" s="36">
        <v>7</v>
      </c>
      <c r="AL1806" s="36">
        <v>6</v>
      </c>
      <c r="AM1806" s="36">
        <v>3</v>
      </c>
      <c r="AN1806" s="36">
        <v>3</v>
      </c>
      <c r="AO1806" s="36">
        <v>3</v>
      </c>
      <c r="AP1806" s="36">
        <v>4</v>
      </c>
      <c r="AQ1806" s="36"/>
      <c r="AR1806" s="36"/>
      <c r="AS1806" s="36"/>
      <c r="AT1806" s="36"/>
      <c r="AU1806" s="36"/>
      <c r="AV1806" s="36"/>
      <c r="AW1806" s="36"/>
      <c r="AX1806" s="36"/>
      <c r="AY1806" s="36"/>
      <c r="AZ1806" s="36"/>
      <c r="BA1806" s="36"/>
      <c r="BB1806" s="36"/>
      <c r="BC1806" s="27"/>
      <c r="BF1806">
        <f>ROWS($U$46:U1806)</f>
        <v>1761</v>
      </c>
      <c r="BG1806" t="str">
        <f t="shared" si="237"/>
        <v/>
      </c>
    </row>
    <row r="1807" spans="15:59" x14ac:dyDescent="0.35">
      <c r="O1807" s="330">
        <v>6</v>
      </c>
      <c r="P1807" s="36">
        <v>1189972</v>
      </c>
      <c r="Q1807" s="36">
        <v>7</v>
      </c>
      <c r="R1807" s="36"/>
      <c r="S1807" s="1011" t="s">
        <v>2261</v>
      </c>
      <c r="T1807" s="36" t="s">
        <v>2262</v>
      </c>
      <c r="U1807" s="36">
        <v>1257527</v>
      </c>
      <c r="V1807" s="165" t="s">
        <v>92</v>
      </c>
      <c r="W1807" s="36">
        <v>1</v>
      </c>
      <c r="X1807" s="36">
        <v>1</v>
      </c>
      <c r="Y1807" s="36">
        <v>1</v>
      </c>
      <c r="Z1807" s="36">
        <v>1</v>
      </c>
      <c r="AA1807" s="36">
        <v>1</v>
      </c>
      <c r="AB1807" s="36">
        <v>1</v>
      </c>
      <c r="AC1807" s="36">
        <v>5</v>
      </c>
      <c r="AD1807" s="36"/>
      <c r="AE1807" s="36"/>
      <c r="AF1807" s="36"/>
      <c r="AG1807" s="36"/>
      <c r="AH1807" s="36"/>
      <c r="AI1807" s="36"/>
      <c r="AJ1807" s="36">
        <v>6</v>
      </c>
      <c r="AK1807" s="36">
        <v>3</v>
      </c>
      <c r="AL1807" s="36">
        <v>3</v>
      </c>
      <c r="AM1807" s="36">
        <v>3</v>
      </c>
      <c r="AN1807" s="36">
        <v>4</v>
      </c>
      <c r="AO1807" s="36"/>
      <c r="AP1807" s="36"/>
      <c r="AQ1807" s="36"/>
      <c r="AR1807" s="36"/>
      <c r="AS1807" s="36"/>
      <c r="AT1807" s="36"/>
      <c r="AU1807" s="36"/>
      <c r="AV1807" s="36"/>
      <c r="AW1807" s="36"/>
      <c r="AX1807" s="36"/>
      <c r="AY1807" s="36"/>
      <c r="AZ1807" s="36"/>
      <c r="BA1807" s="36"/>
      <c r="BB1807" s="36"/>
      <c r="BC1807" s="27"/>
      <c r="BF1807">
        <f>ROWS($U$46:U1807)</f>
        <v>1762</v>
      </c>
      <c r="BG1807" t="str">
        <f t="shared" si="237"/>
        <v/>
      </c>
    </row>
    <row r="1808" spans="15:59" ht="15" thickBot="1" x14ac:dyDescent="0.4">
      <c r="O1808" s="331">
        <v>7</v>
      </c>
      <c r="P1808" s="328">
        <v>1086351</v>
      </c>
      <c r="Q1808" s="328">
        <v>6</v>
      </c>
      <c r="R1808" s="328"/>
      <c r="S1808" s="1012" t="s">
        <v>2261</v>
      </c>
      <c r="T1808" s="328" t="s">
        <v>2262</v>
      </c>
      <c r="U1808" s="328">
        <v>1257527</v>
      </c>
      <c r="V1808" s="327" t="s">
        <v>111</v>
      </c>
      <c r="W1808" s="328">
        <v>1</v>
      </c>
      <c r="X1808" s="328">
        <v>1</v>
      </c>
      <c r="Y1808" s="328">
        <v>1</v>
      </c>
      <c r="Z1808" s="328">
        <v>1</v>
      </c>
      <c r="AA1808" s="328">
        <v>1</v>
      </c>
      <c r="AB1808" s="328">
        <v>1</v>
      </c>
      <c r="AC1808" s="328">
        <v>1</v>
      </c>
      <c r="AD1808" s="328">
        <v>5</v>
      </c>
      <c r="AE1808" s="328"/>
      <c r="AF1808" s="328"/>
      <c r="AG1808" s="328"/>
      <c r="AH1808" s="328"/>
      <c r="AI1808" s="328"/>
      <c r="AJ1808" s="328">
        <v>6</v>
      </c>
      <c r="AK1808" s="328">
        <v>3</v>
      </c>
      <c r="AL1808" s="328">
        <v>3</v>
      </c>
      <c r="AM1808" s="328">
        <v>3</v>
      </c>
      <c r="AN1808" s="328">
        <v>3</v>
      </c>
      <c r="AO1808" s="328">
        <v>4</v>
      </c>
      <c r="AP1808" s="328"/>
      <c r="AQ1808" s="328"/>
      <c r="AR1808" s="328"/>
      <c r="AS1808" s="328"/>
      <c r="AT1808" s="328"/>
      <c r="AU1808" s="328"/>
      <c r="AV1808" s="328"/>
      <c r="AW1808" s="328"/>
      <c r="AX1808" s="328"/>
      <c r="AY1808" s="328"/>
      <c r="AZ1808" s="328"/>
      <c r="BA1808" s="328"/>
      <c r="BB1808" s="328"/>
      <c r="BC1808" s="31"/>
      <c r="BF1808">
        <f>ROWS($U$46:U1808)</f>
        <v>1763</v>
      </c>
      <c r="BG1808" t="str">
        <f t="shared" si="237"/>
        <v/>
      </c>
    </row>
    <row r="1809" spans="15:59" x14ac:dyDescent="0.35">
      <c r="O1809" s="329">
        <v>1</v>
      </c>
      <c r="P1809" s="320">
        <v>1219562</v>
      </c>
      <c r="Q1809" s="320">
        <v>42</v>
      </c>
      <c r="R1809" s="320"/>
      <c r="S1809" s="1010">
        <v>16</v>
      </c>
      <c r="T1809" s="320" t="s">
        <v>2263</v>
      </c>
      <c r="U1809" s="67">
        <v>1263988</v>
      </c>
      <c r="V1809" s="319" t="s">
        <v>87</v>
      </c>
      <c r="W1809" s="320">
        <v>3</v>
      </c>
      <c r="X1809" s="320">
        <v>3</v>
      </c>
      <c r="Y1809" s="320">
        <v>3</v>
      </c>
      <c r="Z1809" s="320">
        <v>3</v>
      </c>
      <c r="AA1809" s="320">
        <v>3</v>
      </c>
      <c r="AB1809" s="320">
        <v>3</v>
      </c>
      <c r="AC1809" s="320">
        <v>1</v>
      </c>
      <c r="AD1809" s="320">
        <v>1</v>
      </c>
      <c r="AE1809" s="320">
        <v>1</v>
      </c>
      <c r="AF1809" s="320">
        <v>1</v>
      </c>
      <c r="AG1809" s="320">
        <v>1</v>
      </c>
      <c r="AH1809" s="320">
        <v>1</v>
      </c>
      <c r="AI1809" s="320">
        <v>3</v>
      </c>
      <c r="AJ1809" s="320">
        <v>6</v>
      </c>
      <c r="AK1809" s="320">
        <v>6</v>
      </c>
      <c r="AL1809" s="320"/>
      <c r="AM1809" s="320">
        <v>7</v>
      </c>
      <c r="AN1809" s="320">
        <v>7</v>
      </c>
      <c r="AO1809" s="320">
        <v>7</v>
      </c>
      <c r="AP1809" s="320">
        <v>2</v>
      </c>
      <c r="AQ1809" s="320">
        <v>2</v>
      </c>
      <c r="AR1809" s="320">
        <v>2</v>
      </c>
      <c r="AS1809" s="320">
        <v>2</v>
      </c>
      <c r="AT1809" s="320">
        <v>2</v>
      </c>
      <c r="AU1809" s="320">
        <v>2</v>
      </c>
      <c r="AV1809" s="320">
        <v>5</v>
      </c>
      <c r="AW1809" s="320">
        <v>5</v>
      </c>
      <c r="AX1809" s="320">
        <v>4</v>
      </c>
      <c r="AY1809" s="320">
        <v>4</v>
      </c>
      <c r="AZ1809" s="320"/>
      <c r="BA1809" s="320"/>
      <c r="BB1809" s="320"/>
      <c r="BC1809" s="119"/>
      <c r="BF1809">
        <f>ROWS($U$46:U1809)</f>
        <v>1764</v>
      </c>
      <c r="BG1809" t="str">
        <f t="shared" si="237"/>
        <v/>
      </c>
    </row>
    <row r="1810" spans="15:59" x14ac:dyDescent="0.35">
      <c r="O1810" s="330">
        <v>2</v>
      </c>
      <c r="P1810" s="36">
        <v>1228929</v>
      </c>
      <c r="Q1810" s="36">
        <v>37</v>
      </c>
      <c r="R1810" s="36"/>
      <c r="S1810" s="1011">
        <v>16</v>
      </c>
      <c r="T1810" s="36" t="s">
        <v>2263</v>
      </c>
      <c r="U1810" s="36">
        <v>1263988</v>
      </c>
      <c r="V1810" s="165" t="s">
        <v>88</v>
      </c>
      <c r="W1810" s="36">
        <v>1</v>
      </c>
      <c r="X1810" s="36">
        <v>1</v>
      </c>
      <c r="Y1810" s="36">
        <v>1</v>
      </c>
      <c r="Z1810" s="36">
        <v>1</v>
      </c>
      <c r="AA1810" s="36">
        <v>1</v>
      </c>
      <c r="AB1810" s="36">
        <v>1</v>
      </c>
      <c r="AC1810" s="36">
        <v>3</v>
      </c>
      <c r="AD1810" s="36">
        <v>3</v>
      </c>
      <c r="AE1810" s="36">
        <v>6</v>
      </c>
      <c r="AF1810" s="36"/>
      <c r="AG1810" s="36"/>
      <c r="AH1810" s="36"/>
      <c r="AI1810" s="36"/>
      <c r="AJ1810" s="36"/>
      <c r="AK1810" s="36"/>
      <c r="AL1810" s="36"/>
      <c r="AM1810" s="36">
        <v>2</v>
      </c>
      <c r="AN1810" s="36">
        <v>2</v>
      </c>
      <c r="AO1810" s="36">
        <v>2</v>
      </c>
      <c r="AP1810" s="36">
        <v>2</v>
      </c>
      <c r="AQ1810" s="36">
        <v>2</v>
      </c>
      <c r="AR1810" s="36">
        <v>5</v>
      </c>
      <c r="AS1810" s="36">
        <v>5</v>
      </c>
      <c r="AT1810" s="36">
        <v>4</v>
      </c>
      <c r="AU1810" s="36">
        <v>4</v>
      </c>
      <c r="AV1810" s="36"/>
      <c r="AW1810" s="36"/>
      <c r="AX1810" s="36"/>
      <c r="AY1810" s="36"/>
      <c r="AZ1810" s="36"/>
      <c r="BA1810" s="36"/>
      <c r="BB1810" s="36"/>
      <c r="BC1810" s="27"/>
      <c r="BF1810">
        <f>ROWS($U$46:U1810)</f>
        <v>1765</v>
      </c>
      <c r="BG1810" t="str">
        <f t="shared" si="237"/>
        <v/>
      </c>
    </row>
    <row r="1811" spans="15:59" x14ac:dyDescent="0.35">
      <c r="O1811" s="330">
        <v>3</v>
      </c>
      <c r="P1811" s="36">
        <v>1165882</v>
      </c>
      <c r="Q1811" s="36">
        <v>28</v>
      </c>
      <c r="R1811" s="36"/>
      <c r="S1811" s="1011">
        <v>16</v>
      </c>
      <c r="T1811" s="36" t="s">
        <v>2263</v>
      </c>
      <c r="U1811" s="36">
        <v>1263988</v>
      </c>
      <c r="V1811" s="165" t="s">
        <v>89</v>
      </c>
      <c r="W1811" s="36">
        <v>3</v>
      </c>
      <c r="X1811" s="36">
        <v>3</v>
      </c>
      <c r="Y1811" s="36">
        <v>3</v>
      </c>
      <c r="Z1811" s="36">
        <v>3</v>
      </c>
      <c r="AA1811" s="36">
        <v>3</v>
      </c>
      <c r="AB1811" s="36">
        <v>1</v>
      </c>
      <c r="AC1811" s="36">
        <v>1</v>
      </c>
      <c r="AD1811" s="36">
        <v>1</v>
      </c>
      <c r="AE1811" s="36">
        <v>1</v>
      </c>
      <c r="AF1811" s="36">
        <v>1</v>
      </c>
      <c r="AG1811" s="36">
        <v>1</v>
      </c>
      <c r="AH1811" s="36">
        <v>3</v>
      </c>
      <c r="AI1811" s="36">
        <v>3</v>
      </c>
      <c r="AJ1811" s="36">
        <v>6</v>
      </c>
      <c r="AK1811" s="36"/>
      <c r="AL1811" s="36"/>
      <c r="AM1811" s="36">
        <v>7</v>
      </c>
      <c r="AN1811" s="36">
        <v>7</v>
      </c>
      <c r="AO1811" s="36">
        <v>7</v>
      </c>
      <c r="AP1811" s="36">
        <v>2</v>
      </c>
      <c r="AQ1811" s="36">
        <v>2</v>
      </c>
      <c r="AR1811" s="36">
        <v>2</v>
      </c>
      <c r="AS1811" s="36">
        <v>2</v>
      </c>
      <c r="AT1811" s="36">
        <v>2</v>
      </c>
      <c r="AU1811" s="36">
        <v>5</v>
      </c>
      <c r="AV1811" s="36">
        <v>5</v>
      </c>
      <c r="AW1811" s="36">
        <v>4</v>
      </c>
      <c r="AX1811" s="36">
        <v>4</v>
      </c>
      <c r="AY1811" s="36"/>
      <c r="AZ1811" s="36"/>
      <c r="BA1811" s="36"/>
      <c r="BB1811" s="36"/>
      <c r="BC1811" s="27"/>
      <c r="BF1811">
        <f>ROWS($U$46:U1811)</f>
        <v>1766</v>
      </c>
      <c r="BG1811" t="str">
        <f t="shared" si="237"/>
        <v/>
      </c>
    </row>
    <row r="1812" spans="15:59" x14ac:dyDescent="0.35">
      <c r="O1812" s="330">
        <v>4</v>
      </c>
      <c r="P1812" s="36">
        <v>179734</v>
      </c>
      <c r="Q1812" s="36">
        <v>14</v>
      </c>
      <c r="R1812" s="36"/>
      <c r="S1812" s="1011">
        <v>16</v>
      </c>
      <c r="T1812" s="36" t="s">
        <v>2263</v>
      </c>
      <c r="U1812" s="36">
        <v>1263988</v>
      </c>
      <c r="V1812" s="165" t="s">
        <v>90</v>
      </c>
      <c r="W1812" s="36">
        <v>1</v>
      </c>
      <c r="X1812" s="36">
        <v>1</v>
      </c>
      <c r="Y1812" s="36">
        <v>1</v>
      </c>
      <c r="Z1812" s="36">
        <v>1</v>
      </c>
      <c r="AA1812" s="36">
        <v>1</v>
      </c>
      <c r="AB1812" s="36">
        <v>1</v>
      </c>
      <c r="AC1812" s="36">
        <v>3</v>
      </c>
      <c r="AD1812" s="36">
        <v>6</v>
      </c>
      <c r="AE1812" s="36">
        <v>6</v>
      </c>
      <c r="AF1812" s="36"/>
      <c r="AG1812" s="36"/>
      <c r="AH1812" s="36"/>
      <c r="AI1812" s="36"/>
      <c r="AJ1812" s="36"/>
      <c r="AK1812" s="36"/>
      <c r="AL1812" s="36"/>
      <c r="AM1812" s="36">
        <v>2</v>
      </c>
      <c r="AN1812" s="36">
        <v>2</v>
      </c>
      <c r="AO1812" s="36">
        <v>2</v>
      </c>
      <c r="AP1812" s="36">
        <v>2</v>
      </c>
      <c r="AQ1812" s="36">
        <v>2</v>
      </c>
      <c r="AR1812" s="36">
        <v>5</v>
      </c>
      <c r="AS1812" s="36">
        <v>5</v>
      </c>
      <c r="AT1812" s="36">
        <v>4</v>
      </c>
      <c r="AU1812" s="36">
        <v>4</v>
      </c>
      <c r="AV1812" s="36"/>
      <c r="AW1812" s="36"/>
      <c r="AX1812" s="36"/>
      <c r="AY1812" s="36"/>
      <c r="AZ1812" s="36"/>
      <c r="BA1812" s="36"/>
      <c r="BB1812" s="36"/>
      <c r="BC1812" s="27"/>
      <c r="BF1812">
        <f>ROWS($U$46:U1812)</f>
        <v>1767</v>
      </c>
      <c r="BG1812" t="str">
        <f t="shared" si="237"/>
        <v/>
      </c>
    </row>
    <row r="1813" spans="15:59" x14ac:dyDescent="0.35">
      <c r="O1813" s="330">
        <v>5</v>
      </c>
      <c r="P1813" s="36">
        <v>1165880</v>
      </c>
      <c r="Q1813" s="36">
        <v>14</v>
      </c>
      <c r="R1813" s="36"/>
      <c r="S1813" s="1011">
        <v>16</v>
      </c>
      <c r="T1813" s="36" t="s">
        <v>2263</v>
      </c>
      <c r="U1813" s="36">
        <v>1263988</v>
      </c>
      <c r="V1813" s="165" t="s">
        <v>91</v>
      </c>
      <c r="W1813" s="36">
        <v>3</v>
      </c>
      <c r="X1813" s="36">
        <v>3</v>
      </c>
      <c r="Y1813" s="36">
        <v>3</v>
      </c>
      <c r="Z1813" s="36">
        <v>3</v>
      </c>
      <c r="AA1813" s="36">
        <v>3</v>
      </c>
      <c r="AB1813" s="36">
        <v>1</v>
      </c>
      <c r="AC1813" s="36">
        <v>1</v>
      </c>
      <c r="AD1813" s="36">
        <v>1</v>
      </c>
      <c r="AE1813" s="36">
        <v>1</v>
      </c>
      <c r="AF1813" s="36">
        <v>1</v>
      </c>
      <c r="AG1813" s="36">
        <v>1</v>
      </c>
      <c r="AH1813" s="36">
        <v>3</v>
      </c>
      <c r="AI1813" s="36">
        <v>3</v>
      </c>
      <c r="AJ1813" s="36">
        <v>6</v>
      </c>
      <c r="AK1813" s="36">
        <v>6</v>
      </c>
      <c r="AL1813" s="36"/>
      <c r="AM1813" s="36">
        <v>7</v>
      </c>
      <c r="AN1813" s="36">
        <v>7</v>
      </c>
      <c r="AO1813" s="36">
        <v>7</v>
      </c>
      <c r="AP1813" s="36">
        <v>2</v>
      </c>
      <c r="AQ1813" s="36">
        <v>2</v>
      </c>
      <c r="AR1813" s="36">
        <v>2</v>
      </c>
      <c r="AS1813" s="36">
        <v>2</v>
      </c>
      <c r="AT1813" s="36">
        <v>2</v>
      </c>
      <c r="AU1813" s="36">
        <v>2</v>
      </c>
      <c r="AV1813" s="36">
        <v>5</v>
      </c>
      <c r="AW1813" s="36">
        <v>5</v>
      </c>
      <c r="AX1813" s="36">
        <v>4</v>
      </c>
      <c r="AY1813" s="36">
        <v>4</v>
      </c>
      <c r="AZ1813" s="36"/>
      <c r="BA1813" s="36"/>
      <c r="BB1813" s="36"/>
      <c r="BC1813" s="27"/>
      <c r="BF1813">
        <f>ROWS($U$46:U1813)</f>
        <v>1768</v>
      </c>
      <c r="BG1813" t="str">
        <f t="shared" si="237"/>
        <v/>
      </c>
    </row>
    <row r="1814" spans="15:59" x14ac:dyDescent="0.35">
      <c r="O1814" s="330">
        <v>6</v>
      </c>
      <c r="P1814" s="36">
        <v>1165838</v>
      </c>
      <c r="Q1814" s="36">
        <v>10</v>
      </c>
      <c r="R1814" s="36"/>
      <c r="S1814" s="1011">
        <v>16</v>
      </c>
      <c r="T1814" s="36" t="s">
        <v>2263</v>
      </c>
      <c r="U1814" s="36">
        <v>1263988</v>
      </c>
      <c r="V1814" s="165" t="s">
        <v>92</v>
      </c>
      <c r="W1814" s="36">
        <v>1</v>
      </c>
      <c r="X1814" s="36">
        <v>1</v>
      </c>
      <c r="Y1814" s="36">
        <v>1</v>
      </c>
      <c r="Z1814" s="36">
        <v>1</v>
      </c>
      <c r="AA1814" s="36">
        <v>1</v>
      </c>
      <c r="AB1814" s="36">
        <v>1</v>
      </c>
      <c r="AC1814" s="36">
        <v>3</v>
      </c>
      <c r="AD1814" s="36">
        <v>3</v>
      </c>
      <c r="AE1814" s="36">
        <v>6</v>
      </c>
      <c r="AF1814" s="36"/>
      <c r="AG1814" s="36"/>
      <c r="AH1814" s="36"/>
      <c r="AI1814" s="36"/>
      <c r="AJ1814" s="36"/>
      <c r="AK1814" s="36"/>
      <c r="AL1814" s="36"/>
      <c r="AM1814" s="36">
        <v>2</v>
      </c>
      <c r="AN1814" s="36">
        <v>2</v>
      </c>
      <c r="AO1814" s="36">
        <v>2</v>
      </c>
      <c r="AP1814" s="36">
        <v>2</v>
      </c>
      <c r="AQ1814" s="36">
        <v>2</v>
      </c>
      <c r="AR1814" s="36">
        <v>5</v>
      </c>
      <c r="AS1814" s="36">
        <v>5</v>
      </c>
      <c r="AT1814" s="36">
        <v>4</v>
      </c>
      <c r="AU1814" s="36">
        <v>4</v>
      </c>
      <c r="AV1814" s="36"/>
      <c r="AW1814" s="36"/>
      <c r="AX1814" s="36"/>
      <c r="AY1814" s="36"/>
      <c r="AZ1814" s="36"/>
      <c r="BA1814" s="36"/>
      <c r="BB1814" s="36"/>
      <c r="BC1814" s="27"/>
      <c r="BF1814">
        <f>ROWS($U$46:U1814)</f>
        <v>1769</v>
      </c>
      <c r="BG1814" t="str">
        <f t="shared" si="237"/>
        <v/>
      </c>
    </row>
    <row r="1815" spans="15:59" ht="15" thickBot="1" x14ac:dyDescent="0.4">
      <c r="O1815" s="331">
        <v>7</v>
      </c>
      <c r="P1815" s="328">
        <v>1086351</v>
      </c>
      <c r="Q1815" s="328">
        <v>9</v>
      </c>
      <c r="R1815" s="328"/>
      <c r="S1815" s="1012">
        <v>16</v>
      </c>
      <c r="T1815" s="328" t="s">
        <v>2263</v>
      </c>
      <c r="U1815" s="328">
        <v>1263988</v>
      </c>
      <c r="V1815" s="327" t="s">
        <v>111</v>
      </c>
      <c r="W1815" s="328">
        <v>1</v>
      </c>
      <c r="X1815" s="328">
        <v>1</v>
      </c>
      <c r="Y1815" s="328">
        <v>1</v>
      </c>
      <c r="Z1815" s="328">
        <v>1</v>
      </c>
      <c r="AA1815" s="328">
        <v>1</v>
      </c>
      <c r="AB1815" s="328">
        <v>1</v>
      </c>
      <c r="AC1815" s="328">
        <v>3</v>
      </c>
      <c r="AD1815" s="328">
        <v>3</v>
      </c>
      <c r="AE1815" s="328">
        <v>6</v>
      </c>
      <c r="AF1815" s="328"/>
      <c r="AG1815" s="328"/>
      <c r="AH1815" s="328"/>
      <c r="AI1815" s="328"/>
      <c r="AJ1815" s="328"/>
      <c r="AK1815" s="328"/>
      <c r="AL1815" s="328"/>
      <c r="AM1815" s="328">
        <v>2</v>
      </c>
      <c r="AN1815" s="328">
        <v>2</v>
      </c>
      <c r="AO1815" s="328">
        <v>2</v>
      </c>
      <c r="AP1815" s="328">
        <v>2</v>
      </c>
      <c r="AQ1815" s="328">
        <v>2</v>
      </c>
      <c r="AR1815" s="328">
        <v>5</v>
      </c>
      <c r="AS1815" s="328">
        <v>5</v>
      </c>
      <c r="AT1815" s="328">
        <v>4</v>
      </c>
      <c r="AU1815" s="328">
        <v>4</v>
      </c>
      <c r="AV1815" s="328"/>
      <c r="AW1815" s="328"/>
      <c r="AX1815" s="328"/>
      <c r="AY1815" s="328"/>
      <c r="AZ1815" s="328"/>
      <c r="BA1815" s="328"/>
      <c r="BB1815" s="328"/>
      <c r="BC1815" s="31"/>
      <c r="BF1815">
        <f>ROWS($U$46:U1815)</f>
        <v>1770</v>
      </c>
      <c r="BG1815" t="str">
        <f t="shared" si="237"/>
        <v/>
      </c>
    </row>
    <row r="1816" spans="15:59" x14ac:dyDescent="0.35">
      <c r="O1816" s="329">
        <v>1</v>
      </c>
      <c r="P1816" s="320">
        <v>1165882</v>
      </c>
      <c r="Q1816" s="320">
        <v>30</v>
      </c>
      <c r="R1816" s="320"/>
      <c r="S1816" s="1010">
        <v>12.25</v>
      </c>
      <c r="T1816" s="320" t="s">
        <v>2264</v>
      </c>
      <c r="U1816" s="67">
        <v>1211650</v>
      </c>
      <c r="V1816" s="319" t="s">
        <v>87</v>
      </c>
      <c r="W1816" s="320">
        <v>1</v>
      </c>
      <c r="X1816" s="320">
        <v>2</v>
      </c>
      <c r="Y1816" s="320">
        <v>2</v>
      </c>
      <c r="Z1816" s="320">
        <v>2</v>
      </c>
      <c r="AA1816" s="320">
        <v>2</v>
      </c>
      <c r="AB1816" s="320">
        <v>2</v>
      </c>
      <c r="AC1816" s="320">
        <v>2</v>
      </c>
      <c r="AD1816" s="320">
        <v>2</v>
      </c>
      <c r="AE1816" s="320">
        <v>2</v>
      </c>
      <c r="AF1816" s="320">
        <v>2</v>
      </c>
      <c r="AG1816" s="320">
        <v>1</v>
      </c>
      <c r="AH1816" s="320">
        <v>5</v>
      </c>
      <c r="AI1816" s="320"/>
      <c r="AJ1816" s="320">
        <v>7</v>
      </c>
      <c r="AK1816" s="320">
        <v>7</v>
      </c>
      <c r="AL1816" s="320">
        <v>6</v>
      </c>
      <c r="AM1816" s="320">
        <v>3</v>
      </c>
      <c r="AN1816" s="320">
        <v>3</v>
      </c>
      <c r="AO1816" s="320">
        <v>3</v>
      </c>
      <c r="AP1816" s="320">
        <v>3</v>
      </c>
      <c r="AQ1816" s="320">
        <v>4</v>
      </c>
      <c r="AR1816" s="320"/>
      <c r="AS1816" s="320"/>
      <c r="AT1816" s="320"/>
      <c r="AU1816" s="320"/>
      <c r="AV1816" s="320"/>
      <c r="AW1816" s="320"/>
      <c r="AX1816" s="320"/>
      <c r="AY1816" s="320"/>
      <c r="AZ1816" s="320"/>
      <c r="BA1816" s="320"/>
      <c r="BB1816" s="320"/>
      <c r="BC1816" s="119"/>
      <c r="BF1816">
        <f>ROWS($U$46:U1816)</f>
        <v>1771</v>
      </c>
      <c r="BG1816" t="str">
        <f t="shared" si="237"/>
        <v/>
      </c>
    </row>
    <row r="1817" spans="15:59" x14ac:dyDescent="0.35">
      <c r="O1817" s="330">
        <v>2</v>
      </c>
      <c r="P1817" s="36">
        <v>1209410</v>
      </c>
      <c r="Q1817" s="36">
        <v>27</v>
      </c>
      <c r="R1817" s="36"/>
      <c r="S1817" s="1011">
        <v>12.25</v>
      </c>
      <c r="T1817" s="36" t="s">
        <v>2264</v>
      </c>
      <c r="U1817" s="36">
        <v>1211650</v>
      </c>
      <c r="V1817" s="165" t="s">
        <v>88</v>
      </c>
      <c r="W1817" s="36">
        <v>1</v>
      </c>
      <c r="X1817" s="36">
        <v>1</v>
      </c>
      <c r="Y1817" s="36">
        <v>1</v>
      </c>
      <c r="Z1817" s="36">
        <v>1</v>
      </c>
      <c r="AA1817" s="36">
        <v>1</v>
      </c>
      <c r="AB1817" s="36">
        <v>1</v>
      </c>
      <c r="AC1817" s="36">
        <v>1</v>
      </c>
      <c r="AD1817" s="36">
        <v>5</v>
      </c>
      <c r="AE1817" s="36"/>
      <c r="AF1817" s="36"/>
      <c r="AG1817" s="36"/>
      <c r="AH1817" s="36"/>
      <c r="AI1817" s="36"/>
      <c r="AJ1817" s="36">
        <v>6</v>
      </c>
      <c r="AK1817" s="36">
        <v>3</v>
      </c>
      <c r="AL1817" s="36">
        <v>3</v>
      </c>
      <c r="AM1817" s="36">
        <v>3</v>
      </c>
      <c r="AN1817" s="36">
        <v>3</v>
      </c>
      <c r="AO1817" s="36">
        <v>4</v>
      </c>
      <c r="AP1817" s="36"/>
      <c r="AQ1817" s="36"/>
      <c r="AR1817" s="36"/>
      <c r="AS1817" s="36"/>
      <c r="AT1817" s="36"/>
      <c r="AU1817" s="36"/>
      <c r="AV1817" s="36"/>
      <c r="AW1817" s="36"/>
      <c r="AX1817" s="36"/>
      <c r="AY1817" s="36"/>
      <c r="AZ1817" s="36"/>
      <c r="BA1817" s="36"/>
      <c r="BB1817" s="36"/>
      <c r="BC1817" s="27"/>
      <c r="BF1817">
        <f>ROWS($U$46:U1817)</f>
        <v>1772</v>
      </c>
      <c r="BG1817" t="str">
        <f t="shared" si="237"/>
        <v/>
      </c>
    </row>
    <row r="1818" spans="15:59" x14ac:dyDescent="0.35">
      <c r="O1818" s="330">
        <v>3</v>
      </c>
      <c r="P1818" s="36">
        <v>1165880</v>
      </c>
      <c r="Q1818" s="36">
        <v>26</v>
      </c>
      <c r="R1818" s="36"/>
      <c r="S1818" s="1011">
        <v>12.25</v>
      </c>
      <c r="T1818" s="36" t="s">
        <v>2264</v>
      </c>
      <c r="U1818" s="36">
        <v>1211650</v>
      </c>
      <c r="V1818" s="165" t="s">
        <v>89</v>
      </c>
      <c r="W1818" s="36">
        <v>2</v>
      </c>
      <c r="X1818" s="36">
        <v>2</v>
      </c>
      <c r="Y1818" s="36">
        <v>2</v>
      </c>
      <c r="Z1818" s="36">
        <v>2</v>
      </c>
      <c r="AA1818" s="36">
        <v>2</v>
      </c>
      <c r="AB1818" s="36">
        <v>2</v>
      </c>
      <c r="AC1818" s="36">
        <v>2</v>
      </c>
      <c r="AD1818" s="36">
        <v>2</v>
      </c>
      <c r="AE1818" s="36">
        <v>2</v>
      </c>
      <c r="AF1818" s="36">
        <v>1</v>
      </c>
      <c r="AG1818" s="36">
        <v>5</v>
      </c>
      <c r="AH1818" s="36"/>
      <c r="AI1818" s="36"/>
      <c r="AJ1818" s="36">
        <v>7</v>
      </c>
      <c r="AK1818" s="36">
        <v>7</v>
      </c>
      <c r="AL1818" s="36">
        <v>6</v>
      </c>
      <c r="AM1818" s="36">
        <v>3</v>
      </c>
      <c r="AN1818" s="36">
        <v>3</v>
      </c>
      <c r="AO1818" s="36">
        <v>3</v>
      </c>
      <c r="AP1818" s="36">
        <v>3</v>
      </c>
      <c r="AQ1818" s="36">
        <v>4</v>
      </c>
      <c r="AR1818" s="36"/>
      <c r="AS1818" s="36"/>
      <c r="AT1818" s="36"/>
      <c r="AU1818" s="36"/>
      <c r="AV1818" s="36"/>
      <c r="AW1818" s="36"/>
      <c r="AX1818" s="36"/>
      <c r="AY1818" s="36"/>
      <c r="AZ1818" s="36"/>
      <c r="BA1818" s="36"/>
      <c r="BB1818" s="36"/>
      <c r="BC1818" s="27"/>
      <c r="BF1818">
        <f>ROWS($U$46:U1818)</f>
        <v>1773</v>
      </c>
      <c r="BG1818" t="str">
        <f t="shared" si="237"/>
        <v/>
      </c>
    </row>
    <row r="1819" spans="15:59" x14ac:dyDescent="0.35">
      <c r="O1819" s="330">
        <v>4</v>
      </c>
      <c r="P1819" s="36">
        <v>179734</v>
      </c>
      <c r="Q1819" s="36">
        <v>7</v>
      </c>
      <c r="R1819" s="36"/>
      <c r="S1819" s="1011">
        <v>12.25</v>
      </c>
      <c r="T1819" s="36" t="s">
        <v>2264</v>
      </c>
      <c r="U1819" s="36">
        <v>1211650</v>
      </c>
      <c r="V1819" s="165" t="s">
        <v>90</v>
      </c>
      <c r="W1819" s="36">
        <v>1</v>
      </c>
      <c r="X1819" s="36">
        <v>1</v>
      </c>
      <c r="Y1819" s="36">
        <v>1</v>
      </c>
      <c r="Z1819" s="36">
        <v>1</v>
      </c>
      <c r="AA1819" s="36">
        <v>1</v>
      </c>
      <c r="AB1819" s="36">
        <v>1</v>
      </c>
      <c r="AC1819" s="36">
        <v>5</v>
      </c>
      <c r="AD1819" s="36"/>
      <c r="AE1819" s="36"/>
      <c r="AF1819" s="36"/>
      <c r="AG1819" s="36"/>
      <c r="AH1819" s="36"/>
      <c r="AI1819" s="36"/>
      <c r="AJ1819" s="36">
        <v>6</v>
      </c>
      <c r="AK1819" s="36">
        <v>3</v>
      </c>
      <c r="AL1819" s="36">
        <v>3</v>
      </c>
      <c r="AM1819" s="36">
        <v>3</v>
      </c>
      <c r="AN1819" s="36">
        <v>3</v>
      </c>
      <c r="AO1819" s="36">
        <v>4</v>
      </c>
      <c r="AP1819" s="36"/>
      <c r="AQ1819" s="36"/>
      <c r="AR1819" s="36"/>
      <c r="AS1819" s="36"/>
      <c r="AT1819" s="36"/>
      <c r="AU1819" s="36"/>
      <c r="AV1819" s="36"/>
      <c r="AW1819" s="36"/>
      <c r="AX1819" s="36"/>
      <c r="AY1819" s="36"/>
      <c r="AZ1819" s="36"/>
      <c r="BA1819" s="36"/>
      <c r="BB1819" s="36"/>
      <c r="BC1819" s="27"/>
      <c r="BF1819">
        <f>ROWS($U$46:U1819)</f>
        <v>1774</v>
      </c>
      <c r="BG1819" t="str">
        <f t="shared" si="237"/>
        <v/>
      </c>
    </row>
    <row r="1820" spans="15:59" x14ac:dyDescent="0.35">
      <c r="O1820" s="330">
        <v>5</v>
      </c>
      <c r="P1820" s="36">
        <v>418525</v>
      </c>
      <c r="Q1820" s="36">
        <v>7</v>
      </c>
      <c r="R1820" s="36"/>
      <c r="S1820" s="1011">
        <v>12.25</v>
      </c>
      <c r="T1820" s="36" t="s">
        <v>2264</v>
      </c>
      <c r="U1820" s="36">
        <v>1211650</v>
      </c>
      <c r="V1820" s="165" t="s">
        <v>91</v>
      </c>
      <c r="W1820" s="36">
        <v>2</v>
      </c>
      <c r="X1820" s="36">
        <v>2</v>
      </c>
      <c r="Y1820" s="36">
        <v>2</v>
      </c>
      <c r="Z1820" s="36">
        <v>2</v>
      </c>
      <c r="AA1820" s="36">
        <v>2</v>
      </c>
      <c r="AB1820" s="36">
        <v>2</v>
      </c>
      <c r="AC1820" s="36">
        <v>2</v>
      </c>
      <c r="AD1820" s="36">
        <v>2</v>
      </c>
      <c r="AE1820" s="36">
        <v>2</v>
      </c>
      <c r="AF1820" s="36">
        <v>1</v>
      </c>
      <c r="AG1820" s="36">
        <v>5</v>
      </c>
      <c r="AH1820" s="36"/>
      <c r="AI1820" s="36"/>
      <c r="AJ1820" s="36">
        <v>7</v>
      </c>
      <c r="AK1820" s="36">
        <v>7</v>
      </c>
      <c r="AL1820" s="36">
        <v>6</v>
      </c>
      <c r="AM1820" s="36">
        <v>3</v>
      </c>
      <c r="AN1820" s="36">
        <v>3</v>
      </c>
      <c r="AO1820" s="36">
        <v>3</v>
      </c>
      <c r="AP1820" s="36">
        <v>4</v>
      </c>
      <c r="AQ1820" s="36"/>
      <c r="AR1820" s="36"/>
      <c r="AS1820" s="36"/>
      <c r="AT1820" s="36"/>
      <c r="AU1820" s="36"/>
      <c r="AV1820" s="36"/>
      <c r="AW1820" s="36"/>
      <c r="AX1820" s="36"/>
      <c r="AY1820" s="36"/>
      <c r="AZ1820" s="36"/>
      <c r="BA1820" s="36"/>
      <c r="BB1820" s="36"/>
      <c r="BC1820" s="27"/>
      <c r="BF1820">
        <f>ROWS($U$46:U1820)</f>
        <v>1775</v>
      </c>
      <c r="BG1820" t="str">
        <f t="shared" si="237"/>
        <v/>
      </c>
    </row>
    <row r="1821" spans="15:59" x14ac:dyDescent="0.35">
      <c r="O1821" s="330">
        <v>6</v>
      </c>
      <c r="P1821" s="36">
        <v>1189972</v>
      </c>
      <c r="Q1821" s="36">
        <v>7</v>
      </c>
      <c r="R1821" s="36"/>
      <c r="S1821" s="1011">
        <v>12.25</v>
      </c>
      <c r="T1821" s="36" t="s">
        <v>2264</v>
      </c>
      <c r="U1821" s="36">
        <v>1211650</v>
      </c>
      <c r="V1821" s="165" t="s">
        <v>92</v>
      </c>
      <c r="W1821" s="36">
        <v>1</v>
      </c>
      <c r="X1821" s="36">
        <v>1</v>
      </c>
      <c r="Y1821" s="36">
        <v>1</v>
      </c>
      <c r="Z1821" s="36">
        <v>1</v>
      </c>
      <c r="AA1821" s="36">
        <v>1</v>
      </c>
      <c r="AB1821" s="36">
        <v>1</v>
      </c>
      <c r="AC1821" s="36">
        <v>5</v>
      </c>
      <c r="AD1821" s="36"/>
      <c r="AE1821" s="36"/>
      <c r="AF1821" s="36"/>
      <c r="AG1821" s="36"/>
      <c r="AH1821" s="36"/>
      <c r="AI1821" s="36"/>
      <c r="AJ1821" s="36">
        <v>6</v>
      </c>
      <c r="AK1821" s="36">
        <v>3</v>
      </c>
      <c r="AL1821" s="36">
        <v>3</v>
      </c>
      <c r="AM1821" s="36">
        <v>3</v>
      </c>
      <c r="AN1821" s="36">
        <v>4</v>
      </c>
      <c r="AO1821" s="36"/>
      <c r="AP1821" s="36"/>
      <c r="AQ1821" s="36"/>
      <c r="AR1821" s="36"/>
      <c r="AS1821" s="36"/>
      <c r="AT1821" s="36"/>
      <c r="AU1821" s="36"/>
      <c r="AV1821" s="36"/>
      <c r="AW1821" s="36"/>
      <c r="AX1821" s="36"/>
      <c r="AY1821" s="36"/>
      <c r="AZ1821" s="36"/>
      <c r="BA1821" s="36"/>
      <c r="BB1821" s="36"/>
      <c r="BC1821" s="27"/>
      <c r="BF1821">
        <f>ROWS($U$46:U1821)</f>
        <v>1776</v>
      </c>
      <c r="BG1821" t="str">
        <f t="shared" si="237"/>
        <v/>
      </c>
    </row>
    <row r="1822" spans="15:59" ht="15" thickBot="1" x14ac:dyDescent="0.4">
      <c r="O1822" s="331">
        <v>7</v>
      </c>
      <c r="P1822" s="328">
        <v>1086351</v>
      </c>
      <c r="Q1822" s="328">
        <v>6</v>
      </c>
      <c r="R1822" s="328"/>
      <c r="S1822" s="1012">
        <v>12.25</v>
      </c>
      <c r="T1822" s="328" t="s">
        <v>2264</v>
      </c>
      <c r="U1822" s="328">
        <v>1211650</v>
      </c>
      <c r="V1822" s="327" t="s">
        <v>111</v>
      </c>
      <c r="W1822" s="328">
        <v>1</v>
      </c>
      <c r="X1822" s="328">
        <v>1</v>
      </c>
      <c r="Y1822" s="328">
        <v>1</v>
      </c>
      <c r="Z1822" s="328">
        <v>1</v>
      </c>
      <c r="AA1822" s="328">
        <v>1</v>
      </c>
      <c r="AB1822" s="328">
        <v>1</v>
      </c>
      <c r="AC1822" s="328">
        <v>1</v>
      </c>
      <c r="AD1822" s="328">
        <v>5</v>
      </c>
      <c r="AE1822" s="328"/>
      <c r="AF1822" s="328"/>
      <c r="AG1822" s="328"/>
      <c r="AH1822" s="328"/>
      <c r="AI1822" s="328"/>
      <c r="AJ1822" s="328">
        <v>6</v>
      </c>
      <c r="AK1822" s="328">
        <v>3</v>
      </c>
      <c r="AL1822" s="328">
        <v>3</v>
      </c>
      <c r="AM1822" s="328">
        <v>3</v>
      </c>
      <c r="AN1822" s="328">
        <v>3</v>
      </c>
      <c r="AO1822" s="328">
        <v>4</v>
      </c>
      <c r="AP1822" s="328"/>
      <c r="AQ1822" s="328"/>
      <c r="AR1822" s="328"/>
      <c r="AS1822" s="328"/>
      <c r="AT1822" s="328"/>
      <c r="AU1822" s="328"/>
      <c r="AV1822" s="328"/>
      <c r="AW1822" s="328"/>
      <c r="AX1822" s="328"/>
      <c r="AY1822" s="328"/>
      <c r="AZ1822" s="328"/>
      <c r="BA1822" s="328"/>
      <c r="BB1822" s="328"/>
      <c r="BC1822" s="31"/>
      <c r="BF1822">
        <f>ROWS($U$46:U1822)</f>
        <v>1777</v>
      </c>
      <c r="BG1822" t="str">
        <f t="shared" si="237"/>
        <v/>
      </c>
    </row>
    <row r="1823" spans="15:59" x14ac:dyDescent="0.35">
      <c r="O1823" s="329">
        <v>1</v>
      </c>
      <c r="P1823" s="320">
        <v>1165882</v>
      </c>
      <c r="Q1823" s="320">
        <v>19</v>
      </c>
      <c r="R1823" s="320"/>
      <c r="S1823" s="1010">
        <v>8.5</v>
      </c>
      <c r="T1823" s="320" t="s">
        <v>2265</v>
      </c>
      <c r="U1823" s="67">
        <v>1238637</v>
      </c>
      <c r="V1823" s="319" t="s">
        <v>87</v>
      </c>
      <c r="W1823" s="320">
        <v>4</v>
      </c>
      <c r="X1823" s="320">
        <v>4</v>
      </c>
      <c r="Y1823" s="320">
        <v>3</v>
      </c>
      <c r="Z1823" s="320">
        <v>3</v>
      </c>
      <c r="AA1823" s="320">
        <v>3</v>
      </c>
      <c r="AB1823" s="320">
        <v>3</v>
      </c>
      <c r="AC1823" s="320">
        <v>1</v>
      </c>
      <c r="AD1823" s="320">
        <v>4</v>
      </c>
      <c r="AE1823" s="320">
        <v>5</v>
      </c>
      <c r="AF1823" s="320"/>
      <c r="AG1823" s="320">
        <v>2</v>
      </c>
      <c r="AH1823" s="320">
        <v>2</v>
      </c>
      <c r="AI1823" s="320"/>
      <c r="AJ1823" s="320"/>
      <c r="AK1823" s="320"/>
      <c r="AL1823" s="320"/>
      <c r="AM1823" s="320"/>
      <c r="AN1823" s="320"/>
      <c r="AO1823" s="320"/>
      <c r="AP1823" s="320"/>
      <c r="AQ1823" s="320"/>
      <c r="AR1823" s="320"/>
      <c r="AS1823" s="320"/>
      <c r="AT1823" s="320"/>
      <c r="AU1823" s="320"/>
      <c r="AV1823" s="320"/>
      <c r="AW1823" s="320"/>
      <c r="AX1823" s="320"/>
      <c r="AY1823" s="320"/>
      <c r="AZ1823" s="320"/>
      <c r="BA1823" s="320"/>
      <c r="BB1823" s="320"/>
      <c r="BC1823" s="119"/>
      <c r="BF1823">
        <f>ROWS($U$46:U1823)</f>
        <v>1778</v>
      </c>
      <c r="BG1823" t="str">
        <f t="shared" si="237"/>
        <v/>
      </c>
    </row>
    <row r="1824" spans="15:59" x14ac:dyDescent="0.35">
      <c r="O1824" s="330">
        <v>2</v>
      </c>
      <c r="P1824" s="36">
        <v>1189972</v>
      </c>
      <c r="Q1824" s="36">
        <v>14</v>
      </c>
      <c r="R1824" s="36"/>
      <c r="S1824" s="1011">
        <v>8.5</v>
      </c>
      <c r="T1824" s="36" t="s">
        <v>2265</v>
      </c>
      <c r="U1824" s="36">
        <v>1238637</v>
      </c>
      <c r="V1824" s="165" t="s">
        <v>88</v>
      </c>
      <c r="W1824" s="36">
        <v>1</v>
      </c>
      <c r="X1824" s="36">
        <v>1</v>
      </c>
      <c r="Y1824" s="36">
        <v>1</v>
      </c>
      <c r="Z1824" s="36">
        <v>1</v>
      </c>
      <c r="AA1824" s="36">
        <v>4</v>
      </c>
      <c r="AB1824" s="36">
        <v>5</v>
      </c>
      <c r="AC1824" s="36"/>
      <c r="AD1824" s="36"/>
      <c r="AE1824" s="36"/>
      <c r="AF1824" s="36"/>
      <c r="AG1824" s="36">
        <v>2</v>
      </c>
      <c r="AH1824" s="36">
        <v>2</v>
      </c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  <c r="AV1824" s="36"/>
      <c r="AW1824" s="36"/>
      <c r="AX1824" s="36"/>
      <c r="AY1824" s="36"/>
      <c r="AZ1824" s="36"/>
      <c r="BA1824" s="36"/>
      <c r="BB1824" s="36"/>
      <c r="BC1824" s="27"/>
      <c r="BF1824">
        <f>ROWS($U$46:U1824)</f>
        <v>1779</v>
      </c>
      <c r="BG1824" t="str">
        <f t="shared" si="237"/>
        <v/>
      </c>
    </row>
    <row r="1825" spans="15:59" x14ac:dyDescent="0.35">
      <c r="O1825" s="330">
        <v>3</v>
      </c>
      <c r="P1825" s="36">
        <v>1209410</v>
      </c>
      <c r="Q1825" s="36">
        <v>12</v>
      </c>
      <c r="R1825" s="36"/>
      <c r="S1825" s="1011">
        <v>8.5</v>
      </c>
      <c r="T1825" s="36" t="s">
        <v>2265</v>
      </c>
      <c r="U1825" s="36">
        <v>1238637</v>
      </c>
      <c r="V1825" s="165" t="s">
        <v>89</v>
      </c>
      <c r="W1825" s="36">
        <v>4</v>
      </c>
      <c r="X1825" s="36">
        <v>4</v>
      </c>
      <c r="Y1825" s="36">
        <v>3</v>
      </c>
      <c r="Z1825" s="36">
        <v>3</v>
      </c>
      <c r="AA1825" s="36">
        <v>3</v>
      </c>
      <c r="AB1825" s="36">
        <v>3</v>
      </c>
      <c r="AC1825" s="36">
        <v>1</v>
      </c>
      <c r="AD1825" s="36">
        <v>5</v>
      </c>
      <c r="AE1825" s="36"/>
      <c r="AF1825" s="36"/>
      <c r="AG1825" s="36">
        <v>2</v>
      </c>
      <c r="AH1825" s="36">
        <v>2</v>
      </c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  <c r="AV1825" s="36"/>
      <c r="AW1825" s="36"/>
      <c r="AX1825" s="36"/>
      <c r="AY1825" s="36"/>
      <c r="AZ1825" s="36"/>
      <c r="BA1825" s="36"/>
      <c r="BB1825" s="36"/>
      <c r="BC1825" s="27"/>
      <c r="BF1825">
        <f>ROWS($U$46:U1825)</f>
        <v>1780</v>
      </c>
      <c r="BG1825" t="str">
        <f t="shared" si="237"/>
        <v/>
      </c>
    </row>
    <row r="1826" spans="15:59" x14ac:dyDescent="0.35">
      <c r="O1826" s="330">
        <v>4</v>
      </c>
      <c r="P1826" s="36">
        <v>1165880</v>
      </c>
      <c r="Q1826" s="36">
        <v>11</v>
      </c>
      <c r="R1826" s="36"/>
      <c r="S1826" s="1011">
        <v>8.5</v>
      </c>
      <c r="T1826" s="36" t="s">
        <v>2265</v>
      </c>
      <c r="U1826" s="36">
        <v>1238637</v>
      </c>
      <c r="V1826" s="165" t="s">
        <v>90</v>
      </c>
      <c r="W1826" s="36">
        <v>1</v>
      </c>
      <c r="X1826" s="36">
        <v>1</v>
      </c>
      <c r="Y1826" s="36">
        <v>1</v>
      </c>
      <c r="Z1826" s="36">
        <v>1</v>
      </c>
      <c r="AA1826" s="36">
        <v>5</v>
      </c>
      <c r="AB1826" s="36"/>
      <c r="AC1826" s="36"/>
      <c r="AD1826" s="36"/>
      <c r="AE1826" s="36"/>
      <c r="AF1826" s="36"/>
      <c r="AG1826" s="36">
        <v>2</v>
      </c>
      <c r="AH1826" s="36">
        <v>2</v>
      </c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  <c r="AV1826" s="36"/>
      <c r="AW1826" s="36"/>
      <c r="AX1826" s="36"/>
      <c r="AY1826" s="36"/>
      <c r="AZ1826" s="36"/>
      <c r="BA1826" s="36"/>
      <c r="BB1826" s="36"/>
      <c r="BC1826" s="27"/>
      <c r="BF1826">
        <f>ROWS($U$46:U1826)</f>
        <v>1781</v>
      </c>
      <c r="BG1826" t="str">
        <f t="shared" si="237"/>
        <v/>
      </c>
    </row>
    <row r="1827" spans="15:59" x14ac:dyDescent="0.35">
      <c r="O1827" s="330">
        <v>5</v>
      </c>
      <c r="P1827" s="36">
        <v>418525</v>
      </c>
      <c r="Q1827" s="36">
        <v>7</v>
      </c>
      <c r="R1827" s="36"/>
      <c r="S1827" s="1011">
        <v>8.5</v>
      </c>
      <c r="T1827" s="36" t="s">
        <v>2265</v>
      </c>
      <c r="U1827" s="36">
        <v>1238637</v>
      </c>
      <c r="V1827" s="165" t="s">
        <v>91</v>
      </c>
      <c r="W1827" s="36">
        <v>4</v>
      </c>
      <c r="X1827" s="36">
        <v>4</v>
      </c>
      <c r="Y1827" s="36">
        <v>3</v>
      </c>
      <c r="Z1827" s="36">
        <v>3</v>
      </c>
      <c r="AA1827" s="36">
        <v>3</v>
      </c>
      <c r="AB1827" s="36">
        <v>3</v>
      </c>
      <c r="AC1827" s="36">
        <v>1</v>
      </c>
      <c r="AD1827" s="36">
        <v>4</v>
      </c>
      <c r="AE1827" s="36">
        <v>5</v>
      </c>
      <c r="AF1827" s="36"/>
      <c r="AG1827" s="36">
        <v>2</v>
      </c>
      <c r="AH1827" s="36">
        <v>2</v>
      </c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  <c r="AV1827" s="36"/>
      <c r="AW1827" s="36"/>
      <c r="AX1827" s="36"/>
      <c r="AY1827" s="36"/>
      <c r="AZ1827" s="36"/>
      <c r="BA1827" s="36"/>
      <c r="BB1827" s="36"/>
      <c r="BC1827" s="27"/>
      <c r="BF1827">
        <f>ROWS($U$46:U1827)</f>
        <v>1782</v>
      </c>
      <c r="BG1827" t="str">
        <f t="shared" si="237"/>
        <v/>
      </c>
    </row>
    <row r="1828" spans="15:59" x14ac:dyDescent="0.35">
      <c r="O1828" s="330"/>
      <c r="P1828" s="36"/>
      <c r="Q1828" s="36"/>
      <c r="R1828" s="36"/>
      <c r="S1828" s="1011"/>
      <c r="T1828" s="36"/>
      <c r="U1828" s="36"/>
      <c r="V1828" s="165" t="s">
        <v>92</v>
      </c>
      <c r="W1828" s="36">
        <v>1</v>
      </c>
      <c r="X1828" s="36">
        <v>1</v>
      </c>
      <c r="Y1828" s="36">
        <v>1</v>
      </c>
      <c r="Z1828" s="36">
        <v>1</v>
      </c>
      <c r="AA1828" s="36">
        <v>4</v>
      </c>
      <c r="AB1828" s="36">
        <v>5</v>
      </c>
      <c r="AC1828" s="36"/>
      <c r="AD1828" s="36"/>
      <c r="AE1828" s="36"/>
      <c r="AF1828" s="36"/>
      <c r="AG1828" s="36">
        <v>2</v>
      </c>
      <c r="AH1828" s="36">
        <v>2</v>
      </c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  <c r="AV1828" s="36"/>
      <c r="AW1828" s="36"/>
      <c r="AX1828" s="36"/>
      <c r="AY1828" s="36"/>
      <c r="AZ1828" s="36"/>
      <c r="BA1828" s="36"/>
      <c r="BB1828" s="36"/>
      <c r="BC1828" s="27"/>
      <c r="BF1828">
        <f>ROWS($U$46:U1828)</f>
        <v>1783</v>
      </c>
      <c r="BG1828" t="str">
        <f t="shared" si="237"/>
        <v/>
      </c>
    </row>
    <row r="1829" spans="15:59" ht="15" thickBot="1" x14ac:dyDescent="0.4">
      <c r="O1829" s="485"/>
      <c r="P1829" s="486"/>
      <c r="Q1829" s="486"/>
      <c r="R1829" s="486"/>
      <c r="S1829" s="1013"/>
      <c r="T1829" s="486"/>
      <c r="U1829" s="486"/>
      <c r="V1829" s="487" t="s">
        <v>111</v>
      </c>
      <c r="W1829" s="486">
        <v>1</v>
      </c>
      <c r="X1829" s="486">
        <v>1</v>
      </c>
      <c r="Y1829" s="486">
        <v>1</v>
      </c>
      <c r="Z1829" s="486">
        <v>1</v>
      </c>
      <c r="AA1829" s="486">
        <v>4</v>
      </c>
      <c r="AB1829" s="486">
        <v>5</v>
      </c>
      <c r="AC1829" s="486"/>
      <c r="AD1829" s="486"/>
      <c r="AE1829" s="486"/>
      <c r="AF1829" s="486"/>
      <c r="AG1829" s="486">
        <v>2</v>
      </c>
      <c r="AH1829" s="486">
        <v>2</v>
      </c>
      <c r="AI1829" s="486"/>
      <c r="AJ1829" s="486"/>
      <c r="AK1829" s="486"/>
      <c r="AL1829" s="486"/>
      <c r="AM1829" s="486"/>
      <c r="AN1829" s="486"/>
      <c r="AO1829" s="486"/>
      <c r="AP1829" s="486"/>
      <c r="AQ1829" s="486"/>
      <c r="AR1829" s="486"/>
      <c r="AS1829" s="486"/>
      <c r="AT1829" s="486"/>
      <c r="AU1829" s="486"/>
      <c r="AV1829" s="486"/>
      <c r="AW1829" s="486"/>
      <c r="AX1829" s="486"/>
      <c r="AY1829" s="486"/>
      <c r="AZ1829" s="486"/>
      <c r="BA1829" s="486"/>
      <c r="BB1829" s="486"/>
      <c r="BC1829" s="488"/>
      <c r="BF1829">
        <f>ROWS($U$46:U1829)</f>
        <v>1784</v>
      </c>
      <c r="BG1829" t="str">
        <f t="shared" si="237"/>
        <v/>
      </c>
    </row>
    <row r="1830" spans="15:59" x14ac:dyDescent="0.35">
      <c r="O1830" s="329">
        <v>1</v>
      </c>
      <c r="P1830" s="320">
        <v>1165840</v>
      </c>
      <c r="Q1830" s="320">
        <v>30</v>
      </c>
      <c r="R1830" s="320"/>
      <c r="S1830" s="1010">
        <v>12.25</v>
      </c>
      <c r="T1830" s="320" t="s">
        <v>2266</v>
      </c>
      <c r="U1830" s="1014">
        <v>1217619</v>
      </c>
      <c r="V1830" s="319" t="s">
        <v>87</v>
      </c>
      <c r="W1830" s="320">
        <v>2</v>
      </c>
      <c r="X1830" s="320">
        <v>2</v>
      </c>
      <c r="Y1830" s="320">
        <v>2</v>
      </c>
      <c r="Z1830" s="320">
        <v>2</v>
      </c>
      <c r="AA1830" s="320">
        <v>1</v>
      </c>
      <c r="AB1830" s="320">
        <v>1</v>
      </c>
      <c r="AC1830" s="320">
        <v>1</v>
      </c>
      <c r="AD1830" s="320">
        <v>1</v>
      </c>
      <c r="AE1830" s="320">
        <v>1</v>
      </c>
      <c r="AF1830" s="320">
        <v>2</v>
      </c>
      <c r="AG1830" s="320">
        <v>5</v>
      </c>
      <c r="AH1830" s="320"/>
      <c r="AI1830" s="320">
        <v>6</v>
      </c>
      <c r="AJ1830" s="320">
        <v>6</v>
      </c>
      <c r="AK1830" s="320">
        <v>3</v>
      </c>
      <c r="AL1830" s="320">
        <v>3</v>
      </c>
      <c r="AM1830" s="320">
        <v>3</v>
      </c>
      <c r="AN1830" s="320">
        <v>4</v>
      </c>
      <c r="AO1830" s="320"/>
      <c r="AP1830" s="320"/>
      <c r="AQ1830" s="320"/>
      <c r="AR1830" s="320"/>
      <c r="AS1830" s="320"/>
      <c r="AT1830" s="320"/>
      <c r="AU1830" s="320"/>
      <c r="AV1830" s="320"/>
      <c r="AW1830" s="320"/>
      <c r="AX1830" s="320"/>
      <c r="AY1830" s="320"/>
      <c r="AZ1830" s="320"/>
      <c r="BA1830" s="320"/>
      <c r="BB1830" s="320"/>
      <c r="BC1830" s="320"/>
      <c r="BD1830" s="119"/>
      <c r="BF1830">
        <f>ROWS($U$46:U1830)</f>
        <v>1785</v>
      </c>
      <c r="BG1830" t="str">
        <f t="shared" si="237"/>
        <v/>
      </c>
    </row>
    <row r="1831" spans="15:59" x14ac:dyDescent="0.35">
      <c r="O1831" s="330">
        <v>2</v>
      </c>
      <c r="P1831" s="36">
        <v>1165882</v>
      </c>
      <c r="Q1831" s="36">
        <v>19</v>
      </c>
      <c r="R1831" s="36"/>
      <c r="S1831" s="1011">
        <v>12.25</v>
      </c>
      <c r="T1831" s="36" t="s">
        <v>2266</v>
      </c>
      <c r="U1831" s="36">
        <v>1217619</v>
      </c>
      <c r="V1831" s="165" t="s">
        <v>88</v>
      </c>
      <c r="W1831" s="36">
        <v>1</v>
      </c>
      <c r="X1831" s="36">
        <v>1</v>
      </c>
      <c r="Y1831" s="36">
        <v>1</v>
      </c>
      <c r="Z1831" s="36">
        <v>1</v>
      </c>
      <c r="AA1831" s="36">
        <v>1</v>
      </c>
      <c r="AB1831" s="36">
        <v>2</v>
      </c>
      <c r="AC1831" s="36">
        <v>5</v>
      </c>
      <c r="AD1831" s="36"/>
      <c r="AE1831" s="36"/>
      <c r="AF1831" s="36"/>
      <c r="AG1831" s="36"/>
      <c r="AH1831" s="36"/>
      <c r="AI1831" s="36">
        <v>3</v>
      </c>
      <c r="AJ1831" s="36">
        <v>3</v>
      </c>
      <c r="AK1831" s="36">
        <v>3</v>
      </c>
      <c r="AL1831" s="36">
        <v>4</v>
      </c>
      <c r="AM1831" s="36"/>
      <c r="AN1831" s="36"/>
      <c r="AO1831" s="36"/>
      <c r="AP1831" s="36"/>
      <c r="AQ1831" s="36"/>
      <c r="AR1831" s="36"/>
      <c r="AS1831" s="36"/>
      <c r="AT1831" s="36"/>
      <c r="AU1831" s="36"/>
      <c r="AV1831" s="36"/>
      <c r="AW1831" s="36"/>
      <c r="AX1831" s="36"/>
      <c r="AY1831" s="36"/>
      <c r="AZ1831" s="36"/>
      <c r="BA1831" s="36"/>
      <c r="BB1831" s="36"/>
      <c r="BC1831" s="36"/>
      <c r="BD1831" s="27"/>
      <c r="BF1831">
        <f>ROWS($U$46:U1831)</f>
        <v>1786</v>
      </c>
      <c r="BG1831" t="str">
        <f t="shared" si="237"/>
        <v/>
      </c>
    </row>
    <row r="1832" spans="15:59" x14ac:dyDescent="0.35">
      <c r="O1832" s="330">
        <v>3</v>
      </c>
      <c r="P1832" s="36">
        <v>1228929</v>
      </c>
      <c r="Q1832" s="36">
        <v>17</v>
      </c>
      <c r="R1832" s="36"/>
      <c r="S1832" s="1011">
        <v>12.25</v>
      </c>
      <c r="T1832" s="36" t="s">
        <v>2266</v>
      </c>
      <c r="U1832" s="36">
        <v>1217619</v>
      </c>
      <c r="V1832" s="165" t="s">
        <v>89</v>
      </c>
      <c r="W1832" s="36">
        <v>2</v>
      </c>
      <c r="X1832" s="36">
        <v>2</v>
      </c>
      <c r="Y1832" s="36">
        <v>2</v>
      </c>
      <c r="Z1832" s="36">
        <v>2</v>
      </c>
      <c r="AA1832" s="36">
        <v>1</v>
      </c>
      <c r="AB1832" s="36">
        <v>1</v>
      </c>
      <c r="AC1832" s="36">
        <v>1</v>
      </c>
      <c r="AD1832" s="36">
        <v>1</v>
      </c>
      <c r="AE1832" s="36">
        <v>1</v>
      </c>
      <c r="AF1832" s="36">
        <v>2</v>
      </c>
      <c r="AG1832" s="36">
        <v>5</v>
      </c>
      <c r="AH1832" s="36"/>
      <c r="AI1832" s="36">
        <v>6</v>
      </c>
      <c r="AJ1832" s="36">
        <v>6</v>
      </c>
      <c r="AK1832" s="36">
        <v>3</v>
      </c>
      <c r="AL1832" s="36">
        <v>3</v>
      </c>
      <c r="AM1832" s="36">
        <v>3</v>
      </c>
      <c r="AN1832" s="36">
        <v>4</v>
      </c>
      <c r="AO1832" s="36"/>
      <c r="AP1832" s="36"/>
      <c r="AQ1832" s="36"/>
      <c r="AR1832" s="36"/>
      <c r="AS1832" s="36"/>
      <c r="AT1832" s="36"/>
      <c r="AU1832" s="36"/>
      <c r="AV1832" s="36"/>
      <c r="AW1832" s="36"/>
      <c r="AX1832" s="36"/>
      <c r="AY1832" s="36"/>
      <c r="AZ1832" s="36"/>
      <c r="BA1832" s="36"/>
      <c r="BB1832" s="36"/>
      <c r="BC1832" s="36"/>
      <c r="BD1832" s="27"/>
      <c r="BF1832">
        <f>ROWS($U$46:U1832)</f>
        <v>1787</v>
      </c>
      <c r="BG1832" t="str">
        <f t="shared" si="237"/>
        <v/>
      </c>
    </row>
    <row r="1833" spans="15:59" x14ac:dyDescent="0.35">
      <c r="O1833" s="330">
        <v>4</v>
      </c>
      <c r="P1833" s="36">
        <v>179734</v>
      </c>
      <c r="Q1833" s="36">
        <v>6</v>
      </c>
      <c r="R1833" s="36"/>
      <c r="S1833" s="1011">
        <v>12.25</v>
      </c>
      <c r="T1833" s="36" t="s">
        <v>2266</v>
      </c>
      <c r="U1833" s="36">
        <v>1217619</v>
      </c>
      <c r="V1833" s="165" t="s">
        <v>90</v>
      </c>
      <c r="W1833" s="36">
        <v>2</v>
      </c>
      <c r="X1833" s="36">
        <v>1</v>
      </c>
      <c r="Y1833" s="36">
        <v>1</v>
      </c>
      <c r="Z1833" s="36">
        <v>1</v>
      </c>
      <c r="AA1833" s="36">
        <v>1</v>
      </c>
      <c r="AB1833" s="36">
        <v>1</v>
      </c>
      <c r="AC1833" s="36">
        <v>2</v>
      </c>
      <c r="AD1833" s="36">
        <v>5</v>
      </c>
      <c r="AE1833" s="36"/>
      <c r="AF1833" s="36"/>
      <c r="AG1833" s="36"/>
      <c r="AH1833" s="36"/>
      <c r="AI1833" s="36">
        <v>3</v>
      </c>
      <c r="AJ1833" s="36">
        <v>3</v>
      </c>
      <c r="AK1833" s="36">
        <v>3</v>
      </c>
      <c r="AL1833" s="36">
        <v>4</v>
      </c>
      <c r="AM1833" s="36"/>
      <c r="AN1833" s="36"/>
      <c r="AO1833" s="36"/>
      <c r="AP1833" s="36"/>
      <c r="AQ1833" s="36"/>
      <c r="AR1833" s="36"/>
      <c r="AS1833" s="36"/>
      <c r="AT1833" s="36"/>
      <c r="AU1833" s="36"/>
      <c r="AV1833" s="36"/>
      <c r="AW1833" s="36"/>
      <c r="AX1833" s="36"/>
      <c r="AY1833" s="36"/>
      <c r="AZ1833" s="36"/>
      <c r="BA1833" s="36"/>
      <c r="BB1833" s="36"/>
      <c r="BC1833" s="36"/>
      <c r="BD1833" s="27"/>
      <c r="BF1833">
        <f>ROWS($U$46:U1833)</f>
        <v>1788</v>
      </c>
      <c r="BG1833" t="str">
        <f t="shared" si="237"/>
        <v/>
      </c>
    </row>
    <row r="1834" spans="15:59" x14ac:dyDescent="0.35">
      <c r="O1834" s="330">
        <v>5</v>
      </c>
      <c r="P1834" s="36">
        <v>871781</v>
      </c>
      <c r="Q1834" s="36">
        <v>6</v>
      </c>
      <c r="R1834" s="36"/>
      <c r="S1834" s="1011">
        <v>12.25</v>
      </c>
      <c r="T1834" s="36" t="s">
        <v>2266</v>
      </c>
      <c r="U1834" s="36">
        <v>1217619</v>
      </c>
      <c r="V1834" s="165" t="s">
        <v>91</v>
      </c>
      <c r="W1834" s="36">
        <v>2</v>
      </c>
      <c r="X1834" s="36">
        <v>2</v>
      </c>
      <c r="Y1834" s="36">
        <v>2</v>
      </c>
      <c r="Z1834" s="36">
        <v>2</v>
      </c>
      <c r="AA1834" s="36">
        <v>1</v>
      </c>
      <c r="AB1834" s="36">
        <v>1</v>
      </c>
      <c r="AC1834" s="36">
        <v>1</v>
      </c>
      <c r="AD1834" s="36">
        <v>1</v>
      </c>
      <c r="AE1834" s="36">
        <v>1</v>
      </c>
      <c r="AF1834" s="36">
        <v>2</v>
      </c>
      <c r="AG1834" s="36">
        <v>5</v>
      </c>
      <c r="AH1834" s="36"/>
      <c r="AI1834" s="36">
        <v>6</v>
      </c>
      <c r="AJ1834" s="36">
        <v>6</v>
      </c>
      <c r="AK1834" s="36">
        <v>3</v>
      </c>
      <c r="AL1834" s="36">
        <v>3</v>
      </c>
      <c r="AM1834" s="36">
        <v>3</v>
      </c>
      <c r="AN1834" s="36">
        <v>4</v>
      </c>
      <c r="AO1834" s="36"/>
      <c r="AP1834" s="36"/>
      <c r="AQ1834" s="36"/>
      <c r="AR1834" s="36"/>
      <c r="AS1834" s="36"/>
      <c r="AT1834" s="36"/>
      <c r="AU1834" s="36"/>
      <c r="AV1834" s="36"/>
      <c r="AW1834" s="36"/>
      <c r="AX1834" s="36"/>
      <c r="AY1834" s="36"/>
      <c r="AZ1834" s="36"/>
      <c r="BA1834" s="36"/>
      <c r="BB1834" s="36"/>
      <c r="BC1834" s="36"/>
      <c r="BD1834" s="27"/>
      <c r="BF1834">
        <f>ROWS($U$46:U1834)</f>
        <v>1789</v>
      </c>
      <c r="BG1834" t="str">
        <f t="shared" si="237"/>
        <v/>
      </c>
    </row>
    <row r="1835" spans="15:59" x14ac:dyDescent="0.35">
      <c r="O1835" s="330">
        <v>6</v>
      </c>
      <c r="P1835" s="36">
        <v>1189972</v>
      </c>
      <c r="Q1835" s="36">
        <v>6</v>
      </c>
      <c r="R1835" s="36"/>
      <c r="S1835" s="1011">
        <v>12.25</v>
      </c>
      <c r="T1835" s="36" t="s">
        <v>2266</v>
      </c>
      <c r="U1835" s="36">
        <v>1217619</v>
      </c>
      <c r="V1835" s="165" t="s">
        <v>92</v>
      </c>
      <c r="W1835" s="36">
        <v>1</v>
      </c>
      <c r="X1835" s="36">
        <v>1</v>
      </c>
      <c r="Y1835" s="36">
        <v>1</v>
      </c>
      <c r="Z1835" s="36">
        <v>1</v>
      </c>
      <c r="AA1835" s="36">
        <v>1</v>
      </c>
      <c r="AB1835" s="36">
        <v>2</v>
      </c>
      <c r="AC1835" s="36">
        <v>5</v>
      </c>
      <c r="AD1835" s="36"/>
      <c r="AE1835" s="36"/>
      <c r="AF1835" s="36"/>
      <c r="AG1835" s="36"/>
      <c r="AH1835" s="36"/>
      <c r="AI1835" s="36">
        <v>7</v>
      </c>
      <c r="AJ1835" s="36">
        <v>3</v>
      </c>
      <c r="AK1835" s="36">
        <v>3</v>
      </c>
      <c r="AL1835" s="36">
        <v>4</v>
      </c>
      <c r="AM1835" s="36"/>
      <c r="AN1835" s="36"/>
      <c r="AO1835" s="36"/>
      <c r="AP1835" s="36"/>
      <c r="AQ1835" s="36"/>
      <c r="AR1835" s="36"/>
      <c r="AS1835" s="36"/>
      <c r="AT1835" s="36"/>
      <c r="AU1835" s="36"/>
      <c r="AV1835" s="36"/>
      <c r="AW1835" s="36"/>
      <c r="AX1835" s="36"/>
      <c r="AY1835" s="36"/>
      <c r="AZ1835" s="36"/>
      <c r="BA1835" s="36"/>
      <c r="BB1835" s="36"/>
      <c r="BC1835" s="36"/>
      <c r="BD1835" s="27"/>
      <c r="BF1835">
        <f>ROWS($U$46:U1835)</f>
        <v>1790</v>
      </c>
      <c r="BG1835" t="str">
        <f t="shared" si="237"/>
        <v/>
      </c>
    </row>
    <row r="1836" spans="15:59" ht="15" thickBot="1" x14ac:dyDescent="0.4">
      <c r="O1836" s="485">
        <v>7</v>
      </c>
      <c r="P1836" s="486">
        <v>1071262</v>
      </c>
      <c r="Q1836" s="486">
        <v>1</v>
      </c>
      <c r="R1836" s="486"/>
      <c r="S1836" s="1013">
        <v>12.25</v>
      </c>
      <c r="T1836" s="486" t="s">
        <v>2266</v>
      </c>
      <c r="U1836" s="486">
        <v>1217619</v>
      </c>
      <c r="V1836" s="487"/>
      <c r="W1836" s="486"/>
      <c r="X1836" s="486"/>
      <c r="Y1836" s="486"/>
      <c r="Z1836" s="486"/>
      <c r="AA1836" s="486"/>
      <c r="AB1836" s="486"/>
      <c r="AC1836" s="486"/>
      <c r="AD1836" s="486"/>
      <c r="AE1836" s="486"/>
      <c r="AF1836" s="486"/>
      <c r="AG1836" s="486"/>
      <c r="AH1836" s="486"/>
      <c r="AI1836" s="486"/>
      <c r="AJ1836" s="486"/>
      <c r="AK1836" s="486"/>
      <c r="AL1836" s="486"/>
      <c r="AM1836" s="486"/>
      <c r="AN1836" s="486"/>
      <c r="AO1836" s="486"/>
      <c r="AP1836" s="486"/>
      <c r="AQ1836" s="486"/>
      <c r="AR1836" s="486"/>
      <c r="AS1836" s="486"/>
      <c r="AT1836" s="486"/>
      <c r="AU1836" s="486"/>
      <c r="AV1836" s="486"/>
      <c r="AW1836" s="486"/>
      <c r="AX1836" s="486"/>
      <c r="AY1836" s="486"/>
      <c r="AZ1836" s="486"/>
      <c r="BA1836" s="486"/>
      <c r="BB1836" s="486"/>
      <c r="BC1836" s="486"/>
      <c r="BD1836" s="488"/>
      <c r="BF1836">
        <f>ROWS($U$46:U1836)</f>
        <v>1791</v>
      </c>
      <c r="BG1836" t="str">
        <f t="shared" si="237"/>
        <v/>
      </c>
    </row>
    <row r="1837" spans="15:59" x14ac:dyDescent="0.35">
      <c r="O1837" s="329">
        <v>1</v>
      </c>
      <c r="P1837" s="320">
        <v>1187983</v>
      </c>
      <c r="Q1837" s="320">
        <v>28</v>
      </c>
      <c r="R1837" s="320"/>
      <c r="S1837" s="1010">
        <v>16</v>
      </c>
      <c r="T1837" s="320" t="s">
        <v>2262</v>
      </c>
      <c r="U1837" s="320"/>
      <c r="V1837" s="319" t="s">
        <v>87</v>
      </c>
      <c r="W1837" s="320">
        <v>1</v>
      </c>
      <c r="X1837" s="320">
        <v>1</v>
      </c>
      <c r="Y1837" s="320">
        <v>1</v>
      </c>
      <c r="Z1837" s="320">
        <v>1</v>
      </c>
      <c r="AA1837" s="320">
        <v>1</v>
      </c>
      <c r="AB1837" s="320">
        <v>1</v>
      </c>
      <c r="AC1837" s="320">
        <v>2</v>
      </c>
      <c r="AD1837" s="320">
        <v>2</v>
      </c>
      <c r="AE1837" s="320">
        <v>2</v>
      </c>
      <c r="AF1837" s="320">
        <v>2</v>
      </c>
      <c r="AG1837" s="320">
        <v>2</v>
      </c>
      <c r="AH1837" s="320">
        <v>2</v>
      </c>
      <c r="AI1837" s="320">
        <v>1</v>
      </c>
      <c r="AJ1837" s="320">
        <v>3</v>
      </c>
      <c r="AK1837" s="320">
        <v>3</v>
      </c>
      <c r="AL1837" s="320">
        <v>4</v>
      </c>
      <c r="AM1837" s="320"/>
      <c r="AN1837" s="320">
        <v>5</v>
      </c>
      <c r="AO1837" s="320">
        <v>5</v>
      </c>
      <c r="AP1837" s="320">
        <v>5</v>
      </c>
      <c r="AQ1837" s="320">
        <v>6</v>
      </c>
      <c r="AR1837" s="320">
        <v>6</v>
      </c>
      <c r="AS1837" s="320">
        <v>6</v>
      </c>
      <c r="AT1837" s="320">
        <v>6</v>
      </c>
      <c r="AU1837" s="320">
        <v>6</v>
      </c>
      <c r="AV1837" s="320">
        <v>6</v>
      </c>
      <c r="AW1837" s="320">
        <v>3</v>
      </c>
      <c r="AX1837" s="320">
        <v>3</v>
      </c>
      <c r="AY1837" s="320">
        <v>7</v>
      </c>
      <c r="AZ1837" s="320">
        <v>7</v>
      </c>
      <c r="BA1837" s="320"/>
      <c r="BB1837" s="320"/>
      <c r="BC1837" s="320"/>
      <c r="BD1837" s="119"/>
      <c r="BF1837">
        <f>ROWS($U$46:U1837)</f>
        <v>1792</v>
      </c>
      <c r="BG1837" t="str">
        <f t="shared" si="237"/>
        <v/>
      </c>
    </row>
    <row r="1838" spans="15:59" x14ac:dyDescent="0.35">
      <c r="O1838" s="330">
        <v>2</v>
      </c>
      <c r="P1838" s="36">
        <v>1219562</v>
      </c>
      <c r="Q1838" s="36">
        <v>42</v>
      </c>
      <c r="R1838" s="36"/>
      <c r="S1838" s="1011">
        <v>16</v>
      </c>
      <c r="T1838" s="36" t="s">
        <v>2262</v>
      </c>
      <c r="U1838" s="36"/>
      <c r="V1838" s="165" t="s">
        <v>88</v>
      </c>
      <c r="W1838" s="36">
        <v>2</v>
      </c>
      <c r="X1838" s="36">
        <v>2</v>
      </c>
      <c r="Y1838" s="36">
        <v>2</v>
      </c>
      <c r="Z1838" s="36">
        <v>2</v>
      </c>
      <c r="AA1838" s="36">
        <v>2</v>
      </c>
      <c r="AB1838" s="36">
        <v>2</v>
      </c>
      <c r="AC1838" s="36">
        <v>1</v>
      </c>
      <c r="AD1838" s="36">
        <v>1</v>
      </c>
      <c r="AE1838" s="36">
        <v>3</v>
      </c>
      <c r="AF1838" s="36">
        <v>4</v>
      </c>
      <c r="AG1838" s="36"/>
      <c r="AH1838" s="36"/>
      <c r="AI1838" s="36"/>
      <c r="AJ1838" s="36"/>
      <c r="AK1838" s="36"/>
      <c r="AL1838" s="36"/>
      <c r="AM1838" s="36"/>
      <c r="AN1838" s="36">
        <v>6</v>
      </c>
      <c r="AO1838" s="36">
        <v>6</v>
      </c>
      <c r="AP1838" s="36">
        <v>6</v>
      </c>
      <c r="AQ1838" s="36">
        <v>6</v>
      </c>
      <c r="AR1838" s="36">
        <v>6</v>
      </c>
      <c r="AS1838" s="36">
        <v>3</v>
      </c>
      <c r="AT1838" s="36">
        <v>3</v>
      </c>
      <c r="AU1838" s="36">
        <v>7</v>
      </c>
      <c r="AV1838" s="36">
        <v>7</v>
      </c>
      <c r="AW1838" s="36"/>
      <c r="AX1838" s="36"/>
      <c r="AY1838" s="36"/>
      <c r="AZ1838" s="36"/>
      <c r="BA1838" s="36"/>
      <c r="BB1838" s="36"/>
      <c r="BC1838" s="36"/>
      <c r="BD1838" s="27"/>
      <c r="BF1838">
        <f>ROWS($U$46:U1838)</f>
        <v>1793</v>
      </c>
      <c r="BG1838" t="str">
        <f t="shared" si="237"/>
        <v/>
      </c>
    </row>
    <row r="1839" spans="15:59" x14ac:dyDescent="0.35">
      <c r="O1839" s="330">
        <v>3</v>
      </c>
      <c r="P1839" s="36">
        <v>1187982</v>
      </c>
      <c r="Q1839" s="36">
        <v>24</v>
      </c>
      <c r="R1839" s="36"/>
      <c r="S1839" s="1011">
        <v>16</v>
      </c>
      <c r="T1839" s="36" t="s">
        <v>2262</v>
      </c>
      <c r="U1839" s="36"/>
      <c r="V1839" s="165" t="s">
        <v>89</v>
      </c>
      <c r="W1839" s="36">
        <v>1</v>
      </c>
      <c r="X1839" s="36">
        <v>1</v>
      </c>
      <c r="Y1839" s="36">
        <v>1</v>
      </c>
      <c r="Z1839" s="36">
        <v>1</v>
      </c>
      <c r="AA1839" s="36">
        <v>1</v>
      </c>
      <c r="AB1839" s="36">
        <v>2</v>
      </c>
      <c r="AC1839" s="36">
        <v>2</v>
      </c>
      <c r="AD1839" s="36">
        <v>2</v>
      </c>
      <c r="AE1839" s="36">
        <v>2</v>
      </c>
      <c r="AF1839" s="36">
        <v>2</v>
      </c>
      <c r="AG1839" s="36">
        <v>2</v>
      </c>
      <c r="AH1839" s="36">
        <v>1</v>
      </c>
      <c r="AI1839" s="36">
        <v>1</v>
      </c>
      <c r="AJ1839" s="36">
        <v>3</v>
      </c>
      <c r="AK1839" s="36">
        <v>4</v>
      </c>
      <c r="AL1839" s="36"/>
      <c r="AM1839" s="36"/>
      <c r="AN1839" s="36">
        <v>5</v>
      </c>
      <c r="AO1839" s="36">
        <v>5</v>
      </c>
      <c r="AP1839" s="36">
        <v>5</v>
      </c>
      <c r="AQ1839" s="36">
        <v>6</v>
      </c>
      <c r="AR1839" s="36">
        <v>6</v>
      </c>
      <c r="AS1839" s="36">
        <v>6</v>
      </c>
      <c r="AT1839" s="36">
        <v>6</v>
      </c>
      <c r="AU1839" s="36">
        <v>6</v>
      </c>
      <c r="AV1839" s="36">
        <v>3</v>
      </c>
      <c r="AW1839" s="36">
        <v>3</v>
      </c>
      <c r="AX1839" s="36">
        <v>7</v>
      </c>
      <c r="AY1839" s="36">
        <v>7</v>
      </c>
      <c r="AZ1839" s="36"/>
      <c r="BA1839" s="36"/>
      <c r="BB1839" s="36"/>
      <c r="BC1839" s="36"/>
      <c r="BD1839" s="27"/>
      <c r="BF1839">
        <f>ROWS($U$46:U1839)</f>
        <v>1794</v>
      </c>
      <c r="BG1839" t="str">
        <f t="shared" ref="BG1839:BG1902" si="238">IF(VALUE(SUBSTITUTE($B$5,"M",""))=U1839,BF1839,"")</f>
        <v/>
      </c>
    </row>
    <row r="1840" spans="15:59" x14ac:dyDescent="0.35">
      <c r="O1840" s="330">
        <v>4</v>
      </c>
      <c r="P1840" s="36">
        <v>871781</v>
      </c>
      <c r="Q1840" s="36">
        <v>7</v>
      </c>
      <c r="R1840" s="36"/>
      <c r="S1840" s="1011">
        <v>16</v>
      </c>
      <c r="T1840" s="36" t="s">
        <v>2262</v>
      </c>
      <c r="U1840" s="36"/>
      <c r="V1840" s="165" t="s">
        <v>90</v>
      </c>
      <c r="W1840" s="36">
        <v>2</v>
      </c>
      <c r="X1840" s="36">
        <v>2</v>
      </c>
      <c r="Y1840" s="36">
        <v>2</v>
      </c>
      <c r="Z1840" s="36">
        <v>2</v>
      </c>
      <c r="AA1840" s="36">
        <v>2</v>
      </c>
      <c r="AB1840" s="36">
        <v>2</v>
      </c>
      <c r="AC1840" s="36">
        <v>1</v>
      </c>
      <c r="AD1840" s="36">
        <v>3</v>
      </c>
      <c r="AE1840" s="36">
        <v>3</v>
      </c>
      <c r="AF1840" s="36">
        <v>4</v>
      </c>
      <c r="AG1840" s="36"/>
      <c r="AH1840" s="36"/>
      <c r="AI1840" s="36"/>
      <c r="AJ1840" s="36"/>
      <c r="AK1840" s="36"/>
      <c r="AL1840" s="36"/>
      <c r="AM1840" s="36"/>
      <c r="AN1840" s="36">
        <v>6</v>
      </c>
      <c r="AO1840" s="36">
        <v>6</v>
      </c>
      <c r="AP1840" s="36">
        <v>6</v>
      </c>
      <c r="AQ1840" s="36">
        <v>6</v>
      </c>
      <c r="AR1840" s="36">
        <v>6</v>
      </c>
      <c r="AS1840" s="36">
        <v>3</v>
      </c>
      <c r="AT1840" s="36">
        <v>3</v>
      </c>
      <c r="AU1840" s="36">
        <v>7</v>
      </c>
      <c r="AV1840" s="36">
        <v>7</v>
      </c>
      <c r="AW1840" s="36"/>
      <c r="AX1840" s="36"/>
      <c r="AY1840" s="36"/>
      <c r="AZ1840" s="36"/>
      <c r="BA1840" s="36"/>
      <c r="BB1840" s="36"/>
      <c r="BC1840" s="36"/>
      <c r="BD1840" s="27"/>
      <c r="BF1840">
        <f>ROWS($U$46:U1840)</f>
        <v>1795</v>
      </c>
      <c r="BG1840" t="str">
        <f t="shared" si="238"/>
        <v/>
      </c>
    </row>
    <row r="1841" spans="14:59" x14ac:dyDescent="0.35">
      <c r="O1841" s="330">
        <v>5</v>
      </c>
      <c r="P1841" s="36">
        <v>1086351</v>
      </c>
      <c r="Q1841" s="36">
        <v>9</v>
      </c>
      <c r="R1841" s="36"/>
      <c r="S1841" s="1011">
        <v>16</v>
      </c>
      <c r="T1841" s="36" t="s">
        <v>2262</v>
      </c>
      <c r="U1841" s="36"/>
      <c r="V1841" s="165" t="s">
        <v>91</v>
      </c>
      <c r="W1841" s="36">
        <v>1</v>
      </c>
      <c r="X1841" s="36">
        <v>1</v>
      </c>
      <c r="Y1841" s="36">
        <v>1</v>
      </c>
      <c r="Z1841" s="36">
        <v>1</v>
      </c>
      <c r="AA1841" s="36">
        <v>1</v>
      </c>
      <c r="AB1841" s="36">
        <v>2</v>
      </c>
      <c r="AC1841" s="36">
        <v>2</v>
      </c>
      <c r="AD1841" s="36">
        <v>2</v>
      </c>
      <c r="AE1841" s="36">
        <v>2</v>
      </c>
      <c r="AF1841" s="36">
        <v>2</v>
      </c>
      <c r="AG1841" s="36">
        <v>2</v>
      </c>
      <c r="AH1841" s="36">
        <v>1</v>
      </c>
      <c r="AI1841" s="36">
        <v>1</v>
      </c>
      <c r="AJ1841" s="36">
        <v>3</v>
      </c>
      <c r="AK1841" s="36">
        <v>3</v>
      </c>
      <c r="AL1841" s="36">
        <v>4</v>
      </c>
      <c r="AM1841" s="36"/>
      <c r="AN1841" s="36">
        <v>5</v>
      </c>
      <c r="AO1841" s="36">
        <v>5</v>
      </c>
      <c r="AP1841" s="36">
        <v>5</v>
      </c>
      <c r="AQ1841" s="36">
        <v>6</v>
      </c>
      <c r="AR1841" s="36">
        <v>6</v>
      </c>
      <c r="AS1841" s="36">
        <v>6</v>
      </c>
      <c r="AT1841" s="36">
        <v>6</v>
      </c>
      <c r="AU1841" s="36">
        <v>6</v>
      </c>
      <c r="AV1841" s="36">
        <v>6</v>
      </c>
      <c r="AW1841" s="36">
        <v>3</v>
      </c>
      <c r="AX1841" s="36">
        <v>3</v>
      </c>
      <c r="AY1841" s="36">
        <v>7</v>
      </c>
      <c r="AZ1841" s="36">
        <v>7</v>
      </c>
      <c r="BA1841" s="36"/>
      <c r="BB1841" s="36"/>
      <c r="BC1841" s="36"/>
      <c r="BD1841" s="27"/>
      <c r="BF1841">
        <f>ROWS($U$46:U1841)</f>
        <v>1796</v>
      </c>
      <c r="BG1841" t="str">
        <f t="shared" si="238"/>
        <v/>
      </c>
    </row>
    <row r="1842" spans="14:59" x14ac:dyDescent="0.35">
      <c r="O1842" s="330">
        <v>6</v>
      </c>
      <c r="P1842" s="36">
        <v>1228929</v>
      </c>
      <c r="Q1842" s="36">
        <v>37</v>
      </c>
      <c r="R1842" s="36"/>
      <c r="S1842" s="1011">
        <v>16</v>
      </c>
      <c r="T1842" s="36" t="s">
        <v>2262</v>
      </c>
      <c r="U1842" s="36"/>
      <c r="V1842" s="165" t="s">
        <v>92</v>
      </c>
      <c r="W1842" s="36">
        <v>2</v>
      </c>
      <c r="X1842" s="36">
        <v>2</v>
      </c>
      <c r="Y1842" s="36">
        <v>2</v>
      </c>
      <c r="Z1842" s="36">
        <v>2</v>
      </c>
      <c r="AA1842" s="36">
        <v>2</v>
      </c>
      <c r="AB1842" s="36">
        <v>2</v>
      </c>
      <c r="AC1842" s="36">
        <v>1</v>
      </c>
      <c r="AD1842" s="36">
        <v>1</v>
      </c>
      <c r="AE1842" s="36">
        <v>3</v>
      </c>
      <c r="AF1842" s="36">
        <v>4</v>
      </c>
      <c r="AG1842" s="36"/>
      <c r="AH1842" s="36"/>
      <c r="AI1842" s="36"/>
      <c r="AJ1842" s="36"/>
      <c r="AK1842" s="36"/>
      <c r="AL1842" s="36"/>
      <c r="AM1842" s="36"/>
      <c r="AN1842" s="36">
        <v>6</v>
      </c>
      <c r="AO1842" s="36">
        <v>6</v>
      </c>
      <c r="AP1842" s="36">
        <v>6</v>
      </c>
      <c r="AQ1842" s="36">
        <v>6</v>
      </c>
      <c r="AR1842" s="36">
        <v>6</v>
      </c>
      <c r="AS1842" s="36">
        <v>3</v>
      </c>
      <c r="AT1842" s="36">
        <v>3</v>
      </c>
      <c r="AU1842" s="36">
        <v>7</v>
      </c>
      <c r="AV1842" s="36">
        <v>7</v>
      </c>
      <c r="AW1842" s="36"/>
      <c r="AX1842" s="36"/>
      <c r="AY1842" s="36"/>
      <c r="AZ1842" s="36"/>
      <c r="BA1842" s="36"/>
      <c r="BB1842" s="36"/>
      <c r="BC1842" s="36"/>
      <c r="BD1842" s="27"/>
      <c r="BF1842">
        <f>ROWS($U$46:U1842)</f>
        <v>1797</v>
      </c>
      <c r="BG1842" t="str">
        <f t="shared" si="238"/>
        <v/>
      </c>
    </row>
    <row r="1843" spans="14:59" ht="15" thickBot="1" x14ac:dyDescent="0.4">
      <c r="N1843">
        <f>O1843*Q1843</f>
        <v>98</v>
      </c>
      <c r="O1843" s="331">
        <v>7</v>
      </c>
      <c r="P1843" s="328">
        <v>179734</v>
      </c>
      <c r="Q1843" s="328">
        <v>14</v>
      </c>
      <c r="R1843" s="328"/>
      <c r="S1843" s="1012">
        <v>16</v>
      </c>
      <c r="T1843" s="328" t="s">
        <v>2262</v>
      </c>
      <c r="U1843" s="328"/>
      <c r="V1843" s="327" t="s">
        <v>111</v>
      </c>
      <c r="W1843" s="328">
        <v>2</v>
      </c>
      <c r="X1843" s="328">
        <v>2</v>
      </c>
      <c r="Y1843" s="328">
        <v>2</v>
      </c>
      <c r="Z1843" s="328">
        <v>2</v>
      </c>
      <c r="AA1843" s="328">
        <v>2</v>
      </c>
      <c r="AB1843" s="328">
        <v>2</v>
      </c>
      <c r="AC1843" s="328">
        <v>1</v>
      </c>
      <c r="AD1843" s="328">
        <v>1</v>
      </c>
      <c r="AE1843" s="328">
        <v>3</v>
      </c>
      <c r="AF1843" s="328">
        <v>4</v>
      </c>
      <c r="AG1843" s="328"/>
      <c r="AH1843" s="328"/>
      <c r="AI1843" s="328"/>
      <c r="AJ1843" s="328"/>
      <c r="AK1843" s="328"/>
      <c r="AL1843" s="328"/>
      <c r="AM1843" s="328"/>
      <c r="AN1843" s="328">
        <v>6</v>
      </c>
      <c r="AO1843" s="328">
        <v>6</v>
      </c>
      <c r="AP1843" s="328">
        <v>6</v>
      </c>
      <c r="AQ1843" s="328">
        <v>6</v>
      </c>
      <c r="AR1843" s="328">
        <v>6</v>
      </c>
      <c r="AS1843" s="328">
        <v>3</v>
      </c>
      <c r="AT1843" s="328">
        <v>3</v>
      </c>
      <c r="AU1843" s="328">
        <v>7</v>
      </c>
      <c r="AV1843" s="328">
        <v>7</v>
      </c>
      <c r="AW1843" s="328"/>
      <c r="AX1843" s="328"/>
      <c r="AY1843" s="328"/>
      <c r="AZ1843" s="328"/>
      <c r="BA1843" s="328"/>
      <c r="BB1843" s="328"/>
      <c r="BC1843" s="328"/>
      <c r="BD1843" s="31"/>
      <c r="BF1843">
        <f>ROWS($U$46:U1843)</f>
        <v>1798</v>
      </c>
      <c r="BG1843" t="str">
        <f t="shared" si="238"/>
        <v/>
      </c>
    </row>
    <row r="1844" spans="14:59" x14ac:dyDescent="0.35">
      <c r="N1844">
        <f t="shared" ref="N1844:N1903" si="239">O1844*Q1844</f>
        <v>33</v>
      </c>
      <c r="O1844" s="329">
        <v>1</v>
      </c>
      <c r="P1844" s="320">
        <v>1100755</v>
      </c>
      <c r="Q1844" s="320">
        <v>33</v>
      </c>
      <c r="R1844" s="320"/>
      <c r="S1844" s="320" t="s">
        <v>1198</v>
      </c>
      <c r="T1844" s="320" t="s">
        <v>2098</v>
      </c>
      <c r="U1844" s="1001">
        <v>1245357</v>
      </c>
      <c r="V1844" s="319" t="s">
        <v>87</v>
      </c>
      <c r="W1844" s="320">
        <v>1</v>
      </c>
      <c r="X1844" s="320">
        <v>1</v>
      </c>
      <c r="Y1844" s="320">
        <v>1</v>
      </c>
      <c r="Z1844" s="320">
        <v>1</v>
      </c>
      <c r="AA1844" s="320">
        <v>1</v>
      </c>
      <c r="AB1844" s="320">
        <v>1</v>
      </c>
      <c r="AC1844" s="320">
        <v>1</v>
      </c>
      <c r="AD1844" s="320">
        <v>3</v>
      </c>
      <c r="AE1844" s="320"/>
      <c r="AF1844" s="320">
        <v>2</v>
      </c>
      <c r="AG1844" s="320">
        <v>2</v>
      </c>
      <c r="AH1844" s="320">
        <v>2</v>
      </c>
      <c r="AI1844" s="320">
        <v>2</v>
      </c>
      <c r="AJ1844" s="320"/>
      <c r="AK1844" s="320"/>
      <c r="AL1844" s="320"/>
      <c r="AM1844" s="320"/>
      <c r="AN1844" s="320"/>
      <c r="AO1844" s="320"/>
      <c r="AP1844" s="320"/>
      <c r="AQ1844" s="320"/>
      <c r="AR1844" s="320"/>
      <c r="AS1844" s="320"/>
      <c r="AT1844" s="320"/>
      <c r="AU1844" s="320"/>
      <c r="AV1844" s="320"/>
      <c r="AW1844" s="320"/>
      <c r="AX1844" s="320"/>
      <c r="AY1844" s="320"/>
      <c r="AZ1844" s="974"/>
      <c r="BA1844" s="320"/>
      <c r="BB1844" s="320"/>
      <c r="BC1844" s="320"/>
      <c r="BD1844" s="119"/>
      <c r="BF1844">
        <f>ROWS($U$46:U1844)</f>
        <v>1799</v>
      </c>
      <c r="BG1844" t="str">
        <f t="shared" si="238"/>
        <v/>
      </c>
    </row>
    <row r="1845" spans="14:59" x14ac:dyDescent="0.35">
      <c r="N1845">
        <f t="shared" si="239"/>
        <v>46</v>
      </c>
      <c r="O1845" s="330">
        <v>2</v>
      </c>
      <c r="P1845" s="36">
        <v>647435</v>
      </c>
      <c r="Q1845" s="36">
        <v>23</v>
      </c>
      <c r="R1845" s="36"/>
      <c r="S1845" s="36" t="s">
        <v>1198</v>
      </c>
      <c r="T1845" s="36" t="s">
        <v>2098</v>
      </c>
      <c r="U1845" s="36">
        <v>1245357</v>
      </c>
      <c r="V1845" s="165" t="s">
        <v>88</v>
      </c>
      <c r="W1845" s="36">
        <v>1</v>
      </c>
      <c r="X1845" s="36">
        <v>1</v>
      </c>
      <c r="Y1845" s="36">
        <v>1</v>
      </c>
      <c r="Z1845" s="36">
        <v>1</v>
      </c>
      <c r="AA1845" s="36">
        <v>3</v>
      </c>
      <c r="AB1845" s="36"/>
      <c r="AC1845" s="36"/>
      <c r="AD1845" s="36"/>
      <c r="AE1845" s="36"/>
      <c r="AF1845" s="36">
        <v>2</v>
      </c>
      <c r="AG1845" s="36">
        <v>2</v>
      </c>
      <c r="AH1845" s="36">
        <v>2</v>
      </c>
      <c r="AI1845" s="36">
        <v>2</v>
      </c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  <c r="AV1845" s="36"/>
      <c r="AW1845" s="36"/>
      <c r="AX1845" s="36"/>
      <c r="AY1845" s="36"/>
      <c r="AZ1845" s="961"/>
      <c r="BA1845" s="36"/>
      <c r="BB1845" s="36"/>
      <c r="BC1845" s="36"/>
      <c r="BD1845" s="27"/>
      <c r="BF1845">
        <f>ROWS($U$46:U1845)</f>
        <v>1800</v>
      </c>
      <c r="BG1845" t="str">
        <f t="shared" si="238"/>
        <v/>
      </c>
    </row>
    <row r="1846" spans="14:59" x14ac:dyDescent="0.35">
      <c r="N1846">
        <f t="shared" si="239"/>
        <v>18</v>
      </c>
      <c r="O1846" s="330">
        <v>3</v>
      </c>
      <c r="P1846" s="36">
        <v>871781</v>
      </c>
      <c r="Q1846" s="36">
        <v>6</v>
      </c>
      <c r="R1846" s="36"/>
      <c r="S1846" s="36" t="s">
        <v>1198</v>
      </c>
      <c r="T1846" s="36" t="s">
        <v>2098</v>
      </c>
      <c r="U1846" s="36">
        <v>1245357</v>
      </c>
      <c r="V1846" s="165" t="s">
        <v>89</v>
      </c>
      <c r="W1846" s="36">
        <v>1</v>
      </c>
      <c r="X1846" s="36">
        <v>1</v>
      </c>
      <c r="Y1846" s="36">
        <v>1</v>
      </c>
      <c r="Z1846" s="36">
        <v>1</v>
      </c>
      <c r="AA1846" s="36">
        <v>1</v>
      </c>
      <c r="AB1846" s="36">
        <v>1</v>
      </c>
      <c r="AC1846" s="36">
        <v>3</v>
      </c>
      <c r="AD1846" s="36"/>
      <c r="AE1846" s="36"/>
      <c r="AF1846" s="36">
        <v>2</v>
      </c>
      <c r="AG1846" s="36">
        <v>2</v>
      </c>
      <c r="AH1846" s="36">
        <v>2</v>
      </c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  <c r="AV1846" s="36"/>
      <c r="AW1846" s="36"/>
      <c r="AX1846" s="36"/>
      <c r="AY1846" s="36"/>
      <c r="AZ1846" s="961"/>
      <c r="BA1846" s="36"/>
      <c r="BB1846" s="36"/>
      <c r="BC1846" s="36"/>
      <c r="BD1846" s="27"/>
      <c r="BF1846">
        <f>ROWS($U$46:U1846)</f>
        <v>1801</v>
      </c>
      <c r="BG1846" t="str">
        <f t="shared" si="238"/>
        <v/>
      </c>
    </row>
    <row r="1847" spans="14:59" x14ac:dyDescent="0.35">
      <c r="N1847">
        <f t="shared" si="239"/>
        <v>0</v>
      </c>
      <c r="O1847" s="330"/>
      <c r="P1847" s="36"/>
      <c r="Q1847" s="36"/>
      <c r="R1847" s="36"/>
      <c r="S1847" s="36" t="s">
        <v>1198</v>
      </c>
      <c r="T1847" s="36" t="s">
        <v>2098</v>
      </c>
      <c r="U1847" s="36">
        <v>1245357</v>
      </c>
      <c r="V1847" s="165" t="s">
        <v>90</v>
      </c>
      <c r="W1847" s="36">
        <v>1</v>
      </c>
      <c r="X1847" s="36">
        <v>1</v>
      </c>
      <c r="Y1847" s="36">
        <v>1</v>
      </c>
      <c r="Z1847" s="36">
        <v>1</v>
      </c>
      <c r="AA1847" s="36">
        <v>1</v>
      </c>
      <c r="AB1847" s="36">
        <v>3</v>
      </c>
      <c r="AC1847" s="36"/>
      <c r="AD1847" s="36"/>
      <c r="AE1847" s="36"/>
      <c r="AF1847" s="36">
        <v>2</v>
      </c>
      <c r="AG1847" s="36">
        <v>2</v>
      </c>
      <c r="AH1847" s="36">
        <v>2</v>
      </c>
      <c r="AI1847" s="36">
        <v>2</v>
      </c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  <c r="AV1847" s="36"/>
      <c r="AW1847" s="36"/>
      <c r="AX1847" s="36"/>
      <c r="AY1847" s="36"/>
      <c r="AZ1847" s="961"/>
      <c r="BA1847" s="36"/>
      <c r="BB1847" s="36"/>
      <c r="BC1847" s="36"/>
      <c r="BD1847" s="27"/>
      <c r="BF1847">
        <f>ROWS($U$46:U1847)</f>
        <v>1802</v>
      </c>
      <c r="BG1847" t="str">
        <f t="shared" si="238"/>
        <v/>
      </c>
    </row>
    <row r="1848" spans="14:59" x14ac:dyDescent="0.35">
      <c r="N1848">
        <f t="shared" si="239"/>
        <v>0</v>
      </c>
      <c r="O1848" s="330"/>
      <c r="P1848" s="36"/>
      <c r="Q1848" s="36"/>
      <c r="R1848" s="36"/>
      <c r="S1848" s="36" t="s">
        <v>1198</v>
      </c>
      <c r="T1848" s="36" t="s">
        <v>2098</v>
      </c>
      <c r="U1848" s="36">
        <v>1245357</v>
      </c>
      <c r="V1848" s="165" t="s">
        <v>91</v>
      </c>
      <c r="W1848" s="36">
        <v>1</v>
      </c>
      <c r="X1848" s="36">
        <v>1</v>
      </c>
      <c r="Y1848" s="36">
        <v>1</v>
      </c>
      <c r="Z1848" s="36">
        <v>1</v>
      </c>
      <c r="AA1848" s="36">
        <v>1</v>
      </c>
      <c r="AB1848" s="36">
        <v>1</v>
      </c>
      <c r="AC1848" s="36">
        <v>1</v>
      </c>
      <c r="AD1848" s="36">
        <v>3</v>
      </c>
      <c r="AE1848" s="36"/>
      <c r="AF1848" s="36">
        <v>2</v>
      </c>
      <c r="AG1848" s="36">
        <v>2</v>
      </c>
      <c r="AH1848" s="36">
        <v>2</v>
      </c>
      <c r="AI1848" s="36">
        <v>2</v>
      </c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  <c r="AV1848" s="36"/>
      <c r="AW1848" s="36"/>
      <c r="AX1848" s="36"/>
      <c r="AY1848" s="36"/>
      <c r="AZ1848" s="961"/>
      <c r="BA1848" s="36"/>
      <c r="BB1848" s="36"/>
      <c r="BC1848" s="36"/>
      <c r="BD1848" s="27"/>
      <c r="BF1848">
        <f>ROWS($U$46:U1848)</f>
        <v>1803</v>
      </c>
      <c r="BG1848" t="str">
        <f t="shared" si="238"/>
        <v/>
      </c>
    </row>
    <row r="1849" spans="14:59" ht="15" thickBot="1" x14ac:dyDescent="0.4">
      <c r="N1849">
        <f t="shared" si="239"/>
        <v>0</v>
      </c>
      <c r="O1849" s="331"/>
      <c r="P1849" s="328"/>
      <c r="Q1849" s="328"/>
      <c r="R1849" s="328"/>
      <c r="S1849" s="328" t="s">
        <v>1198</v>
      </c>
      <c r="T1849" s="328" t="s">
        <v>2098</v>
      </c>
      <c r="U1849" s="328">
        <v>1245357</v>
      </c>
      <c r="V1849" s="327" t="s">
        <v>92</v>
      </c>
      <c r="W1849" s="328">
        <v>1</v>
      </c>
      <c r="X1849" s="328">
        <v>1</v>
      </c>
      <c r="Y1849" s="328">
        <v>1</v>
      </c>
      <c r="Z1849" s="328">
        <v>1</v>
      </c>
      <c r="AA1849" s="328">
        <v>3</v>
      </c>
      <c r="AB1849" s="328"/>
      <c r="AC1849" s="328"/>
      <c r="AD1849" s="328"/>
      <c r="AE1849" s="328"/>
      <c r="AF1849" s="328">
        <v>2</v>
      </c>
      <c r="AG1849" s="328">
        <v>2</v>
      </c>
      <c r="AH1849" s="328">
        <v>2</v>
      </c>
      <c r="AI1849" s="328">
        <v>2</v>
      </c>
      <c r="AJ1849" s="328"/>
      <c r="AK1849" s="328"/>
      <c r="AL1849" s="328"/>
      <c r="AM1849" s="328"/>
      <c r="AN1849" s="328"/>
      <c r="AO1849" s="328"/>
      <c r="AP1849" s="328"/>
      <c r="AQ1849" s="328"/>
      <c r="AR1849" s="328"/>
      <c r="AS1849" s="328"/>
      <c r="AT1849" s="328"/>
      <c r="AU1849" s="328"/>
      <c r="AV1849" s="328"/>
      <c r="AW1849" s="328"/>
      <c r="AX1849" s="328"/>
      <c r="AY1849" s="328"/>
      <c r="AZ1849" s="962"/>
      <c r="BA1849" s="328"/>
      <c r="BB1849" s="328"/>
      <c r="BC1849" s="328"/>
      <c r="BD1849" s="31"/>
      <c r="BF1849">
        <f>ROWS($U$46:U1849)</f>
        <v>1804</v>
      </c>
      <c r="BG1849" t="str">
        <f t="shared" si="238"/>
        <v/>
      </c>
    </row>
    <row r="1850" spans="14:59" x14ac:dyDescent="0.35">
      <c r="N1850">
        <f t="shared" si="239"/>
        <v>32</v>
      </c>
      <c r="O1850" s="329">
        <v>1</v>
      </c>
      <c r="P1850" s="320">
        <v>1271790</v>
      </c>
      <c r="Q1850" s="320">
        <v>32</v>
      </c>
      <c r="R1850" s="320"/>
      <c r="S1850" s="1010" t="s">
        <v>1938</v>
      </c>
      <c r="T1850" s="320" t="s">
        <v>2276</v>
      </c>
      <c r="U1850" s="320">
        <v>1176003</v>
      </c>
      <c r="V1850" s="319" t="s">
        <v>87</v>
      </c>
      <c r="W1850" s="320">
        <v>6</v>
      </c>
      <c r="X1850" s="320">
        <v>5</v>
      </c>
      <c r="Y1850" s="320">
        <v>5</v>
      </c>
      <c r="Z1850" s="320">
        <v>5</v>
      </c>
      <c r="AA1850" s="320">
        <v>1</v>
      </c>
      <c r="AB1850" s="320">
        <v>1</v>
      </c>
      <c r="AC1850" s="320">
        <v>1</v>
      </c>
      <c r="AD1850" s="320">
        <v>1</v>
      </c>
      <c r="AE1850" s="320">
        <v>1</v>
      </c>
      <c r="AF1850" s="320">
        <v>5</v>
      </c>
      <c r="AG1850" s="320">
        <v>3</v>
      </c>
      <c r="AH1850" s="320"/>
      <c r="AI1850" s="320">
        <v>4</v>
      </c>
      <c r="AJ1850" s="320">
        <v>2</v>
      </c>
      <c r="AK1850" s="320">
        <v>2</v>
      </c>
      <c r="AL1850" s="320">
        <v>2</v>
      </c>
      <c r="AM1850" s="320"/>
      <c r="AN1850" s="320"/>
      <c r="AO1850" s="320"/>
      <c r="AP1850" s="320"/>
      <c r="AQ1850" s="320"/>
      <c r="AR1850" s="320"/>
      <c r="AS1850" s="320"/>
      <c r="AT1850" s="320"/>
      <c r="AU1850" s="320"/>
      <c r="AV1850" s="320"/>
      <c r="AW1850" s="320"/>
      <c r="AX1850" s="320"/>
      <c r="AY1850" s="320"/>
      <c r="AZ1850" s="320"/>
      <c r="BA1850" s="320"/>
      <c r="BB1850" s="320"/>
      <c r="BC1850" s="320"/>
      <c r="BD1850" s="119"/>
      <c r="BF1850">
        <f>ROWS($U$46:U1850)</f>
        <v>1805</v>
      </c>
      <c r="BG1850" t="str">
        <f t="shared" si="238"/>
        <v/>
      </c>
    </row>
    <row r="1851" spans="14:59" x14ac:dyDescent="0.35">
      <c r="N1851">
        <f t="shared" si="239"/>
        <v>44</v>
      </c>
      <c r="O1851" s="330">
        <v>2</v>
      </c>
      <c r="P1851" s="36">
        <v>1100755</v>
      </c>
      <c r="Q1851" s="36">
        <v>22</v>
      </c>
      <c r="R1851" s="36"/>
      <c r="S1851" s="1011" t="s">
        <v>1938</v>
      </c>
      <c r="T1851" s="36" t="s">
        <v>2276</v>
      </c>
      <c r="U1851" s="36">
        <v>1176003</v>
      </c>
      <c r="V1851" s="165" t="s">
        <v>88</v>
      </c>
      <c r="W1851" s="36">
        <v>1</v>
      </c>
      <c r="X1851" s="36">
        <v>1</v>
      </c>
      <c r="Y1851" s="36">
        <v>1</v>
      </c>
      <c r="Z1851" s="36">
        <v>1</v>
      </c>
      <c r="AA1851" s="36">
        <v>1</v>
      </c>
      <c r="AB1851" s="36">
        <v>5</v>
      </c>
      <c r="AC1851" s="36">
        <v>3</v>
      </c>
      <c r="AD1851" s="36"/>
      <c r="AE1851" s="36"/>
      <c r="AF1851" s="36"/>
      <c r="AG1851" s="36"/>
      <c r="AH1851" s="36"/>
      <c r="AI1851" s="36">
        <v>4</v>
      </c>
      <c r="AJ1851" s="36">
        <v>2</v>
      </c>
      <c r="AK1851" s="36">
        <v>2</v>
      </c>
      <c r="AL1851" s="36">
        <v>2</v>
      </c>
      <c r="AM1851" s="36"/>
      <c r="AN1851" s="36"/>
      <c r="AO1851" s="36"/>
      <c r="AP1851" s="36"/>
      <c r="AQ1851" s="36"/>
      <c r="AR1851" s="36"/>
      <c r="AS1851" s="36"/>
      <c r="AT1851" s="36"/>
      <c r="AU1851" s="36"/>
      <c r="AV1851" s="36"/>
      <c r="AW1851" s="36"/>
      <c r="AX1851" s="36"/>
      <c r="AY1851" s="36"/>
      <c r="AZ1851" s="36"/>
      <c r="BA1851" s="36"/>
      <c r="BB1851" s="36"/>
      <c r="BC1851" s="36"/>
      <c r="BD1851" s="27"/>
      <c r="BF1851">
        <f>ROWS($U$46:U1851)</f>
        <v>1806</v>
      </c>
      <c r="BG1851" t="str">
        <f t="shared" si="238"/>
        <v/>
      </c>
    </row>
    <row r="1852" spans="14:59" x14ac:dyDescent="0.35">
      <c r="N1852">
        <f t="shared" si="239"/>
        <v>21</v>
      </c>
      <c r="O1852" s="330">
        <v>3</v>
      </c>
      <c r="P1852" s="36">
        <v>871781</v>
      </c>
      <c r="Q1852" s="36">
        <v>7</v>
      </c>
      <c r="R1852" s="36"/>
      <c r="S1852" s="1011" t="s">
        <v>1938</v>
      </c>
      <c r="T1852" s="36" t="s">
        <v>2276</v>
      </c>
      <c r="U1852" s="36">
        <v>1176003</v>
      </c>
      <c r="V1852" s="165" t="s">
        <v>89</v>
      </c>
      <c r="W1852" s="36">
        <v>5</v>
      </c>
      <c r="X1852" s="36">
        <v>5</v>
      </c>
      <c r="Y1852" s="36">
        <v>5</v>
      </c>
      <c r="Z1852" s="36">
        <v>5</v>
      </c>
      <c r="AA1852" s="36">
        <v>1</v>
      </c>
      <c r="AB1852" s="36">
        <v>1</v>
      </c>
      <c r="AC1852" s="36">
        <v>1</v>
      </c>
      <c r="AD1852" s="36">
        <v>1</v>
      </c>
      <c r="AE1852" s="36">
        <v>5</v>
      </c>
      <c r="AF1852" s="36">
        <v>3</v>
      </c>
      <c r="AG1852" s="36"/>
      <c r="AH1852" s="36"/>
      <c r="AI1852" s="36">
        <v>4</v>
      </c>
      <c r="AJ1852" s="36">
        <v>2</v>
      </c>
      <c r="AK1852" s="36">
        <v>2</v>
      </c>
      <c r="AL1852" s="36">
        <v>2</v>
      </c>
      <c r="AM1852" s="36"/>
      <c r="AN1852" s="36"/>
      <c r="AO1852" s="36"/>
      <c r="AP1852" s="36"/>
      <c r="AQ1852" s="36"/>
      <c r="AR1852" s="36"/>
      <c r="AS1852" s="36"/>
      <c r="AT1852" s="36"/>
      <c r="AU1852" s="36"/>
      <c r="AV1852" s="36"/>
      <c r="AW1852" s="36"/>
      <c r="AX1852" s="36"/>
      <c r="AY1852" s="36"/>
      <c r="AZ1852" s="36"/>
      <c r="BA1852" s="36"/>
      <c r="BB1852" s="36"/>
      <c r="BC1852" s="36"/>
      <c r="BD1852" s="27"/>
      <c r="BF1852">
        <f>ROWS($U$46:U1852)</f>
        <v>1807</v>
      </c>
      <c r="BG1852" t="str">
        <f t="shared" si="238"/>
        <v/>
      </c>
    </row>
    <row r="1853" spans="14:59" x14ac:dyDescent="0.35">
      <c r="N1853">
        <f t="shared" si="239"/>
        <v>24</v>
      </c>
      <c r="O1853" s="330">
        <v>4</v>
      </c>
      <c r="P1853" s="36">
        <v>1100753</v>
      </c>
      <c r="Q1853" s="36">
        <v>6</v>
      </c>
      <c r="R1853" s="36"/>
      <c r="S1853" s="1011" t="s">
        <v>1938</v>
      </c>
      <c r="T1853" s="36" t="s">
        <v>2276</v>
      </c>
      <c r="U1853" s="36">
        <v>1176003</v>
      </c>
      <c r="V1853" s="165" t="s">
        <v>90</v>
      </c>
      <c r="W1853" s="36">
        <v>5</v>
      </c>
      <c r="X1853" s="36">
        <v>1</v>
      </c>
      <c r="Y1853" s="36">
        <v>1</v>
      </c>
      <c r="Z1853" s="36">
        <v>1</v>
      </c>
      <c r="AA1853" s="36">
        <v>1</v>
      </c>
      <c r="AB1853" s="36">
        <v>5</v>
      </c>
      <c r="AC1853" s="36">
        <v>3</v>
      </c>
      <c r="AD1853" s="36"/>
      <c r="AE1853" s="36"/>
      <c r="AF1853" s="36"/>
      <c r="AG1853" s="36"/>
      <c r="AH1853" s="36"/>
      <c r="AI1853" s="36">
        <v>4</v>
      </c>
      <c r="AJ1853" s="36">
        <v>2</v>
      </c>
      <c r="AK1853" s="36">
        <v>2</v>
      </c>
      <c r="AL1853" s="36">
        <v>2</v>
      </c>
      <c r="AM1853" s="36"/>
      <c r="AN1853" s="36"/>
      <c r="AO1853" s="36"/>
      <c r="AP1853" s="36"/>
      <c r="AQ1853" s="36"/>
      <c r="AR1853" s="36"/>
      <c r="AS1853" s="36"/>
      <c r="AT1853" s="36"/>
      <c r="AU1853" s="36"/>
      <c r="AV1853" s="36"/>
      <c r="AW1853" s="36"/>
      <c r="AX1853" s="36"/>
      <c r="AY1853" s="36"/>
      <c r="AZ1853" s="36"/>
      <c r="BA1853" s="36"/>
      <c r="BB1853" s="36"/>
      <c r="BC1853" s="36"/>
      <c r="BD1853" s="27"/>
      <c r="BF1853">
        <f>ROWS($U$46:U1853)</f>
        <v>1808</v>
      </c>
      <c r="BG1853" t="str">
        <f t="shared" si="238"/>
        <v/>
      </c>
    </row>
    <row r="1854" spans="14:59" x14ac:dyDescent="0.35">
      <c r="N1854">
        <f t="shared" si="239"/>
        <v>100</v>
      </c>
      <c r="O1854" s="330">
        <v>5</v>
      </c>
      <c r="P1854" s="36">
        <v>1146737</v>
      </c>
      <c r="Q1854" s="36">
        <v>20</v>
      </c>
      <c r="R1854" s="36"/>
      <c r="S1854" s="1011" t="s">
        <v>1938</v>
      </c>
      <c r="T1854" s="36" t="s">
        <v>2276</v>
      </c>
      <c r="U1854" s="36">
        <v>1176003</v>
      </c>
      <c r="V1854" s="165" t="s">
        <v>91</v>
      </c>
      <c r="W1854" s="36">
        <v>5</v>
      </c>
      <c r="X1854" s="36">
        <v>5</v>
      </c>
      <c r="Y1854" s="36">
        <v>5</v>
      </c>
      <c r="Z1854" s="36">
        <v>5</v>
      </c>
      <c r="AA1854" s="36">
        <v>1</v>
      </c>
      <c r="AB1854" s="36">
        <v>1</v>
      </c>
      <c r="AC1854" s="36">
        <v>1</v>
      </c>
      <c r="AD1854" s="36">
        <v>1</v>
      </c>
      <c r="AE1854" s="36">
        <v>5</v>
      </c>
      <c r="AF1854" s="36">
        <v>3</v>
      </c>
      <c r="AG1854" s="36"/>
      <c r="AH1854" s="36"/>
      <c r="AI1854" s="36">
        <v>4</v>
      </c>
      <c r="AJ1854" s="36">
        <v>2</v>
      </c>
      <c r="AK1854" s="36">
        <v>2</v>
      </c>
      <c r="AL1854" s="36">
        <v>2</v>
      </c>
      <c r="AM1854" s="36"/>
      <c r="AN1854" s="36"/>
      <c r="AO1854" s="36"/>
      <c r="AP1854" s="36"/>
      <c r="AQ1854" s="36"/>
      <c r="AR1854" s="36"/>
      <c r="AS1854" s="36"/>
      <c r="AT1854" s="36"/>
      <c r="AU1854" s="36"/>
      <c r="AV1854" s="36"/>
      <c r="AW1854" s="36"/>
      <c r="AX1854" s="36"/>
      <c r="AY1854" s="36"/>
      <c r="AZ1854" s="36"/>
      <c r="BA1854" s="36"/>
      <c r="BB1854" s="36"/>
      <c r="BC1854" s="36"/>
      <c r="BD1854" s="27"/>
      <c r="BF1854">
        <f>ROWS($U$46:U1854)</f>
        <v>1809</v>
      </c>
      <c r="BG1854" t="str">
        <f t="shared" si="238"/>
        <v/>
      </c>
    </row>
    <row r="1855" spans="14:59" x14ac:dyDescent="0.35">
      <c r="N1855">
        <f t="shared" si="239"/>
        <v>6</v>
      </c>
      <c r="O1855" s="330">
        <v>6</v>
      </c>
      <c r="P1855" s="36">
        <v>1104086</v>
      </c>
      <c r="Q1855" s="36">
        <v>1</v>
      </c>
      <c r="R1855" s="36"/>
      <c r="S1855" s="1011" t="s">
        <v>1938</v>
      </c>
      <c r="T1855" s="36" t="s">
        <v>2276</v>
      </c>
      <c r="U1855" s="36">
        <v>1176003</v>
      </c>
      <c r="V1855" s="165" t="s">
        <v>92</v>
      </c>
      <c r="W1855" s="36">
        <v>1</v>
      </c>
      <c r="X1855" s="36">
        <v>1</v>
      </c>
      <c r="Y1855" s="36">
        <v>1</v>
      </c>
      <c r="Z1855" s="36">
        <v>1</v>
      </c>
      <c r="AA1855" s="36">
        <v>1</v>
      </c>
      <c r="AB1855" s="36">
        <v>5</v>
      </c>
      <c r="AC1855" s="36">
        <v>3</v>
      </c>
      <c r="AD1855" s="36"/>
      <c r="AE1855" s="36"/>
      <c r="AF1855" s="36"/>
      <c r="AG1855" s="36"/>
      <c r="AH1855" s="36"/>
      <c r="AI1855" s="36">
        <v>2</v>
      </c>
      <c r="AJ1855" s="36">
        <v>2</v>
      </c>
      <c r="AK1855" s="36">
        <v>2</v>
      </c>
      <c r="AL1855" s="36">
        <v>2</v>
      </c>
      <c r="AM1855" s="36"/>
      <c r="AN1855" s="36"/>
      <c r="AO1855" s="36"/>
      <c r="AP1855" s="36"/>
      <c r="AQ1855" s="36"/>
      <c r="AR1855" s="36"/>
      <c r="AS1855" s="36"/>
      <c r="AT1855" s="36"/>
      <c r="AU1855" s="36"/>
      <c r="AV1855" s="36"/>
      <c r="AW1855" s="36"/>
      <c r="AX1855" s="36"/>
      <c r="AY1855" s="36"/>
      <c r="AZ1855" s="36"/>
      <c r="BA1855" s="36"/>
      <c r="BB1855" s="36"/>
      <c r="BC1855" s="36"/>
      <c r="BD1855" s="27"/>
      <c r="BF1855">
        <f>ROWS($U$46:U1855)</f>
        <v>1810</v>
      </c>
      <c r="BG1855" t="str">
        <f t="shared" si="238"/>
        <v/>
      </c>
    </row>
    <row r="1856" spans="14:59" ht="15" thickBot="1" x14ac:dyDescent="0.4">
      <c r="N1856">
        <f t="shared" si="239"/>
        <v>0</v>
      </c>
      <c r="O1856" s="485"/>
      <c r="P1856" s="486"/>
      <c r="Q1856" s="486"/>
      <c r="R1856" s="486"/>
      <c r="S1856" s="1013" t="s">
        <v>1938</v>
      </c>
      <c r="T1856" s="486" t="s">
        <v>2276</v>
      </c>
      <c r="U1856" s="486">
        <v>1176003</v>
      </c>
      <c r="V1856" s="487" t="s">
        <v>111</v>
      </c>
      <c r="W1856" s="486">
        <v>5</v>
      </c>
      <c r="X1856" s="486">
        <v>1</v>
      </c>
      <c r="Y1856" s="486">
        <v>1</v>
      </c>
      <c r="Z1856" s="486">
        <v>1</v>
      </c>
      <c r="AA1856" s="486">
        <v>1</v>
      </c>
      <c r="AB1856" s="486">
        <v>1</v>
      </c>
      <c r="AC1856" s="486">
        <v>5</v>
      </c>
      <c r="AD1856" s="486">
        <v>3</v>
      </c>
      <c r="AE1856" s="486"/>
      <c r="AF1856" s="486"/>
      <c r="AG1856" s="486"/>
      <c r="AH1856" s="486"/>
      <c r="AI1856" s="486">
        <v>4</v>
      </c>
      <c r="AJ1856" s="486">
        <v>2</v>
      </c>
      <c r="AK1856" s="486">
        <v>2</v>
      </c>
      <c r="AL1856" s="486">
        <v>2</v>
      </c>
      <c r="AM1856" s="486"/>
      <c r="AN1856" s="486"/>
      <c r="AO1856" s="486"/>
      <c r="AP1856" s="486"/>
      <c r="AQ1856" s="486"/>
      <c r="AR1856" s="486"/>
      <c r="AS1856" s="486"/>
      <c r="AT1856" s="486"/>
      <c r="AU1856" s="486"/>
      <c r="AV1856" s="486"/>
      <c r="AW1856" s="486"/>
      <c r="AX1856" s="486"/>
      <c r="AY1856" s="486"/>
      <c r="AZ1856" s="486"/>
      <c r="BA1856" s="486"/>
      <c r="BB1856" s="486"/>
      <c r="BC1856" s="486"/>
      <c r="BD1856" s="488"/>
      <c r="BF1856">
        <f>ROWS($U$46:U1856)</f>
        <v>1811</v>
      </c>
      <c r="BG1856" t="str">
        <f t="shared" si="238"/>
        <v/>
      </c>
    </row>
    <row r="1857" spans="14:59" x14ac:dyDescent="0.35">
      <c r="N1857">
        <f t="shared" si="239"/>
        <v>0</v>
      </c>
      <c r="O1857" s="329"/>
      <c r="P1857" s="320"/>
      <c r="Q1857" s="320"/>
      <c r="R1857" s="320"/>
      <c r="S1857" s="320"/>
      <c r="T1857" s="320"/>
      <c r="U1857" s="1014"/>
      <c r="V1857" s="319" t="s">
        <v>87</v>
      </c>
      <c r="W1857" s="320"/>
      <c r="X1857" s="320"/>
      <c r="Y1857" s="320"/>
      <c r="Z1857" s="320"/>
      <c r="AA1857" s="320"/>
      <c r="AB1857" s="320"/>
      <c r="AC1857" s="320"/>
      <c r="AD1857" s="320"/>
      <c r="AE1857" s="320"/>
      <c r="AF1857" s="320"/>
      <c r="AG1857" s="320"/>
      <c r="AH1857" s="320"/>
      <c r="AI1857" s="320"/>
      <c r="AJ1857" s="320"/>
      <c r="AK1857" s="320"/>
      <c r="AL1857" s="320"/>
      <c r="AM1857" s="320"/>
      <c r="AN1857" s="320"/>
      <c r="AO1857" s="320"/>
      <c r="AP1857" s="320"/>
      <c r="AQ1857" s="320"/>
      <c r="AR1857" s="320"/>
      <c r="AS1857" s="320"/>
      <c r="AT1857" s="320"/>
      <c r="AU1857" s="320"/>
      <c r="AV1857" s="320"/>
      <c r="AW1857" s="320"/>
      <c r="AX1857" s="320"/>
      <c r="AY1857" s="320"/>
      <c r="AZ1857" s="320"/>
      <c r="BA1857" s="320"/>
      <c r="BB1857" s="320"/>
      <c r="BC1857" s="320"/>
      <c r="BD1857" s="119"/>
      <c r="BF1857">
        <f>ROWS($U$46:U1857)</f>
        <v>1812</v>
      </c>
      <c r="BG1857" t="str">
        <f t="shared" si="238"/>
        <v/>
      </c>
    </row>
    <row r="1858" spans="14:59" x14ac:dyDescent="0.35">
      <c r="N1858">
        <f t="shared" si="239"/>
        <v>0</v>
      </c>
      <c r="O1858" s="330"/>
      <c r="P1858" s="36"/>
      <c r="Q1858" s="36"/>
      <c r="R1858" s="36"/>
      <c r="S1858" s="36"/>
      <c r="T1858" s="36"/>
      <c r="U1858" s="36"/>
      <c r="V1858" s="165" t="s">
        <v>88</v>
      </c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  <c r="AV1858" s="36"/>
      <c r="AW1858" s="36"/>
      <c r="AX1858" s="36"/>
      <c r="AY1858" s="36"/>
      <c r="AZ1858" s="36"/>
      <c r="BA1858" s="36"/>
      <c r="BB1858" s="36"/>
      <c r="BC1858" s="36"/>
      <c r="BD1858" s="27"/>
      <c r="BF1858">
        <f>ROWS($U$46:U1858)</f>
        <v>1813</v>
      </c>
      <c r="BG1858" t="str">
        <f t="shared" si="238"/>
        <v/>
      </c>
    </row>
    <row r="1859" spans="14:59" x14ac:dyDescent="0.35">
      <c r="N1859">
        <f t="shared" si="239"/>
        <v>0</v>
      </c>
      <c r="O1859" s="330"/>
      <c r="P1859" s="36"/>
      <c r="Q1859" s="36"/>
      <c r="R1859" s="36"/>
      <c r="S1859" s="36"/>
      <c r="T1859" s="36"/>
      <c r="U1859" s="36"/>
      <c r="V1859" s="165" t="s">
        <v>89</v>
      </c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  <c r="AV1859" s="36"/>
      <c r="AW1859" s="36"/>
      <c r="AX1859" s="36"/>
      <c r="AY1859" s="36"/>
      <c r="AZ1859" s="36"/>
      <c r="BA1859" s="36"/>
      <c r="BB1859" s="36"/>
      <c r="BC1859" s="36"/>
      <c r="BD1859" s="27"/>
      <c r="BF1859">
        <f>ROWS($U$46:U1859)</f>
        <v>1814</v>
      </c>
      <c r="BG1859" t="str">
        <f t="shared" si="238"/>
        <v/>
      </c>
    </row>
    <row r="1860" spans="14:59" x14ac:dyDescent="0.35">
      <c r="N1860">
        <f t="shared" si="239"/>
        <v>0</v>
      </c>
      <c r="O1860" s="330"/>
      <c r="P1860" s="36"/>
      <c r="Q1860" s="36"/>
      <c r="R1860" s="36"/>
      <c r="S1860" s="36"/>
      <c r="T1860" s="36"/>
      <c r="U1860" s="36"/>
      <c r="V1860" s="165" t="s">
        <v>90</v>
      </c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  <c r="AV1860" s="36"/>
      <c r="AW1860" s="36"/>
      <c r="AX1860" s="36"/>
      <c r="AY1860" s="36"/>
      <c r="AZ1860" s="36"/>
      <c r="BA1860" s="36"/>
      <c r="BB1860" s="36"/>
      <c r="BC1860" s="36"/>
      <c r="BD1860" s="27"/>
      <c r="BF1860">
        <f>ROWS($U$46:U1860)</f>
        <v>1815</v>
      </c>
      <c r="BG1860" t="str">
        <f t="shared" si="238"/>
        <v/>
      </c>
    </row>
    <row r="1861" spans="14:59" x14ac:dyDescent="0.35">
      <c r="N1861">
        <f t="shared" si="239"/>
        <v>0</v>
      </c>
      <c r="O1861" s="330"/>
      <c r="P1861" s="36"/>
      <c r="Q1861" s="36"/>
      <c r="R1861" s="36"/>
      <c r="S1861" s="36"/>
      <c r="T1861" s="36"/>
      <c r="U1861" s="36"/>
      <c r="V1861" s="165" t="s">
        <v>91</v>
      </c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  <c r="AV1861" s="36"/>
      <c r="AW1861" s="36"/>
      <c r="AX1861" s="36"/>
      <c r="AY1861" s="36"/>
      <c r="AZ1861" s="36"/>
      <c r="BA1861" s="36"/>
      <c r="BB1861" s="36"/>
      <c r="BC1861" s="36"/>
      <c r="BD1861" s="27"/>
      <c r="BF1861">
        <f>ROWS($U$46:U1861)</f>
        <v>1816</v>
      </c>
      <c r="BG1861" t="str">
        <f t="shared" si="238"/>
        <v/>
      </c>
    </row>
    <row r="1862" spans="14:59" ht="15" thickBot="1" x14ac:dyDescent="0.4">
      <c r="N1862">
        <f t="shared" si="239"/>
        <v>0</v>
      </c>
      <c r="O1862" s="331"/>
      <c r="P1862" s="328"/>
      <c r="Q1862" s="328"/>
      <c r="R1862" s="328"/>
      <c r="S1862" s="328"/>
      <c r="T1862" s="328"/>
      <c r="U1862" s="1016"/>
      <c r="V1862" s="327" t="s">
        <v>92</v>
      </c>
      <c r="W1862" s="328"/>
      <c r="X1862" s="328"/>
      <c r="Y1862" s="328"/>
      <c r="Z1862" s="328"/>
      <c r="AA1862" s="328"/>
      <c r="AB1862" s="328"/>
      <c r="AC1862" s="328"/>
      <c r="AD1862" s="328"/>
      <c r="AE1862" s="328"/>
      <c r="AF1862" s="328"/>
      <c r="AG1862" s="328"/>
      <c r="AH1862" s="328"/>
      <c r="AI1862" s="328"/>
      <c r="AJ1862" s="328"/>
      <c r="AK1862" s="328"/>
      <c r="AL1862" s="328"/>
      <c r="AM1862" s="328"/>
      <c r="AN1862" s="328"/>
      <c r="AO1862" s="328"/>
      <c r="AP1862" s="328"/>
      <c r="AQ1862" s="328"/>
      <c r="AR1862" s="328"/>
      <c r="AS1862" s="328"/>
      <c r="AT1862" s="328"/>
      <c r="AU1862" s="328"/>
      <c r="AV1862" s="328"/>
      <c r="AW1862" s="328"/>
      <c r="AX1862" s="328"/>
      <c r="AY1862" s="328"/>
      <c r="AZ1862" s="328"/>
      <c r="BA1862" s="328"/>
      <c r="BB1862" s="328"/>
      <c r="BC1862" s="328"/>
      <c r="BD1862" s="31"/>
      <c r="BF1862">
        <f>ROWS($U$46:U1862)</f>
        <v>1817</v>
      </c>
      <c r="BG1862" t="str">
        <f t="shared" si="238"/>
        <v/>
      </c>
    </row>
    <row r="1863" spans="14:59" x14ac:dyDescent="0.35">
      <c r="N1863">
        <f t="shared" si="239"/>
        <v>43</v>
      </c>
      <c r="O1863" s="1015">
        <v>1</v>
      </c>
      <c r="P1863" s="38">
        <v>1165840</v>
      </c>
      <c r="Q1863" s="38">
        <v>43</v>
      </c>
      <c r="R1863" s="38"/>
      <c r="S1863" s="38" t="s">
        <v>1133</v>
      </c>
      <c r="T1863" s="38" t="s">
        <v>2280</v>
      </c>
      <c r="U1863" s="1001">
        <v>1186863</v>
      </c>
      <c r="V1863" s="354" t="s">
        <v>87</v>
      </c>
      <c r="W1863" s="38">
        <v>1</v>
      </c>
      <c r="X1863" s="38">
        <v>1</v>
      </c>
      <c r="Y1863" s="38">
        <v>1</v>
      </c>
      <c r="Z1863" s="38">
        <v>1</v>
      </c>
      <c r="AA1863" s="38">
        <v>1</v>
      </c>
      <c r="AB1863" s="38">
        <v>1</v>
      </c>
      <c r="AC1863" s="38">
        <v>1</v>
      </c>
      <c r="AD1863" s="38">
        <v>1</v>
      </c>
      <c r="AE1863" s="38">
        <v>1</v>
      </c>
      <c r="AF1863" s="38">
        <v>5</v>
      </c>
      <c r="AG1863" s="38">
        <v>3</v>
      </c>
      <c r="AH1863" s="38">
        <v>4</v>
      </c>
      <c r="AI1863" s="38"/>
      <c r="AJ1863" s="38">
        <v>6</v>
      </c>
      <c r="AK1863" s="38">
        <v>2</v>
      </c>
      <c r="AL1863" s="38">
        <v>2</v>
      </c>
      <c r="AM1863" s="38">
        <v>2</v>
      </c>
      <c r="AN1863" s="38"/>
      <c r="AO1863" s="38"/>
      <c r="AP1863" s="38"/>
      <c r="AQ1863" s="38"/>
      <c r="AR1863" s="38"/>
      <c r="AS1863" s="38"/>
      <c r="AT1863" s="38"/>
      <c r="AU1863" s="38"/>
      <c r="AV1863" s="38"/>
      <c r="AW1863" s="38"/>
      <c r="AX1863" s="38"/>
      <c r="AY1863" s="38"/>
      <c r="AZ1863" s="158"/>
      <c r="BA1863" s="38"/>
      <c r="BB1863" s="38"/>
      <c r="BC1863" s="38"/>
      <c r="BD1863" s="838"/>
      <c r="BF1863">
        <f>ROWS($U$46:U1863)</f>
        <v>1818</v>
      </c>
      <c r="BG1863" t="str">
        <f t="shared" si="238"/>
        <v/>
      </c>
    </row>
    <row r="1864" spans="14:59" x14ac:dyDescent="0.35">
      <c r="N1864">
        <f t="shared" si="239"/>
        <v>18</v>
      </c>
      <c r="O1864" s="330">
        <v>2</v>
      </c>
      <c r="P1864" s="36">
        <v>703670</v>
      </c>
      <c r="Q1864" s="36">
        <v>9</v>
      </c>
      <c r="R1864" s="36"/>
      <c r="S1864" s="36" t="s">
        <v>1133</v>
      </c>
      <c r="T1864" s="36" t="s">
        <v>2280</v>
      </c>
      <c r="U1864" s="36">
        <v>1186863</v>
      </c>
      <c r="V1864" s="165" t="s">
        <v>88</v>
      </c>
      <c r="W1864" s="36">
        <v>1</v>
      </c>
      <c r="X1864" s="36">
        <v>1</v>
      </c>
      <c r="Y1864" s="36">
        <v>1</v>
      </c>
      <c r="Z1864" s="36">
        <v>1</v>
      </c>
      <c r="AA1864" s="36">
        <v>1</v>
      </c>
      <c r="AB1864" s="36">
        <v>1</v>
      </c>
      <c r="AC1864" s="36">
        <v>5</v>
      </c>
      <c r="AD1864" s="36">
        <v>3</v>
      </c>
      <c r="AE1864" s="36">
        <v>4</v>
      </c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  <c r="AV1864" s="36"/>
      <c r="AW1864" s="36"/>
      <c r="AX1864" s="36"/>
      <c r="AY1864" s="36"/>
      <c r="AZ1864" s="961"/>
      <c r="BA1864" s="36"/>
      <c r="BB1864" s="36"/>
      <c r="BC1864" s="36"/>
      <c r="BD1864" s="27"/>
      <c r="BF1864">
        <f>ROWS($U$46:U1864)</f>
        <v>1819</v>
      </c>
      <c r="BG1864" t="str">
        <f t="shared" si="238"/>
        <v/>
      </c>
    </row>
    <row r="1865" spans="14:59" x14ac:dyDescent="0.35">
      <c r="N1865">
        <f t="shared" si="239"/>
        <v>18</v>
      </c>
      <c r="O1865" s="330">
        <v>3</v>
      </c>
      <c r="P1865" s="36">
        <v>418525</v>
      </c>
      <c r="Q1865" s="36">
        <v>6</v>
      </c>
      <c r="R1865" s="36"/>
      <c r="S1865" s="36" t="s">
        <v>1133</v>
      </c>
      <c r="T1865" s="36" t="s">
        <v>2280</v>
      </c>
      <c r="U1865" s="36">
        <v>1186863</v>
      </c>
      <c r="V1865" s="165" t="s">
        <v>89</v>
      </c>
      <c r="W1865" s="36">
        <v>1</v>
      </c>
      <c r="X1865" s="36">
        <v>1</v>
      </c>
      <c r="Y1865" s="36">
        <v>1</v>
      </c>
      <c r="Z1865" s="36">
        <v>1</v>
      </c>
      <c r="AA1865" s="36">
        <v>1</v>
      </c>
      <c r="AB1865" s="36">
        <v>1</v>
      </c>
      <c r="AC1865" s="36">
        <v>1</v>
      </c>
      <c r="AD1865" s="36">
        <v>1</v>
      </c>
      <c r="AE1865" s="36">
        <v>1</v>
      </c>
      <c r="AF1865" s="36">
        <v>5</v>
      </c>
      <c r="AG1865" s="36">
        <v>3</v>
      </c>
      <c r="AH1865" s="36">
        <v>4</v>
      </c>
      <c r="AI1865" s="36"/>
      <c r="AJ1865" s="36">
        <v>6</v>
      </c>
      <c r="AK1865" s="36">
        <v>2</v>
      </c>
      <c r="AL1865" s="36">
        <v>2</v>
      </c>
      <c r="AM1865" s="36">
        <v>2</v>
      </c>
      <c r="AN1865" s="36"/>
      <c r="AO1865" s="36"/>
      <c r="AP1865" s="36"/>
      <c r="AQ1865" s="36"/>
      <c r="AR1865" s="36"/>
      <c r="AS1865" s="36"/>
      <c r="AT1865" s="36"/>
      <c r="AU1865" s="36"/>
      <c r="AV1865" s="36"/>
      <c r="AW1865" s="36"/>
      <c r="AX1865" s="36"/>
      <c r="AY1865" s="36"/>
      <c r="AZ1865" s="961"/>
      <c r="BA1865" s="36"/>
      <c r="BB1865" s="36"/>
      <c r="BC1865" s="36"/>
      <c r="BD1865" s="27"/>
      <c r="BF1865">
        <f>ROWS($U$46:U1865)</f>
        <v>1820</v>
      </c>
      <c r="BG1865" t="str">
        <f t="shared" si="238"/>
        <v/>
      </c>
    </row>
    <row r="1866" spans="14:59" x14ac:dyDescent="0.35">
      <c r="N1866">
        <f t="shared" si="239"/>
        <v>24</v>
      </c>
      <c r="O1866" s="330">
        <v>4</v>
      </c>
      <c r="P1866" s="36">
        <v>871781</v>
      </c>
      <c r="Q1866" s="36">
        <v>6</v>
      </c>
      <c r="R1866" s="36"/>
      <c r="S1866" s="36" t="s">
        <v>1133</v>
      </c>
      <c r="T1866" s="36" t="s">
        <v>2280</v>
      </c>
      <c r="U1866" s="36">
        <v>1186863</v>
      </c>
      <c r="V1866" s="165" t="s">
        <v>90</v>
      </c>
      <c r="W1866" s="36">
        <v>1</v>
      </c>
      <c r="X1866" s="36">
        <v>1</v>
      </c>
      <c r="Y1866" s="36">
        <v>1</v>
      </c>
      <c r="Z1866" s="36">
        <v>1</v>
      </c>
      <c r="AA1866" s="36">
        <v>1</v>
      </c>
      <c r="AB1866" s="36">
        <v>5</v>
      </c>
      <c r="AC1866" s="36">
        <v>3</v>
      </c>
      <c r="AD1866" s="36">
        <v>4</v>
      </c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  <c r="AV1866" s="36"/>
      <c r="AW1866" s="36"/>
      <c r="AX1866" s="36"/>
      <c r="AY1866" s="36"/>
      <c r="AZ1866" s="961"/>
      <c r="BA1866" s="36"/>
      <c r="BB1866" s="36"/>
      <c r="BC1866" s="36"/>
      <c r="BD1866" s="27"/>
      <c r="BF1866">
        <f>ROWS($U$46:U1866)</f>
        <v>1821</v>
      </c>
      <c r="BG1866" t="str">
        <f t="shared" si="238"/>
        <v/>
      </c>
    </row>
    <row r="1867" spans="14:59" x14ac:dyDescent="0.35">
      <c r="N1867">
        <f t="shared" si="239"/>
        <v>30</v>
      </c>
      <c r="O1867" s="330">
        <v>5</v>
      </c>
      <c r="P1867" s="36">
        <v>1165838</v>
      </c>
      <c r="Q1867" s="36">
        <v>6</v>
      </c>
      <c r="R1867" s="36"/>
      <c r="S1867" s="36" t="s">
        <v>1133</v>
      </c>
      <c r="T1867" s="36" t="s">
        <v>2280</v>
      </c>
      <c r="U1867" s="36">
        <v>1186863</v>
      </c>
      <c r="V1867" s="165" t="s">
        <v>91</v>
      </c>
      <c r="W1867" s="36">
        <v>1</v>
      </c>
      <c r="X1867" s="36">
        <v>1</v>
      </c>
      <c r="Y1867" s="36">
        <v>1</v>
      </c>
      <c r="Z1867" s="36">
        <v>1</v>
      </c>
      <c r="AA1867" s="36">
        <v>1</v>
      </c>
      <c r="AB1867" s="36">
        <v>1</v>
      </c>
      <c r="AC1867" s="36">
        <v>1</v>
      </c>
      <c r="AD1867" s="36">
        <v>1</v>
      </c>
      <c r="AE1867" s="36">
        <v>1</v>
      </c>
      <c r="AF1867" s="36">
        <v>5</v>
      </c>
      <c r="AG1867" s="36">
        <v>3</v>
      </c>
      <c r="AH1867" s="36">
        <v>4</v>
      </c>
      <c r="AI1867" s="36"/>
      <c r="AJ1867" s="36">
        <v>6</v>
      </c>
      <c r="AK1867" s="36">
        <v>2</v>
      </c>
      <c r="AL1867" s="36">
        <v>2</v>
      </c>
      <c r="AM1867" s="36">
        <v>2</v>
      </c>
      <c r="AN1867" s="36"/>
      <c r="AO1867" s="36"/>
      <c r="AP1867" s="36"/>
      <c r="AQ1867" s="36"/>
      <c r="AR1867" s="36"/>
      <c r="AS1867" s="36"/>
      <c r="AT1867" s="36"/>
      <c r="AU1867" s="36"/>
      <c r="AV1867" s="36"/>
      <c r="AW1867" s="36"/>
      <c r="AX1867" s="36"/>
      <c r="AY1867" s="36"/>
      <c r="AZ1867" s="961"/>
      <c r="BA1867" s="36"/>
      <c r="BB1867" s="36"/>
      <c r="BC1867" s="36"/>
      <c r="BD1867" s="27"/>
      <c r="BF1867">
        <f>ROWS($U$46:U1867)</f>
        <v>1822</v>
      </c>
      <c r="BG1867" t="str">
        <f t="shared" si="238"/>
        <v/>
      </c>
    </row>
    <row r="1868" spans="14:59" ht="15" thickBot="1" x14ac:dyDescent="0.4">
      <c r="N1868">
        <f t="shared" si="239"/>
        <v>18</v>
      </c>
      <c r="O1868" s="331">
        <v>6</v>
      </c>
      <c r="P1868" s="328">
        <v>717749</v>
      </c>
      <c r="Q1868" s="328">
        <v>3</v>
      </c>
      <c r="R1868" s="328"/>
      <c r="S1868" s="328" t="s">
        <v>1133</v>
      </c>
      <c r="T1868" s="328" t="s">
        <v>2280</v>
      </c>
      <c r="U1868" s="328">
        <v>1186863</v>
      </c>
      <c r="V1868" s="327" t="s">
        <v>92</v>
      </c>
      <c r="W1868" s="328">
        <v>1</v>
      </c>
      <c r="X1868" s="328">
        <v>1</v>
      </c>
      <c r="Y1868" s="328">
        <v>1</v>
      </c>
      <c r="Z1868" s="328">
        <v>1</v>
      </c>
      <c r="AA1868" s="328">
        <v>1</v>
      </c>
      <c r="AB1868" s="328">
        <v>5</v>
      </c>
      <c r="AC1868" s="328">
        <v>3</v>
      </c>
      <c r="AD1868" s="328">
        <v>4</v>
      </c>
      <c r="AE1868" s="328"/>
      <c r="AF1868" s="328"/>
      <c r="AG1868" s="328"/>
      <c r="AH1868" s="328"/>
      <c r="AI1868" s="328"/>
      <c r="AJ1868" s="328"/>
      <c r="AK1868" s="328"/>
      <c r="AL1868" s="328"/>
      <c r="AM1868" s="328"/>
      <c r="AN1868" s="328"/>
      <c r="AO1868" s="328"/>
      <c r="AP1868" s="328"/>
      <c r="AQ1868" s="328"/>
      <c r="AR1868" s="328"/>
      <c r="AS1868" s="328"/>
      <c r="AT1868" s="328"/>
      <c r="AU1868" s="328"/>
      <c r="AV1868" s="328"/>
      <c r="AW1868" s="328"/>
      <c r="AX1868" s="328"/>
      <c r="AY1868" s="328"/>
      <c r="AZ1868" s="962"/>
      <c r="BA1868" s="328"/>
      <c r="BB1868" s="328"/>
      <c r="BC1868" s="328"/>
      <c r="BD1868" s="31"/>
      <c r="BF1868">
        <f>ROWS($U$46:U1868)</f>
        <v>1823</v>
      </c>
      <c r="BG1868" t="str">
        <f t="shared" si="238"/>
        <v/>
      </c>
    </row>
    <row r="1869" spans="14:59" x14ac:dyDescent="0.35">
      <c r="N1869">
        <f t="shared" si="239"/>
        <v>30</v>
      </c>
      <c r="O1869" s="329">
        <v>1</v>
      </c>
      <c r="P1869" s="320">
        <v>1165882</v>
      </c>
      <c r="Q1869" s="320">
        <v>30</v>
      </c>
      <c r="R1869" s="320"/>
      <c r="S1869" s="320" t="s">
        <v>2279</v>
      </c>
      <c r="T1869" s="320" t="s">
        <v>2281</v>
      </c>
      <c r="U1869" s="1001">
        <v>1199049</v>
      </c>
      <c r="V1869" s="319" t="s">
        <v>87</v>
      </c>
      <c r="W1869" s="320">
        <v>4</v>
      </c>
      <c r="X1869" s="320">
        <v>4</v>
      </c>
      <c r="Y1869" s="320">
        <v>1</v>
      </c>
      <c r="Z1869" s="320">
        <v>1</v>
      </c>
      <c r="AA1869" s="320">
        <v>1</v>
      </c>
      <c r="AB1869" s="320">
        <v>1</v>
      </c>
      <c r="AC1869" s="320">
        <v>1</v>
      </c>
      <c r="AD1869" s="320">
        <v>1</v>
      </c>
      <c r="AE1869" s="320"/>
      <c r="AF1869" s="320">
        <v>3</v>
      </c>
      <c r="AG1869" s="320">
        <v>2</v>
      </c>
      <c r="AH1869" s="320">
        <v>2</v>
      </c>
      <c r="AI1869" s="320">
        <v>2</v>
      </c>
      <c r="AJ1869" s="320"/>
      <c r="AK1869" s="320"/>
      <c r="AL1869" s="320"/>
      <c r="AM1869" s="320"/>
      <c r="AN1869" s="320"/>
      <c r="AO1869" s="320"/>
      <c r="AP1869" s="320"/>
      <c r="AQ1869" s="320"/>
      <c r="AR1869" s="320"/>
      <c r="AS1869" s="320"/>
      <c r="AT1869" s="320"/>
      <c r="AU1869" s="320"/>
      <c r="AV1869" s="320"/>
      <c r="AW1869" s="320"/>
      <c r="AX1869" s="320"/>
      <c r="AY1869" s="320"/>
      <c r="AZ1869" s="974"/>
      <c r="BA1869" s="320"/>
      <c r="BB1869" s="320"/>
      <c r="BC1869" s="320"/>
      <c r="BD1869" s="119"/>
      <c r="BF1869">
        <f>ROWS($U$46:U1869)</f>
        <v>1824</v>
      </c>
      <c r="BG1869" t="str">
        <f t="shared" si="238"/>
        <v/>
      </c>
    </row>
    <row r="1870" spans="14:59" x14ac:dyDescent="0.35">
      <c r="N1870">
        <f t="shared" si="239"/>
        <v>36</v>
      </c>
      <c r="O1870" s="330">
        <v>2</v>
      </c>
      <c r="P1870" s="36">
        <v>410851</v>
      </c>
      <c r="Q1870" s="36">
        <v>18</v>
      </c>
      <c r="R1870" s="36"/>
      <c r="S1870" s="36" t="s">
        <v>2279</v>
      </c>
      <c r="T1870" s="36" t="s">
        <v>2281</v>
      </c>
      <c r="U1870" s="36">
        <v>1199049</v>
      </c>
      <c r="V1870" s="165" t="s">
        <v>88</v>
      </c>
      <c r="W1870" s="36">
        <v>1</v>
      </c>
      <c r="X1870" s="36">
        <v>1</v>
      </c>
      <c r="Y1870" s="36">
        <v>1</v>
      </c>
      <c r="Z1870" s="36">
        <v>1</v>
      </c>
      <c r="AA1870" s="36">
        <v>1</v>
      </c>
      <c r="AB1870" s="36"/>
      <c r="AC1870" s="36"/>
      <c r="AD1870" s="36"/>
      <c r="AE1870" s="36"/>
      <c r="AF1870" s="36">
        <v>3</v>
      </c>
      <c r="AG1870" s="36">
        <v>2</v>
      </c>
      <c r="AH1870" s="36">
        <v>2</v>
      </c>
      <c r="AI1870" s="36">
        <v>2</v>
      </c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  <c r="AV1870" s="36"/>
      <c r="AW1870" s="36"/>
      <c r="AX1870" s="36"/>
      <c r="AY1870" s="36"/>
      <c r="AZ1870" s="961"/>
      <c r="BA1870" s="36"/>
      <c r="BB1870" s="36"/>
      <c r="BC1870" s="36"/>
      <c r="BD1870" s="27"/>
      <c r="BF1870">
        <f>ROWS($U$46:U1870)</f>
        <v>1825</v>
      </c>
      <c r="BG1870" t="str">
        <f t="shared" si="238"/>
        <v/>
      </c>
    </row>
    <row r="1871" spans="14:59" x14ac:dyDescent="0.35">
      <c r="N1871">
        <f t="shared" si="239"/>
        <v>18</v>
      </c>
      <c r="O1871" s="330">
        <v>3</v>
      </c>
      <c r="P1871" s="36">
        <v>649901</v>
      </c>
      <c r="Q1871" s="36">
        <v>6</v>
      </c>
      <c r="R1871" s="36"/>
      <c r="S1871" s="36" t="s">
        <v>2279</v>
      </c>
      <c r="T1871" s="36" t="s">
        <v>2281</v>
      </c>
      <c r="U1871" s="36">
        <v>1199049</v>
      </c>
      <c r="V1871" s="165" t="s">
        <v>89</v>
      </c>
      <c r="W1871" s="36">
        <v>4</v>
      </c>
      <c r="X1871" s="36">
        <v>4</v>
      </c>
      <c r="Y1871" s="36">
        <v>1</v>
      </c>
      <c r="Z1871" s="36">
        <v>1</v>
      </c>
      <c r="AA1871" s="36">
        <v>1</v>
      </c>
      <c r="AB1871" s="36">
        <v>1</v>
      </c>
      <c r="AC1871" s="36">
        <v>1</v>
      </c>
      <c r="AD1871" s="36"/>
      <c r="AE1871" s="36"/>
      <c r="AF1871" s="36">
        <v>3</v>
      </c>
      <c r="AG1871" s="36">
        <v>2</v>
      </c>
      <c r="AH1871" s="36">
        <v>2</v>
      </c>
      <c r="AI1871" s="36">
        <v>2</v>
      </c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  <c r="AV1871" s="36"/>
      <c r="AW1871" s="36"/>
      <c r="AX1871" s="36"/>
      <c r="AY1871" s="36"/>
      <c r="AZ1871" s="961"/>
      <c r="BA1871" s="36"/>
      <c r="BB1871" s="36"/>
      <c r="BC1871" s="36"/>
      <c r="BD1871" s="27"/>
      <c r="BF1871">
        <f>ROWS($U$46:U1871)</f>
        <v>1826</v>
      </c>
      <c r="BG1871" t="str">
        <f t="shared" si="238"/>
        <v/>
      </c>
    </row>
    <row r="1872" spans="14:59" x14ac:dyDescent="0.35">
      <c r="N1872">
        <f t="shared" si="239"/>
        <v>24</v>
      </c>
      <c r="O1872" s="330">
        <v>4</v>
      </c>
      <c r="P1872" s="36">
        <v>1165879</v>
      </c>
      <c r="Q1872" s="36">
        <v>6</v>
      </c>
      <c r="R1872" s="36"/>
      <c r="S1872" s="36" t="s">
        <v>2279</v>
      </c>
      <c r="T1872" s="36" t="s">
        <v>2281</v>
      </c>
      <c r="U1872" s="36">
        <v>1199049</v>
      </c>
      <c r="V1872" s="165" t="s">
        <v>90</v>
      </c>
      <c r="W1872" s="36">
        <v>1</v>
      </c>
      <c r="X1872" s="36">
        <v>1</v>
      </c>
      <c r="Y1872" s="36">
        <v>1</v>
      </c>
      <c r="Z1872" s="36">
        <v>1</v>
      </c>
      <c r="AA1872" s="36">
        <v>1</v>
      </c>
      <c r="AB1872" s="36"/>
      <c r="AC1872" s="36"/>
      <c r="AD1872" s="36"/>
      <c r="AE1872" s="36"/>
      <c r="AF1872" s="36">
        <v>3</v>
      </c>
      <c r="AG1872" s="36">
        <v>2</v>
      </c>
      <c r="AH1872" s="36">
        <v>2</v>
      </c>
      <c r="AI1872" s="36">
        <v>2</v>
      </c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  <c r="AV1872" s="36"/>
      <c r="AW1872" s="36"/>
      <c r="AX1872" s="36"/>
      <c r="AY1872" s="36"/>
      <c r="AZ1872" s="961"/>
      <c r="BA1872" s="36"/>
      <c r="BB1872" s="36"/>
      <c r="BC1872" s="36"/>
      <c r="BD1872" s="27"/>
      <c r="BF1872">
        <f>ROWS($U$46:U1872)</f>
        <v>1827</v>
      </c>
      <c r="BG1872" t="str">
        <f t="shared" si="238"/>
        <v/>
      </c>
    </row>
    <row r="1873" spans="14:59" x14ac:dyDescent="0.35">
      <c r="N1873">
        <f t="shared" si="239"/>
        <v>0</v>
      </c>
      <c r="O1873" s="330"/>
      <c r="P1873" s="36"/>
      <c r="Q1873" s="36"/>
      <c r="R1873" s="36"/>
      <c r="S1873" s="36" t="s">
        <v>2279</v>
      </c>
      <c r="T1873" s="36" t="s">
        <v>2281</v>
      </c>
      <c r="U1873" s="36">
        <v>1199049</v>
      </c>
      <c r="V1873" s="165" t="s">
        <v>91</v>
      </c>
      <c r="W1873" s="36">
        <v>4</v>
      </c>
      <c r="X1873" s="36">
        <v>4</v>
      </c>
      <c r="Y1873" s="36">
        <v>1</v>
      </c>
      <c r="Z1873" s="36">
        <v>1</v>
      </c>
      <c r="AA1873" s="36">
        <v>1</v>
      </c>
      <c r="AB1873" s="36">
        <v>1</v>
      </c>
      <c r="AC1873" s="36">
        <v>1</v>
      </c>
      <c r="AD1873" s="36"/>
      <c r="AE1873" s="36"/>
      <c r="AF1873" s="36">
        <v>3</v>
      </c>
      <c r="AG1873" s="36">
        <v>2</v>
      </c>
      <c r="AH1873" s="36">
        <v>2</v>
      </c>
      <c r="AI1873" s="36">
        <v>2</v>
      </c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  <c r="AV1873" s="36"/>
      <c r="AW1873" s="36"/>
      <c r="AX1873" s="36"/>
      <c r="AY1873" s="36"/>
      <c r="AZ1873" s="961"/>
      <c r="BA1873" s="36"/>
      <c r="BB1873" s="36"/>
      <c r="BC1873" s="36"/>
      <c r="BD1873" s="27"/>
      <c r="BF1873">
        <f>ROWS($U$46:U1873)</f>
        <v>1828</v>
      </c>
      <c r="BG1873" t="str">
        <f t="shared" si="238"/>
        <v/>
      </c>
    </row>
    <row r="1874" spans="14:59" ht="15" thickBot="1" x14ac:dyDescent="0.4">
      <c r="N1874">
        <f t="shared" si="239"/>
        <v>0</v>
      </c>
      <c r="O1874" s="331"/>
      <c r="P1874" s="328"/>
      <c r="Q1874" s="328"/>
      <c r="R1874" s="328"/>
      <c r="S1874" s="328" t="s">
        <v>2279</v>
      </c>
      <c r="T1874" s="328" t="s">
        <v>2281</v>
      </c>
      <c r="U1874" s="328">
        <v>1199049</v>
      </c>
      <c r="V1874" s="327" t="s">
        <v>92</v>
      </c>
      <c r="W1874" s="328">
        <v>1</v>
      </c>
      <c r="X1874" s="328">
        <v>1</v>
      </c>
      <c r="Y1874" s="328">
        <v>1</v>
      </c>
      <c r="Z1874" s="328">
        <v>1</v>
      </c>
      <c r="AA1874" s="328"/>
      <c r="AB1874" s="328"/>
      <c r="AC1874" s="328"/>
      <c r="AD1874" s="328"/>
      <c r="AE1874" s="328"/>
      <c r="AF1874" s="328">
        <v>3</v>
      </c>
      <c r="AG1874" s="328">
        <v>2</v>
      </c>
      <c r="AH1874" s="328">
        <v>2</v>
      </c>
      <c r="AI1874" s="328">
        <v>2</v>
      </c>
      <c r="AJ1874" s="328"/>
      <c r="AK1874" s="328"/>
      <c r="AL1874" s="328"/>
      <c r="AM1874" s="328"/>
      <c r="AN1874" s="328"/>
      <c r="AO1874" s="328"/>
      <c r="AP1874" s="328"/>
      <c r="AQ1874" s="328"/>
      <c r="AR1874" s="328"/>
      <c r="AS1874" s="328"/>
      <c r="AT1874" s="328"/>
      <c r="AU1874" s="328"/>
      <c r="AV1874" s="328"/>
      <c r="AW1874" s="328"/>
      <c r="AX1874" s="328"/>
      <c r="AY1874" s="328"/>
      <c r="AZ1874" s="962"/>
      <c r="BA1874" s="328"/>
      <c r="BB1874" s="328"/>
      <c r="BC1874" s="328"/>
      <c r="BD1874" s="31"/>
      <c r="BF1874">
        <f>ROWS($U$46:U1874)</f>
        <v>1829</v>
      </c>
      <c r="BG1874" t="str">
        <f t="shared" si="238"/>
        <v/>
      </c>
    </row>
    <row r="1875" spans="14:59" x14ac:dyDescent="0.35">
      <c r="N1875">
        <f t="shared" si="239"/>
        <v>30</v>
      </c>
      <c r="O1875" s="329">
        <v>1</v>
      </c>
      <c r="P1875" s="320">
        <v>1233855</v>
      </c>
      <c r="Q1875" s="320">
        <v>30</v>
      </c>
      <c r="R1875" s="320"/>
      <c r="S1875" s="320" t="s">
        <v>1133</v>
      </c>
      <c r="T1875" s="320" t="s">
        <v>2282</v>
      </c>
      <c r="U1875" s="1014">
        <v>1228762</v>
      </c>
      <c r="V1875" s="319" t="s">
        <v>87</v>
      </c>
      <c r="W1875" s="320">
        <v>3</v>
      </c>
      <c r="X1875" s="320">
        <v>3</v>
      </c>
      <c r="Y1875" s="320">
        <v>3</v>
      </c>
      <c r="Z1875" s="320">
        <v>7</v>
      </c>
      <c r="AA1875" s="320">
        <v>1</v>
      </c>
      <c r="AB1875" s="320">
        <v>1</v>
      </c>
      <c r="AC1875" s="320">
        <v>1</v>
      </c>
      <c r="AD1875" s="320">
        <v>1</v>
      </c>
      <c r="AE1875" s="320">
        <v>1</v>
      </c>
      <c r="AF1875" s="320">
        <v>3</v>
      </c>
      <c r="AG1875" s="320">
        <v>5</v>
      </c>
      <c r="AH1875" s="320"/>
      <c r="AI1875" s="320">
        <v>6</v>
      </c>
      <c r="AJ1875" s="320">
        <v>6</v>
      </c>
      <c r="AK1875" s="320">
        <v>2</v>
      </c>
      <c r="AL1875" s="320">
        <v>2</v>
      </c>
      <c r="AM1875" s="320">
        <v>2</v>
      </c>
      <c r="AN1875" s="320">
        <v>4</v>
      </c>
      <c r="AO1875" s="320"/>
      <c r="AP1875" s="320"/>
      <c r="AQ1875" s="320"/>
      <c r="AR1875" s="320"/>
      <c r="AS1875" s="320"/>
      <c r="AT1875" s="320"/>
      <c r="AU1875" s="320"/>
      <c r="AV1875" s="320"/>
      <c r="AW1875" s="320"/>
      <c r="AX1875" s="320"/>
      <c r="AY1875" s="320"/>
      <c r="AZ1875" s="320"/>
      <c r="BA1875" s="320"/>
      <c r="BB1875" s="320"/>
      <c r="BC1875" s="320"/>
      <c r="BD1875" s="119"/>
      <c r="BF1875">
        <f>ROWS($U$46:U1875)</f>
        <v>1830</v>
      </c>
      <c r="BG1875" t="str">
        <f t="shared" si="238"/>
        <v/>
      </c>
    </row>
    <row r="1876" spans="14:59" x14ac:dyDescent="0.35">
      <c r="N1876">
        <f t="shared" si="239"/>
        <v>40</v>
      </c>
      <c r="O1876" s="330">
        <v>2</v>
      </c>
      <c r="P1876" s="36">
        <v>717751</v>
      </c>
      <c r="Q1876" s="36">
        <v>20</v>
      </c>
      <c r="R1876" s="36"/>
      <c r="S1876" s="36" t="s">
        <v>1133</v>
      </c>
      <c r="T1876" s="36" t="s">
        <v>2282</v>
      </c>
      <c r="U1876" s="36">
        <v>1228762</v>
      </c>
      <c r="V1876" s="165" t="s">
        <v>88</v>
      </c>
      <c r="W1876" s="36">
        <v>1</v>
      </c>
      <c r="X1876" s="36">
        <v>1</v>
      </c>
      <c r="Y1876" s="36">
        <v>1</v>
      </c>
      <c r="Z1876" s="36">
        <v>1</v>
      </c>
      <c r="AA1876" s="36">
        <v>1</v>
      </c>
      <c r="AB1876" s="36">
        <v>3</v>
      </c>
      <c r="AC1876" s="36">
        <v>5</v>
      </c>
      <c r="AD1876" s="36"/>
      <c r="AE1876" s="36"/>
      <c r="AF1876" s="36"/>
      <c r="AG1876" s="36"/>
      <c r="AH1876" s="36"/>
      <c r="AI1876" s="36">
        <v>2</v>
      </c>
      <c r="AJ1876" s="36">
        <v>2</v>
      </c>
      <c r="AK1876" s="36">
        <v>2</v>
      </c>
      <c r="AL1876" s="36">
        <v>4</v>
      </c>
      <c r="AM1876" s="36"/>
      <c r="AN1876" s="36"/>
      <c r="AO1876" s="36"/>
      <c r="AP1876" s="36"/>
      <c r="AQ1876" s="36"/>
      <c r="AR1876" s="36"/>
      <c r="AS1876" s="36"/>
      <c r="AT1876" s="36"/>
      <c r="AU1876" s="36"/>
      <c r="AV1876" s="36"/>
      <c r="AW1876" s="36"/>
      <c r="AX1876" s="36"/>
      <c r="AY1876" s="36"/>
      <c r="AZ1876" s="36"/>
      <c r="BA1876" s="36"/>
      <c r="BB1876" s="36"/>
      <c r="BC1876" s="36"/>
      <c r="BD1876" s="27"/>
      <c r="BF1876">
        <f>ROWS($U$46:U1876)</f>
        <v>1831</v>
      </c>
      <c r="BG1876" t="str">
        <f t="shared" si="238"/>
        <v/>
      </c>
    </row>
    <row r="1877" spans="14:59" x14ac:dyDescent="0.35">
      <c r="N1877">
        <f t="shared" si="239"/>
        <v>39</v>
      </c>
      <c r="O1877" s="330">
        <v>3</v>
      </c>
      <c r="P1877" s="36">
        <v>1133896</v>
      </c>
      <c r="Q1877" s="36">
        <v>13</v>
      </c>
      <c r="R1877" s="36"/>
      <c r="S1877" s="36" t="s">
        <v>1133</v>
      </c>
      <c r="T1877" s="36" t="s">
        <v>2282</v>
      </c>
      <c r="U1877" s="36">
        <v>1228762</v>
      </c>
      <c r="V1877" s="165" t="s">
        <v>89</v>
      </c>
      <c r="W1877" s="36">
        <v>3</v>
      </c>
      <c r="X1877" s="36">
        <v>3</v>
      </c>
      <c r="Y1877" s="36">
        <v>7</v>
      </c>
      <c r="Z1877" s="36">
        <v>7</v>
      </c>
      <c r="AA1877" s="36">
        <v>1</v>
      </c>
      <c r="AB1877" s="36">
        <v>1</v>
      </c>
      <c r="AC1877" s="36">
        <v>1</v>
      </c>
      <c r="AD1877" s="36">
        <v>1</v>
      </c>
      <c r="AE1877" s="36">
        <v>1</v>
      </c>
      <c r="AF1877" s="36">
        <v>3</v>
      </c>
      <c r="AG1877" s="36">
        <v>5</v>
      </c>
      <c r="AH1877" s="36"/>
      <c r="AI1877" s="36">
        <v>6</v>
      </c>
      <c r="AJ1877" s="36">
        <v>6</v>
      </c>
      <c r="AK1877" s="36">
        <v>2</v>
      </c>
      <c r="AL1877" s="36">
        <v>2</v>
      </c>
      <c r="AM1877" s="36">
        <v>2</v>
      </c>
      <c r="AN1877" s="36">
        <v>2</v>
      </c>
      <c r="AO1877" s="36">
        <v>4</v>
      </c>
      <c r="AP1877" s="36"/>
      <c r="AQ1877" s="36"/>
      <c r="AR1877" s="36"/>
      <c r="AS1877" s="36"/>
      <c r="AT1877" s="36"/>
      <c r="AU1877" s="36"/>
      <c r="AV1877" s="36"/>
      <c r="AW1877" s="36"/>
      <c r="AX1877" s="36"/>
      <c r="AY1877" s="36"/>
      <c r="AZ1877" s="36"/>
      <c r="BA1877" s="36"/>
      <c r="BB1877" s="36"/>
      <c r="BC1877" s="36"/>
      <c r="BD1877" s="27"/>
      <c r="BF1877">
        <f>ROWS($U$46:U1877)</f>
        <v>1832</v>
      </c>
      <c r="BG1877" t="str">
        <f t="shared" si="238"/>
        <v/>
      </c>
    </row>
    <row r="1878" spans="14:59" x14ac:dyDescent="0.35">
      <c r="N1878">
        <f t="shared" si="239"/>
        <v>24</v>
      </c>
      <c r="O1878" s="330">
        <v>4</v>
      </c>
      <c r="P1878" s="36">
        <v>179734</v>
      </c>
      <c r="Q1878" s="36">
        <v>6</v>
      </c>
      <c r="R1878" s="36"/>
      <c r="S1878" s="36" t="s">
        <v>1133</v>
      </c>
      <c r="T1878" s="36" t="s">
        <v>2282</v>
      </c>
      <c r="U1878" s="36">
        <v>1228762</v>
      </c>
      <c r="V1878" s="165" t="s">
        <v>90</v>
      </c>
      <c r="W1878" s="36">
        <v>1</v>
      </c>
      <c r="X1878" s="36">
        <v>1</v>
      </c>
      <c r="Y1878" s="36">
        <v>1</v>
      </c>
      <c r="Z1878" s="36">
        <v>1</v>
      </c>
      <c r="AA1878" s="36">
        <v>1</v>
      </c>
      <c r="AB1878" s="36">
        <v>3</v>
      </c>
      <c r="AC1878" s="36">
        <v>5</v>
      </c>
      <c r="AD1878" s="36"/>
      <c r="AE1878" s="36"/>
      <c r="AF1878" s="36"/>
      <c r="AG1878" s="36"/>
      <c r="AH1878" s="36"/>
      <c r="AI1878" s="36">
        <v>2</v>
      </c>
      <c r="AJ1878" s="36">
        <v>2</v>
      </c>
      <c r="AK1878" s="36">
        <v>2</v>
      </c>
      <c r="AL1878" s="36">
        <v>2</v>
      </c>
      <c r="AM1878" s="36">
        <v>4</v>
      </c>
      <c r="AN1878" s="36"/>
      <c r="AO1878" s="36"/>
      <c r="AP1878" s="36"/>
      <c r="AQ1878" s="36"/>
      <c r="AR1878" s="36"/>
      <c r="AS1878" s="36"/>
      <c r="AT1878" s="36"/>
      <c r="AU1878" s="36"/>
      <c r="AV1878" s="36"/>
      <c r="AW1878" s="36"/>
      <c r="AX1878" s="36"/>
      <c r="AY1878" s="36"/>
      <c r="AZ1878" s="36"/>
      <c r="BA1878" s="36"/>
      <c r="BB1878" s="36"/>
      <c r="BC1878" s="36"/>
      <c r="BD1878" s="27"/>
      <c r="BF1878">
        <f>ROWS($U$46:U1878)</f>
        <v>1833</v>
      </c>
      <c r="BG1878" t="str">
        <f t="shared" si="238"/>
        <v/>
      </c>
    </row>
    <row r="1879" spans="14:59" x14ac:dyDescent="0.35">
      <c r="N1879">
        <f t="shared" si="239"/>
        <v>30</v>
      </c>
      <c r="O1879" s="330">
        <v>5</v>
      </c>
      <c r="P1879" s="36">
        <v>418525</v>
      </c>
      <c r="Q1879" s="36">
        <v>6</v>
      </c>
      <c r="R1879" s="36"/>
      <c r="S1879" s="36" t="s">
        <v>1133</v>
      </c>
      <c r="T1879" s="36" t="s">
        <v>2282</v>
      </c>
      <c r="U1879" s="36">
        <v>1228762</v>
      </c>
      <c r="V1879" s="165" t="s">
        <v>91</v>
      </c>
      <c r="W1879" s="36">
        <v>3</v>
      </c>
      <c r="X1879" s="36">
        <v>3</v>
      </c>
      <c r="Y1879" s="36">
        <v>7</v>
      </c>
      <c r="Z1879" s="36">
        <v>7</v>
      </c>
      <c r="AA1879" s="36">
        <v>1</v>
      </c>
      <c r="AB1879" s="36">
        <v>1</v>
      </c>
      <c r="AC1879" s="36">
        <v>1</v>
      </c>
      <c r="AD1879" s="36">
        <v>1</v>
      </c>
      <c r="AE1879" s="36">
        <v>1</v>
      </c>
      <c r="AF1879" s="36">
        <v>3</v>
      </c>
      <c r="AG1879" s="36">
        <v>5</v>
      </c>
      <c r="AH1879" s="36"/>
      <c r="AI1879" s="36">
        <v>6</v>
      </c>
      <c r="AJ1879" s="36">
        <v>6</v>
      </c>
      <c r="AK1879" s="36">
        <v>2</v>
      </c>
      <c r="AL1879" s="36">
        <v>2</v>
      </c>
      <c r="AM1879" s="36">
        <v>2</v>
      </c>
      <c r="AN1879" s="36">
        <v>4</v>
      </c>
      <c r="AO1879" s="36"/>
      <c r="AP1879" s="36"/>
      <c r="AQ1879" s="36"/>
      <c r="AR1879" s="36"/>
      <c r="AS1879" s="36"/>
      <c r="AT1879" s="36"/>
      <c r="AU1879" s="36"/>
      <c r="AV1879" s="36"/>
      <c r="AW1879" s="36"/>
      <c r="AX1879" s="36"/>
      <c r="AY1879" s="36"/>
      <c r="AZ1879" s="36"/>
      <c r="BA1879" s="36"/>
      <c r="BB1879" s="36"/>
      <c r="BC1879" s="36"/>
      <c r="BD1879" s="27"/>
      <c r="BF1879">
        <f>ROWS($U$46:U1879)</f>
        <v>1834</v>
      </c>
      <c r="BG1879" t="str">
        <f t="shared" si="238"/>
        <v/>
      </c>
    </row>
    <row r="1880" spans="14:59" x14ac:dyDescent="0.35">
      <c r="N1880">
        <f t="shared" si="239"/>
        <v>36</v>
      </c>
      <c r="O1880" s="330">
        <v>6</v>
      </c>
      <c r="P1880" s="36">
        <v>1086351</v>
      </c>
      <c r="Q1880" s="36">
        <v>6</v>
      </c>
      <c r="R1880" s="36"/>
      <c r="S1880" s="36" t="s">
        <v>1133</v>
      </c>
      <c r="T1880" s="36" t="s">
        <v>2282</v>
      </c>
      <c r="U1880" s="36">
        <v>1228762</v>
      </c>
      <c r="V1880" s="165" t="s">
        <v>92</v>
      </c>
      <c r="W1880" s="36">
        <v>1</v>
      </c>
      <c r="X1880" s="36">
        <v>1</v>
      </c>
      <c r="Y1880" s="36">
        <v>1</v>
      </c>
      <c r="Z1880" s="36">
        <v>1</v>
      </c>
      <c r="AA1880" s="36">
        <v>1</v>
      </c>
      <c r="AB1880" s="36">
        <v>3</v>
      </c>
      <c r="AC1880" s="36">
        <v>5</v>
      </c>
      <c r="AD1880" s="36"/>
      <c r="AE1880" s="36"/>
      <c r="AF1880" s="36"/>
      <c r="AG1880" s="36"/>
      <c r="AH1880" s="36"/>
      <c r="AI1880" s="36">
        <v>2</v>
      </c>
      <c r="AJ1880" s="36">
        <v>2</v>
      </c>
      <c r="AK1880" s="36">
        <v>2</v>
      </c>
      <c r="AL1880" s="36">
        <v>4</v>
      </c>
      <c r="AM1880" s="36"/>
      <c r="AN1880" s="36"/>
      <c r="AO1880" s="36"/>
      <c r="AP1880" s="36"/>
      <c r="AQ1880" s="36"/>
      <c r="AR1880" s="36"/>
      <c r="AS1880" s="36"/>
      <c r="AT1880" s="36"/>
      <c r="AU1880" s="36"/>
      <c r="AV1880" s="36"/>
      <c r="AW1880" s="36"/>
      <c r="AX1880" s="36"/>
      <c r="AY1880" s="36"/>
      <c r="AZ1880" s="36"/>
      <c r="BA1880" s="36"/>
      <c r="BB1880" s="36"/>
      <c r="BC1880" s="36"/>
      <c r="BD1880" s="27"/>
      <c r="BF1880">
        <f>ROWS($U$46:U1880)</f>
        <v>1835</v>
      </c>
      <c r="BG1880" t="str">
        <f t="shared" si="238"/>
        <v/>
      </c>
    </row>
    <row r="1881" spans="14:59" ht="15" thickBot="1" x14ac:dyDescent="0.4">
      <c r="N1881">
        <f t="shared" si="239"/>
        <v>35</v>
      </c>
      <c r="O1881" s="485">
        <v>7</v>
      </c>
      <c r="P1881" s="486">
        <v>1165800</v>
      </c>
      <c r="Q1881" s="486">
        <v>5</v>
      </c>
      <c r="R1881" s="486"/>
      <c r="S1881" s="486" t="s">
        <v>1133</v>
      </c>
      <c r="T1881" s="486" t="s">
        <v>2282</v>
      </c>
      <c r="U1881" s="486">
        <v>1228762</v>
      </c>
      <c r="V1881" s="487"/>
      <c r="W1881" s="486"/>
      <c r="X1881" s="486"/>
      <c r="Y1881" s="486"/>
      <c r="Z1881" s="486"/>
      <c r="AA1881" s="486"/>
      <c r="AB1881" s="486"/>
      <c r="AC1881" s="486"/>
      <c r="AD1881" s="486"/>
      <c r="AE1881" s="486"/>
      <c r="AF1881" s="486"/>
      <c r="AG1881" s="486"/>
      <c r="AH1881" s="486"/>
      <c r="AI1881" s="486"/>
      <c r="AJ1881" s="486"/>
      <c r="AK1881" s="486"/>
      <c r="AL1881" s="486"/>
      <c r="AM1881" s="486"/>
      <c r="AN1881" s="486"/>
      <c r="AO1881" s="486"/>
      <c r="AP1881" s="486"/>
      <c r="AQ1881" s="486"/>
      <c r="AR1881" s="486"/>
      <c r="AS1881" s="486"/>
      <c r="AT1881" s="486"/>
      <c r="AU1881" s="486"/>
      <c r="AV1881" s="486"/>
      <c r="AW1881" s="486"/>
      <c r="AX1881" s="486"/>
      <c r="AY1881" s="486"/>
      <c r="AZ1881" s="486"/>
      <c r="BA1881" s="486"/>
      <c r="BB1881" s="486"/>
      <c r="BC1881" s="486"/>
      <c r="BD1881" s="488"/>
      <c r="BF1881">
        <f>ROWS($U$46:U1881)</f>
        <v>1836</v>
      </c>
      <c r="BG1881" t="str">
        <f t="shared" si="238"/>
        <v/>
      </c>
    </row>
    <row r="1882" spans="14:59" x14ac:dyDescent="0.35">
      <c r="N1882">
        <f t="shared" si="239"/>
        <v>53</v>
      </c>
      <c r="O1882" s="329">
        <v>1</v>
      </c>
      <c r="P1882" s="320">
        <v>1165840</v>
      </c>
      <c r="Q1882" s="320">
        <v>53</v>
      </c>
      <c r="R1882" s="320"/>
      <c r="S1882" s="320" t="s">
        <v>1126</v>
      </c>
      <c r="T1882" s="320" t="s">
        <v>2283</v>
      </c>
      <c r="U1882" s="1014">
        <v>1258120</v>
      </c>
      <c r="V1882" s="319" t="s">
        <v>87</v>
      </c>
      <c r="W1882" s="320">
        <v>8</v>
      </c>
      <c r="X1882" s="320">
        <v>8</v>
      </c>
      <c r="Y1882" s="320">
        <v>1</v>
      </c>
      <c r="Z1882" s="320">
        <v>1</v>
      </c>
      <c r="AA1882" s="320">
        <v>1</v>
      </c>
      <c r="AB1882" s="320">
        <v>1</v>
      </c>
      <c r="AC1882" s="320">
        <v>1</v>
      </c>
      <c r="AD1882" s="320">
        <v>1</v>
      </c>
      <c r="AE1882" s="320">
        <v>1</v>
      </c>
      <c r="AF1882" s="320">
        <v>1</v>
      </c>
      <c r="AG1882" s="320">
        <v>1</v>
      </c>
      <c r="AH1882" s="320">
        <v>1</v>
      </c>
      <c r="AI1882" s="320">
        <v>1</v>
      </c>
      <c r="AJ1882" s="320">
        <v>4</v>
      </c>
      <c r="AK1882" s="320">
        <v>4</v>
      </c>
      <c r="AL1882" s="320">
        <v>7</v>
      </c>
      <c r="AM1882" s="320"/>
      <c r="AN1882" s="320">
        <v>9</v>
      </c>
      <c r="AO1882" s="320">
        <v>6</v>
      </c>
      <c r="AP1882" s="320">
        <v>6</v>
      </c>
      <c r="AQ1882" s="320">
        <v>5</v>
      </c>
      <c r="AR1882" s="320">
        <v>5</v>
      </c>
      <c r="AS1882" s="320">
        <v>5</v>
      </c>
      <c r="AT1882" s="320">
        <v>5</v>
      </c>
      <c r="AU1882" s="320">
        <v>3</v>
      </c>
      <c r="AV1882" s="320">
        <v>3</v>
      </c>
      <c r="AW1882" s="320"/>
      <c r="AX1882" s="320"/>
      <c r="AY1882" s="320"/>
      <c r="AZ1882" s="320"/>
      <c r="BA1882" s="320"/>
      <c r="BB1882" s="320"/>
      <c r="BC1882" s="320"/>
      <c r="BD1882" s="119"/>
      <c r="BF1882">
        <f>ROWS($U$46:U1882)</f>
        <v>1837</v>
      </c>
      <c r="BG1882" t="str">
        <f t="shared" si="238"/>
        <v/>
      </c>
    </row>
    <row r="1883" spans="14:59" x14ac:dyDescent="0.35">
      <c r="N1883">
        <f t="shared" si="239"/>
        <v>24</v>
      </c>
      <c r="O1883" s="330">
        <v>2</v>
      </c>
      <c r="P1883" s="36">
        <v>179733</v>
      </c>
      <c r="Q1883" s="36">
        <v>12</v>
      </c>
      <c r="R1883" s="36"/>
      <c r="S1883" s="36" t="s">
        <v>1126</v>
      </c>
      <c r="T1883" s="36" t="s">
        <v>2283</v>
      </c>
      <c r="U1883" s="36">
        <v>1258120</v>
      </c>
      <c r="V1883" s="165" t="s">
        <v>88</v>
      </c>
      <c r="W1883" s="36">
        <v>1</v>
      </c>
      <c r="X1883" s="36">
        <v>1</v>
      </c>
      <c r="Y1883" s="36">
        <v>1</v>
      </c>
      <c r="Z1883" s="36">
        <v>1</v>
      </c>
      <c r="AA1883" s="36">
        <v>1</v>
      </c>
      <c r="AB1883" s="36">
        <v>1</v>
      </c>
      <c r="AC1883" s="36">
        <v>1</v>
      </c>
      <c r="AD1883" s="36">
        <v>4</v>
      </c>
      <c r="AE1883" s="36">
        <v>4</v>
      </c>
      <c r="AF1883" s="36">
        <v>7</v>
      </c>
      <c r="AG1883" s="36"/>
      <c r="AH1883" s="36"/>
      <c r="AI1883" s="36"/>
      <c r="AJ1883" s="36"/>
      <c r="AK1883" s="36"/>
      <c r="AL1883" s="36"/>
      <c r="AM1883" s="36"/>
      <c r="AN1883" s="36">
        <v>2</v>
      </c>
      <c r="AO1883" s="36">
        <v>2</v>
      </c>
      <c r="AP1883" s="36">
        <v>2</v>
      </c>
      <c r="AQ1883" s="36">
        <v>2</v>
      </c>
      <c r="AR1883" s="36">
        <v>3</v>
      </c>
      <c r="AS1883" s="36">
        <v>3</v>
      </c>
      <c r="AT1883" s="36"/>
      <c r="AU1883" s="36"/>
      <c r="AV1883" s="36"/>
      <c r="AW1883" s="36"/>
      <c r="AX1883" s="36"/>
      <c r="AY1883" s="36"/>
      <c r="AZ1883" s="36"/>
      <c r="BA1883" s="36"/>
      <c r="BB1883" s="36"/>
      <c r="BC1883" s="36"/>
      <c r="BD1883" s="27"/>
      <c r="BF1883">
        <f>ROWS($U$46:U1883)</f>
        <v>1838</v>
      </c>
      <c r="BG1883" t="str">
        <f t="shared" si="238"/>
        <v/>
      </c>
    </row>
    <row r="1884" spans="14:59" x14ac:dyDescent="0.35">
      <c r="N1884">
        <f t="shared" si="239"/>
        <v>36</v>
      </c>
      <c r="O1884" s="330">
        <v>3</v>
      </c>
      <c r="P1884" s="36">
        <v>1146346</v>
      </c>
      <c r="Q1884" s="36">
        <v>12</v>
      </c>
      <c r="R1884" s="36"/>
      <c r="S1884" s="36" t="s">
        <v>1126</v>
      </c>
      <c r="T1884" s="36" t="s">
        <v>2283</v>
      </c>
      <c r="U1884" s="36">
        <v>1258120</v>
      </c>
      <c r="V1884" s="165" t="s">
        <v>89</v>
      </c>
      <c r="W1884" s="36">
        <v>8</v>
      </c>
      <c r="X1884" s="36">
        <v>8</v>
      </c>
      <c r="Y1884" s="36">
        <v>1</v>
      </c>
      <c r="Z1884" s="36">
        <v>1</v>
      </c>
      <c r="AA1884" s="36">
        <v>1</v>
      </c>
      <c r="AB1884" s="36">
        <v>1</v>
      </c>
      <c r="AC1884" s="36">
        <v>1</v>
      </c>
      <c r="AD1884" s="36">
        <v>1</v>
      </c>
      <c r="AE1884" s="36">
        <v>1</v>
      </c>
      <c r="AF1884" s="36">
        <v>1</v>
      </c>
      <c r="AG1884" s="36">
        <v>1</v>
      </c>
      <c r="AH1884" s="36">
        <v>1</v>
      </c>
      <c r="AI1884" s="36">
        <v>4</v>
      </c>
      <c r="AJ1884" s="36">
        <v>4</v>
      </c>
      <c r="AK1884" s="36">
        <v>7</v>
      </c>
      <c r="AL1884" s="36"/>
      <c r="AM1884" s="36"/>
      <c r="AN1884" s="36">
        <v>9</v>
      </c>
      <c r="AO1884" s="36">
        <v>6</v>
      </c>
      <c r="AP1884" s="36">
        <v>6</v>
      </c>
      <c r="AQ1884" s="36">
        <v>5</v>
      </c>
      <c r="AR1884" s="36">
        <v>5</v>
      </c>
      <c r="AS1884" s="36">
        <v>5</v>
      </c>
      <c r="AT1884" s="36">
        <v>5</v>
      </c>
      <c r="AU1884" s="36">
        <v>3</v>
      </c>
      <c r="AV1884" s="36">
        <v>3</v>
      </c>
      <c r="AW1884" s="36"/>
      <c r="AX1884" s="36"/>
      <c r="AY1884" s="36"/>
      <c r="AZ1884" s="36"/>
      <c r="BA1884" s="36"/>
      <c r="BB1884" s="36"/>
      <c r="BC1884" s="36"/>
      <c r="BD1884" s="27"/>
      <c r="BF1884">
        <f>ROWS($U$46:U1884)</f>
        <v>1839</v>
      </c>
      <c r="BG1884" t="str">
        <f t="shared" si="238"/>
        <v/>
      </c>
    </row>
    <row r="1885" spans="14:59" x14ac:dyDescent="0.35">
      <c r="N1885">
        <f t="shared" si="239"/>
        <v>48</v>
      </c>
      <c r="O1885" s="330">
        <v>4</v>
      </c>
      <c r="P1885" s="36">
        <v>1146737</v>
      </c>
      <c r="Q1885" s="36">
        <v>12</v>
      </c>
      <c r="R1885" s="36"/>
      <c r="S1885" s="36" t="s">
        <v>1126</v>
      </c>
      <c r="T1885" s="36" t="s">
        <v>2283</v>
      </c>
      <c r="U1885" s="36">
        <v>1258120</v>
      </c>
      <c r="V1885" s="165" t="s">
        <v>90</v>
      </c>
      <c r="W1885" s="36">
        <v>1</v>
      </c>
      <c r="X1885" s="36">
        <v>1</v>
      </c>
      <c r="Y1885" s="36">
        <v>1</v>
      </c>
      <c r="Z1885" s="36">
        <v>1</v>
      </c>
      <c r="AA1885" s="36">
        <v>1</v>
      </c>
      <c r="AB1885" s="36">
        <v>1</v>
      </c>
      <c r="AC1885" s="36">
        <v>1</v>
      </c>
      <c r="AD1885" s="36">
        <v>4</v>
      </c>
      <c r="AE1885" s="36">
        <v>4</v>
      </c>
      <c r="AF1885" s="36">
        <v>7</v>
      </c>
      <c r="AG1885" s="36"/>
      <c r="AH1885" s="36"/>
      <c r="AI1885" s="36"/>
      <c r="AJ1885" s="36"/>
      <c r="AK1885" s="36"/>
      <c r="AL1885" s="36"/>
      <c r="AM1885" s="36"/>
      <c r="AN1885" s="36">
        <v>2</v>
      </c>
      <c r="AO1885" s="36">
        <v>2</v>
      </c>
      <c r="AP1885" s="36">
        <v>2</v>
      </c>
      <c r="AQ1885" s="36">
        <v>2</v>
      </c>
      <c r="AR1885" s="36">
        <v>3</v>
      </c>
      <c r="AS1885" s="36">
        <v>3</v>
      </c>
      <c r="AT1885" s="36"/>
      <c r="AU1885" s="36"/>
      <c r="AV1885" s="36"/>
      <c r="AW1885" s="36"/>
      <c r="AX1885" s="36"/>
      <c r="AY1885" s="36"/>
      <c r="AZ1885" s="36"/>
      <c r="BA1885" s="36"/>
      <c r="BB1885" s="36"/>
      <c r="BC1885" s="36"/>
      <c r="BD1885" s="27"/>
      <c r="BF1885">
        <f>ROWS($U$46:U1885)</f>
        <v>1840</v>
      </c>
      <c r="BG1885" t="str">
        <f t="shared" si="238"/>
        <v/>
      </c>
    </row>
    <row r="1886" spans="14:59" x14ac:dyDescent="0.35">
      <c r="N1886">
        <f t="shared" si="239"/>
        <v>60</v>
      </c>
      <c r="O1886" s="330">
        <v>5</v>
      </c>
      <c r="P1886" s="36">
        <v>1165880</v>
      </c>
      <c r="Q1886" s="36">
        <v>12</v>
      </c>
      <c r="R1886" s="36"/>
      <c r="S1886" s="36" t="s">
        <v>1126</v>
      </c>
      <c r="T1886" s="36" t="s">
        <v>2283</v>
      </c>
      <c r="U1886" s="36">
        <v>1258120</v>
      </c>
      <c r="V1886" s="165" t="s">
        <v>91</v>
      </c>
      <c r="W1886" s="36">
        <v>8</v>
      </c>
      <c r="X1886" s="36">
        <v>8</v>
      </c>
      <c r="Y1886" s="36">
        <v>1</v>
      </c>
      <c r="Z1886" s="36">
        <v>1</v>
      </c>
      <c r="AA1886" s="36">
        <v>1</v>
      </c>
      <c r="AB1886" s="36">
        <v>1</v>
      </c>
      <c r="AC1886" s="36">
        <v>1</v>
      </c>
      <c r="AD1886" s="36">
        <v>1</v>
      </c>
      <c r="AE1886" s="36">
        <v>1</v>
      </c>
      <c r="AF1886" s="36">
        <v>1</v>
      </c>
      <c r="AG1886" s="36">
        <v>1</v>
      </c>
      <c r="AH1886" s="36">
        <v>1</v>
      </c>
      <c r="AI1886" s="36">
        <v>4</v>
      </c>
      <c r="AJ1886" s="36">
        <v>4</v>
      </c>
      <c r="AK1886" s="36">
        <v>7</v>
      </c>
      <c r="AL1886" s="36"/>
      <c r="AM1886" s="36"/>
      <c r="AN1886" s="36">
        <v>9</v>
      </c>
      <c r="AO1886" s="36">
        <v>6</v>
      </c>
      <c r="AP1886" s="36">
        <v>6</v>
      </c>
      <c r="AQ1886" s="36">
        <v>5</v>
      </c>
      <c r="AR1886" s="36">
        <v>5</v>
      </c>
      <c r="AS1886" s="36">
        <v>5</v>
      </c>
      <c r="AT1886" s="36">
        <v>5</v>
      </c>
      <c r="AU1886" s="36">
        <v>3</v>
      </c>
      <c r="AV1886" s="36">
        <v>3</v>
      </c>
      <c r="AW1886" s="36"/>
      <c r="AX1886" s="36"/>
      <c r="AY1886" s="36"/>
      <c r="AZ1886" s="36"/>
      <c r="BA1886" s="36"/>
      <c r="BB1886" s="36"/>
      <c r="BC1886" s="36"/>
      <c r="BD1886" s="27"/>
      <c r="BF1886">
        <f>ROWS($U$46:U1886)</f>
        <v>1841</v>
      </c>
      <c r="BG1886" t="str">
        <f t="shared" si="238"/>
        <v/>
      </c>
    </row>
    <row r="1887" spans="14:59" x14ac:dyDescent="0.35">
      <c r="N1887">
        <f t="shared" si="239"/>
        <v>36</v>
      </c>
      <c r="O1887" s="330">
        <v>6</v>
      </c>
      <c r="P1887" s="36">
        <v>179734</v>
      </c>
      <c r="Q1887" s="36">
        <v>6</v>
      </c>
      <c r="R1887" s="36"/>
      <c r="S1887" s="36" t="s">
        <v>1126</v>
      </c>
      <c r="T1887" s="36" t="s">
        <v>2283</v>
      </c>
      <c r="U1887" s="36">
        <v>1258120</v>
      </c>
      <c r="V1887" s="165" t="s">
        <v>92</v>
      </c>
      <c r="W1887" s="36">
        <v>1</v>
      </c>
      <c r="X1887" s="36">
        <v>1</v>
      </c>
      <c r="Y1887" s="36">
        <v>1</v>
      </c>
      <c r="Z1887" s="36">
        <v>1</v>
      </c>
      <c r="AA1887" s="36">
        <v>1</v>
      </c>
      <c r="AB1887" s="36">
        <v>1</v>
      </c>
      <c r="AC1887" s="36">
        <v>1</v>
      </c>
      <c r="AD1887" s="36">
        <v>1</v>
      </c>
      <c r="AE1887" s="36">
        <v>4</v>
      </c>
      <c r="AF1887" s="36">
        <v>4</v>
      </c>
      <c r="AG1887" s="36">
        <v>7</v>
      </c>
      <c r="AH1887" s="36"/>
      <c r="AI1887" s="36"/>
      <c r="AJ1887" s="36"/>
      <c r="AK1887" s="36"/>
      <c r="AL1887" s="36"/>
      <c r="AM1887" s="36"/>
      <c r="AN1887" s="36">
        <v>2</v>
      </c>
      <c r="AO1887" s="36">
        <v>2</v>
      </c>
      <c r="AP1887" s="36">
        <v>2</v>
      </c>
      <c r="AQ1887" s="36">
        <v>2</v>
      </c>
      <c r="AR1887" s="36">
        <v>3</v>
      </c>
      <c r="AS1887" s="36">
        <v>3</v>
      </c>
      <c r="AT1887" s="36"/>
      <c r="AU1887" s="36"/>
      <c r="AV1887" s="36"/>
      <c r="AW1887" s="36"/>
      <c r="AX1887" s="36"/>
      <c r="AY1887" s="36"/>
      <c r="AZ1887" s="36"/>
      <c r="BA1887" s="36"/>
      <c r="BB1887" s="36"/>
      <c r="BC1887" s="36"/>
      <c r="BD1887" s="27"/>
      <c r="BF1887">
        <f>ROWS($U$46:U1887)</f>
        <v>1842</v>
      </c>
      <c r="BG1887" t="str">
        <f t="shared" si="238"/>
        <v/>
      </c>
    </row>
    <row r="1888" spans="14:59" x14ac:dyDescent="0.35">
      <c r="N1888">
        <f t="shared" si="239"/>
        <v>42</v>
      </c>
      <c r="O1888" s="330">
        <v>7</v>
      </c>
      <c r="P1888" s="36">
        <v>418525</v>
      </c>
      <c r="Q1888" s="36">
        <v>6</v>
      </c>
      <c r="R1888" s="36"/>
      <c r="S1888" s="36" t="s">
        <v>1126</v>
      </c>
      <c r="T1888" s="36" t="s">
        <v>2283</v>
      </c>
      <c r="U1888" s="36">
        <v>1258120</v>
      </c>
      <c r="V1888" s="165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  <c r="AV1888" s="36"/>
      <c r="AW1888" s="36"/>
      <c r="AX1888" s="36"/>
      <c r="AY1888" s="36"/>
      <c r="AZ1888" s="36"/>
      <c r="BA1888" s="36"/>
      <c r="BB1888" s="36"/>
      <c r="BC1888" s="36"/>
      <c r="BD1888" s="27"/>
      <c r="BF1888">
        <f>ROWS($U$46:U1888)</f>
        <v>1843</v>
      </c>
      <c r="BG1888" t="str">
        <f t="shared" si="238"/>
        <v/>
      </c>
    </row>
    <row r="1889" spans="14:59" x14ac:dyDescent="0.35">
      <c r="N1889">
        <f t="shared" si="239"/>
        <v>48</v>
      </c>
      <c r="O1889" s="330">
        <v>8</v>
      </c>
      <c r="P1889" s="36">
        <v>1146742</v>
      </c>
      <c r="Q1889" s="36">
        <v>6</v>
      </c>
      <c r="R1889" s="36"/>
      <c r="S1889" s="36" t="s">
        <v>1126</v>
      </c>
      <c r="T1889" s="36" t="s">
        <v>2283</v>
      </c>
      <c r="U1889" s="36">
        <v>1258120</v>
      </c>
      <c r="V1889" s="165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  <c r="AV1889" s="36"/>
      <c r="AW1889" s="36"/>
      <c r="AX1889" s="36"/>
      <c r="AY1889" s="36"/>
      <c r="AZ1889" s="36"/>
      <c r="BA1889" s="36"/>
      <c r="BB1889" s="36"/>
      <c r="BC1889" s="36"/>
      <c r="BD1889" s="27"/>
      <c r="BF1889">
        <f>ROWS($U$46:U1889)</f>
        <v>1844</v>
      </c>
      <c r="BG1889" t="str">
        <f t="shared" si="238"/>
        <v/>
      </c>
    </row>
    <row r="1890" spans="14:59" ht="15" thickBot="1" x14ac:dyDescent="0.4">
      <c r="N1890">
        <f t="shared" si="239"/>
        <v>27</v>
      </c>
      <c r="O1890" s="331">
        <v>9</v>
      </c>
      <c r="P1890" s="328">
        <v>1086351</v>
      </c>
      <c r="Q1890" s="328">
        <v>3</v>
      </c>
      <c r="R1890" s="328"/>
      <c r="S1890" s="328" t="s">
        <v>1126</v>
      </c>
      <c r="T1890" s="328" t="s">
        <v>2283</v>
      </c>
      <c r="U1890" s="328">
        <v>1258120</v>
      </c>
      <c r="V1890" s="327"/>
      <c r="W1890" s="328"/>
      <c r="X1890" s="328"/>
      <c r="Y1890" s="328"/>
      <c r="Z1890" s="328"/>
      <c r="AA1890" s="328"/>
      <c r="AB1890" s="328"/>
      <c r="AC1890" s="328"/>
      <c r="AD1890" s="328"/>
      <c r="AE1890" s="328"/>
      <c r="AF1890" s="328"/>
      <c r="AG1890" s="328"/>
      <c r="AH1890" s="328"/>
      <c r="AI1890" s="328"/>
      <c r="AJ1890" s="328"/>
      <c r="AK1890" s="328"/>
      <c r="AL1890" s="328"/>
      <c r="AM1890" s="328"/>
      <c r="AN1890" s="328"/>
      <c r="AO1890" s="328"/>
      <c r="AP1890" s="328"/>
      <c r="AQ1890" s="328"/>
      <c r="AR1890" s="328"/>
      <c r="AS1890" s="328"/>
      <c r="AT1890" s="328"/>
      <c r="AU1890" s="328"/>
      <c r="AV1890" s="328"/>
      <c r="AW1890" s="328"/>
      <c r="AX1890" s="328"/>
      <c r="AY1890" s="328"/>
      <c r="AZ1890" s="328"/>
      <c r="BA1890" s="328"/>
      <c r="BB1890" s="328"/>
      <c r="BC1890" s="328"/>
      <c r="BD1890" s="31"/>
      <c r="BF1890">
        <f>ROWS($U$46:U1890)</f>
        <v>1845</v>
      </c>
      <c r="BG1890" t="str">
        <f t="shared" si="238"/>
        <v/>
      </c>
    </row>
    <row r="1891" spans="14:59" x14ac:dyDescent="0.35">
      <c r="N1891">
        <f t="shared" si="239"/>
        <v>33</v>
      </c>
      <c r="O1891" s="329">
        <v>1</v>
      </c>
      <c r="P1891" s="320">
        <v>1100755</v>
      </c>
      <c r="Q1891" s="320">
        <v>33</v>
      </c>
      <c r="R1891" s="320"/>
      <c r="S1891" s="320" t="s">
        <v>1198</v>
      </c>
      <c r="T1891" s="320" t="s">
        <v>846</v>
      </c>
      <c r="U1891" s="1001">
        <v>1246020</v>
      </c>
      <c r="V1891" s="319" t="s">
        <v>87</v>
      </c>
      <c r="W1891" s="320">
        <v>1</v>
      </c>
      <c r="X1891" s="320">
        <v>1</v>
      </c>
      <c r="Y1891" s="320">
        <v>1</v>
      </c>
      <c r="Z1891" s="320">
        <v>1</v>
      </c>
      <c r="AA1891" s="320">
        <v>1</v>
      </c>
      <c r="AB1891" s="320">
        <v>1</v>
      </c>
      <c r="AC1891" s="320">
        <v>1</v>
      </c>
      <c r="AD1891" s="320">
        <v>3</v>
      </c>
      <c r="AE1891" s="320"/>
      <c r="AF1891" s="320">
        <v>2</v>
      </c>
      <c r="AG1891" s="320">
        <v>2</v>
      </c>
      <c r="AH1891" s="320">
        <v>2</v>
      </c>
      <c r="AI1891" s="320">
        <v>2</v>
      </c>
      <c r="AJ1891" s="320"/>
      <c r="AK1891" s="320"/>
      <c r="AL1891" s="320"/>
      <c r="AM1891" s="320"/>
      <c r="AN1891" s="320"/>
      <c r="AO1891" s="320"/>
      <c r="AP1891" s="320"/>
      <c r="AQ1891" s="320"/>
      <c r="AR1891" s="320"/>
      <c r="AS1891" s="320"/>
      <c r="AT1891" s="320"/>
      <c r="AU1891" s="320"/>
      <c r="AV1891" s="320"/>
      <c r="AW1891" s="320"/>
      <c r="AX1891" s="320"/>
      <c r="AY1891" s="320"/>
      <c r="AZ1891" s="974"/>
      <c r="BA1891" s="320"/>
      <c r="BB1891" s="320"/>
      <c r="BC1891" s="320"/>
      <c r="BD1891" s="119"/>
      <c r="BF1891">
        <f>ROWS($U$46:U1891)</f>
        <v>1846</v>
      </c>
      <c r="BG1891" t="str">
        <f t="shared" si="238"/>
        <v/>
      </c>
    </row>
    <row r="1892" spans="14:59" x14ac:dyDescent="0.35">
      <c r="N1892">
        <f t="shared" si="239"/>
        <v>46</v>
      </c>
      <c r="O1892" s="330">
        <v>2</v>
      </c>
      <c r="P1892" s="36">
        <v>647435</v>
      </c>
      <c r="Q1892" s="36">
        <v>23</v>
      </c>
      <c r="R1892" s="36"/>
      <c r="S1892" s="36" t="s">
        <v>1198</v>
      </c>
      <c r="T1892" s="36" t="s">
        <v>846</v>
      </c>
      <c r="U1892" s="36">
        <v>1246020</v>
      </c>
      <c r="V1892" s="165" t="s">
        <v>88</v>
      </c>
      <c r="W1892" s="36">
        <v>1</v>
      </c>
      <c r="X1892" s="36">
        <v>1</v>
      </c>
      <c r="Y1892" s="36">
        <v>1</v>
      </c>
      <c r="Z1892" s="36">
        <v>1</v>
      </c>
      <c r="AA1892" s="36">
        <v>3</v>
      </c>
      <c r="AB1892" s="36"/>
      <c r="AC1892" s="36"/>
      <c r="AD1892" s="36"/>
      <c r="AE1892" s="36"/>
      <c r="AF1892" s="36">
        <v>2</v>
      </c>
      <c r="AG1892" s="36">
        <v>2</v>
      </c>
      <c r="AH1892" s="36">
        <v>2</v>
      </c>
      <c r="AI1892" s="36">
        <v>2</v>
      </c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  <c r="AV1892" s="36"/>
      <c r="AW1892" s="36"/>
      <c r="AX1892" s="36"/>
      <c r="AY1892" s="36"/>
      <c r="AZ1892" s="961"/>
      <c r="BA1892" s="36"/>
      <c r="BB1892" s="36"/>
      <c r="BC1892" s="36"/>
      <c r="BD1892" s="27"/>
      <c r="BF1892">
        <f>ROWS($U$46:U1892)</f>
        <v>1847</v>
      </c>
      <c r="BG1892" t="str">
        <f t="shared" si="238"/>
        <v/>
      </c>
    </row>
    <row r="1893" spans="14:59" x14ac:dyDescent="0.35">
      <c r="N1893">
        <f t="shared" si="239"/>
        <v>18</v>
      </c>
      <c r="O1893" s="330">
        <v>3</v>
      </c>
      <c r="P1893" s="36">
        <v>871781</v>
      </c>
      <c r="Q1893" s="36">
        <v>6</v>
      </c>
      <c r="R1893" s="36"/>
      <c r="S1893" s="36" t="s">
        <v>1198</v>
      </c>
      <c r="T1893" s="36" t="s">
        <v>846</v>
      </c>
      <c r="U1893" s="36">
        <v>1246020</v>
      </c>
      <c r="V1893" s="165" t="s">
        <v>89</v>
      </c>
      <c r="W1893" s="36">
        <v>1</v>
      </c>
      <c r="X1893" s="36">
        <v>1</v>
      </c>
      <c r="Y1893" s="36">
        <v>1</v>
      </c>
      <c r="Z1893" s="36">
        <v>1</v>
      </c>
      <c r="AA1893" s="36">
        <v>1</v>
      </c>
      <c r="AB1893" s="36">
        <v>1</v>
      </c>
      <c r="AC1893" s="36">
        <v>3</v>
      </c>
      <c r="AD1893" s="36"/>
      <c r="AE1893" s="36"/>
      <c r="AF1893" s="36">
        <v>2</v>
      </c>
      <c r="AG1893" s="36">
        <v>2</v>
      </c>
      <c r="AH1893" s="36">
        <v>2</v>
      </c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  <c r="AV1893" s="36"/>
      <c r="AW1893" s="36"/>
      <c r="AX1893" s="36"/>
      <c r="AY1893" s="36"/>
      <c r="AZ1893" s="961"/>
      <c r="BA1893" s="36"/>
      <c r="BB1893" s="36"/>
      <c r="BC1893" s="36"/>
      <c r="BD1893" s="27"/>
      <c r="BF1893">
        <f>ROWS($U$46:U1893)</f>
        <v>1848</v>
      </c>
      <c r="BG1893" t="str">
        <f t="shared" si="238"/>
        <v/>
      </c>
    </row>
    <row r="1894" spans="14:59" x14ac:dyDescent="0.35">
      <c r="N1894">
        <f t="shared" si="239"/>
        <v>0</v>
      </c>
      <c r="O1894" s="330"/>
      <c r="P1894" s="36"/>
      <c r="Q1894" s="36"/>
      <c r="R1894" s="36"/>
      <c r="S1894" s="36" t="s">
        <v>1198</v>
      </c>
      <c r="T1894" s="36" t="s">
        <v>846</v>
      </c>
      <c r="U1894" s="36">
        <v>1246020</v>
      </c>
      <c r="V1894" s="165" t="s">
        <v>90</v>
      </c>
      <c r="W1894" s="36">
        <v>1</v>
      </c>
      <c r="X1894" s="36">
        <v>1</v>
      </c>
      <c r="Y1894" s="36">
        <v>1</v>
      </c>
      <c r="Z1894" s="36">
        <v>1</v>
      </c>
      <c r="AA1894" s="36">
        <v>1</v>
      </c>
      <c r="AB1894" s="36">
        <v>3</v>
      </c>
      <c r="AC1894" s="36"/>
      <c r="AD1894" s="36"/>
      <c r="AE1894" s="36"/>
      <c r="AF1894" s="36">
        <v>2</v>
      </c>
      <c r="AG1894" s="36">
        <v>2</v>
      </c>
      <c r="AH1894" s="36">
        <v>2</v>
      </c>
      <c r="AI1894" s="36">
        <v>2</v>
      </c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  <c r="AV1894" s="36"/>
      <c r="AW1894" s="36"/>
      <c r="AX1894" s="36"/>
      <c r="AY1894" s="36"/>
      <c r="AZ1894" s="961"/>
      <c r="BA1894" s="36"/>
      <c r="BB1894" s="36"/>
      <c r="BC1894" s="36"/>
      <c r="BD1894" s="27"/>
      <c r="BF1894">
        <f>ROWS($U$46:U1894)</f>
        <v>1849</v>
      </c>
      <c r="BG1894" t="str">
        <f t="shared" si="238"/>
        <v/>
      </c>
    </row>
    <row r="1895" spans="14:59" x14ac:dyDescent="0.35">
      <c r="N1895">
        <f t="shared" si="239"/>
        <v>0</v>
      </c>
      <c r="O1895" s="330"/>
      <c r="P1895" s="36"/>
      <c r="Q1895" s="36"/>
      <c r="R1895" s="36"/>
      <c r="S1895" s="36" t="s">
        <v>1198</v>
      </c>
      <c r="T1895" s="36" t="s">
        <v>846</v>
      </c>
      <c r="U1895" s="36">
        <v>1246020</v>
      </c>
      <c r="V1895" s="165" t="s">
        <v>91</v>
      </c>
      <c r="W1895" s="36">
        <v>1</v>
      </c>
      <c r="X1895" s="36">
        <v>1</v>
      </c>
      <c r="Y1895" s="36">
        <v>1</v>
      </c>
      <c r="Z1895" s="36">
        <v>1</v>
      </c>
      <c r="AA1895" s="36">
        <v>1</v>
      </c>
      <c r="AB1895" s="36">
        <v>1</v>
      </c>
      <c r="AC1895" s="36">
        <v>1</v>
      </c>
      <c r="AD1895" s="36">
        <v>3</v>
      </c>
      <c r="AE1895" s="36"/>
      <c r="AF1895" s="36">
        <v>2</v>
      </c>
      <c r="AG1895" s="36">
        <v>2</v>
      </c>
      <c r="AH1895" s="36">
        <v>2</v>
      </c>
      <c r="AI1895" s="36">
        <v>2</v>
      </c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  <c r="AV1895" s="36"/>
      <c r="AW1895" s="36"/>
      <c r="AX1895" s="36"/>
      <c r="AY1895" s="36"/>
      <c r="AZ1895" s="961"/>
      <c r="BA1895" s="36"/>
      <c r="BB1895" s="36"/>
      <c r="BC1895" s="36"/>
      <c r="BD1895" s="27"/>
      <c r="BF1895">
        <f>ROWS($U$46:U1895)</f>
        <v>1850</v>
      </c>
      <c r="BG1895" t="str">
        <f t="shared" si="238"/>
        <v/>
      </c>
    </row>
    <row r="1896" spans="14:59" ht="15" thickBot="1" x14ac:dyDescent="0.4">
      <c r="N1896">
        <f t="shared" si="239"/>
        <v>0</v>
      </c>
      <c r="O1896" s="331"/>
      <c r="P1896" s="328"/>
      <c r="Q1896" s="328"/>
      <c r="R1896" s="328"/>
      <c r="S1896" s="328" t="s">
        <v>1198</v>
      </c>
      <c r="T1896" s="328" t="s">
        <v>846</v>
      </c>
      <c r="U1896" s="328">
        <v>1246020</v>
      </c>
      <c r="V1896" s="327" t="s">
        <v>92</v>
      </c>
      <c r="W1896" s="328">
        <v>1</v>
      </c>
      <c r="X1896" s="328">
        <v>1</v>
      </c>
      <c r="Y1896" s="328">
        <v>1</v>
      </c>
      <c r="Z1896" s="328">
        <v>1</v>
      </c>
      <c r="AA1896" s="328">
        <v>3</v>
      </c>
      <c r="AB1896" s="328"/>
      <c r="AC1896" s="328"/>
      <c r="AD1896" s="328"/>
      <c r="AE1896" s="328"/>
      <c r="AF1896" s="328">
        <v>2</v>
      </c>
      <c r="AG1896" s="328">
        <v>2</v>
      </c>
      <c r="AH1896" s="328">
        <v>2</v>
      </c>
      <c r="AI1896" s="328">
        <v>2</v>
      </c>
      <c r="AJ1896" s="328"/>
      <c r="AK1896" s="328"/>
      <c r="AL1896" s="328"/>
      <c r="AM1896" s="328"/>
      <c r="AN1896" s="328"/>
      <c r="AO1896" s="328"/>
      <c r="AP1896" s="328"/>
      <c r="AQ1896" s="328"/>
      <c r="AR1896" s="328"/>
      <c r="AS1896" s="328"/>
      <c r="AT1896" s="328"/>
      <c r="AU1896" s="328"/>
      <c r="AV1896" s="328"/>
      <c r="AW1896" s="328"/>
      <c r="AX1896" s="328"/>
      <c r="AY1896" s="328"/>
      <c r="AZ1896" s="962"/>
      <c r="BA1896" s="328"/>
      <c r="BB1896" s="328"/>
      <c r="BC1896" s="328"/>
      <c r="BD1896" s="31"/>
      <c r="BF1896">
        <f>ROWS($U$46:U1896)</f>
        <v>1851</v>
      </c>
      <c r="BG1896" t="str">
        <f t="shared" si="238"/>
        <v/>
      </c>
    </row>
    <row r="1897" spans="14:59" x14ac:dyDescent="0.35">
      <c r="N1897">
        <f t="shared" si="239"/>
        <v>47</v>
      </c>
      <c r="O1897" s="329">
        <v>1</v>
      </c>
      <c r="P1897" s="320">
        <v>1271790</v>
      </c>
      <c r="Q1897" s="320">
        <v>47</v>
      </c>
      <c r="R1897" s="320"/>
      <c r="S1897" s="1010">
        <v>17</v>
      </c>
      <c r="T1897" s="320" t="s">
        <v>1131</v>
      </c>
      <c r="U1897" s="320">
        <v>1283277</v>
      </c>
      <c r="V1897" s="319" t="s">
        <v>87</v>
      </c>
      <c r="W1897" s="320">
        <v>3</v>
      </c>
      <c r="X1897" s="320">
        <v>3</v>
      </c>
      <c r="Y1897" s="320">
        <v>3</v>
      </c>
      <c r="Z1897" s="320">
        <v>3</v>
      </c>
      <c r="AA1897" s="320">
        <v>3</v>
      </c>
      <c r="AB1897" s="320">
        <v>3</v>
      </c>
      <c r="AC1897" s="320">
        <v>3</v>
      </c>
      <c r="AD1897" s="320">
        <v>1</v>
      </c>
      <c r="AE1897" s="320">
        <v>1</v>
      </c>
      <c r="AF1897" s="320">
        <v>1</v>
      </c>
      <c r="AG1897" s="320">
        <v>1</v>
      </c>
      <c r="AH1897" s="320">
        <v>1</v>
      </c>
      <c r="AI1897" s="320">
        <v>1</v>
      </c>
      <c r="AJ1897" s="320">
        <v>1</v>
      </c>
      <c r="AK1897" s="320">
        <v>3</v>
      </c>
      <c r="AL1897" s="320">
        <v>6</v>
      </c>
      <c r="AM1897" s="320">
        <v>4</v>
      </c>
      <c r="AN1897" s="320">
        <v>4</v>
      </c>
      <c r="AO1897" s="320">
        <v>4</v>
      </c>
      <c r="AP1897" s="320">
        <v>4</v>
      </c>
      <c r="AQ1897" s="320">
        <v>6</v>
      </c>
      <c r="AR1897" s="320"/>
      <c r="AS1897" s="320">
        <v>2</v>
      </c>
      <c r="AT1897" s="320">
        <v>2</v>
      </c>
      <c r="AU1897" s="320">
        <v>2</v>
      </c>
      <c r="AV1897" s="320">
        <v>2</v>
      </c>
      <c r="AW1897" s="320">
        <v>5</v>
      </c>
      <c r="AX1897" s="320">
        <v>5</v>
      </c>
      <c r="AY1897" s="320">
        <v>5</v>
      </c>
      <c r="AZ1897" s="320">
        <v>5</v>
      </c>
      <c r="BA1897" s="320">
        <v>2</v>
      </c>
      <c r="BB1897" s="320">
        <v>2</v>
      </c>
      <c r="BC1897" s="320">
        <v>2</v>
      </c>
      <c r="BD1897" s="119"/>
      <c r="BF1897">
        <f>ROWS($U$46:U1897)</f>
        <v>1852</v>
      </c>
      <c r="BG1897" t="str">
        <f t="shared" si="238"/>
        <v/>
      </c>
    </row>
    <row r="1898" spans="14:59" x14ac:dyDescent="0.35">
      <c r="N1898">
        <f t="shared" si="239"/>
        <v>70</v>
      </c>
      <c r="O1898" s="330">
        <v>2</v>
      </c>
      <c r="P1898" s="36">
        <v>179734</v>
      </c>
      <c r="Q1898" s="36">
        <v>35</v>
      </c>
      <c r="R1898" s="36"/>
      <c r="S1898" s="1011">
        <v>17</v>
      </c>
      <c r="T1898" s="36" t="s">
        <v>1131</v>
      </c>
      <c r="U1898" s="36">
        <v>1283277</v>
      </c>
      <c r="V1898" s="165" t="s">
        <v>88</v>
      </c>
      <c r="W1898" s="36">
        <v>3</v>
      </c>
      <c r="X1898" s="36">
        <v>3</v>
      </c>
      <c r="Y1898" s="36">
        <v>1</v>
      </c>
      <c r="Z1898" s="36">
        <v>1</v>
      </c>
      <c r="AA1898" s="36">
        <v>1</v>
      </c>
      <c r="AB1898" s="36">
        <v>1</v>
      </c>
      <c r="AC1898" s="36">
        <v>1</v>
      </c>
      <c r="AD1898" s="36">
        <v>1</v>
      </c>
      <c r="AE1898" s="36">
        <v>1</v>
      </c>
      <c r="AF1898" s="36">
        <v>3</v>
      </c>
      <c r="AG1898" s="36">
        <v>6</v>
      </c>
      <c r="AH1898" s="36">
        <v>4</v>
      </c>
      <c r="AI1898" s="36">
        <v>4</v>
      </c>
      <c r="AJ1898" s="36">
        <v>4</v>
      </c>
      <c r="AK1898" s="36">
        <v>4</v>
      </c>
      <c r="AL1898" s="36">
        <v>6</v>
      </c>
      <c r="AM1898" s="36"/>
      <c r="AN1898" s="36"/>
      <c r="AO1898" s="36"/>
      <c r="AP1898" s="36"/>
      <c r="AQ1898" s="36"/>
      <c r="AR1898" s="36"/>
      <c r="AS1898" s="36">
        <v>2</v>
      </c>
      <c r="AT1898" s="36">
        <v>5</v>
      </c>
      <c r="AU1898" s="36">
        <v>5</v>
      </c>
      <c r="AV1898" s="36">
        <v>5</v>
      </c>
      <c r="AW1898" s="36">
        <v>5</v>
      </c>
      <c r="AX1898" s="36">
        <v>2</v>
      </c>
      <c r="AY1898" s="36">
        <v>2</v>
      </c>
      <c r="AZ1898" s="36">
        <v>2</v>
      </c>
      <c r="BA1898" s="36"/>
      <c r="BB1898" s="36"/>
      <c r="BC1898" s="36"/>
      <c r="BD1898" s="27"/>
      <c r="BF1898">
        <f>ROWS($U$46:U1898)</f>
        <v>1853</v>
      </c>
      <c r="BG1898" t="str">
        <f t="shared" si="238"/>
        <v/>
      </c>
    </row>
    <row r="1899" spans="14:59" x14ac:dyDescent="0.35">
      <c r="N1899">
        <f t="shared" si="239"/>
        <v>99</v>
      </c>
      <c r="O1899" s="330">
        <v>3</v>
      </c>
      <c r="P1899" s="36">
        <v>1146737</v>
      </c>
      <c r="Q1899" s="36">
        <v>33</v>
      </c>
      <c r="R1899" s="36"/>
      <c r="S1899" s="1011">
        <v>17</v>
      </c>
      <c r="T1899" s="36" t="s">
        <v>1131</v>
      </c>
      <c r="U1899" s="36">
        <v>1283277</v>
      </c>
      <c r="V1899" s="165" t="s">
        <v>89</v>
      </c>
      <c r="W1899" s="36">
        <v>3</v>
      </c>
      <c r="X1899" s="36">
        <v>3</v>
      </c>
      <c r="Y1899" s="36">
        <v>3</v>
      </c>
      <c r="Z1899" s="36">
        <v>3</v>
      </c>
      <c r="AA1899" s="36">
        <v>3</v>
      </c>
      <c r="AB1899" s="36">
        <v>3</v>
      </c>
      <c r="AC1899" s="36">
        <v>1</v>
      </c>
      <c r="AD1899" s="36">
        <v>1</v>
      </c>
      <c r="AE1899" s="36">
        <v>1</v>
      </c>
      <c r="AF1899" s="36">
        <v>1</v>
      </c>
      <c r="AG1899" s="36">
        <v>1</v>
      </c>
      <c r="AH1899" s="36">
        <v>1</v>
      </c>
      <c r="AI1899" s="36">
        <v>1</v>
      </c>
      <c r="AJ1899" s="36">
        <v>3</v>
      </c>
      <c r="AK1899" s="36">
        <v>6</v>
      </c>
      <c r="AL1899" s="36">
        <v>4</v>
      </c>
      <c r="AM1899" s="36">
        <v>4</v>
      </c>
      <c r="AN1899" s="36">
        <v>4</v>
      </c>
      <c r="AO1899" s="36">
        <v>4</v>
      </c>
      <c r="AP1899" s="36">
        <v>6</v>
      </c>
      <c r="AQ1899" s="36"/>
      <c r="AR1899" s="36"/>
      <c r="AS1899" s="36">
        <v>2</v>
      </c>
      <c r="AT1899" s="36">
        <v>2</v>
      </c>
      <c r="AU1899" s="36">
        <v>2</v>
      </c>
      <c r="AV1899" s="36">
        <v>2</v>
      </c>
      <c r="AW1899" s="36">
        <v>5</v>
      </c>
      <c r="AX1899" s="36">
        <v>5</v>
      </c>
      <c r="AY1899" s="36">
        <v>5</v>
      </c>
      <c r="AZ1899" s="36">
        <v>5</v>
      </c>
      <c r="BA1899" s="36">
        <v>2</v>
      </c>
      <c r="BB1899" s="36">
        <v>2</v>
      </c>
      <c r="BC1899" s="36">
        <v>2</v>
      </c>
      <c r="BD1899" s="27"/>
      <c r="BF1899">
        <f>ROWS($U$46:U1899)</f>
        <v>1854</v>
      </c>
      <c r="BG1899" t="str">
        <f t="shared" si="238"/>
        <v/>
      </c>
    </row>
    <row r="1900" spans="14:59" x14ac:dyDescent="0.35">
      <c r="N1900">
        <f t="shared" si="239"/>
        <v>112</v>
      </c>
      <c r="O1900" s="330">
        <v>4</v>
      </c>
      <c r="P1900" s="36">
        <v>410851</v>
      </c>
      <c r="Q1900" s="36">
        <v>28</v>
      </c>
      <c r="R1900" s="36"/>
      <c r="S1900" s="1011">
        <v>17</v>
      </c>
      <c r="T1900" s="36" t="s">
        <v>1131</v>
      </c>
      <c r="U1900" s="36">
        <v>1283277</v>
      </c>
      <c r="V1900" s="165" t="s">
        <v>90</v>
      </c>
      <c r="W1900" s="36">
        <v>3</v>
      </c>
      <c r="X1900" s="36">
        <v>1</v>
      </c>
      <c r="Y1900" s="36">
        <v>1</v>
      </c>
      <c r="Z1900" s="36">
        <v>1</v>
      </c>
      <c r="AA1900" s="36">
        <v>1</v>
      </c>
      <c r="AB1900" s="36">
        <v>1</v>
      </c>
      <c r="AC1900" s="36">
        <v>1</v>
      </c>
      <c r="AD1900" s="36">
        <v>1</v>
      </c>
      <c r="AE1900" s="36">
        <v>3</v>
      </c>
      <c r="AF1900" s="36">
        <v>6</v>
      </c>
      <c r="AG1900" s="36">
        <v>4</v>
      </c>
      <c r="AH1900" s="36">
        <v>4</v>
      </c>
      <c r="AI1900" s="36">
        <v>4</v>
      </c>
      <c r="AJ1900" s="36">
        <v>4</v>
      </c>
      <c r="AK1900" s="36">
        <v>6</v>
      </c>
      <c r="AL1900" s="36"/>
      <c r="AM1900" s="36"/>
      <c r="AN1900" s="36"/>
      <c r="AO1900" s="36"/>
      <c r="AP1900" s="36"/>
      <c r="AQ1900" s="36"/>
      <c r="AR1900" s="36"/>
      <c r="AS1900" s="36">
        <v>2</v>
      </c>
      <c r="AT1900" s="36">
        <v>5</v>
      </c>
      <c r="AU1900" s="36">
        <v>5</v>
      </c>
      <c r="AV1900" s="36">
        <v>5</v>
      </c>
      <c r="AW1900" s="36">
        <v>2</v>
      </c>
      <c r="AX1900" s="36">
        <v>2</v>
      </c>
      <c r="AY1900" s="36">
        <v>2</v>
      </c>
      <c r="AZ1900" s="36"/>
      <c r="BA1900" s="36"/>
      <c r="BB1900" s="36"/>
      <c r="BC1900" s="36"/>
      <c r="BD1900" s="27"/>
      <c r="BF1900">
        <f>ROWS($U$46:U1900)</f>
        <v>1855</v>
      </c>
      <c r="BG1900" t="str">
        <f t="shared" si="238"/>
        <v/>
      </c>
    </row>
    <row r="1901" spans="14:59" x14ac:dyDescent="0.35">
      <c r="N1901">
        <f t="shared" si="239"/>
        <v>135</v>
      </c>
      <c r="O1901" s="330">
        <v>5</v>
      </c>
      <c r="P1901" s="36">
        <v>647436</v>
      </c>
      <c r="Q1901" s="36">
        <v>27</v>
      </c>
      <c r="R1901" s="36"/>
      <c r="S1901" s="1011">
        <v>17</v>
      </c>
      <c r="T1901" s="36" t="s">
        <v>1131</v>
      </c>
      <c r="U1901" s="36">
        <v>1283277</v>
      </c>
      <c r="V1901" s="165" t="s">
        <v>91</v>
      </c>
      <c r="W1901" s="36">
        <v>3</v>
      </c>
      <c r="X1901" s="36">
        <v>3</v>
      </c>
      <c r="Y1901" s="36">
        <v>3</v>
      </c>
      <c r="Z1901" s="36">
        <v>3</v>
      </c>
      <c r="AA1901" s="36">
        <v>3</v>
      </c>
      <c r="AB1901" s="36">
        <v>3</v>
      </c>
      <c r="AC1901" s="36">
        <v>3</v>
      </c>
      <c r="AD1901" s="36">
        <v>1</v>
      </c>
      <c r="AE1901" s="36">
        <v>1</v>
      </c>
      <c r="AF1901" s="36">
        <v>1</v>
      </c>
      <c r="AG1901" s="36">
        <v>1</v>
      </c>
      <c r="AH1901" s="36">
        <v>1</v>
      </c>
      <c r="AI1901" s="36">
        <v>1</v>
      </c>
      <c r="AJ1901" s="36">
        <v>3</v>
      </c>
      <c r="AK1901" s="36">
        <v>6</v>
      </c>
      <c r="AL1901" s="36">
        <v>4</v>
      </c>
      <c r="AM1901" s="36">
        <v>4</v>
      </c>
      <c r="AN1901" s="36">
        <v>4</v>
      </c>
      <c r="AO1901" s="36">
        <v>4</v>
      </c>
      <c r="AP1901" s="36">
        <v>6</v>
      </c>
      <c r="AQ1901" s="36"/>
      <c r="AR1901" s="36"/>
      <c r="AS1901" s="36">
        <v>2</v>
      </c>
      <c r="AT1901" s="36">
        <v>2</v>
      </c>
      <c r="AU1901" s="36">
        <v>2</v>
      </c>
      <c r="AV1901" s="36">
        <v>2</v>
      </c>
      <c r="AW1901" s="36">
        <v>5</v>
      </c>
      <c r="AX1901" s="36">
        <v>5</v>
      </c>
      <c r="AY1901" s="36">
        <v>5</v>
      </c>
      <c r="AZ1901" s="36">
        <v>5</v>
      </c>
      <c r="BA1901" s="36">
        <v>2</v>
      </c>
      <c r="BB1901" s="36">
        <v>2</v>
      </c>
      <c r="BC1901" s="36"/>
      <c r="BD1901" s="27"/>
      <c r="BF1901">
        <f>ROWS($U$46:U1901)</f>
        <v>1856</v>
      </c>
      <c r="BG1901" t="str">
        <f t="shared" si="238"/>
        <v/>
      </c>
    </row>
    <row r="1902" spans="14:59" x14ac:dyDescent="0.35">
      <c r="N1902">
        <f t="shared" si="239"/>
        <v>84</v>
      </c>
      <c r="O1902" s="330">
        <v>6</v>
      </c>
      <c r="P1902" s="36">
        <v>418525</v>
      </c>
      <c r="Q1902" s="36">
        <v>14</v>
      </c>
      <c r="R1902" s="36"/>
      <c r="S1902" s="1011">
        <v>17</v>
      </c>
      <c r="T1902" s="36" t="s">
        <v>1131</v>
      </c>
      <c r="U1902" s="36">
        <v>1283277</v>
      </c>
      <c r="V1902" s="165" t="s">
        <v>92</v>
      </c>
      <c r="W1902" s="36">
        <v>3</v>
      </c>
      <c r="X1902" s="36">
        <v>1</v>
      </c>
      <c r="Y1902" s="36">
        <v>1</v>
      </c>
      <c r="Z1902" s="36">
        <v>1</v>
      </c>
      <c r="AA1902" s="36">
        <v>1</v>
      </c>
      <c r="AB1902" s="36">
        <v>1</v>
      </c>
      <c r="AC1902" s="36">
        <v>1</v>
      </c>
      <c r="AD1902" s="36">
        <v>3</v>
      </c>
      <c r="AE1902" s="36">
        <v>6</v>
      </c>
      <c r="AF1902" s="36">
        <v>4</v>
      </c>
      <c r="AG1902" s="36">
        <v>4</v>
      </c>
      <c r="AH1902" s="36">
        <v>4</v>
      </c>
      <c r="AI1902" s="36">
        <v>4</v>
      </c>
      <c r="AJ1902" s="36">
        <v>6</v>
      </c>
      <c r="AK1902" s="36"/>
      <c r="AL1902" s="36"/>
      <c r="AM1902" s="36"/>
      <c r="AN1902" s="36"/>
      <c r="AO1902" s="36"/>
      <c r="AP1902" s="36"/>
      <c r="AQ1902" s="36"/>
      <c r="AR1902" s="36"/>
      <c r="AS1902" s="36">
        <v>2</v>
      </c>
      <c r="AT1902" s="36">
        <v>5</v>
      </c>
      <c r="AU1902" s="36">
        <v>5</v>
      </c>
      <c r="AV1902" s="36">
        <v>5</v>
      </c>
      <c r="AW1902" s="36">
        <v>5</v>
      </c>
      <c r="AX1902" s="36">
        <v>2</v>
      </c>
      <c r="AY1902" s="36">
        <v>2</v>
      </c>
      <c r="AZ1902" s="36"/>
      <c r="BA1902" s="36"/>
      <c r="BB1902" s="36"/>
      <c r="BC1902" s="36"/>
      <c r="BD1902" s="27"/>
      <c r="BF1902">
        <f>ROWS($U$46:U1902)</f>
        <v>1857</v>
      </c>
      <c r="BG1902" t="str">
        <f t="shared" si="238"/>
        <v/>
      </c>
    </row>
    <row r="1903" spans="14:59" ht="15" thickBot="1" x14ac:dyDescent="0.4">
      <c r="N1903">
        <f t="shared" si="239"/>
        <v>0</v>
      </c>
      <c r="O1903" s="331"/>
      <c r="P1903" s="328"/>
      <c r="Q1903" s="328"/>
      <c r="R1903" s="328"/>
      <c r="S1903" s="1012">
        <v>17</v>
      </c>
      <c r="T1903" s="328" t="s">
        <v>1131</v>
      </c>
      <c r="U1903" s="328">
        <v>1283277</v>
      </c>
      <c r="V1903" s="327" t="s">
        <v>111</v>
      </c>
      <c r="W1903" s="328">
        <v>3</v>
      </c>
      <c r="X1903" s="328">
        <v>3</v>
      </c>
      <c r="Y1903" s="328">
        <v>1</v>
      </c>
      <c r="Z1903" s="328">
        <v>1</v>
      </c>
      <c r="AA1903" s="328">
        <v>1</v>
      </c>
      <c r="AB1903" s="328">
        <v>1</v>
      </c>
      <c r="AC1903" s="328">
        <v>1</v>
      </c>
      <c r="AD1903" s="328">
        <v>1</v>
      </c>
      <c r="AE1903" s="328">
        <v>1</v>
      </c>
      <c r="AF1903" s="328">
        <v>3</v>
      </c>
      <c r="AG1903" s="328">
        <v>6</v>
      </c>
      <c r="AH1903" s="328">
        <v>4</v>
      </c>
      <c r="AI1903" s="328">
        <v>4</v>
      </c>
      <c r="AJ1903" s="328">
        <v>4</v>
      </c>
      <c r="AK1903" s="328">
        <v>4</v>
      </c>
      <c r="AL1903" s="328">
        <v>6</v>
      </c>
      <c r="AM1903" s="328"/>
      <c r="AN1903" s="328"/>
      <c r="AO1903" s="328"/>
      <c r="AP1903" s="328"/>
      <c r="AQ1903" s="328"/>
      <c r="AR1903" s="328"/>
      <c r="AS1903" s="328">
        <v>2</v>
      </c>
      <c r="AT1903" s="328">
        <v>5</v>
      </c>
      <c r="AU1903" s="328">
        <v>5</v>
      </c>
      <c r="AV1903" s="328">
        <v>5</v>
      </c>
      <c r="AW1903" s="328">
        <v>5</v>
      </c>
      <c r="AX1903" s="328">
        <v>2</v>
      </c>
      <c r="AY1903" s="328">
        <v>2</v>
      </c>
      <c r="AZ1903" s="328">
        <v>2</v>
      </c>
      <c r="BA1903" s="328"/>
      <c r="BB1903" s="328"/>
      <c r="BC1903" s="328"/>
      <c r="BD1903" s="31"/>
      <c r="BF1903">
        <f>ROWS($U$46:U1903)</f>
        <v>1858</v>
      </c>
      <c r="BG1903" t="str">
        <f t="shared" ref="BG1903:BG1966" si="240">IF(VALUE(SUBSTITUTE($B$5,"M",""))=U1903,BF1903,"")</f>
        <v/>
      </c>
    </row>
    <row r="1904" spans="14:59" x14ac:dyDescent="0.35">
      <c r="O1904" s="329">
        <v>1</v>
      </c>
      <c r="P1904" s="320">
        <v>745171</v>
      </c>
      <c r="Q1904" s="320">
        <v>32</v>
      </c>
      <c r="R1904" s="320"/>
      <c r="S1904" s="320" t="s">
        <v>2297</v>
      </c>
      <c r="T1904" s="320" t="s">
        <v>1391</v>
      </c>
      <c r="U1904" s="320">
        <v>865213</v>
      </c>
      <c r="V1904" s="319" t="s">
        <v>87</v>
      </c>
      <c r="W1904" s="320">
        <v>1</v>
      </c>
      <c r="X1904" s="320">
        <v>1</v>
      </c>
      <c r="Y1904" s="320">
        <v>1</v>
      </c>
      <c r="Z1904" s="320">
        <v>1</v>
      </c>
      <c r="AA1904" s="320">
        <v>2</v>
      </c>
      <c r="AB1904" s="320"/>
      <c r="AC1904" s="320"/>
      <c r="AD1904" s="320"/>
      <c r="AE1904" s="320"/>
      <c r="AF1904" s="320"/>
      <c r="AG1904" s="320"/>
      <c r="AH1904" s="320"/>
      <c r="AI1904" s="320"/>
      <c r="AJ1904" s="320"/>
      <c r="AK1904" s="320"/>
      <c r="AL1904" s="320"/>
      <c r="AM1904" s="320"/>
      <c r="AN1904" s="320"/>
      <c r="AO1904" s="320"/>
      <c r="AP1904" s="320"/>
      <c r="AQ1904" s="320"/>
      <c r="AR1904" s="320"/>
      <c r="AS1904" s="320"/>
      <c r="AT1904" s="320"/>
      <c r="AU1904" s="320"/>
      <c r="AV1904" s="320"/>
      <c r="AW1904" s="320"/>
      <c r="AX1904" s="320"/>
      <c r="AY1904" s="320"/>
      <c r="AZ1904" s="320"/>
      <c r="BA1904" s="320"/>
      <c r="BB1904" s="320"/>
      <c r="BC1904" s="119"/>
      <c r="BF1904">
        <f>ROWS($U$46:U1904)</f>
        <v>1859</v>
      </c>
      <c r="BG1904" t="str">
        <f t="shared" si="240"/>
        <v/>
      </c>
    </row>
    <row r="1905" spans="15:59" x14ac:dyDescent="0.35">
      <c r="O1905" s="330">
        <v>2</v>
      </c>
      <c r="P1905" s="36">
        <v>418525</v>
      </c>
      <c r="Q1905" s="36">
        <v>8</v>
      </c>
      <c r="R1905" s="36"/>
      <c r="S1905" s="36" t="s">
        <v>2297</v>
      </c>
      <c r="T1905" s="36" t="s">
        <v>1391</v>
      </c>
      <c r="U1905" s="36">
        <v>865213</v>
      </c>
      <c r="V1905" s="165" t="s">
        <v>88</v>
      </c>
      <c r="W1905" s="36">
        <v>3</v>
      </c>
      <c r="X1905" s="36">
        <v>1</v>
      </c>
      <c r="Y1905" s="36">
        <v>1</v>
      </c>
      <c r="Z1905" s="36">
        <v>1</v>
      </c>
      <c r="AA1905" s="36">
        <v>1</v>
      </c>
      <c r="AB1905" s="36">
        <v>2</v>
      </c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  <c r="AV1905" s="36"/>
      <c r="AW1905" s="36"/>
      <c r="AX1905" s="36"/>
      <c r="AY1905" s="36"/>
      <c r="AZ1905" s="36"/>
      <c r="BA1905" s="36"/>
      <c r="BB1905" s="36"/>
      <c r="BC1905" s="27"/>
      <c r="BF1905">
        <f>ROWS($U$46:U1905)</f>
        <v>1860</v>
      </c>
      <c r="BG1905" t="str">
        <f t="shared" si="240"/>
        <v/>
      </c>
    </row>
    <row r="1906" spans="15:59" x14ac:dyDescent="0.35">
      <c r="O1906" s="330">
        <v>3</v>
      </c>
      <c r="P1906" s="36">
        <v>177778</v>
      </c>
      <c r="Q1906" s="36">
        <v>4</v>
      </c>
      <c r="R1906" s="36"/>
      <c r="S1906" s="36" t="s">
        <v>2297</v>
      </c>
      <c r="T1906" s="36" t="s">
        <v>1391</v>
      </c>
      <c r="U1906" s="36">
        <v>865213</v>
      </c>
      <c r="V1906" s="165" t="s">
        <v>89</v>
      </c>
      <c r="W1906" s="36">
        <v>1</v>
      </c>
      <c r="X1906" s="36">
        <v>1</v>
      </c>
      <c r="Y1906" s="36">
        <v>1</v>
      </c>
      <c r="Z1906" s="36">
        <v>1</v>
      </c>
      <c r="AA1906" s="36">
        <v>2</v>
      </c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  <c r="AV1906" s="36"/>
      <c r="AW1906" s="36"/>
      <c r="AX1906" s="36"/>
      <c r="AY1906" s="36"/>
      <c r="AZ1906" s="36"/>
      <c r="BA1906" s="36"/>
      <c r="BB1906" s="36"/>
      <c r="BC1906" s="27"/>
      <c r="BF1906">
        <f>ROWS($U$46:U1906)</f>
        <v>1861</v>
      </c>
      <c r="BG1906" t="str">
        <f t="shared" si="240"/>
        <v/>
      </c>
    </row>
    <row r="1907" spans="15:59" x14ac:dyDescent="0.35">
      <c r="O1907" s="330"/>
      <c r="P1907" s="36"/>
      <c r="Q1907" s="36"/>
      <c r="R1907" s="36"/>
      <c r="S1907" s="36" t="s">
        <v>2297</v>
      </c>
      <c r="T1907" s="36" t="s">
        <v>1391</v>
      </c>
      <c r="U1907" s="36">
        <v>865213</v>
      </c>
      <c r="V1907" s="165" t="s">
        <v>90</v>
      </c>
      <c r="W1907" s="36">
        <v>3</v>
      </c>
      <c r="X1907" s="36">
        <v>1</v>
      </c>
      <c r="Y1907" s="36">
        <v>1</v>
      </c>
      <c r="Z1907" s="36">
        <v>1</v>
      </c>
      <c r="AA1907" s="36">
        <v>1</v>
      </c>
      <c r="AB1907" s="36">
        <v>2</v>
      </c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  <c r="AV1907" s="36"/>
      <c r="AW1907" s="36"/>
      <c r="AX1907" s="36"/>
      <c r="AY1907" s="36"/>
      <c r="AZ1907" s="36"/>
      <c r="BA1907" s="36"/>
      <c r="BB1907" s="36"/>
      <c r="BC1907" s="27"/>
      <c r="BF1907">
        <f>ROWS($U$46:U1907)</f>
        <v>1862</v>
      </c>
      <c r="BG1907" t="str">
        <f t="shared" si="240"/>
        <v/>
      </c>
    </row>
    <row r="1908" spans="15:59" x14ac:dyDescent="0.35">
      <c r="O1908" s="330"/>
      <c r="P1908" s="36"/>
      <c r="Q1908" s="36"/>
      <c r="R1908" s="36"/>
      <c r="S1908" s="36" t="s">
        <v>2297</v>
      </c>
      <c r="T1908" s="36" t="s">
        <v>1391</v>
      </c>
      <c r="U1908" s="36">
        <v>865213</v>
      </c>
      <c r="V1908" s="165" t="s">
        <v>91</v>
      </c>
      <c r="W1908" s="36">
        <v>1</v>
      </c>
      <c r="X1908" s="36">
        <v>1</v>
      </c>
      <c r="Y1908" s="36">
        <v>1</v>
      </c>
      <c r="Z1908" s="36">
        <v>1</v>
      </c>
      <c r="AA1908" s="36">
        <v>2</v>
      </c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  <c r="AV1908" s="36"/>
      <c r="AW1908" s="36"/>
      <c r="AX1908" s="36"/>
      <c r="AY1908" s="36"/>
      <c r="AZ1908" s="36"/>
      <c r="BA1908" s="36"/>
      <c r="BB1908" s="36"/>
      <c r="BC1908" s="27"/>
      <c r="BF1908">
        <f>ROWS($U$46:U1908)</f>
        <v>1863</v>
      </c>
      <c r="BG1908" t="str">
        <f t="shared" si="240"/>
        <v/>
      </c>
    </row>
    <row r="1909" spans="15:59" x14ac:dyDescent="0.35">
      <c r="O1909" s="330"/>
      <c r="P1909" s="36"/>
      <c r="Q1909" s="36"/>
      <c r="R1909" s="36"/>
      <c r="S1909" s="36" t="s">
        <v>2297</v>
      </c>
      <c r="T1909" s="36" t="s">
        <v>1391</v>
      </c>
      <c r="U1909" s="36">
        <v>865213</v>
      </c>
      <c r="V1909" s="165" t="s">
        <v>92</v>
      </c>
      <c r="W1909" s="36">
        <v>3</v>
      </c>
      <c r="X1909" s="36">
        <v>1</v>
      </c>
      <c r="Y1909" s="36">
        <v>1</v>
      </c>
      <c r="Z1909" s="36">
        <v>1</v>
      </c>
      <c r="AA1909" s="36">
        <v>1</v>
      </c>
      <c r="AB1909" s="36">
        <v>2</v>
      </c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  <c r="AV1909" s="36"/>
      <c r="AW1909" s="36"/>
      <c r="AX1909" s="36"/>
      <c r="AY1909" s="36"/>
      <c r="AZ1909" s="36"/>
      <c r="BA1909" s="36"/>
      <c r="BB1909" s="36"/>
      <c r="BC1909" s="27"/>
      <c r="BF1909">
        <f>ROWS($U$46:U1909)</f>
        <v>1864</v>
      </c>
      <c r="BG1909" t="str">
        <f t="shared" si="240"/>
        <v/>
      </c>
    </row>
    <row r="1910" spans="15:59" x14ac:dyDescent="0.35">
      <c r="O1910" s="330"/>
      <c r="P1910" s="36"/>
      <c r="Q1910" s="36"/>
      <c r="R1910" s="36"/>
      <c r="S1910" s="36" t="s">
        <v>2297</v>
      </c>
      <c r="T1910" s="36" t="s">
        <v>1391</v>
      </c>
      <c r="U1910" s="36">
        <v>865213</v>
      </c>
      <c r="V1910" s="165" t="s">
        <v>111</v>
      </c>
      <c r="W1910" s="36">
        <v>1</v>
      </c>
      <c r="X1910" s="36">
        <v>1</v>
      </c>
      <c r="Y1910" s="36">
        <v>1</v>
      </c>
      <c r="Z1910" s="36">
        <v>1</v>
      </c>
      <c r="AA1910" s="36">
        <v>2</v>
      </c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  <c r="AV1910" s="36"/>
      <c r="AW1910" s="36"/>
      <c r="AX1910" s="36"/>
      <c r="AY1910" s="36"/>
      <c r="AZ1910" s="36"/>
      <c r="BA1910" s="36"/>
      <c r="BB1910" s="36"/>
      <c r="BC1910" s="27"/>
      <c r="BF1910">
        <f>ROWS($U$46:U1910)</f>
        <v>1865</v>
      </c>
      <c r="BG1910" t="str">
        <f t="shared" si="240"/>
        <v/>
      </c>
    </row>
    <row r="1911" spans="15:59" ht="15" thickBot="1" x14ac:dyDescent="0.4">
      <c r="O1911" s="331"/>
      <c r="P1911" s="328"/>
      <c r="Q1911" s="328"/>
      <c r="R1911" s="328"/>
      <c r="S1911" s="328" t="s">
        <v>2297</v>
      </c>
      <c r="T1911" s="328" t="s">
        <v>1391</v>
      </c>
      <c r="U1911" s="328">
        <v>865213</v>
      </c>
      <c r="V1911" s="327" t="s">
        <v>112</v>
      </c>
      <c r="W1911" s="328">
        <v>3</v>
      </c>
      <c r="X1911" s="328">
        <v>1</v>
      </c>
      <c r="Y1911" s="328">
        <v>1</v>
      </c>
      <c r="Z1911" s="328">
        <v>1</v>
      </c>
      <c r="AA1911" s="328">
        <v>1</v>
      </c>
      <c r="AB1911" s="328">
        <v>2</v>
      </c>
      <c r="AC1911" s="328"/>
      <c r="AD1911" s="328"/>
      <c r="AE1911" s="328"/>
      <c r="AF1911" s="328"/>
      <c r="AG1911" s="328"/>
      <c r="AH1911" s="328"/>
      <c r="AI1911" s="328"/>
      <c r="AJ1911" s="328"/>
      <c r="AK1911" s="328"/>
      <c r="AL1911" s="328"/>
      <c r="AM1911" s="328"/>
      <c r="AN1911" s="328"/>
      <c r="AO1911" s="328"/>
      <c r="AP1911" s="328"/>
      <c r="AQ1911" s="328"/>
      <c r="AR1911" s="328"/>
      <c r="AS1911" s="328"/>
      <c r="AT1911" s="328"/>
      <c r="AU1911" s="328"/>
      <c r="AV1911" s="328"/>
      <c r="AW1911" s="328"/>
      <c r="AX1911" s="328"/>
      <c r="AY1911" s="328"/>
      <c r="AZ1911" s="328"/>
      <c r="BA1911" s="328"/>
      <c r="BB1911" s="328"/>
      <c r="BC1911" s="31"/>
      <c r="BF1911">
        <f>ROWS($U$46:U1911)</f>
        <v>1866</v>
      </c>
      <c r="BG1911" t="str">
        <f t="shared" si="240"/>
        <v/>
      </c>
    </row>
    <row r="1912" spans="15:59" x14ac:dyDescent="0.35">
      <c r="O1912" s="329">
        <v>1</v>
      </c>
      <c r="P1912" s="320">
        <v>717749</v>
      </c>
      <c r="Q1912" s="320">
        <v>24</v>
      </c>
      <c r="R1912" s="320"/>
      <c r="S1912" s="320" t="s">
        <v>2297</v>
      </c>
      <c r="T1912" s="320" t="s">
        <v>2083</v>
      </c>
      <c r="U1912" s="320">
        <v>662604</v>
      </c>
      <c r="V1912" s="319" t="s">
        <v>87</v>
      </c>
      <c r="W1912" s="320">
        <v>1</v>
      </c>
      <c r="X1912" s="320">
        <v>1</v>
      </c>
      <c r="Y1912" s="320">
        <v>1</v>
      </c>
      <c r="Z1912" s="320">
        <v>1</v>
      </c>
      <c r="AA1912" s="320">
        <v>2</v>
      </c>
      <c r="AB1912" s="320"/>
      <c r="AC1912" s="320"/>
      <c r="AD1912" s="320"/>
      <c r="AE1912" s="320"/>
      <c r="AF1912" s="320"/>
      <c r="AG1912" s="320"/>
      <c r="AH1912" s="320"/>
      <c r="AI1912" s="320"/>
      <c r="AJ1912" s="320"/>
      <c r="AK1912" s="320"/>
      <c r="AL1912" s="320"/>
      <c r="AM1912" s="320"/>
      <c r="AN1912" s="320"/>
      <c r="AO1912" s="320"/>
      <c r="AP1912" s="320"/>
      <c r="AQ1912" s="320"/>
      <c r="AR1912" s="320"/>
      <c r="AS1912" s="320"/>
      <c r="AT1912" s="320"/>
      <c r="AU1912" s="320"/>
      <c r="AV1912" s="320"/>
      <c r="AW1912" s="320"/>
      <c r="AX1912" s="320"/>
      <c r="AY1912" s="320"/>
      <c r="AZ1912" s="320"/>
      <c r="BA1912" s="320"/>
      <c r="BB1912" s="320"/>
      <c r="BC1912" s="119"/>
      <c r="BF1912">
        <f>ROWS($U$46:U1912)</f>
        <v>1867</v>
      </c>
      <c r="BG1912" t="str">
        <f t="shared" si="240"/>
        <v/>
      </c>
    </row>
    <row r="1913" spans="15:59" x14ac:dyDescent="0.35">
      <c r="O1913" s="330">
        <v>2</v>
      </c>
      <c r="P1913" s="36">
        <v>418525</v>
      </c>
      <c r="Q1913" s="36">
        <v>6</v>
      </c>
      <c r="R1913" s="36"/>
      <c r="S1913" s="36" t="s">
        <v>2297</v>
      </c>
      <c r="T1913" s="36" t="s">
        <v>2083</v>
      </c>
      <c r="U1913" s="36">
        <v>662604</v>
      </c>
      <c r="V1913" s="165" t="s">
        <v>88</v>
      </c>
      <c r="W1913" s="36">
        <v>3</v>
      </c>
      <c r="X1913" s="36">
        <v>1</v>
      </c>
      <c r="Y1913" s="36">
        <v>1</v>
      </c>
      <c r="Z1913" s="36">
        <v>1</v>
      </c>
      <c r="AA1913" s="36">
        <v>1</v>
      </c>
      <c r="AB1913" s="36">
        <v>2</v>
      </c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  <c r="AV1913" s="36"/>
      <c r="AW1913" s="36"/>
      <c r="AX1913" s="36"/>
      <c r="AY1913" s="36"/>
      <c r="AZ1913" s="36"/>
      <c r="BA1913" s="36"/>
      <c r="BB1913" s="36"/>
      <c r="BC1913" s="27"/>
      <c r="BF1913">
        <f>ROWS($U$46:U1913)</f>
        <v>1868</v>
      </c>
      <c r="BG1913" t="str">
        <f t="shared" si="240"/>
        <v/>
      </c>
    </row>
    <row r="1914" spans="15:59" x14ac:dyDescent="0.35">
      <c r="O1914" s="330">
        <v>3</v>
      </c>
      <c r="P1914" s="36">
        <v>177778</v>
      </c>
      <c r="Q1914" s="36">
        <v>3</v>
      </c>
      <c r="R1914" s="36"/>
      <c r="S1914" s="36" t="s">
        <v>2297</v>
      </c>
      <c r="T1914" s="36" t="s">
        <v>2083</v>
      </c>
      <c r="U1914" s="36">
        <v>662604</v>
      </c>
      <c r="V1914" s="165" t="s">
        <v>89</v>
      </c>
      <c r="W1914" s="36">
        <v>1</v>
      </c>
      <c r="X1914" s="36">
        <v>1</v>
      </c>
      <c r="Y1914" s="36">
        <v>1</v>
      </c>
      <c r="Z1914" s="36">
        <v>1</v>
      </c>
      <c r="AA1914" s="36">
        <v>2</v>
      </c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  <c r="AV1914" s="36"/>
      <c r="AW1914" s="36"/>
      <c r="AX1914" s="36"/>
      <c r="AY1914" s="36"/>
      <c r="AZ1914" s="36"/>
      <c r="BA1914" s="36"/>
      <c r="BB1914" s="36"/>
      <c r="BC1914" s="27"/>
      <c r="BF1914">
        <f>ROWS($U$46:U1914)</f>
        <v>1869</v>
      </c>
      <c r="BG1914" t="str">
        <f t="shared" si="240"/>
        <v/>
      </c>
    </row>
    <row r="1915" spans="15:59" x14ac:dyDescent="0.35">
      <c r="O1915" s="330"/>
      <c r="P1915" s="36"/>
      <c r="Q1915" s="36"/>
      <c r="R1915" s="36"/>
      <c r="S1915" s="36" t="s">
        <v>2297</v>
      </c>
      <c r="T1915" s="36" t="s">
        <v>2083</v>
      </c>
      <c r="U1915" s="36">
        <v>662604</v>
      </c>
      <c r="V1915" s="165" t="s">
        <v>90</v>
      </c>
      <c r="W1915" s="36">
        <v>3</v>
      </c>
      <c r="X1915" s="36">
        <v>1</v>
      </c>
      <c r="Y1915" s="36">
        <v>1</v>
      </c>
      <c r="Z1915" s="36">
        <v>1</v>
      </c>
      <c r="AA1915" s="36">
        <v>1</v>
      </c>
      <c r="AB1915" s="36">
        <v>2</v>
      </c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  <c r="AV1915" s="36"/>
      <c r="AW1915" s="36"/>
      <c r="AX1915" s="36"/>
      <c r="AY1915" s="36"/>
      <c r="AZ1915" s="36"/>
      <c r="BA1915" s="36"/>
      <c r="BB1915" s="36"/>
      <c r="BC1915" s="27"/>
      <c r="BF1915">
        <f>ROWS($U$46:U1915)</f>
        <v>1870</v>
      </c>
      <c r="BG1915" t="str">
        <f t="shared" si="240"/>
        <v/>
      </c>
    </row>
    <row r="1916" spans="15:59" x14ac:dyDescent="0.35">
      <c r="O1916" s="330"/>
      <c r="P1916" s="36"/>
      <c r="Q1916" s="36"/>
      <c r="R1916" s="36"/>
      <c r="S1916" s="36" t="s">
        <v>2297</v>
      </c>
      <c r="T1916" s="36" t="s">
        <v>2083</v>
      </c>
      <c r="U1916" s="36">
        <v>662604</v>
      </c>
      <c r="V1916" s="165" t="s">
        <v>91</v>
      </c>
      <c r="W1916" s="36">
        <v>1</v>
      </c>
      <c r="X1916" s="36">
        <v>1</v>
      </c>
      <c r="Y1916" s="36">
        <v>1</v>
      </c>
      <c r="Z1916" s="36">
        <v>1</v>
      </c>
      <c r="AA1916" s="36">
        <v>2</v>
      </c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  <c r="AV1916" s="36"/>
      <c r="AW1916" s="36"/>
      <c r="AX1916" s="36"/>
      <c r="AY1916" s="36"/>
      <c r="AZ1916" s="36"/>
      <c r="BA1916" s="36"/>
      <c r="BB1916" s="36"/>
      <c r="BC1916" s="27"/>
      <c r="BF1916">
        <f>ROWS($U$46:U1916)</f>
        <v>1871</v>
      </c>
      <c r="BG1916" t="str">
        <f t="shared" si="240"/>
        <v/>
      </c>
    </row>
    <row r="1917" spans="15:59" ht="15" thickBot="1" x14ac:dyDescent="0.4">
      <c r="O1917" s="330"/>
      <c r="P1917" s="36"/>
      <c r="Q1917" s="36"/>
      <c r="R1917" s="36"/>
      <c r="S1917" s="36" t="s">
        <v>2297</v>
      </c>
      <c r="T1917" s="36" t="s">
        <v>2083</v>
      </c>
      <c r="U1917" s="36">
        <v>662604</v>
      </c>
      <c r="V1917" s="165" t="s">
        <v>92</v>
      </c>
      <c r="W1917" s="36">
        <v>3</v>
      </c>
      <c r="X1917" s="36">
        <v>1</v>
      </c>
      <c r="Y1917" s="36">
        <v>1</v>
      </c>
      <c r="Z1917" s="36">
        <v>1</v>
      </c>
      <c r="AA1917" s="36">
        <v>1</v>
      </c>
      <c r="AB1917" s="36">
        <v>2</v>
      </c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  <c r="AV1917" s="36"/>
      <c r="AW1917" s="36"/>
      <c r="AX1917" s="36"/>
      <c r="AY1917" s="36"/>
      <c r="AZ1917" s="36"/>
      <c r="BA1917" s="36"/>
      <c r="BB1917" s="36"/>
      <c r="BC1917" s="27"/>
      <c r="BF1917">
        <f>ROWS($U$46:U1917)</f>
        <v>1872</v>
      </c>
      <c r="BG1917" t="str">
        <f t="shared" si="240"/>
        <v/>
      </c>
    </row>
    <row r="1918" spans="15:59" x14ac:dyDescent="0.35">
      <c r="O1918" s="329">
        <v>1</v>
      </c>
      <c r="P1918" s="320">
        <v>717749</v>
      </c>
      <c r="Q1918" s="320">
        <v>32</v>
      </c>
      <c r="R1918" s="320"/>
      <c r="S1918" s="320" t="s">
        <v>2297</v>
      </c>
      <c r="T1918" s="320" t="s">
        <v>2296</v>
      </c>
      <c r="U1918" s="320">
        <v>665777</v>
      </c>
      <c r="V1918" s="319" t="s">
        <v>87</v>
      </c>
      <c r="W1918" s="320">
        <v>1</v>
      </c>
      <c r="X1918" s="320">
        <v>1</v>
      </c>
      <c r="Y1918" s="320">
        <v>1</v>
      </c>
      <c r="Z1918" s="320">
        <v>1</v>
      </c>
      <c r="AA1918" s="320">
        <v>2</v>
      </c>
      <c r="AB1918" s="320"/>
      <c r="AC1918" s="320"/>
      <c r="AD1918" s="320"/>
      <c r="AE1918" s="320"/>
      <c r="AF1918" s="320"/>
      <c r="AG1918" s="320"/>
      <c r="AH1918" s="320"/>
      <c r="AI1918" s="320"/>
      <c r="AJ1918" s="320"/>
      <c r="AK1918" s="320"/>
      <c r="AL1918" s="320"/>
      <c r="AM1918" s="320"/>
      <c r="AN1918" s="320"/>
      <c r="AO1918" s="320"/>
      <c r="AP1918" s="320"/>
      <c r="AQ1918" s="320"/>
      <c r="AR1918" s="320"/>
      <c r="AS1918" s="320"/>
      <c r="AT1918" s="320"/>
      <c r="AU1918" s="320"/>
      <c r="AV1918" s="320"/>
      <c r="AW1918" s="320"/>
      <c r="AX1918" s="320"/>
      <c r="AY1918" s="320"/>
      <c r="AZ1918" s="320"/>
      <c r="BA1918" s="320"/>
      <c r="BB1918" s="320"/>
      <c r="BC1918" s="119"/>
      <c r="BF1918">
        <f>ROWS($U$46:U1918)</f>
        <v>1873</v>
      </c>
      <c r="BG1918" t="str">
        <f t="shared" si="240"/>
        <v/>
      </c>
    </row>
    <row r="1919" spans="15:59" x14ac:dyDescent="0.35">
      <c r="O1919" s="330">
        <v>2</v>
      </c>
      <c r="P1919" s="36">
        <v>418525</v>
      </c>
      <c r="Q1919" s="36">
        <v>8</v>
      </c>
      <c r="R1919" s="36"/>
      <c r="S1919" s="36" t="s">
        <v>2297</v>
      </c>
      <c r="T1919" s="36" t="s">
        <v>2296</v>
      </c>
      <c r="U1919" s="36">
        <v>665777</v>
      </c>
      <c r="V1919" s="165" t="s">
        <v>88</v>
      </c>
      <c r="W1919" s="36">
        <v>3</v>
      </c>
      <c r="X1919" s="36">
        <v>1</v>
      </c>
      <c r="Y1919" s="36">
        <v>1</v>
      </c>
      <c r="Z1919" s="36">
        <v>1</v>
      </c>
      <c r="AA1919" s="36">
        <v>1</v>
      </c>
      <c r="AB1919" s="36">
        <v>2</v>
      </c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  <c r="AV1919" s="36"/>
      <c r="AW1919" s="36"/>
      <c r="AX1919" s="36"/>
      <c r="AY1919" s="36"/>
      <c r="AZ1919" s="36"/>
      <c r="BA1919" s="36"/>
      <c r="BB1919" s="36"/>
      <c r="BC1919" s="27"/>
      <c r="BF1919">
        <f>ROWS($U$46:U1919)</f>
        <v>1874</v>
      </c>
      <c r="BG1919" t="str">
        <f t="shared" si="240"/>
        <v/>
      </c>
    </row>
    <row r="1920" spans="15:59" x14ac:dyDescent="0.35">
      <c r="O1920" s="330">
        <v>3</v>
      </c>
      <c r="P1920" s="36">
        <v>177778</v>
      </c>
      <c r="Q1920" s="36">
        <v>4</v>
      </c>
      <c r="R1920" s="36"/>
      <c r="S1920" s="36" t="s">
        <v>2297</v>
      </c>
      <c r="T1920" s="36" t="s">
        <v>2296</v>
      </c>
      <c r="U1920" s="36">
        <v>665777</v>
      </c>
      <c r="V1920" s="165" t="s">
        <v>89</v>
      </c>
      <c r="W1920" s="36">
        <v>1</v>
      </c>
      <c r="X1920" s="36">
        <v>1</v>
      </c>
      <c r="Y1920" s="36">
        <v>1</v>
      </c>
      <c r="Z1920" s="36">
        <v>1</v>
      </c>
      <c r="AA1920" s="36">
        <v>2</v>
      </c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  <c r="AV1920" s="36"/>
      <c r="AW1920" s="36"/>
      <c r="AX1920" s="36"/>
      <c r="AY1920" s="36"/>
      <c r="AZ1920" s="36"/>
      <c r="BA1920" s="36"/>
      <c r="BB1920" s="36"/>
      <c r="BC1920" s="27"/>
      <c r="BF1920">
        <f>ROWS($U$46:U1920)</f>
        <v>1875</v>
      </c>
      <c r="BG1920" t="str">
        <f t="shared" si="240"/>
        <v/>
      </c>
    </row>
    <row r="1921" spans="14:59" x14ac:dyDescent="0.35">
      <c r="O1921" s="330"/>
      <c r="P1921" s="36"/>
      <c r="Q1921" s="36"/>
      <c r="R1921" s="36"/>
      <c r="S1921" s="36" t="s">
        <v>2297</v>
      </c>
      <c r="T1921" s="36" t="s">
        <v>2296</v>
      </c>
      <c r="U1921" s="36">
        <v>665777</v>
      </c>
      <c r="V1921" s="165" t="s">
        <v>90</v>
      </c>
      <c r="W1921" s="36">
        <v>3</v>
      </c>
      <c r="X1921" s="36">
        <v>1</v>
      </c>
      <c r="Y1921" s="36">
        <v>1</v>
      </c>
      <c r="Z1921" s="36">
        <v>1</v>
      </c>
      <c r="AA1921" s="36">
        <v>1</v>
      </c>
      <c r="AB1921" s="36">
        <v>2</v>
      </c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  <c r="AV1921" s="36"/>
      <c r="AW1921" s="36"/>
      <c r="AX1921" s="36"/>
      <c r="AY1921" s="36"/>
      <c r="AZ1921" s="36"/>
      <c r="BA1921" s="36"/>
      <c r="BB1921" s="36"/>
      <c r="BC1921" s="27"/>
      <c r="BF1921">
        <f>ROWS($U$46:U1921)</f>
        <v>1876</v>
      </c>
      <c r="BG1921" t="str">
        <f t="shared" si="240"/>
        <v/>
      </c>
    </row>
    <row r="1922" spans="14:59" x14ac:dyDescent="0.35">
      <c r="O1922" s="330"/>
      <c r="P1922" s="36"/>
      <c r="Q1922" s="36"/>
      <c r="R1922" s="36"/>
      <c r="S1922" s="36" t="s">
        <v>2297</v>
      </c>
      <c r="T1922" s="36" t="s">
        <v>2296</v>
      </c>
      <c r="U1922" s="36">
        <v>665777</v>
      </c>
      <c r="V1922" s="165" t="s">
        <v>91</v>
      </c>
      <c r="W1922" s="36">
        <v>1</v>
      </c>
      <c r="X1922" s="36">
        <v>1</v>
      </c>
      <c r="Y1922" s="36">
        <v>1</v>
      </c>
      <c r="Z1922" s="36">
        <v>1</v>
      </c>
      <c r="AA1922" s="36">
        <v>2</v>
      </c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  <c r="AV1922" s="36"/>
      <c r="AW1922" s="36"/>
      <c r="AX1922" s="36"/>
      <c r="AY1922" s="36"/>
      <c r="AZ1922" s="36"/>
      <c r="BA1922" s="36"/>
      <c r="BB1922" s="36"/>
      <c r="BC1922" s="27"/>
      <c r="BF1922">
        <f>ROWS($U$46:U1922)</f>
        <v>1877</v>
      </c>
      <c r="BG1922" t="str">
        <f t="shared" si="240"/>
        <v/>
      </c>
    </row>
    <row r="1923" spans="14:59" x14ac:dyDescent="0.35">
      <c r="O1923" s="330"/>
      <c r="P1923" s="36"/>
      <c r="Q1923" s="36"/>
      <c r="R1923" s="36"/>
      <c r="S1923" s="36" t="s">
        <v>2297</v>
      </c>
      <c r="T1923" s="36" t="s">
        <v>2296</v>
      </c>
      <c r="U1923" s="36">
        <v>665777</v>
      </c>
      <c r="V1923" s="165" t="s">
        <v>92</v>
      </c>
      <c r="W1923" s="36">
        <v>3</v>
      </c>
      <c r="X1923" s="36">
        <v>1</v>
      </c>
      <c r="Y1923" s="36">
        <v>1</v>
      </c>
      <c r="Z1923" s="36">
        <v>1</v>
      </c>
      <c r="AA1923" s="36">
        <v>1</v>
      </c>
      <c r="AB1923" s="36">
        <v>2</v>
      </c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  <c r="AV1923" s="36"/>
      <c r="AW1923" s="36"/>
      <c r="AX1923" s="36"/>
      <c r="AY1923" s="36"/>
      <c r="AZ1923" s="36"/>
      <c r="BA1923" s="36"/>
      <c r="BB1923" s="36"/>
      <c r="BC1923" s="27"/>
      <c r="BF1923">
        <f>ROWS($U$46:U1923)</f>
        <v>1878</v>
      </c>
      <c r="BG1923" t="str">
        <f t="shared" si="240"/>
        <v/>
      </c>
    </row>
    <row r="1924" spans="14:59" x14ac:dyDescent="0.35">
      <c r="O1924" s="330"/>
      <c r="P1924" s="36"/>
      <c r="Q1924" s="36"/>
      <c r="R1924" s="36"/>
      <c r="S1924" s="36" t="s">
        <v>2297</v>
      </c>
      <c r="T1924" s="36" t="s">
        <v>2296</v>
      </c>
      <c r="U1924" s="36">
        <v>665777</v>
      </c>
      <c r="V1924" s="165" t="s">
        <v>111</v>
      </c>
      <c r="W1924" s="36">
        <v>1</v>
      </c>
      <c r="X1924" s="36">
        <v>1</v>
      </c>
      <c r="Y1924" s="36">
        <v>1</v>
      </c>
      <c r="Z1924" s="36">
        <v>1</v>
      </c>
      <c r="AA1924" s="36">
        <v>2</v>
      </c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  <c r="AV1924" s="36"/>
      <c r="AW1924" s="36"/>
      <c r="AX1924" s="36"/>
      <c r="AY1924" s="36"/>
      <c r="AZ1924" s="36"/>
      <c r="BA1924" s="36"/>
      <c r="BB1924" s="36"/>
      <c r="BC1924" s="27"/>
      <c r="BF1924">
        <f>ROWS($U$46:U1924)</f>
        <v>1879</v>
      </c>
      <c r="BG1924" t="str">
        <f t="shared" si="240"/>
        <v/>
      </c>
    </row>
    <row r="1925" spans="14:59" ht="15" thickBot="1" x14ac:dyDescent="0.4">
      <c r="O1925" s="331"/>
      <c r="P1925" s="328"/>
      <c r="Q1925" s="328"/>
      <c r="R1925" s="328"/>
      <c r="S1925" s="328" t="s">
        <v>2297</v>
      </c>
      <c r="T1925" s="328" t="s">
        <v>2296</v>
      </c>
      <c r="U1925" s="328">
        <v>665777</v>
      </c>
      <c r="V1925" s="327" t="s">
        <v>112</v>
      </c>
      <c r="W1925" s="328">
        <v>3</v>
      </c>
      <c r="X1925" s="328">
        <v>1</v>
      </c>
      <c r="Y1925" s="328">
        <v>1</v>
      </c>
      <c r="Z1925" s="328">
        <v>1</v>
      </c>
      <c r="AA1925" s="328">
        <v>1</v>
      </c>
      <c r="AB1925" s="328">
        <v>2</v>
      </c>
      <c r="AC1925" s="328"/>
      <c r="AD1925" s="328"/>
      <c r="AE1925" s="328"/>
      <c r="AF1925" s="328"/>
      <c r="AG1925" s="328"/>
      <c r="AH1925" s="328"/>
      <c r="AI1925" s="328"/>
      <c r="AJ1925" s="328"/>
      <c r="AK1925" s="328"/>
      <c r="AL1925" s="328"/>
      <c r="AM1925" s="328"/>
      <c r="AN1925" s="328"/>
      <c r="AO1925" s="328"/>
      <c r="AP1925" s="328"/>
      <c r="AQ1925" s="328"/>
      <c r="AR1925" s="328"/>
      <c r="AS1925" s="328"/>
      <c r="AT1925" s="328"/>
      <c r="AU1925" s="328"/>
      <c r="AV1925" s="328"/>
      <c r="AW1925" s="328"/>
      <c r="AX1925" s="328"/>
      <c r="AY1925" s="328"/>
      <c r="AZ1925" s="328"/>
      <c r="BA1925" s="328"/>
      <c r="BB1925" s="328"/>
      <c r="BC1925" s="31"/>
      <c r="BF1925">
        <f>ROWS($U$46:U1925)</f>
        <v>1880</v>
      </c>
      <c r="BG1925" t="str">
        <f t="shared" si="240"/>
        <v/>
      </c>
    </row>
    <row r="1926" spans="14:59" x14ac:dyDescent="0.35">
      <c r="N1926">
        <f>O1926*Q1926</f>
        <v>64</v>
      </c>
      <c r="O1926" s="329">
        <v>1</v>
      </c>
      <c r="P1926" s="320">
        <v>647436</v>
      </c>
      <c r="Q1926" s="320">
        <v>64</v>
      </c>
      <c r="R1926" s="320"/>
      <c r="S1926" s="320" t="s">
        <v>1126</v>
      </c>
      <c r="T1926" s="320" t="s">
        <v>1548</v>
      </c>
      <c r="U1926" s="320">
        <v>1239257</v>
      </c>
      <c r="V1926" s="319" t="s">
        <v>87</v>
      </c>
      <c r="W1926" s="320">
        <v>3</v>
      </c>
      <c r="X1926" s="320">
        <v>3</v>
      </c>
      <c r="Y1926" s="320">
        <v>3</v>
      </c>
      <c r="Z1926" s="320">
        <v>3</v>
      </c>
      <c r="AA1926" s="320">
        <v>3</v>
      </c>
      <c r="AB1926" s="320">
        <v>3</v>
      </c>
      <c r="AC1926" s="320">
        <v>3</v>
      </c>
      <c r="AD1926" s="320">
        <v>2</v>
      </c>
      <c r="AE1926" s="320">
        <v>2</v>
      </c>
      <c r="AF1926" s="320">
        <v>2</v>
      </c>
      <c r="AG1926" s="320">
        <v>2</v>
      </c>
      <c r="AH1926" s="320">
        <v>2</v>
      </c>
      <c r="AI1926" s="320">
        <v>2</v>
      </c>
      <c r="AJ1926" s="320">
        <v>2</v>
      </c>
      <c r="AK1926" s="320">
        <v>3</v>
      </c>
      <c r="AL1926" s="320">
        <v>5</v>
      </c>
      <c r="AM1926" s="320"/>
      <c r="AN1926" s="320">
        <v>4</v>
      </c>
      <c r="AO1926" s="320">
        <v>4</v>
      </c>
      <c r="AP1926" s="320">
        <v>4</v>
      </c>
      <c r="AQ1926" s="320">
        <v>1</v>
      </c>
      <c r="AR1926" s="320">
        <v>1</v>
      </c>
      <c r="AS1926" s="320">
        <v>1</v>
      </c>
      <c r="AT1926" s="320">
        <v>1</v>
      </c>
      <c r="AU1926" s="320">
        <v>1</v>
      </c>
      <c r="AV1926" s="320">
        <v>1</v>
      </c>
      <c r="AW1926" s="320">
        <v>1</v>
      </c>
      <c r="AX1926" s="320">
        <v>1</v>
      </c>
      <c r="AY1926" s="320"/>
      <c r="AZ1926" s="320"/>
      <c r="BA1926" s="320"/>
      <c r="BB1926" s="320"/>
      <c r="BC1926" s="119"/>
      <c r="BF1926">
        <f>ROWS($U$46:U1926)</f>
        <v>1881</v>
      </c>
      <c r="BG1926" t="str">
        <f t="shared" si="240"/>
        <v/>
      </c>
    </row>
    <row r="1927" spans="14:59" x14ac:dyDescent="0.35">
      <c r="N1927">
        <f t="shared" ref="N1927:N1933" si="241">O1927*Q1927</f>
        <v>106</v>
      </c>
      <c r="O1927" s="330">
        <v>2</v>
      </c>
      <c r="P1927" s="36">
        <v>1271790</v>
      </c>
      <c r="Q1927" s="36">
        <v>53</v>
      </c>
      <c r="R1927" s="36"/>
      <c r="S1927" s="36" t="s">
        <v>1126</v>
      </c>
      <c r="T1927" s="36" t="s">
        <v>1548</v>
      </c>
      <c r="U1927" s="36">
        <v>1239257</v>
      </c>
      <c r="V1927" s="165" t="s">
        <v>88</v>
      </c>
      <c r="W1927" s="36">
        <v>3</v>
      </c>
      <c r="X1927" s="36">
        <v>3</v>
      </c>
      <c r="Y1927" s="36">
        <v>2</v>
      </c>
      <c r="Z1927" s="36">
        <v>2</v>
      </c>
      <c r="AA1927" s="36">
        <v>2</v>
      </c>
      <c r="AB1927" s="36">
        <v>2</v>
      </c>
      <c r="AC1927" s="36">
        <v>2</v>
      </c>
      <c r="AD1927" s="36">
        <v>2</v>
      </c>
      <c r="AE1927" s="36">
        <v>2</v>
      </c>
      <c r="AF1927" s="36">
        <v>3</v>
      </c>
      <c r="AG1927" s="36">
        <v>5</v>
      </c>
      <c r="AH1927" s="36"/>
      <c r="AI1927" s="36"/>
      <c r="AJ1927" s="36"/>
      <c r="AK1927" s="36"/>
      <c r="AL1927" s="36"/>
      <c r="AM1927" s="36"/>
      <c r="AN1927" s="36">
        <v>4</v>
      </c>
      <c r="AO1927" s="36">
        <v>4</v>
      </c>
      <c r="AP1927" s="36">
        <v>1</v>
      </c>
      <c r="AQ1927" s="36">
        <v>1</v>
      </c>
      <c r="AR1927" s="36">
        <v>1</v>
      </c>
      <c r="AS1927" s="36">
        <v>1</v>
      </c>
      <c r="AT1927" s="36">
        <v>1</v>
      </c>
      <c r="AU1927" s="36">
        <v>1</v>
      </c>
      <c r="AV1927" s="36">
        <v>1</v>
      </c>
      <c r="AW1927" s="36">
        <v>1</v>
      </c>
      <c r="AX1927" s="36"/>
      <c r="AY1927" s="36"/>
      <c r="AZ1927" s="36"/>
      <c r="BA1927" s="36"/>
      <c r="BB1927" s="36"/>
      <c r="BC1927" s="27"/>
      <c r="BF1927">
        <f>ROWS($U$46:U1927)</f>
        <v>1882</v>
      </c>
      <c r="BG1927" t="str">
        <f t="shared" si="240"/>
        <v/>
      </c>
    </row>
    <row r="1928" spans="14:59" x14ac:dyDescent="0.35">
      <c r="N1928">
        <f t="shared" si="241"/>
        <v>117</v>
      </c>
      <c r="O1928" s="330">
        <v>3</v>
      </c>
      <c r="P1928" s="36">
        <v>1146737</v>
      </c>
      <c r="Q1928" s="36">
        <v>39</v>
      </c>
      <c r="R1928" s="36"/>
      <c r="S1928" s="36" t="s">
        <v>1126</v>
      </c>
      <c r="T1928" s="36" t="s">
        <v>1548</v>
      </c>
      <c r="U1928" s="36">
        <v>1239257</v>
      </c>
      <c r="V1928" s="165" t="s">
        <v>89</v>
      </c>
      <c r="W1928" s="36">
        <v>3</v>
      </c>
      <c r="X1928" s="36">
        <v>3</v>
      </c>
      <c r="Y1928" s="36">
        <v>2</v>
      </c>
      <c r="Z1928" s="36">
        <v>2</v>
      </c>
      <c r="AA1928" s="36">
        <v>2</v>
      </c>
      <c r="AB1928" s="36">
        <v>2</v>
      </c>
      <c r="AC1928" s="36">
        <v>2</v>
      </c>
      <c r="AD1928" s="36">
        <v>2</v>
      </c>
      <c r="AE1928" s="36">
        <v>2</v>
      </c>
      <c r="AF1928" s="36">
        <v>3</v>
      </c>
      <c r="AG1928" s="36">
        <v>5</v>
      </c>
      <c r="AH1928" s="36"/>
      <c r="AI1928" s="36"/>
      <c r="AJ1928" s="36"/>
      <c r="AK1928" s="36"/>
      <c r="AL1928" s="36"/>
      <c r="AM1928" s="36"/>
      <c r="AN1928" s="36">
        <v>4</v>
      </c>
      <c r="AO1928" s="36">
        <v>4</v>
      </c>
      <c r="AP1928" s="36">
        <v>1</v>
      </c>
      <c r="AQ1928" s="36">
        <v>1</v>
      </c>
      <c r="AR1928" s="36">
        <v>1</v>
      </c>
      <c r="AS1928" s="36">
        <v>1</v>
      </c>
      <c r="AT1928" s="36">
        <v>1</v>
      </c>
      <c r="AU1928" s="36">
        <v>1</v>
      </c>
      <c r="AV1928" s="36">
        <v>1</v>
      </c>
      <c r="AW1928" s="36">
        <v>1</v>
      </c>
      <c r="AX1928" s="36"/>
      <c r="AY1928" s="36"/>
      <c r="AZ1928" s="36"/>
      <c r="BA1928" s="36"/>
      <c r="BB1928" s="36"/>
      <c r="BC1928" s="27"/>
      <c r="BF1928">
        <f>ROWS($U$46:U1928)</f>
        <v>1883</v>
      </c>
      <c r="BG1928" t="str">
        <f t="shared" si="240"/>
        <v/>
      </c>
    </row>
    <row r="1929" spans="14:59" x14ac:dyDescent="0.35">
      <c r="N1929">
        <f t="shared" si="241"/>
        <v>64</v>
      </c>
      <c r="O1929" s="330">
        <v>4</v>
      </c>
      <c r="P1929" s="36">
        <v>647435</v>
      </c>
      <c r="Q1929" s="36">
        <v>16</v>
      </c>
      <c r="R1929" s="36"/>
      <c r="S1929" s="36" t="s">
        <v>1126</v>
      </c>
      <c r="T1929" s="36" t="s">
        <v>1548</v>
      </c>
      <c r="U1929" s="36">
        <v>1239257</v>
      </c>
      <c r="V1929" s="165" t="s">
        <v>90</v>
      </c>
      <c r="W1929" s="36">
        <v>3</v>
      </c>
      <c r="X1929" s="36">
        <v>3</v>
      </c>
      <c r="Y1929" s="36">
        <v>3</v>
      </c>
      <c r="Z1929" s="36">
        <v>3</v>
      </c>
      <c r="AA1929" s="36">
        <v>3</v>
      </c>
      <c r="AB1929" s="36">
        <v>3</v>
      </c>
      <c r="AC1929" s="36">
        <v>2</v>
      </c>
      <c r="AD1929" s="36">
        <v>2</v>
      </c>
      <c r="AE1929" s="36">
        <v>2</v>
      </c>
      <c r="AF1929" s="36">
        <v>2</v>
      </c>
      <c r="AG1929" s="36">
        <v>2</v>
      </c>
      <c r="AH1929" s="36">
        <v>2</v>
      </c>
      <c r="AI1929" s="36">
        <v>2</v>
      </c>
      <c r="AJ1929" s="36">
        <v>3</v>
      </c>
      <c r="AK1929" s="36">
        <v>5</v>
      </c>
      <c r="AL1929" s="36"/>
      <c r="AM1929" s="36"/>
      <c r="AN1929" s="36">
        <v>4</v>
      </c>
      <c r="AO1929" s="36">
        <v>4</v>
      </c>
      <c r="AP1929" s="36">
        <v>1</v>
      </c>
      <c r="AQ1929" s="36">
        <v>1</v>
      </c>
      <c r="AR1929" s="36">
        <v>1</v>
      </c>
      <c r="AS1929" s="36">
        <v>1</v>
      </c>
      <c r="AT1929" s="36">
        <v>1</v>
      </c>
      <c r="AU1929" s="36">
        <v>1</v>
      </c>
      <c r="AV1929" s="36">
        <v>1</v>
      </c>
      <c r="AW1929" s="36">
        <v>1</v>
      </c>
      <c r="AX1929" s="36"/>
      <c r="AY1929" s="36"/>
      <c r="AZ1929" s="36"/>
      <c r="BA1929" s="36"/>
      <c r="BB1929" s="36"/>
      <c r="BC1929" s="27"/>
      <c r="BF1929">
        <f>ROWS($U$46:U1929)</f>
        <v>1884</v>
      </c>
      <c r="BG1929" t="str">
        <f t="shared" si="240"/>
        <v/>
      </c>
    </row>
    <row r="1930" spans="14:59" x14ac:dyDescent="0.35">
      <c r="N1930">
        <f t="shared" si="241"/>
        <v>40</v>
      </c>
      <c r="O1930" s="330">
        <v>5</v>
      </c>
      <c r="P1930" s="36">
        <v>418525</v>
      </c>
      <c r="Q1930" s="36">
        <v>8</v>
      </c>
      <c r="R1930" s="36"/>
      <c r="S1930" s="36" t="s">
        <v>1126</v>
      </c>
      <c r="T1930" s="36" t="s">
        <v>1548</v>
      </c>
      <c r="U1930" s="36">
        <v>1239257</v>
      </c>
      <c r="V1930" s="165" t="s">
        <v>91</v>
      </c>
      <c r="W1930" s="36">
        <v>3</v>
      </c>
      <c r="X1930" s="36">
        <v>2</v>
      </c>
      <c r="Y1930" s="36">
        <v>2</v>
      </c>
      <c r="Z1930" s="36">
        <v>2</v>
      </c>
      <c r="AA1930" s="36">
        <v>2</v>
      </c>
      <c r="AB1930" s="36">
        <v>2</v>
      </c>
      <c r="AC1930" s="36">
        <v>2</v>
      </c>
      <c r="AD1930" s="36">
        <v>2</v>
      </c>
      <c r="AE1930" s="36">
        <v>3</v>
      </c>
      <c r="AF1930" s="36">
        <v>5</v>
      </c>
      <c r="AG1930" s="36"/>
      <c r="AH1930" s="36"/>
      <c r="AI1930" s="36"/>
      <c r="AJ1930" s="36"/>
      <c r="AK1930" s="36"/>
      <c r="AL1930" s="36"/>
      <c r="AM1930" s="36"/>
      <c r="AN1930" s="36">
        <v>4</v>
      </c>
      <c r="AO1930" s="36">
        <v>1</v>
      </c>
      <c r="AP1930" s="36">
        <v>1</v>
      </c>
      <c r="AQ1930" s="36">
        <v>1</v>
      </c>
      <c r="AR1930" s="36">
        <v>1</v>
      </c>
      <c r="AS1930" s="36">
        <v>1</v>
      </c>
      <c r="AT1930" s="36">
        <v>1</v>
      </c>
      <c r="AU1930" s="36">
        <v>1</v>
      </c>
      <c r="AV1930" s="36">
        <v>1</v>
      </c>
      <c r="AW1930" s="36"/>
      <c r="AX1930" s="36"/>
      <c r="AY1930" s="36"/>
      <c r="AZ1930" s="36"/>
      <c r="BA1930" s="36"/>
      <c r="BB1930" s="36"/>
      <c r="BC1930" s="27"/>
      <c r="BF1930">
        <f>ROWS($U$46:U1930)</f>
        <v>1885</v>
      </c>
      <c r="BG1930" t="str">
        <f t="shared" si="240"/>
        <v/>
      </c>
    </row>
    <row r="1931" spans="14:59" x14ac:dyDescent="0.35">
      <c r="N1931">
        <f t="shared" si="241"/>
        <v>0</v>
      </c>
      <c r="O1931" s="330"/>
      <c r="P1931" s="36"/>
      <c r="Q1931" s="36"/>
      <c r="R1931" s="36"/>
      <c r="S1931" s="36" t="s">
        <v>1126</v>
      </c>
      <c r="T1931" s="36" t="s">
        <v>1548</v>
      </c>
      <c r="U1931" s="36">
        <v>1239257</v>
      </c>
      <c r="V1931" s="165" t="s">
        <v>92</v>
      </c>
      <c r="W1931" s="36">
        <v>3</v>
      </c>
      <c r="X1931" s="36">
        <v>3</v>
      </c>
      <c r="Y1931" s="36">
        <v>3</v>
      </c>
      <c r="Z1931" s="36">
        <v>3</v>
      </c>
      <c r="AA1931" s="36">
        <v>3</v>
      </c>
      <c r="AB1931" s="36">
        <v>3</v>
      </c>
      <c r="AC1931" s="36">
        <v>3</v>
      </c>
      <c r="AD1931" s="36">
        <v>2</v>
      </c>
      <c r="AE1931" s="36">
        <v>2</v>
      </c>
      <c r="AF1931" s="36">
        <v>2</v>
      </c>
      <c r="AG1931" s="36">
        <v>2</v>
      </c>
      <c r="AH1931" s="36">
        <v>2</v>
      </c>
      <c r="AI1931" s="36">
        <v>2</v>
      </c>
      <c r="AJ1931" s="36">
        <v>3</v>
      </c>
      <c r="AK1931" s="36">
        <v>5</v>
      </c>
      <c r="AL1931" s="36"/>
      <c r="AM1931" s="36"/>
      <c r="AN1931" s="36">
        <v>4</v>
      </c>
      <c r="AO1931" s="36">
        <v>4</v>
      </c>
      <c r="AP1931" s="36">
        <v>1</v>
      </c>
      <c r="AQ1931" s="36">
        <v>1</v>
      </c>
      <c r="AR1931" s="36">
        <v>1</v>
      </c>
      <c r="AS1931" s="36">
        <v>1</v>
      </c>
      <c r="AT1931" s="36">
        <v>1</v>
      </c>
      <c r="AU1931" s="36">
        <v>1</v>
      </c>
      <c r="AV1931" s="36">
        <v>1</v>
      </c>
      <c r="AW1931" s="36">
        <v>1</v>
      </c>
      <c r="AX1931" s="36"/>
      <c r="AY1931" s="36"/>
      <c r="AZ1931" s="36"/>
      <c r="BA1931" s="36"/>
      <c r="BB1931" s="36"/>
      <c r="BC1931" s="27"/>
      <c r="BF1931">
        <f>ROWS($U$46:U1931)</f>
        <v>1886</v>
      </c>
      <c r="BG1931" t="str">
        <f t="shared" si="240"/>
        <v/>
      </c>
    </row>
    <row r="1932" spans="14:59" x14ac:dyDescent="0.35">
      <c r="N1932">
        <f t="shared" si="241"/>
        <v>0</v>
      </c>
      <c r="O1932" s="330"/>
      <c r="P1932" s="36"/>
      <c r="Q1932" s="36"/>
      <c r="R1932" s="36"/>
      <c r="S1932" s="36" t="s">
        <v>1126</v>
      </c>
      <c r="T1932" s="36" t="s">
        <v>1548</v>
      </c>
      <c r="U1932" s="36">
        <v>1239257</v>
      </c>
      <c r="V1932" s="165" t="s">
        <v>111</v>
      </c>
      <c r="W1932" s="36">
        <v>3</v>
      </c>
      <c r="X1932" s="36">
        <v>3</v>
      </c>
      <c r="Y1932" s="36">
        <v>3</v>
      </c>
      <c r="Z1932" s="36">
        <v>2</v>
      </c>
      <c r="AA1932" s="36">
        <v>2</v>
      </c>
      <c r="AB1932" s="36">
        <v>2</v>
      </c>
      <c r="AC1932" s="36">
        <v>2</v>
      </c>
      <c r="AD1932" s="36">
        <v>2</v>
      </c>
      <c r="AE1932" s="36">
        <v>2</v>
      </c>
      <c r="AF1932" s="36">
        <v>3</v>
      </c>
      <c r="AG1932" s="36">
        <v>5</v>
      </c>
      <c r="AH1932" s="36"/>
      <c r="AI1932" s="36"/>
      <c r="AJ1932" s="36"/>
      <c r="AK1932" s="36"/>
      <c r="AL1932" s="36"/>
      <c r="AM1932" s="36"/>
      <c r="AN1932" s="36">
        <v>4</v>
      </c>
      <c r="AO1932" s="36">
        <v>4</v>
      </c>
      <c r="AP1932" s="36">
        <v>1</v>
      </c>
      <c r="AQ1932" s="36">
        <v>1</v>
      </c>
      <c r="AR1932" s="36">
        <v>1</v>
      </c>
      <c r="AS1932" s="36">
        <v>1</v>
      </c>
      <c r="AT1932" s="36">
        <v>1</v>
      </c>
      <c r="AU1932" s="36">
        <v>1</v>
      </c>
      <c r="AV1932" s="36">
        <v>1</v>
      </c>
      <c r="AW1932" s="36">
        <v>1</v>
      </c>
      <c r="AX1932" s="36"/>
      <c r="AY1932" s="36"/>
      <c r="AZ1932" s="36"/>
      <c r="BA1932" s="36"/>
      <c r="BB1932" s="36"/>
      <c r="BC1932" s="27"/>
      <c r="BF1932">
        <f>ROWS($U$46:U1932)</f>
        <v>1887</v>
      </c>
      <c r="BG1932" t="str">
        <f t="shared" si="240"/>
        <v/>
      </c>
    </row>
    <row r="1933" spans="14:59" ht="15" thickBot="1" x14ac:dyDescent="0.4">
      <c r="N1933">
        <f t="shared" si="241"/>
        <v>0</v>
      </c>
      <c r="O1933" s="331"/>
      <c r="P1933" s="328"/>
      <c r="Q1933" s="328"/>
      <c r="R1933" s="328"/>
      <c r="S1933" s="328" t="s">
        <v>1126</v>
      </c>
      <c r="T1933" s="328" t="s">
        <v>1548</v>
      </c>
      <c r="U1933" s="328">
        <v>1239257</v>
      </c>
      <c r="V1933" s="327" t="s">
        <v>112</v>
      </c>
      <c r="W1933" s="328">
        <v>3</v>
      </c>
      <c r="X1933" s="328">
        <v>3</v>
      </c>
      <c r="Y1933" s="328">
        <v>2</v>
      </c>
      <c r="Z1933" s="328">
        <v>2</v>
      </c>
      <c r="AA1933" s="328">
        <v>2</v>
      </c>
      <c r="AB1933" s="328">
        <v>2</v>
      </c>
      <c r="AC1933" s="328">
        <v>2</v>
      </c>
      <c r="AD1933" s="328">
        <v>2</v>
      </c>
      <c r="AE1933" s="328">
        <v>3</v>
      </c>
      <c r="AF1933" s="328">
        <v>3</v>
      </c>
      <c r="AG1933" s="328">
        <v>5</v>
      </c>
      <c r="AH1933" s="328"/>
      <c r="AI1933" s="328"/>
      <c r="AJ1933" s="328"/>
      <c r="AK1933" s="328"/>
      <c r="AL1933" s="328"/>
      <c r="AM1933" s="328"/>
      <c r="AN1933" s="328">
        <v>4</v>
      </c>
      <c r="AO1933" s="328">
        <v>4</v>
      </c>
      <c r="AP1933" s="328">
        <v>1</v>
      </c>
      <c r="AQ1933" s="328">
        <v>1</v>
      </c>
      <c r="AR1933" s="328">
        <v>1</v>
      </c>
      <c r="AS1933" s="328">
        <v>1</v>
      </c>
      <c r="AT1933" s="328">
        <v>1</v>
      </c>
      <c r="AU1933" s="328">
        <v>1</v>
      </c>
      <c r="AV1933" s="328">
        <v>1</v>
      </c>
      <c r="AW1933" s="328">
        <v>1</v>
      </c>
      <c r="AX1933" s="328"/>
      <c r="AY1933" s="328"/>
      <c r="AZ1933" s="328"/>
      <c r="BA1933" s="328"/>
      <c r="BB1933" s="328"/>
      <c r="BC1933" s="31"/>
      <c r="BF1933">
        <f>ROWS($U$46:U1933)</f>
        <v>1888</v>
      </c>
      <c r="BG1933" t="str">
        <f t="shared" si="240"/>
        <v/>
      </c>
    </row>
    <row r="1934" spans="14:59" x14ac:dyDescent="0.35">
      <c r="N1934">
        <f>O1934*Q1934</f>
        <v>24</v>
      </c>
      <c r="O1934" s="329">
        <v>1</v>
      </c>
      <c r="P1934" s="320">
        <v>1261615</v>
      </c>
      <c r="Q1934" s="320">
        <v>24</v>
      </c>
      <c r="R1934" s="320"/>
      <c r="S1934" s="320" t="s">
        <v>1207</v>
      </c>
      <c r="T1934" s="320" t="s">
        <v>2302</v>
      </c>
      <c r="U1934" s="320">
        <v>1270865</v>
      </c>
      <c r="V1934" s="319" t="s">
        <v>87</v>
      </c>
      <c r="W1934" s="320">
        <v>2</v>
      </c>
      <c r="X1934" s="320">
        <v>2</v>
      </c>
      <c r="Y1934" s="320">
        <v>2</v>
      </c>
      <c r="Z1934" s="320">
        <v>1</v>
      </c>
      <c r="AA1934" s="320">
        <v>1</v>
      </c>
      <c r="AB1934" s="320">
        <v>1</v>
      </c>
      <c r="AC1934" s="320">
        <v>1</v>
      </c>
      <c r="AD1934" s="320">
        <v>3</v>
      </c>
      <c r="AE1934" s="320">
        <v>3</v>
      </c>
      <c r="AF1934" s="320">
        <v>6</v>
      </c>
      <c r="AG1934" s="320">
        <v>5</v>
      </c>
      <c r="AH1934" s="320"/>
      <c r="AI1934" s="320">
        <v>7</v>
      </c>
      <c r="AJ1934" s="320">
        <v>7</v>
      </c>
      <c r="AK1934" s="320">
        <v>7</v>
      </c>
      <c r="AL1934" s="320">
        <v>4</v>
      </c>
      <c r="AM1934" s="320">
        <v>4</v>
      </c>
      <c r="AN1934" s="320"/>
      <c r="AO1934" s="320"/>
      <c r="AP1934" s="320"/>
      <c r="AQ1934" s="320"/>
      <c r="AR1934" s="320"/>
      <c r="AS1934" s="320"/>
      <c r="AT1934" s="320"/>
      <c r="AU1934" s="320"/>
      <c r="AV1934" s="320"/>
      <c r="AW1934" s="320"/>
      <c r="AX1934" s="320"/>
      <c r="AY1934" s="320"/>
      <c r="AZ1934" s="320"/>
      <c r="BA1934" s="320"/>
      <c r="BB1934" s="320"/>
      <c r="BC1934" s="119"/>
      <c r="BF1934">
        <f>ROWS($U$46:U1934)</f>
        <v>1889</v>
      </c>
      <c r="BG1934" t="str">
        <f t="shared" si="240"/>
        <v/>
      </c>
    </row>
    <row r="1935" spans="14:59" x14ac:dyDescent="0.35">
      <c r="N1935">
        <f t="shared" ref="N1935:N1946" si="242">O1935*Q1935</f>
        <v>18</v>
      </c>
      <c r="O1935" s="330">
        <v>2</v>
      </c>
      <c r="P1935" s="36">
        <v>1146737</v>
      </c>
      <c r="Q1935" s="36">
        <v>9</v>
      </c>
      <c r="R1935" s="36"/>
      <c r="S1935" s="36" t="s">
        <v>1207</v>
      </c>
      <c r="T1935" s="36" t="s">
        <v>2302</v>
      </c>
      <c r="U1935" s="36">
        <v>1270865</v>
      </c>
      <c r="V1935" s="165" t="s">
        <v>88</v>
      </c>
      <c r="W1935" s="36">
        <v>1</v>
      </c>
      <c r="X1935" s="36">
        <v>1</v>
      </c>
      <c r="Y1935" s="36">
        <v>1</v>
      </c>
      <c r="Z1935" s="36">
        <v>1</v>
      </c>
      <c r="AA1935" s="36">
        <v>3</v>
      </c>
      <c r="AB1935" s="36">
        <v>3</v>
      </c>
      <c r="AC1935" s="36">
        <v>6</v>
      </c>
      <c r="AD1935" s="36">
        <v>5</v>
      </c>
      <c r="AE1935" s="36"/>
      <c r="AF1935" s="36"/>
      <c r="AG1935" s="36"/>
      <c r="AH1935" s="36"/>
      <c r="AI1935" s="36">
        <v>7</v>
      </c>
      <c r="AJ1935" s="36">
        <v>4</v>
      </c>
      <c r="AK1935" s="36">
        <v>4</v>
      </c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  <c r="AV1935" s="36"/>
      <c r="AW1935" s="36"/>
      <c r="AX1935" s="36"/>
      <c r="AY1935" s="36"/>
      <c r="AZ1935" s="36"/>
      <c r="BA1935" s="36"/>
      <c r="BB1935" s="36"/>
      <c r="BC1935" s="27"/>
      <c r="BF1935">
        <f>ROWS($U$46:U1935)</f>
        <v>1890</v>
      </c>
      <c r="BG1935" t="str">
        <f t="shared" si="240"/>
        <v/>
      </c>
    </row>
    <row r="1936" spans="14:59" x14ac:dyDescent="0.35">
      <c r="N1936">
        <f t="shared" si="242"/>
        <v>36</v>
      </c>
      <c r="O1936" s="330">
        <v>3</v>
      </c>
      <c r="P1936" s="36">
        <v>1271790</v>
      </c>
      <c r="Q1936" s="36">
        <v>12</v>
      </c>
      <c r="R1936" s="36"/>
      <c r="S1936" s="36" t="s">
        <v>1207</v>
      </c>
      <c r="T1936" s="36" t="s">
        <v>2302</v>
      </c>
      <c r="U1936" s="36">
        <v>1270865</v>
      </c>
      <c r="V1936" s="165" t="s">
        <v>89</v>
      </c>
      <c r="W1936" s="36">
        <v>2</v>
      </c>
      <c r="X1936" s="36">
        <v>2</v>
      </c>
      <c r="Y1936" s="36">
        <v>2</v>
      </c>
      <c r="Z1936" s="36">
        <v>1</v>
      </c>
      <c r="AA1936" s="36">
        <v>1</v>
      </c>
      <c r="AB1936" s="36">
        <v>1</v>
      </c>
      <c r="AC1936" s="36">
        <v>1</v>
      </c>
      <c r="AD1936" s="36">
        <v>3</v>
      </c>
      <c r="AE1936" s="36">
        <v>3</v>
      </c>
      <c r="AF1936" s="36">
        <v>6</v>
      </c>
      <c r="AG1936" s="36">
        <v>5</v>
      </c>
      <c r="AH1936" s="36"/>
      <c r="AI1936" s="36">
        <v>7</v>
      </c>
      <c r="AJ1936" s="36">
        <v>7</v>
      </c>
      <c r="AK1936" s="36">
        <v>7</v>
      </c>
      <c r="AL1936" s="36">
        <v>4</v>
      </c>
      <c r="AM1936" s="36">
        <v>4</v>
      </c>
      <c r="AN1936" s="36"/>
      <c r="AO1936" s="36"/>
      <c r="AP1936" s="36"/>
      <c r="AQ1936" s="36"/>
      <c r="AR1936" s="36"/>
      <c r="AS1936" s="36"/>
      <c r="AT1936" s="36"/>
      <c r="AU1936" s="36"/>
      <c r="AV1936" s="36"/>
      <c r="AW1936" s="36"/>
      <c r="AX1936" s="36"/>
      <c r="AY1936" s="36"/>
      <c r="AZ1936" s="36"/>
      <c r="BA1936" s="36"/>
      <c r="BB1936" s="36"/>
      <c r="BC1936" s="27"/>
      <c r="BF1936">
        <f>ROWS($U$46:U1936)</f>
        <v>1891</v>
      </c>
      <c r="BG1936" t="str">
        <f t="shared" si="240"/>
        <v/>
      </c>
    </row>
    <row r="1937" spans="14:59" x14ac:dyDescent="0.35">
      <c r="N1937">
        <f t="shared" si="242"/>
        <v>48</v>
      </c>
      <c r="O1937" s="330">
        <v>4</v>
      </c>
      <c r="P1937" s="36">
        <v>410851</v>
      </c>
      <c r="Q1937" s="36">
        <v>12</v>
      </c>
      <c r="R1937" s="36"/>
      <c r="S1937" s="36" t="s">
        <v>1207</v>
      </c>
      <c r="T1937" s="36" t="s">
        <v>2302</v>
      </c>
      <c r="U1937" s="36">
        <v>1270865</v>
      </c>
      <c r="V1937" s="165" t="s">
        <v>90</v>
      </c>
      <c r="W1937" s="36">
        <v>1</v>
      </c>
      <c r="X1937" s="36">
        <v>1</v>
      </c>
      <c r="Y1937" s="36">
        <v>1</v>
      </c>
      <c r="Z1937" s="36">
        <v>1</v>
      </c>
      <c r="AA1937" s="36">
        <v>3</v>
      </c>
      <c r="AB1937" s="36">
        <v>3</v>
      </c>
      <c r="AC1937" s="36">
        <v>6</v>
      </c>
      <c r="AD1937" s="36">
        <v>5</v>
      </c>
      <c r="AE1937" s="36"/>
      <c r="AF1937" s="36"/>
      <c r="AG1937" s="36"/>
      <c r="AH1937" s="36"/>
      <c r="AI1937" s="36">
        <v>7</v>
      </c>
      <c r="AJ1937" s="36">
        <v>4</v>
      </c>
      <c r="AK1937" s="36">
        <v>4</v>
      </c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  <c r="AV1937" s="36"/>
      <c r="AW1937" s="36"/>
      <c r="AX1937" s="36"/>
      <c r="AY1937" s="36"/>
      <c r="AZ1937" s="36"/>
      <c r="BA1937" s="36"/>
      <c r="BB1937" s="36"/>
      <c r="BC1937" s="27"/>
      <c r="BF1937">
        <f>ROWS($U$46:U1937)</f>
        <v>1892</v>
      </c>
      <c r="BG1937" t="str">
        <f t="shared" si="240"/>
        <v/>
      </c>
    </row>
    <row r="1938" spans="14:59" x14ac:dyDescent="0.35">
      <c r="N1938">
        <f t="shared" si="242"/>
        <v>30</v>
      </c>
      <c r="O1938" s="330">
        <v>5</v>
      </c>
      <c r="P1938" s="36">
        <v>871781</v>
      </c>
      <c r="Q1938" s="36">
        <v>6</v>
      </c>
      <c r="R1938" s="36"/>
      <c r="S1938" s="36" t="s">
        <v>1207</v>
      </c>
      <c r="T1938" s="36" t="s">
        <v>2302</v>
      </c>
      <c r="U1938" s="36">
        <v>1270865</v>
      </c>
      <c r="V1938" s="165" t="s">
        <v>91</v>
      </c>
      <c r="W1938" s="36">
        <v>2</v>
      </c>
      <c r="X1938" s="36">
        <v>2</v>
      </c>
      <c r="Y1938" s="36">
        <v>2</v>
      </c>
      <c r="Z1938" s="36">
        <v>1</v>
      </c>
      <c r="AA1938" s="36">
        <v>1</v>
      </c>
      <c r="AB1938" s="36">
        <v>1</v>
      </c>
      <c r="AC1938" s="36">
        <v>1</v>
      </c>
      <c r="AD1938" s="36">
        <v>3</v>
      </c>
      <c r="AE1938" s="36">
        <v>3</v>
      </c>
      <c r="AF1938" s="36">
        <v>6</v>
      </c>
      <c r="AG1938" s="36">
        <v>5</v>
      </c>
      <c r="AH1938" s="36"/>
      <c r="AI1938" s="36">
        <v>7</v>
      </c>
      <c r="AJ1938" s="36">
        <v>7</v>
      </c>
      <c r="AK1938" s="36">
        <v>7</v>
      </c>
      <c r="AL1938" s="36">
        <v>4</v>
      </c>
      <c r="AM1938" s="36">
        <v>4</v>
      </c>
      <c r="AN1938" s="36"/>
      <c r="AO1938" s="36"/>
      <c r="AP1938" s="36"/>
      <c r="AQ1938" s="36"/>
      <c r="AR1938" s="36"/>
      <c r="AS1938" s="36"/>
      <c r="AT1938" s="36"/>
      <c r="AU1938" s="36"/>
      <c r="AV1938" s="36"/>
      <c r="AW1938" s="36"/>
      <c r="AX1938" s="36"/>
      <c r="AY1938" s="36"/>
      <c r="AZ1938" s="36"/>
      <c r="BA1938" s="36"/>
      <c r="BB1938" s="36"/>
      <c r="BC1938" s="27"/>
      <c r="BF1938">
        <f>ROWS($U$46:U1938)</f>
        <v>1893</v>
      </c>
      <c r="BG1938" t="str">
        <f t="shared" si="240"/>
        <v/>
      </c>
    </row>
    <row r="1939" spans="14:59" x14ac:dyDescent="0.35">
      <c r="N1939">
        <f t="shared" si="242"/>
        <v>36</v>
      </c>
      <c r="O1939" s="330">
        <v>6</v>
      </c>
      <c r="P1939" s="36">
        <v>1244957</v>
      </c>
      <c r="Q1939" s="36">
        <v>6</v>
      </c>
      <c r="R1939" s="36"/>
      <c r="S1939" s="36" t="s">
        <v>1207</v>
      </c>
      <c r="T1939" s="36" t="s">
        <v>2302</v>
      </c>
      <c r="U1939" s="36">
        <v>1270865</v>
      </c>
      <c r="V1939" s="165" t="s">
        <v>92</v>
      </c>
      <c r="W1939" s="36">
        <v>1</v>
      </c>
      <c r="X1939" s="36">
        <v>1</v>
      </c>
      <c r="Y1939" s="36">
        <v>1</v>
      </c>
      <c r="Z1939" s="36">
        <v>1</v>
      </c>
      <c r="AA1939" s="36">
        <v>3</v>
      </c>
      <c r="AB1939" s="36">
        <v>3</v>
      </c>
      <c r="AC1939" s="36">
        <v>6</v>
      </c>
      <c r="AD1939" s="36">
        <v>5</v>
      </c>
      <c r="AE1939" s="36"/>
      <c r="AF1939" s="36"/>
      <c r="AG1939" s="36"/>
      <c r="AH1939" s="36"/>
      <c r="AI1939" s="36">
        <v>7</v>
      </c>
      <c r="AJ1939" s="36">
        <v>4</v>
      </c>
      <c r="AK1939" s="36">
        <v>4</v>
      </c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  <c r="AV1939" s="36"/>
      <c r="AW1939" s="36"/>
      <c r="AX1939" s="36"/>
      <c r="AY1939" s="36"/>
      <c r="AZ1939" s="36"/>
      <c r="BA1939" s="36"/>
      <c r="BB1939" s="36"/>
      <c r="BC1939" s="27"/>
      <c r="BF1939">
        <f>ROWS($U$46:U1939)</f>
        <v>1894</v>
      </c>
      <c r="BG1939" t="str">
        <f t="shared" si="240"/>
        <v/>
      </c>
    </row>
    <row r="1940" spans="14:59" ht="15" thickBot="1" x14ac:dyDescent="0.4">
      <c r="N1940">
        <f t="shared" si="242"/>
        <v>84</v>
      </c>
      <c r="O1940" s="331">
        <v>7</v>
      </c>
      <c r="P1940" s="328">
        <v>653400</v>
      </c>
      <c r="Q1940" s="328">
        <v>12</v>
      </c>
      <c r="R1940" s="328"/>
      <c r="S1940" s="328" t="s">
        <v>1207</v>
      </c>
      <c r="T1940" s="328" t="s">
        <v>2302</v>
      </c>
      <c r="U1940" s="328">
        <v>1270865</v>
      </c>
      <c r="V1940" s="327"/>
      <c r="W1940" s="328"/>
      <c r="X1940" s="328"/>
      <c r="Y1940" s="328"/>
      <c r="Z1940" s="328"/>
      <c r="AA1940" s="328"/>
      <c r="AB1940" s="328"/>
      <c r="AC1940" s="328"/>
      <c r="AD1940" s="328"/>
      <c r="AE1940" s="328"/>
      <c r="AF1940" s="328"/>
      <c r="AG1940" s="328"/>
      <c r="AH1940" s="328"/>
      <c r="AI1940" s="328"/>
      <c r="AJ1940" s="328"/>
      <c r="AK1940" s="328"/>
      <c r="AL1940" s="328"/>
      <c r="AM1940" s="328"/>
      <c r="AN1940" s="328"/>
      <c r="AO1940" s="328"/>
      <c r="AP1940" s="328"/>
      <c r="AQ1940" s="328"/>
      <c r="AR1940" s="328"/>
      <c r="AS1940" s="328"/>
      <c r="AT1940" s="328"/>
      <c r="AU1940" s="328"/>
      <c r="AV1940" s="328"/>
      <c r="AW1940" s="328"/>
      <c r="AX1940" s="328"/>
      <c r="AY1940" s="328"/>
      <c r="AZ1940" s="328"/>
      <c r="BA1940" s="328"/>
      <c r="BB1940" s="328"/>
      <c r="BC1940" s="31"/>
      <c r="BF1940">
        <f>ROWS($U$46:U1940)</f>
        <v>1895</v>
      </c>
      <c r="BG1940" t="str">
        <f t="shared" si="240"/>
        <v/>
      </c>
    </row>
    <row r="1941" spans="14:59" x14ac:dyDescent="0.35">
      <c r="N1941">
        <f t="shared" si="242"/>
        <v>33</v>
      </c>
      <c r="O1941" s="329">
        <v>1</v>
      </c>
      <c r="P1941" s="320">
        <v>1100755</v>
      </c>
      <c r="Q1941" s="320">
        <v>33</v>
      </c>
      <c r="R1941" s="320"/>
      <c r="S1941" s="320" t="s">
        <v>1198</v>
      </c>
      <c r="T1941" s="320" t="s">
        <v>846</v>
      </c>
      <c r="U1941" s="67">
        <v>1246680</v>
      </c>
      <c r="V1941" s="319" t="s">
        <v>87</v>
      </c>
      <c r="W1941" s="320">
        <v>1</v>
      </c>
      <c r="X1941" s="320">
        <v>1</v>
      </c>
      <c r="Y1941" s="320">
        <v>1</v>
      </c>
      <c r="Z1941" s="320">
        <v>1</v>
      </c>
      <c r="AA1941" s="320">
        <v>1</v>
      </c>
      <c r="AB1941" s="320">
        <v>1</v>
      </c>
      <c r="AC1941" s="320">
        <v>1</v>
      </c>
      <c r="AD1941" s="320">
        <v>3</v>
      </c>
      <c r="AE1941" s="320"/>
      <c r="AF1941" s="320">
        <v>2</v>
      </c>
      <c r="AG1941" s="320">
        <v>2</v>
      </c>
      <c r="AH1941" s="320">
        <v>2</v>
      </c>
      <c r="AI1941" s="320">
        <v>2</v>
      </c>
      <c r="AJ1941" s="320"/>
      <c r="AK1941" s="320"/>
      <c r="AL1941" s="320"/>
      <c r="AM1941" s="320"/>
      <c r="AN1941" s="320"/>
      <c r="AO1941" s="320"/>
      <c r="AP1941" s="320"/>
      <c r="AQ1941" s="320"/>
      <c r="AR1941" s="320"/>
      <c r="AS1941" s="320"/>
      <c r="AT1941" s="320"/>
      <c r="AU1941" s="320"/>
      <c r="AV1941" s="320"/>
      <c r="AW1941" s="320"/>
      <c r="AX1941" s="320"/>
      <c r="AY1941" s="320"/>
      <c r="AZ1941" s="320"/>
      <c r="BA1941" s="320"/>
      <c r="BB1941" s="320"/>
      <c r="BC1941" s="119"/>
      <c r="BF1941">
        <f>ROWS($U$46:U1941)</f>
        <v>1896</v>
      </c>
      <c r="BG1941" t="str">
        <f t="shared" si="240"/>
        <v/>
      </c>
    </row>
    <row r="1942" spans="14:59" x14ac:dyDescent="0.35">
      <c r="N1942">
        <f t="shared" si="242"/>
        <v>46</v>
      </c>
      <c r="O1942" s="330">
        <v>2</v>
      </c>
      <c r="P1942" s="36">
        <v>647435</v>
      </c>
      <c r="Q1942" s="36">
        <v>23</v>
      </c>
      <c r="R1942" s="36"/>
      <c r="S1942" s="36" t="s">
        <v>1198</v>
      </c>
      <c r="T1942" s="36" t="s">
        <v>846</v>
      </c>
      <c r="U1942" s="36">
        <v>1246680</v>
      </c>
      <c r="V1942" s="165" t="s">
        <v>88</v>
      </c>
      <c r="W1942" s="36">
        <v>1</v>
      </c>
      <c r="X1942" s="36">
        <v>1</v>
      </c>
      <c r="Y1942" s="36">
        <v>1</v>
      </c>
      <c r="Z1942" s="36">
        <v>1</v>
      </c>
      <c r="AA1942" s="36">
        <v>3</v>
      </c>
      <c r="AB1942" s="36"/>
      <c r="AC1942" s="36"/>
      <c r="AD1942" s="36"/>
      <c r="AE1942" s="36"/>
      <c r="AF1942" s="36">
        <v>2</v>
      </c>
      <c r="AG1942" s="36">
        <v>2</v>
      </c>
      <c r="AH1942" s="36">
        <v>2</v>
      </c>
      <c r="AI1942" s="36">
        <v>2</v>
      </c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  <c r="AV1942" s="36"/>
      <c r="AW1942" s="36"/>
      <c r="AX1942" s="36"/>
      <c r="AY1942" s="36"/>
      <c r="AZ1942" s="36"/>
      <c r="BA1942" s="36"/>
      <c r="BB1942" s="36"/>
      <c r="BC1942" s="27"/>
      <c r="BF1942">
        <f>ROWS($U$46:U1942)</f>
        <v>1897</v>
      </c>
      <c r="BG1942" t="str">
        <f t="shared" si="240"/>
        <v/>
      </c>
    </row>
    <row r="1943" spans="14:59" x14ac:dyDescent="0.35">
      <c r="N1943">
        <f t="shared" si="242"/>
        <v>18</v>
      </c>
      <c r="O1943" s="330">
        <v>3</v>
      </c>
      <c r="P1943" s="36">
        <v>871781</v>
      </c>
      <c r="Q1943" s="36">
        <v>6</v>
      </c>
      <c r="R1943" s="36"/>
      <c r="S1943" s="36" t="s">
        <v>1198</v>
      </c>
      <c r="T1943" s="36" t="s">
        <v>846</v>
      </c>
      <c r="U1943" s="36">
        <v>1246680</v>
      </c>
      <c r="V1943" s="165" t="s">
        <v>89</v>
      </c>
      <c r="W1943" s="36">
        <v>1</v>
      </c>
      <c r="X1943" s="36">
        <v>1</v>
      </c>
      <c r="Y1943" s="36">
        <v>1</v>
      </c>
      <c r="Z1943" s="36">
        <v>1</v>
      </c>
      <c r="AA1943" s="36">
        <v>1</v>
      </c>
      <c r="AB1943" s="36">
        <v>1</v>
      </c>
      <c r="AC1943" s="36">
        <v>3</v>
      </c>
      <c r="AD1943" s="36"/>
      <c r="AE1943" s="36"/>
      <c r="AF1943" s="36">
        <v>2</v>
      </c>
      <c r="AG1943" s="36">
        <v>2</v>
      </c>
      <c r="AH1943" s="36">
        <v>2</v>
      </c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  <c r="AV1943" s="36"/>
      <c r="AW1943" s="36"/>
      <c r="AX1943" s="36"/>
      <c r="AY1943" s="36"/>
      <c r="AZ1943" s="36"/>
      <c r="BA1943" s="36"/>
      <c r="BB1943" s="36"/>
      <c r="BC1943" s="27"/>
      <c r="BF1943">
        <f>ROWS($U$46:U1943)</f>
        <v>1898</v>
      </c>
      <c r="BG1943" t="str">
        <f t="shared" si="240"/>
        <v/>
      </c>
    </row>
    <row r="1944" spans="14:59" x14ac:dyDescent="0.35">
      <c r="N1944">
        <f t="shared" si="242"/>
        <v>0</v>
      </c>
      <c r="O1944" s="330"/>
      <c r="P1944" s="36"/>
      <c r="Q1944" s="36"/>
      <c r="R1944" s="36"/>
      <c r="S1944" s="36" t="s">
        <v>1198</v>
      </c>
      <c r="T1944" s="36" t="s">
        <v>846</v>
      </c>
      <c r="U1944" s="36">
        <v>1246680</v>
      </c>
      <c r="V1944" s="165" t="s">
        <v>90</v>
      </c>
      <c r="W1944" s="36">
        <v>1</v>
      </c>
      <c r="X1944" s="36">
        <v>1</v>
      </c>
      <c r="Y1944" s="36">
        <v>1</v>
      </c>
      <c r="Z1944" s="36">
        <v>1</v>
      </c>
      <c r="AA1944" s="36">
        <v>1</v>
      </c>
      <c r="AB1944" s="36">
        <v>3</v>
      </c>
      <c r="AC1944" s="36"/>
      <c r="AD1944" s="36"/>
      <c r="AE1944" s="36"/>
      <c r="AF1944" s="36">
        <v>2</v>
      </c>
      <c r="AG1944" s="36">
        <v>2</v>
      </c>
      <c r="AH1944" s="36">
        <v>2</v>
      </c>
      <c r="AI1944" s="36">
        <v>2</v>
      </c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  <c r="AV1944" s="36"/>
      <c r="AW1944" s="36"/>
      <c r="AX1944" s="36"/>
      <c r="AY1944" s="36"/>
      <c r="AZ1944" s="36"/>
      <c r="BA1944" s="36"/>
      <c r="BB1944" s="36"/>
      <c r="BC1944" s="27"/>
      <c r="BF1944">
        <f>ROWS($U$46:U1944)</f>
        <v>1899</v>
      </c>
      <c r="BG1944" t="str">
        <f t="shared" si="240"/>
        <v/>
      </c>
    </row>
    <row r="1945" spans="14:59" x14ac:dyDescent="0.35">
      <c r="N1945">
        <f t="shared" si="242"/>
        <v>0</v>
      </c>
      <c r="O1945" s="330"/>
      <c r="P1945" s="36"/>
      <c r="Q1945" s="36"/>
      <c r="R1945" s="36"/>
      <c r="S1945" s="36" t="s">
        <v>1198</v>
      </c>
      <c r="T1945" s="36" t="s">
        <v>846</v>
      </c>
      <c r="U1945" s="36">
        <v>1246680</v>
      </c>
      <c r="V1945" s="165" t="s">
        <v>91</v>
      </c>
      <c r="W1945" s="36">
        <v>1</v>
      </c>
      <c r="X1945" s="36">
        <v>1</v>
      </c>
      <c r="Y1945" s="36">
        <v>1</v>
      </c>
      <c r="Z1945" s="36">
        <v>1</v>
      </c>
      <c r="AA1945" s="36">
        <v>1</v>
      </c>
      <c r="AB1945" s="36">
        <v>1</v>
      </c>
      <c r="AC1945" s="36">
        <v>1</v>
      </c>
      <c r="AD1945" s="36">
        <v>3</v>
      </c>
      <c r="AE1945" s="36"/>
      <c r="AF1945" s="36">
        <v>2</v>
      </c>
      <c r="AG1945" s="36">
        <v>2</v>
      </c>
      <c r="AH1945" s="36">
        <v>2</v>
      </c>
      <c r="AI1945" s="36">
        <v>2</v>
      </c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  <c r="AV1945" s="36"/>
      <c r="AW1945" s="36"/>
      <c r="AX1945" s="36"/>
      <c r="AY1945" s="36"/>
      <c r="AZ1945" s="36"/>
      <c r="BA1945" s="36"/>
      <c r="BB1945" s="36"/>
      <c r="BC1945" s="27"/>
      <c r="BF1945">
        <f>ROWS($U$46:U1945)</f>
        <v>1900</v>
      </c>
      <c r="BG1945" t="str">
        <f t="shared" si="240"/>
        <v/>
      </c>
    </row>
    <row r="1946" spans="14:59" ht="15" thickBot="1" x14ac:dyDescent="0.4">
      <c r="N1946">
        <f t="shared" si="242"/>
        <v>0</v>
      </c>
      <c r="O1946" s="331"/>
      <c r="P1946" s="328"/>
      <c r="Q1946" s="328"/>
      <c r="R1946" s="328"/>
      <c r="S1946" s="328" t="s">
        <v>1198</v>
      </c>
      <c r="T1946" s="328" t="s">
        <v>846</v>
      </c>
      <c r="U1946" s="328">
        <v>1246680</v>
      </c>
      <c r="V1946" s="327" t="s">
        <v>92</v>
      </c>
      <c r="W1946" s="328">
        <v>1</v>
      </c>
      <c r="X1946" s="328">
        <v>1</v>
      </c>
      <c r="Y1946" s="328">
        <v>1</v>
      </c>
      <c r="Z1946" s="328">
        <v>1</v>
      </c>
      <c r="AA1946" s="328">
        <v>3</v>
      </c>
      <c r="AB1946" s="328"/>
      <c r="AC1946" s="328"/>
      <c r="AD1946" s="328"/>
      <c r="AE1946" s="328"/>
      <c r="AF1946" s="328">
        <v>2</v>
      </c>
      <c r="AG1946" s="328">
        <v>2</v>
      </c>
      <c r="AH1946" s="328">
        <v>2</v>
      </c>
      <c r="AI1946" s="328">
        <v>2</v>
      </c>
      <c r="AJ1946" s="328"/>
      <c r="AK1946" s="328"/>
      <c r="AL1946" s="328"/>
      <c r="AM1946" s="328"/>
      <c r="AN1946" s="328"/>
      <c r="AO1946" s="328"/>
      <c r="AP1946" s="328"/>
      <c r="AQ1946" s="328"/>
      <c r="AR1946" s="328"/>
      <c r="AS1946" s="328"/>
      <c r="AT1946" s="328"/>
      <c r="AU1946" s="328"/>
      <c r="AV1946" s="328"/>
      <c r="AW1946" s="328"/>
      <c r="AX1946" s="328"/>
      <c r="AY1946" s="328"/>
      <c r="AZ1946" s="328"/>
      <c r="BA1946" s="328"/>
      <c r="BB1946" s="328"/>
      <c r="BC1946" s="31"/>
      <c r="BF1946">
        <f>ROWS($U$46:U1946)</f>
        <v>1901</v>
      </c>
      <c r="BG1946" t="str">
        <f t="shared" si="240"/>
        <v/>
      </c>
    </row>
    <row r="1947" spans="14:59" x14ac:dyDescent="0.35">
      <c r="N1947">
        <f>O1947*Q1947</f>
        <v>64</v>
      </c>
      <c r="O1947" s="329">
        <v>1</v>
      </c>
      <c r="P1947" s="320">
        <v>1165878</v>
      </c>
      <c r="Q1947" s="320">
        <v>64</v>
      </c>
      <c r="R1947" s="320"/>
      <c r="S1947" s="320" t="s">
        <v>2308</v>
      </c>
      <c r="T1947" s="320" t="s">
        <v>2309</v>
      </c>
      <c r="U1947" s="320">
        <v>1175992</v>
      </c>
      <c r="V1947" s="319" t="s">
        <v>87</v>
      </c>
      <c r="W1947" s="320">
        <v>1</v>
      </c>
      <c r="X1947" s="320">
        <v>1</v>
      </c>
      <c r="Y1947" s="320">
        <v>1</v>
      </c>
      <c r="Z1947" s="320">
        <v>1</v>
      </c>
      <c r="AA1947" s="320">
        <v>1</v>
      </c>
      <c r="AB1947" s="320">
        <v>1</v>
      </c>
      <c r="AC1947" s="320">
        <v>1</v>
      </c>
      <c r="AD1947" s="320">
        <v>1</v>
      </c>
      <c r="AE1947" s="320">
        <v>2</v>
      </c>
      <c r="AF1947" s="320"/>
      <c r="AG1947" s="320"/>
      <c r="AH1947" s="320"/>
      <c r="AI1947" s="320"/>
      <c r="AJ1947" s="320"/>
      <c r="AK1947" s="320"/>
      <c r="AL1947" s="320"/>
      <c r="AM1947" s="320"/>
      <c r="AN1947" s="320"/>
      <c r="AO1947" s="320"/>
      <c r="AP1947" s="320"/>
      <c r="AQ1947" s="320"/>
      <c r="AR1947" s="320"/>
      <c r="AS1947" s="320"/>
      <c r="AT1947" s="320"/>
      <c r="AU1947" s="320"/>
      <c r="AV1947" s="320"/>
      <c r="AW1947" s="320"/>
      <c r="AX1947" s="320"/>
      <c r="AY1947" s="320"/>
      <c r="AZ1947" s="320"/>
      <c r="BA1947" s="320"/>
      <c r="BB1947" s="320"/>
      <c r="BC1947" s="119"/>
      <c r="BF1947">
        <f>ROWS($U$46:U1947)</f>
        <v>1902</v>
      </c>
      <c r="BG1947" t="str">
        <f t="shared" si="240"/>
        <v/>
      </c>
    </row>
    <row r="1948" spans="14:59" x14ac:dyDescent="0.35">
      <c r="N1948">
        <f t="shared" ref="N1948:N2016" si="243">O1948*Q1948</f>
        <v>16</v>
      </c>
      <c r="O1948" s="330">
        <v>2</v>
      </c>
      <c r="P1948" s="36">
        <v>418525</v>
      </c>
      <c r="Q1948" s="36">
        <v>8</v>
      </c>
      <c r="R1948" s="36"/>
      <c r="S1948" s="36" t="s">
        <v>2308</v>
      </c>
      <c r="T1948" s="36" t="s">
        <v>2309</v>
      </c>
      <c r="U1948" s="36">
        <v>1175992</v>
      </c>
      <c r="V1948" s="165" t="s">
        <v>88</v>
      </c>
      <c r="W1948" s="36">
        <v>3</v>
      </c>
      <c r="X1948" s="36">
        <v>1</v>
      </c>
      <c r="Y1948" s="36">
        <v>1</v>
      </c>
      <c r="Z1948" s="36">
        <v>1</v>
      </c>
      <c r="AA1948" s="36">
        <v>1</v>
      </c>
      <c r="AB1948" s="36">
        <v>1</v>
      </c>
      <c r="AC1948" s="36">
        <v>1</v>
      </c>
      <c r="AD1948" s="36">
        <v>1</v>
      </c>
      <c r="AE1948" s="36">
        <v>1</v>
      </c>
      <c r="AF1948" s="36">
        <v>2</v>
      </c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  <c r="AV1948" s="36"/>
      <c r="AW1948" s="36"/>
      <c r="AX1948" s="36"/>
      <c r="AY1948" s="36"/>
      <c r="AZ1948" s="36"/>
      <c r="BA1948" s="36"/>
      <c r="BB1948" s="36"/>
      <c r="BC1948" s="27"/>
      <c r="BF1948">
        <f>ROWS($U$46:U1948)</f>
        <v>1903</v>
      </c>
      <c r="BG1948" t="str">
        <f t="shared" si="240"/>
        <v/>
      </c>
    </row>
    <row r="1949" spans="14:59" x14ac:dyDescent="0.35">
      <c r="N1949">
        <f t="shared" si="243"/>
        <v>12</v>
      </c>
      <c r="O1949" s="330">
        <v>3</v>
      </c>
      <c r="P1949" s="36">
        <v>882800</v>
      </c>
      <c r="Q1949" s="36">
        <v>4</v>
      </c>
      <c r="R1949" s="36"/>
      <c r="S1949" s="36" t="s">
        <v>2308</v>
      </c>
      <c r="T1949" s="36" t="s">
        <v>2309</v>
      </c>
      <c r="U1949" s="36">
        <v>1175992</v>
      </c>
      <c r="V1949" s="165" t="s">
        <v>89</v>
      </c>
      <c r="W1949" s="36">
        <v>1</v>
      </c>
      <c r="X1949" s="36">
        <v>1</v>
      </c>
      <c r="Y1949" s="36">
        <v>1</v>
      </c>
      <c r="Z1949" s="36">
        <v>1</v>
      </c>
      <c r="AA1949" s="36">
        <v>1</v>
      </c>
      <c r="AB1949" s="36">
        <v>1</v>
      </c>
      <c r="AC1949" s="36">
        <v>1</v>
      </c>
      <c r="AD1949" s="36">
        <v>1</v>
      </c>
      <c r="AE1949" s="36">
        <v>2</v>
      </c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  <c r="AV1949" s="36"/>
      <c r="AW1949" s="36"/>
      <c r="AX1949" s="36"/>
      <c r="AY1949" s="36"/>
      <c r="AZ1949" s="36"/>
      <c r="BA1949" s="36"/>
      <c r="BB1949" s="36"/>
      <c r="BC1949" s="27"/>
      <c r="BF1949">
        <f>ROWS($U$46:U1949)</f>
        <v>1904</v>
      </c>
      <c r="BG1949" t="str">
        <f t="shared" si="240"/>
        <v/>
      </c>
    </row>
    <row r="1950" spans="14:59" x14ac:dyDescent="0.35">
      <c r="N1950">
        <f t="shared" si="243"/>
        <v>0</v>
      </c>
      <c r="O1950" s="330"/>
      <c r="P1950" s="36"/>
      <c r="Q1950" s="36"/>
      <c r="R1950" s="36"/>
      <c r="S1950" s="36" t="s">
        <v>2308</v>
      </c>
      <c r="T1950" s="36" t="s">
        <v>2309</v>
      </c>
      <c r="U1950" s="36">
        <v>1175992</v>
      </c>
      <c r="V1950" s="165" t="s">
        <v>90</v>
      </c>
      <c r="W1950" s="36">
        <v>3</v>
      </c>
      <c r="X1950" s="36">
        <v>1</v>
      </c>
      <c r="Y1950" s="36">
        <v>1</v>
      </c>
      <c r="Z1950" s="36">
        <v>1</v>
      </c>
      <c r="AA1950" s="36">
        <v>1</v>
      </c>
      <c r="AB1950" s="36">
        <v>1</v>
      </c>
      <c r="AC1950" s="36">
        <v>1</v>
      </c>
      <c r="AD1950" s="36">
        <v>1</v>
      </c>
      <c r="AE1950" s="36">
        <v>1</v>
      </c>
      <c r="AF1950" s="36">
        <v>2</v>
      </c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  <c r="AV1950" s="36"/>
      <c r="AW1950" s="36"/>
      <c r="AX1950" s="36"/>
      <c r="AY1950" s="36"/>
      <c r="AZ1950" s="36"/>
      <c r="BA1950" s="36"/>
      <c r="BB1950" s="36"/>
      <c r="BC1950" s="27"/>
      <c r="BF1950">
        <f>ROWS($U$46:U1950)</f>
        <v>1905</v>
      </c>
      <c r="BG1950" t="str">
        <f t="shared" si="240"/>
        <v/>
      </c>
    </row>
    <row r="1951" spans="14:59" x14ac:dyDescent="0.35">
      <c r="N1951">
        <f t="shared" si="243"/>
        <v>0</v>
      </c>
      <c r="O1951" s="330"/>
      <c r="P1951" s="36"/>
      <c r="Q1951" s="36"/>
      <c r="R1951" s="36"/>
      <c r="S1951" s="36" t="s">
        <v>2308</v>
      </c>
      <c r="T1951" s="36" t="s">
        <v>2309</v>
      </c>
      <c r="U1951" s="36">
        <v>1175992</v>
      </c>
      <c r="V1951" s="165" t="s">
        <v>91</v>
      </c>
      <c r="W1951" s="36">
        <v>1</v>
      </c>
      <c r="X1951" s="36">
        <v>1</v>
      </c>
      <c r="Y1951" s="36">
        <v>1</v>
      </c>
      <c r="Z1951" s="36">
        <v>1</v>
      </c>
      <c r="AA1951" s="36">
        <v>1</v>
      </c>
      <c r="AB1951" s="36">
        <v>1</v>
      </c>
      <c r="AC1951" s="36">
        <v>1</v>
      </c>
      <c r="AD1951" s="36">
        <v>1</v>
      </c>
      <c r="AE1951" s="36">
        <v>2</v>
      </c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  <c r="AV1951" s="36"/>
      <c r="AW1951" s="36"/>
      <c r="AX1951" s="36"/>
      <c r="AY1951" s="36"/>
      <c r="AZ1951" s="36"/>
      <c r="BA1951" s="36"/>
      <c r="BB1951" s="36"/>
      <c r="BC1951" s="27"/>
      <c r="BF1951">
        <f>ROWS($U$46:U1951)</f>
        <v>1906</v>
      </c>
      <c r="BG1951" t="str">
        <f t="shared" si="240"/>
        <v/>
      </c>
    </row>
    <row r="1952" spans="14:59" x14ac:dyDescent="0.35">
      <c r="N1952">
        <f t="shared" si="243"/>
        <v>0</v>
      </c>
      <c r="O1952" s="330"/>
      <c r="P1952" s="36"/>
      <c r="Q1952" s="36"/>
      <c r="R1952" s="36"/>
      <c r="S1952" s="36" t="s">
        <v>2308</v>
      </c>
      <c r="T1952" s="36" t="s">
        <v>2309</v>
      </c>
      <c r="U1952" s="36">
        <v>1175992</v>
      </c>
      <c r="V1952" s="165" t="s">
        <v>92</v>
      </c>
      <c r="W1952" s="36">
        <v>3</v>
      </c>
      <c r="X1952" s="36">
        <v>1</v>
      </c>
      <c r="Y1952" s="36">
        <v>1</v>
      </c>
      <c r="Z1952" s="36">
        <v>1</v>
      </c>
      <c r="AA1952" s="36">
        <v>1</v>
      </c>
      <c r="AB1952" s="36">
        <v>1</v>
      </c>
      <c r="AC1952" s="36">
        <v>1</v>
      </c>
      <c r="AD1952" s="36">
        <v>1</v>
      </c>
      <c r="AE1952" s="36">
        <v>1</v>
      </c>
      <c r="AF1952" s="36">
        <v>2</v>
      </c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  <c r="AV1952" s="36"/>
      <c r="AW1952" s="36"/>
      <c r="AX1952" s="36"/>
      <c r="AY1952" s="36"/>
      <c r="AZ1952" s="36"/>
      <c r="BA1952" s="36"/>
      <c r="BB1952" s="36"/>
      <c r="BC1952" s="27"/>
      <c r="BF1952">
        <f>ROWS($U$46:U1952)</f>
        <v>1907</v>
      </c>
      <c r="BG1952" t="str">
        <f t="shared" si="240"/>
        <v/>
      </c>
    </row>
    <row r="1953" spans="14:59" x14ac:dyDescent="0.35">
      <c r="N1953">
        <f t="shared" si="243"/>
        <v>0</v>
      </c>
      <c r="O1953" s="330"/>
      <c r="P1953" s="36"/>
      <c r="Q1953" s="36"/>
      <c r="R1953" s="36"/>
      <c r="S1953" s="36" t="s">
        <v>2308</v>
      </c>
      <c r="T1953" s="36" t="s">
        <v>2309</v>
      </c>
      <c r="U1953" s="36">
        <v>1175992</v>
      </c>
      <c r="V1953" s="165" t="s">
        <v>111</v>
      </c>
      <c r="W1953" s="36">
        <v>1</v>
      </c>
      <c r="X1953" s="36">
        <v>1</v>
      </c>
      <c r="Y1953" s="36">
        <v>1</v>
      </c>
      <c r="Z1953" s="36">
        <v>1</v>
      </c>
      <c r="AA1953" s="36">
        <v>1</v>
      </c>
      <c r="AB1953" s="36">
        <v>1</v>
      </c>
      <c r="AC1953" s="36">
        <v>1</v>
      </c>
      <c r="AD1953" s="36">
        <v>1</v>
      </c>
      <c r="AE1953" s="36">
        <v>2</v>
      </c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  <c r="AV1953" s="36"/>
      <c r="AW1953" s="36"/>
      <c r="AX1953" s="36"/>
      <c r="AY1953" s="36"/>
      <c r="AZ1953" s="36"/>
      <c r="BA1953" s="36"/>
      <c r="BB1953" s="36"/>
      <c r="BC1953" s="27"/>
      <c r="BF1953">
        <f>ROWS($U$46:U1953)</f>
        <v>1908</v>
      </c>
      <c r="BG1953" t="str">
        <f t="shared" si="240"/>
        <v/>
      </c>
    </row>
    <row r="1954" spans="14:59" ht="15" thickBot="1" x14ac:dyDescent="0.4">
      <c r="N1954">
        <f t="shared" si="243"/>
        <v>0</v>
      </c>
      <c r="O1954" s="331"/>
      <c r="P1954" s="328"/>
      <c r="Q1954" s="328"/>
      <c r="R1954" s="328"/>
      <c r="S1954" s="328" t="s">
        <v>2308</v>
      </c>
      <c r="T1954" s="328" t="s">
        <v>2309</v>
      </c>
      <c r="U1954" s="328">
        <v>1175992</v>
      </c>
      <c r="V1954" s="327" t="s">
        <v>112</v>
      </c>
      <c r="W1954" s="328">
        <v>3</v>
      </c>
      <c r="X1954" s="328">
        <v>1</v>
      </c>
      <c r="Y1954" s="328">
        <v>1</v>
      </c>
      <c r="Z1954" s="328">
        <v>1</v>
      </c>
      <c r="AA1954" s="328">
        <v>1</v>
      </c>
      <c r="AB1954" s="328">
        <v>1</v>
      </c>
      <c r="AC1954" s="328">
        <v>1</v>
      </c>
      <c r="AD1954" s="328">
        <v>1</v>
      </c>
      <c r="AE1954" s="328">
        <v>1</v>
      </c>
      <c r="AF1954" s="328">
        <v>2</v>
      </c>
      <c r="AG1954" s="328"/>
      <c r="AH1954" s="328"/>
      <c r="AI1954" s="328"/>
      <c r="AJ1954" s="328"/>
      <c r="AK1954" s="328"/>
      <c r="AL1954" s="328"/>
      <c r="AM1954" s="328"/>
      <c r="AN1954" s="328"/>
      <c r="AO1954" s="328"/>
      <c r="AP1954" s="328"/>
      <c r="AQ1954" s="328"/>
      <c r="AR1954" s="328"/>
      <c r="AS1954" s="328"/>
      <c r="AT1954" s="328"/>
      <c r="AU1954" s="328"/>
      <c r="AV1954" s="328"/>
      <c r="AW1954" s="328"/>
      <c r="AX1954" s="328"/>
      <c r="AY1954" s="328"/>
      <c r="AZ1954" s="328"/>
      <c r="BA1954" s="328"/>
      <c r="BB1954" s="328"/>
      <c r="BC1954" s="31"/>
      <c r="BF1954">
        <f>ROWS($U$46:U1954)</f>
        <v>1909</v>
      </c>
      <c r="BG1954" t="str">
        <f t="shared" si="240"/>
        <v/>
      </c>
    </row>
    <row r="1955" spans="14:59" x14ac:dyDescent="0.35">
      <c r="N1955">
        <f t="shared" si="243"/>
        <v>42</v>
      </c>
      <c r="O1955" s="329">
        <v>1</v>
      </c>
      <c r="P1955" s="320">
        <v>1296685</v>
      </c>
      <c r="Q1955" s="320">
        <v>42</v>
      </c>
      <c r="R1955" s="320"/>
      <c r="S1955" s="320" t="s">
        <v>2312</v>
      </c>
      <c r="T1955" s="320" t="s">
        <v>2263</v>
      </c>
      <c r="U1955" s="320">
        <v>1292364</v>
      </c>
      <c r="V1955" s="319" t="s">
        <v>87</v>
      </c>
      <c r="W1955" s="320">
        <v>3</v>
      </c>
      <c r="X1955" s="320">
        <v>3</v>
      </c>
      <c r="Y1955" s="320">
        <v>3</v>
      </c>
      <c r="Z1955" s="320">
        <v>3</v>
      </c>
      <c r="AA1955" s="320">
        <v>3</v>
      </c>
      <c r="AB1955" s="320">
        <v>3</v>
      </c>
      <c r="AC1955" s="320">
        <v>1</v>
      </c>
      <c r="AD1955" s="320">
        <v>1</v>
      </c>
      <c r="AE1955" s="320">
        <v>1</v>
      </c>
      <c r="AF1955" s="320">
        <v>1</v>
      </c>
      <c r="AG1955" s="320">
        <v>1</v>
      </c>
      <c r="AH1955" s="320">
        <v>1</v>
      </c>
      <c r="AI1955" s="320">
        <v>3</v>
      </c>
      <c r="AJ1955" s="320">
        <v>5</v>
      </c>
      <c r="AK1955" s="320">
        <v>5</v>
      </c>
      <c r="AL1955" s="320"/>
      <c r="AM1955" s="320">
        <v>6</v>
      </c>
      <c r="AN1955" s="320">
        <v>6</v>
      </c>
      <c r="AO1955" s="320">
        <v>6</v>
      </c>
      <c r="AP1955" s="320">
        <v>2</v>
      </c>
      <c r="AQ1955" s="320">
        <v>2</v>
      </c>
      <c r="AR1955" s="320">
        <v>2</v>
      </c>
      <c r="AS1955" s="320">
        <v>2</v>
      </c>
      <c r="AT1955" s="320">
        <v>2</v>
      </c>
      <c r="AU1955" s="320">
        <v>4</v>
      </c>
      <c r="AV1955" s="320">
        <v>4</v>
      </c>
      <c r="AW1955" s="320">
        <v>4</v>
      </c>
      <c r="AX1955" s="320">
        <v>7</v>
      </c>
      <c r="AY1955" s="320"/>
      <c r="AZ1955" s="320"/>
      <c r="BA1955" s="320"/>
      <c r="BB1955" s="320"/>
      <c r="BC1955" s="119"/>
      <c r="BF1955">
        <f>ROWS($U$46:U1955)</f>
        <v>1910</v>
      </c>
      <c r="BG1955" t="str">
        <f t="shared" si="240"/>
        <v/>
      </c>
    </row>
    <row r="1956" spans="14:59" x14ac:dyDescent="0.35">
      <c r="N1956">
        <f t="shared" si="243"/>
        <v>60</v>
      </c>
      <c r="O1956" s="330">
        <v>2</v>
      </c>
      <c r="P1956" s="36">
        <v>1226822</v>
      </c>
      <c r="Q1956" s="36">
        <v>30</v>
      </c>
      <c r="R1956" s="36"/>
      <c r="S1956" s="36" t="s">
        <v>2312</v>
      </c>
      <c r="T1956" s="36" t="s">
        <v>2263</v>
      </c>
      <c r="U1956" s="36">
        <v>1292364</v>
      </c>
      <c r="V1956" s="165" t="s">
        <v>88</v>
      </c>
      <c r="W1956" s="36">
        <v>1</v>
      </c>
      <c r="X1956" s="36">
        <v>1</v>
      </c>
      <c r="Y1956" s="36">
        <v>1</v>
      </c>
      <c r="Z1956" s="36">
        <v>1</v>
      </c>
      <c r="AA1956" s="36">
        <v>1</v>
      </c>
      <c r="AB1956" s="36">
        <v>1</v>
      </c>
      <c r="AC1956" s="36">
        <v>3</v>
      </c>
      <c r="AD1956" s="36">
        <v>3</v>
      </c>
      <c r="AE1956" s="36">
        <v>5</v>
      </c>
      <c r="AF1956" s="36">
        <v>5</v>
      </c>
      <c r="AG1956" s="36"/>
      <c r="AH1956" s="36"/>
      <c r="AI1956" s="36"/>
      <c r="AJ1956" s="36"/>
      <c r="AK1956" s="36"/>
      <c r="AL1956" s="36"/>
      <c r="AM1956" s="36">
        <v>2</v>
      </c>
      <c r="AN1956" s="36">
        <v>2</v>
      </c>
      <c r="AO1956" s="36">
        <v>2</v>
      </c>
      <c r="AP1956" s="36">
        <v>2</v>
      </c>
      <c r="AQ1956" s="36">
        <v>4</v>
      </c>
      <c r="AR1956" s="36">
        <v>4</v>
      </c>
      <c r="AS1956" s="36">
        <v>4</v>
      </c>
      <c r="AT1956" s="36">
        <v>8</v>
      </c>
      <c r="AU1956" s="36">
        <v>7</v>
      </c>
      <c r="AV1956" s="36"/>
      <c r="AW1956" s="36"/>
      <c r="AX1956" s="36"/>
      <c r="AY1956" s="36"/>
      <c r="AZ1956" s="36"/>
      <c r="BA1956" s="36"/>
      <c r="BB1956" s="36"/>
      <c r="BC1956" s="27"/>
      <c r="BF1956">
        <f>ROWS($U$46:U1956)</f>
        <v>1911</v>
      </c>
      <c r="BG1956" t="str">
        <f t="shared" si="240"/>
        <v/>
      </c>
    </row>
    <row r="1957" spans="14:59" x14ac:dyDescent="0.35">
      <c r="N1957">
        <f t="shared" si="243"/>
        <v>84</v>
      </c>
      <c r="O1957" s="330">
        <v>3</v>
      </c>
      <c r="P1957" s="36">
        <v>1257654</v>
      </c>
      <c r="Q1957" s="36">
        <v>28</v>
      </c>
      <c r="R1957" s="36"/>
      <c r="S1957" s="36" t="s">
        <v>2312</v>
      </c>
      <c r="T1957" s="36" t="s">
        <v>2263</v>
      </c>
      <c r="U1957" s="36">
        <v>1292364</v>
      </c>
      <c r="V1957" s="165" t="s">
        <v>89</v>
      </c>
      <c r="W1957" s="36">
        <v>3</v>
      </c>
      <c r="X1957" s="36">
        <v>3</v>
      </c>
      <c r="Y1957" s="36">
        <v>3</v>
      </c>
      <c r="Z1957" s="36">
        <v>3</v>
      </c>
      <c r="AA1957" s="36">
        <v>3</v>
      </c>
      <c r="AB1957" s="36">
        <v>1</v>
      </c>
      <c r="AC1957" s="36">
        <v>1</v>
      </c>
      <c r="AD1957" s="36">
        <v>1</v>
      </c>
      <c r="AE1957" s="36">
        <v>1</v>
      </c>
      <c r="AF1957" s="36">
        <v>1</v>
      </c>
      <c r="AG1957" s="36">
        <v>1</v>
      </c>
      <c r="AH1957" s="36">
        <v>3</v>
      </c>
      <c r="AI1957" s="36">
        <v>3</v>
      </c>
      <c r="AJ1957" s="36">
        <v>5</v>
      </c>
      <c r="AK1957" s="36"/>
      <c r="AL1957" s="36"/>
      <c r="AM1957" s="36">
        <v>6</v>
      </c>
      <c r="AN1957" s="36">
        <v>6</v>
      </c>
      <c r="AO1957" s="36">
        <v>6</v>
      </c>
      <c r="AP1957" s="36">
        <v>2</v>
      </c>
      <c r="AQ1957" s="36">
        <v>2</v>
      </c>
      <c r="AR1957" s="36">
        <v>2</v>
      </c>
      <c r="AS1957" s="36">
        <v>2</v>
      </c>
      <c r="AT1957" s="36">
        <v>4</v>
      </c>
      <c r="AU1957" s="36">
        <v>4</v>
      </c>
      <c r="AV1957" s="36">
        <v>7</v>
      </c>
      <c r="AW1957" s="36">
        <v>7</v>
      </c>
      <c r="AX1957" s="36"/>
      <c r="AY1957" s="36"/>
      <c r="AZ1957" s="36"/>
      <c r="BA1957" s="36"/>
      <c r="BB1957" s="36"/>
      <c r="BC1957" s="27"/>
      <c r="BF1957">
        <f>ROWS($U$46:U1957)</f>
        <v>1912</v>
      </c>
      <c r="BG1957" t="str">
        <f t="shared" si="240"/>
        <v/>
      </c>
    </row>
    <row r="1958" spans="14:59" x14ac:dyDescent="0.35">
      <c r="N1958">
        <f t="shared" si="243"/>
        <v>64</v>
      </c>
      <c r="O1958" s="330">
        <v>4</v>
      </c>
      <c r="P1958" s="36">
        <v>1187982</v>
      </c>
      <c r="Q1958" s="36">
        <v>16</v>
      </c>
      <c r="R1958" s="36"/>
      <c r="S1958" s="36" t="s">
        <v>2312</v>
      </c>
      <c r="T1958" s="36" t="s">
        <v>2263</v>
      </c>
      <c r="U1958" s="36">
        <v>1292364</v>
      </c>
      <c r="V1958" s="165" t="s">
        <v>90</v>
      </c>
      <c r="W1958" s="36">
        <v>1</v>
      </c>
      <c r="X1958" s="36">
        <v>1</v>
      </c>
      <c r="Y1958" s="36">
        <v>1</v>
      </c>
      <c r="Z1958" s="36">
        <v>1</v>
      </c>
      <c r="AA1958" s="36">
        <v>1</v>
      </c>
      <c r="AB1958" s="36">
        <v>1</v>
      </c>
      <c r="AC1958" s="36">
        <v>3</v>
      </c>
      <c r="AD1958" s="36">
        <v>5</v>
      </c>
      <c r="AE1958" s="36">
        <v>5</v>
      </c>
      <c r="AF1958" s="36"/>
      <c r="AG1958" s="36"/>
      <c r="AH1958" s="36"/>
      <c r="AI1958" s="36"/>
      <c r="AJ1958" s="36"/>
      <c r="AK1958" s="36"/>
      <c r="AL1958" s="36"/>
      <c r="AM1958" s="36">
        <v>2</v>
      </c>
      <c r="AN1958" s="36">
        <v>2</v>
      </c>
      <c r="AO1958" s="36">
        <v>2</v>
      </c>
      <c r="AP1958" s="36">
        <v>2</v>
      </c>
      <c r="AQ1958" s="36">
        <v>4</v>
      </c>
      <c r="AR1958" s="36">
        <v>4</v>
      </c>
      <c r="AS1958" s="36">
        <v>8</v>
      </c>
      <c r="AT1958" s="36">
        <v>7</v>
      </c>
      <c r="AU1958" s="36"/>
      <c r="AV1958" s="36"/>
      <c r="AW1958" s="36"/>
      <c r="AX1958" s="36"/>
      <c r="AY1958" s="36"/>
      <c r="AZ1958" s="36"/>
      <c r="BA1958" s="36"/>
      <c r="BB1958" s="36"/>
      <c r="BC1958" s="27"/>
      <c r="BF1958">
        <f>ROWS($U$46:U1958)</f>
        <v>1913</v>
      </c>
      <c r="BG1958" t="str">
        <f t="shared" si="240"/>
        <v/>
      </c>
    </row>
    <row r="1959" spans="14:59" x14ac:dyDescent="0.35">
      <c r="N1959">
        <f t="shared" si="243"/>
        <v>60</v>
      </c>
      <c r="O1959" s="330">
        <v>5</v>
      </c>
      <c r="P1959" s="36">
        <v>1257652</v>
      </c>
      <c r="Q1959" s="36">
        <v>12</v>
      </c>
      <c r="R1959" s="36"/>
      <c r="S1959" s="36" t="s">
        <v>2312</v>
      </c>
      <c r="T1959" s="36" t="s">
        <v>2263</v>
      </c>
      <c r="U1959" s="36">
        <v>1292364</v>
      </c>
      <c r="V1959" s="165" t="s">
        <v>91</v>
      </c>
      <c r="W1959" s="36">
        <v>3</v>
      </c>
      <c r="X1959" s="36">
        <v>3</v>
      </c>
      <c r="Y1959" s="36">
        <v>3</v>
      </c>
      <c r="Z1959" s="36">
        <v>3</v>
      </c>
      <c r="AA1959" s="36">
        <v>3</v>
      </c>
      <c r="AB1959" s="36">
        <v>1</v>
      </c>
      <c r="AC1959" s="36">
        <v>1</v>
      </c>
      <c r="AD1959" s="36">
        <v>1</v>
      </c>
      <c r="AE1959" s="36">
        <v>1</v>
      </c>
      <c r="AF1959" s="36">
        <v>1</v>
      </c>
      <c r="AG1959" s="36">
        <v>1</v>
      </c>
      <c r="AH1959" s="36">
        <v>3</v>
      </c>
      <c r="AI1959" s="36">
        <v>3</v>
      </c>
      <c r="AJ1959" s="36">
        <v>5</v>
      </c>
      <c r="AK1959" s="36">
        <v>5</v>
      </c>
      <c r="AL1959" s="36"/>
      <c r="AM1959" s="36">
        <v>6</v>
      </c>
      <c r="AN1959" s="36">
        <v>6</v>
      </c>
      <c r="AO1959" s="36">
        <v>6</v>
      </c>
      <c r="AP1959" s="36">
        <v>2</v>
      </c>
      <c r="AQ1959" s="36">
        <v>2</v>
      </c>
      <c r="AR1959" s="36">
        <v>2</v>
      </c>
      <c r="AS1959" s="36">
        <v>2</v>
      </c>
      <c r="AT1959" s="36">
        <v>2</v>
      </c>
      <c r="AU1959" s="36">
        <v>4</v>
      </c>
      <c r="AV1959" s="36">
        <v>4</v>
      </c>
      <c r="AW1959" s="36">
        <v>8</v>
      </c>
      <c r="AX1959" s="36">
        <v>7</v>
      </c>
      <c r="AY1959" s="36"/>
      <c r="AZ1959" s="36"/>
      <c r="BA1959" s="36"/>
      <c r="BB1959" s="36"/>
      <c r="BC1959" s="27"/>
      <c r="BF1959">
        <f>ROWS($U$46:U1959)</f>
        <v>1914</v>
      </c>
      <c r="BG1959" t="str">
        <f t="shared" si="240"/>
        <v/>
      </c>
    </row>
    <row r="1960" spans="14:59" x14ac:dyDescent="0.35">
      <c r="N1960">
        <f t="shared" si="243"/>
        <v>54</v>
      </c>
      <c r="O1960" s="330">
        <v>6</v>
      </c>
      <c r="P1960" s="36">
        <v>1086351</v>
      </c>
      <c r="Q1960" s="36">
        <v>9</v>
      </c>
      <c r="R1960" s="36"/>
      <c r="S1960" s="36" t="s">
        <v>2312</v>
      </c>
      <c r="T1960" s="36" t="s">
        <v>2263</v>
      </c>
      <c r="U1960" s="36">
        <v>1292364</v>
      </c>
      <c r="V1960" s="165" t="s">
        <v>92</v>
      </c>
      <c r="W1960" s="36">
        <v>1</v>
      </c>
      <c r="X1960" s="36">
        <v>1</v>
      </c>
      <c r="Y1960" s="36">
        <v>1</v>
      </c>
      <c r="Z1960" s="36">
        <v>1</v>
      </c>
      <c r="AA1960" s="36">
        <v>1</v>
      </c>
      <c r="AB1960" s="36">
        <v>1</v>
      </c>
      <c r="AC1960" s="36">
        <v>3</v>
      </c>
      <c r="AD1960" s="36">
        <v>3</v>
      </c>
      <c r="AE1960" s="36">
        <v>5</v>
      </c>
      <c r="AF1960" s="36">
        <v>5</v>
      </c>
      <c r="AG1960" s="36"/>
      <c r="AH1960" s="36"/>
      <c r="AI1960" s="36"/>
      <c r="AJ1960" s="36"/>
      <c r="AK1960" s="36"/>
      <c r="AL1960" s="36"/>
      <c r="AM1960" s="36">
        <v>2</v>
      </c>
      <c r="AN1960" s="36">
        <v>2</v>
      </c>
      <c r="AO1960" s="36">
        <v>2</v>
      </c>
      <c r="AP1960" s="36">
        <v>2</v>
      </c>
      <c r="AQ1960" s="36">
        <v>4</v>
      </c>
      <c r="AR1960" s="36">
        <v>4</v>
      </c>
      <c r="AS1960" s="36">
        <v>4</v>
      </c>
      <c r="AT1960" s="36">
        <v>8</v>
      </c>
      <c r="AU1960" s="36">
        <v>7</v>
      </c>
      <c r="AV1960" s="36"/>
      <c r="AW1960" s="36"/>
      <c r="AX1960" s="36"/>
      <c r="AY1960" s="36"/>
      <c r="AZ1960" s="36"/>
      <c r="BA1960" s="36"/>
      <c r="BB1960" s="36"/>
      <c r="BC1960" s="27"/>
      <c r="BF1960">
        <f>ROWS($U$46:U1960)</f>
        <v>1915</v>
      </c>
      <c r="BG1960" t="str">
        <f t="shared" si="240"/>
        <v/>
      </c>
    </row>
    <row r="1961" spans="14:59" x14ac:dyDescent="0.35">
      <c r="N1961">
        <f t="shared" si="243"/>
        <v>63</v>
      </c>
      <c r="O1961" s="330">
        <v>7</v>
      </c>
      <c r="P1961" s="36">
        <v>1201518</v>
      </c>
      <c r="Q1961" s="36">
        <v>9</v>
      </c>
      <c r="R1961" s="36"/>
      <c r="S1961" s="36" t="s">
        <v>2312</v>
      </c>
      <c r="T1961" s="36" t="s">
        <v>2263</v>
      </c>
      <c r="U1961" s="36">
        <v>1292364</v>
      </c>
      <c r="V1961" s="165" t="s">
        <v>111</v>
      </c>
      <c r="W1961" s="36">
        <v>1</v>
      </c>
      <c r="X1961" s="36">
        <v>1</v>
      </c>
      <c r="Y1961" s="36">
        <v>1</v>
      </c>
      <c r="Z1961" s="36">
        <v>1</v>
      </c>
      <c r="AA1961" s="36">
        <v>1</v>
      </c>
      <c r="AB1961" s="36">
        <v>1</v>
      </c>
      <c r="AC1961" s="36">
        <v>3</v>
      </c>
      <c r="AD1961" s="36">
        <v>3</v>
      </c>
      <c r="AE1961" s="36">
        <v>5</v>
      </c>
      <c r="AF1961" s="36"/>
      <c r="AG1961" s="36"/>
      <c r="AH1961" s="36"/>
      <c r="AI1961" s="36"/>
      <c r="AJ1961" s="36"/>
      <c r="AK1961" s="36"/>
      <c r="AL1961" s="36"/>
      <c r="AM1961" s="36">
        <v>2</v>
      </c>
      <c r="AN1961" s="36">
        <v>2</v>
      </c>
      <c r="AO1961" s="36">
        <v>2</v>
      </c>
      <c r="AP1961" s="36">
        <v>2</v>
      </c>
      <c r="AQ1961" s="36">
        <v>4</v>
      </c>
      <c r="AR1961" s="36">
        <v>9</v>
      </c>
      <c r="AS1961" s="36">
        <v>7</v>
      </c>
      <c r="AT1961" s="36">
        <v>7</v>
      </c>
      <c r="AU1961" s="36"/>
      <c r="AV1961" s="36"/>
      <c r="AW1961" s="36"/>
      <c r="AX1961" s="36"/>
      <c r="AY1961" s="36"/>
      <c r="AZ1961" s="36"/>
      <c r="BA1961" s="36"/>
      <c r="BB1961" s="36"/>
      <c r="BC1961" s="27"/>
      <c r="BF1961">
        <f>ROWS($U$46:U1961)</f>
        <v>1916</v>
      </c>
      <c r="BG1961" t="str">
        <f t="shared" si="240"/>
        <v/>
      </c>
    </row>
    <row r="1962" spans="14:59" x14ac:dyDescent="0.35">
      <c r="N1962">
        <f t="shared" si="243"/>
        <v>32</v>
      </c>
      <c r="O1962" s="330">
        <v>8</v>
      </c>
      <c r="P1962" s="36">
        <v>1257651</v>
      </c>
      <c r="Q1962" s="36">
        <v>4</v>
      </c>
      <c r="R1962" s="36"/>
      <c r="S1962" s="36" t="s">
        <v>2312</v>
      </c>
      <c r="T1962" s="36" t="s">
        <v>2263</v>
      </c>
      <c r="U1962" s="36">
        <v>1292364</v>
      </c>
      <c r="V1962" s="165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  <c r="AV1962" s="36"/>
      <c r="AW1962" s="36"/>
      <c r="AX1962" s="36"/>
      <c r="AY1962" s="36"/>
      <c r="AZ1962" s="36"/>
      <c r="BA1962" s="36"/>
      <c r="BB1962" s="36"/>
      <c r="BC1962" s="27"/>
      <c r="BF1962">
        <f>ROWS($U$46:U1962)</f>
        <v>1917</v>
      </c>
      <c r="BG1962" t="str">
        <f t="shared" si="240"/>
        <v/>
      </c>
    </row>
    <row r="1963" spans="14:59" ht="15" thickBot="1" x14ac:dyDescent="0.4">
      <c r="N1963">
        <f t="shared" si="243"/>
        <v>9</v>
      </c>
      <c r="O1963" s="331">
        <v>9</v>
      </c>
      <c r="P1963" s="328">
        <v>1257653</v>
      </c>
      <c r="Q1963" s="328">
        <v>1</v>
      </c>
      <c r="R1963" s="328"/>
      <c r="S1963" s="328" t="s">
        <v>2312</v>
      </c>
      <c r="T1963" s="328" t="s">
        <v>2263</v>
      </c>
      <c r="U1963" s="328">
        <v>1292364</v>
      </c>
      <c r="V1963" s="327"/>
      <c r="W1963" s="328"/>
      <c r="X1963" s="328"/>
      <c r="Y1963" s="328"/>
      <c r="Z1963" s="328"/>
      <c r="AA1963" s="328"/>
      <c r="AB1963" s="328"/>
      <c r="AC1963" s="328"/>
      <c r="AD1963" s="328"/>
      <c r="AE1963" s="328"/>
      <c r="AF1963" s="328"/>
      <c r="AG1963" s="328"/>
      <c r="AH1963" s="328"/>
      <c r="AI1963" s="328"/>
      <c r="AJ1963" s="328"/>
      <c r="AK1963" s="328"/>
      <c r="AL1963" s="328"/>
      <c r="AM1963" s="328"/>
      <c r="AN1963" s="328"/>
      <c r="AO1963" s="328"/>
      <c r="AP1963" s="328"/>
      <c r="AQ1963" s="328"/>
      <c r="AR1963" s="328"/>
      <c r="AS1963" s="328"/>
      <c r="AT1963" s="328"/>
      <c r="AU1963" s="328"/>
      <c r="AV1963" s="328"/>
      <c r="AW1963" s="328"/>
      <c r="AX1963" s="328"/>
      <c r="AY1963" s="328"/>
      <c r="AZ1963" s="328"/>
      <c r="BA1963" s="328"/>
      <c r="BB1963" s="328"/>
      <c r="BC1963" s="31"/>
      <c r="BF1963">
        <f>ROWS($U$46:U1963)</f>
        <v>1918</v>
      </c>
      <c r="BG1963" t="str">
        <f t="shared" si="240"/>
        <v/>
      </c>
    </row>
    <row r="1964" spans="14:59" x14ac:dyDescent="0.35">
      <c r="N1964">
        <f t="shared" si="243"/>
        <v>7</v>
      </c>
      <c r="O1964" s="329">
        <v>1</v>
      </c>
      <c r="P1964" s="974">
        <v>886466</v>
      </c>
      <c r="Q1964" s="320">
        <v>7</v>
      </c>
      <c r="R1964" s="320"/>
      <c r="S1964" s="320" t="s">
        <v>2316</v>
      </c>
      <c r="T1964" s="320" t="s">
        <v>2102</v>
      </c>
      <c r="U1964" s="320">
        <v>1254762</v>
      </c>
      <c r="V1964" s="319" t="s">
        <v>87</v>
      </c>
      <c r="W1964" s="320">
        <v>3</v>
      </c>
      <c r="X1964" s="320">
        <v>3</v>
      </c>
      <c r="Y1964" s="320">
        <v>3</v>
      </c>
      <c r="Z1964" s="320">
        <v>2</v>
      </c>
      <c r="AA1964" s="320">
        <v>2</v>
      </c>
      <c r="AB1964" s="320">
        <v>5</v>
      </c>
      <c r="AC1964" s="320">
        <v>5</v>
      </c>
      <c r="AD1964" s="320">
        <v>4</v>
      </c>
      <c r="AE1964" s="320"/>
      <c r="AF1964" s="320">
        <v>6</v>
      </c>
      <c r="AG1964" s="320">
        <v>6</v>
      </c>
      <c r="AH1964" s="320">
        <v>6</v>
      </c>
      <c r="AI1964" s="320"/>
      <c r="AJ1964" s="320"/>
      <c r="AK1964" s="320"/>
      <c r="AL1964" s="320"/>
      <c r="AM1964" s="320"/>
      <c r="AN1964" s="320"/>
      <c r="AO1964" s="320"/>
      <c r="AP1964" s="320"/>
      <c r="AQ1964" s="320"/>
      <c r="AR1964" s="320"/>
      <c r="AS1964" s="320"/>
      <c r="AT1964" s="320"/>
      <c r="AU1964" s="320"/>
      <c r="AV1964" s="320"/>
      <c r="AW1964" s="320"/>
      <c r="AX1964" s="320"/>
      <c r="AY1964" s="320"/>
      <c r="AZ1964" s="320"/>
      <c r="BA1964" s="320"/>
      <c r="BB1964" s="320"/>
      <c r="BC1964" s="119"/>
      <c r="BF1964">
        <f>ROWS($U$46:U1964)</f>
        <v>1919</v>
      </c>
      <c r="BG1964" t="str">
        <f t="shared" si="240"/>
        <v/>
      </c>
    </row>
    <row r="1965" spans="14:59" x14ac:dyDescent="0.35">
      <c r="N1965">
        <f t="shared" si="243"/>
        <v>32</v>
      </c>
      <c r="O1965" s="330">
        <v>2</v>
      </c>
      <c r="P1965" s="961">
        <v>1290837</v>
      </c>
      <c r="Q1965" s="36">
        <v>16</v>
      </c>
      <c r="R1965" s="36"/>
      <c r="S1965" s="36" t="s">
        <v>2316</v>
      </c>
      <c r="T1965" s="36" t="s">
        <v>2102</v>
      </c>
      <c r="U1965" s="36">
        <v>1254762</v>
      </c>
      <c r="V1965" s="165" t="s">
        <v>88</v>
      </c>
      <c r="W1965" s="36">
        <v>2</v>
      </c>
      <c r="X1965" s="36">
        <v>2</v>
      </c>
      <c r="Y1965" s="36">
        <v>5</v>
      </c>
      <c r="Z1965" s="36">
        <v>5</v>
      </c>
      <c r="AA1965" s="36">
        <v>4</v>
      </c>
      <c r="AB1965" s="36"/>
      <c r="AC1965" s="36"/>
      <c r="AD1965" s="36"/>
      <c r="AE1965" s="36"/>
      <c r="AF1965" s="36">
        <v>6</v>
      </c>
      <c r="AG1965" s="36">
        <v>6</v>
      </c>
      <c r="AH1965" s="36">
        <v>6</v>
      </c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  <c r="AV1965" s="36"/>
      <c r="AW1965" s="36"/>
      <c r="AX1965" s="36"/>
      <c r="AY1965" s="36"/>
      <c r="AZ1965" s="36"/>
      <c r="BA1965" s="36"/>
      <c r="BB1965" s="36"/>
      <c r="BC1965" s="27"/>
      <c r="BF1965">
        <f>ROWS($U$46:U1965)</f>
        <v>1920</v>
      </c>
      <c r="BG1965" t="str">
        <f t="shared" si="240"/>
        <v/>
      </c>
    </row>
    <row r="1966" spans="14:59" x14ac:dyDescent="0.35">
      <c r="N1966">
        <f t="shared" si="243"/>
        <v>21</v>
      </c>
      <c r="O1966" s="330">
        <v>3</v>
      </c>
      <c r="P1966" s="961">
        <v>1146737</v>
      </c>
      <c r="Q1966" s="36">
        <v>7</v>
      </c>
      <c r="R1966" s="36"/>
      <c r="S1966" s="36" t="s">
        <v>2316</v>
      </c>
      <c r="T1966" s="36" t="s">
        <v>2102</v>
      </c>
      <c r="U1966" s="36">
        <v>1254762</v>
      </c>
      <c r="V1966" s="165" t="s">
        <v>89</v>
      </c>
      <c r="W1966" s="36">
        <v>3</v>
      </c>
      <c r="X1966" s="36">
        <v>3</v>
      </c>
      <c r="Y1966" s="36">
        <v>2</v>
      </c>
      <c r="Z1966" s="36">
        <v>2</v>
      </c>
      <c r="AA1966" s="36">
        <v>2</v>
      </c>
      <c r="AB1966" s="36">
        <v>5</v>
      </c>
      <c r="AC1966" s="36">
        <v>4</v>
      </c>
      <c r="AD1966" s="36"/>
      <c r="AE1966" s="36"/>
      <c r="AF1966" s="36">
        <v>6</v>
      </c>
      <c r="AG1966" s="36">
        <v>6</v>
      </c>
      <c r="AH1966" s="36">
        <v>6</v>
      </c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  <c r="AV1966" s="36"/>
      <c r="AW1966" s="36"/>
      <c r="AX1966" s="36"/>
      <c r="AY1966" s="36"/>
      <c r="AZ1966" s="36"/>
      <c r="BA1966" s="36"/>
      <c r="BB1966" s="36"/>
      <c r="BC1966" s="27"/>
      <c r="BF1966">
        <f>ROWS($U$46:U1966)</f>
        <v>1921</v>
      </c>
      <c r="BG1966" t="str">
        <f t="shared" si="240"/>
        <v/>
      </c>
    </row>
    <row r="1967" spans="14:59" x14ac:dyDescent="0.35">
      <c r="N1967">
        <f t="shared" si="243"/>
        <v>24</v>
      </c>
      <c r="O1967" s="330">
        <v>4</v>
      </c>
      <c r="P1967" s="961">
        <v>871781</v>
      </c>
      <c r="Q1967" s="36">
        <v>6</v>
      </c>
      <c r="R1967" s="36"/>
      <c r="S1967" s="36" t="s">
        <v>2316</v>
      </c>
      <c r="T1967" s="36" t="s">
        <v>2102</v>
      </c>
      <c r="U1967" s="36">
        <v>1254762</v>
      </c>
      <c r="V1967" s="165" t="s">
        <v>90</v>
      </c>
      <c r="W1967" s="36">
        <v>2</v>
      </c>
      <c r="X1967" s="36">
        <v>2</v>
      </c>
      <c r="Y1967" s="36">
        <v>2</v>
      </c>
      <c r="Z1967" s="36">
        <v>5</v>
      </c>
      <c r="AA1967" s="36">
        <v>4</v>
      </c>
      <c r="AB1967" s="36"/>
      <c r="AC1967" s="36"/>
      <c r="AD1967" s="36"/>
      <c r="AE1967" s="36"/>
      <c r="AF1967" s="36">
        <v>1</v>
      </c>
      <c r="AG1967" s="36">
        <v>1</v>
      </c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  <c r="AV1967" s="36"/>
      <c r="AW1967" s="36"/>
      <c r="AX1967" s="36"/>
      <c r="AY1967" s="36"/>
      <c r="AZ1967" s="36"/>
      <c r="BA1967" s="36"/>
      <c r="BB1967" s="36"/>
      <c r="BC1967" s="27"/>
      <c r="BF1967">
        <f>ROWS($U$46:U1967)</f>
        <v>1922</v>
      </c>
      <c r="BG1967" t="str">
        <f t="shared" ref="BG1967:BG2030" si="244">IF(VALUE(SUBSTITUTE($B$5,"M",""))=U1967,BF1967,"")</f>
        <v/>
      </c>
    </row>
    <row r="1968" spans="14:59" x14ac:dyDescent="0.35">
      <c r="N1968">
        <f t="shared" si="243"/>
        <v>50</v>
      </c>
      <c r="O1968" s="330">
        <v>5</v>
      </c>
      <c r="P1968" s="961">
        <v>1263929</v>
      </c>
      <c r="Q1968" s="36">
        <v>10</v>
      </c>
      <c r="R1968" s="36"/>
      <c r="S1968" s="36" t="s">
        <v>2316</v>
      </c>
      <c r="T1968" s="36" t="s">
        <v>2102</v>
      </c>
      <c r="U1968" s="36">
        <v>1254762</v>
      </c>
      <c r="V1968" s="165" t="s">
        <v>91</v>
      </c>
      <c r="W1968" s="36">
        <v>3</v>
      </c>
      <c r="X1968" s="36">
        <v>3</v>
      </c>
      <c r="Y1968" s="36">
        <v>2</v>
      </c>
      <c r="Z1968" s="36">
        <v>2</v>
      </c>
      <c r="AA1968" s="36">
        <v>2</v>
      </c>
      <c r="AB1968" s="36">
        <v>5</v>
      </c>
      <c r="AC1968" s="36">
        <v>5</v>
      </c>
      <c r="AD1968" s="36">
        <v>4</v>
      </c>
      <c r="AE1968" s="36"/>
      <c r="AF1968" s="36">
        <v>1</v>
      </c>
      <c r="AG1968" s="36">
        <v>1</v>
      </c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  <c r="AV1968" s="36"/>
      <c r="AW1968" s="36"/>
      <c r="AX1968" s="36"/>
      <c r="AY1968" s="36"/>
      <c r="AZ1968" s="36"/>
      <c r="BA1968" s="36"/>
      <c r="BB1968" s="36"/>
      <c r="BC1968" s="27"/>
      <c r="BF1968">
        <f>ROWS($U$46:U1968)</f>
        <v>1923</v>
      </c>
      <c r="BG1968" t="str">
        <f t="shared" si="244"/>
        <v/>
      </c>
    </row>
    <row r="1969" spans="14:59" ht="15" thickBot="1" x14ac:dyDescent="0.4">
      <c r="N1969">
        <f t="shared" si="243"/>
        <v>54</v>
      </c>
      <c r="O1969" s="485">
        <v>6</v>
      </c>
      <c r="P1969" s="153">
        <v>1039034</v>
      </c>
      <c r="Q1969" s="486">
        <v>9</v>
      </c>
      <c r="R1969" s="486"/>
      <c r="S1969" s="486" t="s">
        <v>2316</v>
      </c>
      <c r="T1969" s="486" t="s">
        <v>2102</v>
      </c>
      <c r="U1969" s="486">
        <v>1254762</v>
      </c>
      <c r="V1969" s="487" t="s">
        <v>92</v>
      </c>
      <c r="W1969" s="486">
        <v>2</v>
      </c>
      <c r="X1969" s="486">
        <v>2</v>
      </c>
      <c r="Y1969" s="486">
        <v>2</v>
      </c>
      <c r="Z1969" s="486">
        <v>5</v>
      </c>
      <c r="AA1969" s="486">
        <v>5</v>
      </c>
      <c r="AB1969" s="486">
        <v>4</v>
      </c>
      <c r="AC1969" s="486"/>
      <c r="AD1969" s="486"/>
      <c r="AE1969" s="486"/>
      <c r="AF1969" s="486">
        <v>1</v>
      </c>
      <c r="AG1969" s="486">
        <v>1</v>
      </c>
      <c r="AH1969" s="486">
        <v>1</v>
      </c>
      <c r="AI1969" s="486"/>
      <c r="AJ1969" s="486"/>
      <c r="AK1969" s="486"/>
      <c r="AL1969" s="486"/>
      <c r="AM1969" s="486"/>
      <c r="AN1969" s="486"/>
      <c r="AO1969" s="486"/>
      <c r="AP1969" s="486"/>
      <c r="AQ1969" s="486"/>
      <c r="AR1969" s="486"/>
      <c r="AS1969" s="486"/>
      <c r="AT1969" s="486"/>
      <c r="AU1969" s="486"/>
      <c r="AV1969" s="486"/>
      <c r="AW1969" s="486"/>
      <c r="AX1969" s="486"/>
      <c r="AY1969" s="486"/>
      <c r="AZ1969" s="486"/>
      <c r="BA1969" s="486"/>
      <c r="BB1969" s="486"/>
      <c r="BC1969" s="488"/>
      <c r="BF1969">
        <f>ROWS($U$46:U1969)</f>
        <v>1924</v>
      </c>
      <c r="BG1969" t="str">
        <f t="shared" si="244"/>
        <v/>
      </c>
    </row>
    <row r="1970" spans="14:59" x14ac:dyDescent="0.35">
      <c r="N1970">
        <f t="shared" si="243"/>
        <v>4</v>
      </c>
      <c r="O1970" s="329">
        <v>1</v>
      </c>
      <c r="P1970" s="320"/>
      <c r="Q1970" s="320">
        <v>4</v>
      </c>
      <c r="R1970" s="320"/>
      <c r="S1970" s="320"/>
      <c r="T1970" s="320" t="s">
        <v>2322</v>
      </c>
      <c r="U1970" s="320">
        <v>1246037</v>
      </c>
      <c r="V1970" s="319" t="s">
        <v>87</v>
      </c>
      <c r="W1970" s="320">
        <v>2</v>
      </c>
      <c r="X1970" s="320">
        <v>2</v>
      </c>
      <c r="Y1970" s="320">
        <v>2</v>
      </c>
      <c r="Z1970" s="320">
        <v>2</v>
      </c>
      <c r="AA1970" s="320">
        <v>2</v>
      </c>
      <c r="AB1970" s="320">
        <v>4</v>
      </c>
      <c r="AC1970" s="320"/>
      <c r="AD1970" s="320"/>
      <c r="AE1970" s="320">
        <v>3</v>
      </c>
      <c r="AF1970" s="320">
        <v>3</v>
      </c>
      <c r="AG1970" s="320"/>
      <c r="AH1970" s="320"/>
      <c r="AI1970" s="320"/>
      <c r="AJ1970" s="320"/>
      <c r="AK1970" s="320"/>
      <c r="AL1970" s="320"/>
      <c r="AM1970" s="320"/>
      <c r="AN1970" s="320"/>
      <c r="AO1970" s="320"/>
      <c r="AP1970" s="320"/>
      <c r="AQ1970" s="320"/>
      <c r="AR1970" s="320"/>
      <c r="AS1970" s="320"/>
      <c r="AT1970" s="320"/>
      <c r="AU1970" s="320"/>
      <c r="AV1970" s="320"/>
      <c r="AW1970" s="320"/>
      <c r="AX1970" s="320"/>
      <c r="AY1970" s="320"/>
      <c r="AZ1970" s="320"/>
      <c r="BA1970" s="320"/>
      <c r="BB1970" s="320"/>
      <c r="BC1970" s="119"/>
      <c r="BF1970">
        <f>ROWS($U$46:U1970)</f>
        <v>1925</v>
      </c>
      <c r="BG1970" t="str">
        <f t="shared" si="244"/>
        <v/>
      </c>
    </row>
    <row r="1971" spans="14:59" x14ac:dyDescent="0.35">
      <c r="N1971">
        <f t="shared" si="243"/>
        <v>66</v>
      </c>
      <c r="O1971" s="330">
        <v>2</v>
      </c>
      <c r="P1971" s="36"/>
      <c r="Q1971" s="36">
        <v>33</v>
      </c>
      <c r="R1971" s="36"/>
      <c r="S1971" s="36"/>
      <c r="T1971" s="36" t="s">
        <v>2322</v>
      </c>
      <c r="U1971" s="36">
        <v>1246037</v>
      </c>
      <c r="V1971" s="165" t="s">
        <v>88</v>
      </c>
      <c r="W1971" s="36">
        <v>1</v>
      </c>
      <c r="X1971" s="36">
        <v>2</v>
      </c>
      <c r="Y1971" s="36">
        <v>2</v>
      </c>
      <c r="Z1971" s="36">
        <v>2</v>
      </c>
      <c r="AA1971" s="36">
        <v>2</v>
      </c>
      <c r="AB1971" s="36">
        <v>2</v>
      </c>
      <c r="AC1971" s="36">
        <v>4</v>
      </c>
      <c r="AD1971" s="36"/>
      <c r="AE1971" s="36">
        <v>3</v>
      </c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  <c r="AV1971" s="36"/>
      <c r="AW1971" s="36"/>
      <c r="AX1971" s="36"/>
      <c r="AY1971" s="36"/>
      <c r="AZ1971" s="36"/>
      <c r="BA1971" s="36"/>
      <c r="BB1971" s="36"/>
      <c r="BC1971" s="27"/>
      <c r="BF1971">
        <f>ROWS($U$46:U1971)</f>
        <v>1926</v>
      </c>
      <c r="BG1971" t="str">
        <f t="shared" si="244"/>
        <v/>
      </c>
    </row>
    <row r="1972" spans="14:59" x14ac:dyDescent="0.35">
      <c r="N1972">
        <f t="shared" si="243"/>
        <v>36</v>
      </c>
      <c r="O1972" s="330">
        <v>3</v>
      </c>
      <c r="P1972" s="36"/>
      <c r="Q1972" s="36">
        <v>12</v>
      </c>
      <c r="R1972" s="36"/>
      <c r="S1972" s="36"/>
      <c r="T1972" s="36" t="s">
        <v>2322</v>
      </c>
      <c r="U1972" s="36">
        <v>1246037</v>
      </c>
      <c r="V1972" s="165" t="s">
        <v>89</v>
      </c>
      <c r="W1972" s="36">
        <v>2</v>
      </c>
      <c r="X1972" s="36">
        <v>2</v>
      </c>
      <c r="Y1972" s="36">
        <v>2</v>
      </c>
      <c r="Z1972" s="36">
        <v>2</v>
      </c>
      <c r="AA1972" s="36">
        <v>2</v>
      </c>
      <c r="AB1972" s="36">
        <v>4</v>
      </c>
      <c r="AC1972" s="36"/>
      <c r="AD1972" s="36"/>
      <c r="AE1972" s="36">
        <v>3</v>
      </c>
      <c r="AF1972" s="36">
        <v>3</v>
      </c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  <c r="AV1972" s="36"/>
      <c r="AW1972" s="36"/>
      <c r="AX1972" s="36"/>
      <c r="AY1972" s="36"/>
      <c r="AZ1972" s="36"/>
      <c r="BA1972" s="36"/>
      <c r="BB1972" s="36"/>
      <c r="BC1972" s="27"/>
      <c r="BF1972">
        <f>ROWS($U$46:U1972)</f>
        <v>1927</v>
      </c>
      <c r="BG1972" t="str">
        <f t="shared" si="244"/>
        <v/>
      </c>
    </row>
    <row r="1973" spans="14:59" x14ac:dyDescent="0.35">
      <c r="N1973">
        <f t="shared" si="243"/>
        <v>28</v>
      </c>
      <c r="O1973" s="330">
        <v>4</v>
      </c>
      <c r="P1973" s="36"/>
      <c r="Q1973" s="36">
        <v>7</v>
      </c>
      <c r="R1973" s="36"/>
      <c r="S1973" s="36"/>
      <c r="T1973" s="36" t="s">
        <v>2322</v>
      </c>
      <c r="U1973" s="36">
        <v>1246037</v>
      </c>
      <c r="V1973" s="165" t="s">
        <v>90</v>
      </c>
      <c r="W1973" s="36">
        <v>1</v>
      </c>
      <c r="X1973" s="36">
        <v>2</v>
      </c>
      <c r="Y1973" s="36">
        <v>2</v>
      </c>
      <c r="Z1973" s="36">
        <v>2</v>
      </c>
      <c r="AA1973" s="36">
        <v>2</v>
      </c>
      <c r="AB1973" s="36">
        <v>4</v>
      </c>
      <c r="AC1973" s="36"/>
      <c r="AD1973" s="36"/>
      <c r="AE1973" s="36">
        <v>3</v>
      </c>
      <c r="AF1973" s="36">
        <v>3</v>
      </c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  <c r="AV1973" s="36"/>
      <c r="AW1973" s="36"/>
      <c r="AX1973" s="36"/>
      <c r="AY1973" s="36"/>
      <c r="AZ1973" s="36"/>
      <c r="BA1973" s="36"/>
      <c r="BB1973" s="36"/>
      <c r="BC1973" s="27"/>
      <c r="BF1973">
        <f>ROWS($U$46:U1973)</f>
        <v>1928</v>
      </c>
      <c r="BG1973" t="str">
        <f t="shared" si="244"/>
        <v/>
      </c>
    </row>
    <row r="1974" spans="14:59" x14ac:dyDescent="0.35">
      <c r="N1974">
        <f t="shared" si="243"/>
        <v>0</v>
      </c>
      <c r="O1974" s="3"/>
      <c r="P1974" s="36"/>
      <c r="Q1974" s="36"/>
      <c r="R1974" s="36"/>
      <c r="S1974" s="36"/>
      <c r="T1974" s="36" t="s">
        <v>2322</v>
      </c>
      <c r="U1974" s="36">
        <v>1246037</v>
      </c>
      <c r="V1974" s="165" t="s">
        <v>91</v>
      </c>
      <c r="W1974" s="36">
        <v>2</v>
      </c>
      <c r="X1974" s="36">
        <v>2</v>
      </c>
      <c r="Y1974" s="36">
        <v>2</v>
      </c>
      <c r="Z1974" s="36">
        <v>2</v>
      </c>
      <c r="AA1974" s="36">
        <v>2</v>
      </c>
      <c r="AB1974" s="36">
        <v>4</v>
      </c>
      <c r="AC1974" s="36"/>
      <c r="AD1974" s="36"/>
      <c r="AE1974" s="36">
        <v>3</v>
      </c>
      <c r="AF1974" s="36">
        <v>3</v>
      </c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  <c r="AV1974" s="36"/>
      <c r="AW1974" s="36"/>
      <c r="AX1974" s="36"/>
      <c r="AY1974" s="36"/>
      <c r="AZ1974" s="36"/>
      <c r="BA1974" s="36"/>
      <c r="BB1974" s="36"/>
      <c r="BC1974" s="27"/>
      <c r="BF1974">
        <f>ROWS($U$46:U1974)</f>
        <v>1929</v>
      </c>
      <c r="BG1974" t="str">
        <f t="shared" si="244"/>
        <v/>
      </c>
    </row>
    <row r="1975" spans="14:59" x14ac:dyDescent="0.35">
      <c r="N1975">
        <f t="shared" si="243"/>
        <v>0</v>
      </c>
      <c r="O1975" s="3"/>
      <c r="P1975" s="36"/>
      <c r="Q1975" s="36"/>
      <c r="R1975" s="36"/>
      <c r="S1975" s="36"/>
      <c r="T1975" s="36" t="s">
        <v>2322</v>
      </c>
      <c r="U1975" s="36">
        <v>1246037</v>
      </c>
      <c r="V1975" s="165" t="s">
        <v>92</v>
      </c>
      <c r="W1975" s="36">
        <v>1</v>
      </c>
      <c r="X1975" s="36">
        <v>2</v>
      </c>
      <c r="Y1975" s="36">
        <v>2</v>
      </c>
      <c r="Z1975" s="36">
        <v>2</v>
      </c>
      <c r="AA1975" s="36">
        <v>2</v>
      </c>
      <c r="AB1975" s="36">
        <v>2</v>
      </c>
      <c r="AC1975" s="36">
        <v>4</v>
      </c>
      <c r="AD1975" s="36"/>
      <c r="AE1975" s="36">
        <v>3</v>
      </c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  <c r="AV1975" s="36"/>
      <c r="AW1975" s="36"/>
      <c r="AX1975" s="36"/>
      <c r="AY1975" s="36"/>
      <c r="AZ1975" s="36"/>
      <c r="BA1975" s="36"/>
      <c r="BB1975" s="36"/>
      <c r="BC1975" s="27"/>
      <c r="BF1975">
        <f>ROWS($U$46:U1975)</f>
        <v>1930</v>
      </c>
      <c r="BG1975" t="str">
        <f t="shared" si="244"/>
        <v/>
      </c>
    </row>
    <row r="1976" spans="14:59" ht="15" thickBot="1" x14ac:dyDescent="0.4">
      <c r="N1976">
        <f t="shared" si="243"/>
        <v>0</v>
      </c>
      <c r="O1976" s="959"/>
      <c r="P1976" s="486"/>
      <c r="Q1976" s="486"/>
      <c r="R1976" s="486"/>
      <c r="S1976" s="486"/>
      <c r="T1976" s="486" t="s">
        <v>2322</v>
      </c>
      <c r="U1976" s="486">
        <v>1246037</v>
      </c>
      <c r="V1976" s="487" t="s">
        <v>111</v>
      </c>
      <c r="W1976" s="486">
        <v>1</v>
      </c>
      <c r="X1976" s="486">
        <v>2</v>
      </c>
      <c r="Y1976" s="486">
        <v>2</v>
      </c>
      <c r="Z1976" s="486">
        <v>2</v>
      </c>
      <c r="AA1976" s="486">
        <v>2</v>
      </c>
      <c r="AB1976" s="486">
        <v>4</v>
      </c>
      <c r="AC1976" s="486"/>
      <c r="AD1976" s="486"/>
      <c r="AE1976" s="486">
        <v>3</v>
      </c>
      <c r="AF1976" s="486">
        <v>3</v>
      </c>
      <c r="AG1976" s="486"/>
      <c r="AH1976" s="486"/>
      <c r="AI1976" s="486"/>
      <c r="AJ1976" s="486"/>
      <c r="AK1976" s="486"/>
      <c r="AL1976" s="486"/>
      <c r="AM1976" s="486"/>
      <c r="AN1976" s="486"/>
      <c r="AO1976" s="486"/>
      <c r="AP1976" s="486"/>
      <c r="AQ1976" s="486"/>
      <c r="AR1976" s="486"/>
      <c r="AS1976" s="486"/>
      <c r="AT1976" s="486"/>
      <c r="AU1976" s="486"/>
      <c r="AV1976" s="486"/>
      <c r="AW1976" s="486"/>
      <c r="AX1976" s="486"/>
      <c r="AY1976" s="486"/>
      <c r="AZ1976" s="486"/>
      <c r="BA1976" s="486"/>
      <c r="BB1976" s="486"/>
      <c r="BC1976" s="488"/>
      <c r="BF1976">
        <f>ROWS($U$46:U1976)</f>
        <v>1931</v>
      </c>
      <c r="BG1976" t="str">
        <f t="shared" si="244"/>
        <v/>
      </c>
    </row>
    <row r="1977" spans="14:59" x14ac:dyDescent="0.35">
      <c r="N1977">
        <f t="shared" si="243"/>
        <v>15</v>
      </c>
      <c r="O1977" s="118">
        <v>1</v>
      </c>
      <c r="P1977" s="320">
        <v>1146346</v>
      </c>
      <c r="Q1977" s="320">
        <v>15</v>
      </c>
      <c r="R1977" s="320"/>
      <c r="S1977" s="320" t="s">
        <v>2316</v>
      </c>
      <c r="T1977" s="320" t="s">
        <v>2338</v>
      </c>
      <c r="U1977" s="320">
        <v>2015535</v>
      </c>
      <c r="V1977" s="319" t="s">
        <v>87</v>
      </c>
      <c r="W1977" s="320">
        <v>4</v>
      </c>
      <c r="X1977" s="320">
        <v>4</v>
      </c>
      <c r="Y1977" s="320">
        <v>4</v>
      </c>
      <c r="Z1977" s="320">
        <v>3</v>
      </c>
      <c r="AA1977" s="320">
        <v>3</v>
      </c>
      <c r="AB1977" s="320">
        <v>6</v>
      </c>
      <c r="AC1977" s="320">
        <v>2</v>
      </c>
      <c r="AD1977" s="320">
        <v>5</v>
      </c>
      <c r="AE1977" s="320"/>
      <c r="AF1977" s="320">
        <v>1</v>
      </c>
      <c r="AG1977" s="320">
        <v>1</v>
      </c>
      <c r="AH1977" s="320">
        <v>1</v>
      </c>
      <c r="AI1977" s="320"/>
      <c r="AJ1977" s="320"/>
      <c r="AK1977" s="320"/>
      <c r="AL1977" s="320"/>
      <c r="AM1977" s="320"/>
      <c r="AN1977" s="320"/>
      <c r="AO1977" s="320"/>
      <c r="AP1977" s="320"/>
      <c r="AQ1977" s="320"/>
      <c r="AR1977" s="320"/>
      <c r="AS1977" s="320"/>
      <c r="AT1977" s="320"/>
      <c r="AU1977" s="320"/>
      <c r="AV1977" s="320"/>
      <c r="AW1977" s="320"/>
      <c r="AX1977" s="320"/>
      <c r="AY1977" s="320"/>
      <c r="AZ1977" s="320"/>
      <c r="BA1977" s="320"/>
      <c r="BB1977" s="320"/>
      <c r="BC1977" s="119"/>
      <c r="BF1977">
        <f>ROWS($U$46:U1977)</f>
        <v>1932</v>
      </c>
      <c r="BG1977" t="str">
        <f t="shared" si="244"/>
        <v/>
      </c>
    </row>
    <row r="1978" spans="14:59" x14ac:dyDescent="0.35">
      <c r="N1978">
        <f t="shared" si="243"/>
        <v>10</v>
      </c>
      <c r="O1978" s="3">
        <v>2</v>
      </c>
      <c r="P1978" s="36">
        <v>1146737</v>
      </c>
      <c r="Q1978" s="36">
        <v>5</v>
      </c>
      <c r="R1978" s="36"/>
      <c r="S1978" s="36" t="s">
        <v>2316</v>
      </c>
      <c r="T1978" s="36" t="s">
        <v>2338</v>
      </c>
      <c r="U1978" s="36">
        <v>2015535</v>
      </c>
      <c r="V1978" s="165" t="s">
        <v>88</v>
      </c>
      <c r="W1978" s="36">
        <v>3</v>
      </c>
      <c r="X1978" s="36">
        <v>3</v>
      </c>
      <c r="Y1978" s="36">
        <v>6</v>
      </c>
      <c r="Z1978" s="36">
        <v>2</v>
      </c>
      <c r="AA1978" s="36">
        <v>5</v>
      </c>
      <c r="AB1978" s="36"/>
      <c r="AC1978" s="36"/>
      <c r="AD1978" s="36"/>
      <c r="AE1978" s="36"/>
      <c r="AF1978" s="36">
        <v>1</v>
      </c>
      <c r="AG1978" s="36">
        <v>1</v>
      </c>
      <c r="AH1978" s="36">
        <v>1</v>
      </c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  <c r="AV1978" s="36"/>
      <c r="AW1978" s="36"/>
      <c r="AX1978" s="36"/>
      <c r="AY1978" s="36"/>
      <c r="AZ1978" s="36"/>
      <c r="BA1978" s="36"/>
      <c r="BB1978" s="36"/>
      <c r="BC1978" s="27"/>
      <c r="BF1978">
        <f>ROWS($U$46:U1978)</f>
        <v>1933</v>
      </c>
      <c r="BG1978" t="str">
        <f t="shared" si="244"/>
        <v/>
      </c>
    </row>
    <row r="1979" spans="14:59" x14ac:dyDescent="0.35">
      <c r="N1979">
        <f t="shared" si="243"/>
        <v>30</v>
      </c>
      <c r="O1979" s="3">
        <v>3</v>
      </c>
      <c r="P1979" s="36">
        <v>2001060</v>
      </c>
      <c r="Q1979" s="36">
        <v>10</v>
      </c>
      <c r="R1979" s="36"/>
      <c r="S1979" s="36" t="s">
        <v>2316</v>
      </c>
      <c r="T1979" s="36" t="s">
        <v>2338</v>
      </c>
      <c r="U1979" s="36">
        <v>2015535</v>
      </c>
      <c r="V1979" s="165" t="s">
        <v>89</v>
      </c>
      <c r="W1979" s="36">
        <v>4</v>
      </c>
      <c r="X1979" s="36">
        <v>4</v>
      </c>
      <c r="Y1979" s="36">
        <v>3</v>
      </c>
      <c r="Z1979" s="36">
        <v>3</v>
      </c>
      <c r="AA1979" s="36">
        <v>6</v>
      </c>
      <c r="AB1979" s="36">
        <v>2</v>
      </c>
      <c r="AC1979" s="36">
        <v>5</v>
      </c>
      <c r="AD1979" s="36"/>
      <c r="AE1979" s="36"/>
      <c r="AF1979" s="36">
        <v>1</v>
      </c>
      <c r="AG1979" s="36">
        <v>1</v>
      </c>
      <c r="AH1979" s="36">
        <v>1</v>
      </c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  <c r="AV1979" s="36"/>
      <c r="AW1979" s="36"/>
      <c r="AX1979" s="36"/>
      <c r="AY1979" s="36"/>
      <c r="AZ1979" s="36"/>
      <c r="BA1979" s="36"/>
      <c r="BB1979" s="36"/>
      <c r="BC1979" s="27"/>
      <c r="BF1979">
        <f>ROWS($U$46:U1979)</f>
        <v>1934</v>
      </c>
      <c r="BG1979" t="str">
        <f t="shared" si="244"/>
        <v/>
      </c>
    </row>
    <row r="1980" spans="14:59" x14ac:dyDescent="0.35">
      <c r="N1980">
        <f t="shared" si="243"/>
        <v>32</v>
      </c>
      <c r="O1980" s="3">
        <v>4</v>
      </c>
      <c r="P1980" s="36">
        <v>1208601</v>
      </c>
      <c r="Q1980" s="36">
        <v>8</v>
      </c>
      <c r="R1980" s="36"/>
      <c r="S1980" s="36" t="s">
        <v>2316</v>
      </c>
      <c r="T1980" s="36" t="s">
        <v>2338</v>
      </c>
      <c r="U1980" s="36">
        <v>2015535</v>
      </c>
      <c r="V1980" s="165" t="s">
        <v>90</v>
      </c>
      <c r="W1980" s="36">
        <v>4</v>
      </c>
      <c r="X1980" s="36">
        <v>4</v>
      </c>
      <c r="Y1980" s="36">
        <v>4</v>
      </c>
      <c r="Z1980" s="36">
        <v>3</v>
      </c>
      <c r="AA1980" s="36">
        <v>3</v>
      </c>
      <c r="AB1980" s="36">
        <v>6</v>
      </c>
      <c r="AC1980" s="36">
        <v>2</v>
      </c>
      <c r="AD1980" s="36">
        <v>5</v>
      </c>
      <c r="AE1980" s="36"/>
      <c r="AF1980" s="36">
        <v>1</v>
      </c>
      <c r="AG1980" s="36">
        <v>1</v>
      </c>
      <c r="AH1980" s="36">
        <v>1</v>
      </c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  <c r="AV1980" s="36"/>
      <c r="AW1980" s="36"/>
      <c r="AX1980" s="36"/>
      <c r="AY1980" s="36"/>
      <c r="AZ1980" s="36"/>
      <c r="BA1980" s="36"/>
      <c r="BB1980" s="36"/>
      <c r="BC1980" s="27"/>
      <c r="BF1980">
        <f>ROWS($U$46:U1980)</f>
        <v>1935</v>
      </c>
      <c r="BG1980" t="str">
        <f t="shared" si="244"/>
        <v/>
      </c>
    </row>
    <row r="1981" spans="14:59" x14ac:dyDescent="0.35">
      <c r="N1981">
        <f t="shared" si="243"/>
        <v>25</v>
      </c>
      <c r="O1981" s="3">
        <v>5</v>
      </c>
      <c r="P1981" s="36">
        <v>871781</v>
      </c>
      <c r="Q1981" s="36">
        <v>5</v>
      </c>
      <c r="R1981" s="36"/>
      <c r="S1981" s="36" t="s">
        <v>2316</v>
      </c>
      <c r="T1981" s="36" t="s">
        <v>2338</v>
      </c>
      <c r="U1981" s="36">
        <v>2015535</v>
      </c>
      <c r="V1981" s="165" t="s">
        <v>91</v>
      </c>
      <c r="W1981" s="36">
        <v>3</v>
      </c>
      <c r="X1981" s="36">
        <v>3</v>
      </c>
      <c r="Y1981" s="36">
        <v>6</v>
      </c>
      <c r="Z1981" s="36">
        <v>2</v>
      </c>
      <c r="AA1981" s="36">
        <v>5</v>
      </c>
      <c r="AB1981" s="36"/>
      <c r="AC1981" s="36"/>
      <c r="AD1981" s="36"/>
      <c r="AE1981" s="36"/>
      <c r="AF1981" s="36">
        <v>1</v>
      </c>
      <c r="AG1981" s="36">
        <v>1</v>
      </c>
      <c r="AH1981" s="36">
        <v>1</v>
      </c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  <c r="AV1981" s="36"/>
      <c r="AW1981" s="36"/>
      <c r="AX1981" s="36"/>
      <c r="AY1981" s="36"/>
      <c r="AZ1981" s="36"/>
      <c r="BA1981" s="36"/>
      <c r="BB1981" s="36"/>
      <c r="BC1981" s="27"/>
      <c r="BF1981">
        <f>ROWS($U$46:U1981)</f>
        <v>1936</v>
      </c>
      <c r="BG1981" t="str">
        <f t="shared" si="244"/>
        <v/>
      </c>
    </row>
    <row r="1982" spans="14:59" ht="15" thickBot="1" x14ac:dyDescent="0.4">
      <c r="N1982">
        <f t="shared" si="243"/>
        <v>30</v>
      </c>
      <c r="O1982" s="959">
        <v>6</v>
      </c>
      <c r="P1982" s="486">
        <v>1288783</v>
      </c>
      <c r="Q1982" s="486">
        <v>5</v>
      </c>
      <c r="R1982" s="486"/>
      <c r="S1982" s="486" t="s">
        <v>2316</v>
      </c>
      <c r="T1982" s="486" t="s">
        <v>2338</v>
      </c>
      <c r="U1982" s="486">
        <v>2015535</v>
      </c>
      <c r="V1982" s="165"/>
      <c r="W1982" s="486"/>
      <c r="X1982" s="486"/>
      <c r="Y1982" s="486"/>
      <c r="Z1982" s="486"/>
      <c r="AA1982" s="486"/>
      <c r="AB1982" s="486"/>
      <c r="AC1982" s="486"/>
      <c r="AD1982" s="486"/>
      <c r="AE1982" s="486"/>
      <c r="AF1982" s="486"/>
      <c r="AG1982" s="486"/>
      <c r="AH1982" s="486"/>
      <c r="AI1982" s="486"/>
      <c r="AJ1982" s="486"/>
      <c r="AK1982" s="486"/>
      <c r="AL1982" s="486"/>
      <c r="AM1982" s="486"/>
      <c r="AN1982" s="486"/>
      <c r="AO1982" s="486"/>
      <c r="AP1982" s="486"/>
      <c r="AQ1982" s="486"/>
      <c r="AR1982" s="486"/>
      <c r="AS1982" s="486"/>
      <c r="AT1982" s="486"/>
      <c r="AU1982" s="486"/>
      <c r="AV1982" s="486"/>
      <c r="AW1982" s="486"/>
      <c r="AX1982" s="486"/>
      <c r="AY1982" s="486"/>
      <c r="AZ1982" s="486"/>
      <c r="BA1982" s="486"/>
      <c r="BB1982" s="486"/>
      <c r="BC1982" s="488"/>
      <c r="BF1982">
        <f>ROWS($U$46:U1982)</f>
        <v>1937</v>
      </c>
      <c r="BG1982" t="str">
        <f t="shared" si="244"/>
        <v/>
      </c>
    </row>
    <row r="1983" spans="14:59" x14ac:dyDescent="0.35">
      <c r="N1983">
        <f t="shared" si="243"/>
        <v>12</v>
      </c>
      <c r="O1983" s="118">
        <v>1</v>
      </c>
      <c r="P1983" s="320">
        <v>1134752</v>
      </c>
      <c r="Q1983" s="320">
        <v>12</v>
      </c>
      <c r="R1983" s="320"/>
      <c r="S1983" s="320" t="s">
        <v>2316</v>
      </c>
      <c r="T1983" s="320" t="s">
        <v>2343</v>
      </c>
      <c r="U1983" s="320">
        <v>2016764</v>
      </c>
      <c r="V1983" s="319" t="s">
        <v>87</v>
      </c>
      <c r="W1983" s="320">
        <v>3</v>
      </c>
      <c r="X1983" s="320">
        <v>3</v>
      </c>
      <c r="Y1983" s="320">
        <v>3</v>
      </c>
      <c r="Z1983" s="320">
        <v>2</v>
      </c>
      <c r="AA1983" s="320">
        <v>2</v>
      </c>
      <c r="AB1983" s="320">
        <v>7</v>
      </c>
      <c r="AC1983" s="320">
        <v>6</v>
      </c>
      <c r="AD1983" s="320">
        <v>4</v>
      </c>
      <c r="AE1983" s="320"/>
      <c r="AF1983" s="320">
        <v>1</v>
      </c>
      <c r="AG1983" s="320">
        <v>1</v>
      </c>
      <c r="AH1983" s="320">
        <v>5</v>
      </c>
      <c r="AI1983" s="320"/>
      <c r="AJ1983" s="320"/>
      <c r="AK1983" s="320"/>
      <c r="AL1983" s="320"/>
      <c r="AM1983" s="320"/>
      <c r="AN1983" s="320"/>
      <c r="AO1983" s="320"/>
      <c r="AP1983" s="320"/>
      <c r="AQ1983" s="320"/>
      <c r="AR1983" s="320"/>
      <c r="AS1983" s="320"/>
      <c r="AT1983" s="320"/>
      <c r="AU1983" s="320"/>
      <c r="AV1983" s="320"/>
      <c r="AW1983" s="320"/>
      <c r="AX1983" s="320"/>
      <c r="AY1983" s="320"/>
      <c r="AZ1983" s="320"/>
      <c r="BA1983" s="320"/>
      <c r="BB1983" s="320"/>
      <c r="BC1983" s="119"/>
      <c r="BF1983">
        <f>ROWS($U$46:U1983)</f>
        <v>1938</v>
      </c>
      <c r="BG1983" t="str">
        <f t="shared" si="244"/>
        <v/>
      </c>
    </row>
    <row r="1984" spans="14:59" x14ac:dyDescent="0.35">
      <c r="N1984">
        <f t="shared" si="243"/>
        <v>24</v>
      </c>
      <c r="O1984" s="3">
        <v>2</v>
      </c>
      <c r="P1984" s="36">
        <v>200106</v>
      </c>
      <c r="Q1984" s="36">
        <v>12</v>
      </c>
      <c r="R1984" s="36"/>
      <c r="S1984" s="36" t="s">
        <v>2316</v>
      </c>
      <c r="T1984" s="36" t="s">
        <v>2343</v>
      </c>
      <c r="U1984" s="36">
        <v>2016764</v>
      </c>
      <c r="V1984" s="165" t="s">
        <v>88</v>
      </c>
      <c r="W1984" s="36">
        <v>2</v>
      </c>
      <c r="X1984" s="36">
        <v>2</v>
      </c>
      <c r="Y1984" s="36">
        <v>7</v>
      </c>
      <c r="Z1984" s="36">
        <v>6</v>
      </c>
      <c r="AA1984" s="36">
        <v>4</v>
      </c>
      <c r="AB1984" s="36"/>
      <c r="AC1984" s="36"/>
      <c r="AD1984" s="36"/>
      <c r="AE1984" s="36"/>
      <c r="AF1984" s="36">
        <v>1</v>
      </c>
      <c r="AG1984" s="36">
        <v>1</v>
      </c>
      <c r="AH1984" s="36">
        <v>5</v>
      </c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  <c r="AV1984" s="36"/>
      <c r="AW1984" s="36"/>
      <c r="AX1984" s="36"/>
      <c r="AY1984" s="36"/>
      <c r="AZ1984" s="36"/>
      <c r="BA1984" s="36"/>
      <c r="BB1984" s="36"/>
      <c r="BC1984" s="27"/>
      <c r="BF1984">
        <f>ROWS($U$46:U1984)</f>
        <v>1939</v>
      </c>
      <c r="BG1984" t="str">
        <f t="shared" si="244"/>
        <v/>
      </c>
    </row>
    <row r="1985" spans="14:59" x14ac:dyDescent="0.35">
      <c r="N1985">
        <f t="shared" si="243"/>
        <v>24</v>
      </c>
      <c r="O1985" s="3">
        <v>3</v>
      </c>
      <c r="P1985" s="36">
        <v>1208601</v>
      </c>
      <c r="Q1985" s="36">
        <v>8</v>
      </c>
      <c r="R1985" s="36"/>
      <c r="S1985" s="36" t="s">
        <v>2316</v>
      </c>
      <c r="T1985" s="36" t="s">
        <v>2343</v>
      </c>
      <c r="U1985" s="36">
        <v>2016764</v>
      </c>
      <c r="V1985" s="165" t="s">
        <v>89</v>
      </c>
      <c r="W1985" s="36">
        <v>3</v>
      </c>
      <c r="X1985" s="36">
        <v>3</v>
      </c>
      <c r="Y1985" s="36">
        <v>2</v>
      </c>
      <c r="Z1985" s="36">
        <v>2</v>
      </c>
      <c r="AA1985" s="36">
        <v>7</v>
      </c>
      <c r="AB1985" s="36">
        <v>6</v>
      </c>
      <c r="AC1985" s="36">
        <v>4</v>
      </c>
      <c r="AD1985" s="36"/>
      <c r="AE1985" s="36"/>
      <c r="AF1985" s="36">
        <v>1</v>
      </c>
      <c r="AG1985" s="36">
        <v>1</v>
      </c>
      <c r="AH1985" s="36">
        <v>5</v>
      </c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  <c r="AV1985" s="36"/>
      <c r="AW1985" s="36"/>
      <c r="AX1985" s="36"/>
      <c r="AY1985" s="36"/>
      <c r="AZ1985" s="36"/>
      <c r="BA1985" s="36"/>
      <c r="BB1985" s="36"/>
      <c r="BC1985" s="27"/>
      <c r="BF1985">
        <f>ROWS($U$46:U1985)</f>
        <v>1940</v>
      </c>
      <c r="BG1985" t="str">
        <f t="shared" si="244"/>
        <v/>
      </c>
    </row>
    <row r="1986" spans="14:59" x14ac:dyDescent="0.35">
      <c r="N1986">
        <f t="shared" si="243"/>
        <v>24</v>
      </c>
      <c r="O1986" s="3">
        <v>4</v>
      </c>
      <c r="P1986" s="36">
        <v>871781</v>
      </c>
      <c r="Q1986" s="36">
        <v>6</v>
      </c>
      <c r="R1986" s="36"/>
      <c r="S1986" s="36" t="s">
        <v>2316</v>
      </c>
      <c r="T1986" s="36" t="s">
        <v>2343</v>
      </c>
      <c r="U1986" s="36">
        <v>2016764</v>
      </c>
      <c r="V1986" s="165" t="s">
        <v>90</v>
      </c>
      <c r="W1986" s="36">
        <v>2</v>
      </c>
      <c r="X1986" s="36">
        <v>2</v>
      </c>
      <c r="Y1986" s="36">
        <v>7</v>
      </c>
      <c r="Z1986" s="36">
        <v>6</v>
      </c>
      <c r="AA1986" s="36">
        <v>4</v>
      </c>
      <c r="AB1986" s="36"/>
      <c r="AC1986" s="36"/>
      <c r="AD1986" s="36"/>
      <c r="AE1986" s="36"/>
      <c r="AF1986" s="36">
        <v>1</v>
      </c>
      <c r="AG1986" s="36">
        <v>1</v>
      </c>
      <c r="AH1986" s="36">
        <v>5</v>
      </c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  <c r="AV1986" s="36"/>
      <c r="AW1986" s="36"/>
      <c r="AX1986" s="36"/>
      <c r="AY1986" s="36"/>
      <c r="AZ1986" s="36"/>
      <c r="BA1986" s="36"/>
      <c r="BB1986" s="36"/>
      <c r="BC1986" s="27"/>
      <c r="BF1986">
        <f>ROWS($U$46:U1986)</f>
        <v>1941</v>
      </c>
      <c r="BG1986" t="str">
        <f t="shared" si="244"/>
        <v/>
      </c>
    </row>
    <row r="1987" spans="14:59" x14ac:dyDescent="0.35">
      <c r="N1987">
        <f t="shared" si="243"/>
        <v>30</v>
      </c>
      <c r="O1987" s="3">
        <v>5</v>
      </c>
      <c r="P1987" s="36">
        <v>1130197</v>
      </c>
      <c r="Q1987" s="36">
        <v>6</v>
      </c>
      <c r="R1987" s="36"/>
      <c r="S1987" s="36" t="s">
        <v>2316</v>
      </c>
      <c r="T1987" s="36" t="s">
        <v>2343</v>
      </c>
      <c r="U1987" s="36">
        <v>2016764</v>
      </c>
      <c r="V1987" s="165" t="s">
        <v>91</v>
      </c>
      <c r="W1987" s="36">
        <v>3</v>
      </c>
      <c r="X1987" s="36">
        <v>3</v>
      </c>
      <c r="Y1987" s="36">
        <v>2</v>
      </c>
      <c r="Z1987" s="36">
        <v>2</v>
      </c>
      <c r="AA1987" s="36">
        <v>7</v>
      </c>
      <c r="AB1987" s="36">
        <v>6</v>
      </c>
      <c r="AC1987" s="36">
        <v>4</v>
      </c>
      <c r="AD1987" s="36"/>
      <c r="AE1987" s="36"/>
      <c r="AF1987" s="36">
        <v>1</v>
      </c>
      <c r="AG1987" s="36">
        <v>1</v>
      </c>
      <c r="AH1987" s="36">
        <v>5</v>
      </c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  <c r="AV1987" s="36"/>
      <c r="AW1987" s="36"/>
      <c r="AX1987" s="36"/>
      <c r="AY1987" s="36"/>
      <c r="AZ1987" s="36"/>
      <c r="BA1987" s="36"/>
      <c r="BB1987" s="36"/>
      <c r="BC1987" s="27"/>
      <c r="BF1987">
        <f>ROWS($U$46:U1987)</f>
        <v>1942</v>
      </c>
      <c r="BG1987" t="str">
        <f t="shared" si="244"/>
        <v/>
      </c>
    </row>
    <row r="1988" spans="14:59" x14ac:dyDescent="0.35">
      <c r="N1988">
        <f t="shared" si="243"/>
        <v>36</v>
      </c>
      <c r="O1988" s="3">
        <v>6</v>
      </c>
      <c r="P1988" s="36">
        <v>1146737</v>
      </c>
      <c r="Q1988" s="36">
        <v>6</v>
      </c>
      <c r="R1988" s="36"/>
      <c r="S1988" s="36" t="s">
        <v>2316</v>
      </c>
      <c r="T1988" s="36" t="s">
        <v>2343</v>
      </c>
      <c r="U1988" s="36">
        <v>2016764</v>
      </c>
      <c r="V1988" s="165" t="s">
        <v>92</v>
      </c>
      <c r="W1988" s="36">
        <v>3</v>
      </c>
      <c r="X1988" s="36">
        <v>2</v>
      </c>
      <c r="Y1988" s="36">
        <v>2</v>
      </c>
      <c r="Z1988" s="36">
        <v>6</v>
      </c>
      <c r="AA1988" s="36">
        <v>4</v>
      </c>
      <c r="AB1988" s="36"/>
      <c r="AC1988" s="36"/>
      <c r="AD1988" s="36"/>
      <c r="AE1988" s="36"/>
      <c r="AF1988" s="36">
        <v>1</v>
      </c>
      <c r="AG1988" s="36">
        <v>1</v>
      </c>
      <c r="AH1988" s="36">
        <v>5</v>
      </c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  <c r="AV1988" s="36"/>
      <c r="AW1988" s="36"/>
      <c r="AX1988" s="36"/>
      <c r="AY1988" s="36"/>
      <c r="AZ1988" s="36"/>
      <c r="BA1988" s="36"/>
      <c r="BB1988" s="36"/>
      <c r="BC1988" s="27"/>
      <c r="BF1988">
        <f>ROWS($U$46:U1988)</f>
        <v>1943</v>
      </c>
      <c r="BG1988" t="str">
        <f t="shared" si="244"/>
        <v/>
      </c>
    </row>
    <row r="1989" spans="14:59" ht="15" thickBot="1" x14ac:dyDescent="0.4">
      <c r="N1989">
        <f t="shared" si="243"/>
        <v>35</v>
      </c>
      <c r="O1989" s="959">
        <v>7</v>
      </c>
      <c r="P1989" s="486">
        <v>1288783</v>
      </c>
      <c r="Q1989" s="486">
        <v>5</v>
      </c>
      <c r="R1989" s="486"/>
      <c r="S1989" s="486" t="s">
        <v>2316</v>
      </c>
      <c r="T1989" s="486" t="s">
        <v>2343</v>
      </c>
      <c r="U1989" s="486">
        <v>2016764</v>
      </c>
      <c r="V1989" s="487"/>
      <c r="W1989" s="486"/>
      <c r="X1989" s="486"/>
      <c r="Y1989" s="486"/>
      <c r="Z1989" s="486"/>
      <c r="AA1989" s="486"/>
      <c r="AB1989" s="486"/>
      <c r="AC1989" s="486"/>
      <c r="AD1989" s="486"/>
      <c r="AE1989" s="486"/>
      <c r="AF1989" s="486"/>
      <c r="AG1989" s="486"/>
      <c r="AH1989" s="486"/>
      <c r="AI1989" s="486"/>
      <c r="AJ1989" s="486"/>
      <c r="AK1989" s="486"/>
      <c r="AL1989" s="486"/>
      <c r="AM1989" s="486"/>
      <c r="AN1989" s="486"/>
      <c r="AO1989" s="486"/>
      <c r="AP1989" s="486"/>
      <c r="AQ1989" s="486"/>
      <c r="AR1989" s="486"/>
      <c r="AS1989" s="486"/>
      <c r="AT1989" s="486"/>
      <c r="AU1989" s="486"/>
      <c r="AV1989" s="486"/>
      <c r="AW1989" s="486"/>
      <c r="AX1989" s="486"/>
      <c r="AY1989" s="486"/>
      <c r="AZ1989" s="486"/>
      <c r="BA1989" s="486"/>
      <c r="BB1989" s="486"/>
      <c r="BC1989" s="488"/>
      <c r="BF1989">
        <f>ROWS($U$46:U1989)</f>
        <v>1944</v>
      </c>
      <c r="BG1989" t="str">
        <f t="shared" si="244"/>
        <v/>
      </c>
    </row>
    <row r="1990" spans="14:59" x14ac:dyDescent="0.35">
      <c r="N1990">
        <f t="shared" si="243"/>
        <v>13</v>
      </c>
      <c r="O1990" s="118">
        <v>1</v>
      </c>
      <c r="P1990" s="320">
        <v>1282369</v>
      </c>
      <c r="Q1990" s="320">
        <v>13</v>
      </c>
      <c r="R1990" s="320"/>
      <c r="S1990" s="320" t="s">
        <v>2345</v>
      </c>
      <c r="T1990" s="320" t="s">
        <v>1364</v>
      </c>
      <c r="U1990" s="320">
        <v>2017803</v>
      </c>
      <c r="V1990" s="165" t="s">
        <v>87</v>
      </c>
      <c r="W1990" s="320">
        <v>5</v>
      </c>
      <c r="X1990" s="320">
        <v>2</v>
      </c>
      <c r="Y1990" s="320">
        <v>1</v>
      </c>
      <c r="Z1990" s="320">
        <v>1</v>
      </c>
      <c r="AA1990" s="320">
        <v>1</v>
      </c>
      <c r="AB1990" s="320">
        <v>2</v>
      </c>
      <c r="AC1990" s="320">
        <v>3</v>
      </c>
      <c r="AD1990" s="320"/>
      <c r="AE1990" s="320">
        <v>4</v>
      </c>
      <c r="AF1990" s="320"/>
      <c r="AG1990" s="320"/>
      <c r="AH1990" s="320"/>
      <c r="AI1990" s="320"/>
      <c r="AJ1990" s="320"/>
      <c r="AK1990" s="320"/>
      <c r="AL1990" s="320"/>
      <c r="AM1990" s="320"/>
      <c r="AN1990" s="320"/>
      <c r="AO1990" s="320"/>
      <c r="AP1990" s="320"/>
      <c r="AQ1990" s="320"/>
      <c r="AR1990" s="320"/>
      <c r="AS1990" s="320"/>
      <c r="AT1990" s="320"/>
      <c r="AU1990" s="320"/>
      <c r="AV1990" s="320"/>
      <c r="AW1990" s="320"/>
      <c r="AX1990" s="320"/>
      <c r="AY1990" s="320"/>
      <c r="AZ1990" s="320"/>
      <c r="BA1990" s="320"/>
      <c r="BB1990" s="320"/>
      <c r="BC1990" s="119"/>
      <c r="BF1990">
        <f>ROWS($U$46:U1990)</f>
        <v>1945</v>
      </c>
      <c r="BG1990" t="str">
        <f t="shared" si="244"/>
        <v/>
      </c>
    </row>
    <row r="1991" spans="14:59" x14ac:dyDescent="0.35">
      <c r="N1991">
        <f t="shared" si="243"/>
        <v>24</v>
      </c>
      <c r="O1991" s="3">
        <v>2</v>
      </c>
      <c r="P1991" s="36">
        <v>1146346</v>
      </c>
      <c r="Q1991" s="36">
        <v>12</v>
      </c>
      <c r="R1991" s="36"/>
      <c r="S1991" s="36" t="s">
        <v>2345</v>
      </c>
      <c r="T1991" s="36" t="s">
        <v>1364</v>
      </c>
      <c r="U1991" s="36">
        <v>2017803</v>
      </c>
      <c r="V1991" s="165" t="s">
        <v>88</v>
      </c>
      <c r="W1991" s="36">
        <v>1</v>
      </c>
      <c r="X1991" s="36">
        <v>1</v>
      </c>
      <c r="Y1991" s="36">
        <v>2</v>
      </c>
      <c r="Z1991" s="36">
        <v>3</v>
      </c>
      <c r="AA1991" s="36"/>
      <c r="AB1991" s="36"/>
      <c r="AC1991" s="36"/>
      <c r="AD1991" s="36"/>
      <c r="AE1991" s="36">
        <v>4</v>
      </c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  <c r="AV1991" s="36"/>
      <c r="AW1991" s="36"/>
      <c r="AX1991" s="36"/>
      <c r="AY1991" s="36"/>
      <c r="AZ1991" s="36"/>
      <c r="BA1991" s="36"/>
      <c r="BB1991" s="36"/>
      <c r="BC1991" s="27"/>
      <c r="BF1991">
        <f>ROWS($U$46:U1991)</f>
        <v>1946</v>
      </c>
      <c r="BG1991" t="str">
        <f t="shared" si="244"/>
        <v/>
      </c>
    </row>
    <row r="1992" spans="14:59" x14ac:dyDescent="0.35">
      <c r="N1992">
        <f t="shared" si="243"/>
        <v>18</v>
      </c>
      <c r="O1992" s="3">
        <v>3</v>
      </c>
      <c r="P1992" s="36">
        <v>871781</v>
      </c>
      <c r="Q1992" s="36">
        <v>6</v>
      </c>
      <c r="R1992" s="36"/>
      <c r="S1992" s="36" t="s">
        <v>2345</v>
      </c>
      <c r="T1992" s="36" t="s">
        <v>1364</v>
      </c>
      <c r="U1992" s="36">
        <v>2017803</v>
      </c>
      <c r="V1992" s="165" t="s">
        <v>89</v>
      </c>
      <c r="W1992" s="36">
        <v>2</v>
      </c>
      <c r="X1992" s="36">
        <v>2</v>
      </c>
      <c r="Y1992" s="36">
        <v>1</v>
      </c>
      <c r="Z1992" s="36">
        <v>1</v>
      </c>
      <c r="AA1992" s="36">
        <v>2</v>
      </c>
      <c r="AB1992" s="36">
        <v>3</v>
      </c>
      <c r="AC1992" s="36"/>
      <c r="AD1992" s="36"/>
      <c r="AE1992" s="36">
        <v>4</v>
      </c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  <c r="AV1992" s="36"/>
      <c r="AW1992" s="36"/>
      <c r="AX1992" s="36"/>
      <c r="AY1992" s="36"/>
      <c r="AZ1992" s="36"/>
      <c r="BA1992" s="36"/>
      <c r="BB1992" s="36"/>
      <c r="BC1992" s="27"/>
      <c r="BF1992">
        <f>ROWS($U$46:U1992)</f>
        <v>1947</v>
      </c>
      <c r="BG1992" t="str">
        <f t="shared" si="244"/>
        <v/>
      </c>
    </row>
    <row r="1993" spans="14:59" x14ac:dyDescent="0.35">
      <c r="N1993">
        <f t="shared" si="243"/>
        <v>20</v>
      </c>
      <c r="O1993" s="3">
        <v>4</v>
      </c>
      <c r="P1993" s="36">
        <v>1101509</v>
      </c>
      <c r="Q1993" s="36">
        <v>5</v>
      </c>
      <c r="R1993" s="36"/>
      <c r="S1993" s="36" t="s">
        <v>2345</v>
      </c>
      <c r="T1993" s="36" t="s">
        <v>1364</v>
      </c>
      <c r="U1993" s="36">
        <v>2017803</v>
      </c>
      <c r="V1993" s="165" t="s">
        <v>90</v>
      </c>
      <c r="W1993" s="36">
        <v>1</v>
      </c>
      <c r="X1993" s="36">
        <v>1</v>
      </c>
      <c r="Y1993" s="36">
        <v>2</v>
      </c>
      <c r="Z1993" s="36">
        <v>2</v>
      </c>
      <c r="AA1993" s="36">
        <v>3</v>
      </c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  <c r="AV1993" s="36"/>
      <c r="AW1993" s="36"/>
      <c r="AX1993" s="36"/>
      <c r="AY1993" s="36"/>
      <c r="AZ1993" s="36"/>
      <c r="BA1993" s="36"/>
      <c r="BB1993" s="36"/>
      <c r="BC1993" s="27"/>
      <c r="BF1993">
        <f>ROWS($U$46:U1993)</f>
        <v>1948</v>
      </c>
      <c r="BG1993" t="str">
        <f t="shared" si="244"/>
        <v/>
      </c>
    </row>
    <row r="1994" spans="14:59" x14ac:dyDescent="0.35">
      <c r="N1994">
        <f t="shared" si="243"/>
        <v>5</v>
      </c>
      <c r="O1994" s="3">
        <v>5</v>
      </c>
      <c r="P1994" s="36">
        <v>1220334</v>
      </c>
      <c r="Q1994" s="36">
        <v>1</v>
      </c>
      <c r="R1994" s="36"/>
      <c r="S1994" s="36" t="s">
        <v>2345</v>
      </c>
      <c r="T1994" s="36" t="s">
        <v>1364</v>
      </c>
      <c r="U1994" s="36">
        <v>2017803</v>
      </c>
      <c r="V1994" s="165" t="s">
        <v>91</v>
      </c>
      <c r="W1994" s="36">
        <v>2</v>
      </c>
      <c r="X1994" s="36">
        <v>2</v>
      </c>
      <c r="Y1994" s="36">
        <v>1</v>
      </c>
      <c r="Z1994" s="36">
        <v>1</v>
      </c>
      <c r="AA1994" s="36">
        <v>2</v>
      </c>
      <c r="AB1994" s="36">
        <v>3</v>
      </c>
      <c r="AC1994" s="36"/>
      <c r="AD1994" s="36"/>
      <c r="AE1994" s="36">
        <v>4</v>
      </c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  <c r="AV1994" s="36"/>
      <c r="AW1994" s="36"/>
      <c r="AX1994" s="36"/>
      <c r="AY1994" s="36"/>
      <c r="AZ1994" s="36"/>
      <c r="BA1994" s="36"/>
      <c r="BB1994" s="36"/>
      <c r="BC1994" s="27"/>
      <c r="BF1994">
        <f>ROWS($U$46:U1994)</f>
        <v>1949</v>
      </c>
      <c r="BG1994" t="str">
        <f t="shared" si="244"/>
        <v/>
      </c>
    </row>
    <row r="1995" spans="14:59" ht="15" thickBot="1" x14ac:dyDescent="0.4">
      <c r="N1995">
        <f t="shared" si="243"/>
        <v>0</v>
      </c>
      <c r="O1995" s="959"/>
      <c r="P1995" s="486"/>
      <c r="Q1995" s="486"/>
      <c r="R1995" s="486"/>
      <c r="S1995" s="486" t="s">
        <v>2345</v>
      </c>
      <c r="T1995" s="486" t="s">
        <v>1364</v>
      </c>
      <c r="U1995" s="486">
        <v>2017803</v>
      </c>
      <c r="V1995" s="487" t="s">
        <v>92</v>
      </c>
      <c r="W1995" s="486">
        <v>1</v>
      </c>
      <c r="X1995" s="486">
        <v>1</v>
      </c>
      <c r="Y1995" s="486">
        <v>2</v>
      </c>
      <c r="Z1995" s="486">
        <v>3</v>
      </c>
      <c r="AA1995" s="486"/>
      <c r="AB1995" s="486"/>
      <c r="AC1995" s="486"/>
      <c r="AD1995" s="486"/>
      <c r="AE1995" s="486">
        <v>4</v>
      </c>
      <c r="AF1995" s="486"/>
      <c r="AG1995" s="486"/>
      <c r="AH1995" s="486"/>
      <c r="AI1995" s="486"/>
      <c r="AJ1995" s="486"/>
      <c r="AK1995" s="486"/>
      <c r="AL1995" s="486"/>
      <c r="AM1995" s="486"/>
      <c r="AN1995" s="486"/>
      <c r="AO1995" s="486"/>
      <c r="AP1995" s="486"/>
      <c r="AQ1995" s="486"/>
      <c r="AR1995" s="486"/>
      <c r="AS1995" s="486"/>
      <c r="AT1995" s="486"/>
      <c r="AU1995" s="486"/>
      <c r="AV1995" s="486"/>
      <c r="AW1995" s="486"/>
      <c r="AX1995" s="486"/>
      <c r="AY1995" s="486"/>
      <c r="AZ1995" s="486"/>
      <c r="BA1995" s="486"/>
      <c r="BB1995" s="486"/>
      <c r="BC1995" s="488"/>
      <c r="BF1995">
        <f>ROWS($U$46:U1995)</f>
        <v>1950</v>
      </c>
      <c r="BG1995" t="str">
        <f t="shared" si="244"/>
        <v/>
      </c>
    </row>
    <row r="1996" spans="14:59" x14ac:dyDescent="0.35">
      <c r="N1996">
        <f t="shared" si="243"/>
        <v>22</v>
      </c>
      <c r="O1996" s="118">
        <v>1</v>
      </c>
      <c r="P1996" s="320">
        <v>1261319</v>
      </c>
      <c r="Q1996" s="320">
        <v>22</v>
      </c>
      <c r="R1996" s="320"/>
      <c r="S1996" s="320" t="s">
        <v>1198</v>
      </c>
      <c r="T1996" s="320" t="s">
        <v>2154</v>
      </c>
      <c r="U1996" s="320">
        <v>1283630</v>
      </c>
      <c r="V1996" s="319" t="s">
        <v>87</v>
      </c>
      <c r="W1996" s="320">
        <v>2</v>
      </c>
      <c r="X1996" s="320">
        <v>2</v>
      </c>
      <c r="Y1996" s="320">
        <v>2</v>
      </c>
      <c r="Z1996" s="320">
        <v>2</v>
      </c>
      <c r="AA1996" s="320">
        <v>3</v>
      </c>
      <c r="AB1996" s="320">
        <v>3</v>
      </c>
      <c r="AC1996" s="320">
        <v>2</v>
      </c>
      <c r="AD1996" s="320">
        <v>6</v>
      </c>
      <c r="AE1996" s="320">
        <v>4</v>
      </c>
      <c r="AF1996" s="320"/>
      <c r="AG1996" s="320">
        <v>1</v>
      </c>
      <c r="AH1996" s="320">
        <v>1</v>
      </c>
      <c r="AI1996" s="320">
        <v>1</v>
      </c>
      <c r="AJ1996" s="320">
        <v>5</v>
      </c>
      <c r="AK1996" s="320"/>
      <c r="AL1996" s="320"/>
      <c r="AM1996" s="320"/>
      <c r="AN1996" s="320"/>
      <c r="AO1996" s="320"/>
      <c r="AP1996" s="320"/>
      <c r="AQ1996" s="320"/>
      <c r="AR1996" s="320"/>
      <c r="AS1996" s="320"/>
      <c r="AT1996" s="320"/>
      <c r="AU1996" s="320"/>
      <c r="AV1996" s="320"/>
      <c r="AW1996" s="320"/>
      <c r="AX1996" s="320"/>
      <c r="AY1996" s="320"/>
      <c r="AZ1996" s="320"/>
      <c r="BA1996" s="320"/>
      <c r="BB1996" s="320"/>
      <c r="BC1996" s="119"/>
      <c r="BF1996">
        <f>ROWS($U$46:U1996)</f>
        <v>1951</v>
      </c>
      <c r="BG1996" t="str">
        <f t="shared" si="244"/>
        <v/>
      </c>
    </row>
    <row r="1997" spans="14:59" x14ac:dyDescent="0.35">
      <c r="N1997">
        <f t="shared" si="243"/>
        <v>40</v>
      </c>
      <c r="O1997" s="3">
        <v>2</v>
      </c>
      <c r="P1997" s="36">
        <v>1255773</v>
      </c>
      <c r="Q1997" s="36">
        <v>20</v>
      </c>
      <c r="R1997" s="36"/>
      <c r="S1997" s="36" t="s">
        <v>1198</v>
      </c>
      <c r="T1997" s="36" t="s">
        <v>2154</v>
      </c>
      <c r="U1997" s="36">
        <v>1283630</v>
      </c>
      <c r="V1997" s="165" t="s">
        <v>88</v>
      </c>
      <c r="W1997" s="36">
        <v>2</v>
      </c>
      <c r="X1997" s="36">
        <v>3</v>
      </c>
      <c r="Y1997" s="36">
        <v>3</v>
      </c>
      <c r="Z1997" s="36">
        <v>2</v>
      </c>
      <c r="AA1997" s="36">
        <v>6</v>
      </c>
      <c r="AB1997" s="36">
        <v>4</v>
      </c>
      <c r="AC1997" s="36"/>
      <c r="AD1997" s="36"/>
      <c r="AE1997" s="36"/>
      <c r="AF1997" s="36"/>
      <c r="AG1997" s="36">
        <v>1</v>
      </c>
      <c r="AH1997" s="36">
        <v>1</v>
      </c>
      <c r="AI1997" s="36">
        <v>1</v>
      </c>
      <c r="AJ1997" s="36">
        <v>5</v>
      </c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  <c r="AV1997" s="36"/>
      <c r="AW1997" s="36"/>
      <c r="AX1997" s="36"/>
      <c r="AY1997" s="36"/>
      <c r="AZ1997" s="36"/>
      <c r="BA1997" s="36"/>
      <c r="BB1997" s="36"/>
      <c r="BC1997" s="27"/>
      <c r="BF1997">
        <f>ROWS($U$46:U1997)</f>
        <v>1952</v>
      </c>
      <c r="BG1997" t="str">
        <f t="shared" si="244"/>
        <v/>
      </c>
    </row>
    <row r="1998" spans="14:59" x14ac:dyDescent="0.35">
      <c r="N1998">
        <f t="shared" si="243"/>
        <v>42</v>
      </c>
      <c r="O1998" s="3">
        <v>3</v>
      </c>
      <c r="P1998" s="36">
        <v>1228502</v>
      </c>
      <c r="Q1998" s="36">
        <v>14</v>
      </c>
      <c r="R1998" s="36"/>
      <c r="S1998" s="36" t="s">
        <v>1198</v>
      </c>
      <c r="T1998" s="36" t="s">
        <v>2154</v>
      </c>
      <c r="U1998" s="36">
        <v>1283630</v>
      </c>
      <c r="V1998" s="165" t="s">
        <v>89</v>
      </c>
      <c r="W1998" s="36">
        <v>2</v>
      </c>
      <c r="X1998" s="36">
        <v>2</v>
      </c>
      <c r="Y1998" s="36">
        <v>2</v>
      </c>
      <c r="Z1998" s="36">
        <v>3</v>
      </c>
      <c r="AA1998" s="36">
        <v>3</v>
      </c>
      <c r="AB1998" s="36">
        <v>2</v>
      </c>
      <c r="AC1998" s="36">
        <v>6</v>
      </c>
      <c r="AD1998" s="36">
        <v>6</v>
      </c>
      <c r="AE1998" s="36">
        <v>4</v>
      </c>
      <c r="AF1998" s="36"/>
      <c r="AG1998" s="36">
        <v>1</v>
      </c>
      <c r="AH1998" s="36">
        <v>1</v>
      </c>
      <c r="AI1998" s="36">
        <v>1</v>
      </c>
      <c r="AJ1998" s="36">
        <v>1</v>
      </c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  <c r="AV1998" s="36"/>
      <c r="AW1998" s="36"/>
      <c r="AX1998" s="36"/>
      <c r="AY1998" s="36"/>
      <c r="AZ1998" s="36"/>
      <c r="BA1998" s="36"/>
      <c r="BB1998" s="36"/>
      <c r="BC1998" s="27"/>
      <c r="BF1998">
        <f>ROWS($U$46:U1998)</f>
        <v>1953</v>
      </c>
      <c r="BG1998" t="str">
        <f t="shared" si="244"/>
        <v/>
      </c>
    </row>
    <row r="1999" spans="14:59" x14ac:dyDescent="0.35">
      <c r="N1999">
        <f t="shared" si="243"/>
        <v>24</v>
      </c>
      <c r="O1999" s="3">
        <v>4</v>
      </c>
      <c r="P1999" s="36">
        <v>871781</v>
      </c>
      <c r="Q1999" s="36">
        <v>6</v>
      </c>
      <c r="R1999" s="36"/>
      <c r="S1999" s="36" t="s">
        <v>1198</v>
      </c>
      <c r="T1999" s="36" t="s">
        <v>2154</v>
      </c>
      <c r="U1999" s="36">
        <v>1283630</v>
      </c>
      <c r="V1999" s="165" t="s">
        <v>90</v>
      </c>
      <c r="W1999" s="36">
        <v>2</v>
      </c>
      <c r="X1999" s="36">
        <v>3</v>
      </c>
      <c r="Y1999" s="36">
        <v>3</v>
      </c>
      <c r="Z1999" s="36">
        <v>3</v>
      </c>
      <c r="AA1999" s="36">
        <v>2</v>
      </c>
      <c r="AB1999" s="36">
        <v>6</v>
      </c>
      <c r="AC1999" s="36">
        <v>4</v>
      </c>
      <c r="AD1999" s="36"/>
      <c r="AE1999" s="36"/>
      <c r="AF1999" s="36"/>
      <c r="AG1999" s="36">
        <v>1</v>
      </c>
      <c r="AH1999" s="36">
        <v>1</v>
      </c>
      <c r="AI1999" s="36">
        <v>1</v>
      </c>
      <c r="AJ1999" s="36">
        <v>1</v>
      </c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  <c r="AV1999" s="36"/>
      <c r="AW1999" s="36"/>
      <c r="AX1999" s="36"/>
      <c r="AY1999" s="36"/>
      <c r="AZ1999" s="36"/>
      <c r="BA1999" s="36"/>
      <c r="BB1999" s="36"/>
      <c r="BC1999" s="27"/>
      <c r="BF1999">
        <f>ROWS($U$46:U1999)</f>
        <v>1954</v>
      </c>
      <c r="BG1999" t="str">
        <f t="shared" si="244"/>
        <v/>
      </c>
    </row>
    <row r="2000" spans="14:59" x14ac:dyDescent="0.35">
      <c r="N2000">
        <f t="shared" si="243"/>
        <v>15</v>
      </c>
      <c r="O2000" s="3">
        <v>5</v>
      </c>
      <c r="P2000" s="36">
        <v>1201518</v>
      </c>
      <c r="Q2000" s="36">
        <v>3</v>
      </c>
      <c r="R2000" s="36"/>
      <c r="S2000" s="36" t="s">
        <v>1198</v>
      </c>
      <c r="T2000" s="36" t="s">
        <v>2154</v>
      </c>
      <c r="U2000" s="36">
        <v>1283630</v>
      </c>
      <c r="V2000" s="165" t="s">
        <v>91</v>
      </c>
      <c r="W2000" s="36">
        <v>2</v>
      </c>
      <c r="X2000" s="36">
        <v>2</v>
      </c>
      <c r="Y2000" s="36">
        <v>2</v>
      </c>
      <c r="Z2000" s="36">
        <v>3</v>
      </c>
      <c r="AA2000" s="36">
        <v>3</v>
      </c>
      <c r="AB2000" s="36">
        <v>3</v>
      </c>
      <c r="AC2000" s="36">
        <v>2</v>
      </c>
      <c r="AD2000" s="36">
        <v>6</v>
      </c>
      <c r="AE2000" s="36">
        <v>4</v>
      </c>
      <c r="AF2000" s="36"/>
      <c r="AG2000" s="36">
        <v>1</v>
      </c>
      <c r="AH2000" s="36">
        <v>1</v>
      </c>
      <c r="AI2000" s="36">
        <v>1</v>
      </c>
      <c r="AJ2000" s="36">
        <v>1</v>
      </c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  <c r="AV2000" s="36"/>
      <c r="AW2000" s="36"/>
      <c r="AX2000" s="36"/>
      <c r="AY2000" s="36"/>
      <c r="AZ2000" s="36"/>
      <c r="BA2000" s="36"/>
      <c r="BB2000" s="36"/>
      <c r="BC2000" s="27"/>
      <c r="BF2000">
        <f>ROWS($U$46:U2000)</f>
        <v>1955</v>
      </c>
      <c r="BG2000" t="str">
        <f t="shared" si="244"/>
        <v/>
      </c>
    </row>
    <row r="2001" spans="11:59" x14ac:dyDescent="0.35">
      <c r="K2001" s="569"/>
      <c r="N2001">
        <f t="shared" ref="N2001:N2006" si="245">O2001*Q2001</f>
        <v>42</v>
      </c>
      <c r="O2001" s="3">
        <v>6</v>
      </c>
      <c r="P2001" s="36">
        <v>1126402</v>
      </c>
      <c r="Q2001" s="36">
        <v>7</v>
      </c>
      <c r="R2001" s="36"/>
      <c r="S2001" s="36" t="s">
        <v>1198</v>
      </c>
      <c r="T2001" s="36" t="s">
        <v>2154</v>
      </c>
      <c r="U2001" s="36">
        <v>1283630</v>
      </c>
      <c r="V2001" s="165" t="s">
        <v>92</v>
      </c>
      <c r="W2001" s="36">
        <v>2</v>
      </c>
      <c r="X2001" s="36">
        <v>2</v>
      </c>
      <c r="Y2001" s="36">
        <v>3</v>
      </c>
      <c r="Z2001" s="36">
        <v>3</v>
      </c>
      <c r="AA2001" s="36">
        <v>2</v>
      </c>
      <c r="AB2001" s="36">
        <v>6</v>
      </c>
      <c r="AC2001" s="36">
        <v>4</v>
      </c>
      <c r="AD2001" s="36"/>
      <c r="AE2001" s="36"/>
      <c r="AF2001" s="36"/>
      <c r="AG2001" s="36">
        <v>1</v>
      </c>
      <c r="AH2001" s="36">
        <v>1</v>
      </c>
      <c r="AI2001" s="36">
        <v>1</v>
      </c>
      <c r="AJ2001" s="36">
        <v>1</v>
      </c>
      <c r="AK2001" s="36">
        <v>5</v>
      </c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  <c r="AV2001" s="36"/>
      <c r="AW2001" s="36"/>
      <c r="AX2001" s="36"/>
      <c r="AY2001" s="36"/>
      <c r="AZ2001" s="36"/>
      <c r="BA2001" s="36"/>
      <c r="BB2001" s="36"/>
      <c r="BC2001" s="27"/>
      <c r="BF2001">
        <f>ROWS($U$46:U2001)</f>
        <v>1956</v>
      </c>
      <c r="BG2001" t="str">
        <f t="shared" si="244"/>
        <v/>
      </c>
    </row>
    <row r="2002" spans="11:59" x14ac:dyDescent="0.35">
      <c r="N2002">
        <f t="shared" si="245"/>
        <v>98</v>
      </c>
      <c r="O2002" s="1120">
        <v>7</v>
      </c>
      <c r="P2002" s="70">
        <v>1228501</v>
      </c>
      <c r="Q2002" s="70">
        <v>14</v>
      </c>
      <c r="R2002" s="36"/>
      <c r="S2002" s="36" t="s">
        <v>1198</v>
      </c>
      <c r="T2002" s="36" t="s">
        <v>2154</v>
      </c>
      <c r="U2002" s="36">
        <v>1283630</v>
      </c>
      <c r="V2002" s="165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  <c r="AV2002" s="36"/>
      <c r="AW2002" s="36"/>
      <c r="AX2002" s="36"/>
      <c r="AY2002" s="36"/>
      <c r="AZ2002" s="36"/>
      <c r="BA2002" s="36"/>
      <c r="BB2002" s="36"/>
      <c r="BC2002" s="27"/>
      <c r="BF2002">
        <f>ROWS($U$46:U2002)</f>
        <v>1957</v>
      </c>
      <c r="BG2002" t="str">
        <f t="shared" si="244"/>
        <v/>
      </c>
    </row>
    <row r="2003" spans="11:59" x14ac:dyDescent="0.35">
      <c r="N2003">
        <f t="shared" si="245"/>
        <v>0</v>
      </c>
      <c r="O2003" s="3"/>
      <c r="P2003" s="36"/>
      <c r="Q2003" s="36"/>
      <c r="R2003" s="36"/>
      <c r="S2003" s="36" t="s">
        <v>1198</v>
      </c>
      <c r="T2003" s="36" t="s">
        <v>2154</v>
      </c>
      <c r="U2003" s="36">
        <v>1283630</v>
      </c>
      <c r="V2003" s="165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  <c r="AV2003" s="36"/>
      <c r="AW2003" s="36"/>
      <c r="AX2003" s="36"/>
      <c r="AY2003" s="36"/>
      <c r="AZ2003" s="36"/>
      <c r="BA2003" s="36"/>
      <c r="BB2003" s="36"/>
      <c r="BC2003" s="27"/>
      <c r="BF2003">
        <f>ROWS($U$46:U2003)</f>
        <v>1958</v>
      </c>
      <c r="BG2003" t="str">
        <f t="shared" si="244"/>
        <v/>
      </c>
    </row>
    <row r="2004" spans="11:59" x14ac:dyDescent="0.35">
      <c r="N2004">
        <f t="shared" si="245"/>
        <v>0</v>
      </c>
      <c r="O2004" s="3"/>
      <c r="P2004" s="36"/>
      <c r="Q2004" s="36"/>
      <c r="R2004" s="36"/>
      <c r="S2004" s="36" t="s">
        <v>1198</v>
      </c>
      <c r="T2004" s="36" t="s">
        <v>2154</v>
      </c>
      <c r="U2004" s="36">
        <v>1283630</v>
      </c>
      <c r="V2004" s="165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  <c r="AV2004" s="36"/>
      <c r="AW2004" s="36"/>
      <c r="AX2004" s="36"/>
      <c r="AY2004" s="36"/>
      <c r="AZ2004" s="36"/>
      <c r="BA2004" s="36"/>
      <c r="BB2004" s="36"/>
      <c r="BC2004" s="27"/>
      <c r="BF2004">
        <f>ROWS($U$46:U2004)</f>
        <v>1959</v>
      </c>
      <c r="BG2004" t="str">
        <f t="shared" si="244"/>
        <v/>
      </c>
    </row>
    <row r="2005" spans="11:59" x14ac:dyDescent="0.35">
      <c r="N2005">
        <f t="shared" si="245"/>
        <v>0</v>
      </c>
      <c r="O2005" s="3"/>
      <c r="P2005" s="36"/>
      <c r="Q2005" s="36"/>
      <c r="R2005" s="36"/>
      <c r="S2005" s="36" t="s">
        <v>1198</v>
      </c>
      <c r="T2005" s="36" t="s">
        <v>2154</v>
      </c>
      <c r="U2005" s="36">
        <v>1283630</v>
      </c>
      <c r="V2005" s="165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  <c r="AV2005" s="36"/>
      <c r="AW2005" s="36"/>
      <c r="AX2005" s="36"/>
      <c r="AY2005" s="36"/>
      <c r="AZ2005" s="36"/>
      <c r="BA2005" s="36"/>
      <c r="BB2005" s="36"/>
      <c r="BC2005" s="27"/>
      <c r="BF2005">
        <f>ROWS($U$46:U2005)</f>
        <v>1960</v>
      </c>
      <c r="BG2005" t="str">
        <f t="shared" si="244"/>
        <v/>
      </c>
    </row>
    <row r="2006" spans="11:59" ht="15" thickBot="1" x14ac:dyDescent="0.4">
      <c r="N2006">
        <f t="shared" si="245"/>
        <v>0</v>
      </c>
      <c r="O2006" s="76"/>
      <c r="P2006" s="328"/>
      <c r="Q2006" s="328"/>
      <c r="R2006" s="328"/>
      <c r="S2006" s="328" t="s">
        <v>1198</v>
      </c>
      <c r="T2006" s="328" t="s">
        <v>2154</v>
      </c>
      <c r="U2006" s="328">
        <v>1283630</v>
      </c>
      <c r="V2006" s="327"/>
      <c r="W2006" s="328"/>
      <c r="X2006" s="328"/>
      <c r="Y2006" s="328"/>
      <c r="Z2006" s="328"/>
      <c r="AA2006" s="328"/>
      <c r="AB2006" s="328"/>
      <c r="AC2006" s="328"/>
      <c r="AD2006" s="328"/>
      <c r="AE2006" s="328"/>
      <c r="AF2006" s="328"/>
      <c r="AG2006" s="328"/>
      <c r="AH2006" s="328"/>
      <c r="AI2006" s="328"/>
      <c r="AJ2006" s="328"/>
      <c r="AK2006" s="328"/>
      <c r="AL2006" s="328"/>
      <c r="AM2006" s="328"/>
      <c r="AN2006" s="328"/>
      <c r="AO2006" s="328"/>
      <c r="AP2006" s="328"/>
      <c r="AQ2006" s="328"/>
      <c r="AR2006" s="328"/>
      <c r="AS2006" s="328"/>
      <c r="AT2006" s="328"/>
      <c r="AU2006" s="328"/>
      <c r="AV2006" s="328"/>
      <c r="AW2006" s="328"/>
      <c r="AX2006" s="328"/>
      <c r="AY2006" s="328"/>
      <c r="AZ2006" s="328"/>
      <c r="BA2006" s="328"/>
      <c r="BB2006" s="328"/>
      <c r="BC2006" s="31"/>
      <c r="BF2006">
        <f>ROWS($U$46:U2006)</f>
        <v>1961</v>
      </c>
      <c r="BG2006" t="str">
        <f t="shared" si="244"/>
        <v/>
      </c>
    </row>
    <row r="2007" spans="11:59" x14ac:dyDescent="0.35">
      <c r="N2007">
        <f t="shared" si="243"/>
        <v>12</v>
      </c>
      <c r="O2007" s="77">
        <v>1</v>
      </c>
      <c r="P2007" s="38">
        <v>773383</v>
      </c>
      <c r="Q2007" s="38">
        <v>12</v>
      </c>
      <c r="R2007" s="38"/>
      <c r="S2007" s="38" t="s">
        <v>2363</v>
      </c>
      <c r="T2007" s="38" t="s">
        <v>2364</v>
      </c>
      <c r="U2007" s="38">
        <v>2018723</v>
      </c>
      <c r="V2007" s="1105" t="s">
        <v>87</v>
      </c>
      <c r="W2007" s="38">
        <v>8</v>
      </c>
      <c r="X2007" s="38">
        <v>4</v>
      </c>
      <c r="Y2007" s="38">
        <v>4</v>
      </c>
      <c r="Z2007" s="38">
        <v>2</v>
      </c>
      <c r="AA2007" s="38">
        <v>2</v>
      </c>
      <c r="AB2007" s="38">
        <v>5</v>
      </c>
      <c r="AC2007" s="38">
        <v>3</v>
      </c>
      <c r="AD2007" s="38"/>
      <c r="AE2007" s="38">
        <v>1</v>
      </c>
      <c r="AF2007" s="38">
        <v>1</v>
      </c>
      <c r="AG2007" s="38">
        <v>7</v>
      </c>
      <c r="AH2007" s="38">
        <v>6</v>
      </c>
      <c r="AI2007" s="38"/>
      <c r="AJ2007" s="38"/>
      <c r="AK2007" s="38"/>
      <c r="AL2007" s="38"/>
      <c r="AM2007" s="38"/>
      <c r="AN2007" s="38"/>
      <c r="AO2007" s="38"/>
      <c r="AP2007" s="38"/>
      <c r="AQ2007" s="38"/>
      <c r="AR2007" s="38"/>
      <c r="AS2007" s="38"/>
      <c r="AT2007" s="38"/>
      <c r="AU2007" s="38"/>
      <c r="AV2007" s="38"/>
      <c r="AW2007" s="38"/>
      <c r="AX2007" s="38"/>
      <c r="AY2007" s="38"/>
      <c r="AZ2007" s="38"/>
      <c r="BA2007" s="38"/>
      <c r="BB2007" s="38"/>
      <c r="BC2007" s="838"/>
      <c r="BF2007">
        <f>ROWS($U$46:U2007)</f>
        <v>1962</v>
      </c>
      <c r="BG2007" t="str">
        <f t="shared" si="244"/>
        <v/>
      </c>
    </row>
    <row r="2008" spans="11:59" x14ac:dyDescent="0.35">
      <c r="N2008">
        <f t="shared" si="243"/>
        <v>24</v>
      </c>
      <c r="O2008" s="3">
        <v>2</v>
      </c>
      <c r="P2008" s="36">
        <v>2001155</v>
      </c>
      <c r="Q2008" s="36">
        <v>12</v>
      </c>
      <c r="R2008" s="36"/>
      <c r="S2008" s="36" t="s">
        <v>2363</v>
      </c>
      <c r="T2008" s="36" t="s">
        <v>2364</v>
      </c>
      <c r="U2008" s="36">
        <v>2018723</v>
      </c>
      <c r="V2008" s="1024" t="s">
        <v>88</v>
      </c>
      <c r="W2008" s="36">
        <v>4</v>
      </c>
      <c r="X2008" s="36">
        <v>2</v>
      </c>
      <c r="Y2008" s="36">
        <v>2</v>
      </c>
      <c r="Z2008" s="36">
        <v>5</v>
      </c>
      <c r="AA2008" s="36">
        <v>3</v>
      </c>
      <c r="AB2008" s="36"/>
      <c r="AC2008" s="36"/>
      <c r="AD2008" s="36"/>
      <c r="AE2008" s="36">
        <v>1</v>
      </c>
      <c r="AF2008" s="36">
        <v>1</v>
      </c>
      <c r="AG2008" s="36">
        <v>7</v>
      </c>
      <c r="AH2008" s="36">
        <v>6</v>
      </c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  <c r="AV2008" s="36"/>
      <c r="AW2008" s="36"/>
      <c r="AX2008" s="36"/>
      <c r="AY2008" s="36"/>
      <c r="AZ2008" s="36"/>
      <c r="BA2008" s="36"/>
      <c r="BB2008" s="36"/>
      <c r="BC2008" s="27"/>
      <c r="BF2008">
        <f>ROWS($U$46:U2008)</f>
        <v>1963</v>
      </c>
      <c r="BG2008" t="str">
        <f t="shared" si="244"/>
        <v/>
      </c>
    </row>
    <row r="2009" spans="11:59" x14ac:dyDescent="0.35">
      <c r="N2009">
        <f t="shared" si="243"/>
        <v>18</v>
      </c>
      <c r="O2009" s="3">
        <v>3</v>
      </c>
      <c r="P2009" s="36">
        <v>871781</v>
      </c>
      <c r="Q2009" s="36">
        <v>6</v>
      </c>
      <c r="R2009" s="36"/>
      <c r="S2009" s="36" t="s">
        <v>2363</v>
      </c>
      <c r="T2009" s="36" t="s">
        <v>2364</v>
      </c>
      <c r="U2009" s="36">
        <v>2018723</v>
      </c>
      <c r="V2009" s="1024" t="s">
        <v>89</v>
      </c>
      <c r="W2009" s="36">
        <v>8</v>
      </c>
      <c r="X2009" s="36">
        <v>4</v>
      </c>
      <c r="Y2009" s="36">
        <v>2</v>
      </c>
      <c r="Z2009" s="36">
        <v>2</v>
      </c>
      <c r="AA2009" s="36">
        <v>5</v>
      </c>
      <c r="AB2009" s="36">
        <v>3</v>
      </c>
      <c r="AC2009" s="36"/>
      <c r="AD2009" s="36"/>
      <c r="AE2009" s="36">
        <v>1</v>
      </c>
      <c r="AF2009" s="36">
        <v>1</v>
      </c>
      <c r="AG2009" s="36">
        <v>7</v>
      </c>
      <c r="AH2009" s="36">
        <v>6</v>
      </c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  <c r="AV2009" s="36"/>
      <c r="AW2009" s="36"/>
      <c r="AX2009" s="36"/>
      <c r="AY2009" s="36"/>
      <c r="AZ2009" s="36"/>
      <c r="BA2009" s="36"/>
      <c r="BB2009" s="36"/>
      <c r="BC2009" s="27"/>
      <c r="BF2009">
        <f>ROWS($U$46:U2009)</f>
        <v>1964</v>
      </c>
      <c r="BG2009" t="str">
        <f t="shared" si="244"/>
        <v/>
      </c>
    </row>
    <row r="2010" spans="11:59" x14ac:dyDescent="0.35">
      <c r="N2010">
        <f t="shared" si="243"/>
        <v>24</v>
      </c>
      <c r="O2010" s="3">
        <v>4</v>
      </c>
      <c r="P2010" s="36">
        <v>1152018</v>
      </c>
      <c r="Q2010" s="36">
        <v>6</v>
      </c>
      <c r="R2010" s="36"/>
      <c r="S2010" s="36" t="s">
        <v>2363</v>
      </c>
      <c r="T2010" s="36" t="s">
        <v>2364</v>
      </c>
      <c r="U2010" s="36">
        <v>2018723</v>
      </c>
      <c r="V2010" s="1024" t="s">
        <v>90</v>
      </c>
      <c r="W2010" s="36">
        <v>2</v>
      </c>
      <c r="X2010" s="36">
        <v>2</v>
      </c>
      <c r="Y2010" s="36">
        <v>5</v>
      </c>
      <c r="Z2010" s="36">
        <v>3</v>
      </c>
      <c r="AA2010" s="36"/>
      <c r="AB2010" s="36"/>
      <c r="AC2010" s="36"/>
      <c r="AD2010" s="36"/>
      <c r="AE2010" s="36">
        <v>1</v>
      </c>
      <c r="AF2010" s="36">
        <v>1</v>
      </c>
      <c r="AG2010" s="36">
        <v>7</v>
      </c>
      <c r="AH2010" s="36">
        <v>6</v>
      </c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  <c r="AV2010" s="36"/>
      <c r="AW2010" s="36"/>
      <c r="AX2010" s="36"/>
      <c r="AY2010" s="36"/>
      <c r="AZ2010" s="36"/>
      <c r="BA2010" s="36"/>
      <c r="BB2010" s="36"/>
      <c r="BC2010" s="27"/>
      <c r="BF2010">
        <f>ROWS($U$46:U2010)</f>
        <v>1965</v>
      </c>
      <c r="BG2010" t="str">
        <f t="shared" si="244"/>
        <v/>
      </c>
    </row>
    <row r="2011" spans="11:59" x14ac:dyDescent="0.35">
      <c r="N2011">
        <f t="shared" si="243"/>
        <v>30</v>
      </c>
      <c r="O2011" s="3">
        <v>5</v>
      </c>
      <c r="P2011" s="36">
        <v>1146346</v>
      </c>
      <c r="Q2011" s="36">
        <v>6</v>
      </c>
      <c r="R2011" s="36"/>
      <c r="S2011" s="36" t="s">
        <v>2363</v>
      </c>
      <c r="T2011" s="36" t="s">
        <v>2364</v>
      </c>
      <c r="U2011" s="36">
        <v>2018723</v>
      </c>
      <c r="V2011" s="1024" t="s">
        <v>91</v>
      </c>
      <c r="W2011" s="36">
        <v>8</v>
      </c>
      <c r="X2011" s="36">
        <v>4</v>
      </c>
      <c r="Y2011" s="36">
        <v>2</v>
      </c>
      <c r="Z2011" s="36">
        <v>2</v>
      </c>
      <c r="AA2011" s="36">
        <v>5</v>
      </c>
      <c r="AB2011" s="36">
        <v>3</v>
      </c>
      <c r="AC2011" s="36"/>
      <c r="AD2011" s="36"/>
      <c r="AE2011" s="36">
        <v>1</v>
      </c>
      <c r="AF2011" s="36">
        <v>1</v>
      </c>
      <c r="AG2011" s="36">
        <v>7</v>
      </c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  <c r="AV2011" s="36"/>
      <c r="AW2011" s="36"/>
      <c r="AX2011" s="36"/>
      <c r="AY2011" s="36"/>
      <c r="AZ2011" s="36"/>
      <c r="BA2011" s="36"/>
      <c r="BB2011" s="36"/>
      <c r="BC2011" s="27"/>
      <c r="BF2011">
        <f>ROWS($U$46:U2011)</f>
        <v>1966</v>
      </c>
      <c r="BG2011" t="str">
        <f t="shared" si="244"/>
        <v/>
      </c>
    </row>
    <row r="2012" spans="11:59" x14ac:dyDescent="0.35">
      <c r="N2012">
        <f t="shared" si="243"/>
        <v>30</v>
      </c>
      <c r="O2012" s="3">
        <v>6</v>
      </c>
      <c r="P2012" s="36">
        <v>410851</v>
      </c>
      <c r="Q2012" s="36">
        <v>5</v>
      </c>
      <c r="R2012" s="36"/>
      <c r="S2012" s="36" t="s">
        <v>2363</v>
      </c>
      <c r="T2012" s="36" t="s">
        <v>2364</v>
      </c>
      <c r="U2012" s="36">
        <v>2018723</v>
      </c>
      <c r="V2012" s="1024" t="s">
        <v>92</v>
      </c>
      <c r="W2012" s="36">
        <v>4</v>
      </c>
      <c r="X2012" s="36">
        <v>2</v>
      </c>
      <c r="Y2012" s="36">
        <v>2</v>
      </c>
      <c r="Z2012" s="36">
        <v>5</v>
      </c>
      <c r="AA2012" s="36">
        <v>3</v>
      </c>
      <c r="AB2012" s="36"/>
      <c r="AC2012" s="36"/>
      <c r="AD2012" s="36"/>
      <c r="AE2012" s="36">
        <v>1</v>
      </c>
      <c r="AF2012" s="36">
        <v>1</v>
      </c>
      <c r="AG2012" s="36">
        <v>6</v>
      </c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  <c r="AV2012" s="36"/>
      <c r="AW2012" s="36"/>
      <c r="AX2012" s="36"/>
      <c r="AY2012" s="36"/>
      <c r="AZ2012" s="36"/>
      <c r="BA2012" s="36"/>
      <c r="BB2012" s="36"/>
      <c r="BC2012" s="27"/>
      <c r="BF2012">
        <f>ROWS($U$46:U2012)</f>
        <v>1967</v>
      </c>
      <c r="BG2012" t="str">
        <f t="shared" si="244"/>
        <v/>
      </c>
    </row>
    <row r="2013" spans="11:59" x14ac:dyDescent="0.35">
      <c r="N2013">
        <f t="shared" si="243"/>
        <v>35</v>
      </c>
      <c r="O2013" s="3">
        <v>7</v>
      </c>
      <c r="P2013" s="36">
        <v>179733</v>
      </c>
      <c r="Q2013" s="36">
        <v>5</v>
      </c>
      <c r="R2013" s="36"/>
      <c r="S2013" s="36" t="s">
        <v>2363</v>
      </c>
      <c r="T2013" s="36" t="s">
        <v>2364</v>
      </c>
      <c r="U2013" s="36">
        <v>2018723</v>
      </c>
      <c r="V2013" s="1024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  <c r="AV2013" s="36"/>
      <c r="AW2013" s="36"/>
      <c r="AX2013" s="36"/>
      <c r="AY2013" s="36"/>
      <c r="AZ2013" s="36"/>
      <c r="BA2013" s="36"/>
      <c r="BB2013" s="36"/>
      <c r="BC2013" s="27"/>
      <c r="BF2013">
        <f>ROWS($U$46:U2013)</f>
        <v>1968</v>
      </c>
      <c r="BG2013" t="str">
        <f t="shared" si="244"/>
        <v/>
      </c>
    </row>
    <row r="2014" spans="11:59" ht="15" thickBot="1" x14ac:dyDescent="0.4">
      <c r="N2014">
        <f t="shared" si="243"/>
        <v>24</v>
      </c>
      <c r="O2014" s="959">
        <v>8</v>
      </c>
      <c r="P2014" s="486">
        <v>1100694</v>
      </c>
      <c r="Q2014" s="486">
        <v>3</v>
      </c>
      <c r="R2014" s="486"/>
      <c r="S2014" s="486" t="s">
        <v>2363</v>
      </c>
      <c r="T2014" s="486" t="s">
        <v>2364</v>
      </c>
      <c r="U2014" s="486">
        <v>2018723</v>
      </c>
      <c r="V2014" s="1024"/>
      <c r="W2014" s="486"/>
      <c r="X2014" s="486"/>
      <c r="Y2014" s="486"/>
      <c r="Z2014" s="486"/>
      <c r="AA2014" s="486"/>
      <c r="AB2014" s="486"/>
      <c r="AC2014" s="486"/>
      <c r="AD2014" s="486"/>
      <c r="AE2014" s="486"/>
      <c r="AF2014" s="486"/>
      <c r="AG2014" s="486"/>
      <c r="AH2014" s="486"/>
      <c r="AI2014" s="486"/>
      <c r="AJ2014" s="486"/>
      <c r="AK2014" s="486"/>
      <c r="AL2014" s="486"/>
      <c r="AM2014" s="486"/>
      <c r="AN2014" s="486"/>
      <c r="AO2014" s="486"/>
      <c r="AP2014" s="486"/>
      <c r="AQ2014" s="486"/>
      <c r="AR2014" s="486"/>
      <c r="AS2014" s="486"/>
      <c r="AT2014" s="486"/>
      <c r="AU2014" s="486"/>
      <c r="AV2014" s="486"/>
      <c r="AW2014" s="486"/>
      <c r="AX2014" s="486"/>
      <c r="AY2014" s="486"/>
      <c r="AZ2014" s="486"/>
      <c r="BA2014" s="486"/>
      <c r="BB2014" s="486"/>
      <c r="BC2014" s="488"/>
      <c r="BF2014">
        <f>ROWS($U$46:U2014)</f>
        <v>1969</v>
      </c>
      <c r="BG2014" t="str">
        <f t="shared" si="244"/>
        <v/>
      </c>
    </row>
    <row r="2015" spans="11:59" x14ac:dyDescent="0.35">
      <c r="N2015">
        <f t="shared" si="243"/>
        <v>34</v>
      </c>
      <c r="O2015" s="118">
        <v>1</v>
      </c>
      <c r="P2015" s="320">
        <v>1274176</v>
      </c>
      <c r="Q2015" s="320">
        <v>34</v>
      </c>
      <c r="R2015" s="320"/>
      <c r="S2015" s="320" t="s">
        <v>1938</v>
      </c>
      <c r="T2015" s="320" t="s">
        <v>2102</v>
      </c>
      <c r="U2015" s="320">
        <v>2015327</v>
      </c>
      <c r="V2015" s="1024" t="s">
        <v>87</v>
      </c>
      <c r="W2015" s="320">
        <v>3</v>
      </c>
      <c r="X2015" s="320">
        <v>3</v>
      </c>
      <c r="Y2015" s="320">
        <v>3</v>
      </c>
      <c r="Z2015" s="320">
        <v>3</v>
      </c>
      <c r="AA2015" s="320">
        <v>1</v>
      </c>
      <c r="AB2015" s="320">
        <v>1</v>
      </c>
      <c r="AC2015" s="320">
        <v>1</v>
      </c>
      <c r="AD2015" s="320">
        <v>1</v>
      </c>
      <c r="AE2015" s="320">
        <v>1</v>
      </c>
      <c r="AF2015" s="320">
        <v>3</v>
      </c>
      <c r="AG2015" s="320">
        <v>3</v>
      </c>
      <c r="AH2015" s="320">
        <v>5</v>
      </c>
      <c r="AI2015" s="320"/>
      <c r="AJ2015" s="320">
        <v>4</v>
      </c>
      <c r="AK2015" s="320">
        <v>4</v>
      </c>
      <c r="AL2015" s="320">
        <v>2</v>
      </c>
      <c r="AM2015" s="320">
        <v>2</v>
      </c>
      <c r="AN2015" s="320">
        <v>2</v>
      </c>
      <c r="AO2015" s="320">
        <v>2</v>
      </c>
      <c r="AP2015" s="320">
        <v>4</v>
      </c>
      <c r="AQ2015" s="320"/>
      <c r="AR2015" s="320"/>
      <c r="AS2015" s="320"/>
      <c r="AT2015" s="320"/>
      <c r="AU2015" s="320"/>
      <c r="AV2015" s="320"/>
      <c r="AW2015" s="320"/>
      <c r="AX2015" s="320"/>
      <c r="AY2015" s="320"/>
      <c r="AZ2015" s="320"/>
      <c r="BA2015" s="320"/>
      <c r="BB2015" s="320"/>
      <c r="BC2015" s="119"/>
      <c r="BF2015">
        <f>ROWS($U$46:U2015)</f>
        <v>1970</v>
      </c>
      <c r="BG2015" t="str">
        <f t="shared" si="244"/>
        <v/>
      </c>
    </row>
    <row r="2016" spans="11:59" x14ac:dyDescent="0.35">
      <c r="N2016">
        <f t="shared" si="243"/>
        <v>56</v>
      </c>
      <c r="O2016" s="3">
        <v>2</v>
      </c>
      <c r="P2016" s="36">
        <v>1130197</v>
      </c>
      <c r="Q2016" s="36">
        <v>28</v>
      </c>
      <c r="R2016" s="36"/>
      <c r="S2016" s="36" t="s">
        <v>1938</v>
      </c>
      <c r="T2016" s="36" t="s">
        <v>2102</v>
      </c>
      <c r="U2016" s="36">
        <v>2015327</v>
      </c>
      <c r="V2016" s="1024" t="s">
        <v>88</v>
      </c>
      <c r="W2016" s="36">
        <v>1</v>
      </c>
      <c r="X2016" s="36">
        <v>1</v>
      </c>
      <c r="Y2016" s="36">
        <v>1</v>
      </c>
      <c r="Z2016" s="36">
        <v>1</v>
      </c>
      <c r="AA2016" s="36">
        <v>1</v>
      </c>
      <c r="AB2016" s="36">
        <v>3</v>
      </c>
      <c r="AC2016" s="36">
        <v>3</v>
      </c>
      <c r="AD2016" s="36">
        <v>5</v>
      </c>
      <c r="AE2016" s="36"/>
      <c r="AF2016" s="36"/>
      <c r="AG2016" s="36"/>
      <c r="AH2016" s="36"/>
      <c r="AI2016" s="36"/>
      <c r="AJ2016" s="36">
        <v>2</v>
      </c>
      <c r="AK2016" s="36">
        <v>2</v>
      </c>
      <c r="AL2016" s="36">
        <v>2</v>
      </c>
      <c r="AM2016" s="36">
        <v>2</v>
      </c>
      <c r="AN2016" s="36">
        <v>4</v>
      </c>
      <c r="AO2016" s="36"/>
      <c r="AP2016" s="36"/>
      <c r="AQ2016" s="36"/>
      <c r="AR2016" s="36"/>
      <c r="AS2016" s="36"/>
      <c r="AT2016" s="36"/>
      <c r="AU2016" s="36"/>
      <c r="AV2016" s="36"/>
      <c r="AW2016" s="36"/>
      <c r="AX2016" s="36"/>
      <c r="AY2016" s="36"/>
      <c r="AZ2016" s="36"/>
      <c r="BA2016" s="36"/>
      <c r="BB2016" s="36"/>
      <c r="BC2016" s="27"/>
      <c r="BF2016">
        <f>ROWS($U$46:U2016)</f>
        <v>1971</v>
      </c>
      <c r="BG2016" t="str">
        <f t="shared" si="244"/>
        <v/>
      </c>
    </row>
    <row r="2017" spans="14:59" x14ac:dyDescent="0.35">
      <c r="N2017">
        <f t="shared" ref="N2017:N2063" si="246">O2017*Q2017</f>
        <v>66</v>
      </c>
      <c r="O2017" s="3">
        <v>3</v>
      </c>
      <c r="P2017" s="36">
        <v>1146737</v>
      </c>
      <c r="Q2017" s="36">
        <v>22</v>
      </c>
      <c r="R2017" s="36"/>
      <c r="S2017" s="36" t="s">
        <v>1938</v>
      </c>
      <c r="T2017" s="36" t="s">
        <v>2102</v>
      </c>
      <c r="U2017" s="36">
        <v>2015327</v>
      </c>
      <c r="V2017" s="1024" t="s">
        <v>89</v>
      </c>
      <c r="W2017" s="36">
        <v>3</v>
      </c>
      <c r="X2017" s="36">
        <v>3</v>
      </c>
      <c r="Y2017" s="36">
        <v>3</v>
      </c>
      <c r="Z2017" s="36">
        <v>1</v>
      </c>
      <c r="AA2017" s="36">
        <v>1</v>
      </c>
      <c r="AB2017" s="36">
        <v>1</v>
      </c>
      <c r="AC2017" s="36">
        <v>1</v>
      </c>
      <c r="AD2017" s="36">
        <v>1</v>
      </c>
      <c r="AE2017" s="36">
        <v>1</v>
      </c>
      <c r="AF2017" s="36">
        <v>3</v>
      </c>
      <c r="AG2017" s="36">
        <v>3</v>
      </c>
      <c r="AH2017" s="36">
        <v>5</v>
      </c>
      <c r="AI2017" s="36"/>
      <c r="AJ2017" s="36">
        <v>4</v>
      </c>
      <c r="AK2017" s="36">
        <v>4</v>
      </c>
      <c r="AL2017" s="36">
        <v>2</v>
      </c>
      <c r="AM2017" s="36">
        <v>2</v>
      </c>
      <c r="AN2017" s="36">
        <v>2</v>
      </c>
      <c r="AO2017" s="36">
        <v>2</v>
      </c>
      <c r="AP2017" s="36">
        <v>2</v>
      </c>
      <c r="AQ2017" s="36">
        <v>4</v>
      </c>
      <c r="AR2017" s="36"/>
      <c r="AS2017" s="36"/>
      <c r="AT2017" s="36"/>
      <c r="AU2017" s="36"/>
      <c r="AV2017" s="36"/>
      <c r="AW2017" s="36"/>
      <c r="AX2017" s="36"/>
      <c r="AY2017" s="36"/>
      <c r="AZ2017" s="36"/>
      <c r="BA2017" s="36"/>
      <c r="BB2017" s="36"/>
      <c r="BC2017" s="27"/>
      <c r="BF2017">
        <f>ROWS($U$46:U2017)</f>
        <v>1972</v>
      </c>
      <c r="BG2017" t="str">
        <f t="shared" si="244"/>
        <v/>
      </c>
    </row>
    <row r="2018" spans="14:59" x14ac:dyDescent="0.35">
      <c r="N2018">
        <f t="shared" si="246"/>
        <v>48</v>
      </c>
      <c r="O2018" s="3">
        <v>4</v>
      </c>
      <c r="P2018" s="36">
        <v>1192901</v>
      </c>
      <c r="Q2018" s="36">
        <v>12</v>
      </c>
      <c r="R2018" s="36"/>
      <c r="S2018" s="36" t="s">
        <v>1938</v>
      </c>
      <c r="T2018" s="36" t="s">
        <v>2102</v>
      </c>
      <c r="U2018" s="36">
        <v>2015327</v>
      </c>
      <c r="V2018" s="1024" t="s">
        <v>90</v>
      </c>
      <c r="W2018" s="36">
        <v>1</v>
      </c>
      <c r="X2018" s="36">
        <v>1</v>
      </c>
      <c r="Y2018" s="36">
        <v>1</v>
      </c>
      <c r="Z2018" s="36">
        <v>1</v>
      </c>
      <c r="AA2018" s="36">
        <v>1</v>
      </c>
      <c r="AB2018" s="36">
        <v>1</v>
      </c>
      <c r="AC2018" s="36">
        <v>3</v>
      </c>
      <c r="AD2018" s="36">
        <v>3</v>
      </c>
      <c r="AE2018" s="36">
        <v>5</v>
      </c>
      <c r="AF2018" s="36"/>
      <c r="AG2018" s="36"/>
      <c r="AH2018" s="36"/>
      <c r="AI2018" s="36"/>
      <c r="AJ2018" s="36">
        <v>2</v>
      </c>
      <c r="AK2018" s="36">
        <v>2</v>
      </c>
      <c r="AL2018" s="36">
        <v>2</v>
      </c>
      <c r="AM2018" s="36">
        <v>2</v>
      </c>
      <c r="AN2018" s="36">
        <v>2</v>
      </c>
      <c r="AO2018" s="36">
        <v>4</v>
      </c>
      <c r="AP2018" s="36"/>
      <c r="AQ2018" s="36"/>
      <c r="AR2018" s="36"/>
      <c r="AS2018" s="36"/>
      <c r="AT2018" s="36"/>
      <c r="AU2018" s="36"/>
      <c r="AV2018" s="36"/>
      <c r="AW2018" s="36"/>
      <c r="AX2018" s="36"/>
      <c r="AY2018" s="36"/>
      <c r="AZ2018" s="36"/>
      <c r="BA2018" s="36"/>
      <c r="BB2018" s="36"/>
      <c r="BC2018" s="27"/>
      <c r="BF2018">
        <f>ROWS($U$46:U2018)</f>
        <v>1973</v>
      </c>
      <c r="BG2018" t="str">
        <f t="shared" si="244"/>
        <v/>
      </c>
    </row>
    <row r="2019" spans="14:59" x14ac:dyDescent="0.35">
      <c r="N2019">
        <f t="shared" si="246"/>
        <v>30</v>
      </c>
      <c r="O2019" s="3">
        <v>5</v>
      </c>
      <c r="P2019" s="36">
        <v>871781</v>
      </c>
      <c r="Q2019" s="36">
        <v>6</v>
      </c>
      <c r="R2019" s="36"/>
      <c r="S2019" s="36" t="s">
        <v>1938</v>
      </c>
      <c r="T2019" s="36" t="s">
        <v>2102</v>
      </c>
      <c r="U2019" s="36">
        <v>2015327</v>
      </c>
      <c r="V2019" s="1024" t="s">
        <v>91</v>
      </c>
      <c r="W2019" s="36">
        <v>3</v>
      </c>
      <c r="X2019" s="36">
        <v>3</v>
      </c>
      <c r="Y2019" s="36">
        <v>3</v>
      </c>
      <c r="Z2019" s="36">
        <v>1</v>
      </c>
      <c r="AA2019" s="36">
        <v>1</v>
      </c>
      <c r="AB2019" s="36">
        <v>1</v>
      </c>
      <c r="AC2019" s="36">
        <v>1</v>
      </c>
      <c r="AD2019" s="36">
        <v>1</v>
      </c>
      <c r="AE2019" s="36">
        <v>1</v>
      </c>
      <c r="AF2019" s="36">
        <v>3</v>
      </c>
      <c r="AG2019" s="36">
        <v>3</v>
      </c>
      <c r="AH2019" s="36">
        <v>5</v>
      </c>
      <c r="AI2019" s="36"/>
      <c r="AJ2019" s="36">
        <v>4</v>
      </c>
      <c r="AK2019" s="36">
        <v>4</v>
      </c>
      <c r="AL2019" s="36">
        <v>2</v>
      </c>
      <c r="AM2019" s="36">
        <v>2</v>
      </c>
      <c r="AN2019" s="36">
        <v>2</v>
      </c>
      <c r="AO2019" s="36">
        <v>2</v>
      </c>
      <c r="AP2019" s="36">
        <v>2</v>
      </c>
      <c r="AQ2019" s="36">
        <v>4</v>
      </c>
      <c r="AR2019" s="36"/>
      <c r="AS2019" s="36"/>
      <c r="AT2019" s="36"/>
      <c r="AU2019" s="36"/>
      <c r="AV2019" s="36"/>
      <c r="AW2019" s="36"/>
      <c r="AX2019" s="36"/>
      <c r="AY2019" s="36"/>
      <c r="AZ2019" s="36"/>
      <c r="BA2019" s="36"/>
      <c r="BB2019" s="36"/>
      <c r="BC2019" s="27"/>
      <c r="BF2019">
        <f>ROWS($U$46:U2019)</f>
        <v>1974</v>
      </c>
      <c r="BG2019" t="str">
        <f t="shared" si="244"/>
        <v/>
      </c>
    </row>
    <row r="2020" spans="14:59" ht="15" thickBot="1" x14ac:dyDescent="0.4">
      <c r="N2020">
        <f t="shared" si="246"/>
        <v>0</v>
      </c>
      <c r="O2020" s="959"/>
      <c r="P2020" s="486"/>
      <c r="Q2020" s="486"/>
      <c r="R2020" s="486"/>
      <c r="S2020" s="486" t="s">
        <v>1938</v>
      </c>
      <c r="T2020" s="486" t="s">
        <v>2102</v>
      </c>
      <c r="U2020" s="486">
        <v>2015327</v>
      </c>
      <c r="V2020" s="487" t="s">
        <v>92</v>
      </c>
      <c r="W2020" s="486">
        <v>1</v>
      </c>
      <c r="X2020" s="486">
        <v>1</v>
      </c>
      <c r="Y2020" s="486">
        <v>1</v>
      </c>
      <c r="Z2020" s="486">
        <v>1</v>
      </c>
      <c r="AA2020" s="486">
        <v>1</v>
      </c>
      <c r="AB2020" s="486">
        <v>1</v>
      </c>
      <c r="AC2020" s="486">
        <v>3</v>
      </c>
      <c r="AD2020" s="486">
        <v>3</v>
      </c>
      <c r="AE2020" s="486">
        <v>5</v>
      </c>
      <c r="AF2020" s="486"/>
      <c r="AG2020" s="486"/>
      <c r="AH2020" s="486"/>
      <c r="AI2020" s="486"/>
      <c r="AJ2020" s="486">
        <v>2</v>
      </c>
      <c r="AK2020" s="486">
        <v>2</v>
      </c>
      <c r="AL2020" s="486">
        <v>2</v>
      </c>
      <c r="AM2020" s="486">
        <v>2</v>
      </c>
      <c r="AN2020" s="486">
        <v>2</v>
      </c>
      <c r="AO2020" s="486">
        <v>4</v>
      </c>
      <c r="AP2020" s="486"/>
      <c r="AQ2020" s="486"/>
      <c r="AR2020" s="486"/>
      <c r="AS2020" s="486"/>
      <c r="AT2020" s="486"/>
      <c r="AU2020" s="486"/>
      <c r="AV2020" s="486"/>
      <c r="AW2020" s="486"/>
      <c r="AX2020" s="486"/>
      <c r="AY2020" s="486"/>
      <c r="AZ2020" s="486"/>
      <c r="BA2020" s="486"/>
      <c r="BB2020" s="486"/>
      <c r="BC2020" s="488"/>
      <c r="BF2020">
        <f>ROWS($U$46:U2020)</f>
        <v>1975</v>
      </c>
      <c r="BG2020" t="str">
        <f t="shared" si="244"/>
        <v/>
      </c>
    </row>
    <row r="2021" spans="14:59" x14ac:dyDescent="0.35">
      <c r="N2021">
        <f t="shared" si="246"/>
        <v>12</v>
      </c>
      <c r="O2021" s="118">
        <v>1</v>
      </c>
      <c r="P2021" s="320">
        <v>1134752</v>
      </c>
      <c r="Q2021" s="320">
        <v>12</v>
      </c>
      <c r="R2021" s="320"/>
      <c r="S2021" s="320" t="s">
        <v>2316</v>
      </c>
      <c r="T2021" s="320" t="s">
        <v>2414</v>
      </c>
      <c r="U2021" s="320">
        <v>2019412</v>
      </c>
      <c r="V2021" s="1025" t="s">
        <v>87</v>
      </c>
      <c r="W2021" s="320">
        <v>3</v>
      </c>
      <c r="X2021" s="320">
        <v>2</v>
      </c>
      <c r="Y2021" s="320">
        <v>2</v>
      </c>
      <c r="Z2021" s="320">
        <v>2</v>
      </c>
      <c r="AA2021" s="320">
        <v>4</v>
      </c>
      <c r="AB2021" s="320">
        <v>7</v>
      </c>
      <c r="AC2021" s="320">
        <v>8</v>
      </c>
      <c r="AD2021" s="320">
        <v>5</v>
      </c>
      <c r="AE2021" s="320"/>
      <c r="AF2021" s="320">
        <v>1</v>
      </c>
      <c r="AG2021" s="320">
        <v>1</v>
      </c>
      <c r="AH2021" s="320">
        <v>6</v>
      </c>
      <c r="AI2021" s="320"/>
      <c r="AJ2021" s="320"/>
      <c r="AK2021" s="320"/>
      <c r="AL2021" s="320"/>
      <c r="AM2021" s="320"/>
      <c r="AN2021" s="320"/>
      <c r="AO2021" s="320"/>
      <c r="AP2021" s="320"/>
      <c r="AQ2021" s="320"/>
      <c r="AR2021" s="320"/>
      <c r="AS2021" s="320"/>
      <c r="AT2021" s="320"/>
      <c r="AU2021" s="320"/>
      <c r="AV2021" s="320"/>
      <c r="AW2021" s="320"/>
      <c r="AX2021" s="320"/>
      <c r="AY2021" s="320"/>
      <c r="AZ2021" s="320"/>
      <c r="BA2021" s="320"/>
      <c r="BB2021" s="320"/>
      <c r="BC2021" s="119"/>
      <c r="BF2021">
        <f>ROWS($U$46:U2021)</f>
        <v>1976</v>
      </c>
      <c r="BG2021" t="str">
        <f t="shared" si="244"/>
        <v/>
      </c>
    </row>
    <row r="2022" spans="14:59" x14ac:dyDescent="0.35">
      <c r="N2022">
        <f t="shared" si="246"/>
        <v>24</v>
      </c>
      <c r="O2022" s="3">
        <v>2</v>
      </c>
      <c r="P2022" s="36">
        <v>1282370</v>
      </c>
      <c r="Q2022" s="36">
        <v>12</v>
      </c>
      <c r="R2022" s="36"/>
      <c r="S2022" s="36" t="s">
        <v>2316</v>
      </c>
      <c r="T2022" s="36" t="s">
        <v>2414</v>
      </c>
      <c r="U2022" s="36">
        <v>2019412</v>
      </c>
      <c r="V2022" s="1024" t="s">
        <v>88</v>
      </c>
      <c r="W2022" s="36">
        <v>2</v>
      </c>
      <c r="X2022" s="36">
        <v>4</v>
      </c>
      <c r="Y2022" s="36">
        <v>7</v>
      </c>
      <c r="Z2022" s="36">
        <v>8</v>
      </c>
      <c r="AA2022" s="36">
        <v>5</v>
      </c>
      <c r="AB2022" s="36"/>
      <c r="AC2022" s="36"/>
      <c r="AD2022" s="36"/>
      <c r="AE2022" s="36"/>
      <c r="AF2022" s="36">
        <v>1</v>
      </c>
      <c r="AG2022" s="36">
        <v>1</v>
      </c>
      <c r="AH2022" s="36">
        <v>6</v>
      </c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  <c r="AV2022" s="36"/>
      <c r="AW2022" s="36"/>
      <c r="AX2022" s="36"/>
      <c r="AY2022" s="36"/>
      <c r="AZ2022" s="36"/>
      <c r="BA2022" s="36"/>
      <c r="BB2022" s="36"/>
      <c r="BC2022" s="27"/>
      <c r="BF2022">
        <f>ROWS($U$46:U2022)</f>
        <v>1977</v>
      </c>
      <c r="BG2022" t="str">
        <f t="shared" si="244"/>
        <v/>
      </c>
    </row>
    <row r="2023" spans="14:59" x14ac:dyDescent="0.35">
      <c r="N2023">
        <f t="shared" si="246"/>
        <v>3</v>
      </c>
      <c r="O2023" s="3">
        <v>3</v>
      </c>
      <c r="P2023" s="36">
        <v>1208601</v>
      </c>
      <c r="Q2023" s="36">
        <v>1</v>
      </c>
      <c r="R2023" s="36"/>
      <c r="S2023" s="36" t="s">
        <v>2316</v>
      </c>
      <c r="T2023" s="36" t="s">
        <v>2414</v>
      </c>
      <c r="U2023" s="36">
        <v>2019412</v>
      </c>
      <c r="V2023" s="1024" t="s">
        <v>89</v>
      </c>
      <c r="W2023" s="36">
        <v>2</v>
      </c>
      <c r="X2023" s="36">
        <v>2</v>
      </c>
      <c r="Y2023" s="36">
        <v>2</v>
      </c>
      <c r="Z2023" s="36">
        <v>4</v>
      </c>
      <c r="AA2023" s="36">
        <v>7</v>
      </c>
      <c r="AB2023" s="36">
        <v>8</v>
      </c>
      <c r="AC2023" s="36">
        <v>5</v>
      </c>
      <c r="AD2023" s="36"/>
      <c r="AE2023" s="36"/>
      <c r="AF2023" s="36">
        <v>1</v>
      </c>
      <c r="AG2023" s="36">
        <v>1</v>
      </c>
      <c r="AH2023" s="36">
        <v>6</v>
      </c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  <c r="AV2023" s="36"/>
      <c r="AW2023" s="36"/>
      <c r="AX2023" s="36"/>
      <c r="AY2023" s="36"/>
      <c r="AZ2023" s="36"/>
      <c r="BA2023" s="36"/>
      <c r="BB2023" s="36"/>
      <c r="BC2023" s="27"/>
      <c r="BF2023">
        <f>ROWS($U$46:U2023)</f>
        <v>1978</v>
      </c>
      <c r="BG2023" t="str">
        <f t="shared" si="244"/>
        <v/>
      </c>
    </row>
    <row r="2024" spans="14:59" x14ac:dyDescent="0.35">
      <c r="N2024">
        <f t="shared" si="246"/>
        <v>28</v>
      </c>
      <c r="O2024" s="3">
        <v>4</v>
      </c>
      <c r="P2024" s="36">
        <v>2001060</v>
      </c>
      <c r="Q2024" s="36">
        <v>7</v>
      </c>
      <c r="R2024" s="36"/>
      <c r="S2024" s="36" t="s">
        <v>2316</v>
      </c>
      <c r="T2024" s="36" t="s">
        <v>2414</v>
      </c>
      <c r="U2024" s="36">
        <v>2019412</v>
      </c>
      <c r="V2024" s="1024" t="s">
        <v>90</v>
      </c>
      <c r="W2024" s="36">
        <v>2</v>
      </c>
      <c r="X2024" s="36">
        <v>4</v>
      </c>
      <c r="Y2024" s="36">
        <v>7</v>
      </c>
      <c r="Z2024" s="36">
        <v>8</v>
      </c>
      <c r="AA2024" s="36">
        <v>5</v>
      </c>
      <c r="AB2024" s="36"/>
      <c r="AC2024" s="36"/>
      <c r="AD2024" s="36"/>
      <c r="AE2024" s="36"/>
      <c r="AF2024" s="36">
        <v>1</v>
      </c>
      <c r="AG2024" s="36">
        <v>1</v>
      </c>
      <c r="AH2024" s="36">
        <v>6</v>
      </c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  <c r="AV2024" s="36"/>
      <c r="AW2024" s="36"/>
      <c r="AX2024" s="36"/>
      <c r="AY2024" s="36"/>
      <c r="AZ2024" s="36"/>
      <c r="BA2024" s="36"/>
      <c r="BB2024" s="36"/>
      <c r="BC2024" s="27"/>
      <c r="BF2024">
        <f>ROWS($U$46:U2024)</f>
        <v>1979</v>
      </c>
      <c r="BG2024" t="str">
        <f t="shared" si="244"/>
        <v/>
      </c>
    </row>
    <row r="2025" spans="14:59" x14ac:dyDescent="0.35">
      <c r="N2025">
        <f t="shared" si="246"/>
        <v>30</v>
      </c>
      <c r="O2025" s="3">
        <v>5</v>
      </c>
      <c r="P2025" s="36">
        <v>871781</v>
      </c>
      <c r="Q2025" s="36">
        <v>6</v>
      </c>
      <c r="R2025" s="36"/>
      <c r="S2025" s="36" t="s">
        <v>2316</v>
      </c>
      <c r="T2025" s="36" t="s">
        <v>2414</v>
      </c>
      <c r="U2025" s="36">
        <v>2019412</v>
      </c>
      <c r="V2025" s="1024" t="s">
        <v>91</v>
      </c>
      <c r="W2025" s="36">
        <v>2</v>
      </c>
      <c r="X2025" s="36">
        <v>2</v>
      </c>
      <c r="Y2025" s="36">
        <v>2</v>
      </c>
      <c r="Z2025" s="36">
        <v>4</v>
      </c>
      <c r="AA2025" s="36">
        <v>7</v>
      </c>
      <c r="AB2025" s="36">
        <v>8</v>
      </c>
      <c r="AC2025" s="36">
        <v>5</v>
      </c>
      <c r="AD2025" s="36"/>
      <c r="AE2025" s="36"/>
      <c r="AF2025" s="36">
        <v>1</v>
      </c>
      <c r="AG2025" s="36">
        <v>1</v>
      </c>
      <c r="AH2025" s="36">
        <v>6</v>
      </c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  <c r="AV2025" s="36"/>
      <c r="AW2025" s="36"/>
      <c r="AX2025" s="36"/>
      <c r="AY2025" s="36"/>
      <c r="AZ2025" s="36"/>
      <c r="BA2025" s="36"/>
      <c r="BB2025" s="36"/>
      <c r="BC2025" s="27"/>
      <c r="BF2025">
        <f>ROWS($U$46:U2025)</f>
        <v>1980</v>
      </c>
      <c r="BG2025" t="str">
        <f t="shared" si="244"/>
        <v/>
      </c>
    </row>
    <row r="2026" spans="14:59" x14ac:dyDescent="0.35">
      <c r="N2026">
        <f t="shared" si="246"/>
        <v>36</v>
      </c>
      <c r="O2026" s="3">
        <v>6</v>
      </c>
      <c r="P2026" s="36">
        <v>1130197</v>
      </c>
      <c r="Q2026" s="36">
        <v>6</v>
      </c>
      <c r="R2026" s="36"/>
      <c r="S2026" s="36" t="s">
        <v>2316</v>
      </c>
      <c r="T2026" s="36" t="s">
        <v>2414</v>
      </c>
      <c r="U2026" s="36">
        <v>2019412</v>
      </c>
      <c r="V2026" s="1024" t="s">
        <v>92</v>
      </c>
      <c r="W2026" s="36">
        <v>2</v>
      </c>
      <c r="X2026" s="36">
        <v>4</v>
      </c>
      <c r="Y2026" s="36">
        <v>4</v>
      </c>
      <c r="Z2026" s="36">
        <v>8</v>
      </c>
      <c r="AA2026" s="36">
        <v>5</v>
      </c>
      <c r="AB2026" s="36"/>
      <c r="AC2026" s="36"/>
      <c r="AD2026" s="36"/>
      <c r="AE2026" s="36"/>
      <c r="AF2026" s="36">
        <v>1</v>
      </c>
      <c r="AG2026" s="36">
        <v>1</v>
      </c>
      <c r="AH2026" s="36">
        <v>6</v>
      </c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  <c r="AV2026" s="36"/>
      <c r="AW2026" s="36"/>
      <c r="AX2026" s="36"/>
      <c r="AY2026" s="36"/>
      <c r="AZ2026" s="36"/>
      <c r="BA2026" s="36"/>
      <c r="BB2026" s="36"/>
      <c r="BC2026" s="27"/>
      <c r="BF2026">
        <f>ROWS($U$46:U2026)</f>
        <v>1981</v>
      </c>
      <c r="BG2026" t="str">
        <f t="shared" si="244"/>
        <v/>
      </c>
    </row>
    <row r="2027" spans="14:59" x14ac:dyDescent="0.35">
      <c r="N2027">
        <f t="shared" si="246"/>
        <v>35</v>
      </c>
      <c r="O2027" s="3">
        <v>7</v>
      </c>
      <c r="P2027" s="36">
        <v>1288783</v>
      </c>
      <c r="Q2027" s="36">
        <v>5</v>
      </c>
      <c r="R2027" s="36"/>
      <c r="S2027" s="36" t="s">
        <v>2316</v>
      </c>
      <c r="T2027" s="36" t="s">
        <v>2414</v>
      </c>
      <c r="U2027" s="36">
        <v>2019412</v>
      </c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  <c r="AV2027" s="36"/>
      <c r="AW2027" s="36"/>
      <c r="AX2027" s="36"/>
      <c r="AY2027" s="36"/>
      <c r="AZ2027" s="36"/>
      <c r="BA2027" s="36"/>
      <c r="BB2027" s="36"/>
      <c r="BC2027" s="27"/>
      <c r="BF2027">
        <f>ROWS($U$46:U2027)</f>
        <v>1982</v>
      </c>
      <c r="BG2027" t="str">
        <f t="shared" si="244"/>
        <v/>
      </c>
    </row>
    <row r="2028" spans="14:59" ht="15" thickBot="1" x14ac:dyDescent="0.4">
      <c r="N2028">
        <f t="shared" si="246"/>
        <v>48</v>
      </c>
      <c r="O2028" s="959">
        <v>8</v>
      </c>
      <c r="P2028" s="486">
        <v>1146737</v>
      </c>
      <c r="Q2028" s="486">
        <v>6</v>
      </c>
      <c r="R2028" s="486"/>
      <c r="S2028" s="486" t="s">
        <v>2316</v>
      </c>
      <c r="T2028" s="486" t="s">
        <v>2414</v>
      </c>
      <c r="U2028" s="486">
        <v>2019412</v>
      </c>
      <c r="V2028" s="486"/>
      <c r="W2028" s="486"/>
      <c r="X2028" s="486"/>
      <c r="Y2028" s="486"/>
      <c r="Z2028" s="486"/>
      <c r="AA2028" s="486"/>
      <c r="AB2028" s="486"/>
      <c r="AC2028" s="486"/>
      <c r="AD2028" s="486"/>
      <c r="AE2028" s="486"/>
      <c r="AF2028" s="486"/>
      <c r="AG2028" s="486"/>
      <c r="AH2028" s="486"/>
      <c r="AI2028" s="486"/>
      <c r="AJ2028" s="486"/>
      <c r="AK2028" s="486"/>
      <c r="AL2028" s="486"/>
      <c r="AM2028" s="486"/>
      <c r="AN2028" s="486"/>
      <c r="AO2028" s="486"/>
      <c r="AP2028" s="486"/>
      <c r="AQ2028" s="486"/>
      <c r="AR2028" s="486"/>
      <c r="AS2028" s="486"/>
      <c r="AT2028" s="486"/>
      <c r="AU2028" s="486"/>
      <c r="AV2028" s="486"/>
      <c r="AW2028" s="486"/>
      <c r="AX2028" s="486"/>
      <c r="AY2028" s="486"/>
      <c r="AZ2028" s="486"/>
      <c r="BA2028" s="486"/>
      <c r="BB2028" s="486"/>
      <c r="BC2028" s="488"/>
      <c r="BF2028">
        <f>ROWS($U$46:U2028)</f>
        <v>1983</v>
      </c>
      <c r="BG2028" t="str">
        <f t="shared" si="244"/>
        <v/>
      </c>
    </row>
    <row r="2029" spans="14:59" x14ac:dyDescent="0.35">
      <c r="N2029">
        <f t="shared" si="246"/>
        <v>17</v>
      </c>
      <c r="O2029" s="118">
        <v>1</v>
      </c>
      <c r="P2029" s="320">
        <v>1146346</v>
      </c>
      <c r="Q2029" s="320">
        <v>17</v>
      </c>
      <c r="R2029" s="320"/>
      <c r="S2029" s="320" t="s">
        <v>2345</v>
      </c>
      <c r="T2029" s="320" t="s">
        <v>2423</v>
      </c>
      <c r="U2029" s="320">
        <v>2020054</v>
      </c>
      <c r="V2029" s="1025" t="s">
        <v>87</v>
      </c>
      <c r="W2029" s="320">
        <v>1</v>
      </c>
      <c r="X2029" s="320">
        <v>1</v>
      </c>
      <c r="Y2029" s="320">
        <v>1</v>
      </c>
      <c r="Z2029" s="320">
        <v>3</v>
      </c>
      <c r="AA2029" s="320">
        <v>3</v>
      </c>
      <c r="AB2029" s="320">
        <v>1</v>
      </c>
      <c r="AC2029" s="320">
        <v>4</v>
      </c>
      <c r="AD2029" s="320"/>
      <c r="AE2029" s="320">
        <v>2</v>
      </c>
      <c r="AF2029" s="320">
        <v>2</v>
      </c>
      <c r="AG2029" s="320"/>
      <c r="AH2029" s="320"/>
      <c r="AI2029" s="320"/>
      <c r="AJ2029" s="320"/>
      <c r="AK2029" s="320"/>
      <c r="AL2029" s="320"/>
      <c r="AM2029" s="320"/>
      <c r="AN2029" s="320"/>
      <c r="AO2029" s="320"/>
      <c r="AP2029" s="320"/>
      <c r="AQ2029" s="320"/>
      <c r="AR2029" s="320"/>
      <c r="AS2029" s="320"/>
      <c r="AT2029" s="320"/>
      <c r="AU2029" s="320"/>
      <c r="AV2029" s="320"/>
      <c r="AW2029" s="320"/>
      <c r="AX2029" s="320"/>
      <c r="AY2029" s="320"/>
      <c r="AZ2029" s="320"/>
      <c r="BA2029" s="320"/>
      <c r="BB2029" s="320"/>
      <c r="BC2029" s="119"/>
      <c r="BF2029">
        <f>ROWS($U$46:U2029)</f>
        <v>1984</v>
      </c>
      <c r="BG2029" t="str">
        <f t="shared" si="244"/>
        <v/>
      </c>
    </row>
    <row r="2030" spans="14:59" x14ac:dyDescent="0.35">
      <c r="N2030">
        <f t="shared" si="246"/>
        <v>20</v>
      </c>
      <c r="O2030" s="3">
        <v>2</v>
      </c>
      <c r="P2030" s="36">
        <v>649901</v>
      </c>
      <c r="Q2030" s="36">
        <v>10</v>
      </c>
      <c r="R2030" s="36"/>
      <c r="S2030" s="36" t="s">
        <v>2345</v>
      </c>
      <c r="T2030" s="36" t="s">
        <v>2423</v>
      </c>
      <c r="U2030" s="36">
        <v>2020054</v>
      </c>
      <c r="V2030" s="1024" t="s">
        <v>88</v>
      </c>
      <c r="W2030" s="36">
        <v>3</v>
      </c>
      <c r="X2030" s="36">
        <v>3</v>
      </c>
      <c r="Y2030" s="36">
        <v>1</v>
      </c>
      <c r="Z2030" s="36">
        <v>4</v>
      </c>
      <c r="AA2030" s="36"/>
      <c r="AB2030" s="36"/>
      <c r="AC2030" s="36"/>
      <c r="AD2030" s="36"/>
      <c r="AE2030" s="36">
        <v>2</v>
      </c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  <c r="AV2030" s="36"/>
      <c r="AW2030" s="36"/>
      <c r="AX2030" s="36"/>
      <c r="AY2030" s="36"/>
      <c r="AZ2030" s="36"/>
      <c r="BA2030" s="36"/>
      <c r="BB2030" s="36"/>
      <c r="BC2030" s="27"/>
      <c r="BF2030">
        <f>ROWS($U$46:U2030)</f>
        <v>1985</v>
      </c>
      <c r="BG2030" t="str">
        <f t="shared" si="244"/>
        <v/>
      </c>
    </row>
    <row r="2031" spans="14:59" x14ac:dyDescent="0.35">
      <c r="N2031">
        <f t="shared" si="246"/>
        <v>21</v>
      </c>
      <c r="O2031" s="3">
        <v>3</v>
      </c>
      <c r="P2031" s="36">
        <v>1244299</v>
      </c>
      <c r="Q2031" s="36">
        <v>7</v>
      </c>
      <c r="R2031" s="36"/>
      <c r="S2031" s="36" t="s">
        <v>2345</v>
      </c>
      <c r="T2031" s="36" t="s">
        <v>2423</v>
      </c>
      <c r="U2031" s="36">
        <v>2020054</v>
      </c>
      <c r="V2031" s="1024" t="s">
        <v>89</v>
      </c>
      <c r="W2031" s="36">
        <v>1</v>
      </c>
      <c r="X2031" s="36">
        <v>1</v>
      </c>
      <c r="Y2031" s="36">
        <v>1</v>
      </c>
      <c r="Z2031" s="36">
        <v>3</v>
      </c>
      <c r="AA2031" s="36">
        <v>1</v>
      </c>
      <c r="AB2031" s="36">
        <v>4</v>
      </c>
      <c r="AC2031" s="36"/>
      <c r="AD2031" s="36"/>
      <c r="AE2031" s="36">
        <v>2</v>
      </c>
      <c r="AF2031" s="36">
        <v>2</v>
      </c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  <c r="AV2031" s="36"/>
      <c r="AW2031" s="36"/>
      <c r="AX2031" s="36"/>
      <c r="AY2031" s="36"/>
      <c r="AZ2031" s="36"/>
      <c r="BA2031" s="36"/>
      <c r="BB2031" s="36"/>
      <c r="BC2031" s="27"/>
      <c r="BF2031">
        <f>ROWS($U$46:U2031)</f>
        <v>1986</v>
      </c>
      <c r="BG2031" t="str">
        <f t="shared" ref="BG2031:BG2094" si="247">IF(VALUE(SUBSTITUTE($B$5,"M",""))=U2031,BF2031,"")</f>
        <v/>
      </c>
    </row>
    <row r="2032" spans="14:59" x14ac:dyDescent="0.35">
      <c r="N2032">
        <f t="shared" si="246"/>
        <v>20</v>
      </c>
      <c r="O2032" s="3">
        <v>4</v>
      </c>
      <c r="P2032" s="36">
        <v>871781</v>
      </c>
      <c r="Q2032" s="36">
        <v>5</v>
      </c>
      <c r="R2032" s="36"/>
      <c r="S2032" s="36" t="s">
        <v>2345</v>
      </c>
      <c r="T2032" s="36" t="s">
        <v>2423</v>
      </c>
      <c r="U2032" s="36">
        <v>2020054</v>
      </c>
      <c r="V2032" s="1024" t="s">
        <v>90</v>
      </c>
      <c r="W2032" s="36">
        <v>1</v>
      </c>
      <c r="X2032" s="36">
        <v>1</v>
      </c>
      <c r="Y2032" s="36">
        <v>1</v>
      </c>
      <c r="Z2032" s="36">
        <v>3</v>
      </c>
      <c r="AA2032" s="36">
        <v>1</v>
      </c>
      <c r="AB2032" s="36">
        <v>1</v>
      </c>
      <c r="AC2032" s="36">
        <v>4</v>
      </c>
      <c r="AD2032" s="36"/>
      <c r="AE2032" s="36">
        <v>2</v>
      </c>
      <c r="AF2032" s="36">
        <v>2</v>
      </c>
      <c r="AG2032" s="36">
        <v>2</v>
      </c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  <c r="AV2032" s="36"/>
      <c r="AW2032" s="36"/>
      <c r="AX2032" s="36"/>
      <c r="AY2032" s="36"/>
      <c r="AZ2032" s="36"/>
      <c r="BA2032" s="36"/>
      <c r="BB2032" s="36"/>
      <c r="BC2032" s="27"/>
      <c r="BF2032">
        <f>ROWS($U$46:U2032)</f>
        <v>1987</v>
      </c>
      <c r="BG2032" t="str">
        <f t="shared" si="247"/>
        <v/>
      </c>
    </row>
    <row r="2033" spans="14:59" ht="15" thickBot="1" x14ac:dyDescent="0.4">
      <c r="N2033">
        <f t="shared" si="246"/>
        <v>0</v>
      </c>
      <c r="O2033" s="76"/>
      <c r="P2033" s="328"/>
      <c r="Q2033" s="328"/>
      <c r="R2033" s="328"/>
      <c r="S2033" s="328" t="s">
        <v>2345</v>
      </c>
      <c r="T2033" s="328" t="s">
        <v>2423</v>
      </c>
      <c r="U2033" s="328">
        <v>2020054</v>
      </c>
      <c r="V2033" s="1058" t="s">
        <v>91</v>
      </c>
      <c r="W2033" s="328">
        <v>1</v>
      </c>
      <c r="X2033" s="328">
        <v>3</v>
      </c>
      <c r="Y2033" s="328">
        <v>1</v>
      </c>
      <c r="Z2033" s="328">
        <v>1</v>
      </c>
      <c r="AA2033" s="328">
        <v>4</v>
      </c>
      <c r="AB2033" s="328"/>
      <c r="AC2033" s="328"/>
      <c r="AD2033" s="328"/>
      <c r="AE2033" s="328">
        <v>2</v>
      </c>
      <c r="AF2033" s="328">
        <v>2</v>
      </c>
      <c r="AG2033" s="328"/>
      <c r="AH2033" s="328"/>
      <c r="AI2033" s="328"/>
      <c r="AJ2033" s="328"/>
      <c r="AK2033" s="328"/>
      <c r="AL2033" s="328"/>
      <c r="AM2033" s="328"/>
      <c r="AN2033" s="328"/>
      <c r="AO2033" s="328"/>
      <c r="AP2033" s="328"/>
      <c r="AQ2033" s="328"/>
      <c r="AR2033" s="328"/>
      <c r="AS2033" s="328"/>
      <c r="AT2033" s="328"/>
      <c r="AU2033" s="328"/>
      <c r="AV2033" s="328"/>
      <c r="AW2033" s="328"/>
      <c r="AX2033" s="328"/>
      <c r="AY2033" s="328"/>
      <c r="AZ2033" s="328"/>
      <c r="BA2033" s="328"/>
      <c r="BB2033" s="328"/>
      <c r="BC2033" s="31"/>
      <c r="BF2033">
        <f>ROWS($U$46:U2033)</f>
        <v>1988</v>
      </c>
      <c r="BG2033" t="str">
        <f t="shared" si="247"/>
        <v/>
      </c>
    </row>
    <row r="2034" spans="14:59" x14ac:dyDescent="0.35">
      <c r="N2034">
        <f t="shared" si="246"/>
        <v>15</v>
      </c>
      <c r="O2034" s="118">
        <v>1</v>
      </c>
      <c r="P2034" s="320">
        <v>2002243</v>
      </c>
      <c r="Q2034" s="320">
        <v>15</v>
      </c>
      <c r="R2034" s="320"/>
      <c r="S2034" s="320" t="s">
        <v>2345</v>
      </c>
      <c r="T2034" s="320" t="s">
        <v>2154</v>
      </c>
      <c r="U2034" s="320">
        <v>2017993</v>
      </c>
      <c r="V2034" s="1025" t="s">
        <v>87</v>
      </c>
      <c r="W2034" s="320">
        <v>4</v>
      </c>
      <c r="X2034" s="320">
        <v>4</v>
      </c>
      <c r="Y2034" s="320">
        <v>4</v>
      </c>
      <c r="Z2034" s="320">
        <v>2</v>
      </c>
      <c r="AA2034" s="320">
        <v>2</v>
      </c>
      <c r="AB2034" s="320">
        <v>4</v>
      </c>
      <c r="AC2034" s="320">
        <v>3</v>
      </c>
      <c r="AD2034" s="320"/>
      <c r="AE2034" s="320">
        <v>1</v>
      </c>
      <c r="AF2034" s="320">
        <v>1</v>
      </c>
      <c r="AG2034" s="320"/>
      <c r="AH2034" s="320"/>
      <c r="AI2034" s="320"/>
      <c r="AJ2034" s="320"/>
      <c r="AK2034" s="320"/>
      <c r="AL2034" s="320"/>
      <c r="AM2034" s="320"/>
      <c r="AN2034" s="320"/>
      <c r="AO2034" s="320"/>
      <c r="AP2034" s="320"/>
      <c r="AQ2034" s="320"/>
      <c r="AR2034" s="320"/>
      <c r="AS2034" s="320"/>
      <c r="AT2034" s="320"/>
      <c r="AU2034" s="320"/>
      <c r="AV2034" s="320"/>
      <c r="AW2034" s="320"/>
      <c r="AX2034" s="320"/>
      <c r="AY2034" s="320"/>
      <c r="AZ2034" s="320"/>
      <c r="BA2034" s="320"/>
      <c r="BB2034" s="320"/>
      <c r="BC2034" s="119"/>
      <c r="BF2034">
        <f>ROWS($U$46:U2034)</f>
        <v>1989</v>
      </c>
      <c r="BG2034" t="str">
        <f t="shared" si="247"/>
        <v/>
      </c>
    </row>
    <row r="2035" spans="14:59" x14ac:dyDescent="0.35">
      <c r="N2035">
        <f t="shared" si="246"/>
        <v>20</v>
      </c>
      <c r="O2035" s="3">
        <v>2</v>
      </c>
      <c r="P2035" s="36">
        <v>1228502</v>
      </c>
      <c r="Q2035" s="36">
        <v>10</v>
      </c>
      <c r="R2035" s="36"/>
      <c r="S2035" s="36" t="s">
        <v>2345</v>
      </c>
      <c r="T2035" s="36" t="s">
        <v>2154</v>
      </c>
      <c r="U2035" s="36">
        <v>2017993</v>
      </c>
      <c r="V2035" s="1024" t="s">
        <v>88</v>
      </c>
      <c r="W2035" s="36">
        <v>2</v>
      </c>
      <c r="X2035" s="36">
        <v>2</v>
      </c>
      <c r="Y2035" s="36">
        <v>4</v>
      </c>
      <c r="Z2035" s="36">
        <v>3</v>
      </c>
      <c r="AA2035" s="36"/>
      <c r="AB2035" s="36"/>
      <c r="AC2035" s="36"/>
      <c r="AD2035" s="36"/>
      <c r="AE2035" s="36">
        <v>1</v>
      </c>
      <c r="AF2035" s="36">
        <v>1</v>
      </c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  <c r="AV2035" s="36"/>
      <c r="AW2035" s="36"/>
      <c r="AX2035" s="36"/>
      <c r="AY2035" s="36"/>
      <c r="AZ2035" s="36"/>
      <c r="BA2035" s="36"/>
      <c r="BB2035" s="36"/>
      <c r="BC2035" s="27"/>
      <c r="BF2035">
        <f>ROWS($U$46:U2035)</f>
        <v>1990</v>
      </c>
      <c r="BG2035" t="str">
        <f t="shared" si="247"/>
        <v/>
      </c>
    </row>
    <row r="2036" spans="14:59" x14ac:dyDescent="0.35">
      <c r="N2036">
        <f t="shared" si="246"/>
        <v>18</v>
      </c>
      <c r="O2036" s="3">
        <v>3</v>
      </c>
      <c r="P2036" s="36">
        <v>871781</v>
      </c>
      <c r="Q2036" s="36">
        <v>6</v>
      </c>
      <c r="R2036" s="36"/>
      <c r="S2036" s="36" t="s">
        <v>2345</v>
      </c>
      <c r="T2036" s="36" t="s">
        <v>2154</v>
      </c>
      <c r="U2036" s="36">
        <v>2017993</v>
      </c>
      <c r="V2036" s="1024" t="s">
        <v>89</v>
      </c>
      <c r="W2036" s="36">
        <v>4</v>
      </c>
      <c r="X2036" s="36">
        <v>4</v>
      </c>
      <c r="Y2036" s="36">
        <v>2</v>
      </c>
      <c r="Z2036" s="36">
        <v>2</v>
      </c>
      <c r="AA2036" s="36">
        <v>5</v>
      </c>
      <c r="AB2036" s="36">
        <v>4</v>
      </c>
      <c r="AC2036" s="36">
        <v>3</v>
      </c>
      <c r="AD2036" s="36"/>
      <c r="AE2036" s="36">
        <v>1</v>
      </c>
      <c r="AF2036" s="36">
        <v>1</v>
      </c>
      <c r="AG2036" s="36">
        <v>1</v>
      </c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  <c r="AV2036" s="36"/>
      <c r="AW2036" s="36"/>
      <c r="AX2036" s="36"/>
      <c r="AY2036" s="36"/>
      <c r="AZ2036" s="36"/>
      <c r="BA2036" s="36"/>
      <c r="BB2036" s="36"/>
      <c r="BC2036" s="27"/>
      <c r="BF2036">
        <f>ROWS($U$46:U2036)</f>
        <v>1991</v>
      </c>
      <c r="BG2036" t="str">
        <f t="shared" si="247"/>
        <v/>
      </c>
    </row>
    <row r="2037" spans="14:59" x14ac:dyDescent="0.35">
      <c r="N2037">
        <f t="shared" si="246"/>
        <v>60</v>
      </c>
      <c r="O2037" s="3">
        <v>4</v>
      </c>
      <c r="P2037" s="36">
        <v>2002244</v>
      </c>
      <c r="Q2037" s="36">
        <v>15</v>
      </c>
      <c r="R2037" s="36"/>
      <c r="S2037" s="36" t="s">
        <v>2345</v>
      </c>
      <c r="T2037" s="36" t="s">
        <v>2154</v>
      </c>
      <c r="U2037" s="36">
        <v>2017993</v>
      </c>
      <c r="V2037" s="1024" t="s">
        <v>90</v>
      </c>
      <c r="W2037" s="36">
        <v>5</v>
      </c>
      <c r="X2037" s="36">
        <v>2</v>
      </c>
      <c r="Y2037" s="36">
        <v>5</v>
      </c>
      <c r="Z2037" s="36">
        <v>4</v>
      </c>
      <c r="AA2037" s="36">
        <v>3</v>
      </c>
      <c r="AB2037" s="36"/>
      <c r="AC2037" s="36"/>
      <c r="AD2037" s="36"/>
      <c r="AE2037" s="36">
        <v>1</v>
      </c>
      <c r="AF2037" s="36">
        <v>1</v>
      </c>
      <c r="AG2037" s="36">
        <v>1</v>
      </c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  <c r="AV2037" s="36"/>
      <c r="AW2037" s="36"/>
      <c r="AX2037" s="36"/>
      <c r="AY2037" s="36"/>
      <c r="AZ2037" s="36"/>
      <c r="BA2037" s="36"/>
      <c r="BB2037" s="36"/>
      <c r="BC2037" s="27"/>
      <c r="BF2037">
        <f>ROWS($U$46:U2037)</f>
        <v>1992</v>
      </c>
      <c r="BG2037" t="str">
        <f t="shared" si="247"/>
        <v/>
      </c>
    </row>
    <row r="2038" spans="14:59" x14ac:dyDescent="0.35">
      <c r="N2038">
        <f t="shared" si="246"/>
        <v>20</v>
      </c>
      <c r="O2038" s="3">
        <v>5</v>
      </c>
      <c r="P2038" s="36">
        <v>2002299</v>
      </c>
      <c r="Q2038" s="36">
        <v>4</v>
      </c>
      <c r="R2038" s="36"/>
      <c r="S2038" s="36" t="s">
        <v>2345</v>
      </c>
      <c r="T2038" s="36" t="s">
        <v>2154</v>
      </c>
      <c r="U2038" s="36">
        <v>2017993</v>
      </c>
      <c r="V2038" s="1024" t="s">
        <v>91</v>
      </c>
      <c r="W2038" s="36">
        <v>4</v>
      </c>
      <c r="X2038" s="36">
        <v>4</v>
      </c>
      <c r="Y2038" s="36">
        <v>4</v>
      </c>
      <c r="Z2038" s="36">
        <v>2</v>
      </c>
      <c r="AA2038" s="36">
        <v>5</v>
      </c>
      <c r="AB2038" s="36">
        <v>4</v>
      </c>
      <c r="AC2038" s="36">
        <v>3</v>
      </c>
      <c r="AD2038" s="36"/>
      <c r="AE2038" s="36">
        <v>1</v>
      </c>
      <c r="AF2038" s="36">
        <v>1</v>
      </c>
      <c r="AG2038" s="36">
        <v>1</v>
      </c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  <c r="AV2038" s="36"/>
      <c r="AW2038" s="36"/>
      <c r="AX2038" s="36"/>
      <c r="AY2038" s="36"/>
      <c r="AZ2038" s="36"/>
      <c r="BA2038" s="36"/>
      <c r="BB2038" s="36"/>
      <c r="BC2038" s="27"/>
      <c r="BF2038">
        <f>ROWS($U$46:U2038)</f>
        <v>1993</v>
      </c>
      <c r="BG2038" t="str">
        <f t="shared" si="247"/>
        <v/>
      </c>
    </row>
    <row r="2039" spans="14:59" ht="15" thickBot="1" x14ac:dyDescent="0.4">
      <c r="N2039">
        <f t="shared" si="246"/>
        <v>60</v>
      </c>
      <c r="O2039" s="1062">
        <v>6</v>
      </c>
      <c r="P2039" s="1063">
        <v>1228501</v>
      </c>
      <c r="Q2039" s="1063">
        <v>10</v>
      </c>
      <c r="R2039" s="486"/>
      <c r="S2039" s="486" t="s">
        <v>2345</v>
      </c>
      <c r="T2039" s="486" t="s">
        <v>2154</v>
      </c>
      <c r="U2039" s="486">
        <v>2017993</v>
      </c>
      <c r="V2039" s="487" t="s">
        <v>92</v>
      </c>
      <c r="W2039" s="486">
        <v>4</v>
      </c>
      <c r="X2039" s="486">
        <v>2</v>
      </c>
      <c r="Y2039" s="486">
        <v>2</v>
      </c>
      <c r="Z2039" s="486">
        <v>4</v>
      </c>
      <c r="AA2039" s="486">
        <v>3</v>
      </c>
      <c r="AB2039" s="486"/>
      <c r="AC2039" s="486"/>
      <c r="AD2039" s="486"/>
      <c r="AE2039" s="486">
        <v>1</v>
      </c>
      <c r="AF2039" s="486">
        <v>1</v>
      </c>
      <c r="AG2039" s="486"/>
      <c r="AH2039" s="486"/>
      <c r="AI2039" s="486"/>
      <c r="AJ2039" s="486"/>
      <c r="AK2039" s="486"/>
      <c r="AL2039" s="486"/>
      <c r="AM2039" s="486"/>
      <c r="AN2039" s="486"/>
      <c r="AO2039" s="486"/>
      <c r="AP2039" s="486"/>
      <c r="AQ2039" s="486"/>
      <c r="AR2039" s="486"/>
      <c r="AS2039" s="486"/>
      <c r="AT2039" s="486"/>
      <c r="AU2039" s="486"/>
      <c r="AV2039" s="486"/>
      <c r="AW2039" s="486"/>
      <c r="AX2039" s="486"/>
      <c r="AY2039" s="486"/>
      <c r="AZ2039" s="486"/>
      <c r="BA2039" s="486"/>
      <c r="BB2039" s="486"/>
      <c r="BC2039" s="488"/>
      <c r="BF2039">
        <f>ROWS($U$46:U2039)</f>
        <v>1994</v>
      </c>
      <c r="BG2039" t="str">
        <f t="shared" si="247"/>
        <v/>
      </c>
    </row>
    <row r="2040" spans="14:59" x14ac:dyDescent="0.35">
      <c r="N2040">
        <f t="shared" si="246"/>
        <v>23</v>
      </c>
      <c r="O2040" s="118">
        <v>1</v>
      </c>
      <c r="P2040" s="320">
        <v>647435</v>
      </c>
      <c r="Q2040" s="320">
        <v>23</v>
      </c>
      <c r="R2040" s="320"/>
      <c r="S2040" s="552" t="s">
        <v>1198</v>
      </c>
      <c r="T2040" s="320" t="s">
        <v>2430</v>
      </c>
      <c r="U2040" s="320">
        <v>2019414</v>
      </c>
      <c r="V2040" s="1025" t="s">
        <v>87</v>
      </c>
      <c r="W2040" s="320">
        <v>3</v>
      </c>
      <c r="X2040" s="320">
        <v>5</v>
      </c>
      <c r="Y2040" s="320">
        <v>5</v>
      </c>
      <c r="Z2040" s="320">
        <v>6</v>
      </c>
      <c r="AA2040" s="320">
        <v>2</v>
      </c>
      <c r="AB2040" s="320">
        <v>2</v>
      </c>
      <c r="AC2040" s="320">
        <v>3</v>
      </c>
      <c r="AD2040" s="320">
        <v>4</v>
      </c>
      <c r="AE2040" s="320"/>
      <c r="AF2040" s="320">
        <v>1</v>
      </c>
      <c r="AG2040" s="320">
        <v>1</v>
      </c>
      <c r="AH2040" s="320">
        <v>1</v>
      </c>
      <c r="AI2040" s="320">
        <v>1</v>
      </c>
      <c r="AJ2040" s="320"/>
      <c r="AK2040" s="320"/>
      <c r="AL2040" s="320"/>
      <c r="AM2040" s="320"/>
      <c r="AN2040" s="320"/>
      <c r="AO2040" s="320"/>
      <c r="AP2040" s="320"/>
      <c r="AQ2040" s="320"/>
      <c r="AR2040" s="320"/>
      <c r="AS2040" s="320"/>
      <c r="AT2040" s="320"/>
      <c r="AU2040" s="320"/>
      <c r="AV2040" s="320"/>
      <c r="AW2040" s="320"/>
      <c r="AX2040" s="320"/>
      <c r="AY2040" s="320"/>
      <c r="AZ2040" s="320"/>
      <c r="BA2040" s="320"/>
      <c r="BB2040" s="320"/>
      <c r="BC2040" s="119"/>
      <c r="BF2040">
        <f>ROWS($U$46:U2040)</f>
        <v>1995</v>
      </c>
      <c r="BG2040" t="str">
        <f t="shared" si="247"/>
        <v/>
      </c>
    </row>
    <row r="2041" spans="14:59" x14ac:dyDescent="0.35">
      <c r="N2041">
        <f t="shared" si="246"/>
        <v>28</v>
      </c>
      <c r="O2041" s="3">
        <v>2</v>
      </c>
      <c r="P2041" s="36">
        <v>1288783</v>
      </c>
      <c r="Q2041" s="36">
        <v>14</v>
      </c>
      <c r="R2041" s="36"/>
      <c r="S2041" s="36" t="s">
        <v>1198</v>
      </c>
      <c r="T2041" s="36" t="s">
        <v>2430</v>
      </c>
      <c r="U2041" s="36">
        <v>2019414</v>
      </c>
      <c r="V2041" s="1024" t="s">
        <v>88</v>
      </c>
      <c r="W2041" s="36">
        <v>6</v>
      </c>
      <c r="X2041" s="36">
        <v>2</v>
      </c>
      <c r="Y2041" s="36">
        <v>2</v>
      </c>
      <c r="Z2041" s="36">
        <v>3</v>
      </c>
      <c r="AA2041" s="36">
        <v>4</v>
      </c>
      <c r="AB2041" s="36"/>
      <c r="AC2041" s="36"/>
      <c r="AD2041" s="36"/>
      <c r="AE2041" s="36"/>
      <c r="AF2041" s="36">
        <v>1</v>
      </c>
      <c r="AG2041" s="36">
        <v>1</v>
      </c>
      <c r="AH2041" s="36">
        <v>1</v>
      </c>
      <c r="AI2041" s="36">
        <v>1</v>
      </c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  <c r="AV2041" s="36"/>
      <c r="AW2041" s="36"/>
      <c r="AX2041" s="36"/>
      <c r="AY2041" s="36"/>
      <c r="AZ2041" s="36"/>
      <c r="BA2041" s="36"/>
      <c r="BB2041" s="36"/>
      <c r="BC2041" s="27"/>
      <c r="BF2041">
        <f>ROWS($U$46:U2041)</f>
        <v>1996</v>
      </c>
      <c r="BG2041" t="str">
        <f t="shared" si="247"/>
        <v/>
      </c>
    </row>
    <row r="2042" spans="14:59" x14ac:dyDescent="0.35">
      <c r="N2042">
        <f t="shared" si="246"/>
        <v>21</v>
      </c>
      <c r="O2042" s="3">
        <v>3</v>
      </c>
      <c r="P2042" s="36">
        <v>1146737</v>
      </c>
      <c r="Q2042" s="36">
        <v>7</v>
      </c>
      <c r="R2042" s="36"/>
      <c r="S2042" s="36" t="s">
        <v>1198</v>
      </c>
      <c r="T2042" s="36" t="s">
        <v>2430</v>
      </c>
      <c r="U2042" s="36">
        <v>2019414</v>
      </c>
      <c r="V2042" s="1024" t="s">
        <v>89</v>
      </c>
      <c r="W2042" s="36">
        <v>5</v>
      </c>
      <c r="X2042" s="36">
        <v>5</v>
      </c>
      <c r="Y2042" s="36">
        <v>6</v>
      </c>
      <c r="Z2042" s="36">
        <v>2</v>
      </c>
      <c r="AA2042" s="36">
        <v>2</v>
      </c>
      <c r="AB2042" s="36">
        <v>3</v>
      </c>
      <c r="AC2042" s="36">
        <v>4</v>
      </c>
      <c r="AD2042" s="36"/>
      <c r="AE2042" s="36"/>
      <c r="AF2042" s="36">
        <v>1</v>
      </c>
      <c r="AG2042" s="36">
        <v>1</v>
      </c>
      <c r="AH2042" s="36">
        <v>1</v>
      </c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  <c r="AV2042" s="36"/>
      <c r="AW2042" s="36"/>
      <c r="AX2042" s="36"/>
      <c r="AY2042" s="36"/>
      <c r="AZ2042" s="36"/>
      <c r="BA2042" s="36"/>
      <c r="BB2042" s="36"/>
      <c r="BC2042" s="27"/>
      <c r="BF2042">
        <f>ROWS($U$46:U2042)</f>
        <v>1997</v>
      </c>
      <c r="BG2042" t="str">
        <f t="shared" si="247"/>
        <v/>
      </c>
    </row>
    <row r="2043" spans="14:59" x14ac:dyDescent="0.35">
      <c r="N2043">
        <f t="shared" si="246"/>
        <v>24</v>
      </c>
      <c r="O2043" s="3">
        <v>4</v>
      </c>
      <c r="P2043" s="36">
        <v>871781</v>
      </c>
      <c r="Q2043" s="36">
        <v>6</v>
      </c>
      <c r="R2043" s="36"/>
      <c r="S2043" s="36" t="s">
        <v>1198</v>
      </c>
      <c r="T2043" s="36" t="s">
        <v>2430</v>
      </c>
      <c r="U2043" s="36">
        <v>2019414</v>
      </c>
      <c r="V2043" s="1024" t="s">
        <v>90</v>
      </c>
      <c r="W2043" s="36">
        <v>6</v>
      </c>
      <c r="X2043" s="36">
        <v>2</v>
      </c>
      <c r="Y2043" s="36">
        <v>2</v>
      </c>
      <c r="Z2043" s="36">
        <v>2</v>
      </c>
      <c r="AA2043" s="36">
        <v>3</v>
      </c>
      <c r="AB2043" s="36">
        <v>4</v>
      </c>
      <c r="AC2043" s="36"/>
      <c r="AD2043" s="36"/>
      <c r="AE2043" s="36"/>
      <c r="AF2043" s="36">
        <v>1</v>
      </c>
      <c r="AG2043" s="36">
        <v>1</v>
      </c>
      <c r="AH2043" s="36">
        <v>1</v>
      </c>
      <c r="AI2043" s="36">
        <v>1</v>
      </c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  <c r="AV2043" s="36"/>
      <c r="AW2043" s="36"/>
      <c r="AX2043" s="36"/>
      <c r="AY2043" s="36"/>
      <c r="AZ2043" s="36"/>
      <c r="BA2043" s="36"/>
      <c r="BB2043" s="36"/>
      <c r="BC2043" s="27"/>
      <c r="BF2043">
        <f>ROWS($U$46:U2043)</f>
        <v>1998</v>
      </c>
      <c r="BG2043" t="str">
        <f t="shared" si="247"/>
        <v/>
      </c>
    </row>
    <row r="2044" spans="14:59" x14ac:dyDescent="0.35">
      <c r="N2044">
        <f t="shared" si="246"/>
        <v>30</v>
      </c>
      <c r="O2044" s="3">
        <v>5</v>
      </c>
      <c r="P2044" s="36">
        <v>1282370</v>
      </c>
      <c r="Q2044" s="36">
        <v>6</v>
      </c>
      <c r="R2044" s="36"/>
      <c r="S2044" s="36" t="s">
        <v>1198</v>
      </c>
      <c r="T2044" s="36" t="s">
        <v>2430</v>
      </c>
      <c r="U2044" s="36">
        <v>2019414</v>
      </c>
      <c r="V2044" s="1024" t="s">
        <v>91</v>
      </c>
      <c r="W2044" s="36">
        <v>5</v>
      </c>
      <c r="X2044" s="36">
        <v>5</v>
      </c>
      <c r="Y2044" s="36">
        <v>6</v>
      </c>
      <c r="Z2044" s="36">
        <v>2</v>
      </c>
      <c r="AA2044" s="36">
        <v>2</v>
      </c>
      <c r="AB2044" s="36">
        <v>2</v>
      </c>
      <c r="AC2044" s="36">
        <v>3</v>
      </c>
      <c r="AD2044" s="36">
        <v>4</v>
      </c>
      <c r="AE2044" s="36"/>
      <c r="AF2044" s="36">
        <v>1</v>
      </c>
      <c r="AG2044" s="36">
        <v>1</v>
      </c>
      <c r="AH2044" s="36">
        <v>1</v>
      </c>
      <c r="AI2044" s="36">
        <v>1</v>
      </c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  <c r="AV2044" s="36"/>
      <c r="AW2044" s="36"/>
      <c r="AX2044" s="36"/>
      <c r="AY2044" s="36"/>
      <c r="AZ2044" s="36"/>
      <c r="BA2044" s="36"/>
      <c r="BB2044" s="36"/>
      <c r="BC2044" s="27"/>
      <c r="BF2044">
        <f>ROWS($U$46:U2044)</f>
        <v>1999</v>
      </c>
      <c r="BG2044" t="str">
        <f t="shared" si="247"/>
        <v/>
      </c>
    </row>
    <row r="2045" spans="14:59" ht="15" thickBot="1" x14ac:dyDescent="0.4">
      <c r="N2045">
        <f t="shared" si="246"/>
        <v>36</v>
      </c>
      <c r="O2045" s="959">
        <v>6</v>
      </c>
      <c r="P2045" s="486">
        <v>1296685</v>
      </c>
      <c r="Q2045" s="486">
        <v>6</v>
      </c>
      <c r="R2045" s="486"/>
      <c r="S2045" s="486" t="s">
        <v>1198</v>
      </c>
      <c r="T2045" s="486" t="s">
        <v>2430</v>
      </c>
      <c r="U2045" s="486">
        <v>2019414</v>
      </c>
      <c r="V2045" s="1103" t="s">
        <v>92</v>
      </c>
      <c r="W2045" s="486">
        <v>6</v>
      </c>
      <c r="X2045" s="486">
        <v>2</v>
      </c>
      <c r="Y2045" s="486">
        <v>2</v>
      </c>
      <c r="Z2045" s="486">
        <v>3</v>
      </c>
      <c r="AA2045" s="486">
        <v>4</v>
      </c>
      <c r="AB2045" s="486"/>
      <c r="AC2045" s="486"/>
      <c r="AD2045" s="486"/>
      <c r="AE2045" s="486"/>
      <c r="AF2045" s="486">
        <v>1</v>
      </c>
      <c r="AG2045" s="486">
        <v>1</v>
      </c>
      <c r="AH2045" s="486">
        <v>1</v>
      </c>
      <c r="AI2045" s="486">
        <v>1</v>
      </c>
      <c r="AJ2045" s="486"/>
      <c r="AK2045" s="486"/>
      <c r="AL2045" s="486"/>
      <c r="AM2045" s="486"/>
      <c r="AN2045" s="486"/>
      <c r="AO2045" s="486"/>
      <c r="AP2045" s="486"/>
      <c r="AQ2045" s="486"/>
      <c r="AR2045" s="486"/>
      <c r="AS2045" s="486"/>
      <c r="AT2045" s="486"/>
      <c r="AU2045" s="486"/>
      <c r="AV2045" s="486"/>
      <c r="AW2045" s="486"/>
      <c r="AX2045" s="486"/>
      <c r="AY2045" s="486"/>
      <c r="AZ2045" s="486"/>
      <c r="BA2045" s="486"/>
      <c r="BB2045" s="486"/>
      <c r="BC2045" s="488"/>
      <c r="BF2045">
        <f>ROWS($U$46:U2045)</f>
        <v>2000</v>
      </c>
      <c r="BG2045" t="str">
        <f t="shared" si="247"/>
        <v/>
      </c>
    </row>
    <row r="2046" spans="14:59" x14ac:dyDescent="0.35">
      <c r="N2046">
        <f t="shared" si="246"/>
        <v>33</v>
      </c>
      <c r="O2046" s="118">
        <v>1</v>
      </c>
      <c r="P2046" s="320">
        <v>1165786</v>
      </c>
      <c r="Q2046" s="320">
        <v>33</v>
      </c>
      <c r="R2046" s="320"/>
      <c r="S2046" s="320" t="s">
        <v>2484</v>
      </c>
      <c r="T2046" s="320" t="s">
        <v>1321</v>
      </c>
      <c r="U2046" s="320">
        <v>2009244</v>
      </c>
      <c r="V2046" s="1103" t="s">
        <v>87</v>
      </c>
      <c r="W2046" s="320">
        <v>1</v>
      </c>
      <c r="X2046" s="320">
        <v>1</v>
      </c>
      <c r="Y2046" s="320">
        <v>1</v>
      </c>
      <c r="Z2046" s="320">
        <v>1</v>
      </c>
      <c r="AA2046" s="320">
        <v>1</v>
      </c>
      <c r="AB2046" s="320">
        <v>1</v>
      </c>
      <c r="AC2046" s="320">
        <v>1</v>
      </c>
      <c r="AD2046" s="320">
        <v>3</v>
      </c>
      <c r="AE2046" s="320"/>
      <c r="AF2046" s="320">
        <v>2</v>
      </c>
      <c r="AG2046" s="320">
        <v>2</v>
      </c>
      <c r="AH2046" s="320">
        <v>2</v>
      </c>
      <c r="AI2046" s="320">
        <v>2</v>
      </c>
      <c r="AJ2046" s="320"/>
      <c r="AK2046" s="320"/>
      <c r="AL2046" s="320"/>
      <c r="AM2046" s="320"/>
      <c r="AN2046" s="320"/>
      <c r="AO2046" s="320"/>
      <c r="AP2046" s="320"/>
      <c r="AQ2046" s="320"/>
      <c r="AR2046" s="320"/>
      <c r="AS2046" s="320"/>
      <c r="AT2046" s="320"/>
      <c r="AU2046" s="320"/>
      <c r="AV2046" s="320"/>
      <c r="AW2046" s="320"/>
      <c r="AX2046" s="320"/>
      <c r="AY2046" s="320"/>
      <c r="AZ2046" s="320"/>
      <c r="BA2046" s="320"/>
      <c r="BB2046" s="320"/>
      <c r="BC2046" s="119"/>
      <c r="BF2046">
        <f>ROWS($U$46:U2046)</f>
        <v>2001</v>
      </c>
      <c r="BG2046" t="str">
        <f t="shared" si="247"/>
        <v/>
      </c>
    </row>
    <row r="2047" spans="14:59" x14ac:dyDescent="0.35">
      <c r="N2047">
        <f t="shared" si="246"/>
        <v>46</v>
      </c>
      <c r="O2047" s="3">
        <v>2</v>
      </c>
      <c r="P2047" s="36">
        <v>647435</v>
      </c>
      <c r="Q2047" s="36">
        <v>23</v>
      </c>
      <c r="R2047" s="36"/>
      <c r="S2047" s="36" t="s">
        <v>2484</v>
      </c>
      <c r="T2047" s="36" t="s">
        <v>1321</v>
      </c>
      <c r="U2047" s="36">
        <v>2009244</v>
      </c>
      <c r="V2047" s="1103" t="s">
        <v>88</v>
      </c>
      <c r="W2047" s="36">
        <v>1</v>
      </c>
      <c r="X2047" s="36">
        <v>1</v>
      </c>
      <c r="Y2047" s="36">
        <v>1</v>
      </c>
      <c r="Z2047" s="36">
        <v>1</v>
      </c>
      <c r="AA2047" s="36">
        <v>3</v>
      </c>
      <c r="AB2047" s="36"/>
      <c r="AC2047" s="36"/>
      <c r="AD2047" s="36"/>
      <c r="AE2047" s="36"/>
      <c r="AF2047" s="36">
        <v>2</v>
      </c>
      <c r="AG2047" s="36">
        <v>2</v>
      </c>
      <c r="AH2047" s="36">
        <v>2</v>
      </c>
      <c r="AI2047" s="36">
        <v>2</v>
      </c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  <c r="AV2047" s="36"/>
      <c r="AW2047" s="36"/>
      <c r="AX2047" s="36"/>
      <c r="AY2047" s="36"/>
      <c r="AZ2047" s="36"/>
      <c r="BA2047" s="36"/>
      <c r="BB2047" s="36"/>
      <c r="BC2047" s="27"/>
      <c r="BF2047">
        <f>ROWS($U$46:U2047)</f>
        <v>2002</v>
      </c>
      <c r="BG2047" t="str">
        <f t="shared" si="247"/>
        <v/>
      </c>
    </row>
    <row r="2048" spans="14:59" x14ac:dyDescent="0.35">
      <c r="N2048">
        <f t="shared" si="246"/>
        <v>18</v>
      </c>
      <c r="O2048" s="3">
        <v>3</v>
      </c>
      <c r="P2048" s="36">
        <v>871781</v>
      </c>
      <c r="Q2048" s="36">
        <v>6</v>
      </c>
      <c r="R2048" s="36"/>
      <c r="S2048" s="36" t="s">
        <v>2484</v>
      </c>
      <c r="T2048" s="36" t="s">
        <v>1321</v>
      </c>
      <c r="U2048" s="36">
        <v>2009244</v>
      </c>
      <c r="V2048" s="1103" t="s">
        <v>89</v>
      </c>
      <c r="W2048" s="36">
        <v>1</v>
      </c>
      <c r="X2048" s="36">
        <v>1</v>
      </c>
      <c r="Y2048" s="36">
        <v>1</v>
      </c>
      <c r="Z2048" s="36">
        <v>1</v>
      </c>
      <c r="AA2048" s="36">
        <v>1</v>
      </c>
      <c r="AB2048" s="36">
        <v>1</v>
      </c>
      <c r="AC2048" s="36">
        <v>3</v>
      </c>
      <c r="AD2048" s="36"/>
      <c r="AE2048" s="36"/>
      <c r="AF2048" s="36">
        <v>2</v>
      </c>
      <c r="AG2048" s="36">
        <v>2</v>
      </c>
      <c r="AH2048" s="36">
        <v>2</v>
      </c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  <c r="AV2048" s="36"/>
      <c r="AW2048" s="36"/>
      <c r="AX2048" s="36"/>
      <c r="AY2048" s="36"/>
      <c r="AZ2048" s="36"/>
      <c r="BA2048" s="36"/>
      <c r="BB2048" s="36"/>
      <c r="BC2048" s="27"/>
      <c r="BF2048">
        <f>ROWS($U$46:U2048)</f>
        <v>2003</v>
      </c>
      <c r="BG2048" t="str">
        <f t="shared" si="247"/>
        <v/>
      </c>
    </row>
    <row r="2049" spans="14:59" x14ac:dyDescent="0.35">
      <c r="N2049">
        <f t="shared" si="246"/>
        <v>0</v>
      </c>
      <c r="O2049" s="3"/>
      <c r="P2049" s="36"/>
      <c r="Q2049" s="36"/>
      <c r="R2049" s="36"/>
      <c r="S2049" s="36" t="s">
        <v>2484</v>
      </c>
      <c r="T2049" s="36" t="s">
        <v>1321</v>
      </c>
      <c r="U2049" s="36">
        <v>2009244</v>
      </c>
      <c r="V2049" s="1103" t="s">
        <v>90</v>
      </c>
      <c r="W2049" s="36">
        <v>1</v>
      </c>
      <c r="X2049" s="36">
        <v>1</v>
      </c>
      <c r="Y2049" s="36">
        <v>1</v>
      </c>
      <c r="Z2049" s="36">
        <v>1</v>
      </c>
      <c r="AA2049" s="36">
        <v>1</v>
      </c>
      <c r="AB2049" s="36">
        <v>3</v>
      </c>
      <c r="AC2049" s="36"/>
      <c r="AD2049" s="36"/>
      <c r="AE2049" s="36"/>
      <c r="AF2049" s="36">
        <v>2</v>
      </c>
      <c r="AG2049" s="36">
        <v>2</v>
      </c>
      <c r="AH2049" s="36">
        <v>2</v>
      </c>
      <c r="AI2049" s="36">
        <v>2</v>
      </c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  <c r="AV2049" s="36"/>
      <c r="AW2049" s="36"/>
      <c r="AX2049" s="36"/>
      <c r="AY2049" s="36"/>
      <c r="AZ2049" s="36"/>
      <c r="BA2049" s="36"/>
      <c r="BB2049" s="36"/>
      <c r="BC2049" s="27"/>
      <c r="BF2049">
        <f>ROWS($U$46:U2049)</f>
        <v>2004</v>
      </c>
      <c r="BG2049" t="str">
        <f t="shared" si="247"/>
        <v/>
      </c>
    </row>
    <row r="2050" spans="14:59" x14ac:dyDescent="0.35">
      <c r="N2050">
        <f t="shared" si="246"/>
        <v>0</v>
      </c>
      <c r="O2050" s="3"/>
      <c r="P2050" s="36"/>
      <c r="Q2050" s="36"/>
      <c r="R2050" s="36"/>
      <c r="S2050" s="36" t="s">
        <v>2484</v>
      </c>
      <c r="T2050" s="36" t="s">
        <v>1321</v>
      </c>
      <c r="U2050" s="36">
        <v>2009244</v>
      </c>
      <c r="V2050" s="1103" t="s">
        <v>91</v>
      </c>
      <c r="W2050" s="36">
        <v>1</v>
      </c>
      <c r="X2050" s="36">
        <v>1</v>
      </c>
      <c r="Y2050" s="36">
        <v>1</v>
      </c>
      <c r="Z2050" s="36">
        <v>1</v>
      </c>
      <c r="AA2050" s="36">
        <v>1</v>
      </c>
      <c r="AB2050" s="36">
        <v>1</v>
      </c>
      <c r="AC2050" s="36">
        <v>1</v>
      </c>
      <c r="AD2050" s="36">
        <v>3</v>
      </c>
      <c r="AE2050" s="36"/>
      <c r="AF2050" s="36">
        <v>2</v>
      </c>
      <c r="AG2050" s="36">
        <v>2</v>
      </c>
      <c r="AH2050" s="36">
        <v>2</v>
      </c>
      <c r="AI2050" s="36">
        <v>2</v>
      </c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  <c r="AV2050" s="36"/>
      <c r="AW2050" s="36"/>
      <c r="AX2050" s="36"/>
      <c r="AY2050" s="36"/>
      <c r="AZ2050" s="36"/>
      <c r="BA2050" s="36"/>
      <c r="BB2050" s="36"/>
      <c r="BC2050" s="27"/>
      <c r="BF2050">
        <f>ROWS($U$46:U2050)</f>
        <v>2005</v>
      </c>
      <c r="BG2050" t="str">
        <f t="shared" si="247"/>
        <v/>
      </c>
    </row>
    <row r="2051" spans="14:59" ht="15" thickBot="1" x14ac:dyDescent="0.4">
      <c r="N2051">
        <f t="shared" si="246"/>
        <v>0</v>
      </c>
      <c r="O2051" s="959"/>
      <c r="P2051" s="486"/>
      <c r="Q2051" s="486"/>
      <c r="R2051" s="486"/>
      <c r="S2051" s="486" t="s">
        <v>2484</v>
      </c>
      <c r="T2051" s="486" t="s">
        <v>1321</v>
      </c>
      <c r="U2051" s="486">
        <v>2009244</v>
      </c>
      <c r="V2051" s="1103" t="s">
        <v>92</v>
      </c>
      <c r="W2051" s="486">
        <v>1</v>
      </c>
      <c r="X2051" s="486">
        <v>1</v>
      </c>
      <c r="Y2051" s="486">
        <v>1</v>
      </c>
      <c r="Z2051" s="486">
        <v>1</v>
      </c>
      <c r="AA2051" s="486">
        <v>3</v>
      </c>
      <c r="AB2051" s="486"/>
      <c r="AC2051" s="486"/>
      <c r="AD2051" s="486"/>
      <c r="AE2051" s="486"/>
      <c r="AF2051" s="486">
        <v>2</v>
      </c>
      <c r="AG2051" s="486">
        <v>2</v>
      </c>
      <c r="AH2051" s="486">
        <v>2</v>
      </c>
      <c r="AI2051" s="486">
        <v>2</v>
      </c>
      <c r="AJ2051" s="486"/>
      <c r="AK2051" s="486"/>
      <c r="AL2051" s="486"/>
      <c r="AM2051" s="486"/>
      <c r="AN2051" s="486"/>
      <c r="AO2051" s="486"/>
      <c r="AP2051" s="486"/>
      <c r="AQ2051" s="486"/>
      <c r="AR2051" s="486"/>
      <c r="AS2051" s="486"/>
      <c r="AT2051" s="486"/>
      <c r="AU2051" s="486"/>
      <c r="AV2051" s="486"/>
      <c r="AW2051" s="486"/>
      <c r="AX2051" s="486"/>
      <c r="AY2051" s="486"/>
      <c r="AZ2051" s="486"/>
      <c r="BA2051" s="486"/>
      <c r="BB2051" s="486"/>
      <c r="BC2051" s="488"/>
      <c r="BF2051">
        <f>ROWS($U$46:U2051)</f>
        <v>2006</v>
      </c>
      <c r="BG2051" t="str">
        <f t="shared" si="247"/>
        <v/>
      </c>
    </row>
    <row r="2052" spans="14:59" x14ac:dyDescent="0.35">
      <c r="N2052">
        <f t="shared" si="246"/>
        <v>33</v>
      </c>
      <c r="O2052" s="118">
        <v>1</v>
      </c>
      <c r="P2052" s="320">
        <v>1130198</v>
      </c>
      <c r="Q2052" s="320">
        <v>33</v>
      </c>
      <c r="R2052" s="320"/>
      <c r="S2052" s="320" t="s">
        <v>2484</v>
      </c>
      <c r="T2052" s="320" t="s">
        <v>1321</v>
      </c>
      <c r="U2052" s="320">
        <v>2016137</v>
      </c>
      <c r="V2052" s="1103" t="s">
        <v>87</v>
      </c>
      <c r="W2052" s="320">
        <v>1</v>
      </c>
      <c r="X2052" s="320">
        <v>1</v>
      </c>
      <c r="Y2052" s="320">
        <v>1</v>
      </c>
      <c r="Z2052" s="320">
        <v>1</v>
      </c>
      <c r="AA2052" s="320">
        <v>1</v>
      </c>
      <c r="AB2052" s="320">
        <v>1</v>
      </c>
      <c r="AC2052" s="320">
        <v>1</v>
      </c>
      <c r="AD2052" s="320">
        <v>3</v>
      </c>
      <c r="AE2052" s="320"/>
      <c r="AF2052" s="320">
        <v>2</v>
      </c>
      <c r="AG2052" s="320">
        <v>2</v>
      </c>
      <c r="AH2052" s="320">
        <v>2</v>
      </c>
      <c r="AI2052" s="320">
        <v>2</v>
      </c>
      <c r="AJ2052" s="320"/>
      <c r="AK2052" s="320"/>
      <c r="AL2052" s="320"/>
      <c r="AM2052" s="320"/>
      <c r="AN2052" s="320"/>
      <c r="AO2052" s="320"/>
      <c r="AP2052" s="320"/>
      <c r="AQ2052" s="320"/>
      <c r="AR2052" s="320"/>
      <c r="AS2052" s="320"/>
      <c r="AT2052" s="320"/>
      <c r="AU2052" s="320"/>
      <c r="AV2052" s="320"/>
      <c r="AW2052" s="320"/>
      <c r="AX2052" s="320"/>
      <c r="AY2052" s="320"/>
      <c r="AZ2052" s="320"/>
      <c r="BA2052" s="320"/>
      <c r="BB2052" s="320"/>
      <c r="BC2052" s="119"/>
      <c r="BF2052">
        <f>ROWS($U$46:U2052)</f>
        <v>2007</v>
      </c>
      <c r="BG2052" t="str">
        <f t="shared" si="247"/>
        <v/>
      </c>
    </row>
    <row r="2053" spans="14:59" x14ac:dyDescent="0.35">
      <c r="N2053">
        <f t="shared" si="246"/>
        <v>46</v>
      </c>
      <c r="O2053" s="3">
        <v>2</v>
      </c>
      <c r="P2053" s="36">
        <v>647435</v>
      </c>
      <c r="Q2053" s="36">
        <v>23</v>
      </c>
      <c r="R2053" s="36"/>
      <c r="S2053" s="36" t="s">
        <v>2484</v>
      </c>
      <c r="T2053" s="36" t="s">
        <v>1321</v>
      </c>
      <c r="U2053" s="36">
        <v>2016137</v>
      </c>
      <c r="V2053" s="1103" t="s">
        <v>88</v>
      </c>
      <c r="W2053" s="36">
        <v>1</v>
      </c>
      <c r="X2053" s="36">
        <v>1</v>
      </c>
      <c r="Y2053" s="36">
        <v>1</v>
      </c>
      <c r="Z2053" s="36">
        <v>1</v>
      </c>
      <c r="AA2053" s="36">
        <v>3</v>
      </c>
      <c r="AB2053" s="36"/>
      <c r="AC2053" s="36"/>
      <c r="AD2053" s="36"/>
      <c r="AE2053" s="36"/>
      <c r="AF2053" s="36">
        <v>2</v>
      </c>
      <c r="AG2053" s="36">
        <v>2</v>
      </c>
      <c r="AH2053" s="36">
        <v>2</v>
      </c>
      <c r="AI2053" s="36">
        <v>2</v>
      </c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  <c r="AV2053" s="36"/>
      <c r="AW2053" s="36"/>
      <c r="AX2053" s="36"/>
      <c r="AY2053" s="36"/>
      <c r="AZ2053" s="36"/>
      <c r="BA2053" s="36"/>
      <c r="BB2053" s="36"/>
      <c r="BC2053" s="27"/>
      <c r="BF2053">
        <f>ROWS($U$46:U2053)</f>
        <v>2008</v>
      </c>
      <c r="BG2053" t="str">
        <f t="shared" si="247"/>
        <v/>
      </c>
    </row>
    <row r="2054" spans="14:59" x14ac:dyDescent="0.35">
      <c r="N2054">
        <f t="shared" si="246"/>
        <v>18</v>
      </c>
      <c r="O2054" s="3">
        <v>3</v>
      </c>
      <c r="P2054" s="36">
        <v>871781</v>
      </c>
      <c r="Q2054" s="36">
        <v>6</v>
      </c>
      <c r="R2054" s="36"/>
      <c r="S2054" s="36" t="s">
        <v>2484</v>
      </c>
      <c r="T2054" s="36" t="s">
        <v>1321</v>
      </c>
      <c r="U2054" s="36">
        <v>2016137</v>
      </c>
      <c r="V2054" s="1103" t="s">
        <v>89</v>
      </c>
      <c r="W2054" s="36">
        <v>1</v>
      </c>
      <c r="X2054" s="36">
        <v>1</v>
      </c>
      <c r="Y2054" s="36">
        <v>1</v>
      </c>
      <c r="Z2054" s="36">
        <v>1</v>
      </c>
      <c r="AA2054" s="36">
        <v>1</v>
      </c>
      <c r="AB2054" s="36">
        <v>1</v>
      </c>
      <c r="AC2054" s="36">
        <v>3</v>
      </c>
      <c r="AD2054" s="36"/>
      <c r="AE2054" s="36"/>
      <c r="AF2054" s="36">
        <v>2</v>
      </c>
      <c r="AG2054" s="36">
        <v>2</v>
      </c>
      <c r="AH2054" s="36">
        <v>2</v>
      </c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  <c r="AV2054" s="36"/>
      <c r="AW2054" s="36"/>
      <c r="AX2054" s="36"/>
      <c r="AY2054" s="36"/>
      <c r="AZ2054" s="36"/>
      <c r="BA2054" s="36"/>
      <c r="BB2054" s="36"/>
      <c r="BC2054" s="27"/>
      <c r="BF2054">
        <f>ROWS($U$46:U2054)</f>
        <v>2009</v>
      </c>
      <c r="BG2054" t="str">
        <f t="shared" si="247"/>
        <v/>
      </c>
    </row>
    <row r="2055" spans="14:59" x14ac:dyDescent="0.35">
      <c r="N2055">
        <f t="shared" si="246"/>
        <v>0</v>
      </c>
      <c r="O2055" s="3"/>
      <c r="P2055" s="36"/>
      <c r="Q2055" s="36"/>
      <c r="R2055" s="36"/>
      <c r="S2055" s="36" t="s">
        <v>2484</v>
      </c>
      <c r="T2055" s="36" t="s">
        <v>1321</v>
      </c>
      <c r="U2055" s="36">
        <v>2016137</v>
      </c>
      <c r="V2055" s="1103" t="s">
        <v>90</v>
      </c>
      <c r="W2055" s="36">
        <v>1</v>
      </c>
      <c r="X2055" s="36">
        <v>1</v>
      </c>
      <c r="Y2055" s="36">
        <v>1</v>
      </c>
      <c r="Z2055" s="36">
        <v>1</v>
      </c>
      <c r="AA2055" s="36">
        <v>1</v>
      </c>
      <c r="AB2055" s="36">
        <v>3</v>
      </c>
      <c r="AC2055" s="36"/>
      <c r="AD2055" s="36"/>
      <c r="AE2055" s="36"/>
      <c r="AF2055" s="36">
        <v>2</v>
      </c>
      <c r="AG2055" s="36">
        <v>2</v>
      </c>
      <c r="AH2055" s="36">
        <v>2</v>
      </c>
      <c r="AI2055" s="36">
        <v>2</v>
      </c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  <c r="AV2055" s="36"/>
      <c r="AW2055" s="36"/>
      <c r="AX2055" s="36"/>
      <c r="AY2055" s="36"/>
      <c r="AZ2055" s="36"/>
      <c r="BA2055" s="36"/>
      <c r="BB2055" s="36"/>
      <c r="BC2055" s="27"/>
      <c r="BF2055">
        <f>ROWS($U$46:U2055)</f>
        <v>2010</v>
      </c>
      <c r="BG2055" t="str">
        <f t="shared" si="247"/>
        <v/>
      </c>
    </row>
    <row r="2056" spans="14:59" x14ac:dyDescent="0.35">
      <c r="N2056">
        <f t="shared" si="246"/>
        <v>0</v>
      </c>
      <c r="O2056" s="3"/>
      <c r="P2056" s="36"/>
      <c r="Q2056" s="36"/>
      <c r="R2056" s="36"/>
      <c r="S2056" s="36" t="s">
        <v>2484</v>
      </c>
      <c r="T2056" s="36" t="s">
        <v>1321</v>
      </c>
      <c r="U2056" s="36">
        <v>2016137</v>
      </c>
      <c r="V2056" s="1103" t="s">
        <v>91</v>
      </c>
      <c r="W2056" s="36">
        <v>1</v>
      </c>
      <c r="X2056" s="36">
        <v>1</v>
      </c>
      <c r="Y2056" s="36">
        <v>1</v>
      </c>
      <c r="Z2056" s="36">
        <v>1</v>
      </c>
      <c r="AA2056" s="36">
        <v>1</v>
      </c>
      <c r="AB2056" s="36">
        <v>1</v>
      </c>
      <c r="AC2056" s="36">
        <v>1</v>
      </c>
      <c r="AD2056" s="36">
        <v>3</v>
      </c>
      <c r="AE2056" s="36"/>
      <c r="AF2056" s="36">
        <v>2</v>
      </c>
      <c r="AG2056" s="36">
        <v>2</v>
      </c>
      <c r="AH2056" s="36">
        <v>2</v>
      </c>
      <c r="AI2056" s="36">
        <v>2</v>
      </c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  <c r="AV2056" s="36"/>
      <c r="AW2056" s="36"/>
      <c r="AX2056" s="36"/>
      <c r="AY2056" s="36"/>
      <c r="AZ2056" s="36"/>
      <c r="BA2056" s="36"/>
      <c r="BB2056" s="36"/>
      <c r="BC2056" s="27"/>
      <c r="BF2056">
        <f>ROWS($U$46:U2056)</f>
        <v>2011</v>
      </c>
      <c r="BG2056" t="str">
        <f t="shared" si="247"/>
        <v/>
      </c>
    </row>
    <row r="2057" spans="14:59" ht="15" thickBot="1" x14ac:dyDescent="0.4">
      <c r="N2057">
        <f t="shared" si="246"/>
        <v>0</v>
      </c>
      <c r="O2057" s="959"/>
      <c r="P2057" s="486"/>
      <c r="Q2057" s="486"/>
      <c r="R2057" s="486"/>
      <c r="S2057" s="486" t="s">
        <v>2484</v>
      </c>
      <c r="T2057" s="486" t="s">
        <v>1321</v>
      </c>
      <c r="U2057" s="486">
        <v>2016137</v>
      </c>
      <c r="V2057" s="1103" t="s">
        <v>92</v>
      </c>
      <c r="W2057" s="486">
        <v>1</v>
      </c>
      <c r="X2057" s="486">
        <v>1</v>
      </c>
      <c r="Y2057" s="486">
        <v>1</v>
      </c>
      <c r="Z2057" s="486">
        <v>1</v>
      </c>
      <c r="AA2057" s="486">
        <v>3</v>
      </c>
      <c r="AB2057" s="486"/>
      <c r="AC2057" s="486"/>
      <c r="AD2057" s="486"/>
      <c r="AE2057" s="486"/>
      <c r="AF2057" s="486">
        <v>2</v>
      </c>
      <c r="AG2057" s="486">
        <v>2</v>
      </c>
      <c r="AH2057" s="486">
        <v>2</v>
      </c>
      <c r="AI2057" s="486">
        <v>2</v>
      </c>
      <c r="AJ2057" s="486"/>
      <c r="AK2057" s="486"/>
      <c r="AL2057" s="486"/>
      <c r="AM2057" s="486"/>
      <c r="AN2057" s="486"/>
      <c r="AO2057" s="486"/>
      <c r="AP2057" s="486"/>
      <c r="AQ2057" s="486"/>
      <c r="AR2057" s="486"/>
      <c r="AS2057" s="486"/>
      <c r="AT2057" s="486"/>
      <c r="AU2057" s="486"/>
      <c r="AV2057" s="486"/>
      <c r="AW2057" s="486"/>
      <c r="AX2057" s="486"/>
      <c r="AY2057" s="486"/>
      <c r="AZ2057" s="486"/>
      <c r="BA2057" s="486"/>
      <c r="BB2057" s="486"/>
      <c r="BC2057" s="488"/>
      <c r="BF2057">
        <f>ROWS($U$46:U2057)</f>
        <v>2012</v>
      </c>
      <c r="BG2057" t="str">
        <f t="shared" si="247"/>
        <v/>
      </c>
    </row>
    <row r="2058" spans="14:59" x14ac:dyDescent="0.35">
      <c r="N2058">
        <f t="shared" si="246"/>
        <v>33</v>
      </c>
      <c r="O2058" s="118">
        <v>1</v>
      </c>
      <c r="P2058" s="320">
        <v>1126402</v>
      </c>
      <c r="Q2058" s="320">
        <v>33</v>
      </c>
      <c r="R2058" s="320"/>
      <c r="S2058" s="320" t="s">
        <v>2484</v>
      </c>
      <c r="T2058" s="320" t="s">
        <v>2486</v>
      </c>
      <c r="U2058" s="320">
        <v>2009246</v>
      </c>
      <c r="V2058" s="1104" t="s">
        <v>87</v>
      </c>
      <c r="W2058" s="320">
        <v>1</v>
      </c>
      <c r="X2058" s="320">
        <v>1</v>
      </c>
      <c r="Y2058" s="320">
        <v>1</v>
      </c>
      <c r="Z2058" s="320">
        <v>1</v>
      </c>
      <c r="AA2058" s="320">
        <v>1</v>
      </c>
      <c r="AB2058" s="320">
        <v>1</v>
      </c>
      <c r="AC2058" s="320">
        <v>1</v>
      </c>
      <c r="AD2058" s="320">
        <v>3</v>
      </c>
      <c r="AE2058" s="320"/>
      <c r="AF2058" s="320">
        <v>2</v>
      </c>
      <c r="AG2058" s="320">
        <v>2</v>
      </c>
      <c r="AH2058" s="320">
        <v>2</v>
      </c>
      <c r="AI2058" s="320">
        <v>2</v>
      </c>
      <c r="AJ2058" s="320"/>
      <c r="AK2058" s="320"/>
      <c r="AL2058" s="320"/>
      <c r="AM2058" s="320"/>
      <c r="AN2058" s="320"/>
      <c r="AO2058" s="320"/>
      <c r="AP2058" s="320"/>
      <c r="AQ2058" s="320"/>
      <c r="AR2058" s="320"/>
      <c r="AS2058" s="320"/>
      <c r="AT2058" s="320"/>
      <c r="AU2058" s="320"/>
      <c r="AV2058" s="320"/>
      <c r="AW2058" s="320"/>
      <c r="AX2058" s="320"/>
      <c r="AY2058" s="320"/>
      <c r="AZ2058" s="320"/>
      <c r="BA2058" s="320"/>
      <c r="BB2058" s="320"/>
      <c r="BC2058" s="119"/>
      <c r="BF2058">
        <f>ROWS($U$46:U2058)</f>
        <v>2013</v>
      </c>
      <c r="BG2058" t="str">
        <f t="shared" si="247"/>
        <v/>
      </c>
    </row>
    <row r="2059" spans="14:59" x14ac:dyDescent="0.35">
      <c r="N2059">
        <f t="shared" si="246"/>
        <v>46</v>
      </c>
      <c r="O2059" s="3">
        <v>2</v>
      </c>
      <c r="P2059" s="36">
        <v>647435</v>
      </c>
      <c r="Q2059" s="36">
        <v>23</v>
      </c>
      <c r="R2059" s="36"/>
      <c r="S2059" s="36" t="s">
        <v>2484</v>
      </c>
      <c r="T2059" s="36" t="s">
        <v>2486</v>
      </c>
      <c r="U2059" s="36">
        <v>2009246</v>
      </c>
      <c r="V2059" s="1103" t="s">
        <v>88</v>
      </c>
      <c r="W2059" s="36">
        <v>1</v>
      </c>
      <c r="X2059" s="36">
        <v>1</v>
      </c>
      <c r="Y2059" s="36">
        <v>1</v>
      </c>
      <c r="Z2059" s="36">
        <v>1</v>
      </c>
      <c r="AA2059" s="36">
        <v>3</v>
      </c>
      <c r="AB2059" s="36"/>
      <c r="AC2059" s="36"/>
      <c r="AD2059" s="36"/>
      <c r="AE2059" s="36"/>
      <c r="AF2059" s="36">
        <v>2</v>
      </c>
      <c r="AG2059" s="36">
        <v>2</v>
      </c>
      <c r="AH2059" s="36">
        <v>2</v>
      </c>
      <c r="AI2059" s="36">
        <v>2</v>
      </c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  <c r="AV2059" s="36"/>
      <c r="AW2059" s="36"/>
      <c r="AX2059" s="36"/>
      <c r="AY2059" s="36"/>
      <c r="AZ2059" s="36"/>
      <c r="BA2059" s="36"/>
      <c r="BB2059" s="36"/>
      <c r="BC2059" s="27"/>
      <c r="BF2059">
        <f>ROWS($U$46:U2059)</f>
        <v>2014</v>
      </c>
      <c r="BG2059" t="str">
        <f t="shared" si="247"/>
        <v/>
      </c>
    </row>
    <row r="2060" spans="14:59" x14ac:dyDescent="0.35">
      <c r="N2060">
        <f t="shared" si="246"/>
        <v>18</v>
      </c>
      <c r="O2060" s="3">
        <v>3</v>
      </c>
      <c r="P2060" s="36">
        <v>871781</v>
      </c>
      <c r="Q2060" s="36">
        <v>6</v>
      </c>
      <c r="R2060" s="36"/>
      <c r="S2060" s="36" t="s">
        <v>2484</v>
      </c>
      <c r="T2060" s="36" t="s">
        <v>2486</v>
      </c>
      <c r="U2060" s="36">
        <v>2009246</v>
      </c>
      <c r="V2060" s="1103" t="s">
        <v>89</v>
      </c>
      <c r="W2060" s="36">
        <v>1</v>
      </c>
      <c r="X2060" s="36">
        <v>1</v>
      </c>
      <c r="Y2060" s="36">
        <v>1</v>
      </c>
      <c r="Z2060" s="36">
        <v>1</v>
      </c>
      <c r="AA2060" s="36">
        <v>1</v>
      </c>
      <c r="AB2060" s="36">
        <v>1</v>
      </c>
      <c r="AC2060" s="36">
        <v>3</v>
      </c>
      <c r="AD2060" s="36"/>
      <c r="AE2060" s="36"/>
      <c r="AF2060" s="36">
        <v>2</v>
      </c>
      <c r="AG2060" s="36">
        <v>2</v>
      </c>
      <c r="AH2060" s="36">
        <v>2</v>
      </c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  <c r="AV2060" s="36"/>
      <c r="AW2060" s="36"/>
      <c r="AX2060" s="36"/>
      <c r="AY2060" s="36"/>
      <c r="AZ2060" s="36"/>
      <c r="BA2060" s="36"/>
      <c r="BB2060" s="36"/>
      <c r="BC2060" s="27"/>
      <c r="BF2060">
        <f>ROWS($U$46:U2060)</f>
        <v>2015</v>
      </c>
      <c r="BG2060" t="str">
        <f t="shared" si="247"/>
        <v/>
      </c>
    </row>
    <row r="2061" spans="14:59" x14ac:dyDescent="0.35">
      <c r="N2061">
        <f t="shared" si="246"/>
        <v>0</v>
      </c>
      <c r="O2061" s="3"/>
      <c r="P2061" s="36"/>
      <c r="Q2061" s="36"/>
      <c r="R2061" s="36"/>
      <c r="S2061" s="36" t="s">
        <v>2484</v>
      </c>
      <c r="T2061" s="36" t="s">
        <v>2486</v>
      </c>
      <c r="U2061" s="36">
        <v>2009246</v>
      </c>
      <c r="V2061" s="1103" t="s">
        <v>90</v>
      </c>
      <c r="W2061" s="36">
        <v>1</v>
      </c>
      <c r="X2061" s="36">
        <v>1</v>
      </c>
      <c r="Y2061" s="36">
        <v>1</v>
      </c>
      <c r="Z2061" s="36">
        <v>1</v>
      </c>
      <c r="AA2061" s="36">
        <v>1</v>
      </c>
      <c r="AB2061" s="36">
        <v>3</v>
      </c>
      <c r="AC2061" s="36"/>
      <c r="AD2061" s="36"/>
      <c r="AE2061" s="36"/>
      <c r="AF2061" s="36">
        <v>2</v>
      </c>
      <c r="AG2061" s="36">
        <v>2</v>
      </c>
      <c r="AH2061" s="36">
        <v>2</v>
      </c>
      <c r="AI2061" s="36">
        <v>2</v>
      </c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  <c r="AV2061" s="36"/>
      <c r="AW2061" s="36"/>
      <c r="AX2061" s="36"/>
      <c r="AY2061" s="36"/>
      <c r="AZ2061" s="36"/>
      <c r="BA2061" s="36"/>
      <c r="BB2061" s="36"/>
      <c r="BC2061" s="27"/>
      <c r="BF2061">
        <f>ROWS($U$46:U2061)</f>
        <v>2016</v>
      </c>
      <c r="BG2061" t="str">
        <f t="shared" si="247"/>
        <v/>
      </c>
    </row>
    <row r="2062" spans="14:59" x14ac:dyDescent="0.35">
      <c r="N2062">
        <f t="shared" si="246"/>
        <v>0</v>
      </c>
      <c r="O2062" s="3"/>
      <c r="P2062" s="36"/>
      <c r="Q2062" s="36"/>
      <c r="R2062" s="36"/>
      <c r="S2062" s="36" t="s">
        <v>2484</v>
      </c>
      <c r="T2062" s="36" t="s">
        <v>2486</v>
      </c>
      <c r="U2062" s="36">
        <v>2009246</v>
      </c>
      <c r="V2062" s="1103" t="s">
        <v>91</v>
      </c>
      <c r="W2062" s="36">
        <v>1</v>
      </c>
      <c r="X2062" s="36">
        <v>1</v>
      </c>
      <c r="Y2062" s="36">
        <v>1</v>
      </c>
      <c r="Z2062" s="36">
        <v>1</v>
      </c>
      <c r="AA2062" s="36">
        <v>1</v>
      </c>
      <c r="AB2062" s="36">
        <v>1</v>
      </c>
      <c r="AC2062" s="36">
        <v>1</v>
      </c>
      <c r="AD2062" s="36">
        <v>3</v>
      </c>
      <c r="AE2062" s="36"/>
      <c r="AF2062" s="36">
        <v>2</v>
      </c>
      <c r="AG2062" s="36">
        <v>2</v>
      </c>
      <c r="AH2062" s="36">
        <v>2</v>
      </c>
      <c r="AI2062" s="36">
        <v>2</v>
      </c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  <c r="AV2062" s="36"/>
      <c r="AW2062" s="36"/>
      <c r="AX2062" s="36"/>
      <c r="AY2062" s="36"/>
      <c r="AZ2062" s="36"/>
      <c r="BA2062" s="36"/>
      <c r="BB2062" s="36"/>
      <c r="BC2062" s="27"/>
      <c r="BF2062">
        <f>ROWS($U$46:U2062)</f>
        <v>2017</v>
      </c>
      <c r="BG2062" t="str">
        <f t="shared" si="247"/>
        <v/>
      </c>
    </row>
    <row r="2063" spans="14:59" ht="15" thickBot="1" x14ac:dyDescent="0.4">
      <c r="N2063">
        <f t="shared" si="246"/>
        <v>0</v>
      </c>
      <c r="O2063" s="76"/>
      <c r="P2063" s="328"/>
      <c r="Q2063" s="328"/>
      <c r="R2063" s="328"/>
      <c r="S2063" s="328" t="s">
        <v>2484</v>
      </c>
      <c r="T2063" s="328" t="s">
        <v>2486</v>
      </c>
      <c r="U2063" s="328">
        <v>2009246</v>
      </c>
      <c r="V2063" s="1058" t="s">
        <v>92</v>
      </c>
      <c r="W2063" s="328">
        <v>1</v>
      </c>
      <c r="X2063" s="328">
        <v>1</v>
      </c>
      <c r="Y2063" s="328">
        <v>1</v>
      </c>
      <c r="Z2063" s="328">
        <v>1</v>
      </c>
      <c r="AA2063" s="328">
        <v>3</v>
      </c>
      <c r="AB2063" s="328"/>
      <c r="AC2063" s="328"/>
      <c r="AD2063" s="328"/>
      <c r="AE2063" s="328"/>
      <c r="AF2063" s="328">
        <v>2</v>
      </c>
      <c r="AG2063" s="328">
        <v>2</v>
      </c>
      <c r="AH2063" s="328">
        <v>2</v>
      </c>
      <c r="AI2063" s="328">
        <v>2</v>
      </c>
      <c r="AJ2063" s="328"/>
      <c r="AK2063" s="328"/>
      <c r="AL2063" s="328"/>
      <c r="AM2063" s="328"/>
      <c r="AN2063" s="328"/>
      <c r="AO2063" s="328"/>
      <c r="AP2063" s="328"/>
      <c r="AQ2063" s="328"/>
      <c r="AR2063" s="328"/>
      <c r="AS2063" s="328"/>
      <c r="AT2063" s="328"/>
      <c r="AU2063" s="328"/>
      <c r="AV2063" s="328"/>
      <c r="AW2063" s="328"/>
      <c r="AX2063" s="328"/>
      <c r="AY2063" s="328"/>
      <c r="AZ2063" s="328"/>
      <c r="BA2063" s="328"/>
      <c r="BB2063" s="328"/>
      <c r="BC2063" s="31"/>
      <c r="BF2063">
        <f>ROWS($U$46:U2063)</f>
        <v>2018</v>
      </c>
      <c r="BG2063" t="str">
        <f t="shared" si="247"/>
        <v/>
      </c>
    </row>
    <row r="2064" spans="14:59" x14ac:dyDescent="0.35">
      <c r="N2064">
        <f t="shared" ref="N2064:N2087" si="248">O2064*Q2064</f>
        <v>15</v>
      </c>
      <c r="O2064" s="118">
        <v>1</v>
      </c>
      <c r="P2064" s="320">
        <v>2002243</v>
      </c>
      <c r="Q2064" s="320">
        <v>15</v>
      </c>
      <c r="R2064" s="320"/>
      <c r="S2064" s="320" t="s">
        <v>2345</v>
      </c>
      <c r="T2064" s="320" t="s">
        <v>2154</v>
      </c>
      <c r="U2064" s="320">
        <v>2021865</v>
      </c>
      <c r="V2064" s="1025" t="s">
        <v>87</v>
      </c>
      <c r="W2064" s="320">
        <v>2</v>
      </c>
      <c r="X2064" s="320">
        <v>2</v>
      </c>
      <c r="Y2064" s="320">
        <v>2</v>
      </c>
      <c r="Z2064" s="320">
        <v>3</v>
      </c>
      <c r="AA2064" s="320">
        <v>3</v>
      </c>
      <c r="AB2064" s="320">
        <v>2</v>
      </c>
      <c r="AC2064" s="320">
        <v>4</v>
      </c>
      <c r="AD2064" s="320"/>
      <c r="AE2064" s="320">
        <v>1</v>
      </c>
      <c r="AF2064" s="320">
        <v>1</v>
      </c>
      <c r="AG2064" s="320"/>
      <c r="AH2064" s="320"/>
      <c r="AI2064" s="320"/>
      <c r="AJ2064" s="320"/>
      <c r="AK2064" s="320"/>
      <c r="AL2064" s="320"/>
      <c r="AM2064" s="320"/>
      <c r="AN2064" s="320"/>
      <c r="AO2064" s="320"/>
      <c r="AP2064" s="320"/>
      <c r="AQ2064" s="320"/>
      <c r="AR2064" s="320"/>
      <c r="AS2064" s="320"/>
      <c r="AT2064" s="320"/>
      <c r="AU2064" s="320"/>
      <c r="AV2064" s="320"/>
      <c r="AW2064" s="320"/>
      <c r="AX2064" s="320"/>
      <c r="AY2064" s="320"/>
      <c r="AZ2064" s="320"/>
      <c r="BA2064" s="320"/>
      <c r="BB2064" s="320"/>
      <c r="BC2064" s="119"/>
      <c r="BF2064">
        <f>ROWS($U$46:U2064)</f>
        <v>2019</v>
      </c>
      <c r="BG2064" t="str">
        <f t="shared" si="247"/>
        <v/>
      </c>
    </row>
    <row r="2065" spans="14:59" x14ac:dyDescent="0.35">
      <c r="N2065">
        <f t="shared" si="248"/>
        <v>30</v>
      </c>
      <c r="O2065" s="3">
        <v>2</v>
      </c>
      <c r="P2065" s="36">
        <v>2002186</v>
      </c>
      <c r="Q2065" s="36">
        <v>15</v>
      </c>
      <c r="R2065" s="36"/>
      <c r="S2065" s="36" t="s">
        <v>2345</v>
      </c>
      <c r="T2065" s="36" t="s">
        <v>2154</v>
      </c>
      <c r="U2065" s="36">
        <v>2021865</v>
      </c>
      <c r="V2065" s="1024" t="s">
        <v>88</v>
      </c>
      <c r="W2065" s="36">
        <v>3</v>
      </c>
      <c r="X2065" s="36">
        <v>3</v>
      </c>
      <c r="Y2065" s="36">
        <v>2</v>
      </c>
      <c r="Z2065" s="36">
        <v>4</v>
      </c>
      <c r="AA2065" s="36"/>
      <c r="AB2065" s="36"/>
      <c r="AC2065" s="36"/>
      <c r="AD2065" s="36"/>
      <c r="AE2065" s="36">
        <v>1</v>
      </c>
      <c r="AF2065" s="36">
        <v>1</v>
      </c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  <c r="AV2065" s="36"/>
      <c r="AW2065" s="36"/>
      <c r="AX2065" s="36"/>
      <c r="AY2065" s="36"/>
      <c r="AZ2065" s="36"/>
      <c r="BA2065" s="36"/>
      <c r="BB2065" s="36"/>
      <c r="BC2065" s="27"/>
      <c r="BF2065">
        <f>ROWS($U$46:U2065)</f>
        <v>2020</v>
      </c>
      <c r="BG2065" t="str">
        <f t="shared" si="247"/>
        <v/>
      </c>
    </row>
    <row r="2066" spans="14:59" x14ac:dyDescent="0.35">
      <c r="N2066">
        <f t="shared" si="248"/>
        <v>30</v>
      </c>
      <c r="O2066" s="3">
        <v>3</v>
      </c>
      <c r="P2066" s="36">
        <v>1228502</v>
      </c>
      <c r="Q2066" s="36">
        <v>10</v>
      </c>
      <c r="R2066" s="36"/>
      <c r="S2066" s="36" t="s">
        <v>2345</v>
      </c>
      <c r="T2066" s="36" t="s">
        <v>2154</v>
      </c>
      <c r="U2066" s="36">
        <v>2021865</v>
      </c>
      <c r="V2066" s="1024" t="s">
        <v>89</v>
      </c>
      <c r="W2066" s="36">
        <v>2</v>
      </c>
      <c r="X2066" s="36">
        <v>2</v>
      </c>
      <c r="Y2066" s="36">
        <v>3</v>
      </c>
      <c r="Z2066" s="36">
        <v>3</v>
      </c>
      <c r="AA2066" s="36">
        <v>5</v>
      </c>
      <c r="AB2066" s="36">
        <v>2</v>
      </c>
      <c r="AC2066" s="36">
        <v>4</v>
      </c>
      <c r="AD2066" s="36"/>
      <c r="AE2066" s="36">
        <v>1</v>
      </c>
      <c r="AF2066" s="36">
        <v>1</v>
      </c>
      <c r="AG2066" s="36">
        <v>1</v>
      </c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  <c r="AV2066" s="36"/>
      <c r="AW2066" s="36"/>
      <c r="AX2066" s="36"/>
      <c r="AY2066" s="36"/>
      <c r="AZ2066" s="36"/>
      <c r="BA2066" s="36"/>
      <c r="BB2066" s="36"/>
      <c r="BC2066" s="27"/>
      <c r="BF2066">
        <f>ROWS($U$46:U2066)</f>
        <v>2021</v>
      </c>
      <c r="BG2066" t="str">
        <f t="shared" si="247"/>
        <v/>
      </c>
    </row>
    <row r="2067" spans="14:59" x14ac:dyDescent="0.35">
      <c r="N2067">
        <f t="shared" si="248"/>
        <v>24</v>
      </c>
      <c r="O2067" s="3">
        <v>4</v>
      </c>
      <c r="P2067" s="36">
        <v>871781</v>
      </c>
      <c r="Q2067" s="36">
        <v>6</v>
      </c>
      <c r="R2067" s="36"/>
      <c r="S2067" s="36" t="s">
        <v>2345</v>
      </c>
      <c r="T2067" s="36" t="s">
        <v>2154</v>
      </c>
      <c r="U2067" s="36">
        <v>2021865</v>
      </c>
      <c r="V2067" s="1024" t="s">
        <v>90</v>
      </c>
      <c r="W2067" s="36">
        <v>5</v>
      </c>
      <c r="X2067" s="36">
        <v>3</v>
      </c>
      <c r="Y2067" s="36">
        <v>5</v>
      </c>
      <c r="Z2067" s="36">
        <v>2</v>
      </c>
      <c r="AA2067" s="36">
        <v>4</v>
      </c>
      <c r="AB2067" s="36"/>
      <c r="AC2067" s="36"/>
      <c r="AD2067" s="36"/>
      <c r="AE2067" s="36">
        <v>1</v>
      </c>
      <c r="AF2067" s="36">
        <v>1</v>
      </c>
      <c r="AG2067" s="36">
        <v>1</v>
      </c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  <c r="AV2067" s="36"/>
      <c r="AW2067" s="36"/>
      <c r="AX2067" s="36"/>
      <c r="AY2067" s="36"/>
      <c r="AZ2067" s="36"/>
      <c r="BA2067" s="36"/>
      <c r="BB2067" s="36"/>
      <c r="BC2067" s="27"/>
      <c r="BF2067">
        <f>ROWS($U$46:U2067)</f>
        <v>2022</v>
      </c>
      <c r="BG2067" t="str">
        <f t="shared" si="247"/>
        <v/>
      </c>
    </row>
    <row r="2068" spans="14:59" x14ac:dyDescent="0.35">
      <c r="N2068">
        <f t="shared" si="248"/>
        <v>20</v>
      </c>
      <c r="O2068" s="3">
        <v>5</v>
      </c>
      <c r="P2068" s="36">
        <v>2002299</v>
      </c>
      <c r="Q2068" s="36">
        <v>4</v>
      </c>
      <c r="R2068" s="36"/>
      <c r="S2068" s="36" t="s">
        <v>2345</v>
      </c>
      <c r="T2068" s="36" t="s">
        <v>2154</v>
      </c>
      <c r="U2068" s="36">
        <v>2021865</v>
      </c>
      <c r="V2068" s="1024" t="s">
        <v>91</v>
      </c>
      <c r="W2068" s="36">
        <v>2</v>
      </c>
      <c r="X2068" s="36">
        <v>2</v>
      </c>
      <c r="Y2068" s="36">
        <v>2</v>
      </c>
      <c r="Z2068" s="36">
        <v>3</v>
      </c>
      <c r="AA2068" s="36">
        <v>5</v>
      </c>
      <c r="AB2068" s="36">
        <v>2</v>
      </c>
      <c r="AC2068" s="36">
        <v>4</v>
      </c>
      <c r="AD2068" s="36"/>
      <c r="AE2068" s="36">
        <v>1</v>
      </c>
      <c r="AF2068" s="36">
        <v>1</v>
      </c>
      <c r="AG2068" s="36">
        <v>1</v>
      </c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  <c r="AV2068" s="36"/>
      <c r="AW2068" s="36"/>
      <c r="AX2068" s="36"/>
      <c r="AY2068" s="36"/>
      <c r="AZ2068" s="36"/>
      <c r="BA2068" s="36"/>
      <c r="BB2068" s="36"/>
      <c r="BC2068" s="27"/>
      <c r="BF2068">
        <f>ROWS($U$46:U2068)</f>
        <v>2023</v>
      </c>
      <c r="BG2068" t="str">
        <f t="shared" si="247"/>
        <v/>
      </c>
    </row>
    <row r="2069" spans="14:59" ht="15" thickBot="1" x14ac:dyDescent="0.4">
      <c r="N2069">
        <f t="shared" si="248"/>
        <v>60</v>
      </c>
      <c r="O2069" s="1062">
        <v>6</v>
      </c>
      <c r="P2069" s="1063">
        <v>1228501</v>
      </c>
      <c r="Q2069" s="1063">
        <v>10</v>
      </c>
      <c r="R2069" s="486"/>
      <c r="S2069" s="486" t="s">
        <v>2345</v>
      </c>
      <c r="T2069" s="486" t="s">
        <v>2154</v>
      </c>
      <c r="U2069" s="486">
        <v>2021865</v>
      </c>
      <c r="V2069" s="487" t="s">
        <v>92</v>
      </c>
      <c r="W2069" s="486">
        <v>2</v>
      </c>
      <c r="X2069" s="486">
        <v>3</v>
      </c>
      <c r="Y2069" s="486">
        <v>3</v>
      </c>
      <c r="Z2069" s="486">
        <v>2</v>
      </c>
      <c r="AA2069" s="486">
        <v>4</v>
      </c>
      <c r="AB2069" s="486"/>
      <c r="AC2069" s="486"/>
      <c r="AD2069" s="486"/>
      <c r="AE2069" s="486">
        <v>1</v>
      </c>
      <c r="AF2069" s="486">
        <v>1</v>
      </c>
      <c r="AG2069" s="486"/>
      <c r="AH2069" s="486"/>
      <c r="AI2069" s="486"/>
      <c r="AJ2069" s="486"/>
      <c r="AK2069" s="486"/>
      <c r="AL2069" s="486"/>
      <c r="AM2069" s="486"/>
      <c r="AN2069" s="486"/>
      <c r="AO2069" s="486"/>
      <c r="AP2069" s="486"/>
      <c r="AQ2069" s="486"/>
      <c r="AR2069" s="486"/>
      <c r="AS2069" s="486"/>
      <c r="AT2069" s="486"/>
      <c r="AU2069" s="486"/>
      <c r="AV2069" s="486"/>
      <c r="AW2069" s="486"/>
      <c r="AX2069" s="486"/>
      <c r="AY2069" s="486"/>
      <c r="AZ2069" s="486"/>
      <c r="BA2069" s="486"/>
      <c r="BB2069" s="486"/>
      <c r="BC2069" s="488"/>
      <c r="BF2069">
        <f>ROWS($U$46:U2069)</f>
        <v>2024</v>
      </c>
      <c r="BG2069" t="str">
        <f t="shared" si="247"/>
        <v/>
      </c>
    </row>
    <row r="2070" spans="14:59" x14ac:dyDescent="0.35">
      <c r="N2070">
        <f t="shared" si="248"/>
        <v>30</v>
      </c>
      <c r="O2070" s="118">
        <v>1</v>
      </c>
      <c r="P2070" s="320">
        <v>1271790</v>
      </c>
      <c r="Q2070" s="320">
        <v>30</v>
      </c>
      <c r="R2070" s="320"/>
      <c r="S2070" s="320" t="s">
        <v>1209</v>
      </c>
      <c r="T2070" s="320" t="s">
        <v>1941</v>
      </c>
      <c r="U2070" s="320">
        <v>1290130</v>
      </c>
      <c r="V2070" s="487" t="s">
        <v>87</v>
      </c>
      <c r="W2070" s="320">
        <v>3</v>
      </c>
      <c r="X2070" s="320">
        <v>4</v>
      </c>
      <c r="Y2070" s="320">
        <v>4</v>
      </c>
      <c r="Z2070" s="320">
        <v>4</v>
      </c>
      <c r="AA2070" s="320">
        <v>1</v>
      </c>
      <c r="AB2070" s="320">
        <v>1</v>
      </c>
      <c r="AC2070" s="320">
        <v>1</v>
      </c>
      <c r="AD2070" s="320">
        <v>1</v>
      </c>
      <c r="AE2070" s="320">
        <v>1</v>
      </c>
      <c r="AF2070" s="320">
        <v>1</v>
      </c>
      <c r="AG2070" s="320">
        <v>3</v>
      </c>
      <c r="AH2070" s="320">
        <v>3</v>
      </c>
      <c r="AI2070" s="320">
        <v>5</v>
      </c>
      <c r="AJ2070" s="320"/>
      <c r="AK2070" s="320">
        <v>2</v>
      </c>
      <c r="AL2070" s="320">
        <v>2</v>
      </c>
      <c r="AM2070" s="320">
        <v>2</v>
      </c>
      <c r="AN2070" s="320">
        <v>2</v>
      </c>
      <c r="AO2070" s="320">
        <v>2</v>
      </c>
      <c r="AP2070" s="320"/>
      <c r="AQ2070" s="320"/>
      <c r="AR2070" s="320"/>
      <c r="AS2070" s="320"/>
      <c r="AT2070" s="320"/>
      <c r="AU2070" s="320"/>
      <c r="AV2070" s="320"/>
      <c r="AW2070" s="320"/>
      <c r="AX2070" s="320"/>
      <c r="AY2070" s="320"/>
      <c r="AZ2070" s="320"/>
      <c r="BA2070" s="320"/>
      <c r="BB2070" s="320"/>
      <c r="BC2070" s="119"/>
      <c r="BF2070">
        <f>ROWS($U$46:U2070)</f>
        <v>2025</v>
      </c>
      <c r="BG2070" t="str">
        <f t="shared" si="247"/>
        <v/>
      </c>
    </row>
    <row r="2071" spans="14:59" x14ac:dyDescent="0.35">
      <c r="N2071">
        <f t="shared" si="248"/>
        <v>44</v>
      </c>
      <c r="O2071" s="3">
        <v>2</v>
      </c>
      <c r="P2071" s="36">
        <v>1100751</v>
      </c>
      <c r="Q2071" s="36">
        <v>22</v>
      </c>
      <c r="R2071" s="36"/>
      <c r="S2071" s="36" t="s">
        <v>1209</v>
      </c>
      <c r="T2071" s="36" t="s">
        <v>1941</v>
      </c>
      <c r="U2071" s="36">
        <v>1290130</v>
      </c>
      <c r="V2071" s="487" t="s">
        <v>88</v>
      </c>
      <c r="W2071" s="36">
        <v>1</v>
      </c>
      <c r="X2071" s="36">
        <v>1</v>
      </c>
      <c r="Y2071" s="36">
        <v>1</v>
      </c>
      <c r="Z2071" s="36">
        <v>1</v>
      </c>
      <c r="AA2071" s="36">
        <v>1</v>
      </c>
      <c r="AB2071" s="36">
        <v>1</v>
      </c>
      <c r="AC2071" s="36">
        <v>3</v>
      </c>
      <c r="AD2071" s="36">
        <v>3</v>
      </c>
      <c r="AE2071" s="36">
        <v>5</v>
      </c>
      <c r="AF2071" s="36"/>
      <c r="AG2071" s="36"/>
      <c r="AH2071" s="36"/>
      <c r="AI2071" s="36"/>
      <c r="AJ2071" s="36"/>
      <c r="AK2071" s="36">
        <v>2</v>
      </c>
      <c r="AL2071" s="36">
        <v>2</v>
      </c>
      <c r="AM2071" s="36">
        <v>2</v>
      </c>
      <c r="AN2071" s="36">
        <v>2</v>
      </c>
      <c r="AO2071" s="36"/>
      <c r="AP2071" s="36"/>
      <c r="AQ2071" s="36"/>
      <c r="AR2071" s="36"/>
      <c r="AS2071" s="36"/>
      <c r="AT2071" s="36"/>
      <c r="AU2071" s="36"/>
      <c r="AV2071" s="36"/>
      <c r="AW2071" s="36"/>
      <c r="AX2071" s="36"/>
      <c r="AY2071" s="36"/>
      <c r="AZ2071" s="36"/>
      <c r="BA2071" s="36"/>
      <c r="BB2071" s="36"/>
      <c r="BC2071" s="27"/>
      <c r="BF2071">
        <f>ROWS($U$46:U2071)</f>
        <v>2026</v>
      </c>
      <c r="BG2071" t="str">
        <f t="shared" si="247"/>
        <v/>
      </c>
    </row>
    <row r="2072" spans="14:59" x14ac:dyDescent="0.35">
      <c r="N2072">
        <f t="shared" si="248"/>
        <v>30</v>
      </c>
      <c r="O2072" s="3">
        <v>3</v>
      </c>
      <c r="P2072" s="36">
        <v>1146737</v>
      </c>
      <c r="Q2072" s="36">
        <v>10</v>
      </c>
      <c r="R2072" s="36"/>
      <c r="S2072" s="36" t="s">
        <v>1209</v>
      </c>
      <c r="T2072" s="36" t="s">
        <v>1941</v>
      </c>
      <c r="U2072" s="36">
        <v>1290130</v>
      </c>
      <c r="V2072" s="487" t="s">
        <v>89</v>
      </c>
      <c r="W2072" s="36">
        <v>4</v>
      </c>
      <c r="X2072" s="36">
        <v>4</v>
      </c>
      <c r="Y2072" s="36">
        <v>4</v>
      </c>
      <c r="Z2072" s="36">
        <v>1</v>
      </c>
      <c r="AA2072" s="36">
        <v>1</v>
      </c>
      <c r="AB2072" s="36">
        <v>1</v>
      </c>
      <c r="AC2072" s="36">
        <v>1</v>
      </c>
      <c r="AD2072" s="36">
        <v>1</v>
      </c>
      <c r="AE2072" s="36">
        <v>1</v>
      </c>
      <c r="AF2072" s="36">
        <v>3</v>
      </c>
      <c r="AG2072" s="36">
        <v>3</v>
      </c>
      <c r="AH2072" s="36">
        <v>5</v>
      </c>
      <c r="AI2072" s="36"/>
      <c r="AJ2072" s="36"/>
      <c r="AK2072" s="36">
        <v>2</v>
      </c>
      <c r="AL2072" s="36">
        <v>2</v>
      </c>
      <c r="AM2072" s="36">
        <v>2</v>
      </c>
      <c r="AN2072" s="36">
        <v>2</v>
      </c>
      <c r="AO2072" s="36">
        <v>2</v>
      </c>
      <c r="AP2072" s="36"/>
      <c r="AQ2072" s="36"/>
      <c r="AR2072" s="36"/>
      <c r="AS2072" s="36"/>
      <c r="AT2072" s="36"/>
      <c r="AU2072" s="36"/>
      <c r="AV2072" s="36"/>
      <c r="AW2072" s="36"/>
      <c r="AX2072" s="36"/>
      <c r="AY2072" s="36"/>
      <c r="AZ2072" s="36"/>
      <c r="BA2072" s="36"/>
      <c r="BB2072" s="36"/>
      <c r="BC2072" s="27"/>
      <c r="BF2072">
        <f>ROWS($U$46:U2072)</f>
        <v>2027</v>
      </c>
      <c r="BG2072" t="str">
        <f t="shared" si="247"/>
        <v/>
      </c>
    </row>
    <row r="2073" spans="14:59" x14ac:dyDescent="0.35">
      <c r="N2073">
        <f t="shared" si="248"/>
        <v>40</v>
      </c>
      <c r="O2073" s="3">
        <v>4</v>
      </c>
      <c r="P2073" s="36">
        <v>1209410</v>
      </c>
      <c r="Q2073" s="36">
        <v>10</v>
      </c>
      <c r="R2073" s="36"/>
      <c r="S2073" s="36" t="s">
        <v>1209</v>
      </c>
      <c r="T2073" s="36" t="s">
        <v>1941</v>
      </c>
      <c r="U2073" s="36">
        <v>1290130</v>
      </c>
      <c r="V2073" s="487" t="s">
        <v>90</v>
      </c>
      <c r="W2073" s="36">
        <v>4</v>
      </c>
      <c r="X2073" s="36">
        <v>4</v>
      </c>
      <c r="Y2073" s="36">
        <v>4</v>
      </c>
      <c r="Z2073" s="36">
        <v>4</v>
      </c>
      <c r="AA2073" s="36">
        <v>1</v>
      </c>
      <c r="AB2073" s="36">
        <v>1</v>
      </c>
      <c r="AC2073" s="36">
        <v>1</v>
      </c>
      <c r="AD2073" s="36">
        <v>1</v>
      </c>
      <c r="AE2073" s="36">
        <v>1</v>
      </c>
      <c r="AF2073" s="36">
        <v>1</v>
      </c>
      <c r="AG2073" s="36">
        <v>3</v>
      </c>
      <c r="AH2073" s="36">
        <v>5</v>
      </c>
      <c r="AI2073" s="36"/>
      <c r="AJ2073" s="36"/>
      <c r="AK2073" s="36">
        <v>2</v>
      </c>
      <c r="AL2073" s="36">
        <v>2</v>
      </c>
      <c r="AM2073" s="36">
        <v>2</v>
      </c>
      <c r="AN2073" s="36">
        <v>2</v>
      </c>
      <c r="AO2073" s="36"/>
      <c r="AP2073" s="36"/>
      <c r="AQ2073" s="36"/>
      <c r="AR2073" s="36"/>
      <c r="AS2073" s="36"/>
      <c r="AT2073" s="36"/>
      <c r="AU2073" s="36"/>
      <c r="AV2073" s="36"/>
      <c r="AW2073" s="36"/>
      <c r="AX2073" s="36"/>
      <c r="AY2073" s="36"/>
      <c r="AZ2073" s="36"/>
      <c r="BA2073" s="36"/>
      <c r="BB2073" s="36"/>
      <c r="BC2073" s="27"/>
      <c r="BF2073">
        <f>ROWS($U$46:U2073)</f>
        <v>2028</v>
      </c>
      <c r="BG2073" t="str">
        <f t="shared" si="247"/>
        <v/>
      </c>
    </row>
    <row r="2074" spans="14:59" ht="15" thickBot="1" x14ac:dyDescent="0.4">
      <c r="N2074">
        <f t="shared" si="248"/>
        <v>25</v>
      </c>
      <c r="O2074" s="959">
        <v>5</v>
      </c>
      <c r="P2074" s="486">
        <v>871781</v>
      </c>
      <c r="Q2074" s="486">
        <v>5</v>
      </c>
      <c r="R2074" s="486"/>
      <c r="S2074" s="486" t="s">
        <v>1209</v>
      </c>
      <c r="T2074" s="486" t="s">
        <v>1941</v>
      </c>
      <c r="U2074" s="486">
        <v>1290130</v>
      </c>
      <c r="V2074" s="487" t="s">
        <v>91</v>
      </c>
      <c r="W2074" s="486">
        <v>1</v>
      </c>
      <c r="X2074" s="486">
        <v>1</v>
      </c>
      <c r="Y2074" s="486">
        <v>1</v>
      </c>
      <c r="Z2074" s="486">
        <v>1</v>
      </c>
      <c r="AA2074" s="486">
        <v>1</v>
      </c>
      <c r="AB2074" s="486">
        <v>1</v>
      </c>
      <c r="AC2074" s="486">
        <v>3</v>
      </c>
      <c r="AD2074" s="486">
        <v>3</v>
      </c>
      <c r="AE2074" s="486">
        <v>5</v>
      </c>
      <c r="AF2074" s="486"/>
      <c r="AG2074" s="486"/>
      <c r="AH2074" s="486"/>
      <c r="AI2074" s="486"/>
      <c r="AJ2074" s="486"/>
      <c r="AK2074" s="486">
        <v>2</v>
      </c>
      <c r="AL2074" s="486">
        <v>2</v>
      </c>
      <c r="AM2074" s="486">
        <v>2</v>
      </c>
      <c r="AN2074" s="486">
        <v>2</v>
      </c>
      <c r="AO2074" s="486"/>
      <c r="AP2074" s="486"/>
      <c r="AQ2074" s="486"/>
      <c r="AR2074" s="486"/>
      <c r="AS2074" s="486"/>
      <c r="AT2074" s="486"/>
      <c r="AU2074" s="486"/>
      <c r="AV2074" s="486"/>
      <c r="AW2074" s="486"/>
      <c r="AX2074" s="486"/>
      <c r="AY2074" s="486"/>
      <c r="AZ2074" s="486"/>
      <c r="BA2074" s="486"/>
      <c r="BB2074" s="486"/>
      <c r="BC2074" s="488"/>
      <c r="BF2074">
        <f>ROWS($U$46:U2074)</f>
        <v>2029</v>
      </c>
      <c r="BG2074" t="str">
        <f t="shared" si="247"/>
        <v/>
      </c>
    </row>
    <row r="2075" spans="14:59" x14ac:dyDescent="0.35">
      <c r="N2075">
        <f t="shared" si="248"/>
        <v>24</v>
      </c>
      <c r="O2075" s="118">
        <v>1</v>
      </c>
      <c r="P2075" s="320">
        <v>1296685</v>
      </c>
      <c r="Q2075" s="320">
        <v>24</v>
      </c>
      <c r="R2075" s="320"/>
      <c r="S2075" s="320" t="s">
        <v>2520</v>
      </c>
      <c r="T2075" s="320" t="s">
        <v>2302</v>
      </c>
      <c r="U2075" s="320">
        <v>2008912</v>
      </c>
      <c r="V2075" s="1025" t="s">
        <v>87</v>
      </c>
      <c r="W2075" s="320">
        <v>2</v>
      </c>
      <c r="X2075" s="320">
        <v>2</v>
      </c>
      <c r="Y2075" s="320">
        <v>2</v>
      </c>
      <c r="Z2075" s="320">
        <v>1</v>
      </c>
      <c r="AA2075" s="320">
        <v>1</v>
      </c>
      <c r="AB2075" s="320">
        <v>1</v>
      </c>
      <c r="AC2075" s="320">
        <v>1</v>
      </c>
      <c r="AD2075" s="320">
        <v>5</v>
      </c>
      <c r="AE2075" s="320">
        <v>5</v>
      </c>
      <c r="AF2075" s="320">
        <v>2</v>
      </c>
      <c r="AG2075" s="320">
        <v>6</v>
      </c>
      <c r="AH2075" s="320"/>
      <c r="AI2075" s="320">
        <v>4</v>
      </c>
      <c r="AJ2075" s="320">
        <v>4</v>
      </c>
      <c r="AK2075" s="320">
        <v>4</v>
      </c>
      <c r="AL2075" s="320">
        <v>3</v>
      </c>
      <c r="AM2075" s="320">
        <v>3</v>
      </c>
      <c r="AN2075" s="320"/>
      <c r="AO2075" s="320"/>
      <c r="AP2075" s="320"/>
      <c r="AQ2075" s="320"/>
      <c r="AR2075" s="320"/>
      <c r="AS2075" s="320"/>
      <c r="AT2075" s="320"/>
      <c r="AU2075" s="320"/>
      <c r="AV2075" s="320"/>
      <c r="AW2075" s="320"/>
      <c r="AX2075" s="320"/>
      <c r="AY2075" s="320"/>
      <c r="AZ2075" s="320"/>
      <c r="BA2075" s="320"/>
      <c r="BB2075" s="320"/>
      <c r="BC2075" s="119"/>
      <c r="BF2075">
        <f>ROWS($U$46:U2075)</f>
        <v>2030</v>
      </c>
      <c r="BG2075" t="str">
        <f t="shared" si="247"/>
        <v/>
      </c>
    </row>
    <row r="2076" spans="14:59" x14ac:dyDescent="0.35">
      <c r="N2076">
        <f t="shared" si="248"/>
        <v>30</v>
      </c>
      <c r="O2076" s="3">
        <v>2</v>
      </c>
      <c r="P2076" s="36">
        <v>1146737</v>
      </c>
      <c r="Q2076" s="36">
        <v>15</v>
      </c>
      <c r="R2076" s="36"/>
      <c r="S2076" s="36" t="s">
        <v>2520</v>
      </c>
      <c r="T2076" s="36" t="s">
        <v>2302</v>
      </c>
      <c r="U2076" s="36">
        <v>2008912</v>
      </c>
      <c r="V2076" s="1024" t="s">
        <v>88</v>
      </c>
      <c r="W2076" s="36">
        <v>1</v>
      </c>
      <c r="X2076" s="36">
        <v>1</v>
      </c>
      <c r="Y2076" s="36">
        <v>1</v>
      </c>
      <c r="Z2076" s="36">
        <v>1</v>
      </c>
      <c r="AA2076" s="36">
        <v>5</v>
      </c>
      <c r="AB2076" s="36">
        <v>5</v>
      </c>
      <c r="AC2076" s="36">
        <v>2</v>
      </c>
      <c r="AD2076" s="36">
        <v>6</v>
      </c>
      <c r="AE2076" s="36"/>
      <c r="AF2076" s="36"/>
      <c r="AG2076" s="36"/>
      <c r="AH2076" s="36"/>
      <c r="AI2076" s="36">
        <v>4</v>
      </c>
      <c r="AJ2076" s="36">
        <v>3</v>
      </c>
      <c r="AK2076" s="36">
        <v>3</v>
      </c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  <c r="AV2076" s="36"/>
      <c r="AW2076" s="36"/>
      <c r="AX2076" s="36"/>
      <c r="AY2076" s="36"/>
      <c r="AZ2076" s="36"/>
      <c r="BA2076" s="36"/>
      <c r="BB2076" s="36"/>
      <c r="BC2076" s="27"/>
      <c r="BF2076">
        <f>ROWS($U$46:U2076)</f>
        <v>2031</v>
      </c>
      <c r="BG2076" t="str">
        <f t="shared" si="247"/>
        <v/>
      </c>
    </row>
    <row r="2077" spans="14:59" x14ac:dyDescent="0.35">
      <c r="N2077">
        <f t="shared" si="248"/>
        <v>36</v>
      </c>
      <c r="O2077" s="3">
        <v>3</v>
      </c>
      <c r="P2077" s="36">
        <v>410851</v>
      </c>
      <c r="Q2077" s="36">
        <v>12</v>
      </c>
      <c r="R2077" s="36"/>
      <c r="S2077" s="36" t="s">
        <v>2520</v>
      </c>
      <c r="T2077" s="36" t="s">
        <v>2302</v>
      </c>
      <c r="U2077" s="36">
        <v>2008912</v>
      </c>
      <c r="V2077" s="1024" t="s">
        <v>89</v>
      </c>
      <c r="W2077" s="36">
        <v>2</v>
      </c>
      <c r="X2077" s="36">
        <v>2</v>
      </c>
      <c r="Y2077" s="36">
        <v>2</v>
      </c>
      <c r="Z2077" s="36">
        <v>1</v>
      </c>
      <c r="AA2077" s="36">
        <v>1</v>
      </c>
      <c r="AB2077" s="36">
        <v>1</v>
      </c>
      <c r="AC2077" s="36">
        <v>1</v>
      </c>
      <c r="AD2077" s="36">
        <v>5</v>
      </c>
      <c r="AE2077" s="36">
        <v>5</v>
      </c>
      <c r="AF2077" s="36">
        <v>2</v>
      </c>
      <c r="AG2077" s="36">
        <v>6</v>
      </c>
      <c r="AH2077" s="36"/>
      <c r="AI2077" s="36">
        <v>4</v>
      </c>
      <c r="AJ2077" s="36">
        <v>4</v>
      </c>
      <c r="AK2077" s="36">
        <v>4</v>
      </c>
      <c r="AL2077" s="36">
        <v>3</v>
      </c>
      <c r="AM2077" s="36">
        <v>3</v>
      </c>
      <c r="AN2077" s="36"/>
      <c r="AO2077" s="36"/>
      <c r="AP2077" s="36"/>
      <c r="AQ2077" s="36"/>
      <c r="AR2077" s="36"/>
      <c r="AS2077" s="36"/>
      <c r="AT2077" s="36"/>
      <c r="AU2077" s="36"/>
      <c r="AV2077" s="36"/>
      <c r="AW2077" s="36"/>
      <c r="AX2077" s="36"/>
      <c r="AY2077" s="36"/>
      <c r="AZ2077" s="36"/>
      <c r="BA2077" s="36"/>
      <c r="BB2077" s="36"/>
      <c r="BC2077" s="27"/>
      <c r="BF2077">
        <f>ROWS($U$46:U2077)</f>
        <v>2032</v>
      </c>
      <c r="BG2077" t="str">
        <f t="shared" si="247"/>
        <v/>
      </c>
    </row>
    <row r="2078" spans="14:59" x14ac:dyDescent="0.35">
      <c r="N2078">
        <f t="shared" si="248"/>
        <v>48</v>
      </c>
      <c r="O2078" s="3">
        <v>4</v>
      </c>
      <c r="P2078" s="36">
        <v>1172481</v>
      </c>
      <c r="Q2078" s="36">
        <v>12</v>
      </c>
      <c r="R2078" s="36"/>
      <c r="S2078" s="36" t="s">
        <v>2520</v>
      </c>
      <c r="T2078" s="36" t="s">
        <v>2302</v>
      </c>
      <c r="U2078" s="36">
        <v>2008912</v>
      </c>
      <c r="V2078" s="1024" t="s">
        <v>90</v>
      </c>
      <c r="W2078" s="36">
        <v>1</v>
      </c>
      <c r="X2078" s="36">
        <v>1</v>
      </c>
      <c r="Y2078" s="36">
        <v>1</v>
      </c>
      <c r="Z2078" s="36">
        <v>1</v>
      </c>
      <c r="AA2078" s="36">
        <v>5</v>
      </c>
      <c r="AB2078" s="36">
        <v>5</v>
      </c>
      <c r="AC2078" s="36">
        <v>2</v>
      </c>
      <c r="AD2078" s="36">
        <v>6</v>
      </c>
      <c r="AE2078" s="36"/>
      <c r="AF2078" s="36"/>
      <c r="AG2078" s="36"/>
      <c r="AH2078" s="36"/>
      <c r="AI2078" s="36">
        <v>4</v>
      </c>
      <c r="AJ2078" s="36">
        <v>3</v>
      </c>
      <c r="AK2078" s="36">
        <v>3</v>
      </c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  <c r="AV2078" s="36"/>
      <c r="AW2078" s="36"/>
      <c r="AX2078" s="36"/>
      <c r="AY2078" s="36"/>
      <c r="AZ2078" s="36"/>
      <c r="BA2078" s="36"/>
      <c r="BB2078" s="36"/>
      <c r="BC2078" s="27"/>
      <c r="BF2078">
        <f>ROWS($U$46:U2078)</f>
        <v>2033</v>
      </c>
      <c r="BG2078" t="str">
        <f t="shared" si="247"/>
        <v/>
      </c>
    </row>
    <row r="2079" spans="14:59" x14ac:dyDescent="0.35">
      <c r="N2079">
        <f t="shared" si="248"/>
        <v>60</v>
      </c>
      <c r="O2079" s="3">
        <v>5</v>
      </c>
      <c r="P2079" s="36">
        <v>1288783</v>
      </c>
      <c r="Q2079" s="36">
        <v>12</v>
      </c>
      <c r="R2079" s="36"/>
      <c r="S2079" s="36" t="s">
        <v>2520</v>
      </c>
      <c r="T2079" s="36" t="s">
        <v>2302</v>
      </c>
      <c r="U2079" s="36">
        <v>2008912</v>
      </c>
      <c r="V2079" s="1024" t="s">
        <v>91</v>
      </c>
      <c r="W2079" s="36">
        <v>2</v>
      </c>
      <c r="X2079" s="36">
        <v>2</v>
      </c>
      <c r="Y2079" s="36">
        <v>2</v>
      </c>
      <c r="Z2079" s="36">
        <v>1</v>
      </c>
      <c r="AA2079" s="36">
        <v>1</v>
      </c>
      <c r="AB2079" s="36">
        <v>1</v>
      </c>
      <c r="AC2079" s="36">
        <v>1</v>
      </c>
      <c r="AD2079" s="36">
        <v>5</v>
      </c>
      <c r="AE2079" s="36">
        <v>5</v>
      </c>
      <c r="AF2079" s="36">
        <v>2</v>
      </c>
      <c r="AG2079" s="36">
        <v>6</v>
      </c>
      <c r="AH2079" s="36"/>
      <c r="AI2079" s="36">
        <v>4</v>
      </c>
      <c r="AJ2079" s="36">
        <v>4</v>
      </c>
      <c r="AK2079" s="36">
        <v>4</v>
      </c>
      <c r="AL2079" s="36">
        <v>3</v>
      </c>
      <c r="AM2079" s="36">
        <v>3</v>
      </c>
      <c r="AN2079" s="36"/>
      <c r="AO2079" s="36"/>
      <c r="AP2079" s="36"/>
      <c r="AQ2079" s="36"/>
      <c r="AR2079" s="36"/>
      <c r="AS2079" s="36"/>
      <c r="AT2079" s="36"/>
      <c r="AU2079" s="36"/>
      <c r="AV2079" s="36"/>
      <c r="AW2079" s="36"/>
      <c r="AX2079" s="36"/>
      <c r="AY2079" s="36"/>
      <c r="AZ2079" s="36"/>
      <c r="BA2079" s="36"/>
      <c r="BB2079" s="36"/>
      <c r="BC2079" s="27"/>
      <c r="BF2079">
        <f>ROWS($U$46:U2079)</f>
        <v>2034</v>
      </c>
      <c r="BG2079" t="str">
        <f t="shared" si="247"/>
        <v/>
      </c>
    </row>
    <row r="2080" spans="14:59" ht="15" thickBot="1" x14ac:dyDescent="0.4">
      <c r="N2080">
        <f t="shared" si="248"/>
        <v>36</v>
      </c>
      <c r="O2080" s="959">
        <v>6</v>
      </c>
      <c r="P2080" s="486">
        <v>871781</v>
      </c>
      <c r="Q2080" s="486">
        <v>6</v>
      </c>
      <c r="R2080" s="486"/>
      <c r="S2080" s="486" t="s">
        <v>2520</v>
      </c>
      <c r="T2080" s="486" t="s">
        <v>2302</v>
      </c>
      <c r="U2080" s="486">
        <v>2008912</v>
      </c>
      <c r="V2080" s="487" t="s">
        <v>92</v>
      </c>
      <c r="W2080" s="486">
        <v>1</v>
      </c>
      <c r="X2080" s="486">
        <v>1</v>
      </c>
      <c r="Y2080" s="486">
        <v>1</v>
      </c>
      <c r="Z2080" s="486">
        <v>1</v>
      </c>
      <c r="AA2080" s="486">
        <v>5</v>
      </c>
      <c r="AB2080" s="486">
        <v>5</v>
      </c>
      <c r="AC2080" s="486">
        <v>2</v>
      </c>
      <c r="AD2080" s="486">
        <v>6</v>
      </c>
      <c r="AE2080" s="486"/>
      <c r="AF2080" s="486"/>
      <c r="AG2080" s="486"/>
      <c r="AH2080" s="486"/>
      <c r="AI2080" s="486">
        <v>4</v>
      </c>
      <c r="AJ2080" s="486">
        <v>3</v>
      </c>
      <c r="AK2080" s="486">
        <v>3</v>
      </c>
      <c r="AL2080" s="486"/>
      <c r="AM2080" s="486"/>
      <c r="AN2080" s="486"/>
      <c r="AO2080" s="486"/>
      <c r="AP2080" s="486"/>
      <c r="AQ2080" s="486"/>
      <c r="AR2080" s="486"/>
      <c r="AS2080" s="486"/>
      <c r="AT2080" s="486"/>
      <c r="AU2080" s="486"/>
      <c r="AV2080" s="486"/>
      <c r="AW2080" s="486"/>
      <c r="AX2080" s="486"/>
      <c r="AY2080" s="486"/>
      <c r="AZ2080" s="486"/>
      <c r="BA2080" s="486"/>
      <c r="BB2080" s="486"/>
      <c r="BC2080" s="488"/>
      <c r="BF2080">
        <f>ROWS($U$46:U2080)</f>
        <v>2035</v>
      </c>
      <c r="BG2080" t="str">
        <f t="shared" si="247"/>
        <v/>
      </c>
    </row>
    <row r="2081" spans="14:59" ht="15" thickBot="1" x14ac:dyDescent="0.4">
      <c r="N2081">
        <f t="shared" si="248"/>
        <v>21</v>
      </c>
      <c r="O2081" s="118">
        <v>1</v>
      </c>
      <c r="P2081" s="320">
        <v>2004484</v>
      </c>
      <c r="Q2081" s="320">
        <v>21</v>
      </c>
      <c r="R2081" s="320"/>
      <c r="S2081" s="320" t="s">
        <v>2484</v>
      </c>
      <c r="T2081" s="320" t="s">
        <v>2524</v>
      </c>
      <c r="U2081" s="320">
        <v>1283482</v>
      </c>
      <c r="V2081" s="1025" t="s">
        <v>87</v>
      </c>
      <c r="W2081" s="320">
        <v>2</v>
      </c>
      <c r="X2081" s="320">
        <v>2</v>
      </c>
      <c r="Y2081" s="320">
        <v>2</v>
      </c>
      <c r="Z2081" s="320">
        <v>2</v>
      </c>
      <c r="AA2081" s="320">
        <v>3</v>
      </c>
      <c r="AB2081" s="320">
        <v>3</v>
      </c>
      <c r="AC2081" s="320">
        <v>5</v>
      </c>
      <c r="AD2081" s="320">
        <v>4</v>
      </c>
      <c r="AE2081" s="320"/>
      <c r="AF2081" s="320">
        <v>1</v>
      </c>
      <c r="AG2081" s="320">
        <v>1</v>
      </c>
      <c r="AH2081" s="320">
        <v>1</v>
      </c>
      <c r="AI2081" s="320">
        <v>6</v>
      </c>
      <c r="AJ2081" s="320"/>
      <c r="AK2081" s="320"/>
      <c r="AL2081" s="320"/>
      <c r="AM2081" s="320"/>
      <c r="AN2081" s="320"/>
      <c r="AO2081" s="320"/>
      <c r="AP2081" s="320"/>
      <c r="AQ2081" s="320"/>
      <c r="AR2081" s="320"/>
      <c r="AS2081" s="320"/>
      <c r="AT2081" s="320"/>
      <c r="AU2081" s="320"/>
      <c r="AV2081" s="320"/>
      <c r="AW2081" s="320"/>
      <c r="AX2081" s="320"/>
      <c r="AY2081" s="320"/>
      <c r="AZ2081" s="320"/>
      <c r="BA2081" s="320"/>
      <c r="BB2081" s="320"/>
      <c r="BC2081" s="119"/>
      <c r="BF2081">
        <f>ROWS($U$46:U2081)</f>
        <v>2036</v>
      </c>
      <c r="BG2081" t="str">
        <f t="shared" si="247"/>
        <v/>
      </c>
    </row>
    <row r="2082" spans="14:59" ht="15" thickBot="1" x14ac:dyDescent="0.4">
      <c r="N2082">
        <f t="shared" si="248"/>
        <v>36</v>
      </c>
      <c r="O2082" s="3">
        <v>2</v>
      </c>
      <c r="P2082" s="36">
        <v>2002299</v>
      </c>
      <c r="Q2082" s="36">
        <v>18</v>
      </c>
      <c r="R2082" s="36"/>
      <c r="S2082" s="36" t="s">
        <v>2484</v>
      </c>
      <c r="T2082" s="36" t="s">
        <v>2524</v>
      </c>
      <c r="U2082" s="36">
        <v>1283482</v>
      </c>
      <c r="V2082" s="1025" t="s">
        <v>88</v>
      </c>
      <c r="W2082" s="36">
        <v>2</v>
      </c>
      <c r="X2082" s="36">
        <v>3</v>
      </c>
      <c r="Y2082" s="36">
        <v>3</v>
      </c>
      <c r="Z2082" s="36">
        <v>2</v>
      </c>
      <c r="AA2082" s="36">
        <v>5</v>
      </c>
      <c r="AB2082" s="36">
        <v>4</v>
      </c>
      <c r="AC2082" s="36"/>
      <c r="AD2082" s="36"/>
      <c r="AE2082" s="36"/>
      <c r="AF2082" s="36">
        <v>1</v>
      </c>
      <c r="AG2082" s="36">
        <v>1</v>
      </c>
      <c r="AH2082" s="36">
        <v>1</v>
      </c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  <c r="AV2082" s="36"/>
      <c r="AW2082" s="36"/>
      <c r="AX2082" s="36"/>
      <c r="AY2082" s="36"/>
      <c r="AZ2082" s="36"/>
      <c r="BA2082" s="36"/>
      <c r="BB2082" s="36"/>
      <c r="BC2082" s="27"/>
      <c r="BF2082">
        <f>ROWS($U$46:U2082)</f>
        <v>2037</v>
      </c>
      <c r="BG2082" t="str">
        <f t="shared" si="247"/>
        <v/>
      </c>
    </row>
    <row r="2083" spans="14:59" ht="15" thickBot="1" x14ac:dyDescent="0.4">
      <c r="N2083">
        <f t="shared" si="248"/>
        <v>48</v>
      </c>
      <c r="O2083" s="3">
        <v>3</v>
      </c>
      <c r="P2083" s="36">
        <v>1228502</v>
      </c>
      <c r="Q2083" s="36">
        <v>16</v>
      </c>
      <c r="R2083" s="36"/>
      <c r="S2083" s="36" t="s">
        <v>2484</v>
      </c>
      <c r="T2083" s="36" t="s">
        <v>2524</v>
      </c>
      <c r="U2083" s="36">
        <v>1283482</v>
      </c>
      <c r="V2083" s="1025" t="s">
        <v>89</v>
      </c>
      <c r="W2083" s="36">
        <v>2</v>
      </c>
      <c r="X2083" s="36">
        <v>2</v>
      </c>
      <c r="Y2083" s="36">
        <v>2</v>
      </c>
      <c r="Z2083" s="36">
        <v>3</v>
      </c>
      <c r="AA2083" s="36">
        <v>3</v>
      </c>
      <c r="AB2083" s="36">
        <v>2</v>
      </c>
      <c r="AC2083" s="36">
        <v>5</v>
      </c>
      <c r="AD2083" s="36">
        <v>4</v>
      </c>
      <c r="AE2083" s="36"/>
      <c r="AF2083" s="36">
        <v>1</v>
      </c>
      <c r="AG2083" s="36">
        <v>1</v>
      </c>
      <c r="AH2083" s="36">
        <v>1</v>
      </c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  <c r="AV2083" s="36"/>
      <c r="AW2083" s="36"/>
      <c r="AX2083" s="36"/>
      <c r="AY2083" s="36"/>
      <c r="AZ2083" s="36"/>
      <c r="BA2083" s="36"/>
      <c r="BB2083" s="36"/>
      <c r="BC2083" s="27"/>
      <c r="BF2083">
        <f>ROWS($U$46:U2083)</f>
        <v>2038</v>
      </c>
      <c r="BG2083" t="str">
        <f t="shared" si="247"/>
        <v/>
      </c>
    </row>
    <row r="2084" spans="14:59" ht="15" thickBot="1" x14ac:dyDescent="0.4">
      <c r="N2084">
        <f t="shared" si="248"/>
        <v>28</v>
      </c>
      <c r="O2084" s="3">
        <v>4</v>
      </c>
      <c r="P2084" s="36">
        <v>871781</v>
      </c>
      <c r="Q2084" s="36">
        <v>7</v>
      </c>
      <c r="R2084" s="36"/>
      <c r="S2084" s="36" t="s">
        <v>2484</v>
      </c>
      <c r="T2084" s="36" t="s">
        <v>2524</v>
      </c>
      <c r="U2084" s="36">
        <v>1283482</v>
      </c>
      <c r="V2084" s="1025" t="s">
        <v>90</v>
      </c>
      <c r="W2084" s="36">
        <v>2</v>
      </c>
      <c r="X2084" s="36">
        <v>3</v>
      </c>
      <c r="Y2084" s="36">
        <v>3</v>
      </c>
      <c r="Z2084" s="36">
        <v>2</v>
      </c>
      <c r="AA2084" s="36">
        <v>5</v>
      </c>
      <c r="AB2084" s="36">
        <v>4</v>
      </c>
      <c r="AC2084" s="36"/>
      <c r="AD2084" s="36"/>
      <c r="AE2084" s="36"/>
      <c r="AF2084" s="36">
        <v>1</v>
      </c>
      <c r="AG2084" s="36">
        <v>1</v>
      </c>
      <c r="AH2084" s="36">
        <v>1</v>
      </c>
      <c r="AI2084" s="36">
        <v>6</v>
      </c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  <c r="AV2084" s="36"/>
      <c r="AW2084" s="36"/>
      <c r="AX2084" s="36"/>
      <c r="AY2084" s="36"/>
      <c r="AZ2084" s="36"/>
      <c r="BA2084" s="36"/>
      <c r="BB2084" s="36"/>
      <c r="BC2084" s="27"/>
      <c r="BF2084">
        <f>ROWS($U$46:U2084)</f>
        <v>2039</v>
      </c>
      <c r="BG2084" t="str">
        <f t="shared" si="247"/>
        <v/>
      </c>
    </row>
    <row r="2085" spans="14:59" ht="15" thickBot="1" x14ac:dyDescent="0.4">
      <c r="N2085">
        <f t="shared" si="248"/>
        <v>35</v>
      </c>
      <c r="O2085" s="3">
        <v>5</v>
      </c>
      <c r="P2085" s="36">
        <v>1126402</v>
      </c>
      <c r="Q2085" s="36">
        <v>7</v>
      </c>
      <c r="R2085" s="36"/>
      <c r="S2085" s="36" t="s">
        <v>2484</v>
      </c>
      <c r="T2085" s="36" t="s">
        <v>2524</v>
      </c>
      <c r="U2085" s="36">
        <v>1283482</v>
      </c>
      <c r="V2085" s="1025" t="s">
        <v>91</v>
      </c>
      <c r="W2085" s="36">
        <v>2</v>
      </c>
      <c r="X2085" s="36">
        <v>2</v>
      </c>
      <c r="Y2085" s="36">
        <v>2</v>
      </c>
      <c r="Z2085" s="36">
        <v>3</v>
      </c>
      <c r="AA2085" s="36">
        <v>3</v>
      </c>
      <c r="AB2085" s="36">
        <v>2</v>
      </c>
      <c r="AC2085" s="36">
        <v>5</v>
      </c>
      <c r="AD2085" s="36">
        <v>4</v>
      </c>
      <c r="AE2085" s="36"/>
      <c r="AF2085" s="36">
        <v>1</v>
      </c>
      <c r="AG2085" s="36">
        <v>1</v>
      </c>
      <c r="AH2085" s="36">
        <v>1</v>
      </c>
      <c r="AI2085" s="36">
        <v>6</v>
      </c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  <c r="AV2085" s="36"/>
      <c r="AW2085" s="36"/>
      <c r="AX2085" s="36"/>
      <c r="AY2085" s="36"/>
      <c r="AZ2085" s="36"/>
      <c r="BA2085" s="36"/>
      <c r="BB2085" s="36"/>
      <c r="BC2085" s="27"/>
      <c r="BF2085">
        <f>ROWS($U$46:U2085)</f>
        <v>2040</v>
      </c>
      <c r="BG2085" t="str">
        <f t="shared" si="247"/>
        <v/>
      </c>
    </row>
    <row r="2086" spans="14:59" ht="15" thickBot="1" x14ac:dyDescent="0.4">
      <c r="N2086">
        <f t="shared" si="248"/>
        <v>30</v>
      </c>
      <c r="O2086" s="3">
        <v>6</v>
      </c>
      <c r="P2086" s="36">
        <v>653400</v>
      </c>
      <c r="Q2086" s="36">
        <v>5</v>
      </c>
      <c r="R2086" s="36"/>
      <c r="S2086" s="36" t="s">
        <v>2484</v>
      </c>
      <c r="T2086" s="36" t="s">
        <v>2524</v>
      </c>
      <c r="U2086" s="36">
        <v>1283482</v>
      </c>
      <c r="V2086" s="1025" t="s">
        <v>92</v>
      </c>
      <c r="W2086" s="36">
        <v>2</v>
      </c>
      <c r="X2086" s="36">
        <v>3</v>
      </c>
      <c r="Y2086" s="36">
        <v>3</v>
      </c>
      <c r="Z2086" s="36">
        <v>3</v>
      </c>
      <c r="AA2086" s="36">
        <v>5</v>
      </c>
      <c r="AB2086" s="36">
        <v>4</v>
      </c>
      <c r="AC2086" s="36"/>
      <c r="AD2086" s="36"/>
      <c r="AE2086" s="36"/>
      <c r="AF2086" s="36">
        <v>1</v>
      </c>
      <c r="AG2086" s="36">
        <v>1</v>
      </c>
      <c r="AH2086" s="36">
        <v>1</v>
      </c>
      <c r="AI2086" s="36">
        <v>6</v>
      </c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  <c r="AV2086" s="36"/>
      <c r="AW2086" s="36"/>
      <c r="AX2086" s="36"/>
      <c r="AY2086" s="36"/>
      <c r="AZ2086" s="36"/>
      <c r="BA2086" s="36"/>
      <c r="BB2086" s="36"/>
      <c r="BC2086" s="27"/>
      <c r="BF2086">
        <f>ROWS($U$46:U2086)</f>
        <v>2041</v>
      </c>
      <c r="BG2086" t="str">
        <f t="shared" si="247"/>
        <v/>
      </c>
    </row>
    <row r="2087" spans="14:59" ht="15" thickBot="1" x14ac:dyDescent="0.4">
      <c r="N2087">
        <f t="shared" si="248"/>
        <v>112</v>
      </c>
      <c r="O2087" s="1124">
        <v>7</v>
      </c>
      <c r="P2087" s="902">
        <v>1228501</v>
      </c>
      <c r="Q2087" s="902">
        <v>16</v>
      </c>
      <c r="R2087" s="328"/>
      <c r="S2087" s="328" t="s">
        <v>2484</v>
      </c>
      <c r="T2087" s="328" t="s">
        <v>2524</v>
      </c>
      <c r="U2087" s="328">
        <v>1283482</v>
      </c>
      <c r="V2087" s="1025" t="s">
        <v>111</v>
      </c>
      <c r="W2087" s="328">
        <v>2</v>
      </c>
      <c r="X2087" s="328">
        <v>3</v>
      </c>
      <c r="Y2087" s="328">
        <v>3</v>
      </c>
      <c r="Z2087" s="328">
        <v>3</v>
      </c>
      <c r="AA2087" s="328">
        <v>5</v>
      </c>
      <c r="AB2087" s="328">
        <v>4</v>
      </c>
      <c r="AC2087" s="328"/>
      <c r="AD2087" s="328"/>
      <c r="AE2087" s="328"/>
      <c r="AF2087" s="328">
        <v>1</v>
      </c>
      <c r="AG2087" s="328">
        <v>1</v>
      </c>
      <c r="AH2087" s="328">
        <v>1</v>
      </c>
      <c r="AI2087" s="328">
        <v>6</v>
      </c>
      <c r="AJ2087" s="328"/>
      <c r="AK2087" s="328"/>
      <c r="AL2087" s="328"/>
      <c r="AM2087" s="328"/>
      <c r="AN2087" s="328"/>
      <c r="AO2087" s="328"/>
      <c r="AP2087" s="328"/>
      <c r="AQ2087" s="328"/>
      <c r="AR2087" s="328"/>
      <c r="AS2087" s="328"/>
      <c r="AT2087" s="328"/>
      <c r="AU2087" s="328"/>
      <c r="AV2087" s="328"/>
      <c r="AW2087" s="328"/>
      <c r="AX2087" s="328"/>
      <c r="AY2087" s="328"/>
      <c r="AZ2087" s="328"/>
      <c r="BA2087" s="328"/>
      <c r="BB2087" s="328"/>
      <c r="BC2087" s="31"/>
      <c r="BF2087">
        <f>ROWS($U$46:U2087)</f>
        <v>2042</v>
      </c>
      <c r="BG2087" t="str">
        <f t="shared" si="247"/>
        <v/>
      </c>
    </row>
    <row r="2088" spans="14:59" x14ac:dyDescent="0.35">
      <c r="BF2088">
        <f>ROWS($U$46:U2088)</f>
        <v>2043</v>
      </c>
      <c r="BG2088" t="str">
        <f t="shared" si="247"/>
        <v/>
      </c>
    </row>
    <row r="2089" spans="14:59" x14ac:dyDescent="0.35">
      <c r="BF2089">
        <f>ROWS($U$46:U2089)</f>
        <v>2044</v>
      </c>
      <c r="BG2089" t="str">
        <f t="shared" si="247"/>
        <v/>
      </c>
    </row>
    <row r="2090" spans="14:59" x14ac:dyDescent="0.35">
      <c r="BF2090">
        <f>ROWS($U$46:U2090)</f>
        <v>2045</v>
      </c>
      <c r="BG2090" t="str">
        <f t="shared" si="247"/>
        <v/>
      </c>
    </row>
    <row r="2091" spans="14:59" x14ac:dyDescent="0.35">
      <c r="BF2091">
        <f>ROWS($U$46:U2091)</f>
        <v>2046</v>
      </c>
      <c r="BG2091" t="str">
        <f t="shared" si="247"/>
        <v/>
      </c>
    </row>
    <row r="2092" spans="14:59" x14ac:dyDescent="0.35">
      <c r="BF2092">
        <f>ROWS($U$46:U2092)</f>
        <v>2047</v>
      </c>
      <c r="BG2092" t="str">
        <f t="shared" si="247"/>
        <v/>
      </c>
    </row>
    <row r="2093" spans="14:59" x14ac:dyDescent="0.35">
      <c r="BF2093">
        <f>ROWS($U$46:U2093)</f>
        <v>2048</v>
      </c>
      <c r="BG2093" t="str">
        <f t="shared" si="247"/>
        <v/>
      </c>
    </row>
    <row r="2094" spans="14:59" x14ac:dyDescent="0.35">
      <c r="BF2094">
        <f>ROWS($U$46:U2094)</f>
        <v>2049</v>
      </c>
      <c r="BG2094" t="str">
        <f t="shared" si="247"/>
        <v/>
      </c>
    </row>
    <row r="2095" spans="14:59" x14ac:dyDescent="0.35">
      <c r="BF2095">
        <f>ROWS($U$46:U2095)</f>
        <v>2050</v>
      </c>
      <c r="BG2095" t="str">
        <f t="shared" ref="BG2095:BG2158" si="249">IF(VALUE(SUBSTITUTE($B$5,"M",""))=U2095,BF2095,"")</f>
        <v/>
      </c>
    </row>
    <row r="2096" spans="14:59" x14ac:dyDescent="0.35">
      <c r="BF2096">
        <f>ROWS($U$46:U2096)</f>
        <v>2051</v>
      </c>
      <c r="BG2096" t="str">
        <f t="shared" si="249"/>
        <v/>
      </c>
    </row>
    <row r="2097" spans="58:59" x14ac:dyDescent="0.35">
      <c r="BF2097">
        <f>ROWS($U$46:U2097)</f>
        <v>2052</v>
      </c>
      <c r="BG2097" t="str">
        <f t="shared" si="249"/>
        <v/>
      </c>
    </row>
    <row r="2098" spans="58:59" x14ac:dyDescent="0.35">
      <c r="BF2098">
        <f>ROWS($U$46:U2098)</f>
        <v>2053</v>
      </c>
      <c r="BG2098" t="str">
        <f t="shared" si="249"/>
        <v/>
      </c>
    </row>
    <row r="2099" spans="58:59" x14ac:dyDescent="0.35">
      <c r="BF2099">
        <f>ROWS($U$46:U2099)</f>
        <v>2054</v>
      </c>
      <c r="BG2099" t="str">
        <f t="shared" si="249"/>
        <v/>
      </c>
    </row>
    <row r="2100" spans="58:59" x14ac:dyDescent="0.35">
      <c r="BF2100">
        <f>ROWS($U$46:U2100)</f>
        <v>2055</v>
      </c>
      <c r="BG2100" t="str">
        <f t="shared" si="249"/>
        <v/>
      </c>
    </row>
    <row r="2101" spans="58:59" x14ac:dyDescent="0.35">
      <c r="BF2101">
        <f>ROWS($U$46:U2101)</f>
        <v>2056</v>
      </c>
      <c r="BG2101" t="str">
        <f t="shared" si="249"/>
        <v/>
      </c>
    </row>
    <row r="2102" spans="58:59" x14ac:dyDescent="0.35">
      <c r="BF2102">
        <f>ROWS($U$46:U2102)</f>
        <v>2057</v>
      </c>
      <c r="BG2102" t="str">
        <f t="shared" si="249"/>
        <v/>
      </c>
    </row>
    <row r="2103" spans="58:59" x14ac:dyDescent="0.35">
      <c r="BF2103">
        <f>ROWS($U$46:U2103)</f>
        <v>2058</v>
      </c>
      <c r="BG2103" t="str">
        <f t="shared" si="249"/>
        <v/>
      </c>
    </row>
    <row r="2104" spans="58:59" x14ac:dyDescent="0.35">
      <c r="BF2104">
        <f>ROWS($U$46:U2104)</f>
        <v>2059</v>
      </c>
      <c r="BG2104" t="str">
        <f t="shared" si="249"/>
        <v/>
      </c>
    </row>
    <row r="2105" spans="58:59" x14ac:dyDescent="0.35">
      <c r="BF2105">
        <f>ROWS($U$46:U2105)</f>
        <v>2060</v>
      </c>
      <c r="BG2105" t="str">
        <f t="shared" si="249"/>
        <v/>
      </c>
    </row>
    <row r="2106" spans="58:59" x14ac:dyDescent="0.35">
      <c r="BF2106">
        <f>ROWS($U$46:U2106)</f>
        <v>2061</v>
      </c>
      <c r="BG2106" t="str">
        <f t="shared" si="249"/>
        <v/>
      </c>
    </row>
    <row r="2107" spans="58:59" x14ac:dyDescent="0.35">
      <c r="BF2107">
        <f>ROWS($U$46:U2107)</f>
        <v>2062</v>
      </c>
      <c r="BG2107" t="str">
        <f t="shared" si="249"/>
        <v/>
      </c>
    </row>
    <row r="2108" spans="58:59" x14ac:dyDescent="0.35">
      <c r="BF2108">
        <f>ROWS($U$46:U2108)</f>
        <v>2063</v>
      </c>
      <c r="BG2108" t="str">
        <f t="shared" si="249"/>
        <v/>
      </c>
    </row>
    <row r="2109" spans="58:59" x14ac:dyDescent="0.35">
      <c r="BF2109">
        <f>ROWS($U$46:U2109)</f>
        <v>2064</v>
      </c>
      <c r="BG2109" t="str">
        <f t="shared" si="249"/>
        <v/>
      </c>
    </row>
    <row r="2110" spans="58:59" x14ac:dyDescent="0.35">
      <c r="BF2110">
        <f>ROWS($U$46:U2110)</f>
        <v>2065</v>
      </c>
      <c r="BG2110" t="str">
        <f t="shared" si="249"/>
        <v/>
      </c>
    </row>
    <row r="2111" spans="58:59" x14ac:dyDescent="0.35">
      <c r="BF2111">
        <f>ROWS($U$46:U2111)</f>
        <v>2066</v>
      </c>
      <c r="BG2111" t="str">
        <f t="shared" si="249"/>
        <v/>
      </c>
    </row>
    <row r="2112" spans="58:59" x14ac:dyDescent="0.35">
      <c r="BF2112">
        <f>ROWS($U$46:U2112)</f>
        <v>2067</v>
      </c>
      <c r="BG2112" t="str">
        <f t="shared" si="249"/>
        <v/>
      </c>
    </row>
    <row r="2113" spans="58:59" x14ac:dyDescent="0.35">
      <c r="BF2113">
        <f>ROWS($U$46:U2113)</f>
        <v>2068</v>
      </c>
      <c r="BG2113" t="str">
        <f t="shared" si="249"/>
        <v/>
      </c>
    </row>
    <row r="2114" spans="58:59" x14ac:dyDescent="0.35">
      <c r="BF2114">
        <f>ROWS($U$46:U2114)</f>
        <v>2069</v>
      </c>
      <c r="BG2114" t="str">
        <f t="shared" si="249"/>
        <v/>
      </c>
    </row>
    <row r="2115" spans="58:59" x14ac:dyDescent="0.35">
      <c r="BF2115">
        <f>ROWS($U$46:U2115)</f>
        <v>2070</v>
      </c>
      <c r="BG2115" t="str">
        <f t="shared" si="249"/>
        <v/>
      </c>
    </row>
    <row r="2116" spans="58:59" x14ac:dyDescent="0.35">
      <c r="BF2116">
        <f>ROWS($U$46:U2116)</f>
        <v>2071</v>
      </c>
      <c r="BG2116" t="str">
        <f t="shared" si="249"/>
        <v/>
      </c>
    </row>
    <row r="2117" spans="58:59" x14ac:dyDescent="0.35">
      <c r="BF2117">
        <f>ROWS($U$46:U2117)</f>
        <v>2072</v>
      </c>
      <c r="BG2117" t="str">
        <f t="shared" si="249"/>
        <v/>
      </c>
    </row>
    <row r="2118" spans="58:59" x14ac:dyDescent="0.35">
      <c r="BF2118">
        <f>ROWS($U$46:U2118)</f>
        <v>2073</v>
      </c>
      <c r="BG2118" t="str">
        <f t="shared" si="249"/>
        <v/>
      </c>
    </row>
    <row r="2119" spans="58:59" x14ac:dyDescent="0.35">
      <c r="BF2119">
        <f>ROWS($U$46:U2119)</f>
        <v>2074</v>
      </c>
      <c r="BG2119" t="str">
        <f t="shared" si="249"/>
        <v/>
      </c>
    </row>
    <row r="2120" spans="58:59" x14ac:dyDescent="0.35">
      <c r="BF2120">
        <f>ROWS($U$46:U2120)</f>
        <v>2075</v>
      </c>
      <c r="BG2120" t="str">
        <f t="shared" si="249"/>
        <v/>
      </c>
    </row>
    <row r="2121" spans="58:59" x14ac:dyDescent="0.35">
      <c r="BF2121">
        <f>ROWS($U$46:U2121)</f>
        <v>2076</v>
      </c>
      <c r="BG2121" t="str">
        <f t="shared" si="249"/>
        <v/>
      </c>
    </row>
    <row r="2122" spans="58:59" x14ac:dyDescent="0.35">
      <c r="BF2122">
        <f>ROWS($U$46:U2122)</f>
        <v>2077</v>
      </c>
      <c r="BG2122" t="str">
        <f t="shared" si="249"/>
        <v/>
      </c>
    </row>
    <row r="2123" spans="58:59" x14ac:dyDescent="0.35">
      <c r="BF2123">
        <f>ROWS($U$46:U2123)</f>
        <v>2078</v>
      </c>
      <c r="BG2123" t="str">
        <f t="shared" si="249"/>
        <v/>
      </c>
    </row>
    <row r="2124" spans="58:59" x14ac:dyDescent="0.35">
      <c r="BF2124">
        <f>ROWS($U$46:U2124)</f>
        <v>2079</v>
      </c>
      <c r="BG2124" t="str">
        <f t="shared" si="249"/>
        <v/>
      </c>
    </row>
    <row r="2125" spans="58:59" x14ac:dyDescent="0.35">
      <c r="BF2125">
        <f>ROWS($U$46:U2125)</f>
        <v>2080</v>
      </c>
      <c r="BG2125" t="str">
        <f t="shared" si="249"/>
        <v/>
      </c>
    </row>
    <row r="2126" spans="58:59" x14ac:dyDescent="0.35">
      <c r="BF2126">
        <f>ROWS($U$46:U2126)</f>
        <v>2081</v>
      </c>
      <c r="BG2126" t="str">
        <f t="shared" si="249"/>
        <v/>
      </c>
    </row>
    <row r="2127" spans="58:59" x14ac:dyDescent="0.35">
      <c r="BF2127">
        <f>ROWS($U$46:U2127)</f>
        <v>2082</v>
      </c>
      <c r="BG2127" t="str">
        <f t="shared" si="249"/>
        <v/>
      </c>
    </row>
    <row r="2128" spans="58:59" x14ac:dyDescent="0.35">
      <c r="BF2128">
        <f>ROWS($U$46:U2128)</f>
        <v>2083</v>
      </c>
      <c r="BG2128" t="str">
        <f t="shared" si="249"/>
        <v/>
      </c>
    </row>
    <row r="2129" spans="58:59" x14ac:dyDescent="0.35">
      <c r="BF2129">
        <f>ROWS($U$46:U2129)</f>
        <v>2084</v>
      </c>
      <c r="BG2129" t="str">
        <f t="shared" si="249"/>
        <v/>
      </c>
    </row>
    <row r="2130" spans="58:59" x14ac:dyDescent="0.35">
      <c r="BF2130">
        <f>ROWS($U$46:U2130)</f>
        <v>2085</v>
      </c>
      <c r="BG2130" t="str">
        <f t="shared" si="249"/>
        <v/>
      </c>
    </row>
    <row r="2131" spans="58:59" x14ac:dyDescent="0.35">
      <c r="BF2131">
        <f>ROWS($U$46:U2131)</f>
        <v>2086</v>
      </c>
      <c r="BG2131" t="str">
        <f t="shared" si="249"/>
        <v/>
      </c>
    </row>
    <row r="2132" spans="58:59" x14ac:dyDescent="0.35">
      <c r="BF2132">
        <f>ROWS($U$46:U2132)</f>
        <v>2087</v>
      </c>
      <c r="BG2132" t="str">
        <f t="shared" si="249"/>
        <v/>
      </c>
    </row>
    <row r="2133" spans="58:59" x14ac:dyDescent="0.35">
      <c r="BF2133">
        <f>ROWS($U$46:U2133)</f>
        <v>2088</v>
      </c>
      <c r="BG2133" t="str">
        <f t="shared" si="249"/>
        <v/>
      </c>
    </row>
    <row r="2134" spans="58:59" x14ac:dyDescent="0.35">
      <c r="BF2134">
        <f>ROWS($U$46:U2134)</f>
        <v>2089</v>
      </c>
      <c r="BG2134" t="str">
        <f t="shared" si="249"/>
        <v/>
      </c>
    </row>
    <row r="2135" spans="58:59" x14ac:dyDescent="0.35">
      <c r="BF2135">
        <f>ROWS($U$46:U2135)</f>
        <v>2090</v>
      </c>
      <c r="BG2135" t="str">
        <f t="shared" si="249"/>
        <v/>
      </c>
    </row>
    <row r="2136" spans="58:59" x14ac:dyDescent="0.35">
      <c r="BF2136">
        <f>ROWS($U$46:U2136)</f>
        <v>2091</v>
      </c>
      <c r="BG2136" t="str">
        <f t="shared" si="249"/>
        <v/>
      </c>
    </row>
    <row r="2137" spans="58:59" x14ac:dyDescent="0.35">
      <c r="BF2137">
        <f>ROWS($U$46:U2137)</f>
        <v>2092</v>
      </c>
      <c r="BG2137" t="str">
        <f t="shared" si="249"/>
        <v/>
      </c>
    </row>
    <row r="2138" spans="58:59" x14ac:dyDescent="0.35">
      <c r="BF2138">
        <f>ROWS($U$46:U2138)</f>
        <v>2093</v>
      </c>
      <c r="BG2138" t="str">
        <f t="shared" si="249"/>
        <v/>
      </c>
    </row>
    <row r="2139" spans="58:59" x14ac:dyDescent="0.35">
      <c r="BF2139">
        <f>ROWS($U$46:U2139)</f>
        <v>2094</v>
      </c>
      <c r="BG2139" t="str">
        <f t="shared" si="249"/>
        <v/>
      </c>
    </row>
    <row r="2140" spans="58:59" x14ac:dyDescent="0.35">
      <c r="BF2140">
        <f>ROWS($U$46:U2140)</f>
        <v>2095</v>
      </c>
      <c r="BG2140" t="str">
        <f t="shared" si="249"/>
        <v/>
      </c>
    </row>
    <row r="2141" spans="58:59" x14ac:dyDescent="0.35">
      <c r="BF2141">
        <f>ROWS($U$46:U2141)</f>
        <v>2096</v>
      </c>
      <c r="BG2141" t="str">
        <f t="shared" si="249"/>
        <v/>
      </c>
    </row>
    <row r="2142" spans="58:59" x14ac:dyDescent="0.35">
      <c r="BF2142">
        <f>ROWS($U$46:U2142)</f>
        <v>2097</v>
      </c>
      <c r="BG2142" t="str">
        <f t="shared" si="249"/>
        <v/>
      </c>
    </row>
    <row r="2143" spans="58:59" x14ac:dyDescent="0.35">
      <c r="BF2143">
        <f>ROWS($U$46:U2143)</f>
        <v>2098</v>
      </c>
      <c r="BG2143" t="str">
        <f t="shared" si="249"/>
        <v/>
      </c>
    </row>
    <row r="2144" spans="58:59" x14ac:dyDescent="0.35">
      <c r="BF2144">
        <f>ROWS($U$46:U2144)</f>
        <v>2099</v>
      </c>
      <c r="BG2144" t="str">
        <f t="shared" si="249"/>
        <v/>
      </c>
    </row>
    <row r="2145" spans="58:59" x14ac:dyDescent="0.35">
      <c r="BF2145">
        <f>ROWS($U$46:U2145)</f>
        <v>2100</v>
      </c>
      <c r="BG2145" t="str">
        <f t="shared" si="249"/>
        <v/>
      </c>
    </row>
    <row r="2146" spans="58:59" x14ac:dyDescent="0.35">
      <c r="BF2146">
        <f>ROWS($U$46:U2146)</f>
        <v>2101</v>
      </c>
      <c r="BG2146" t="str">
        <f t="shared" si="249"/>
        <v/>
      </c>
    </row>
    <row r="2147" spans="58:59" x14ac:dyDescent="0.35">
      <c r="BF2147">
        <f>ROWS($U$46:U2147)</f>
        <v>2102</v>
      </c>
      <c r="BG2147" t="str">
        <f t="shared" si="249"/>
        <v/>
      </c>
    </row>
    <row r="2148" spans="58:59" x14ac:dyDescent="0.35">
      <c r="BF2148">
        <f>ROWS($U$46:U2148)</f>
        <v>2103</v>
      </c>
      <c r="BG2148" t="str">
        <f t="shared" si="249"/>
        <v/>
      </c>
    </row>
    <row r="2149" spans="58:59" x14ac:dyDescent="0.35">
      <c r="BF2149">
        <f>ROWS($U$46:U2149)</f>
        <v>2104</v>
      </c>
      <c r="BG2149" t="str">
        <f t="shared" si="249"/>
        <v/>
      </c>
    </row>
    <row r="2150" spans="58:59" x14ac:dyDescent="0.35">
      <c r="BF2150">
        <f>ROWS($U$46:U2150)</f>
        <v>2105</v>
      </c>
      <c r="BG2150" t="str">
        <f t="shared" si="249"/>
        <v/>
      </c>
    </row>
    <row r="2151" spans="58:59" x14ac:dyDescent="0.35">
      <c r="BF2151">
        <f>ROWS($U$46:U2151)</f>
        <v>2106</v>
      </c>
      <c r="BG2151" t="str">
        <f t="shared" si="249"/>
        <v/>
      </c>
    </row>
    <row r="2152" spans="58:59" x14ac:dyDescent="0.35">
      <c r="BF2152">
        <f>ROWS($U$46:U2152)</f>
        <v>2107</v>
      </c>
      <c r="BG2152" t="str">
        <f t="shared" si="249"/>
        <v/>
      </c>
    </row>
    <row r="2153" spans="58:59" x14ac:dyDescent="0.35">
      <c r="BF2153">
        <f>ROWS($U$46:U2153)</f>
        <v>2108</v>
      </c>
      <c r="BG2153" t="str">
        <f t="shared" si="249"/>
        <v/>
      </c>
    </row>
    <row r="2154" spans="58:59" x14ac:dyDescent="0.35">
      <c r="BF2154">
        <f>ROWS($U$46:U2154)</f>
        <v>2109</v>
      </c>
      <c r="BG2154" t="str">
        <f t="shared" si="249"/>
        <v/>
      </c>
    </row>
    <row r="2155" spans="58:59" x14ac:dyDescent="0.35">
      <c r="BF2155">
        <f>ROWS($U$46:U2155)</f>
        <v>2110</v>
      </c>
      <c r="BG2155" t="str">
        <f t="shared" si="249"/>
        <v/>
      </c>
    </row>
    <row r="2156" spans="58:59" x14ac:dyDescent="0.35">
      <c r="BF2156">
        <f>ROWS($U$46:U2156)</f>
        <v>2111</v>
      </c>
      <c r="BG2156" t="str">
        <f t="shared" si="249"/>
        <v/>
      </c>
    </row>
    <row r="2157" spans="58:59" x14ac:dyDescent="0.35">
      <c r="BF2157">
        <f>ROWS($U$46:U2157)</f>
        <v>2112</v>
      </c>
      <c r="BG2157" t="str">
        <f t="shared" si="249"/>
        <v/>
      </c>
    </row>
    <row r="2158" spans="58:59" x14ac:dyDescent="0.35">
      <c r="BF2158">
        <f>ROWS($U$46:U2158)</f>
        <v>2113</v>
      </c>
      <c r="BG2158" t="str">
        <f t="shared" si="249"/>
        <v/>
      </c>
    </row>
    <row r="2159" spans="58:59" x14ac:dyDescent="0.35">
      <c r="BF2159">
        <f>ROWS($U$46:U2159)</f>
        <v>2114</v>
      </c>
      <c r="BG2159" t="str">
        <f t="shared" ref="BG2159:BG2222" si="250">IF(VALUE(SUBSTITUTE($B$5,"M",""))=U2159,BF2159,"")</f>
        <v/>
      </c>
    </row>
    <row r="2160" spans="58:59" x14ac:dyDescent="0.35">
      <c r="BF2160">
        <f>ROWS($U$46:U2160)</f>
        <v>2115</v>
      </c>
      <c r="BG2160" t="str">
        <f t="shared" si="250"/>
        <v/>
      </c>
    </row>
    <row r="2161" spans="58:59" x14ac:dyDescent="0.35">
      <c r="BF2161">
        <f>ROWS($U$46:U2161)</f>
        <v>2116</v>
      </c>
      <c r="BG2161" t="str">
        <f t="shared" si="250"/>
        <v/>
      </c>
    </row>
    <row r="2162" spans="58:59" x14ac:dyDescent="0.35">
      <c r="BF2162">
        <f>ROWS($U$46:U2162)</f>
        <v>2117</v>
      </c>
      <c r="BG2162" t="str">
        <f t="shared" si="250"/>
        <v/>
      </c>
    </row>
    <row r="2163" spans="58:59" x14ac:dyDescent="0.35">
      <c r="BF2163">
        <f>ROWS($U$46:U2163)</f>
        <v>2118</v>
      </c>
      <c r="BG2163" t="str">
        <f t="shared" si="250"/>
        <v/>
      </c>
    </row>
    <row r="2164" spans="58:59" x14ac:dyDescent="0.35">
      <c r="BF2164">
        <f>ROWS($U$46:U2164)</f>
        <v>2119</v>
      </c>
      <c r="BG2164" t="str">
        <f t="shared" si="250"/>
        <v/>
      </c>
    </row>
    <row r="2165" spans="58:59" x14ac:dyDescent="0.35">
      <c r="BF2165">
        <f>ROWS($U$46:U2165)</f>
        <v>2120</v>
      </c>
      <c r="BG2165" t="str">
        <f t="shared" si="250"/>
        <v/>
      </c>
    </row>
    <row r="2166" spans="58:59" x14ac:dyDescent="0.35">
      <c r="BF2166">
        <f>ROWS($U$46:U2166)</f>
        <v>2121</v>
      </c>
      <c r="BG2166" t="str">
        <f t="shared" si="250"/>
        <v/>
      </c>
    </row>
    <row r="2167" spans="58:59" x14ac:dyDescent="0.35">
      <c r="BF2167">
        <f>ROWS($U$46:U2167)</f>
        <v>2122</v>
      </c>
      <c r="BG2167" t="str">
        <f t="shared" si="250"/>
        <v/>
      </c>
    </row>
    <row r="2168" spans="58:59" x14ac:dyDescent="0.35">
      <c r="BF2168">
        <f>ROWS($U$46:U2168)</f>
        <v>2123</v>
      </c>
      <c r="BG2168" t="str">
        <f t="shared" si="250"/>
        <v/>
      </c>
    </row>
    <row r="2169" spans="58:59" x14ac:dyDescent="0.35">
      <c r="BF2169">
        <f>ROWS($U$46:U2169)</f>
        <v>2124</v>
      </c>
      <c r="BG2169" t="str">
        <f t="shared" si="250"/>
        <v/>
      </c>
    </row>
    <row r="2170" spans="58:59" x14ac:dyDescent="0.35">
      <c r="BF2170">
        <f>ROWS($U$46:U2170)</f>
        <v>2125</v>
      </c>
      <c r="BG2170" t="str">
        <f t="shared" si="250"/>
        <v/>
      </c>
    </row>
    <row r="2171" spans="58:59" x14ac:dyDescent="0.35">
      <c r="BF2171">
        <f>ROWS($U$46:U2171)</f>
        <v>2126</v>
      </c>
      <c r="BG2171" t="str">
        <f t="shared" si="250"/>
        <v/>
      </c>
    </row>
    <row r="2172" spans="58:59" x14ac:dyDescent="0.35">
      <c r="BF2172">
        <f>ROWS($U$46:U2172)</f>
        <v>2127</v>
      </c>
      <c r="BG2172" t="str">
        <f t="shared" si="250"/>
        <v/>
      </c>
    </row>
    <row r="2173" spans="58:59" x14ac:dyDescent="0.35">
      <c r="BF2173">
        <f>ROWS($U$46:U2173)</f>
        <v>2128</v>
      </c>
      <c r="BG2173" t="str">
        <f t="shared" si="250"/>
        <v/>
      </c>
    </row>
    <row r="2174" spans="58:59" x14ac:dyDescent="0.35">
      <c r="BF2174">
        <f>ROWS($U$46:U2174)</f>
        <v>2129</v>
      </c>
      <c r="BG2174" t="str">
        <f t="shared" si="250"/>
        <v/>
      </c>
    </row>
    <row r="2175" spans="58:59" x14ac:dyDescent="0.35">
      <c r="BF2175">
        <f>ROWS($U$46:U2175)</f>
        <v>2130</v>
      </c>
      <c r="BG2175" t="str">
        <f t="shared" si="250"/>
        <v/>
      </c>
    </row>
    <row r="2176" spans="58:59" x14ac:dyDescent="0.35">
      <c r="BF2176">
        <f>ROWS($U$46:U2176)</f>
        <v>2131</v>
      </c>
      <c r="BG2176" t="str">
        <f t="shared" si="250"/>
        <v/>
      </c>
    </row>
    <row r="2177" spans="58:59" x14ac:dyDescent="0.35">
      <c r="BF2177">
        <f>ROWS($U$46:U2177)</f>
        <v>2132</v>
      </c>
      <c r="BG2177" t="str">
        <f t="shared" si="250"/>
        <v/>
      </c>
    </row>
    <row r="2178" spans="58:59" x14ac:dyDescent="0.35">
      <c r="BF2178">
        <f>ROWS($U$46:U2178)</f>
        <v>2133</v>
      </c>
      <c r="BG2178" t="str">
        <f t="shared" si="250"/>
        <v/>
      </c>
    </row>
    <row r="2179" spans="58:59" x14ac:dyDescent="0.35">
      <c r="BF2179">
        <f>ROWS($U$46:U2179)</f>
        <v>2134</v>
      </c>
      <c r="BG2179" t="str">
        <f t="shared" si="250"/>
        <v/>
      </c>
    </row>
    <row r="2180" spans="58:59" x14ac:dyDescent="0.35">
      <c r="BF2180">
        <f>ROWS($U$46:U2180)</f>
        <v>2135</v>
      </c>
      <c r="BG2180" t="str">
        <f t="shared" si="250"/>
        <v/>
      </c>
    </row>
    <row r="2181" spans="58:59" x14ac:dyDescent="0.35">
      <c r="BF2181">
        <f>ROWS($U$46:U2181)</f>
        <v>2136</v>
      </c>
      <c r="BG2181" t="str">
        <f t="shared" si="250"/>
        <v/>
      </c>
    </row>
    <row r="2182" spans="58:59" x14ac:dyDescent="0.35">
      <c r="BF2182">
        <f>ROWS($U$46:U2182)</f>
        <v>2137</v>
      </c>
      <c r="BG2182" t="str">
        <f t="shared" si="250"/>
        <v/>
      </c>
    </row>
    <row r="2183" spans="58:59" x14ac:dyDescent="0.35">
      <c r="BF2183">
        <f>ROWS($U$46:U2183)</f>
        <v>2138</v>
      </c>
      <c r="BG2183" t="str">
        <f t="shared" si="250"/>
        <v/>
      </c>
    </row>
    <row r="2184" spans="58:59" x14ac:dyDescent="0.35">
      <c r="BF2184">
        <f>ROWS($U$46:U2184)</f>
        <v>2139</v>
      </c>
      <c r="BG2184" t="str">
        <f t="shared" si="250"/>
        <v/>
      </c>
    </row>
    <row r="2185" spans="58:59" x14ac:dyDescent="0.35">
      <c r="BF2185">
        <f>ROWS($U$46:U2185)</f>
        <v>2140</v>
      </c>
      <c r="BG2185" t="str">
        <f t="shared" si="250"/>
        <v/>
      </c>
    </row>
    <row r="2186" spans="58:59" x14ac:dyDescent="0.35">
      <c r="BF2186">
        <f>ROWS($U$46:U2186)</f>
        <v>2141</v>
      </c>
      <c r="BG2186" t="str">
        <f t="shared" si="250"/>
        <v/>
      </c>
    </row>
    <row r="2187" spans="58:59" x14ac:dyDescent="0.35">
      <c r="BF2187">
        <f>ROWS($U$46:U2187)</f>
        <v>2142</v>
      </c>
      <c r="BG2187" t="str">
        <f t="shared" si="250"/>
        <v/>
      </c>
    </row>
    <row r="2188" spans="58:59" x14ac:dyDescent="0.35">
      <c r="BF2188">
        <f>ROWS($U$46:U2188)</f>
        <v>2143</v>
      </c>
      <c r="BG2188" t="str">
        <f t="shared" si="250"/>
        <v/>
      </c>
    </row>
    <row r="2189" spans="58:59" x14ac:dyDescent="0.35">
      <c r="BF2189">
        <f>ROWS($U$46:U2189)</f>
        <v>2144</v>
      </c>
      <c r="BG2189" t="str">
        <f t="shared" si="250"/>
        <v/>
      </c>
    </row>
    <row r="2190" spans="58:59" x14ac:dyDescent="0.35">
      <c r="BF2190">
        <f>ROWS($U$46:U2190)</f>
        <v>2145</v>
      </c>
      <c r="BG2190" t="str">
        <f t="shared" si="250"/>
        <v/>
      </c>
    </row>
    <row r="2191" spans="58:59" x14ac:dyDescent="0.35">
      <c r="BF2191">
        <f>ROWS($U$46:U2191)</f>
        <v>2146</v>
      </c>
      <c r="BG2191" t="str">
        <f t="shared" si="250"/>
        <v/>
      </c>
    </row>
    <row r="2192" spans="58:59" x14ac:dyDescent="0.35">
      <c r="BF2192">
        <f>ROWS($U$46:U2192)</f>
        <v>2147</v>
      </c>
      <c r="BG2192" t="str">
        <f t="shared" si="250"/>
        <v/>
      </c>
    </row>
    <row r="2193" spans="58:59" x14ac:dyDescent="0.35">
      <c r="BF2193">
        <f>ROWS($U$46:U2193)</f>
        <v>2148</v>
      </c>
      <c r="BG2193" t="str">
        <f t="shared" si="250"/>
        <v/>
      </c>
    </row>
    <row r="2194" spans="58:59" x14ac:dyDescent="0.35">
      <c r="BF2194">
        <f>ROWS($U$46:U2194)</f>
        <v>2149</v>
      </c>
      <c r="BG2194" t="str">
        <f t="shared" si="250"/>
        <v/>
      </c>
    </row>
    <row r="2195" spans="58:59" x14ac:dyDescent="0.35">
      <c r="BF2195">
        <f>ROWS($U$46:U2195)</f>
        <v>2150</v>
      </c>
      <c r="BG2195" t="str">
        <f t="shared" si="250"/>
        <v/>
      </c>
    </row>
    <row r="2196" spans="58:59" x14ac:dyDescent="0.35">
      <c r="BF2196">
        <f>ROWS($U$46:U2196)</f>
        <v>2151</v>
      </c>
      <c r="BG2196" t="str">
        <f t="shared" si="250"/>
        <v/>
      </c>
    </row>
    <row r="2197" spans="58:59" x14ac:dyDescent="0.35">
      <c r="BF2197">
        <f>ROWS($U$46:U2197)</f>
        <v>2152</v>
      </c>
      <c r="BG2197" t="str">
        <f t="shared" si="250"/>
        <v/>
      </c>
    </row>
    <row r="2198" spans="58:59" x14ac:dyDescent="0.35">
      <c r="BF2198">
        <f>ROWS($U$46:U2198)</f>
        <v>2153</v>
      </c>
      <c r="BG2198" t="str">
        <f t="shared" si="250"/>
        <v/>
      </c>
    </row>
    <row r="2199" spans="58:59" x14ac:dyDescent="0.35">
      <c r="BF2199">
        <f>ROWS($U$46:U2199)</f>
        <v>2154</v>
      </c>
      <c r="BG2199" t="str">
        <f t="shared" si="250"/>
        <v/>
      </c>
    </row>
    <row r="2200" spans="58:59" x14ac:dyDescent="0.35">
      <c r="BF2200">
        <f>ROWS($U$46:U2200)</f>
        <v>2155</v>
      </c>
      <c r="BG2200" t="str">
        <f t="shared" si="250"/>
        <v/>
      </c>
    </row>
    <row r="2201" spans="58:59" x14ac:dyDescent="0.35">
      <c r="BF2201">
        <f>ROWS($U$46:U2201)</f>
        <v>2156</v>
      </c>
      <c r="BG2201" t="str">
        <f t="shared" si="250"/>
        <v/>
      </c>
    </row>
    <row r="2202" spans="58:59" x14ac:dyDescent="0.35">
      <c r="BF2202">
        <f>ROWS($U$46:U2202)</f>
        <v>2157</v>
      </c>
      <c r="BG2202" t="str">
        <f t="shared" si="250"/>
        <v/>
      </c>
    </row>
    <row r="2203" spans="58:59" x14ac:dyDescent="0.35">
      <c r="BF2203">
        <f>ROWS($U$46:U2203)</f>
        <v>2158</v>
      </c>
      <c r="BG2203" t="str">
        <f t="shared" si="250"/>
        <v/>
      </c>
    </row>
    <row r="2204" spans="58:59" x14ac:dyDescent="0.35">
      <c r="BF2204">
        <f>ROWS($U$46:U2204)</f>
        <v>2159</v>
      </c>
      <c r="BG2204" t="str">
        <f t="shared" si="250"/>
        <v/>
      </c>
    </row>
    <row r="2205" spans="58:59" x14ac:dyDescent="0.35">
      <c r="BF2205">
        <f>ROWS($U$46:U2205)</f>
        <v>2160</v>
      </c>
      <c r="BG2205" t="str">
        <f t="shared" si="250"/>
        <v/>
      </c>
    </row>
    <row r="2206" spans="58:59" x14ac:dyDescent="0.35">
      <c r="BF2206">
        <f>ROWS($U$46:U2206)</f>
        <v>2161</v>
      </c>
      <c r="BG2206" t="str">
        <f t="shared" si="250"/>
        <v/>
      </c>
    </row>
    <row r="2207" spans="58:59" x14ac:dyDescent="0.35">
      <c r="BF2207">
        <f>ROWS($U$46:U2207)</f>
        <v>2162</v>
      </c>
      <c r="BG2207" t="str">
        <f t="shared" si="250"/>
        <v/>
      </c>
    </row>
    <row r="2208" spans="58:59" x14ac:dyDescent="0.35">
      <c r="BF2208">
        <f>ROWS($U$46:U2208)</f>
        <v>2163</v>
      </c>
      <c r="BG2208" t="str">
        <f t="shared" si="250"/>
        <v/>
      </c>
    </row>
    <row r="2209" spans="58:59" x14ac:dyDescent="0.35">
      <c r="BF2209">
        <f>ROWS($U$46:U2209)</f>
        <v>2164</v>
      </c>
      <c r="BG2209" t="str">
        <f t="shared" si="250"/>
        <v/>
      </c>
    </row>
    <row r="2210" spans="58:59" x14ac:dyDescent="0.35">
      <c r="BF2210">
        <f>ROWS($U$46:U2210)</f>
        <v>2165</v>
      </c>
      <c r="BG2210" t="str">
        <f t="shared" si="250"/>
        <v/>
      </c>
    </row>
    <row r="2211" spans="58:59" x14ac:dyDescent="0.35">
      <c r="BF2211">
        <f>ROWS($U$46:U2211)</f>
        <v>2166</v>
      </c>
      <c r="BG2211" t="str">
        <f t="shared" si="250"/>
        <v/>
      </c>
    </row>
    <row r="2212" spans="58:59" x14ac:dyDescent="0.35">
      <c r="BF2212">
        <f>ROWS($U$46:U2212)</f>
        <v>2167</v>
      </c>
      <c r="BG2212" t="str">
        <f t="shared" si="250"/>
        <v/>
      </c>
    </row>
    <row r="2213" spans="58:59" x14ac:dyDescent="0.35">
      <c r="BF2213">
        <f>ROWS($U$46:U2213)</f>
        <v>2168</v>
      </c>
      <c r="BG2213" t="str">
        <f t="shared" si="250"/>
        <v/>
      </c>
    </row>
    <row r="2214" spans="58:59" x14ac:dyDescent="0.35">
      <c r="BF2214">
        <f>ROWS($U$46:U2214)</f>
        <v>2169</v>
      </c>
      <c r="BG2214" t="str">
        <f t="shared" si="250"/>
        <v/>
      </c>
    </row>
    <row r="2215" spans="58:59" x14ac:dyDescent="0.35">
      <c r="BF2215">
        <f>ROWS($U$46:U2215)</f>
        <v>2170</v>
      </c>
      <c r="BG2215" t="str">
        <f t="shared" si="250"/>
        <v/>
      </c>
    </row>
    <row r="2216" spans="58:59" x14ac:dyDescent="0.35">
      <c r="BF2216">
        <f>ROWS($U$46:U2216)</f>
        <v>2171</v>
      </c>
      <c r="BG2216" t="str">
        <f t="shared" si="250"/>
        <v/>
      </c>
    </row>
    <row r="2217" spans="58:59" x14ac:dyDescent="0.35">
      <c r="BF2217">
        <f>ROWS($U$46:U2217)</f>
        <v>2172</v>
      </c>
      <c r="BG2217" t="str">
        <f t="shared" si="250"/>
        <v/>
      </c>
    </row>
    <row r="2218" spans="58:59" x14ac:dyDescent="0.35">
      <c r="BF2218">
        <f>ROWS($U$46:U2218)</f>
        <v>2173</v>
      </c>
      <c r="BG2218" t="str">
        <f t="shared" si="250"/>
        <v/>
      </c>
    </row>
    <row r="2219" spans="58:59" x14ac:dyDescent="0.35">
      <c r="BF2219">
        <f>ROWS($U$46:U2219)</f>
        <v>2174</v>
      </c>
      <c r="BG2219" t="str">
        <f t="shared" si="250"/>
        <v/>
      </c>
    </row>
    <row r="2220" spans="58:59" x14ac:dyDescent="0.35">
      <c r="BF2220">
        <f>ROWS($U$46:U2220)</f>
        <v>2175</v>
      </c>
      <c r="BG2220" t="str">
        <f t="shared" si="250"/>
        <v/>
      </c>
    </row>
    <row r="2221" spans="58:59" x14ac:dyDescent="0.35">
      <c r="BF2221">
        <f>ROWS($U$46:U2221)</f>
        <v>2176</v>
      </c>
      <c r="BG2221" t="str">
        <f t="shared" si="250"/>
        <v/>
      </c>
    </row>
    <row r="2222" spans="58:59" x14ac:dyDescent="0.35">
      <c r="BF2222">
        <f>ROWS($U$46:U2222)</f>
        <v>2177</v>
      </c>
      <c r="BG2222" t="str">
        <f t="shared" si="250"/>
        <v/>
      </c>
    </row>
    <row r="2223" spans="58:59" x14ac:dyDescent="0.35">
      <c r="BF2223">
        <f>ROWS($U$46:U2223)</f>
        <v>2178</v>
      </c>
      <c r="BG2223" t="str">
        <f t="shared" ref="BG2223:BG2286" si="251">IF(VALUE(SUBSTITUTE($B$5,"M",""))=U2223,BF2223,"")</f>
        <v/>
      </c>
    </row>
    <row r="2224" spans="58:59" x14ac:dyDescent="0.35">
      <c r="BF2224">
        <f>ROWS($U$46:U2224)</f>
        <v>2179</v>
      </c>
      <c r="BG2224" t="str">
        <f t="shared" si="251"/>
        <v/>
      </c>
    </row>
    <row r="2225" spans="58:59" x14ac:dyDescent="0.35">
      <c r="BF2225">
        <f>ROWS($U$46:U2225)</f>
        <v>2180</v>
      </c>
      <c r="BG2225" t="str">
        <f t="shared" si="251"/>
        <v/>
      </c>
    </row>
    <row r="2226" spans="58:59" x14ac:dyDescent="0.35">
      <c r="BF2226">
        <f>ROWS($U$46:U2226)</f>
        <v>2181</v>
      </c>
      <c r="BG2226" t="str">
        <f t="shared" si="251"/>
        <v/>
      </c>
    </row>
    <row r="2227" spans="58:59" x14ac:dyDescent="0.35">
      <c r="BF2227">
        <f>ROWS($U$46:U2227)</f>
        <v>2182</v>
      </c>
      <c r="BG2227" t="str">
        <f t="shared" si="251"/>
        <v/>
      </c>
    </row>
    <row r="2228" spans="58:59" x14ac:dyDescent="0.35">
      <c r="BF2228">
        <f>ROWS($U$46:U2228)</f>
        <v>2183</v>
      </c>
      <c r="BG2228" t="str">
        <f t="shared" si="251"/>
        <v/>
      </c>
    </row>
    <row r="2229" spans="58:59" x14ac:dyDescent="0.35">
      <c r="BF2229">
        <f>ROWS($U$46:U2229)</f>
        <v>2184</v>
      </c>
      <c r="BG2229" t="str">
        <f t="shared" si="251"/>
        <v/>
      </c>
    </row>
    <row r="2230" spans="58:59" x14ac:dyDescent="0.35">
      <c r="BF2230">
        <f>ROWS($U$46:U2230)</f>
        <v>2185</v>
      </c>
      <c r="BG2230" t="str">
        <f t="shared" si="251"/>
        <v/>
      </c>
    </row>
    <row r="2231" spans="58:59" x14ac:dyDescent="0.35">
      <c r="BF2231">
        <f>ROWS($U$46:U2231)</f>
        <v>2186</v>
      </c>
      <c r="BG2231" t="str">
        <f t="shared" si="251"/>
        <v/>
      </c>
    </row>
    <row r="2232" spans="58:59" x14ac:dyDescent="0.35">
      <c r="BF2232">
        <f>ROWS($U$46:U2232)</f>
        <v>2187</v>
      </c>
      <c r="BG2232" t="str">
        <f t="shared" si="251"/>
        <v/>
      </c>
    </row>
    <row r="2233" spans="58:59" x14ac:dyDescent="0.35">
      <c r="BF2233">
        <f>ROWS($U$46:U2233)</f>
        <v>2188</v>
      </c>
      <c r="BG2233" t="str">
        <f t="shared" si="251"/>
        <v/>
      </c>
    </row>
    <row r="2234" spans="58:59" x14ac:dyDescent="0.35">
      <c r="BF2234">
        <f>ROWS($U$46:U2234)</f>
        <v>2189</v>
      </c>
      <c r="BG2234" t="str">
        <f t="shared" si="251"/>
        <v/>
      </c>
    </row>
    <row r="2235" spans="58:59" x14ac:dyDescent="0.35">
      <c r="BF2235">
        <f>ROWS($U$46:U2235)</f>
        <v>2190</v>
      </c>
      <c r="BG2235" t="str">
        <f t="shared" si="251"/>
        <v/>
      </c>
    </row>
    <row r="2236" spans="58:59" x14ac:dyDescent="0.35">
      <c r="BF2236">
        <f>ROWS($U$46:U2236)</f>
        <v>2191</v>
      </c>
      <c r="BG2236" t="str">
        <f t="shared" si="251"/>
        <v/>
      </c>
    </row>
    <row r="2237" spans="58:59" x14ac:dyDescent="0.35">
      <c r="BF2237">
        <f>ROWS($U$46:U2237)</f>
        <v>2192</v>
      </c>
      <c r="BG2237" t="str">
        <f t="shared" si="251"/>
        <v/>
      </c>
    </row>
    <row r="2238" spans="58:59" x14ac:dyDescent="0.35">
      <c r="BF2238">
        <f>ROWS($U$46:U2238)</f>
        <v>2193</v>
      </c>
      <c r="BG2238" t="str">
        <f t="shared" si="251"/>
        <v/>
      </c>
    </row>
    <row r="2239" spans="58:59" x14ac:dyDescent="0.35">
      <c r="BF2239">
        <f>ROWS($U$46:U2239)</f>
        <v>2194</v>
      </c>
      <c r="BG2239" t="str">
        <f t="shared" si="251"/>
        <v/>
      </c>
    </row>
    <row r="2240" spans="58:59" x14ac:dyDescent="0.35">
      <c r="BF2240">
        <f>ROWS($U$46:U2240)</f>
        <v>2195</v>
      </c>
      <c r="BG2240" t="str">
        <f t="shared" si="251"/>
        <v/>
      </c>
    </row>
    <row r="2241" spans="58:59" x14ac:dyDescent="0.35">
      <c r="BF2241">
        <f>ROWS($U$46:U2241)</f>
        <v>2196</v>
      </c>
      <c r="BG2241" t="str">
        <f t="shared" si="251"/>
        <v/>
      </c>
    </row>
    <row r="2242" spans="58:59" x14ac:dyDescent="0.35">
      <c r="BF2242">
        <f>ROWS($U$46:U2242)</f>
        <v>2197</v>
      </c>
      <c r="BG2242" t="str">
        <f t="shared" si="251"/>
        <v/>
      </c>
    </row>
    <row r="2243" spans="58:59" x14ac:dyDescent="0.35">
      <c r="BF2243">
        <f>ROWS($U$46:U2243)</f>
        <v>2198</v>
      </c>
      <c r="BG2243" t="str">
        <f t="shared" si="251"/>
        <v/>
      </c>
    </row>
    <row r="2244" spans="58:59" x14ac:dyDescent="0.35">
      <c r="BF2244">
        <f>ROWS($U$46:U2244)</f>
        <v>2199</v>
      </c>
      <c r="BG2244" t="str">
        <f t="shared" si="251"/>
        <v/>
      </c>
    </row>
    <row r="2245" spans="58:59" x14ac:dyDescent="0.35">
      <c r="BF2245">
        <f>ROWS($U$46:U2245)</f>
        <v>2200</v>
      </c>
      <c r="BG2245" t="str">
        <f t="shared" si="251"/>
        <v/>
      </c>
    </row>
    <row r="2246" spans="58:59" x14ac:dyDescent="0.35">
      <c r="BF2246">
        <f>ROWS($U$46:U2246)</f>
        <v>2201</v>
      </c>
      <c r="BG2246" t="str">
        <f t="shared" si="251"/>
        <v/>
      </c>
    </row>
    <row r="2247" spans="58:59" x14ac:dyDescent="0.35">
      <c r="BF2247">
        <f>ROWS($U$46:U2247)</f>
        <v>2202</v>
      </c>
      <c r="BG2247" t="str">
        <f t="shared" si="251"/>
        <v/>
      </c>
    </row>
    <row r="2248" spans="58:59" x14ac:dyDescent="0.35">
      <c r="BF2248">
        <f>ROWS($U$46:U2248)</f>
        <v>2203</v>
      </c>
      <c r="BG2248" t="str">
        <f t="shared" si="251"/>
        <v/>
      </c>
    </row>
    <row r="2249" spans="58:59" x14ac:dyDescent="0.35">
      <c r="BF2249">
        <f>ROWS($U$46:U2249)</f>
        <v>2204</v>
      </c>
      <c r="BG2249" t="str">
        <f t="shared" si="251"/>
        <v/>
      </c>
    </row>
    <row r="2250" spans="58:59" x14ac:dyDescent="0.35">
      <c r="BF2250">
        <f>ROWS($U$46:U2250)</f>
        <v>2205</v>
      </c>
      <c r="BG2250" t="str">
        <f t="shared" si="251"/>
        <v/>
      </c>
    </row>
    <row r="2251" spans="58:59" x14ac:dyDescent="0.35">
      <c r="BF2251">
        <f>ROWS($U$46:U2251)</f>
        <v>2206</v>
      </c>
      <c r="BG2251" t="str">
        <f t="shared" si="251"/>
        <v/>
      </c>
    </row>
    <row r="2252" spans="58:59" x14ac:dyDescent="0.35">
      <c r="BF2252">
        <f>ROWS($U$46:U2252)</f>
        <v>2207</v>
      </c>
      <c r="BG2252" t="str">
        <f t="shared" si="251"/>
        <v/>
      </c>
    </row>
    <row r="2253" spans="58:59" x14ac:dyDescent="0.35">
      <c r="BF2253">
        <f>ROWS($U$46:U2253)</f>
        <v>2208</v>
      </c>
      <c r="BG2253" t="str">
        <f t="shared" si="251"/>
        <v/>
      </c>
    </row>
    <row r="2254" spans="58:59" x14ac:dyDescent="0.35">
      <c r="BF2254">
        <f>ROWS($U$46:U2254)</f>
        <v>2209</v>
      </c>
      <c r="BG2254" t="str">
        <f t="shared" si="251"/>
        <v/>
      </c>
    </row>
    <row r="2255" spans="58:59" x14ac:dyDescent="0.35">
      <c r="BF2255">
        <f>ROWS($U$46:U2255)</f>
        <v>2210</v>
      </c>
      <c r="BG2255" t="str">
        <f t="shared" si="251"/>
        <v/>
      </c>
    </row>
    <row r="2256" spans="58:59" x14ac:dyDescent="0.35">
      <c r="BF2256">
        <f>ROWS($U$46:U2256)</f>
        <v>2211</v>
      </c>
      <c r="BG2256" t="str">
        <f t="shared" si="251"/>
        <v/>
      </c>
    </row>
    <row r="2257" spans="58:59" x14ac:dyDescent="0.35">
      <c r="BF2257">
        <f>ROWS($U$46:U2257)</f>
        <v>2212</v>
      </c>
      <c r="BG2257" t="str">
        <f t="shared" si="251"/>
        <v/>
      </c>
    </row>
    <row r="2258" spans="58:59" x14ac:dyDescent="0.35">
      <c r="BF2258">
        <f>ROWS($U$46:U2258)</f>
        <v>2213</v>
      </c>
      <c r="BG2258" t="str">
        <f t="shared" si="251"/>
        <v/>
      </c>
    </row>
    <row r="2259" spans="58:59" x14ac:dyDescent="0.35">
      <c r="BF2259">
        <f>ROWS($U$46:U2259)</f>
        <v>2214</v>
      </c>
      <c r="BG2259" t="str">
        <f t="shared" si="251"/>
        <v/>
      </c>
    </row>
    <row r="2260" spans="58:59" x14ac:dyDescent="0.35">
      <c r="BF2260">
        <f>ROWS($U$46:U2260)</f>
        <v>2215</v>
      </c>
      <c r="BG2260" t="str">
        <f t="shared" si="251"/>
        <v/>
      </c>
    </row>
    <row r="2261" spans="58:59" x14ac:dyDescent="0.35">
      <c r="BF2261">
        <f>ROWS($U$46:U2261)</f>
        <v>2216</v>
      </c>
      <c r="BG2261" t="str">
        <f t="shared" si="251"/>
        <v/>
      </c>
    </row>
    <row r="2262" spans="58:59" x14ac:dyDescent="0.35">
      <c r="BF2262">
        <f>ROWS($U$46:U2262)</f>
        <v>2217</v>
      </c>
      <c r="BG2262" t="str">
        <f t="shared" si="251"/>
        <v/>
      </c>
    </row>
    <row r="2263" spans="58:59" x14ac:dyDescent="0.35">
      <c r="BF2263">
        <f>ROWS($U$46:U2263)</f>
        <v>2218</v>
      </c>
      <c r="BG2263" t="str">
        <f t="shared" si="251"/>
        <v/>
      </c>
    </row>
    <row r="2264" spans="58:59" x14ac:dyDescent="0.35">
      <c r="BF2264">
        <f>ROWS($U$46:U2264)</f>
        <v>2219</v>
      </c>
      <c r="BG2264" t="str">
        <f t="shared" si="251"/>
        <v/>
      </c>
    </row>
    <row r="2265" spans="58:59" x14ac:dyDescent="0.35">
      <c r="BF2265">
        <f>ROWS($U$46:U2265)</f>
        <v>2220</v>
      </c>
      <c r="BG2265" t="str">
        <f t="shared" si="251"/>
        <v/>
      </c>
    </row>
    <row r="2266" spans="58:59" x14ac:dyDescent="0.35">
      <c r="BF2266">
        <f>ROWS($U$46:U2266)</f>
        <v>2221</v>
      </c>
      <c r="BG2266" t="str">
        <f t="shared" si="251"/>
        <v/>
      </c>
    </row>
    <row r="2267" spans="58:59" x14ac:dyDescent="0.35">
      <c r="BF2267">
        <f>ROWS($U$46:U2267)</f>
        <v>2222</v>
      </c>
      <c r="BG2267" t="str">
        <f t="shared" si="251"/>
        <v/>
      </c>
    </row>
    <row r="2268" spans="58:59" x14ac:dyDescent="0.35">
      <c r="BF2268">
        <f>ROWS($U$46:U2268)</f>
        <v>2223</v>
      </c>
      <c r="BG2268" t="str">
        <f t="shared" si="251"/>
        <v/>
      </c>
    </row>
    <row r="2269" spans="58:59" x14ac:dyDescent="0.35">
      <c r="BF2269">
        <f>ROWS($U$46:U2269)</f>
        <v>2224</v>
      </c>
      <c r="BG2269" t="str">
        <f t="shared" si="251"/>
        <v/>
      </c>
    </row>
    <row r="2270" spans="58:59" x14ac:dyDescent="0.35">
      <c r="BF2270">
        <f>ROWS($U$46:U2270)</f>
        <v>2225</v>
      </c>
      <c r="BG2270" t="str">
        <f t="shared" si="251"/>
        <v/>
      </c>
    </row>
    <row r="2271" spans="58:59" x14ac:dyDescent="0.35">
      <c r="BF2271">
        <f>ROWS($U$46:U2271)</f>
        <v>2226</v>
      </c>
      <c r="BG2271" t="str">
        <f t="shared" si="251"/>
        <v/>
      </c>
    </row>
    <row r="2272" spans="58:59" x14ac:dyDescent="0.35">
      <c r="BF2272">
        <f>ROWS($U$46:U2272)</f>
        <v>2227</v>
      </c>
      <c r="BG2272" t="str">
        <f t="shared" si="251"/>
        <v/>
      </c>
    </row>
    <row r="2273" spans="58:59" x14ac:dyDescent="0.35">
      <c r="BF2273">
        <f>ROWS($U$46:U2273)</f>
        <v>2228</v>
      </c>
      <c r="BG2273" t="str">
        <f t="shared" si="251"/>
        <v/>
      </c>
    </row>
    <row r="2274" spans="58:59" x14ac:dyDescent="0.35">
      <c r="BF2274">
        <f>ROWS($U$46:U2274)</f>
        <v>2229</v>
      </c>
      <c r="BG2274" t="str">
        <f t="shared" si="251"/>
        <v/>
      </c>
    </row>
    <row r="2275" spans="58:59" x14ac:dyDescent="0.35">
      <c r="BF2275">
        <f>ROWS($U$46:U2275)</f>
        <v>2230</v>
      </c>
      <c r="BG2275" t="str">
        <f t="shared" si="251"/>
        <v/>
      </c>
    </row>
    <row r="2276" spans="58:59" x14ac:dyDescent="0.35">
      <c r="BF2276">
        <f>ROWS($U$46:U2276)</f>
        <v>2231</v>
      </c>
      <c r="BG2276" t="str">
        <f t="shared" si="251"/>
        <v/>
      </c>
    </row>
    <row r="2277" spans="58:59" x14ac:dyDescent="0.35">
      <c r="BF2277">
        <f>ROWS($U$46:U2277)</f>
        <v>2232</v>
      </c>
      <c r="BG2277" t="str">
        <f t="shared" si="251"/>
        <v/>
      </c>
    </row>
    <row r="2278" spans="58:59" x14ac:dyDescent="0.35">
      <c r="BF2278">
        <f>ROWS($U$46:U2278)</f>
        <v>2233</v>
      </c>
      <c r="BG2278" t="str">
        <f t="shared" si="251"/>
        <v/>
      </c>
    </row>
    <row r="2279" spans="58:59" x14ac:dyDescent="0.35">
      <c r="BF2279">
        <f>ROWS($U$46:U2279)</f>
        <v>2234</v>
      </c>
      <c r="BG2279" t="str">
        <f t="shared" si="251"/>
        <v/>
      </c>
    </row>
    <row r="2280" spans="58:59" x14ac:dyDescent="0.35">
      <c r="BF2280">
        <f>ROWS($U$46:U2280)</f>
        <v>2235</v>
      </c>
      <c r="BG2280" t="str">
        <f t="shared" si="251"/>
        <v/>
      </c>
    </row>
    <row r="2281" spans="58:59" x14ac:dyDescent="0.35">
      <c r="BF2281">
        <f>ROWS($U$46:U2281)</f>
        <v>2236</v>
      </c>
      <c r="BG2281" t="str">
        <f t="shared" si="251"/>
        <v/>
      </c>
    </row>
    <row r="2282" spans="58:59" x14ac:dyDescent="0.35">
      <c r="BF2282">
        <f>ROWS($U$46:U2282)</f>
        <v>2237</v>
      </c>
      <c r="BG2282" t="str">
        <f t="shared" si="251"/>
        <v/>
      </c>
    </row>
    <row r="2283" spans="58:59" x14ac:dyDescent="0.35">
      <c r="BF2283">
        <f>ROWS($U$46:U2283)</f>
        <v>2238</v>
      </c>
      <c r="BG2283" t="str">
        <f t="shared" si="251"/>
        <v/>
      </c>
    </row>
    <row r="2284" spans="58:59" x14ac:dyDescent="0.35">
      <c r="BF2284">
        <f>ROWS($U$46:U2284)</f>
        <v>2239</v>
      </c>
      <c r="BG2284" t="str">
        <f t="shared" si="251"/>
        <v/>
      </c>
    </row>
    <row r="2285" spans="58:59" x14ac:dyDescent="0.35">
      <c r="BF2285">
        <f>ROWS($U$46:U2285)</f>
        <v>2240</v>
      </c>
      <c r="BG2285" t="str">
        <f t="shared" si="251"/>
        <v/>
      </c>
    </row>
    <row r="2286" spans="58:59" x14ac:dyDescent="0.35">
      <c r="BF2286">
        <f>ROWS($U$46:U2286)</f>
        <v>2241</v>
      </c>
      <c r="BG2286" t="str">
        <f t="shared" si="251"/>
        <v/>
      </c>
    </row>
    <row r="2287" spans="58:59" x14ac:dyDescent="0.35">
      <c r="BF2287">
        <f>ROWS($U$46:U2287)</f>
        <v>2242</v>
      </c>
      <c r="BG2287" t="str">
        <f t="shared" ref="BG2287:BG2328" si="252">IF(VALUE(SUBSTITUTE($B$5,"M",""))=U2287,BF2287,"")</f>
        <v/>
      </c>
    </row>
    <row r="2288" spans="58:59" x14ac:dyDescent="0.35">
      <c r="BF2288">
        <f>ROWS($U$46:U2288)</f>
        <v>2243</v>
      </c>
      <c r="BG2288" t="str">
        <f t="shared" si="252"/>
        <v/>
      </c>
    </row>
    <row r="2289" spans="58:59" x14ac:dyDescent="0.35">
      <c r="BF2289">
        <f>ROWS($U$46:U2289)</f>
        <v>2244</v>
      </c>
      <c r="BG2289" t="str">
        <f t="shared" si="252"/>
        <v/>
      </c>
    </row>
    <row r="2290" spans="58:59" x14ac:dyDescent="0.35">
      <c r="BF2290">
        <f>ROWS($U$46:U2290)</f>
        <v>2245</v>
      </c>
      <c r="BG2290" t="str">
        <f t="shared" si="252"/>
        <v/>
      </c>
    </row>
    <row r="2291" spans="58:59" x14ac:dyDescent="0.35">
      <c r="BF2291">
        <f>ROWS($U$46:U2291)</f>
        <v>2246</v>
      </c>
      <c r="BG2291" t="str">
        <f t="shared" si="252"/>
        <v/>
      </c>
    </row>
    <row r="2292" spans="58:59" x14ac:dyDescent="0.35">
      <c r="BF2292">
        <f>ROWS($U$46:U2292)</f>
        <v>2247</v>
      </c>
      <c r="BG2292" t="str">
        <f t="shared" si="252"/>
        <v/>
      </c>
    </row>
    <row r="2293" spans="58:59" x14ac:dyDescent="0.35">
      <c r="BF2293">
        <f>ROWS($U$46:U2293)</f>
        <v>2248</v>
      </c>
      <c r="BG2293" t="str">
        <f t="shared" si="252"/>
        <v/>
      </c>
    </row>
    <row r="2294" spans="58:59" x14ac:dyDescent="0.35">
      <c r="BF2294">
        <f>ROWS($U$46:U2294)</f>
        <v>2249</v>
      </c>
      <c r="BG2294" t="str">
        <f t="shared" si="252"/>
        <v/>
      </c>
    </row>
    <row r="2295" spans="58:59" x14ac:dyDescent="0.35">
      <c r="BF2295">
        <f>ROWS($U$46:U2295)</f>
        <v>2250</v>
      </c>
      <c r="BG2295" t="str">
        <f t="shared" si="252"/>
        <v/>
      </c>
    </row>
    <row r="2296" spans="58:59" x14ac:dyDescent="0.35">
      <c r="BF2296">
        <f>ROWS($U$46:U2296)</f>
        <v>2251</v>
      </c>
      <c r="BG2296" t="str">
        <f t="shared" si="252"/>
        <v/>
      </c>
    </row>
    <row r="2297" spans="58:59" x14ac:dyDescent="0.35">
      <c r="BF2297">
        <f>ROWS($U$46:U2297)</f>
        <v>2252</v>
      </c>
      <c r="BG2297" t="str">
        <f t="shared" si="252"/>
        <v/>
      </c>
    </row>
    <row r="2298" spans="58:59" x14ac:dyDescent="0.35">
      <c r="BF2298">
        <f>ROWS($U$46:U2298)</f>
        <v>2253</v>
      </c>
      <c r="BG2298" t="str">
        <f t="shared" si="252"/>
        <v/>
      </c>
    </row>
    <row r="2299" spans="58:59" x14ac:dyDescent="0.35">
      <c r="BF2299">
        <f>ROWS($U$46:U2299)</f>
        <v>2254</v>
      </c>
      <c r="BG2299" t="str">
        <f t="shared" si="252"/>
        <v/>
      </c>
    </row>
    <row r="2300" spans="58:59" x14ac:dyDescent="0.35">
      <c r="BF2300">
        <f>ROWS($U$46:U2300)</f>
        <v>2255</v>
      </c>
      <c r="BG2300" t="str">
        <f t="shared" si="252"/>
        <v/>
      </c>
    </row>
    <row r="2301" spans="58:59" x14ac:dyDescent="0.35">
      <c r="BF2301">
        <f>ROWS($U$46:U2301)</f>
        <v>2256</v>
      </c>
      <c r="BG2301" t="str">
        <f t="shared" si="252"/>
        <v/>
      </c>
    </row>
    <row r="2302" spans="58:59" x14ac:dyDescent="0.35">
      <c r="BF2302">
        <f>ROWS($U$46:U2302)</f>
        <v>2257</v>
      </c>
      <c r="BG2302" t="str">
        <f t="shared" si="252"/>
        <v/>
      </c>
    </row>
    <row r="2303" spans="58:59" x14ac:dyDescent="0.35">
      <c r="BF2303">
        <f>ROWS($U$46:U2303)</f>
        <v>2258</v>
      </c>
      <c r="BG2303" t="str">
        <f t="shared" si="252"/>
        <v/>
      </c>
    </row>
    <row r="2304" spans="58:59" x14ac:dyDescent="0.35">
      <c r="BF2304">
        <f>ROWS($U$46:U2304)</f>
        <v>2259</v>
      </c>
      <c r="BG2304" t="str">
        <f t="shared" si="252"/>
        <v/>
      </c>
    </row>
    <row r="2305" spans="58:59" x14ac:dyDescent="0.35">
      <c r="BF2305">
        <f>ROWS($U$46:U2305)</f>
        <v>2260</v>
      </c>
      <c r="BG2305" t="str">
        <f t="shared" si="252"/>
        <v/>
      </c>
    </row>
    <row r="2306" spans="58:59" x14ac:dyDescent="0.35">
      <c r="BF2306">
        <f>ROWS($U$46:U2306)</f>
        <v>2261</v>
      </c>
      <c r="BG2306" t="str">
        <f t="shared" si="252"/>
        <v/>
      </c>
    </row>
    <row r="2307" spans="58:59" x14ac:dyDescent="0.35">
      <c r="BF2307">
        <f>ROWS($U$46:U2307)</f>
        <v>2262</v>
      </c>
      <c r="BG2307" t="str">
        <f t="shared" si="252"/>
        <v/>
      </c>
    </row>
    <row r="2308" spans="58:59" x14ac:dyDescent="0.35">
      <c r="BF2308">
        <f>ROWS($U$46:U2308)</f>
        <v>2263</v>
      </c>
      <c r="BG2308" t="str">
        <f t="shared" si="252"/>
        <v/>
      </c>
    </row>
    <row r="2309" spans="58:59" x14ac:dyDescent="0.35">
      <c r="BF2309">
        <f>ROWS($U$46:U2309)</f>
        <v>2264</v>
      </c>
      <c r="BG2309" t="str">
        <f t="shared" si="252"/>
        <v/>
      </c>
    </row>
    <row r="2310" spans="58:59" x14ac:dyDescent="0.35">
      <c r="BF2310">
        <f>ROWS($U$46:U2310)</f>
        <v>2265</v>
      </c>
      <c r="BG2310" t="str">
        <f t="shared" si="252"/>
        <v/>
      </c>
    </row>
    <row r="2311" spans="58:59" x14ac:dyDescent="0.35">
      <c r="BF2311">
        <f>ROWS($U$46:U2311)</f>
        <v>2266</v>
      </c>
      <c r="BG2311" t="str">
        <f t="shared" si="252"/>
        <v/>
      </c>
    </row>
    <row r="2312" spans="58:59" x14ac:dyDescent="0.35">
      <c r="BF2312">
        <f>ROWS($U$46:U2312)</f>
        <v>2267</v>
      </c>
      <c r="BG2312" t="str">
        <f t="shared" si="252"/>
        <v/>
      </c>
    </row>
    <row r="2313" spans="58:59" x14ac:dyDescent="0.35">
      <c r="BF2313">
        <f>ROWS($U$46:U2313)</f>
        <v>2268</v>
      </c>
      <c r="BG2313" t="str">
        <f t="shared" si="252"/>
        <v/>
      </c>
    </row>
    <row r="2314" spans="58:59" x14ac:dyDescent="0.35">
      <c r="BF2314">
        <f>ROWS($U$46:U2314)</f>
        <v>2269</v>
      </c>
      <c r="BG2314" t="str">
        <f t="shared" si="252"/>
        <v/>
      </c>
    </row>
    <row r="2315" spans="58:59" x14ac:dyDescent="0.35">
      <c r="BF2315">
        <f>ROWS($U$46:U2315)</f>
        <v>2270</v>
      </c>
      <c r="BG2315" t="str">
        <f t="shared" si="252"/>
        <v/>
      </c>
    </row>
    <row r="2316" spans="58:59" x14ac:dyDescent="0.35">
      <c r="BF2316">
        <f>ROWS($U$46:U2316)</f>
        <v>2271</v>
      </c>
      <c r="BG2316" t="str">
        <f t="shared" si="252"/>
        <v/>
      </c>
    </row>
    <row r="2317" spans="58:59" x14ac:dyDescent="0.35">
      <c r="BF2317">
        <f>ROWS($U$46:U2317)</f>
        <v>2272</v>
      </c>
      <c r="BG2317" t="str">
        <f t="shared" si="252"/>
        <v/>
      </c>
    </row>
    <row r="2318" spans="58:59" x14ac:dyDescent="0.35">
      <c r="BF2318">
        <f>ROWS($U$46:U2318)</f>
        <v>2273</v>
      </c>
      <c r="BG2318" t="str">
        <f t="shared" si="252"/>
        <v/>
      </c>
    </row>
    <row r="2319" spans="58:59" x14ac:dyDescent="0.35">
      <c r="BF2319">
        <f>ROWS($U$46:U2319)</f>
        <v>2274</v>
      </c>
      <c r="BG2319" t="str">
        <f t="shared" si="252"/>
        <v/>
      </c>
    </row>
    <row r="2320" spans="58:59" x14ac:dyDescent="0.35">
      <c r="BF2320">
        <f>ROWS($U$46:U2320)</f>
        <v>2275</v>
      </c>
      <c r="BG2320" t="str">
        <f t="shared" si="252"/>
        <v/>
      </c>
    </row>
    <row r="2321" spans="58:59" x14ac:dyDescent="0.35">
      <c r="BF2321">
        <f>ROWS($U$46:U2321)</f>
        <v>2276</v>
      </c>
      <c r="BG2321" t="str">
        <f t="shared" si="252"/>
        <v/>
      </c>
    </row>
    <row r="2322" spans="58:59" x14ac:dyDescent="0.35">
      <c r="BF2322">
        <f>ROWS($U$46:U2322)</f>
        <v>2277</v>
      </c>
      <c r="BG2322" t="str">
        <f t="shared" si="252"/>
        <v/>
      </c>
    </row>
    <row r="2323" spans="58:59" x14ac:dyDescent="0.35">
      <c r="BF2323">
        <f>ROWS($U$46:U2323)</f>
        <v>2278</v>
      </c>
      <c r="BG2323" t="str">
        <f t="shared" si="252"/>
        <v/>
      </c>
    </row>
    <row r="2324" spans="58:59" x14ac:dyDescent="0.35">
      <c r="BF2324">
        <f>ROWS($U$46:U2324)</f>
        <v>2279</v>
      </c>
      <c r="BG2324" t="str">
        <f t="shared" si="252"/>
        <v/>
      </c>
    </row>
    <row r="2325" spans="58:59" x14ac:dyDescent="0.35">
      <c r="BF2325">
        <f>ROWS($U$46:U2325)</f>
        <v>2280</v>
      </c>
      <c r="BG2325" t="str">
        <f t="shared" si="252"/>
        <v/>
      </c>
    </row>
    <row r="2326" spans="58:59" x14ac:dyDescent="0.35">
      <c r="BF2326">
        <f>ROWS($U$46:U2326)</f>
        <v>2281</v>
      </c>
      <c r="BG2326" t="str">
        <f t="shared" si="252"/>
        <v/>
      </c>
    </row>
    <row r="2327" spans="58:59" x14ac:dyDescent="0.35">
      <c r="BF2327">
        <f>ROWS($U$46:U2327)</f>
        <v>2282</v>
      </c>
      <c r="BG2327" t="str">
        <f t="shared" si="252"/>
        <v/>
      </c>
    </row>
    <row r="2328" spans="58:59" x14ac:dyDescent="0.35">
      <c r="BF2328">
        <f>ROWS($U$46:U2328)</f>
        <v>2283</v>
      </c>
      <c r="BG2328" t="str">
        <f t="shared" si="252"/>
        <v/>
      </c>
    </row>
  </sheetData>
  <sheetProtection formatCells="0" formatColumns="0" formatRows="0" insertColumns="0" insertRows="0" insertHyperlinks="0" deleteColumns="0" deleteRows="0" sort="0" autoFilter="0" pivotTables="0"/>
  <dataConsolidate topLabels="1" link="1">
    <dataRefs count="1">
      <dataRef ref="GB2:GG9" sheet="Data" r:id="rId1"/>
    </dataRefs>
  </dataConsolidate>
  <mergeCells count="50">
    <mergeCell ref="H27:I27"/>
    <mergeCell ref="H28:I28"/>
    <mergeCell ref="H22:I22"/>
    <mergeCell ref="H23:I23"/>
    <mergeCell ref="H24:I24"/>
    <mergeCell ref="H25:I25"/>
    <mergeCell ref="H26:I26"/>
    <mergeCell ref="BF44:BM44"/>
    <mergeCell ref="F43:G43"/>
    <mergeCell ref="L30:L31"/>
    <mergeCell ref="H30:K31"/>
    <mergeCell ref="M30:R30"/>
    <mergeCell ref="D33:F33"/>
    <mergeCell ref="N1:O1"/>
    <mergeCell ref="F29:G29"/>
    <mergeCell ref="H12:I12"/>
    <mergeCell ref="N10:O10"/>
    <mergeCell ref="H29:I29"/>
    <mergeCell ref="H17:I17"/>
    <mergeCell ref="H18:I18"/>
    <mergeCell ref="I2:K2"/>
    <mergeCell ref="I3:K3"/>
    <mergeCell ref="I4:K4"/>
    <mergeCell ref="I7:K7"/>
    <mergeCell ref="K10:L10"/>
    <mergeCell ref="H19:I19"/>
    <mergeCell ref="H20:I20"/>
    <mergeCell ref="H21:I21"/>
    <mergeCell ref="I1:K1"/>
    <mergeCell ref="H13:I13"/>
    <mergeCell ref="D10:J10"/>
    <mergeCell ref="H11:J11"/>
    <mergeCell ref="H14:I14"/>
    <mergeCell ref="H15:I15"/>
    <mergeCell ref="D2:G2"/>
    <mergeCell ref="I5:K5"/>
    <mergeCell ref="E1006:F1006"/>
    <mergeCell ref="B110:C110"/>
    <mergeCell ref="M1006:N1006"/>
    <mergeCell ref="I6:K6"/>
    <mergeCell ref="N8:O9"/>
    <mergeCell ref="M8:M9"/>
    <mergeCell ref="M7:N7"/>
    <mergeCell ref="B100:B107"/>
    <mergeCell ref="D32:F32"/>
    <mergeCell ref="H32:K32"/>
    <mergeCell ref="D30:D31"/>
    <mergeCell ref="I8:K8"/>
    <mergeCell ref="I9:K9"/>
    <mergeCell ref="H16:I16"/>
  </mergeCells>
  <phoneticPr fontId="87" type="noConversion"/>
  <conditionalFormatting sqref="B5">
    <cfRule type="expression" dxfId="762" priority="37">
      <formula>$C$5&lt;&gt;""</formula>
    </cfRule>
  </conditionalFormatting>
  <conditionalFormatting sqref="E12:E13">
    <cfRule type="expression" dxfId="761" priority="200">
      <formula>AND($D$13=$D$4,$E$13&lt;&gt;$E$4)</formula>
    </cfRule>
  </conditionalFormatting>
  <conditionalFormatting sqref="E12:E28">
    <cfRule type="expression" dxfId="760" priority="164">
      <formula>AND(COUNTIF($G$6,D12),E12&lt;&gt;0)</formula>
    </cfRule>
    <cfRule type="expression" dxfId="759" priority="166">
      <formula>AND(COUNTIF($G$4,D12),E12&lt;&gt;0)</formula>
    </cfRule>
    <cfRule type="expression" dxfId="758" priority="165">
      <formula>AND(COUNTIF($G$5,D12),E12&lt;&gt;0)</formula>
    </cfRule>
  </conditionalFormatting>
  <conditionalFormatting sqref="E12:E29 N12:O29">
    <cfRule type="cellIs" dxfId="757" priority="182" operator="equal">
      <formula>0</formula>
    </cfRule>
  </conditionalFormatting>
  <conditionalFormatting sqref="E14">
    <cfRule type="expression" dxfId="756" priority="198">
      <formula>OR(AND($D$14=$D$4,$E$14&lt;&gt;$E$4),AND($D$14=$D$5,$E$14&lt;&gt;$E$5))</formula>
    </cfRule>
  </conditionalFormatting>
  <conditionalFormatting sqref="E15">
    <cfRule type="expression" dxfId="755" priority="197">
      <formula>OR(AND($D$15=$D$4,$E$15&lt;&gt;$E$4),AND($D$15=$D$5,$E$15&lt;&gt;$E$5),AND($D$15=$D$6,$E$15&lt;&gt;$E$6))</formula>
    </cfRule>
  </conditionalFormatting>
  <conditionalFormatting sqref="E16">
    <cfRule type="expression" dxfId="754" priority="199">
      <formula>OR(AND($D$16=$D$4,$E$16&lt;&gt;$E$4),AND($D$16=$D$5,$E$16&lt;&gt;$E$5),AND($D$16=$D$6,$E$16&lt;&gt;$E$6))</formula>
    </cfRule>
  </conditionalFormatting>
  <conditionalFormatting sqref="E17">
    <cfRule type="expression" dxfId="753" priority="196">
      <formula>OR(AND($D$17=$D$4,$E$17&lt;&gt;$E$4),AND($D$17=$D$5,$E$17&lt;&gt;$E$5),AND($D$17=$D$6,$E$17&lt;&gt;$E$6))</formula>
    </cfRule>
  </conditionalFormatting>
  <conditionalFormatting sqref="E18:E28">
    <cfRule type="expression" dxfId="752" priority="195">
      <formula>OR(AND($D$18=$D$4,$E$18&lt;&gt;$E$4),AND($D$18=$D$5,$E$18&lt;&gt;$E$5),AND($D$18=$D$6,$E$18&lt;&gt;$E$6))</formula>
    </cfRule>
  </conditionalFormatting>
  <conditionalFormatting sqref="E31">
    <cfRule type="expression" dxfId="751" priority="24639">
      <formula>AND($E$31&lt;&gt;$B$122,COUNTIF($B$121,"USR"))</formula>
    </cfRule>
  </conditionalFormatting>
  <conditionalFormatting sqref="F12:F28">
    <cfRule type="expression" dxfId="750" priority="24640">
      <formula>AND($D$4&lt;&gt;"",$B$63&lt;&gt;$C$63)</formula>
    </cfRule>
    <cfRule type="expression" dxfId="749" priority="24641">
      <formula>AND($D$5&lt;&gt;"",$B$64&lt;&gt;$C$64)</formula>
    </cfRule>
    <cfRule type="expression" dxfId="748" priority="24642">
      <formula>AND($D$6&lt;&gt;"",$B$65&lt;&gt;$C$65)</formula>
    </cfRule>
  </conditionalFormatting>
  <conditionalFormatting sqref="G12">
    <cfRule type="expression" priority="180">
      <formula>AND($N$12&lt;&gt;$G$12,$N$12&lt;&gt;0)</formula>
    </cfRule>
  </conditionalFormatting>
  <conditionalFormatting sqref="G13">
    <cfRule type="expression" dxfId="747" priority="194">
      <formula>AND($N$13&lt;&gt;$G$13,$N$13&lt;&gt;0)</formula>
    </cfRule>
  </conditionalFormatting>
  <conditionalFormatting sqref="G14">
    <cfRule type="expression" dxfId="746" priority="193">
      <formula>AND($N$14&lt;&gt;$G$14,$N$14&lt;&gt;0)</formula>
    </cfRule>
  </conditionalFormatting>
  <conditionalFormatting sqref="G15">
    <cfRule type="expression" dxfId="745" priority="192">
      <formula>AND($N$15&lt;&gt;$G$15,$N$15&lt;&gt;0)</formula>
    </cfRule>
  </conditionalFormatting>
  <conditionalFormatting sqref="G16">
    <cfRule type="expression" dxfId="744" priority="181">
      <formula>AND($N$16&lt;&gt;$G$16,$N$16&lt;&gt;0)</formula>
    </cfRule>
  </conditionalFormatting>
  <conditionalFormatting sqref="G17">
    <cfRule type="expression" dxfId="743" priority="191">
      <formula>AND($N$17&lt;&gt;$G$17,$N$17&lt;&gt;0)</formula>
    </cfRule>
  </conditionalFormatting>
  <conditionalFormatting sqref="G18:G28">
    <cfRule type="expression" dxfId="742" priority="190">
      <formula>AND($N$18&lt;&gt;$G$18,$N$18&lt;&gt;0)</formula>
    </cfRule>
  </conditionalFormatting>
  <conditionalFormatting sqref="G31">
    <cfRule type="cellIs" dxfId="741" priority="296" operator="equal">
      <formula>0</formula>
    </cfRule>
  </conditionalFormatting>
  <conditionalFormatting sqref="K29">
    <cfRule type="cellIs" dxfId="740" priority="176" operator="equal">
      <formula>0</formula>
    </cfRule>
  </conditionalFormatting>
  <conditionalFormatting sqref="L4:L6 Q32">
    <cfRule type="expression" dxfId="739" priority="126">
      <formula>AND(NOT($Q$32&lt;&gt;""),OR($L$4&lt;&gt;"",$L$5&lt;&gt;""))</formula>
    </cfRule>
  </conditionalFormatting>
  <conditionalFormatting sqref="L12">
    <cfRule type="expression" dxfId="737" priority="24831">
      <formula>$L$12&gt;$E$12</formula>
    </cfRule>
    <cfRule type="expression" dxfId="736" priority="24830">
      <formula>AND($E$12="",$L$12&gt;0)</formula>
    </cfRule>
  </conditionalFormatting>
  <conditionalFormatting sqref="L13">
    <cfRule type="expression" dxfId="735" priority="24834">
      <formula>$L$13&gt;$E$13</formula>
    </cfRule>
    <cfRule type="expression" dxfId="733" priority="24833">
      <formula>AND($E$13="",$L$13&gt;0)</formula>
    </cfRule>
  </conditionalFormatting>
  <conditionalFormatting sqref="L14">
    <cfRule type="expression" dxfId="732" priority="24836">
      <formula>AND($E$14="",$L$14&gt;0)</formula>
    </cfRule>
    <cfRule type="expression" dxfId="731" priority="24837">
      <formula>$L$14&gt;$E$14</formula>
    </cfRule>
  </conditionalFormatting>
  <conditionalFormatting sqref="L15">
    <cfRule type="expression" dxfId="729" priority="24839">
      <formula>AND($E$15="",$L$15&gt;0)</formula>
    </cfRule>
    <cfRule type="expression" dxfId="728" priority="24840">
      <formula>$L$15&gt;$E$15</formula>
    </cfRule>
  </conditionalFormatting>
  <conditionalFormatting sqref="L16">
    <cfRule type="expression" dxfId="726" priority="24842">
      <formula>AND($E$16="",$L$16&gt;0)</formula>
    </cfRule>
    <cfRule type="expression" dxfId="725" priority="24843">
      <formula>$L$16&gt;$E$16</formula>
    </cfRule>
  </conditionalFormatting>
  <conditionalFormatting sqref="L17">
    <cfRule type="expression" dxfId="723" priority="24845">
      <formula>AND($E$17="",$L$17&gt;0)</formula>
    </cfRule>
    <cfRule type="expression" dxfId="722" priority="24846">
      <formula>$L$17&gt;$E$17</formula>
    </cfRule>
  </conditionalFormatting>
  <conditionalFormatting sqref="L18:L28">
    <cfRule type="expression" dxfId="719" priority="24848">
      <formula>AND($E$18="",$L$18&gt;0)</formula>
    </cfRule>
    <cfRule type="expression" dxfId="718" priority="24849">
      <formula>$L$18&gt;$E$18</formula>
    </cfRule>
  </conditionalFormatting>
  <conditionalFormatting sqref="L29">
    <cfRule type="cellIs" dxfId="717" priority="175" operator="equal">
      <formula>0</formula>
    </cfRule>
  </conditionalFormatting>
  <conditionalFormatting sqref="L46:L229">
    <cfRule type="duplicateValues" dxfId="716" priority="23927"/>
  </conditionalFormatting>
  <conditionalFormatting sqref="L46:L625">
    <cfRule type="duplicateValues" dxfId="715" priority="24314"/>
  </conditionalFormatting>
  <conditionalFormatting sqref="L325 L45:L323">
    <cfRule type="duplicateValues" dxfId="714" priority="24268"/>
  </conditionalFormatting>
  <conditionalFormatting sqref="L518:L519">
    <cfRule type="duplicateValues" dxfId="713" priority="50"/>
  </conditionalFormatting>
  <conditionalFormatting sqref="O2:O5">
    <cfRule type="cellIs" dxfId="712" priority="256" operator="equal">
      <formula>0</formula>
    </cfRule>
  </conditionalFormatting>
  <conditionalFormatting sqref="O7">
    <cfRule type="expression" dxfId="711" priority="105">
      <formula>OR(AND(NOT($B$2&lt;&gt;""),$O$7&lt;&gt;""),AND(NOT($O$7&lt;&gt;""),COUNTIF($B$7,"SAUDI ARAMCO")))</formula>
    </cfRule>
  </conditionalFormatting>
  <conditionalFormatting sqref="BR46:DA57">
    <cfRule type="cellIs" dxfId="710" priority="321" operator="between">
      <formula>1</formula>
      <formula>17</formula>
    </cfRule>
  </conditionalFormatting>
  <conditionalFormatting sqref="CY8:CY15">
    <cfRule type="duplicateValues" dxfId="709" priority="123"/>
  </conditionalFormatting>
  <conditionalFormatting sqref="DB1:DB171">
    <cfRule type="duplicateValues" dxfId="708" priority="103"/>
  </conditionalFormatting>
  <conditionalFormatting sqref="DB1:DB174 DB177:DB182 DB202:DB211">
    <cfRule type="duplicateValues" dxfId="707" priority="102"/>
  </conditionalFormatting>
  <conditionalFormatting sqref="DB2:DB281">
    <cfRule type="duplicateValues" dxfId="706" priority="24313"/>
  </conditionalFormatting>
  <conditionalFormatting sqref="DB2:DB296">
    <cfRule type="duplicateValues" dxfId="705" priority="1"/>
  </conditionalFormatting>
  <conditionalFormatting sqref="DB175:DB176">
    <cfRule type="duplicateValues" dxfId="704" priority="94"/>
    <cfRule type="duplicateValues" dxfId="703" priority="96"/>
    <cfRule type="duplicateValues" dxfId="702" priority="95"/>
  </conditionalFormatting>
  <conditionalFormatting sqref="DB240:DB242">
    <cfRule type="duplicateValues" dxfId="701" priority="48"/>
    <cfRule type="duplicateValues" dxfId="700" priority="49"/>
    <cfRule type="duplicateValues" dxfId="699" priority="47"/>
    <cfRule type="duplicateValues" dxfId="698" priority="46"/>
    <cfRule type="duplicateValues" dxfId="697" priority="45"/>
    <cfRule type="duplicateValues" dxfId="696" priority="44"/>
    <cfRule type="duplicateValues" dxfId="695" priority="43"/>
  </conditionalFormatting>
  <conditionalFormatting sqref="DB281">
    <cfRule type="duplicateValues" dxfId="694" priority="32"/>
    <cfRule type="duplicateValues" dxfId="693" priority="31"/>
    <cfRule type="duplicateValues" dxfId="692" priority="30"/>
    <cfRule type="duplicateValues" dxfId="691" priority="36"/>
    <cfRule type="duplicateValues" dxfId="690" priority="33"/>
    <cfRule type="duplicateValues" dxfId="689" priority="34"/>
    <cfRule type="duplicateValues" dxfId="688" priority="35"/>
  </conditionalFormatting>
  <conditionalFormatting sqref="DB282">
    <cfRule type="duplicateValues" dxfId="687" priority="24"/>
    <cfRule type="duplicateValues" dxfId="686" priority="25"/>
    <cfRule type="duplicateValues" dxfId="685" priority="26"/>
    <cfRule type="duplicateValues" dxfId="684" priority="27"/>
    <cfRule type="duplicateValues" dxfId="683" priority="28"/>
    <cfRule type="duplicateValues" dxfId="682" priority="29"/>
    <cfRule type="duplicateValues" dxfId="681" priority="23"/>
  </conditionalFormatting>
  <conditionalFormatting sqref="DB283">
    <cfRule type="duplicateValues" dxfId="680" priority="16"/>
    <cfRule type="duplicateValues" dxfId="679" priority="20"/>
    <cfRule type="duplicateValues" dxfId="678" priority="19"/>
    <cfRule type="duplicateValues" dxfId="677" priority="18"/>
    <cfRule type="duplicateValues" dxfId="676" priority="22"/>
    <cfRule type="duplicateValues" dxfId="675" priority="21"/>
    <cfRule type="duplicateValues" dxfId="674" priority="17"/>
  </conditionalFormatting>
  <conditionalFormatting sqref="DB284">
    <cfRule type="duplicateValues" dxfId="673" priority="14"/>
    <cfRule type="duplicateValues" dxfId="672" priority="15"/>
    <cfRule type="duplicateValues" dxfId="671" priority="13"/>
    <cfRule type="duplicateValues" dxfId="670" priority="12"/>
    <cfRule type="duplicateValues" dxfId="669" priority="11"/>
    <cfRule type="duplicateValues" dxfId="668" priority="10"/>
    <cfRule type="duplicateValues" dxfId="667" priority="9"/>
  </conditionalFormatting>
  <conditionalFormatting sqref="DB285:DB290">
    <cfRule type="duplicateValues" dxfId="666" priority="5"/>
    <cfRule type="duplicateValues" dxfId="665" priority="4"/>
    <cfRule type="duplicateValues" dxfId="664" priority="3"/>
    <cfRule type="duplicateValues" dxfId="663" priority="2"/>
    <cfRule type="duplicateValues" dxfId="662" priority="8"/>
    <cfRule type="duplicateValues" dxfId="661" priority="7"/>
    <cfRule type="duplicateValues" dxfId="660" priority="6"/>
  </conditionalFormatting>
  <conditionalFormatting sqref="DB291:DB294 DB296:DB1048576 DB1:DB174 DB177:DB239 DB243:DB280">
    <cfRule type="duplicateValues" dxfId="659" priority="97"/>
    <cfRule type="duplicateValues" dxfId="658" priority="98"/>
  </conditionalFormatting>
  <conditionalFormatting sqref="DB291:DB294 DB296:DB1048576 DB1:DB281">
    <cfRule type="duplicateValues" dxfId="657" priority="93"/>
    <cfRule type="duplicateValues" dxfId="656" priority="51"/>
    <cfRule type="duplicateValues" dxfId="655" priority="52"/>
    <cfRule type="duplicateValues" dxfId="654" priority="56"/>
  </conditionalFormatting>
  <conditionalFormatting sqref="DC183:DC201 DE9:DE177">
    <cfRule type="duplicateValues" dxfId="653" priority="99"/>
  </conditionalFormatting>
  <conditionalFormatting sqref="DE1:DE196 DE220:DE233 DE198:DE215 DE264 DE243:DE246 DE250:DE262 DE293:DE1048576 DE269:DE291">
    <cfRule type="duplicateValues" dxfId="652" priority="24638"/>
  </conditionalFormatting>
  <conditionalFormatting sqref="DE2:DE196 DE198">
    <cfRule type="duplicateValues" dxfId="651" priority="61"/>
  </conditionalFormatting>
  <conditionalFormatting sqref="DE167:DE168">
    <cfRule type="duplicateValues" dxfId="650" priority="120"/>
  </conditionalFormatting>
  <conditionalFormatting sqref="DE170 DE172:DE173">
    <cfRule type="duplicateValues" dxfId="649" priority="121"/>
  </conditionalFormatting>
  <conditionalFormatting sqref="DE171">
    <cfRule type="duplicateValues" dxfId="648" priority="119"/>
  </conditionalFormatting>
  <conditionalFormatting sqref="DE197">
    <cfRule type="duplicateValues" dxfId="647" priority="57"/>
    <cfRule type="duplicateValues" dxfId="646" priority="58"/>
  </conditionalFormatting>
  <conditionalFormatting sqref="DE247:DE249">
    <cfRule type="duplicateValues" dxfId="645" priority="42"/>
  </conditionalFormatting>
  <conditionalFormatting sqref="DE265:DE268">
    <cfRule type="duplicateValues" dxfId="644" priority="39"/>
  </conditionalFormatting>
  <conditionalFormatting sqref="DE267:DE268 DE265">
    <cfRule type="duplicateValues" dxfId="643" priority="40"/>
  </conditionalFormatting>
  <conditionalFormatting sqref="DF172:DF173">
    <cfRule type="duplicateValues" dxfId="642" priority="109"/>
  </conditionalFormatting>
  <dataValidations xWindow="251" yWindow="318" count="12">
    <dataValidation allowBlank="1" showInputMessage="1" showErrorMessage="1" promptTitle="description" prompt="Put the cutter's sequance No. which you will change" sqref="H4" xr:uid="{00000000-0002-0000-0000-000000000000}"/>
    <dataValidation allowBlank="1" showInputMessage="1" promptTitle="Note:" prompt="In case of modification cutters the upper cell should filled  first  then the second one." sqref="E4:E8 G4:G8" xr:uid="{00000000-0002-0000-0000-000001000000}"/>
    <dataValidation type="list" allowBlank="1" showInputMessage="1" showErrorMessage="1" sqref="E31" xr:uid="{00000000-0002-0000-0000-00000A000000}">
      <formula1>$B$170:$H$170</formula1>
    </dataValidation>
    <dataValidation type="list" allowBlank="1" showErrorMessage="1" sqref="B11" xr:uid="{00000000-0002-0000-0000-000004000000}">
      <formula1>$B$72:$B$87</formula1>
    </dataValidation>
    <dataValidation type="list" allowBlank="1" showErrorMessage="1" sqref="B12" xr:uid="{00000000-0002-0000-0000-000005000000}">
      <formula1>$C$72:$C$79</formula1>
    </dataValidation>
    <dataValidation type="list" allowBlank="1" showInputMessage="1" showErrorMessage="1" sqref="F4:F8" xr:uid="{27784624-7BBD-4E3F-A94C-D74B51DDA666}">
      <formula1>$DB$2:$DB$296</formula1>
    </dataValidation>
    <dataValidation type="list" allowBlank="1" showInputMessage="1" showErrorMessage="1" sqref="B5" xr:uid="{0AD48EEE-8B6B-47B7-868C-227A5DA1B38F}">
      <formula1>$L$46:$L$625</formula1>
    </dataValidation>
    <dataValidation type="list" allowBlank="1" showInputMessage="1" showErrorMessage="1" sqref="B7" xr:uid="{F6CB55D6-299E-4B76-A608-1B6577DABB90}">
      <formula1>$F$63:$F$71</formula1>
    </dataValidation>
    <dataValidation type="list" allowBlank="1" showInputMessage="1" showErrorMessage="1" sqref="G32" xr:uid="{00000000-0002-0000-0000-000008000000}">
      <formula1>$G$75:$G$80</formula1>
    </dataValidation>
    <dataValidation type="list" allowBlank="1" showInputMessage="1" showErrorMessage="1" sqref="O7" xr:uid="{00000000-0002-0000-0000-000009000000}">
      <formula1>$G$83:$G$94</formula1>
    </dataValidation>
    <dataValidation type="list" allowBlank="1" showInputMessage="1" showErrorMessage="1" sqref="B14" xr:uid="{D90E643B-6525-433F-B603-6109A1CF0526}">
      <formula1>$C$81:$C$84</formula1>
    </dataValidation>
    <dataValidation type="list" allowBlank="1" showInputMessage="1" showErrorMessage="1" sqref="F31" xr:uid="{50285BEF-C6F8-4D54-ABEE-8A22051475BA}">
      <formula1>OFFSET($B$170,1,MATCH($E31,$B$170:$H$170,0)-1,COUNTA(OFFSET($B$170,1,MATCH($E31,$B$170:$H$170,0)-1,100)),1)</formula1>
    </dataValidation>
  </dataValidations>
  <pageMargins left="0.25" right="0.45" top="0.75" bottom="0.75" header="0.3" footer="0.3"/>
  <pageSetup paperSize="9" scale="165" fitToHeight="0" orientation="landscape" r:id="rId2"/>
  <ignoredErrors>
    <ignoredError sqref="GQ2:GQ10" formula="1"/>
  </ignoredErrors>
  <drawing r:id="rId3"/>
  <tableParts count="2"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832" id="{D6FB1739-C3F3-4566-8350-0881FD360120}">
            <xm:f>OR(AND($L$30=1,'Eng. Cutter Entry'!$C$4="",$L12&lt;&gt; 'ARDT Cutter Entry'!AQ$3+'ARDT Cutter Entry'!AQ$5),AND($L$30=1,'Eng. Cutter Entry'!$C$4&lt;&gt;"",$L12&lt;&gt; 'ARDT Cutter Entry'!AQ$59+'ARDT Cutter Entry'!AQ$61))</xm:f>
            <x14:dxf>
              <font>
                <b/>
                <i/>
                <color theme="9" tint="-0.24994659260841701"/>
              </font>
            </x14:dxf>
          </x14:cfRule>
          <xm:sqref>L12</xm:sqref>
        </x14:conditionalFormatting>
        <x14:conditionalFormatting xmlns:xm="http://schemas.microsoft.com/office/excel/2006/main">
          <x14:cfRule type="expression" priority="24835" id="{18087794-9A28-491A-A84A-0BA3985BB46A}">
            <xm:f>OR(AND($L$30=1,'Eng. Cutter Entry'!$C$4="",$L13&lt;&gt; 'ARDT Cutter Entry'!AR$3+'ARDT Cutter Entry'!AR$5),AND($L$30=1,'Eng. Cutter Entry'!$C$4&lt;&gt;"",$L13&lt;&gt; 'ARDT Cutter Entry'!AR$59+'ARDT Cutter Entry'!AR$61))</xm:f>
            <x14:dxf>
              <font>
                <b/>
                <i/>
                <color theme="9" tint="-0.24994659260841701"/>
              </font>
            </x14:dxf>
          </x14:cfRule>
          <xm:sqref>L13</xm:sqref>
        </x14:conditionalFormatting>
        <x14:conditionalFormatting xmlns:xm="http://schemas.microsoft.com/office/excel/2006/main">
          <x14:cfRule type="expression" priority="24838" id="{7B091F38-798A-414D-AAC8-4494866AA17E}">
            <xm:f>OR(AND($L$30=1,'Eng. Cutter Entry'!$C$4="",$L14&lt;&gt; 'ARDT Cutter Entry'!AS$3+'ARDT Cutter Entry'!AS$5),AND($L$30=1,'Eng. Cutter Entry'!$C$4&lt;&gt;"",$L14&lt;&gt; 'ARDT Cutter Entry'!AS$59+'ARDT Cutter Entry'!AS$61))</xm:f>
            <x14:dxf>
              <font>
                <b/>
                <i/>
                <color theme="9" tint="-0.24994659260841701"/>
              </font>
            </x14:dxf>
          </x14:cfRule>
          <xm:sqref>L14</xm:sqref>
        </x14:conditionalFormatting>
        <x14:conditionalFormatting xmlns:xm="http://schemas.microsoft.com/office/excel/2006/main">
          <x14:cfRule type="expression" priority="24841" id="{1B42403D-3199-40C9-B459-9EF6165802E4}">
            <xm:f>OR(AND($L$30=1,'Eng. Cutter Entry'!$C$4="",$L15&lt;&gt; 'ARDT Cutter Entry'!AT$3+'ARDT Cutter Entry'!AT$5),AND($L$30=1,'Eng. Cutter Entry'!$C$4&lt;&gt;"",$L15&lt;&gt; 'ARDT Cutter Entry'!AT$59+'ARDT Cutter Entry'!AT$61))</xm:f>
            <x14:dxf>
              <font>
                <b/>
                <i/>
                <color theme="9" tint="-0.24994659260841701"/>
              </font>
            </x14:dxf>
          </x14:cfRule>
          <xm:sqref>L15</xm:sqref>
        </x14:conditionalFormatting>
        <x14:conditionalFormatting xmlns:xm="http://schemas.microsoft.com/office/excel/2006/main">
          <x14:cfRule type="expression" priority="24844" id="{48EE44B1-2891-492E-AA26-244ED9C9823F}">
            <xm:f>OR(AND($L$30=1,'Eng. Cutter Entry'!$C$4="",$L16&lt;&gt; 'ARDT Cutter Entry'!AU$3+'ARDT Cutter Entry'!AU$5),AND($L$30=1,'Eng. Cutter Entry'!$C$4&lt;&gt;"",$L16&lt;&gt; 'ARDT Cutter Entry'!AU$59+'ARDT Cutter Entry'!AU$61))</xm:f>
            <x14:dxf>
              <font>
                <b/>
                <i/>
                <color theme="9" tint="-0.24994659260841701"/>
              </font>
            </x14:dxf>
          </x14:cfRule>
          <xm:sqref>L16</xm:sqref>
        </x14:conditionalFormatting>
        <x14:conditionalFormatting xmlns:xm="http://schemas.microsoft.com/office/excel/2006/main">
          <x14:cfRule type="expression" priority="24847" id="{65FF56E0-1152-421B-B57A-26561D2C974A}">
            <xm:f>OR(AND($L$30=1,'Eng. Cutter Entry'!$C$4="",$L17&lt;&gt; 'ARDT Cutter Entry'!AV$3+'ARDT Cutter Entry'!AV$5),AND($L$30=1,'Eng. Cutter Entry'!$C$4&lt;&gt;"",$L17&lt;&gt; 'ARDT Cutter Entry'!AV$59+'ARDT Cutter Entry'!AV$61))</xm:f>
            <x14:dxf>
              <font>
                <b/>
                <i/>
                <color theme="9" tint="-0.24994659260841701"/>
              </font>
            </x14:dxf>
          </x14:cfRule>
          <xm:sqref>L17</xm:sqref>
        </x14:conditionalFormatting>
        <x14:conditionalFormatting xmlns:xm="http://schemas.microsoft.com/office/excel/2006/main">
          <x14:cfRule type="expression" priority="24850" id="{3218BC79-B172-440B-8233-6ECFBB1321D9}">
            <xm:f>OR(AND($L$30=1,'Eng. Cutter Entry'!$C$4="",$L18&lt;&gt; 'ARDT Cutter Entry'!AW$3+'ARDT Cutter Entry'!AW$5),AND($L$30=1,'Eng. Cutter Entry'!$C$4&lt;&gt;"",$L18&lt;&gt; 'ARDT Cutter Entry'!AW$59+'ARDT Cutter Entry'!AW$61))</xm:f>
            <x14:dxf>
              <font>
                <b/>
                <i/>
                <color theme="9" tint="-0.24994659260841701"/>
              </font>
            </x14:dxf>
          </x14:cfRule>
          <xm:sqref>L18:L28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DC164"/>
  <sheetViews>
    <sheetView zoomScale="80" zoomScaleNormal="80" workbookViewId="0">
      <selection activeCell="C4" sqref="C4"/>
    </sheetView>
  </sheetViews>
  <sheetFormatPr defaultRowHeight="14.5" x14ac:dyDescent="0.35"/>
  <cols>
    <col min="1" max="1" width="2.7265625" customWidth="1"/>
    <col min="2" max="2" width="3.453125" bestFit="1" customWidth="1"/>
    <col min="3" max="11" width="2.7265625" customWidth="1"/>
    <col min="12" max="12" width="4" bestFit="1" customWidth="1"/>
    <col min="13" max="35" width="3.26953125" bestFit="1" customWidth="1"/>
    <col min="36" max="52" width="3.26953125" customWidth="1"/>
    <col min="56" max="56" width="2.7265625" customWidth="1"/>
    <col min="57" max="57" width="3.453125" bestFit="1" customWidth="1"/>
    <col min="58" max="66" width="2.7265625" customWidth="1"/>
    <col min="67" max="67" width="4" bestFit="1" customWidth="1"/>
    <col min="68" max="90" width="3.26953125" bestFit="1" customWidth="1"/>
    <col min="91" max="107" width="3.26953125" customWidth="1"/>
  </cols>
  <sheetData>
    <row r="1" spans="1:90" ht="15" thickBot="1" x14ac:dyDescent="0.4">
      <c r="A1" s="1183"/>
      <c r="B1" s="1184"/>
      <c r="C1" s="1184"/>
      <c r="D1" s="1184"/>
      <c r="E1" s="1184"/>
      <c r="F1" s="1184"/>
      <c r="G1" s="1184"/>
      <c r="H1" s="1184"/>
      <c r="I1" s="1184"/>
      <c r="J1" s="1184"/>
      <c r="K1" s="1184"/>
      <c r="L1" s="1184"/>
      <c r="M1" s="1184"/>
      <c r="N1" s="1184"/>
      <c r="O1" s="1184"/>
      <c r="P1" s="1184"/>
      <c r="Q1" s="1184"/>
      <c r="R1" s="1184"/>
      <c r="S1" s="1184"/>
      <c r="T1" s="1184"/>
      <c r="U1" s="1184"/>
      <c r="V1" s="1184"/>
      <c r="W1" s="1184"/>
      <c r="X1" s="1184"/>
      <c r="Y1" s="1184"/>
      <c r="Z1" s="1184"/>
      <c r="AA1" s="1184"/>
      <c r="AB1" s="1184"/>
      <c r="AC1" s="1184"/>
      <c r="AD1" s="1184"/>
      <c r="AE1" s="1184"/>
      <c r="AF1" s="1184"/>
      <c r="AG1" s="1184"/>
      <c r="AH1" s="1184"/>
      <c r="AI1" s="1184"/>
      <c r="AJ1" s="1184"/>
      <c r="BD1" s="744"/>
      <c r="BE1" s="745"/>
      <c r="BF1" s="745"/>
      <c r="BG1" s="745"/>
      <c r="BH1" s="745"/>
      <c r="BI1" s="745"/>
      <c r="BJ1" s="745"/>
      <c r="BK1" s="745"/>
      <c r="BL1" s="745"/>
      <c r="BM1" s="745"/>
      <c r="BN1" s="745"/>
      <c r="BO1" s="745"/>
      <c r="BP1" s="745"/>
      <c r="BQ1" s="745"/>
      <c r="BR1" s="745"/>
      <c r="BS1" s="745"/>
      <c r="BT1" s="745"/>
      <c r="BU1" s="745"/>
      <c r="BV1" s="745"/>
      <c r="BW1" s="745"/>
      <c r="BX1" s="745"/>
      <c r="BY1" s="745"/>
      <c r="BZ1" s="745"/>
      <c r="CA1" s="745"/>
      <c r="CB1" s="745"/>
      <c r="CC1" s="745"/>
      <c r="CD1" s="745"/>
      <c r="CE1" s="745"/>
      <c r="CF1" s="745"/>
      <c r="CG1" s="745"/>
      <c r="CH1" s="745"/>
      <c r="CI1" s="745"/>
      <c r="CJ1" s="745"/>
      <c r="CK1" s="745"/>
      <c r="CL1" s="754"/>
    </row>
    <row r="2" spans="1:90" ht="11.15" customHeight="1" x14ac:dyDescent="0.35">
      <c r="A2" s="675"/>
      <c r="B2" s="736"/>
      <c r="C2" s="1185"/>
      <c r="D2" s="1186"/>
      <c r="E2" s="1186"/>
      <c r="F2" s="1186"/>
      <c r="G2" s="1186"/>
      <c r="H2" s="1186"/>
      <c r="I2" s="1186"/>
      <c r="J2" s="1186"/>
      <c r="K2" s="1186"/>
      <c r="L2" s="1186"/>
      <c r="M2" s="1186"/>
      <c r="N2" s="1186"/>
      <c r="O2" s="1186"/>
      <c r="P2" s="1186"/>
      <c r="Q2" s="1186"/>
      <c r="R2" s="1186"/>
      <c r="S2" s="1186"/>
      <c r="T2" s="1186"/>
      <c r="U2" s="1186"/>
      <c r="V2" s="1186"/>
      <c r="W2" s="1186"/>
      <c r="X2" s="1186"/>
      <c r="Y2" s="1186"/>
      <c r="Z2" s="1186"/>
      <c r="AA2" s="1186"/>
      <c r="AB2" s="1186"/>
      <c r="AC2" s="1186"/>
      <c r="AD2" s="1186"/>
      <c r="AE2" s="1186"/>
      <c r="AF2" s="1186"/>
      <c r="AG2" s="1186"/>
      <c r="AH2" s="1186"/>
      <c r="AI2" s="1186"/>
      <c r="AJ2" s="1186"/>
      <c r="BD2" s="675"/>
      <c r="BE2" s="736"/>
      <c r="BF2" s="676"/>
      <c r="BG2" s="677"/>
      <c r="BH2" s="677"/>
      <c r="BI2" s="677"/>
      <c r="BJ2" s="677"/>
      <c r="BK2" s="677"/>
      <c r="BL2" s="677"/>
      <c r="BM2" s="677"/>
      <c r="BN2" s="677"/>
      <c r="BO2" s="677"/>
      <c r="BP2" s="677"/>
      <c r="BQ2" s="677"/>
      <c r="BR2" s="677"/>
      <c r="BS2" s="677"/>
      <c r="BT2" s="677"/>
      <c r="BU2" s="677"/>
      <c r="BV2" s="677"/>
      <c r="BW2" s="677"/>
      <c r="BX2" s="677"/>
      <c r="BY2" s="677"/>
      <c r="BZ2" s="679"/>
      <c r="CA2" s="677"/>
      <c r="CB2" s="677"/>
      <c r="CC2" s="677"/>
      <c r="CD2" s="677"/>
      <c r="CE2" s="677"/>
      <c r="CF2" s="677"/>
      <c r="CG2" s="677"/>
      <c r="CH2" s="677"/>
      <c r="CI2" s="677"/>
      <c r="CJ2" s="677"/>
      <c r="CK2" s="677"/>
      <c r="CL2" s="678"/>
    </row>
    <row r="3" spans="1:90" ht="11.15" customHeight="1" thickBot="1" x14ac:dyDescent="0.4">
      <c r="A3" s="680"/>
      <c r="B3" s="737"/>
      <c r="C3" s="840" t="str">
        <f>IF(Data!BR42&lt;&gt;"",Data!BR42,"")</f>
        <v>1a</v>
      </c>
      <c r="D3" s="841" t="str">
        <f>IF(Data!BS42&lt;&gt;"",Data!BS42,"")</f>
        <v>2a</v>
      </c>
      <c r="E3" s="841" t="str">
        <f>IF(Data!BT42&lt;&gt;"",Data!BT42,"")</f>
        <v>3a</v>
      </c>
      <c r="F3" s="841" t="str">
        <f>IF(Data!BU42&lt;&gt;"",Data!BU42,"")</f>
        <v>4a</v>
      </c>
      <c r="G3" s="841" t="str">
        <f>IF(Data!BV42&lt;&gt;"",Data!BV42,"")</f>
        <v>5a</v>
      </c>
      <c r="H3" s="841" t="str">
        <f>IF(Data!BW42&lt;&gt;"",Data!BW42,"")</f>
        <v>6a</v>
      </c>
      <c r="I3" s="841" t="str">
        <f>IF(Data!BX42&lt;&gt;"",Data!BX42,"")</f>
        <v>7a</v>
      </c>
      <c r="J3" s="841" t="str">
        <f>IF(Data!BY42&lt;&gt;"",Data!BY42,"")</f>
        <v>8a</v>
      </c>
      <c r="K3" s="841" t="str">
        <f>IF(Data!BZ42&lt;&gt;"",Data!BZ42,"")</f>
        <v>0a</v>
      </c>
      <c r="L3" s="841" t="str">
        <f>IF(Data!CA42&lt;&gt;"",Data!CA42,"")</f>
        <v>1b</v>
      </c>
      <c r="M3" s="841" t="str">
        <f>IF(Data!CB42&lt;&gt;"",Data!CB42,"")</f>
        <v>2b</v>
      </c>
      <c r="N3" s="841" t="str">
        <f>IF(Data!CC42&lt;&gt;"",Data!CC42,"")</f>
        <v>3b</v>
      </c>
      <c r="O3" s="841" t="str">
        <f>IF(Data!CD42&lt;&gt;"",Data!CD42,"")</f>
        <v>4b</v>
      </c>
      <c r="P3" s="841" t="str">
        <f>IF(Data!CE42&lt;&gt;"",Data!CE42,"")</f>
        <v>0a</v>
      </c>
      <c r="Q3" s="841" t="str">
        <f>IF(Data!CF42&lt;&gt;"",Data!CF42,"")</f>
        <v>0a</v>
      </c>
      <c r="R3" s="841" t="str">
        <f>IF(Data!CG42&lt;&gt;"",Data!CG42,"")</f>
        <v>0a</v>
      </c>
      <c r="S3" s="841" t="str">
        <f>IF(Data!CH42&lt;&gt;"",Data!CH42,"")</f>
        <v>0a</v>
      </c>
      <c r="T3" s="841" t="str">
        <f>IF(Data!CI42&lt;&gt;"",Data!CI42,"")</f>
        <v>0a</v>
      </c>
      <c r="U3" s="841" t="str">
        <f>IF(Data!CJ42&lt;&gt;"",Data!CJ42,"")</f>
        <v>0a</v>
      </c>
      <c r="V3" s="841" t="str">
        <f>IF(Data!CK42&lt;&gt;"",Data!CK42,"")</f>
        <v>0a</v>
      </c>
      <c r="W3" s="841" t="str">
        <f>IF(Data!CL42&lt;&gt;"",Data!CL42,"")</f>
        <v>0a</v>
      </c>
      <c r="X3" s="841" t="str">
        <f>IF(Data!CM42&lt;&gt;"",Data!CM42,"")</f>
        <v>0a</v>
      </c>
      <c r="Y3" s="841" t="str">
        <f>IF(Data!CN42&lt;&gt;"",Data!CN42,"")</f>
        <v>0a</v>
      </c>
      <c r="Z3" s="841" t="str">
        <f>IF(Data!CO42&lt;&gt;"",Data!CO42,"")</f>
        <v>0a</v>
      </c>
      <c r="AA3" s="841" t="str">
        <f>IF(Data!CP42&lt;&gt;"",Data!CP42,"")</f>
        <v>0a</v>
      </c>
      <c r="AB3" s="841" t="str">
        <f>IF(Data!CQ42&lt;&gt;"",Data!CQ42,"")</f>
        <v>0a</v>
      </c>
      <c r="AC3" s="841" t="str">
        <f>IF(Data!CR42&lt;&gt;"",Data!CR42,"")</f>
        <v>0a</v>
      </c>
      <c r="AD3" s="841" t="str">
        <f>IF(Data!CS42&lt;&gt;"",Data!CS42,"")</f>
        <v>0a</v>
      </c>
      <c r="AE3" s="841" t="str">
        <f>IF(Data!CT42&lt;&gt;"",Data!CT42,"")</f>
        <v>0a</v>
      </c>
      <c r="AF3" s="841" t="str">
        <f>IF(Data!CU42&lt;&gt;"",Data!CU42,"")</f>
        <v>0a</v>
      </c>
      <c r="AG3" s="841" t="str">
        <f>IF(Data!CV42&lt;&gt;"",Data!CV42,"")</f>
        <v>0a</v>
      </c>
      <c r="AH3" s="841" t="str">
        <f>IF(Data!CW42&lt;&gt;"",Data!CW42,"")</f>
        <v>0a</v>
      </c>
      <c r="AI3" s="841" t="str">
        <f>IF(Data!CX42&lt;&gt;"",Data!CX42,"")</f>
        <v>0a</v>
      </c>
      <c r="AJ3" s="842" t="str">
        <f>IF(Data!CY42&lt;&gt;"",Data!CY42,"")</f>
        <v>0a</v>
      </c>
      <c r="BD3" s="680"/>
      <c r="BE3" s="737"/>
      <c r="BF3" s="741" t="str">
        <f>IF(Data!BR42&lt;&gt;"",Data!BR42,"")</f>
        <v>1a</v>
      </c>
      <c r="BG3" s="742" t="str">
        <f>IF(Data!BS42&lt;&gt;"",Data!BS42,"")</f>
        <v>2a</v>
      </c>
      <c r="BH3" s="742" t="str">
        <f>IF(Data!BT42&lt;&gt;"",Data!BT42,"")</f>
        <v>3a</v>
      </c>
      <c r="BI3" s="742" t="str">
        <f>IF(Data!BU42&lt;&gt;"",Data!BU42,"")</f>
        <v>4a</v>
      </c>
      <c r="BJ3" s="742" t="str">
        <f>IF(Data!BV42&lt;&gt;"",Data!BV42,"")</f>
        <v>5a</v>
      </c>
      <c r="BK3" s="742" t="str">
        <f>IF(Data!BW42&lt;&gt;"",Data!BW42,"")</f>
        <v>6a</v>
      </c>
      <c r="BL3" s="742" t="str">
        <f>IF(Data!BX42&lt;&gt;"",Data!BX42,"")</f>
        <v>7a</v>
      </c>
      <c r="BM3" s="742" t="str">
        <f>IF(Data!BY42&lt;&gt;"",Data!BY42,"")</f>
        <v>8a</v>
      </c>
      <c r="BN3" s="742" t="str">
        <f>IF(Data!BZ42&lt;&gt;"",Data!BZ42,"")</f>
        <v>0a</v>
      </c>
      <c r="BO3" s="742" t="str">
        <f>IF(Data!CA42&lt;&gt;"",Data!CA42,"")</f>
        <v>1b</v>
      </c>
      <c r="BP3" s="742" t="str">
        <f>IF(Data!CB42&lt;&gt;"",Data!CB42,"")</f>
        <v>2b</v>
      </c>
      <c r="BQ3" s="742" t="str">
        <f>IF(Data!CC42&lt;&gt;"",Data!CC42,"")</f>
        <v>3b</v>
      </c>
      <c r="BR3" s="742" t="str">
        <f>IF(Data!CD42&lt;&gt;"",Data!CD42,"")</f>
        <v>4b</v>
      </c>
      <c r="BS3" s="742" t="str">
        <f>IF(Data!CE42&lt;&gt;"",Data!CE42,"")</f>
        <v>0a</v>
      </c>
      <c r="BT3" s="742" t="str">
        <f>IF(Data!CF42&lt;&gt;"",Data!CF42,"")</f>
        <v>0a</v>
      </c>
      <c r="BU3" s="742" t="str">
        <f>IF(Data!CG42&lt;&gt;"",Data!CG42,"")</f>
        <v>0a</v>
      </c>
      <c r="BV3" s="742" t="str">
        <f>IF(Data!CH42&lt;&gt;"",Data!CH42,"")</f>
        <v>0a</v>
      </c>
      <c r="BW3" s="742" t="str">
        <f>IF(Data!CI42&lt;&gt;"",Data!CI42,"")</f>
        <v>0a</v>
      </c>
      <c r="BX3" s="742" t="str">
        <f>IF(Data!CJ42&lt;&gt;"",Data!CJ42,"")</f>
        <v>0a</v>
      </c>
      <c r="BY3" s="742" t="str">
        <f>IF(Data!CK42&lt;&gt;"",Data!CK42,"")</f>
        <v>0a</v>
      </c>
      <c r="BZ3" s="742" t="str">
        <f>IF(Data!CL42&lt;&gt;"",Data!CL42,"")</f>
        <v>0a</v>
      </c>
      <c r="CA3" s="742" t="str">
        <f>IF(Data!CM42&lt;&gt;"",Data!CM42,"")</f>
        <v>0a</v>
      </c>
      <c r="CB3" s="742" t="str">
        <f>IF(Data!CN42&lt;&gt;"",Data!CN42,"")</f>
        <v>0a</v>
      </c>
      <c r="CC3" s="742" t="str">
        <f>IF(Data!CO42&lt;&gt;"",Data!CO42,"")</f>
        <v>0a</v>
      </c>
      <c r="CD3" s="742" t="str">
        <f>IF(Data!CP42&lt;&gt;"",Data!CP42,"")</f>
        <v>0a</v>
      </c>
      <c r="CE3" s="742" t="str">
        <f>IF(Data!CQ42&lt;&gt;"",Data!CQ42,"")</f>
        <v>0a</v>
      </c>
      <c r="CF3" s="742" t="str">
        <f>IF(Data!CR42&lt;&gt;"",Data!CR42,"")</f>
        <v>0a</v>
      </c>
      <c r="CG3" s="742" t="str">
        <f>IF(Data!CS42&lt;&gt;"",Data!CS42,"")</f>
        <v>0a</v>
      </c>
      <c r="CH3" s="742" t="str">
        <f>IF(Data!CT42&lt;&gt;"",Data!CT42,"")</f>
        <v>0a</v>
      </c>
      <c r="CI3" s="742" t="str">
        <f>IF(Data!CU42&lt;&gt;"",Data!CU42,"")</f>
        <v>0a</v>
      </c>
      <c r="CJ3" s="742" t="str">
        <f>IF(Data!CV42&lt;&gt;"",Data!CV42,"")</f>
        <v>0a</v>
      </c>
      <c r="CK3" s="742" t="str">
        <f>IF(Data!CW42&lt;&gt;"",Data!CW42,"")</f>
        <v>0a</v>
      </c>
      <c r="CL3" s="743" t="str">
        <f>IF(Data!CX42&lt;&gt;"",Data!CX42,"")</f>
        <v>0a</v>
      </c>
    </row>
    <row r="4" spans="1:90" ht="11.15" customHeight="1" x14ac:dyDescent="0.35">
      <c r="A4" s="681"/>
      <c r="B4" s="6">
        <v>1</v>
      </c>
      <c r="C4" s="822" t="str">
        <f>IF('Evaluation (2)'!C11&lt;&gt;"",LEFT('Evaluation (2)'!C11,1),"")</f>
        <v>R</v>
      </c>
      <c r="D4" s="823" t="str">
        <f>IF('Evaluation (2)'!D11&lt;&gt;"",LEFT('Evaluation (2)'!D11,1),"")</f>
        <v>R</v>
      </c>
      <c r="E4" s="823" t="str">
        <f>IF('Evaluation (2)'!E11&lt;&gt;"",LEFT('Evaluation (2)'!E11,1),"")</f>
        <v>X</v>
      </c>
      <c r="F4" s="823" t="str">
        <f>IF('Evaluation (2)'!F11&lt;&gt;"",LEFT('Evaluation (2)'!F11,1),"")</f>
        <v>X</v>
      </c>
      <c r="G4" s="823" t="str">
        <f>IF('Evaluation (2)'!G11&lt;&gt;"",LEFT('Evaluation (2)'!G11,1),"")</f>
        <v>X</v>
      </c>
      <c r="H4" s="823" t="str">
        <f>IF('Evaluation (2)'!H11&lt;&gt;"",LEFT('Evaluation (2)'!H11,1),"")</f>
        <v>X</v>
      </c>
      <c r="I4" s="823" t="str">
        <f>IF('Evaluation (2)'!I11&lt;&gt;"",LEFT('Evaluation (2)'!I11,1),"")</f>
        <v>R</v>
      </c>
      <c r="J4" s="823" t="str">
        <f>IF('Evaluation (2)'!J11&lt;&gt;"",LEFT('Evaluation (2)'!J11,1),"")</f>
        <v>X</v>
      </c>
      <c r="K4" s="823" t="str">
        <f>IF('Evaluation (2)'!K11&lt;&gt;"",LEFT('Evaluation (2)'!K11,1),"")</f>
        <v/>
      </c>
      <c r="L4" s="823" t="str">
        <f>IF('Evaluation (2)'!L11&lt;&gt;"",LEFT('Evaluation (2)'!L11,1),"")</f>
        <v>S</v>
      </c>
      <c r="M4" s="823" t="str">
        <f>IF('Evaluation (2)'!M11&lt;&gt;"",LEFT('Evaluation (2)'!M11,1),"")</f>
        <v>X</v>
      </c>
      <c r="N4" s="823" t="str">
        <f>IF('Evaluation (2)'!N11&lt;&gt;"",LEFT('Evaluation (2)'!N11,1),"")</f>
        <v>X</v>
      </c>
      <c r="O4" s="823" t="str">
        <f>IF('Evaluation (2)'!O11&lt;&gt;"",LEFT('Evaluation (2)'!O11,1),"")</f>
        <v>R</v>
      </c>
      <c r="P4" s="823" t="str">
        <f>IF('Evaluation (2)'!P11&lt;&gt;"",LEFT('Evaluation (2)'!P11,1),"")</f>
        <v/>
      </c>
      <c r="Q4" s="823" t="str">
        <f>IF('Evaluation (2)'!Q11&lt;&gt;"",LEFT('Evaluation (2)'!Q11,1),"")</f>
        <v/>
      </c>
      <c r="R4" s="823" t="str">
        <f>IF('Evaluation (2)'!R11&lt;&gt;"",LEFT('Evaluation (2)'!R11,1),"")</f>
        <v/>
      </c>
      <c r="S4" s="823" t="str">
        <f>IF('Evaluation (2)'!S11&lt;&gt;"",LEFT('Evaluation (2)'!S11,1),"")</f>
        <v/>
      </c>
      <c r="T4" s="823" t="str">
        <f>IF('Evaluation (2)'!T11&lt;&gt;"",LEFT('Evaluation (2)'!T11,1),"")</f>
        <v/>
      </c>
      <c r="U4" s="823" t="str">
        <f>IF('Evaluation (2)'!U11&lt;&gt;"",LEFT('Evaluation (2)'!U11,1),"")</f>
        <v/>
      </c>
      <c r="V4" s="823" t="str">
        <f>IF('Evaluation (2)'!V11&lt;&gt;"",LEFT('Evaluation (2)'!V11,1),"")</f>
        <v/>
      </c>
      <c r="W4" s="823" t="str">
        <f>IF('Evaluation (2)'!W11&lt;&gt;"",LEFT('Evaluation (2)'!W11,1),"")</f>
        <v/>
      </c>
      <c r="X4" s="823" t="str">
        <f>IF('Evaluation (2)'!X11&lt;&gt;"",LEFT('Evaluation (2)'!X11,1),"")</f>
        <v/>
      </c>
      <c r="Y4" s="823" t="str">
        <f>IF('Evaluation (2)'!Y11&lt;&gt;"",LEFT('Evaluation (2)'!Y11,1),"")</f>
        <v/>
      </c>
      <c r="Z4" s="823" t="str">
        <f>IF('Evaluation (2)'!Z11&lt;&gt;"",LEFT('Evaluation (2)'!Z11,1),"")</f>
        <v/>
      </c>
      <c r="AA4" s="823" t="str">
        <f>IF('Evaluation (2)'!AA11&lt;&gt;"",LEFT('Evaluation (2)'!AA11,1),"")</f>
        <v/>
      </c>
      <c r="AB4" s="823" t="str">
        <f>IF('Evaluation (2)'!AB11&lt;&gt;"",LEFT('Evaluation (2)'!AB11,1),"")</f>
        <v/>
      </c>
      <c r="AC4" s="823" t="str">
        <f>IF('Evaluation (2)'!AC11&lt;&gt;"",LEFT('Evaluation (2)'!AC11,1),"")</f>
        <v/>
      </c>
      <c r="AD4" s="823" t="str">
        <f>IF('Evaluation (2)'!AD11&lt;&gt;"",LEFT('Evaluation (2)'!AD11,1),"")</f>
        <v/>
      </c>
      <c r="AE4" s="823" t="str">
        <f>IF('Evaluation (2)'!AE11&lt;&gt;"",LEFT('Evaluation (2)'!AE11,1),"")</f>
        <v/>
      </c>
      <c r="AF4" s="823" t="str">
        <f>IF('Evaluation (2)'!AF11&lt;&gt;"",LEFT('Evaluation (2)'!AF11,1),"")</f>
        <v/>
      </c>
      <c r="AG4" s="823" t="str">
        <f>IF('Evaluation (2)'!AG11&lt;&gt;"",LEFT('Evaluation (2)'!AG11,1),"")</f>
        <v/>
      </c>
      <c r="AH4" s="823" t="str">
        <f>IF('Evaluation (2)'!AH11&lt;&gt;"",LEFT('Evaluation (2)'!AH11,1),"")</f>
        <v/>
      </c>
      <c r="AI4" s="823" t="str">
        <f>IF('Evaluation (2)'!AI11&lt;&gt;"",LEFT('Evaluation (2)'!AI11,1),"")</f>
        <v/>
      </c>
      <c r="AJ4" s="843" t="str">
        <f>IF('Evaluation (2)'!AJ11&lt;&gt;"",LEFT('Evaluation (2)'!AJ11,1),"")</f>
        <v/>
      </c>
      <c r="BD4" s="681"/>
      <c r="BE4" s="6">
        <v>1</v>
      </c>
      <c r="BF4" s="738" t="str">
        <f>IF('ARDT Cutter Entry'!C4&lt;&gt;"",'ARDT Cutter Entry'!C4,"")</f>
        <v>R</v>
      </c>
      <c r="BG4" s="739" t="str">
        <f>IF('ARDT Cutter Entry'!D4&lt;&gt;"",'ARDT Cutter Entry'!D4,"")</f>
        <v>R</v>
      </c>
      <c r="BH4" s="739" t="str">
        <f>IF('ARDT Cutter Entry'!E4&lt;&gt;"",'ARDT Cutter Entry'!E4,"")</f>
        <v>X5</v>
      </c>
      <c r="BI4" s="739" t="str">
        <f>IF('ARDT Cutter Entry'!F4&lt;&gt;"",'ARDT Cutter Entry'!F4,"")</f>
        <v>X5</v>
      </c>
      <c r="BJ4" s="739" t="str">
        <f>IF('ARDT Cutter Entry'!G4&lt;&gt;"",'ARDT Cutter Entry'!G4,"")</f>
        <v>X5</v>
      </c>
      <c r="BK4" s="739" t="str">
        <f>IF('ARDT Cutter Entry'!H4&lt;&gt;"",'ARDT Cutter Entry'!H4,"")</f>
        <v>X5</v>
      </c>
      <c r="BL4" s="739" t="str">
        <f>IF('ARDT Cutter Entry'!I4&lt;&gt;"",'ARDT Cutter Entry'!I4,"")</f>
        <v>R</v>
      </c>
      <c r="BM4" s="739" t="str">
        <f>IF('ARDT Cutter Entry'!J4&lt;&gt;"",'ARDT Cutter Entry'!J4,"")</f>
        <v>X</v>
      </c>
      <c r="BN4" s="739" t="str">
        <f>IF('ARDT Cutter Entry'!K4&lt;&gt;"",'ARDT Cutter Entry'!K4,"")</f>
        <v/>
      </c>
      <c r="BO4" s="739" t="str">
        <f>IF('ARDT Cutter Entry'!L4&lt;&gt;"",'ARDT Cutter Entry'!L4,"")</f>
        <v>S</v>
      </c>
      <c r="BP4" s="739" t="str">
        <f>IF('ARDT Cutter Entry'!M4&lt;&gt;"",'ARDT Cutter Entry'!M4,"")</f>
        <v>X4</v>
      </c>
      <c r="BQ4" s="739" t="str">
        <f>IF('ARDT Cutter Entry'!N4&lt;&gt;"",'ARDT Cutter Entry'!N4,"")</f>
        <v>X4</v>
      </c>
      <c r="BR4" s="739" t="str">
        <f>IF('ARDT Cutter Entry'!O4&lt;&gt;"",'ARDT Cutter Entry'!O4,"")</f>
        <v>R</v>
      </c>
      <c r="BS4" s="739" t="str">
        <f>IF('ARDT Cutter Entry'!P4&lt;&gt;"",'ARDT Cutter Entry'!P4,"")</f>
        <v/>
      </c>
      <c r="BT4" s="739" t="str">
        <f>IF('ARDT Cutter Entry'!Q4&lt;&gt;"",'ARDT Cutter Entry'!Q4,"")</f>
        <v/>
      </c>
      <c r="BU4" s="739" t="str">
        <f>IF('ARDT Cutter Entry'!R4&lt;&gt;"",'ARDT Cutter Entry'!R4,"")</f>
        <v/>
      </c>
      <c r="BV4" s="739" t="str">
        <f>IF('ARDT Cutter Entry'!S4&lt;&gt;"",'ARDT Cutter Entry'!S4,"")</f>
        <v/>
      </c>
      <c r="BW4" s="739" t="str">
        <f>IF('ARDT Cutter Entry'!T4&lt;&gt;"",'ARDT Cutter Entry'!T4,"")</f>
        <v/>
      </c>
      <c r="BX4" s="739" t="str">
        <f>IF('ARDT Cutter Entry'!U4&lt;&gt;"",'ARDT Cutter Entry'!U4,"")</f>
        <v/>
      </c>
      <c r="BY4" s="739" t="str">
        <f>IF('ARDT Cutter Entry'!V4&lt;&gt;"",'ARDT Cutter Entry'!V4,"")</f>
        <v/>
      </c>
      <c r="BZ4" s="739" t="str">
        <f>IF('ARDT Cutter Entry'!W4&lt;&gt;"",'ARDT Cutter Entry'!W4,"")</f>
        <v/>
      </c>
      <c r="CA4" s="739" t="str">
        <f>IF('ARDT Cutter Entry'!X4&lt;&gt;"",'ARDT Cutter Entry'!X4,"")</f>
        <v/>
      </c>
      <c r="CB4" s="739" t="str">
        <f>IF('ARDT Cutter Entry'!Y4&lt;&gt;"",'ARDT Cutter Entry'!Y4,"")</f>
        <v/>
      </c>
      <c r="CC4" s="739" t="str">
        <f>IF('ARDT Cutter Entry'!Z4&lt;&gt;"",'ARDT Cutter Entry'!Z4,"")</f>
        <v/>
      </c>
      <c r="CD4" s="739" t="str">
        <f>IF('ARDT Cutter Entry'!AA4&lt;&gt;"",'ARDT Cutter Entry'!AA4,"")</f>
        <v/>
      </c>
      <c r="CE4" s="739" t="str">
        <f>IF('ARDT Cutter Entry'!AB4&lt;&gt;"",'ARDT Cutter Entry'!AB4,"")</f>
        <v/>
      </c>
      <c r="CF4" s="739" t="str">
        <f>IF('ARDT Cutter Entry'!AC4&lt;&gt;"",'ARDT Cutter Entry'!AC4,"")</f>
        <v/>
      </c>
      <c r="CG4" s="739" t="str">
        <f>IF('ARDT Cutter Entry'!AD4&lt;&gt;"",'ARDT Cutter Entry'!AD4,"")</f>
        <v/>
      </c>
      <c r="CH4" s="739" t="str">
        <f>IF('ARDT Cutter Entry'!AE4&lt;&gt;"",'ARDT Cutter Entry'!AE4,"")</f>
        <v/>
      </c>
      <c r="CI4" s="739" t="str">
        <f>IF('ARDT Cutter Entry'!AF4&lt;&gt;"",'ARDT Cutter Entry'!AF4,"")</f>
        <v/>
      </c>
      <c r="CJ4" s="739" t="str">
        <f>IF('ARDT Cutter Entry'!AG4&lt;&gt;"",'ARDT Cutter Entry'!AG4,"")</f>
        <v/>
      </c>
      <c r="CK4" s="739" t="str">
        <f>IF('ARDT Cutter Entry'!AH4&lt;&gt;"",'ARDT Cutter Entry'!AH4,"")</f>
        <v/>
      </c>
      <c r="CL4" s="740" t="str">
        <f>IF('ARDT Cutter Entry'!AI4&lt;&gt;"",'ARDT Cutter Entry'!AI4,"")</f>
        <v/>
      </c>
    </row>
    <row r="5" spans="1:90" ht="11.15" customHeight="1" x14ac:dyDescent="0.35">
      <c r="A5" s="682"/>
      <c r="B5" s="35">
        <v>2</v>
      </c>
      <c r="C5" s="683" t="str">
        <f>IF('Evaluation (2)'!C12&lt;&gt;"",LEFT('Evaluation (2)'!C12,1),"")</f>
        <v>X</v>
      </c>
      <c r="D5" s="684" t="str">
        <f>IF('Evaluation (2)'!D12&lt;&gt;"",LEFT('Evaluation (2)'!D12,1),"")</f>
        <v>X</v>
      </c>
      <c r="E5" s="684" t="str">
        <f>IF('Evaluation (2)'!E12&lt;&gt;"",LEFT('Evaluation (2)'!E12,1),"")</f>
        <v>X</v>
      </c>
      <c r="F5" s="684" t="str">
        <f>IF('Evaluation (2)'!F12&lt;&gt;"",LEFT('Evaluation (2)'!F12,1),"")</f>
        <v>R</v>
      </c>
      <c r="G5" s="684" t="str">
        <f>IF('Evaluation (2)'!G12&lt;&gt;"",LEFT('Evaluation (2)'!G12,1),"")</f>
        <v>X</v>
      </c>
      <c r="H5" s="684" t="str">
        <f>IF('Evaluation (2)'!H12&lt;&gt;"",LEFT('Evaluation (2)'!H12,1),"")</f>
        <v/>
      </c>
      <c r="I5" s="684" t="str">
        <f>IF('Evaluation (2)'!I12&lt;&gt;"",LEFT('Evaluation (2)'!I12,1),"")</f>
        <v/>
      </c>
      <c r="J5" s="684" t="str">
        <f>IF('Evaluation (2)'!J12&lt;&gt;"",LEFT('Evaluation (2)'!J12,1),"")</f>
        <v/>
      </c>
      <c r="K5" s="684" t="str">
        <f>IF('Evaluation (2)'!K12&lt;&gt;"",LEFT('Evaluation (2)'!K12,1),"")</f>
        <v/>
      </c>
      <c r="L5" s="684" t="str">
        <f>IF('Evaluation (2)'!L12&lt;&gt;"",LEFT('Evaluation (2)'!L12,1),"")</f>
        <v>S</v>
      </c>
      <c r="M5" s="684" t="str">
        <f>IF('Evaluation (2)'!M12&lt;&gt;"",LEFT('Evaluation (2)'!M12,1),"")</f>
        <v>R</v>
      </c>
      <c r="N5" s="684" t="str">
        <f>IF('Evaluation (2)'!N12&lt;&gt;"",LEFT('Evaluation (2)'!N12,1),"")</f>
        <v>X</v>
      </c>
      <c r="O5" s="684" t="str">
        <f>IF('Evaluation (2)'!O12&lt;&gt;"",LEFT('Evaluation (2)'!O12,1),"")</f>
        <v>R</v>
      </c>
      <c r="P5" s="684" t="str">
        <f>IF('Evaluation (2)'!P12&lt;&gt;"",LEFT('Evaluation (2)'!P12,1),"")</f>
        <v/>
      </c>
      <c r="Q5" s="684" t="str">
        <f>IF('Evaluation (2)'!Q12&lt;&gt;"",LEFT('Evaluation (2)'!Q12,1),"")</f>
        <v/>
      </c>
      <c r="R5" s="684" t="str">
        <f>IF('Evaluation (2)'!R12&lt;&gt;"",LEFT('Evaluation (2)'!R12,1),"")</f>
        <v/>
      </c>
      <c r="S5" s="684" t="str">
        <f>IF('Evaluation (2)'!S12&lt;&gt;"",LEFT('Evaluation (2)'!S12,1),"")</f>
        <v/>
      </c>
      <c r="T5" s="684" t="str">
        <f>IF('Evaluation (2)'!T12&lt;&gt;"",LEFT('Evaluation (2)'!T12,1),"")</f>
        <v/>
      </c>
      <c r="U5" s="684" t="str">
        <f>IF('Evaluation (2)'!U12&lt;&gt;"",LEFT('Evaluation (2)'!U12,1),"")</f>
        <v/>
      </c>
      <c r="V5" s="684" t="str">
        <f>IF('Evaluation (2)'!V12&lt;&gt;"",LEFT('Evaluation (2)'!V12,1),"")</f>
        <v/>
      </c>
      <c r="W5" s="684" t="str">
        <f>IF('Evaluation (2)'!W12&lt;&gt;"",LEFT('Evaluation (2)'!W12,1),"")</f>
        <v/>
      </c>
      <c r="X5" s="684" t="str">
        <f>IF('Evaluation (2)'!X12&lt;&gt;"",LEFT('Evaluation (2)'!X12,1),"")</f>
        <v/>
      </c>
      <c r="Y5" s="684" t="str">
        <f>IF('Evaluation (2)'!Y12&lt;&gt;"",LEFT('Evaluation (2)'!Y12,1),"")</f>
        <v/>
      </c>
      <c r="Z5" s="684" t="str">
        <f>IF('Evaluation (2)'!Z12&lt;&gt;"",LEFT('Evaluation (2)'!Z12,1),"")</f>
        <v/>
      </c>
      <c r="AA5" s="684" t="str">
        <f>IF('Evaluation (2)'!AA12&lt;&gt;"",LEFT('Evaluation (2)'!AA12,1),"")</f>
        <v/>
      </c>
      <c r="AB5" s="684" t="str">
        <f>IF('Evaluation (2)'!AB12&lt;&gt;"",LEFT('Evaluation (2)'!AB12,1),"")</f>
        <v/>
      </c>
      <c r="AC5" s="684" t="str">
        <f>IF('Evaluation (2)'!AC12&lt;&gt;"",LEFT('Evaluation (2)'!AC12,1),"")</f>
        <v/>
      </c>
      <c r="AD5" s="684" t="str">
        <f>IF('Evaluation (2)'!AD12&lt;&gt;"",LEFT('Evaluation (2)'!AD12,1),"")</f>
        <v/>
      </c>
      <c r="AE5" s="684" t="str">
        <f>IF('Evaluation (2)'!AE12&lt;&gt;"",LEFT('Evaluation (2)'!AE12,1),"")</f>
        <v/>
      </c>
      <c r="AF5" s="684" t="str">
        <f>IF('Evaluation (2)'!AF12&lt;&gt;"",LEFT('Evaluation (2)'!AF12,1),"")</f>
        <v/>
      </c>
      <c r="AG5" s="684" t="str">
        <f>IF('Evaluation (2)'!AG12&lt;&gt;"",LEFT('Evaluation (2)'!AG12,1),"")</f>
        <v/>
      </c>
      <c r="AH5" s="684" t="str">
        <f>IF('Evaluation (2)'!AH12&lt;&gt;"",LEFT('Evaluation (2)'!AH12,1),"")</f>
        <v/>
      </c>
      <c r="AI5" s="684" t="str">
        <f>IF('Evaluation (2)'!AI12&lt;&gt;"",LEFT('Evaluation (2)'!AI12,1),"")</f>
        <v/>
      </c>
      <c r="AJ5" s="685" t="str">
        <f>IF('Evaluation (2)'!AJ12&lt;&gt;"",LEFT('Evaluation (2)'!AJ12,1),"")</f>
        <v/>
      </c>
      <c r="BD5" s="682"/>
      <c r="BE5" s="35">
        <v>2</v>
      </c>
      <c r="BF5" s="683" t="str">
        <f>IF('ARDT Cutter Entry'!C5&lt;&gt;"",'ARDT Cutter Entry'!C5,"")</f>
        <v>X5</v>
      </c>
      <c r="BG5" s="684" t="str">
        <f>IF('ARDT Cutter Entry'!D5&lt;&gt;"",'ARDT Cutter Entry'!D5,"")</f>
        <v>X5</v>
      </c>
      <c r="BH5" s="684" t="str">
        <f>IF('ARDT Cutter Entry'!E5&lt;&gt;"",'ARDT Cutter Entry'!E5,"")</f>
        <v>X5</v>
      </c>
      <c r="BI5" s="684" t="str">
        <f>IF('ARDT Cutter Entry'!F5&lt;&gt;"",'ARDT Cutter Entry'!F5,"")</f>
        <v>R</v>
      </c>
      <c r="BJ5" s="684" t="str">
        <f>IF('ARDT Cutter Entry'!G5&lt;&gt;"",'ARDT Cutter Entry'!G5,"")</f>
        <v>X</v>
      </c>
      <c r="BK5" s="684" t="str">
        <f>IF('ARDT Cutter Entry'!H5&lt;&gt;"",'ARDT Cutter Entry'!H5,"")</f>
        <v/>
      </c>
      <c r="BL5" s="684" t="str">
        <f>IF('ARDT Cutter Entry'!I5&lt;&gt;"",'ARDT Cutter Entry'!I5,"")</f>
        <v/>
      </c>
      <c r="BM5" s="684" t="str">
        <f>IF('ARDT Cutter Entry'!J5&lt;&gt;"",'ARDT Cutter Entry'!J5,"")</f>
        <v/>
      </c>
      <c r="BN5" s="684" t="str">
        <f>IF('ARDT Cutter Entry'!K5&lt;&gt;"",'ARDT Cutter Entry'!K5,"")</f>
        <v/>
      </c>
      <c r="BO5" s="684" t="str">
        <f>IF('ARDT Cutter Entry'!L5&lt;&gt;"",'ARDT Cutter Entry'!L5,"")</f>
        <v>S</v>
      </c>
      <c r="BP5" s="684" t="str">
        <f>IF('ARDT Cutter Entry'!M5&lt;&gt;"",'ARDT Cutter Entry'!M5,"")</f>
        <v>R</v>
      </c>
      <c r="BQ5" s="684" t="str">
        <f>IF('ARDT Cutter Entry'!N5&lt;&gt;"",'ARDT Cutter Entry'!N5,"")</f>
        <v>X4</v>
      </c>
      <c r="BR5" s="684" t="str">
        <f>IF('ARDT Cutter Entry'!O5&lt;&gt;"",'ARDT Cutter Entry'!O5,"")</f>
        <v>R</v>
      </c>
      <c r="BS5" s="684" t="str">
        <f>IF('ARDT Cutter Entry'!P5&lt;&gt;"",'ARDT Cutter Entry'!P5,"")</f>
        <v/>
      </c>
      <c r="BT5" s="684" t="str">
        <f>IF('ARDT Cutter Entry'!Q5&lt;&gt;"",'ARDT Cutter Entry'!Q5,"")</f>
        <v/>
      </c>
      <c r="BU5" s="684" t="str">
        <f>IF('ARDT Cutter Entry'!R5&lt;&gt;"",'ARDT Cutter Entry'!R5,"")</f>
        <v/>
      </c>
      <c r="BV5" s="684" t="str">
        <f>IF('ARDT Cutter Entry'!S5&lt;&gt;"",'ARDT Cutter Entry'!S5,"")</f>
        <v/>
      </c>
      <c r="BW5" s="684" t="str">
        <f>IF('ARDT Cutter Entry'!T5&lt;&gt;"",'ARDT Cutter Entry'!T5,"")</f>
        <v/>
      </c>
      <c r="BX5" s="684" t="str">
        <f>IF('ARDT Cutter Entry'!U5&lt;&gt;"",'ARDT Cutter Entry'!U5,"")</f>
        <v/>
      </c>
      <c r="BY5" s="684" t="str">
        <f>IF('ARDT Cutter Entry'!V5&lt;&gt;"",'ARDT Cutter Entry'!V5,"")</f>
        <v/>
      </c>
      <c r="BZ5" s="684" t="str">
        <f>IF('ARDT Cutter Entry'!W5&lt;&gt;"",'ARDT Cutter Entry'!W5,"")</f>
        <v/>
      </c>
      <c r="CA5" s="684" t="str">
        <f>IF('ARDT Cutter Entry'!X5&lt;&gt;"",'ARDT Cutter Entry'!X5,"")</f>
        <v/>
      </c>
      <c r="CB5" s="684" t="str">
        <f>IF('ARDT Cutter Entry'!Y5&lt;&gt;"",'ARDT Cutter Entry'!Y5,"")</f>
        <v/>
      </c>
      <c r="CC5" s="684" t="str">
        <f>IF('ARDT Cutter Entry'!Z5&lt;&gt;"",'ARDT Cutter Entry'!Z5,"")</f>
        <v/>
      </c>
      <c r="CD5" s="684" t="str">
        <f>IF('ARDT Cutter Entry'!AA5&lt;&gt;"",'ARDT Cutter Entry'!AA5,"")</f>
        <v/>
      </c>
      <c r="CE5" s="684" t="str">
        <f>IF('ARDT Cutter Entry'!AB5&lt;&gt;"",'ARDT Cutter Entry'!AB5,"")</f>
        <v/>
      </c>
      <c r="CF5" s="684" t="str">
        <f>IF('ARDT Cutter Entry'!AC5&lt;&gt;"",'ARDT Cutter Entry'!AC5,"")</f>
        <v/>
      </c>
      <c r="CG5" s="684" t="str">
        <f>IF('ARDT Cutter Entry'!AD5&lt;&gt;"",'ARDT Cutter Entry'!AD5,"")</f>
        <v/>
      </c>
      <c r="CH5" s="684" t="str">
        <f>IF('ARDT Cutter Entry'!AE5&lt;&gt;"",'ARDT Cutter Entry'!AE5,"")</f>
        <v/>
      </c>
      <c r="CI5" s="684" t="str">
        <f>IF('ARDT Cutter Entry'!AF5&lt;&gt;"",'ARDT Cutter Entry'!AF5,"")</f>
        <v/>
      </c>
      <c r="CJ5" s="684" t="str">
        <f>IF('ARDT Cutter Entry'!AG5&lt;&gt;"",'ARDT Cutter Entry'!AG5,"")</f>
        <v/>
      </c>
      <c r="CK5" s="684" t="str">
        <f>IF('ARDT Cutter Entry'!AH5&lt;&gt;"",'ARDT Cutter Entry'!AH5,"")</f>
        <v/>
      </c>
      <c r="CL5" s="685" t="str">
        <f>IF('ARDT Cutter Entry'!AI5&lt;&gt;"",'ARDT Cutter Entry'!AI5,"")</f>
        <v/>
      </c>
    </row>
    <row r="6" spans="1:90" ht="11.15" customHeight="1" x14ac:dyDescent="0.35">
      <c r="A6" s="682"/>
      <c r="B6" s="35">
        <v>3</v>
      </c>
      <c r="C6" s="683" t="str">
        <f>IF('Evaluation (2)'!C13&lt;&gt;"",LEFT('Evaluation (2)'!C13,1),"")</f>
        <v>R</v>
      </c>
      <c r="D6" s="684" t="str">
        <f>IF('Evaluation (2)'!D13&lt;&gt;"",LEFT('Evaluation (2)'!D13,1),"")</f>
        <v>R</v>
      </c>
      <c r="E6" s="684" t="str">
        <f>IF('Evaluation (2)'!E13&lt;&gt;"",LEFT('Evaluation (2)'!E13,1),"")</f>
        <v>R</v>
      </c>
      <c r="F6" s="684" t="str">
        <f>IF('Evaluation (2)'!F13&lt;&gt;"",LEFT('Evaluation (2)'!F13,1),"")</f>
        <v>X</v>
      </c>
      <c r="G6" s="684" t="str">
        <f>IF('Evaluation (2)'!G13&lt;&gt;"",LEFT('Evaluation (2)'!G13,1),"")</f>
        <v>X</v>
      </c>
      <c r="H6" s="684" t="str">
        <f>IF('Evaluation (2)'!H13&lt;&gt;"",LEFT('Evaluation (2)'!H13,1),"")</f>
        <v>X</v>
      </c>
      <c r="I6" s="684" t="str">
        <f>IF('Evaluation (2)'!I13&lt;&gt;"",LEFT('Evaluation (2)'!I13,1),"")</f>
        <v>X</v>
      </c>
      <c r="J6" s="684" t="str">
        <f>IF('Evaluation (2)'!J13&lt;&gt;"",LEFT('Evaluation (2)'!J13,1),"")</f>
        <v/>
      </c>
      <c r="K6" s="684" t="str">
        <f>IF('Evaluation (2)'!K13&lt;&gt;"",LEFT('Evaluation (2)'!K13,1),"")</f>
        <v/>
      </c>
      <c r="L6" s="684" t="str">
        <f>IF('Evaluation (2)'!L13&lt;&gt;"",LEFT('Evaluation (2)'!L13,1),"")</f>
        <v>R</v>
      </c>
      <c r="M6" s="684" t="str">
        <f>IF('Evaluation (2)'!M13&lt;&gt;"",LEFT('Evaluation (2)'!M13,1),"")</f>
        <v>X</v>
      </c>
      <c r="N6" s="684" t="str">
        <f>IF('Evaluation (2)'!N13&lt;&gt;"",LEFT('Evaluation (2)'!N13,1),"")</f>
        <v>X</v>
      </c>
      <c r="O6" s="684" t="str">
        <f>IF('Evaluation (2)'!O13&lt;&gt;"",LEFT('Evaluation (2)'!O13,1),"")</f>
        <v/>
      </c>
      <c r="P6" s="684" t="str">
        <f>IF('Evaluation (2)'!P13&lt;&gt;"",LEFT('Evaluation (2)'!P13,1),"")</f>
        <v/>
      </c>
      <c r="Q6" s="684" t="str">
        <f>IF('Evaluation (2)'!Q13&lt;&gt;"",LEFT('Evaluation (2)'!Q13,1),"")</f>
        <v/>
      </c>
      <c r="R6" s="684" t="str">
        <f>IF('Evaluation (2)'!R13&lt;&gt;"",LEFT('Evaluation (2)'!R13,1),"")</f>
        <v/>
      </c>
      <c r="S6" s="684" t="str">
        <f>IF('Evaluation (2)'!S13&lt;&gt;"",LEFT('Evaluation (2)'!S13,1),"")</f>
        <v/>
      </c>
      <c r="T6" s="684" t="str">
        <f>IF('Evaluation (2)'!T13&lt;&gt;"",LEFT('Evaluation (2)'!T13,1),"")</f>
        <v/>
      </c>
      <c r="U6" s="684" t="str">
        <f>IF('Evaluation (2)'!U13&lt;&gt;"",LEFT('Evaluation (2)'!U13,1),"")</f>
        <v/>
      </c>
      <c r="V6" s="684" t="str">
        <f>IF('Evaluation (2)'!V13&lt;&gt;"",LEFT('Evaluation (2)'!V13,1),"")</f>
        <v/>
      </c>
      <c r="W6" s="684" t="str">
        <f>IF('Evaluation (2)'!W13&lt;&gt;"",LEFT('Evaluation (2)'!W13,1),"")</f>
        <v/>
      </c>
      <c r="X6" s="684" t="str">
        <f>IF('Evaluation (2)'!X13&lt;&gt;"",LEFT('Evaluation (2)'!X13,1),"")</f>
        <v/>
      </c>
      <c r="Y6" s="684" t="str">
        <f>IF('Evaluation (2)'!Y13&lt;&gt;"",LEFT('Evaluation (2)'!Y13,1),"")</f>
        <v/>
      </c>
      <c r="Z6" s="684" t="str">
        <f>IF('Evaluation (2)'!Z13&lt;&gt;"",LEFT('Evaluation (2)'!Z13,1),"")</f>
        <v/>
      </c>
      <c r="AA6" s="684" t="str">
        <f>IF('Evaluation (2)'!AA13&lt;&gt;"",LEFT('Evaluation (2)'!AA13,1),"")</f>
        <v/>
      </c>
      <c r="AB6" s="684" t="str">
        <f>IF('Evaluation (2)'!AB13&lt;&gt;"",LEFT('Evaluation (2)'!AB13,1),"")</f>
        <v/>
      </c>
      <c r="AC6" s="684" t="str">
        <f>IF('Evaluation (2)'!AC13&lt;&gt;"",LEFT('Evaluation (2)'!AC13,1),"")</f>
        <v/>
      </c>
      <c r="AD6" s="684" t="str">
        <f>IF('Evaluation (2)'!AD13&lt;&gt;"",LEFT('Evaluation (2)'!AD13,1),"")</f>
        <v/>
      </c>
      <c r="AE6" s="684" t="str">
        <f>IF('Evaluation (2)'!AE13&lt;&gt;"",LEFT('Evaluation (2)'!AE13,1),"")</f>
        <v/>
      </c>
      <c r="AF6" s="684" t="str">
        <f>IF('Evaluation (2)'!AF13&lt;&gt;"",LEFT('Evaluation (2)'!AF13,1),"")</f>
        <v/>
      </c>
      <c r="AG6" s="684" t="str">
        <f>IF('Evaluation (2)'!AG13&lt;&gt;"",LEFT('Evaluation (2)'!AG13,1),"")</f>
        <v/>
      </c>
      <c r="AH6" s="684" t="str">
        <f>IF('Evaluation (2)'!AH13&lt;&gt;"",LEFT('Evaluation (2)'!AH13,1),"")</f>
        <v/>
      </c>
      <c r="AI6" s="684" t="str">
        <f>IF('Evaluation (2)'!AI13&lt;&gt;"",LEFT('Evaluation (2)'!AI13,1),"")</f>
        <v/>
      </c>
      <c r="AJ6" s="685" t="str">
        <f>IF('Evaluation (2)'!AJ13&lt;&gt;"",LEFT('Evaluation (2)'!AJ13,1),"")</f>
        <v/>
      </c>
      <c r="BD6" s="682"/>
      <c r="BE6" s="35">
        <v>3</v>
      </c>
      <c r="BF6" s="683" t="str">
        <f>IF('ARDT Cutter Entry'!C6&lt;&gt;"",'ARDT Cutter Entry'!C6,"")</f>
        <v>R</v>
      </c>
      <c r="BG6" s="684" t="str">
        <f>IF('ARDT Cutter Entry'!D6&lt;&gt;"",'ARDT Cutter Entry'!D6,"")</f>
        <v>R</v>
      </c>
      <c r="BH6" s="684" t="str">
        <f>IF('ARDT Cutter Entry'!E6&lt;&gt;"",'ARDT Cutter Entry'!E6,"")</f>
        <v>R</v>
      </c>
      <c r="BI6" s="684" t="str">
        <f>IF('ARDT Cutter Entry'!F6&lt;&gt;"",'ARDT Cutter Entry'!F6,"")</f>
        <v>X5</v>
      </c>
      <c r="BJ6" s="684" t="str">
        <f>IF('ARDT Cutter Entry'!G6&lt;&gt;"",'ARDT Cutter Entry'!G6,"")</f>
        <v>X5</v>
      </c>
      <c r="BK6" s="684" t="str">
        <f>IF('ARDT Cutter Entry'!H6&lt;&gt;"",'ARDT Cutter Entry'!H6,"")</f>
        <v>X5</v>
      </c>
      <c r="BL6" s="684" t="str">
        <f>IF('ARDT Cutter Entry'!I6&lt;&gt;"",'ARDT Cutter Entry'!I6,"")</f>
        <v>X</v>
      </c>
      <c r="BM6" s="684" t="str">
        <f>IF('ARDT Cutter Entry'!J6&lt;&gt;"",'ARDT Cutter Entry'!J6,"")</f>
        <v/>
      </c>
      <c r="BN6" s="684" t="str">
        <f>IF('ARDT Cutter Entry'!K6&lt;&gt;"",'ARDT Cutter Entry'!K6,"")</f>
        <v/>
      </c>
      <c r="BO6" s="684" t="str">
        <f>IF('ARDT Cutter Entry'!L6&lt;&gt;"",'ARDT Cutter Entry'!L6,"")</f>
        <v>R</v>
      </c>
      <c r="BP6" s="684" t="str">
        <f>IF('ARDT Cutter Entry'!M6&lt;&gt;"",'ARDT Cutter Entry'!M6,"")</f>
        <v>X4</v>
      </c>
      <c r="BQ6" s="684" t="str">
        <f>IF('ARDT Cutter Entry'!N6&lt;&gt;"",'ARDT Cutter Entry'!N6,"")</f>
        <v>X4</v>
      </c>
      <c r="BR6" s="684" t="str">
        <f>IF('ARDT Cutter Entry'!O6&lt;&gt;"",'ARDT Cutter Entry'!O6,"")</f>
        <v/>
      </c>
      <c r="BS6" s="684" t="str">
        <f>IF('ARDT Cutter Entry'!P6&lt;&gt;"",'ARDT Cutter Entry'!P6,"")</f>
        <v/>
      </c>
      <c r="BT6" s="684" t="str">
        <f>IF('ARDT Cutter Entry'!Q6&lt;&gt;"",'ARDT Cutter Entry'!Q6,"")</f>
        <v/>
      </c>
      <c r="BU6" s="684" t="str">
        <f>IF('ARDT Cutter Entry'!R6&lt;&gt;"",'ARDT Cutter Entry'!R6,"")</f>
        <v/>
      </c>
      <c r="BV6" s="684" t="str">
        <f>IF('ARDT Cutter Entry'!S6&lt;&gt;"",'ARDT Cutter Entry'!S6,"")</f>
        <v/>
      </c>
      <c r="BW6" s="684" t="str">
        <f>IF('ARDT Cutter Entry'!T6&lt;&gt;"",'ARDT Cutter Entry'!T6,"")</f>
        <v/>
      </c>
      <c r="BX6" s="684" t="str">
        <f>IF('ARDT Cutter Entry'!U6&lt;&gt;"",'ARDT Cutter Entry'!U6,"")</f>
        <v/>
      </c>
      <c r="BY6" s="684" t="str">
        <f>IF('ARDT Cutter Entry'!V6&lt;&gt;"",'ARDT Cutter Entry'!V6,"")</f>
        <v/>
      </c>
      <c r="BZ6" s="684" t="str">
        <f>IF('ARDT Cutter Entry'!W6&lt;&gt;"",'ARDT Cutter Entry'!W6,"")</f>
        <v/>
      </c>
      <c r="CA6" s="684" t="str">
        <f>IF('ARDT Cutter Entry'!X6&lt;&gt;"",'ARDT Cutter Entry'!X6,"")</f>
        <v/>
      </c>
      <c r="CB6" s="684" t="str">
        <f>IF('ARDT Cutter Entry'!Y6&lt;&gt;"",'ARDT Cutter Entry'!Y6,"")</f>
        <v/>
      </c>
      <c r="CC6" s="684" t="str">
        <f>IF('ARDT Cutter Entry'!Z6&lt;&gt;"",'ARDT Cutter Entry'!Z6,"")</f>
        <v/>
      </c>
      <c r="CD6" s="684" t="str">
        <f>IF('ARDT Cutter Entry'!AA6&lt;&gt;"",'ARDT Cutter Entry'!AA6,"")</f>
        <v/>
      </c>
      <c r="CE6" s="684" t="str">
        <f>IF('ARDT Cutter Entry'!AB6&lt;&gt;"",'ARDT Cutter Entry'!AB6,"")</f>
        <v/>
      </c>
      <c r="CF6" s="684" t="str">
        <f>IF('ARDT Cutter Entry'!AC6&lt;&gt;"",'ARDT Cutter Entry'!AC6,"")</f>
        <v/>
      </c>
      <c r="CG6" s="684" t="str">
        <f>IF('ARDT Cutter Entry'!AD6&lt;&gt;"",'ARDT Cutter Entry'!AD6,"")</f>
        <v/>
      </c>
      <c r="CH6" s="684" t="str">
        <f>IF('ARDT Cutter Entry'!AE6&lt;&gt;"",'ARDT Cutter Entry'!AE6,"")</f>
        <v/>
      </c>
      <c r="CI6" s="684" t="str">
        <f>IF('ARDT Cutter Entry'!AF6&lt;&gt;"",'ARDT Cutter Entry'!AF6,"")</f>
        <v/>
      </c>
      <c r="CJ6" s="684" t="str">
        <f>IF('ARDT Cutter Entry'!AG6&lt;&gt;"",'ARDT Cutter Entry'!AG6,"")</f>
        <v/>
      </c>
      <c r="CK6" s="684" t="str">
        <f>IF('ARDT Cutter Entry'!AH6&lt;&gt;"",'ARDT Cutter Entry'!AH6,"")</f>
        <v/>
      </c>
      <c r="CL6" s="685" t="str">
        <f>IF('ARDT Cutter Entry'!AI6&lt;&gt;"",'ARDT Cutter Entry'!AI6,"")</f>
        <v/>
      </c>
    </row>
    <row r="7" spans="1:90" ht="11.15" customHeight="1" x14ac:dyDescent="0.35">
      <c r="A7" s="682"/>
      <c r="B7" s="35">
        <v>4</v>
      </c>
      <c r="C7" s="683" t="str">
        <f>IF('Evaluation (2)'!C14&lt;&gt;"",LEFT('Evaluation (2)'!C14,1),"")</f>
        <v>X</v>
      </c>
      <c r="D7" s="684" t="str">
        <f>IF('Evaluation (2)'!D14&lt;&gt;"",LEFT('Evaluation (2)'!D14,1),"")</f>
        <v>X</v>
      </c>
      <c r="E7" s="684" t="str">
        <f>IF('Evaluation (2)'!E14&lt;&gt;"",LEFT('Evaluation (2)'!E14,1),"")</f>
        <v>X</v>
      </c>
      <c r="F7" s="684" t="str">
        <f>IF('Evaluation (2)'!F14&lt;&gt;"",LEFT('Evaluation (2)'!F14,1),"")</f>
        <v>X</v>
      </c>
      <c r="G7" s="684" t="str">
        <f>IF('Evaluation (2)'!G14&lt;&gt;"",LEFT('Evaluation (2)'!G14,1),"")</f>
        <v>R</v>
      </c>
      <c r="H7" s="684" t="str">
        <f>IF('Evaluation (2)'!H14&lt;&gt;"",LEFT('Evaluation (2)'!H14,1),"")</f>
        <v>X</v>
      </c>
      <c r="I7" s="684" t="str">
        <f>IF('Evaluation (2)'!I14&lt;&gt;"",LEFT('Evaluation (2)'!I14,1),"")</f>
        <v/>
      </c>
      <c r="J7" s="684" t="str">
        <f>IF('Evaluation (2)'!J14&lt;&gt;"",LEFT('Evaluation (2)'!J14,1),"")</f>
        <v/>
      </c>
      <c r="K7" s="684" t="str">
        <f>IF('Evaluation (2)'!K14&lt;&gt;"",LEFT('Evaluation (2)'!K14,1),"")</f>
        <v/>
      </c>
      <c r="L7" s="684" t="str">
        <f>IF('Evaluation (2)'!L14&lt;&gt;"",LEFT('Evaluation (2)'!L14,1),"")</f>
        <v>R</v>
      </c>
      <c r="M7" s="684" t="str">
        <f>IF('Evaluation (2)'!M14&lt;&gt;"",LEFT('Evaluation (2)'!M14,1),"")</f>
        <v>R</v>
      </c>
      <c r="N7" s="684" t="str">
        <f>IF('Evaluation (2)'!N14&lt;&gt;"",LEFT('Evaluation (2)'!N14,1),"")</f>
        <v>R</v>
      </c>
      <c r="O7" s="684" t="str">
        <f>IF('Evaluation (2)'!O14&lt;&gt;"",LEFT('Evaluation (2)'!O14,1),"")</f>
        <v>S</v>
      </c>
      <c r="P7" s="684" t="str">
        <f>IF('Evaluation (2)'!P14&lt;&gt;"",LEFT('Evaluation (2)'!P14,1),"")</f>
        <v/>
      </c>
      <c r="Q7" s="684" t="str">
        <f>IF('Evaluation (2)'!Q14&lt;&gt;"",LEFT('Evaluation (2)'!Q14,1),"")</f>
        <v/>
      </c>
      <c r="R7" s="684" t="str">
        <f>IF('Evaluation (2)'!R14&lt;&gt;"",LEFT('Evaluation (2)'!R14,1),"")</f>
        <v/>
      </c>
      <c r="S7" s="684" t="str">
        <f>IF('Evaluation (2)'!S14&lt;&gt;"",LEFT('Evaluation (2)'!S14,1),"")</f>
        <v/>
      </c>
      <c r="T7" s="684" t="str">
        <f>IF('Evaluation (2)'!T14&lt;&gt;"",LEFT('Evaluation (2)'!T14,1),"")</f>
        <v/>
      </c>
      <c r="U7" s="684" t="str">
        <f>IF('Evaluation (2)'!U14&lt;&gt;"",LEFT('Evaluation (2)'!U14,1),"")</f>
        <v/>
      </c>
      <c r="V7" s="684" t="str">
        <f>IF('Evaluation (2)'!V14&lt;&gt;"",LEFT('Evaluation (2)'!V14,1),"")</f>
        <v/>
      </c>
      <c r="W7" s="684" t="str">
        <f>IF('Evaluation (2)'!W14&lt;&gt;"",LEFT('Evaluation (2)'!W14,1),"")</f>
        <v/>
      </c>
      <c r="X7" s="684" t="str">
        <f>IF('Evaluation (2)'!X14&lt;&gt;"",LEFT('Evaluation (2)'!X14,1),"")</f>
        <v/>
      </c>
      <c r="Y7" s="684" t="str">
        <f>IF('Evaluation (2)'!Y14&lt;&gt;"",LEFT('Evaluation (2)'!Y14,1),"")</f>
        <v/>
      </c>
      <c r="Z7" s="684" t="str">
        <f>IF('Evaluation (2)'!Z14&lt;&gt;"",LEFT('Evaluation (2)'!Z14,1),"")</f>
        <v/>
      </c>
      <c r="AA7" s="684" t="str">
        <f>IF('Evaluation (2)'!AA14&lt;&gt;"",LEFT('Evaluation (2)'!AA14,1),"")</f>
        <v/>
      </c>
      <c r="AB7" s="684" t="str">
        <f>IF('Evaluation (2)'!AB14&lt;&gt;"",LEFT('Evaluation (2)'!AB14,1),"")</f>
        <v/>
      </c>
      <c r="AC7" s="684" t="str">
        <f>IF('Evaluation (2)'!AC14&lt;&gt;"",LEFT('Evaluation (2)'!AC14,1),"")</f>
        <v/>
      </c>
      <c r="AD7" s="684" t="str">
        <f>IF('Evaluation (2)'!AD14&lt;&gt;"",LEFT('Evaluation (2)'!AD14,1),"")</f>
        <v/>
      </c>
      <c r="AE7" s="684" t="str">
        <f>IF('Evaluation (2)'!AE14&lt;&gt;"",LEFT('Evaluation (2)'!AE14,1),"")</f>
        <v/>
      </c>
      <c r="AF7" s="684" t="str">
        <f>IF('Evaluation (2)'!AF14&lt;&gt;"",LEFT('Evaluation (2)'!AF14,1),"")</f>
        <v/>
      </c>
      <c r="AG7" s="684" t="str">
        <f>IF('Evaluation (2)'!AG14&lt;&gt;"",LEFT('Evaluation (2)'!AG14,1),"")</f>
        <v/>
      </c>
      <c r="AH7" s="684" t="str">
        <f>IF('Evaluation (2)'!AH14&lt;&gt;"",LEFT('Evaluation (2)'!AH14,1),"")</f>
        <v/>
      </c>
      <c r="AI7" s="684" t="str">
        <f>IF('Evaluation (2)'!AI14&lt;&gt;"",LEFT('Evaluation (2)'!AI14,1),"")</f>
        <v/>
      </c>
      <c r="AJ7" s="685" t="str">
        <f>IF('Evaluation (2)'!AJ14&lt;&gt;"",LEFT('Evaluation (2)'!AJ14,1),"")</f>
        <v/>
      </c>
      <c r="BD7" s="682"/>
      <c r="BE7" s="35">
        <v>4</v>
      </c>
      <c r="BF7" s="683" t="str">
        <f>IF('ARDT Cutter Entry'!C7&lt;&gt;"",'ARDT Cutter Entry'!C7,"")</f>
        <v>X5</v>
      </c>
      <c r="BG7" s="684" t="str">
        <f>IF('ARDT Cutter Entry'!D7&lt;&gt;"",'ARDT Cutter Entry'!D7,"")</f>
        <v>X5</v>
      </c>
      <c r="BH7" s="684" t="str">
        <f>IF('ARDT Cutter Entry'!E7&lt;&gt;"",'ARDT Cutter Entry'!E7,"")</f>
        <v>X5</v>
      </c>
      <c r="BI7" s="684" t="str">
        <f>IF('ARDT Cutter Entry'!F7&lt;&gt;"",'ARDT Cutter Entry'!F7,"")</f>
        <v>X5</v>
      </c>
      <c r="BJ7" s="684" t="str">
        <f>IF('ARDT Cutter Entry'!G7&lt;&gt;"",'ARDT Cutter Entry'!G7,"")</f>
        <v>R</v>
      </c>
      <c r="BK7" s="684" t="str">
        <f>IF('ARDT Cutter Entry'!H7&lt;&gt;"",'ARDT Cutter Entry'!H7,"")</f>
        <v>X</v>
      </c>
      <c r="BL7" s="684" t="str">
        <f>IF('ARDT Cutter Entry'!I7&lt;&gt;"",'ARDT Cutter Entry'!I7,"")</f>
        <v/>
      </c>
      <c r="BM7" s="684" t="str">
        <f>IF('ARDT Cutter Entry'!J7&lt;&gt;"",'ARDT Cutter Entry'!J7,"")</f>
        <v/>
      </c>
      <c r="BN7" s="684" t="str">
        <f>IF('ARDT Cutter Entry'!K7&lt;&gt;"",'ARDT Cutter Entry'!K7,"")</f>
        <v/>
      </c>
      <c r="BO7" s="684" t="str">
        <f>IF('ARDT Cutter Entry'!L7&lt;&gt;"",'ARDT Cutter Entry'!L7,"")</f>
        <v>R</v>
      </c>
      <c r="BP7" s="684" t="str">
        <f>IF('ARDT Cutter Entry'!M7&lt;&gt;"",'ARDT Cutter Entry'!M7,"")</f>
        <v>R</v>
      </c>
      <c r="BQ7" s="684" t="str">
        <f>IF('ARDT Cutter Entry'!N7&lt;&gt;"",'ARDT Cutter Entry'!N7,"")</f>
        <v>R</v>
      </c>
      <c r="BR7" s="684" t="str">
        <f>IF('ARDT Cutter Entry'!O7&lt;&gt;"",'ARDT Cutter Entry'!O7,"")</f>
        <v>S</v>
      </c>
      <c r="BS7" s="684" t="str">
        <f>IF('ARDT Cutter Entry'!P7&lt;&gt;"",'ARDT Cutter Entry'!P7,"")</f>
        <v/>
      </c>
      <c r="BT7" s="684" t="str">
        <f>IF('ARDT Cutter Entry'!Q7&lt;&gt;"",'ARDT Cutter Entry'!Q7,"")</f>
        <v/>
      </c>
      <c r="BU7" s="684" t="str">
        <f>IF('ARDT Cutter Entry'!R7&lt;&gt;"",'ARDT Cutter Entry'!R7,"")</f>
        <v/>
      </c>
      <c r="BV7" s="684" t="str">
        <f>IF('ARDT Cutter Entry'!S7&lt;&gt;"",'ARDT Cutter Entry'!S7,"")</f>
        <v/>
      </c>
      <c r="BW7" s="684" t="str">
        <f>IF('ARDT Cutter Entry'!T7&lt;&gt;"",'ARDT Cutter Entry'!T7,"")</f>
        <v/>
      </c>
      <c r="BX7" s="684" t="str">
        <f>IF('ARDT Cutter Entry'!U7&lt;&gt;"",'ARDT Cutter Entry'!U7,"")</f>
        <v/>
      </c>
      <c r="BY7" s="684" t="str">
        <f>IF('ARDT Cutter Entry'!V7&lt;&gt;"",'ARDT Cutter Entry'!V7,"")</f>
        <v/>
      </c>
      <c r="BZ7" s="684" t="str">
        <f>IF('ARDT Cutter Entry'!W7&lt;&gt;"",'ARDT Cutter Entry'!W7,"")</f>
        <v/>
      </c>
      <c r="CA7" s="684" t="str">
        <f>IF('ARDT Cutter Entry'!X7&lt;&gt;"",'ARDT Cutter Entry'!X7,"")</f>
        <v/>
      </c>
      <c r="CB7" s="684" t="str">
        <f>IF('ARDT Cutter Entry'!Y7&lt;&gt;"",'ARDT Cutter Entry'!Y7,"")</f>
        <v/>
      </c>
      <c r="CC7" s="684" t="str">
        <f>IF('ARDT Cutter Entry'!Z7&lt;&gt;"",'ARDT Cutter Entry'!Z7,"")</f>
        <v/>
      </c>
      <c r="CD7" s="684" t="str">
        <f>IF('ARDT Cutter Entry'!AA7&lt;&gt;"",'ARDT Cutter Entry'!AA7,"")</f>
        <v/>
      </c>
      <c r="CE7" s="684" t="str">
        <f>IF('ARDT Cutter Entry'!AB7&lt;&gt;"",'ARDT Cutter Entry'!AB7,"")</f>
        <v/>
      </c>
      <c r="CF7" s="684" t="str">
        <f>IF('ARDT Cutter Entry'!AC7&lt;&gt;"",'ARDT Cutter Entry'!AC7,"")</f>
        <v/>
      </c>
      <c r="CG7" s="684" t="str">
        <f>IF('ARDT Cutter Entry'!AD7&lt;&gt;"",'ARDT Cutter Entry'!AD7,"")</f>
        <v/>
      </c>
      <c r="CH7" s="684" t="str">
        <f>IF('ARDT Cutter Entry'!AE7&lt;&gt;"",'ARDT Cutter Entry'!AE7,"")</f>
        <v/>
      </c>
      <c r="CI7" s="684" t="str">
        <f>IF('ARDT Cutter Entry'!AF7&lt;&gt;"",'ARDT Cutter Entry'!AF7,"")</f>
        <v/>
      </c>
      <c r="CJ7" s="684" t="str">
        <f>IF('ARDT Cutter Entry'!AG7&lt;&gt;"",'ARDT Cutter Entry'!AG7,"")</f>
        <v/>
      </c>
      <c r="CK7" s="684" t="str">
        <f>IF('ARDT Cutter Entry'!AH7&lt;&gt;"",'ARDT Cutter Entry'!AH7,"")</f>
        <v/>
      </c>
      <c r="CL7" s="685" t="str">
        <f>IF('ARDT Cutter Entry'!AI7&lt;&gt;"",'ARDT Cutter Entry'!AI7,"")</f>
        <v/>
      </c>
    </row>
    <row r="8" spans="1:90" ht="11.15" customHeight="1" x14ac:dyDescent="0.35">
      <c r="A8" s="682"/>
      <c r="B8" s="35">
        <v>5</v>
      </c>
      <c r="C8" s="683" t="str">
        <f>IF('Evaluation (2)'!C15&lt;&gt;"",LEFT('Evaluation (2)'!C15,1),"")</f>
        <v>R</v>
      </c>
      <c r="D8" s="684" t="str">
        <f>IF('Evaluation (2)'!D15&lt;&gt;"",LEFT('Evaluation (2)'!D15,1),"")</f>
        <v>R</v>
      </c>
      <c r="E8" s="684" t="str">
        <f>IF('Evaluation (2)'!E15&lt;&gt;"",LEFT('Evaluation (2)'!E15,1),"")</f>
        <v>X</v>
      </c>
      <c r="F8" s="684" t="str">
        <f>IF('Evaluation (2)'!F15&lt;&gt;"",LEFT('Evaluation (2)'!F15,1),"")</f>
        <v>X</v>
      </c>
      <c r="G8" s="684" t="str">
        <f>IF('Evaluation (2)'!G15&lt;&gt;"",LEFT('Evaluation (2)'!G15,1),"")</f>
        <v>X</v>
      </c>
      <c r="H8" s="684" t="str">
        <f>IF('Evaluation (2)'!H15&lt;&gt;"",LEFT('Evaluation (2)'!H15,1),"")</f>
        <v>X</v>
      </c>
      <c r="I8" s="684" t="str">
        <f>IF('Evaluation (2)'!I15&lt;&gt;"",LEFT('Evaluation (2)'!I15,1),"")</f>
        <v>R</v>
      </c>
      <c r="J8" s="684" t="str">
        <f>IF('Evaluation (2)'!J15&lt;&gt;"",LEFT('Evaluation (2)'!J15,1),"")</f>
        <v>X</v>
      </c>
      <c r="K8" s="684" t="str">
        <f>IF('Evaluation (2)'!K15&lt;&gt;"",LEFT('Evaluation (2)'!K15,1),"")</f>
        <v/>
      </c>
      <c r="L8" s="684" t="str">
        <f>IF('Evaluation (2)'!L15&lt;&gt;"",LEFT('Evaluation (2)'!L15,1),"")</f>
        <v>R</v>
      </c>
      <c r="M8" s="684" t="str">
        <f>IF('Evaluation (2)'!M15&lt;&gt;"",LEFT('Evaluation (2)'!M15,1),"")</f>
        <v>X</v>
      </c>
      <c r="N8" s="684" t="str">
        <f>IF('Evaluation (2)'!N15&lt;&gt;"",LEFT('Evaluation (2)'!N15,1),"")</f>
        <v>R</v>
      </c>
      <c r="O8" s="684" t="str">
        <f>IF('Evaluation (2)'!O15&lt;&gt;"",LEFT('Evaluation (2)'!O15,1),"")</f>
        <v>R</v>
      </c>
      <c r="P8" s="684" t="str">
        <f>IF('Evaluation (2)'!P15&lt;&gt;"",LEFT('Evaluation (2)'!P15,1),"")</f>
        <v/>
      </c>
      <c r="Q8" s="684" t="str">
        <f>IF('Evaluation (2)'!Q15&lt;&gt;"",LEFT('Evaluation (2)'!Q15,1),"")</f>
        <v/>
      </c>
      <c r="R8" s="684" t="str">
        <f>IF('Evaluation (2)'!R15&lt;&gt;"",LEFT('Evaluation (2)'!R15,1),"")</f>
        <v/>
      </c>
      <c r="S8" s="684" t="str">
        <f>IF('Evaluation (2)'!S15&lt;&gt;"",LEFT('Evaluation (2)'!S15,1),"")</f>
        <v/>
      </c>
      <c r="T8" s="684" t="str">
        <f>IF('Evaluation (2)'!T15&lt;&gt;"",LEFT('Evaluation (2)'!T15,1),"")</f>
        <v/>
      </c>
      <c r="U8" s="684" t="str">
        <f>IF('Evaluation (2)'!U15&lt;&gt;"",LEFT('Evaluation (2)'!U15,1),"")</f>
        <v/>
      </c>
      <c r="V8" s="684" t="str">
        <f>IF('Evaluation (2)'!V15&lt;&gt;"",LEFT('Evaluation (2)'!V15,1),"")</f>
        <v/>
      </c>
      <c r="W8" s="684" t="str">
        <f>IF('Evaluation (2)'!W15&lt;&gt;"",LEFT('Evaluation (2)'!W15,1),"")</f>
        <v/>
      </c>
      <c r="X8" s="684" t="str">
        <f>IF('Evaluation (2)'!X15&lt;&gt;"",LEFT('Evaluation (2)'!X15,1),"")</f>
        <v/>
      </c>
      <c r="Y8" s="684" t="str">
        <f>IF('Evaluation (2)'!Y15&lt;&gt;"",LEFT('Evaluation (2)'!Y15,1),"")</f>
        <v/>
      </c>
      <c r="Z8" s="684" t="str">
        <f>IF('Evaluation (2)'!Z15&lt;&gt;"",LEFT('Evaluation (2)'!Z15,1),"")</f>
        <v/>
      </c>
      <c r="AA8" s="684" t="str">
        <f>IF('Evaluation (2)'!AA15&lt;&gt;"",LEFT('Evaluation (2)'!AA15,1),"")</f>
        <v/>
      </c>
      <c r="AB8" s="684" t="str">
        <f>IF('Evaluation (2)'!AB15&lt;&gt;"",LEFT('Evaluation (2)'!AB15,1),"")</f>
        <v/>
      </c>
      <c r="AC8" s="684" t="str">
        <f>IF('Evaluation (2)'!AC15&lt;&gt;"",LEFT('Evaluation (2)'!AC15,1),"")</f>
        <v/>
      </c>
      <c r="AD8" s="684" t="str">
        <f>IF('Evaluation (2)'!AD15&lt;&gt;"",LEFT('Evaluation (2)'!AD15,1),"")</f>
        <v/>
      </c>
      <c r="AE8" s="684" t="str">
        <f>IF('Evaluation (2)'!AE15&lt;&gt;"",LEFT('Evaluation (2)'!AE15,1),"")</f>
        <v/>
      </c>
      <c r="AF8" s="684" t="str">
        <f>IF('Evaluation (2)'!AF15&lt;&gt;"",LEFT('Evaluation (2)'!AF15,1),"")</f>
        <v/>
      </c>
      <c r="AG8" s="684" t="str">
        <f>IF('Evaluation (2)'!AG15&lt;&gt;"",LEFT('Evaluation (2)'!AG15,1),"")</f>
        <v/>
      </c>
      <c r="AH8" s="684" t="str">
        <f>IF('Evaluation (2)'!AH15&lt;&gt;"",LEFT('Evaluation (2)'!AH15,1),"")</f>
        <v/>
      </c>
      <c r="AI8" s="684" t="str">
        <f>IF('Evaluation (2)'!AI15&lt;&gt;"",LEFT('Evaluation (2)'!AI15,1),"")</f>
        <v/>
      </c>
      <c r="AJ8" s="685" t="str">
        <f>IF('Evaluation (2)'!AJ15&lt;&gt;"",LEFT('Evaluation (2)'!AJ15,1),"")</f>
        <v/>
      </c>
      <c r="BD8" s="682"/>
      <c r="BE8" s="35">
        <v>5</v>
      </c>
      <c r="BF8" s="683" t="str">
        <f>IF('ARDT Cutter Entry'!C8&lt;&gt;"",'ARDT Cutter Entry'!C8,"")</f>
        <v>R</v>
      </c>
      <c r="BG8" s="684" t="str">
        <f>IF('ARDT Cutter Entry'!D8&lt;&gt;"",'ARDT Cutter Entry'!D8,"")</f>
        <v>R</v>
      </c>
      <c r="BH8" s="684" t="str">
        <f>IF('ARDT Cutter Entry'!E8&lt;&gt;"",'ARDT Cutter Entry'!E8,"")</f>
        <v>X5</v>
      </c>
      <c r="BI8" s="684" t="str">
        <f>IF('ARDT Cutter Entry'!F8&lt;&gt;"",'ARDT Cutter Entry'!F8,"")</f>
        <v>X5</v>
      </c>
      <c r="BJ8" s="684" t="str">
        <f>IF('ARDT Cutter Entry'!G8&lt;&gt;"",'ARDT Cutter Entry'!G8,"")</f>
        <v>X5</v>
      </c>
      <c r="BK8" s="684" t="str">
        <f>IF('ARDT Cutter Entry'!H8&lt;&gt;"",'ARDT Cutter Entry'!H8,"")</f>
        <v>X5</v>
      </c>
      <c r="BL8" s="684" t="str">
        <f>IF('ARDT Cutter Entry'!I8&lt;&gt;"",'ARDT Cutter Entry'!I8,"")</f>
        <v>R</v>
      </c>
      <c r="BM8" s="684" t="str">
        <f>IF('ARDT Cutter Entry'!J8&lt;&gt;"",'ARDT Cutter Entry'!J8,"")</f>
        <v>X</v>
      </c>
      <c r="BN8" s="684" t="str">
        <f>IF('ARDT Cutter Entry'!K8&lt;&gt;"",'ARDT Cutter Entry'!K8,"")</f>
        <v/>
      </c>
      <c r="BO8" s="684" t="str">
        <f>IF('ARDT Cutter Entry'!L8&lt;&gt;"",'ARDT Cutter Entry'!L8,"")</f>
        <v>R</v>
      </c>
      <c r="BP8" s="684" t="str">
        <f>IF('ARDT Cutter Entry'!M8&lt;&gt;"",'ARDT Cutter Entry'!M8,"")</f>
        <v>X4</v>
      </c>
      <c r="BQ8" s="684" t="str">
        <f>IF('ARDT Cutter Entry'!N8&lt;&gt;"",'ARDT Cutter Entry'!N8,"")</f>
        <v>R</v>
      </c>
      <c r="BR8" s="684" t="str">
        <f>IF('ARDT Cutter Entry'!O8&lt;&gt;"",'ARDT Cutter Entry'!O8,"")</f>
        <v>R</v>
      </c>
      <c r="BS8" s="684" t="str">
        <f>IF('ARDT Cutter Entry'!P8&lt;&gt;"",'ARDT Cutter Entry'!P8,"")</f>
        <v/>
      </c>
      <c r="BT8" s="684" t="str">
        <f>IF('ARDT Cutter Entry'!Q8&lt;&gt;"",'ARDT Cutter Entry'!Q8,"")</f>
        <v/>
      </c>
      <c r="BU8" s="684" t="str">
        <f>IF('ARDT Cutter Entry'!R8&lt;&gt;"",'ARDT Cutter Entry'!R8,"")</f>
        <v/>
      </c>
      <c r="BV8" s="684" t="str">
        <f>IF('ARDT Cutter Entry'!S8&lt;&gt;"",'ARDT Cutter Entry'!S8,"")</f>
        <v/>
      </c>
      <c r="BW8" s="684" t="str">
        <f>IF('ARDT Cutter Entry'!T8&lt;&gt;"",'ARDT Cutter Entry'!T8,"")</f>
        <v/>
      </c>
      <c r="BX8" s="684" t="str">
        <f>IF('ARDT Cutter Entry'!U8&lt;&gt;"",'ARDT Cutter Entry'!U8,"")</f>
        <v/>
      </c>
      <c r="BY8" s="684" t="str">
        <f>IF('ARDT Cutter Entry'!V8&lt;&gt;"",'ARDT Cutter Entry'!V8,"")</f>
        <v/>
      </c>
      <c r="BZ8" s="684" t="str">
        <f>IF('ARDT Cutter Entry'!W8&lt;&gt;"",'ARDT Cutter Entry'!W8,"")</f>
        <v/>
      </c>
      <c r="CA8" s="684" t="str">
        <f>IF('ARDT Cutter Entry'!X8&lt;&gt;"",'ARDT Cutter Entry'!X8,"")</f>
        <v/>
      </c>
      <c r="CB8" s="684" t="str">
        <f>IF('ARDT Cutter Entry'!Y8&lt;&gt;"",'ARDT Cutter Entry'!Y8,"")</f>
        <v/>
      </c>
      <c r="CC8" s="684" t="str">
        <f>IF('ARDT Cutter Entry'!Z8&lt;&gt;"",'ARDT Cutter Entry'!Z8,"")</f>
        <v/>
      </c>
      <c r="CD8" s="684" t="str">
        <f>IF('ARDT Cutter Entry'!AA8&lt;&gt;"",'ARDT Cutter Entry'!AA8,"")</f>
        <v/>
      </c>
      <c r="CE8" s="684" t="str">
        <f>IF('ARDT Cutter Entry'!AB8&lt;&gt;"",'ARDT Cutter Entry'!AB8,"")</f>
        <v/>
      </c>
      <c r="CF8" s="684" t="str">
        <f>IF('ARDT Cutter Entry'!AC8&lt;&gt;"",'ARDT Cutter Entry'!AC8,"")</f>
        <v/>
      </c>
      <c r="CG8" s="684" t="str">
        <f>IF('ARDT Cutter Entry'!AD8&lt;&gt;"",'ARDT Cutter Entry'!AD8,"")</f>
        <v/>
      </c>
      <c r="CH8" s="684" t="str">
        <f>IF('ARDT Cutter Entry'!AE8&lt;&gt;"",'ARDT Cutter Entry'!AE8,"")</f>
        <v/>
      </c>
      <c r="CI8" s="684" t="str">
        <f>IF('ARDT Cutter Entry'!AF8&lt;&gt;"",'ARDT Cutter Entry'!AF8,"")</f>
        <v/>
      </c>
      <c r="CJ8" s="684" t="str">
        <f>IF('ARDT Cutter Entry'!AG8&lt;&gt;"",'ARDT Cutter Entry'!AG8,"")</f>
        <v/>
      </c>
      <c r="CK8" s="684" t="str">
        <f>IF('ARDT Cutter Entry'!AH8&lt;&gt;"",'ARDT Cutter Entry'!AH8,"")</f>
        <v/>
      </c>
      <c r="CL8" s="685" t="str">
        <f>IF('ARDT Cutter Entry'!AI8&lt;&gt;"",'ARDT Cutter Entry'!AI8,"")</f>
        <v/>
      </c>
    </row>
    <row r="9" spans="1:90" ht="11.15" customHeight="1" x14ac:dyDescent="0.35">
      <c r="A9" s="682"/>
      <c r="B9" s="35">
        <v>6</v>
      </c>
      <c r="C9" s="683" t="str">
        <f>IF('Evaluation (2)'!C16&lt;&gt;"",LEFT('Evaluation (2)'!C16,1),"")</f>
        <v>X</v>
      </c>
      <c r="D9" s="684" t="str">
        <f>IF('Evaluation (2)'!D16&lt;&gt;"",LEFT('Evaluation (2)'!D16,1),"")</f>
        <v>X</v>
      </c>
      <c r="E9" s="684" t="str">
        <f>IF('Evaluation (2)'!E16&lt;&gt;"",LEFT('Evaluation (2)'!E16,1),"")</f>
        <v>X</v>
      </c>
      <c r="F9" s="684" t="str">
        <f>IF('Evaluation (2)'!F16&lt;&gt;"",LEFT('Evaluation (2)'!F16,1),"")</f>
        <v>R</v>
      </c>
      <c r="G9" s="684" t="str">
        <f>IF('Evaluation (2)'!G16&lt;&gt;"",LEFT('Evaluation (2)'!G16,1),"")</f>
        <v>X</v>
      </c>
      <c r="H9" s="684" t="str">
        <f>IF('Evaluation (2)'!H16&lt;&gt;"",LEFT('Evaluation (2)'!H16,1),"")</f>
        <v/>
      </c>
      <c r="I9" s="684" t="str">
        <f>IF('Evaluation (2)'!I16&lt;&gt;"",LEFT('Evaluation (2)'!I16,1),"")</f>
        <v/>
      </c>
      <c r="J9" s="684" t="str">
        <f>IF('Evaluation (2)'!J16&lt;&gt;"",LEFT('Evaluation (2)'!J16,1),"")</f>
        <v/>
      </c>
      <c r="K9" s="684" t="str">
        <f>IF('Evaluation (2)'!K16&lt;&gt;"",LEFT('Evaluation (2)'!K16,1),"")</f>
        <v/>
      </c>
      <c r="L9" s="684" t="str">
        <f>IF('Evaluation (2)'!L16&lt;&gt;"",LEFT('Evaluation (2)'!L16,1),"")</f>
        <v>S</v>
      </c>
      <c r="M9" s="684" t="str">
        <f>IF('Evaluation (2)'!M16&lt;&gt;"",LEFT('Evaluation (2)'!M16,1),"")</f>
        <v>R</v>
      </c>
      <c r="N9" s="684" t="str">
        <f>IF('Evaluation (2)'!N16&lt;&gt;"",LEFT('Evaluation (2)'!N16,1),"")</f>
        <v>R</v>
      </c>
      <c r="O9" s="684" t="str">
        <f>IF('Evaluation (2)'!O16&lt;&gt;"",LEFT('Evaluation (2)'!O16,1),"")</f>
        <v>R</v>
      </c>
      <c r="P9" s="684" t="str">
        <f>IF('Evaluation (2)'!P16&lt;&gt;"",LEFT('Evaluation (2)'!P16,1),"")</f>
        <v/>
      </c>
      <c r="Q9" s="684" t="str">
        <f>IF('Evaluation (2)'!Q16&lt;&gt;"",LEFT('Evaluation (2)'!Q16,1),"")</f>
        <v/>
      </c>
      <c r="R9" s="684" t="str">
        <f>IF('Evaluation (2)'!R16&lt;&gt;"",LEFT('Evaluation (2)'!R16,1),"")</f>
        <v/>
      </c>
      <c r="S9" s="684" t="str">
        <f>IF('Evaluation (2)'!S16&lt;&gt;"",LEFT('Evaluation (2)'!S16,1),"")</f>
        <v/>
      </c>
      <c r="T9" s="684" t="str">
        <f>IF('Evaluation (2)'!T16&lt;&gt;"",LEFT('Evaluation (2)'!T16,1),"")</f>
        <v/>
      </c>
      <c r="U9" s="684" t="str">
        <f>IF('Evaluation (2)'!U16&lt;&gt;"",LEFT('Evaluation (2)'!U16,1),"")</f>
        <v/>
      </c>
      <c r="V9" s="684" t="str">
        <f>IF('Evaluation (2)'!V16&lt;&gt;"",LEFT('Evaluation (2)'!V16,1),"")</f>
        <v/>
      </c>
      <c r="W9" s="684" t="str">
        <f>IF('Evaluation (2)'!W16&lt;&gt;"",LEFT('Evaluation (2)'!W16,1),"")</f>
        <v/>
      </c>
      <c r="X9" s="684" t="str">
        <f>IF('Evaluation (2)'!X16&lt;&gt;"",LEFT('Evaluation (2)'!X16,1),"")</f>
        <v/>
      </c>
      <c r="Y9" s="684" t="str">
        <f>IF('Evaluation (2)'!Y16&lt;&gt;"",LEFT('Evaluation (2)'!Y16,1),"")</f>
        <v/>
      </c>
      <c r="Z9" s="684" t="str">
        <f>IF('Evaluation (2)'!Z16&lt;&gt;"",LEFT('Evaluation (2)'!Z16,1),"")</f>
        <v/>
      </c>
      <c r="AA9" s="684" t="str">
        <f>IF('Evaluation (2)'!AA16&lt;&gt;"",LEFT('Evaluation (2)'!AA16,1),"")</f>
        <v/>
      </c>
      <c r="AB9" s="684" t="str">
        <f>IF('Evaluation (2)'!AB16&lt;&gt;"",LEFT('Evaluation (2)'!AB16,1),"")</f>
        <v/>
      </c>
      <c r="AC9" s="684" t="str">
        <f>IF('Evaluation (2)'!AC16&lt;&gt;"",LEFT('Evaluation (2)'!AC16,1),"")</f>
        <v/>
      </c>
      <c r="AD9" s="684" t="str">
        <f>IF('Evaluation (2)'!AD16&lt;&gt;"",LEFT('Evaluation (2)'!AD16,1),"")</f>
        <v/>
      </c>
      <c r="AE9" s="684" t="str">
        <f>IF('Evaluation (2)'!AE16&lt;&gt;"",LEFT('Evaluation (2)'!AE16,1),"")</f>
        <v/>
      </c>
      <c r="AF9" s="684" t="str">
        <f>IF('Evaluation (2)'!AF16&lt;&gt;"",LEFT('Evaluation (2)'!AF16,1),"")</f>
        <v/>
      </c>
      <c r="AG9" s="684" t="str">
        <f>IF('Evaluation (2)'!AG16&lt;&gt;"",LEFT('Evaluation (2)'!AG16,1),"")</f>
        <v/>
      </c>
      <c r="AH9" s="684" t="str">
        <f>IF('Evaluation (2)'!AH16&lt;&gt;"",LEFT('Evaluation (2)'!AH16,1),"")</f>
        <v/>
      </c>
      <c r="AI9" s="684" t="str">
        <f>IF('Evaluation (2)'!AI16&lt;&gt;"",LEFT('Evaluation (2)'!AI16,1),"")</f>
        <v/>
      </c>
      <c r="AJ9" s="685" t="str">
        <f>IF('Evaluation (2)'!AJ16&lt;&gt;"",LEFT('Evaluation (2)'!AJ16,1),"")</f>
        <v/>
      </c>
      <c r="BD9" s="682"/>
      <c r="BE9" s="35">
        <v>6</v>
      </c>
      <c r="BF9" s="683" t="str">
        <f>IF('ARDT Cutter Entry'!C9&lt;&gt;"",'ARDT Cutter Entry'!C9,"")</f>
        <v>X5</v>
      </c>
      <c r="BG9" s="684" t="str">
        <f>IF('ARDT Cutter Entry'!D9&lt;&gt;"",'ARDT Cutter Entry'!D9,"")</f>
        <v>X5</v>
      </c>
      <c r="BH9" s="684" t="str">
        <f>IF('ARDT Cutter Entry'!E9&lt;&gt;"",'ARDT Cutter Entry'!E9,"")</f>
        <v>X5</v>
      </c>
      <c r="BI9" s="684" t="str">
        <f>IF('ARDT Cutter Entry'!F9&lt;&gt;"",'ARDT Cutter Entry'!F9,"")</f>
        <v>R</v>
      </c>
      <c r="BJ9" s="684" t="str">
        <f>IF('ARDT Cutter Entry'!G9&lt;&gt;"",'ARDT Cutter Entry'!G9,"")</f>
        <v>X</v>
      </c>
      <c r="BK9" s="684" t="str">
        <f>IF('ARDT Cutter Entry'!H9&lt;&gt;"",'ARDT Cutter Entry'!H9,"")</f>
        <v/>
      </c>
      <c r="BL9" s="684" t="str">
        <f>IF('ARDT Cutter Entry'!I9&lt;&gt;"",'ARDT Cutter Entry'!I9,"")</f>
        <v/>
      </c>
      <c r="BM9" s="684" t="str">
        <f>IF('ARDT Cutter Entry'!J9&lt;&gt;"",'ARDT Cutter Entry'!J9,"")</f>
        <v/>
      </c>
      <c r="BN9" s="684" t="str">
        <f>IF('ARDT Cutter Entry'!K9&lt;&gt;"",'ARDT Cutter Entry'!K9,"")</f>
        <v/>
      </c>
      <c r="BO9" s="684" t="str">
        <f>IF('ARDT Cutter Entry'!L9&lt;&gt;"",'ARDT Cutter Entry'!L9,"")</f>
        <v>S</v>
      </c>
      <c r="BP9" s="684" t="str">
        <f>IF('ARDT Cutter Entry'!M9&lt;&gt;"",'ARDT Cutter Entry'!M9,"")</f>
        <v>R</v>
      </c>
      <c r="BQ9" s="684" t="str">
        <f>IF('ARDT Cutter Entry'!N9&lt;&gt;"",'ARDT Cutter Entry'!N9,"")</f>
        <v>R</v>
      </c>
      <c r="BR9" s="684" t="str">
        <f>IF('ARDT Cutter Entry'!O9&lt;&gt;"",'ARDT Cutter Entry'!O9,"")</f>
        <v>R</v>
      </c>
      <c r="BS9" s="684" t="str">
        <f>IF('ARDT Cutter Entry'!P9&lt;&gt;"",'ARDT Cutter Entry'!P9,"")</f>
        <v/>
      </c>
      <c r="BT9" s="684" t="str">
        <f>IF('ARDT Cutter Entry'!Q9&lt;&gt;"",'ARDT Cutter Entry'!Q9,"")</f>
        <v/>
      </c>
      <c r="BU9" s="684" t="str">
        <f>IF('ARDT Cutter Entry'!R9&lt;&gt;"",'ARDT Cutter Entry'!R9,"")</f>
        <v/>
      </c>
      <c r="BV9" s="684" t="str">
        <f>IF('ARDT Cutter Entry'!S9&lt;&gt;"",'ARDT Cutter Entry'!S9,"")</f>
        <v/>
      </c>
      <c r="BW9" s="684" t="str">
        <f>IF('ARDT Cutter Entry'!T9&lt;&gt;"",'ARDT Cutter Entry'!T9,"")</f>
        <v/>
      </c>
      <c r="BX9" s="684" t="str">
        <f>IF('ARDT Cutter Entry'!U9&lt;&gt;"",'ARDT Cutter Entry'!U9,"")</f>
        <v/>
      </c>
      <c r="BY9" s="684" t="str">
        <f>IF('ARDT Cutter Entry'!V9&lt;&gt;"",'ARDT Cutter Entry'!V9,"")</f>
        <v/>
      </c>
      <c r="BZ9" s="684" t="str">
        <f>IF('ARDT Cutter Entry'!W9&lt;&gt;"",'ARDT Cutter Entry'!W9,"")</f>
        <v/>
      </c>
      <c r="CA9" s="684" t="str">
        <f>IF('ARDT Cutter Entry'!X9&lt;&gt;"",'ARDT Cutter Entry'!X9,"")</f>
        <v/>
      </c>
      <c r="CB9" s="684" t="str">
        <f>IF('ARDT Cutter Entry'!Y9&lt;&gt;"",'ARDT Cutter Entry'!Y9,"")</f>
        <v/>
      </c>
      <c r="CC9" s="684" t="str">
        <f>IF('ARDT Cutter Entry'!Z9&lt;&gt;"",'ARDT Cutter Entry'!Z9,"")</f>
        <v/>
      </c>
      <c r="CD9" s="684" t="str">
        <f>IF('ARDT Cutter Entry'!AA9&lt;&gt;"",'ARDT Cutter Entry'!AA9,"")</f>
        <v/>
      </c>
      <c r="CE9" s="684" t="str">
        <f>IF('ARDT Cutter Entry'!AB9&lt;&gt;"",'ARDT Cutter Entry'!AB9,"")</f>
        <v/>
      </c>
      <c r="CF9" s="684" t="str">
        <f>IF('ARDT Cutter Entry'!AC9&lt;&gt;"",'ARDT Cutter Entry'!AC9,"")</f>
        <v/>
      </c>
      <c r="CG9" s="684" t="str">
        <f>IF('ARDT Cutter Entry'!AD9&lt;&gt;"",'ARDT Cutter Entry'!AD9,"")</f>
        <v/>
      </c>
      <c r="CH9" s="684" t="str">
        <f>IF('ARDT Cutter Entry'!AE9&lt;&gt;"",'ARDT Cutter Entry'!AE9,"")</f>
        <v/>
      </c>
      <c r="CI9" s="684" t="str">
        <f>IF('ARDT Cutter Entry'!AF9&lt;&gt;"",'ARDT Cutter Entry'!AF9,"")</f>
        <v/>
      </c>
      <c r="CJ9" s="684" t="str">
        <f>IF('ARDT Cutter Entry'!AG9&lt;&gt;"",'ARDT Cutter Entry'!AG9,"")</f>
        <v/>
      </c>
      <c r="CK9" s="684" t="str">
        <f>IF('ARDT Cutter Entry'!AH9&lt;&gt;"",'ARDT Cutter Entry'!AH9,"")</f>
        <v/>
      </c>
      <c r="CL9" s="685" t="str">
        <f>IF('ARDT Cutter Entry'!AI9&lt;&gt;"",'ARDT Cutter Entry'!AI9,"")</f>
        <v/>
      </c>
    </row>
    <row r="10" spans="1:90" ht="11.15" customHeight="1" x14ac:dyDescent="0.35">
      <c r="A10" s="682"/>
      <c r="B10" s="35">
        <v>7</v>
      </c>
      <c r="C10" s="683" t="str">
        <f>IF('Evaluation (2)'!C17&lt;&gt;"",LEFT('Evaluation (2)'!C17,1),"")</f>
        <v/>
      </c>
      <c r="D10" s="684" t="str">
        <f>IF('Evaluation (2)'!D17&lt;&gt;"",LEFT('Evaluation (2)'!D17,1),"")</f>
        <v/>
      </c>
      <c r="E10" s="684" t="str">
        <f>IF('Evaluation (2)'!E17&lt;&gt;"",LEFT('Evaluation (2)'!E17,1),"")</f>
        <v/>
      </c>
      <c r="F10" s="684" t="str">
        <f>IF('Evaluation (2)'!F17&lt;&gt;"",LEFT('Evaluation (2)'!F17,1),"")</f>
        <v/>
      </c>
      <c r="G10" s="684" t="str">
        <f>IF('Evaluation (2)'!G17&lt;&gt;"",LEFT('Evaluation (2)'!G17,1),"")</f>
        <v/>
      </c>
      <c r="H10" s="684" t="str">
        <f>IF('Evaluation (2)'!H17&lt;&gt;"",LEFT('Evaluation (2)'!H17,1),"")</f>
        <v/>
      </c>
      <c r="I10" s="684" t="str">
        <f>IF('Evaluation (2)'!I17&lt;&gt;"",LEFT('Evaluation (2)'!I17,1),"")</f>
        <v/>
      </c>
      <c r="J10" s="684" t="str">
        <f>IF('Evaluation (2)'!J17&lt;&gt;"",LEFT('Evaluation (2)'!J17,1),"")</f>
        <v/>
      </c>
      <c r="K10" s="684" t="str">
        <f>IF('Evaluation (2)'!K17&lt;&gt;"",LEFT('Evaluation (2)'!K17,1),"")</f>
        <v/>
      </c>
      <c r="L10" s="684" t="str">
        <f>IF('Evaluation (2)'!L17&lt;&gt;"",LEFT('Evaluation (2)'!L17,1),"")</f>
        <v/>
      </c>
      <c r="M10" s="684" t="str">
        <f>IF('Evaluation (2)'!M17&lt;&gt;"",LEFT('Evaluation (2)'!M17,1),"")</f>
        <v/>
      </c>
      <c r="N10" s="684" t="str">
        <f>IF('Evaluation (2)'!N17&lt;&gt;"",LEFT('Evaluation (2)'!N17,1),"")</f>
        <v/>
      </c>
      <c r="O10" s="684" t="str">
        <f>IF('Evaluation (2)'!O17&lt;&gt;"",LEFT('Evaluation (2)'!O17,1),"")</f>
        <v/>
      </c>
      <c r="P10" s="684" t="str">
        <f>IF('Evaluation (2)'!P17&lt;&gt;"",LEFT('Evaluation (2)'!P17,1),"")</f>
        <v/>
      </c>
      <c r="Q10" s="684" t="str">
        <f>IF('Evaluation (2)'!Q17&lt;&gt;"",LEFT('Evaluation (2)'!Q17,1),"")</f>
        <v/>
      </c>
      <c r="R10" s="684" t="str">
        <f>IF('Evaluation (2)'!R17&lt;&gt;"",LEFT('Evaluation (2)'!R17,1),"")</f>
        <v/>
      </c>
      <c r="S10" s="684" t="str">
        <f>IF('Evaluation (2)'!S17&lt;&gt;"",LEFT('Evaluation (2)'!S17,1),"")</f>
        <v/>
      </c>
      <c r="T10" s="684" t="str">
        <f>IF('Evaluation (2)'!T17&lt;&gt;"",LEFT('Evaluation (2)'!T17,1),"")</f>
        <v/>
      </c>
      <c r="U10" s="684" t="str">
        <f>IF('Evaluation (2)'!U17&lt;&gt;"",LEFT('Evaluation (2)'!U17,1),"")</f>
        <v/>
      </c>
      <c r="V10" s="684" t="str">
        <f>IF('Evaluation (2)'!V17&lt;&gt;"",LEFT('Evaluation (2)'!V17,1),"")</f>
        <v/>
      </c>
      <c r="W10" s="684" t="str">
        <f>IF('Evaluation (2)'!W17&lt;&gt;"",LEFT('Evaluation (2)'!W17,1),"")</f>
        <v/>
      </c>
      <c r="X10" s="684" t="str">
        <f>IF('Evaluation (2)'!X17&lt;&gt;"",LEFT('Evaluation (2)'!X17,1),"")</f>
        <v/>
      </c>
      <c r="Y10" s="684" t="str">
        <f>IF('Evaluation (2)'!Y17&lt;&gt;"",LEFT('Evaluation (2)'!Y17,1),"")</f>
        <v/>
      </c>
      <c r="Z10" s="684" t="str">
        <f>IF('Evaluation (2)'!Z17&lt;&gt;"",LEFT('Evaluation (2)'!Z17,1),"")</f>
        <v/>
      </c>
      <c r="AA10" s="684" t="str">
        <f>IF('Evaluation (2)'!AA17&lt;&gt;"",LEFT('Evaluation (2)'!AA17,1),"")</f>
        <v/>
      </c>
      <c r="AB10" s="684" t="str">
        <f>IF('Evaluation (2)'!AB17&lt;&gt;"",LEFT('Evaluation (2)'!AB17,1),"")</f>
        <v/>
      </c>
      <c r="AC10" s="684" t="str">
        <f>IF('Evaluation (2)'!AC17&lt;&gt;"",LEFT('Evaluation (2)'!AC17,1),"")</f>
        <v/>
      </c>
      <c r="AD10" s="684" t="str">
        <f>IF('Evaluation (2)'!AD17&lt;&gt;"",LEFT('Evaluation (2)'!AD17,1),"")</f>
        <v/>
      </c>
      <c r="AE10" s="684" t="str">
        <f>IF('Evaluation (2)'!AE17&lt;&gt;"",LEFT('Evaluation (2)'!AE17,1),"")</f>
        <v/>
      </c>
      <c r="AF10" s="684" t="str">
        <f>IF('Evaluation (2)'!AF17&lt;&gt;"",LEFT('Evaluation (2)'!AF17,1),"")</f>
        <v/>
      </c>
      <c r="AG10" s="684" t="str">
        <f>IF('Evaluation (2)'!AG17&lt;&gt;"",LEFT('Evaluation (2)'!AG17,1),"")</f>
        <v/>
      </c>
      <c r="AH10" s="684" t="str">
        <f>IF('Evaluation (2)'!AH17&lt;&gt;"",LEFT('Evaluation (2)'!AH17,1),"")</f>
        <v/>
      </c>
      <c r="AI10" s="684" t="str">
        <f>IF('Evaluation (2)'!AI17&lt;&gt;"",LEFT('Evaluation (2)'!AI17,1),"")</f>
        <v/>
      </c>
      <c r="AJ10" s="685" t="str">
        <f>IF('Evaluation (2)'!AJ17&lt;&gt;"",LEFT('Evaluation (2)'!AJ17,1),"")</f>
        <v/>
      </c>
      <c r="BD10" s="682"/>
      <c r="BE10" s="35">
        <v>7</v>
      </c>
      <c r="BF10" s="683" t="str">
        <f>IF('ARDT Cutter Entry'!C10&lt;&gt;"",'ARDT Cutter Entry'!C10,"")</f>
        <v/>
      </c>
      <c r="BG10" s="684" t="str">
        <f>IF('ARDT Cutter Entry'!D10&lt;&gt;"",'ARDT Cutter Entry'!D10,"")</f>
        <v/>
      </c>
      <c r="BH10" s="684" t="str">
        <f>IF('ARDT Cutter Entry'!E10&lt;&gt;"",'ARDT Cutter Entry'!E10,"")</f>
        <v/>
      </c>
      <c r="BI10" s="684" t="str">
        <f>IF('ARDT Cutter Entry'!F10&lt;&gt;"",'ARDT Cutter Entry'!F10,"")</f>
        <v/>
      </c>
      <c r="BJ10" s="684" t="str">
        <f>IF('ARDT Cutter Entry'!G10&lt;&gt;"",'ARDT Cutter Entry'!G10,"")</f>
        <v/>
      </c>
      <c r="BK10" s="684" t="str">
        <f>IF('ARDT Cutter Entry'!H10&lt;&gt;"",'ARDT Cutter Entry'!H10,"")</f>
        <v/>
      </c>
      <c r="BL10" s="684" t="str">
        <f>IF('ARDT Cutter Entry'!I10&lt;&gt;"",'ARDT Cutter Entry'!I10,"")</f>
        <v/>
      </c>
      <c r="BM10" s="684" t="str">
        <f>IF('ARDT Cutter Entry'!J10&lt;&gt;"",'ARDT Cutter Entry'!J10,"")</f>
        <v/>
      </c>
      <c r="BN10" s="684" t="str">
        <f>IF('ARDT Cutter Entry'!K10&lt;&gt;"",'ARDT Cutter Entry'!K10,"")</f>
        <v/>
      </c>
      <c r="BO10" s="684" t="str">
        <f>IF('ARDT Cutter Entry'!L10&lt;&gt;"",'ARDT Cutter Entry'!L10,"")</f>
        <v/>
      </c>
      <c r="BP10" s="684" t="str">
        <f>IF('ARDT Cutter Entry'!M10&lt;&gt;"",'ARDT Cutter Entry'!M10,"")</f>
        <v/>
      </c>
      <c r="BQ10" s="684" t="str">
        <f>IF('ARDT Cutter Entry'!N10&lt;&gt;"",'ARDT Cutter Entry'!N10,"")</f>
        <v/>
      </c>
      <c r="BR10" s="684" t="str">
        <f>IF('ARDT Cutter Entry'!O10&lt;&gt;"",'ARDT Cutter Entry'!O10,"")</f>
        <v/>
      </c>
      <c r="BS10" s="684" t="str">
        <f>IF('ARDT Cutter Entry'!P10&lt;&gt;"",'ARDT Cutter Entry'!P10,"")</f>
        <v/>
      </c>
      <c r="BT10" s="684" t="str">
        <f>IF('ARDT Cutter Entry'!Q10&lt;&gt;"",'ARDT Cutter Entry'!Q10,"")</f>
        <v/>
      </c>
      <c r="BU10" s="684" t="str">
        <f>IF('ARDT Cutter Entry'!R10&lt;&gt;"",'ARDT Cutter Entry'!R10,"")</f>
        <v/>
      </c>
      <c r="BV10" s="684" t="str">
        <f>IF('ARDT Cutter Entry'!S10&lt;&gt;"",'ARDT Cutter Entry'!S10,"")</f>
        <v/>
      </c>
      <c r="BW10" s="684" t="str">
        <f>IF('ARDT Cutter Entry'!T10&lt;&gt;"",'ARDT Cutter Entry'!T10,"")</f>
        <v/>
      </c>
      <c r="BX10" s="684" t="str">
        <f>IF('ARDT Cutter Entry'!U10&lt;&gt;"",'ARDT Cutter Entry'!U10,"")</f>
        <v/>
      </c>
      <c r="BY10" s="684" t="str">
        <f>IF('ARDT Cutter Entry'!V10&lt;&gt;"",'ARDT Cutter Entry'!V10,"")</f>
        <v/>
      </c>
      <c r="BZ10" s="684" t="str">
        <f>IF('ARDT Cutter Entry'!W10&lt;&gt;"",'ARDT Cutter Entry'!W10,"")</f>
        <v/>
      </c>
      <c r="CA10" s="684" t="str">
        <f>IF('ARDT Cutter Entry'!X10&lt;&gt;"",'ARDT Cutter Entry'!X10,"")</f>
        <v/>
      </c>
      <c r="CB10" s="684" t="str">
        <f>IF('ARDT Cutter Entry'!Y10&lt;&gt;"",'ARDT Cutter Entry'!Y10,"")</f>
        <v/>
      </c>
      <c r="CC10" s="684" t="str">
        <f>IF('ARDT Cutter Entry'!Z10&lt;&gt;"",'ARDT Cutter Entry'!Z10,"")</f>
        <v/>
      </c>
      <c r="CD10" s="684" t="str">
        <f>IF('ARDT Cutter Entry'!AA10&lt;&gt;"",'ARDT Cutter Entry'!AA10,"")</f>
        <v/>
      </c>
      <c r="CE10" s="684" t="str">
        <f>IF('ARDT Cutter Entry'!AB10&lt;&gt;"",'ARDT Cutter Entry'!AB10,"")</f>
        <v/>
      </c>
      <c r="CF10" s="684" t="str">
        <f>IF('ARDT Cutter Entry'!AC10&lt;&gt;"",'ARDT Cutter Entry'!AC10,"")</f>
        <v/>
      </c>
      <c r="CG10" s="684" t="str">
        <f>IF('ARDT Cutter Entry'!AD10&lt;&gt;"",'ARDT Cutter Entry'!AD10,"")</f>
        <v/>
      </c>
      <c r="CH10" s="684" t="str">
        <f>IF('ARDT Cutter Entry'!AE10&lt;&gt;"",'ARDT Cutter Entry'!AE10,"")</f>
        <v/>
      </c>
      <c r="CI10" s="684" t="str">
        <f>IF('ARDT Cutter Entry'!AF10&lt;&gt;"",'ARDT Cutter Entry'!AF10,"")</f>
        <v/>
      </c>
      <c r="CJ10" s="684" t="str">
        <f>IF('ARDT Cutter Entry'!AG10&lt;&gt;"",'ARDT Cutter Entry'!AG10,"")</f>
        <v/>
      </c>
      <c r="CK10" s="684" t="str">
        <f>IF('ARDT Cutter Entry'!AH10&lt;&gt;"",'ARDT Cutter Entry'!AH10,"")</f>
        <v/>
      </c>
      <c r="CL10" s="685" t="str">
        <f>IF('ARDT Cutter Entry'!AI10&lt;&gt;"",'ARDT Cutter Entry'!AI10,"")</f>
        <v/>
      </c>
    </row>
    <row r="11" spans="1:90" ht="11.15" customHeight="1" x14ac:dyDescent="0.35">
      <c r="A11" s="682"/>
      <c r="B11" s="35">
        <v>8</v>
      </c>
      <c r="C11" s="683" t="str">
        <f>IF('Evaluation (2)'!C18&lt;&gt;"",LEFT('Evaluation (2)'!C18,1),"")</f>
        <v/>
      </c>
      <c r="D11" s="684" t="str">
        <f>IF('Evaluation (2)'!D18&lt;&gt;"",LEFT('Evaluation (2)'!D18,1),"")</f>
        <v/>
      </c>
      <c r="E11" s="684" t="str">
        <f>IF('Evaluation (2)'!E18&lt;&gt;"",LEFT('Evaluation (2)'!E18,1),"")</f>
        <v/>
      </c>
      <c r="F11" s="684" t="str">
        <f>IF('Evaluation (2)'!F18&lt;&gt;"",LEFT('Evaluation (2)'!F18,1),"")</f>
        <v/>
      </c>
      <c r="G11" s="684" t="str">
        <f>IF('Evaluation (2)'!G18&lt;&gt;"",LEFT('Evaluation (2)'!G18,1),"")</f>
        <v/>
      </c>
      <c r="H11" s="684" t="str">
        <f>IF('Evaluation (2)'!H18&lt;&gt;"",LEFT('Evaluation (2)'!H18,1),"")</f>
        <v/>
      </c>
      <c r="I11" s="684" t="str">
        <f>IF('Evaluation (2)'!I18&lt;&gt;"",LEFT('Evaluation (2)'!I18,1),"")</f>
        <v/>
      </c>
      <c r="J11" s="684" t="str">
        <f>IF('Evaluation (2)'!J18&lt;&gt;"",LEFT('Evaluation (2)'!J18,1),"")</f>
        <v/>
      </c>
      <c r="K11" s="684" t="str">
        <f>IF('Evaluation (2)'!K18&lt;&gt;"",LEFT('Evaluation (2)'!K18,1),"")</f>
        <v/>
      </c>
      <c r="L11" s="684" t="str">
        <f>IF('Evaluation (2)'!L18&lt;&gt;"",LEFT('Evaluation (2)'!L18,1),"")</f>
        <v/>
      </c>
      <c r="M11" s="684" t="str">
        <f>IF('Evaluation (2)'!M18&lt;&gt;"",LEFT('Evaluation (2)'!M18,1),"")</f>
        <v/>
      </c>
      <c r="N11" s="684" t="str">
        <f>IF('Evaluation (2)'!N18&lt;&gt;"",LEFT('Evaluation (2)'!N18,1),"")</f>
        <v/>
      </c>
      <c r="O11" s="684" t="str">
        <f>IF('Evaluation (2)'!O18&lt;&gt;"",LEFT('Evaluation (2)'!O18,1),"")</f>
        <v/>
      </c>
      <c r="P11" s="684" t="str">
        <f>IF('Evaluation (2)'!P18&lt;&gt;"",LEFT('Evaluation (2)'!P18,1),"")</f>
        <v/>
      </c>
      <c r="Q11" s="684" t="str">
        <f>IF('Evaluation (2)'!Q18&lt;&gt;"",LEFT('Evaluation (2)'!Q18,1),"")</f>
        <v/>
      </c>
      <c r="R11" s="684" t="str">
        <f>IF('Evaluation (2)'!R18&lt;&gt;"",LEFT('Evaluation (2)'!R18,1),"")</f>
        <v/>
      </c>
      <c r="S11" s="684" t="str">
        <f>IF('Evaluation (2)'!S18&lt;&gt;"",LEFT('Evaluation (2)'!S18,1),"")</f>
        <v/>
      </c>
      <c r="T11" s="684" t="str">
        <f>IF('Evaluation (2)'!T18&lt;&gt;"",LEFT('Evaluation (2)'!T18,1),"")</f>
        <v/>
      </c>
      <c r="U11" s="684" t="str">
        <f>IF('Evaluation (2)'!U18&lt;&gt;"",LEFT('Evaluation (2)'!U18,1),"")</f>
        <v/>
      </c>
      <c r="V11" s="684" t="str">
        <f>IF('Evaluation (2)'!V18&lt;&gt;"",LEFT('Evaluation (2)'!V18,1),"")</f>
        <v/>
      </c>
      <c r="W11" s="684" t="str">
        <f>IF('Evaluation (2)'!W18&lt;&gt;"",LEFT('Evaluation (2)'!W18,1),"")</f>
        <v/>
      </c>
      <c r="X11" s="684" t="str">
        <f>IF('Evaluation (2)'!X18&lt;&gt;"",LEFT('Evaluation (2)'!X18,1),"")</f>
        <v/>
      </c>
      <c r="Y11" s="684" t="str">
        <f>IF('Evaluation (2)'!Y18&lt;&gt;"",LEFT('Evaluation (2)'!Y18,1),"")</f>
        <v/>
      </c>
      <c r="Z11" s="684" t="str">
        <f>IF('Evaluation (2)'!Z18&lt;&gt;"",LEFT('Evaluation (2)'!Z18,1),"")</f>
        <v/>
      </c>
      <c r="AA11" s="684" t="str">
        <f>IF('Evaluation (2)'!AA18&lt;&gt;"",LEFT('Evaluation (2)'!AA18,1),"")</f>
        <v/>
      </c>
      <c r="AB11" s="684" t="str">
        <f>IF('Evaluation (2)'!AB18&lt;&gt;"",LEFT('Evaluation (2)'!AB18,1),"")</f>
        <v/>
      </c>
      <c r="AC11" s="684" t="str">
        <f>IF('Evaluation (2)'!AC18&lt;&gt;"",LEFT('Evaluation (2)'!AC18,1),"")</f>
        <v/>
      </c>
      <c r="AD11" s="684" t="str">
        <f>IF('Evaluation (2)'!AD18&lt;&gt;"",LEFT('Evaluation (2)'!AD18,1),"")</f>
        <v/>
      </c>
      <c r="AE11" s="684" t="str">
        <f>IF('Evaluation (2)'!AE18&lt;&gt;"",LEFT('Evaluation (2)'!AE18,1),"")</f>
        <v/>
      </c>
      <c r="AF11" s="684" t="str">
        <f>IF('Evaluation (2)'!AF18&lt;&gt;"",LEFT('Evaluation (2)'!AF18,1),"")</f>
        <v/>
      </c>
      <c r="AG11" s="684" t="str">
        <f>IF('Evaluation (2)'!AG18&lt;&gt;"",LEFT('Evaluation (2)'!AG18,1),"")</f>
        <v/>
      </c>
      <c r="AH11" s="684" t="str">
        <f>IF('Evaluation (2)'!AH18&lt;&gt;"",LEFT('Evaluation (2)'!AH18,1),"")</f>
        <v/>
      </c>
      <c r="AI11" s="684" t="str">
        <f>IF('Evaluation (2)'!AI18&lt;&gt;"",LEFT('Evaluation (2)'!AI18,1),"")</f>
        <v/>
      </c>
      <c r="AJ11" s="685" t="str">
        <f>IF('Evaluation (2)'!AJ18&lt;&gt;"",LEFT('Evaluation (2)'!AJ18,1),"")</f>
        <v/>
      </c>
      <c r="BD11" s="682"/>
      <c r="BE11" s="35">
        <v>8</v>
      </c>
      <c r="BF11" s="683" t="str">
        <f>IF('ARDT Cutter Entry'!C11&lt;&gt;"",'ARDT Cutter Entry'!C11,"")</f>
        <v/>
      </c>
      <c r="BG11" s="684" t="str">
        <f>IF('ARDT Cutter Entry'!D11&lt;&gt;"",'ARDT Cutter Entry'!D11,"")</f>
        <v/>
      </c>
      <c r="BH11" s="684" t="str">
        <f>IF('ARDT Cutter Entry'!E11&lt;&gt;"",'ARDT Cutter Entry'!E11,"")</f>
        <v/>
      </c>
      <c r="BI11" s="684" t="str">
        <f>IF('ARDT Cutter Entry'!F11&lt;&gt;"",'ARDT Cutter Entry'!F11,"")</f>
        <v/>
      </c>
      <c r="BJ11" s="684" t="str">
        <f>IF('ARDT Cutter Entry'!G11&lt;&gt;"",'ARDT Cutter Entry'!G11,"")</f>
        <v/>
      </c>
      <c r="BK11" s="684" t="str">
        <f>IF('ARDT Cutter Entry'!H11&lt;&gt;"",'ARDT Cutter Entry'!H11,"")</f>
        <v/>
      </c>
      <c r="BL11" s="684" t="str">
        <f>IF('ARDT Cutter Entry'!I11&lt;&gt;"",'ARDT Cutter Entry'!I11,"")</f>
        <v/>
      </c>
      <c r="BM11" s="684" t="str">
        <f>IF('ARDT Cutter Entry'!J11&lt;&gt;"",'ARDT Cutter Entry'!J11,"")</f>
        <v/>
      </c>
      <c r="BN11" s="684" t="str">
        <f>IF('ARDT Cutter Entry'!K11&lt;&gt;"",'ARDT Cutter Entry'!K11,"")</f>
        <v/>
      </c>
      <c r="BO11" s="684" t="str">
        <f>IF('ARDT Cutter Entry'!L11&lt;&gt;"",'ARDT Cutter Entry'!L11,"")</f>
        <v/>
      </c>
      <c r="BP11" s="684" t="str">
        <f>IF('ARDT Cutter Entry'!M11&lt;&gt;"",'ARDT Cutter Entry'!M11,"")</f>
        <v/>
      </c>
      <c r="BQ11" s="684" t="str">
        <f>IF('ARDT Cutter Entry'!N11&lt;&gt;"",'ARDT Cutter Entry'!N11,"")</f>
        <v/>
      </c>
      <c r="BR11" s="684" t="str">
        <f>IF('ARDT Cutter Entry'!O11&lt;&gt;"",'ARDT Cutter Entry'!O11,"")</f>
        <v/>
      </c>
      <c r="BS11" s="684" t="str">
        <f>IF('ARDT Cutter Entry'!P11&lt;&gt;"",'ARDT Cutter Entry'!P11,"")</f>
        <v/>
      </c>
      <c r="BT11" s="684" t="str">
        <f>IF('ARDT Cutter Entry'!Q11&lt;&gt;"",'ARDT Cutter Entry'!Q11,"")</f>
        <v/>
      </c>
      <c r="BU11" s="684" t="str">
        <f>IF('ARDT Cutter Entry'!R11&lt;&gt;"",'ARDT Cutter Entry'!R11,"")</f>
        <v/>
      </c>
      <c r="BV11" s="684" t="str">
        <f>IF('ARDT Cutter Entry'!S11&lt;&gt;"",'ARDT Cutter Entry'!S11,"")</f>
        <v/>
      </c>
      <c r="BW11" s="684" t="str">
        <f>IF('ARDT Cutter Entry'!T11&lt;&gt;"",'ARDT Cutter Entry'!T11,"")</f>
        <v/>
      </c>
      <c r="BX11" s="684" t="str">
        <f>IF('ARDT Cutter Entry'!U11&lt;&gt;"",'ARDT Cutter Entry'!U11,"")</f>
        <v/>
      </c>
      <c r="BY11" s="684" t="str">
        <f>IF('ARDT Cutter Entry'!V11&lt;&gt;"",'ARDT Cutter Entry'!V11,"")</f>
        <v/>
      </c>
      <c r="BZ11" s="684" t="str">
        <f>IF('ARDT Cutter Entry'!W11&lt;&gt;"",'ARDT Cutter Entry'!W11,"")</f>
        <v/>
      </c>
      <c r="CA11" s="684" t="str">
        <f>IF('ARDT Cutter Entry'!X11&lt;&gt;"",'ARDT Cutter Entry'!X11,"")</f>
        <v/>
      </c>
      <c r="CB11" s="684" t="str">
        <f>IF('ARDT Cutter Entry'!Y11&lt;&gt;"",'ARDT Cutter Entry'!Y11,"")</f>
        <v/>
      </c>
      <c r="CC11" s="684" t="str">
        <f>IF('ARDT Cutter Entry'!Z11&lt;&gt;"",'ARDT Cutter Entry'!Z11,"")</f>
        <v/>
      </c>
      <c r="CD11" s="684" t="str">
        <f>IF('ARDT Cutter Entry'!AA11&lt;&gt;"",'ARDT Cutter Entry'!AA11,"")</f>
        <v/>
      </c>
      <c r="CE11" s="684" t="str">
        <f>IF('ARDT Cutter Entry'!AB11&lt;&gt;"",'ARDT Cutter Entry'!AB11,"")</f>
        <v/>
      </c>
      <c r="CF11" s="684" t="str">
        <f>IF('ARDT Cutter Entry'!AC11&lt;&gt;"",'ARDT Cutter Entry'!AC11,"")</f>
        <v/>
      </c>
      <c r="CG11" s="684" t="str">
        <f>IF('ARDT Cutter Entry'!AD11&lt;&gt;"",'ARDT Cutter Entry'!AD11,"")</f>
        <v/>
      </c>
      <c r="CH11" s="684" t="str">
        <f>IF('ARDT Cutter Entry'!AE11&lt;&gt;"",'ARDT Cutter Entry'!AE11,"")</f>
        <v/>
      </c>
      <c r="CI11" s="684" t="str">
        <f>IF('ARDT Cutter Entry'!AF11&lt;&gt;"",'ARDT Cutter Entry'!AF11,"")</f>
        <v/>
      </c>
      <c r="CJ11" s="684" t="str">
        <f>IF('ARDT Cutter Entry'!AG11&lt;&gt;"",'ARDT Cutter Entry'!AG11,"")</f>
        <v/>
      </c>
      <c r="CK11" s="684" t="str">
        <f>IF('ARDT Cutter Entry'!AH11&lt;&gt;"",'ARDT Cutter Entry'!AH11,"")</f>
        <v/>
      </c>
      <c r="CL11" s="685" t="str">
        <f>IF('ARDT Cutter Entry'!AI11&lt;&gt;"",'ARDT Cutter Entry'!AI11,"")</f>
        <v/>
      </c>
    </row>
    <row r="12" spans="1:90" ht="11.15" customHeight="1" x14ac:dyDescent="0.35">
      <c r="A12" s="682"/>
      <c r="B12" s="35">
        <v>9</v>
      </c>
      <c r="C12" s="683" t="str">
        <f>IF('Evaluation (2)'!C19&lt;&gt;"",LEFT('Evaluation (2)'!C19,1),"")</f>
        <v/>
      </c>
      <c r="D12" s="684" t="str">
        <f>IF('Evaluation (2)'!D19&lt;&gt;"",LEFT('Evaluation (2)'!D19,1),"")</f>
        <v/>
      </c>
      <c r="E12" s="684" t="str">
        <f>IF('Evaluation (2)'!E19&lt;&gt;"",LEFT('Evaluation (2)'!E19,1),"")</f>
        <v/>
      </c>
      <c r="F12" s="684" t="str">
        <f>IF('Evaluation (2)'!F19&lt;&gt;"",LEFT('Evaluation (2)'!F19,1),"")</f>
        <v/>
      </c>
      <c r="G12" s="684" t="str">
        <f>IF('Evaluation (2)'!G19&lt;&gt;"",LEFT('Evaluation (2)'!G19,1),"")</f>
        <v/>
      </c>
      <c r="H12" s="684" t="str">
        <f>IF('Evaluation (2)'!H19&lt;&gt;"",LEFT('Evaluation (2)'!H19,1),"")</f>
        <v/>
      </c>
      <c r="I12" s="684" t="str">
        <f>IF('Evaluation (2)'!I19&lt;&gt;"",LEFT('Evaluation (2)'!I19,1),"")</f>
        <v/>
      </c>
      <c r="J12" s="684" t="str">
        <f>IF('Evaluation (2)'!J19&lt;&gt;"",LEFT('Evaluation (2)'!J19,1),"")</f>
        <v/>
      </c>
      <c r="K12" s="684" t="str">
        <f>IF('Evaluation (2)'!K19&lt;&gt;"",LEFT('Evaluation (2)'!K19,1),"")</f>
        <v/>
      </c>
      <c r="L12" s="684" t="str">
        <f>IF('Evaluation (2)'!L19&lt;&gt;"",LEFT('Evaluation (2)'!L19,1),"")</f>
        <v/>
      </c>
      <c r="M12" s="684" t="str">
        <f>IF('Evaluation (2)'!M19&lt;&gt;"",LEFT('Evaluation (2)'!M19,1),"")</f>
        <v/>
      </c>
      <c r="N12" s="684" t="str">
        <f>IF('Evaluation (2)'!N19&lt;&gt;"",LEFT('Evaluation (2)'!N19,1),"")</f>
        <v/>
      </c>
      <c r="O12" s="684" t="str">
        <f>IF('Evaluation (2)'!O19&lt;&gt;"",LEFT('Evaluation (2)'!O19,1),"")</f>
        <v/>
      </c>
      <c r="P12" s="684" t="str">
        <f>IF('Evaluation (2)'!P19&lt;&gt;"",LEFT('Evaluation (2)'!P19,1),"")</f>
        <v/>
      </c>
      <c r="Q12" s="684" t="str">
        <f>IF('Evaluation (2)'!Q19&lt;&gt;"",LEFT('Evaluation (2)'!Q19,1),"")</f>
        <v/>
      </c>
      <c r="R12" s="684" t="str">
        <f>IF('Evaluation (2)'!R19&lt;&gt;"",LEFT('Evaluation (2)'!R19,1),"")</f>
        <v/>
      </c>
      <c r="S12" s="684" t="str">
        <f>IF('Evaluation (2)'!S19&lt;&gt;"",LEFT('Evaluation (2)'!S19,1),"")</f>
        <v/>
      </c>
      <c r="T12" s="684" t="str">
        <f>IF('Evaluation (2)'!T19&lt;&gt;"",LEFT('Evaluation (2)'!T19,1),"")</f>
        <v/>
      </c>
      <c r="U12" s="684" t="str">
        <f>IF('Evaluation (2)'!U19&lt;&gt;"",LEFT('Evaluation (2)'!U19,1),"")</f>
        <v/>
      </c>
      <c r="V12" s="684" t="str">
        <f>IF('Evaluation (2)'!V19&lt;&gt;"",LEFT('Evaluation (2)'!V19,1),"")</f>
        <v/>
      </c>
      <c r="W12" s="684" t="str">
        <f>IF('Evaluation (2)'!W19&lt;&gt;"",LEFT('Evaluation (2)'!W19,1),"")</f>
        <v/>
      </c>
      <c r="X12" s="684" t="str">
        <f>IF('Evaluation (2)'!X19&lt;&gt;"",LEFT('Evaluation (2)'!X19,1),"")</f>
        <v/>
      </c>
      <c r="Y12" s="684" t="str">
        <f>IF('Evaluation (2)'!Y19&lt;&gt;"",LEFT('Evaluation (2)'!Y19,1),"")</f>
        <v/>
      </c>
      <c r="Z12" s="684" t="str">
        <f>IF('Evaluation (2)'!Z19&lt;&gt;"",LEFT('Evaluation (2)'!Z19,1),"")</f>
        <v/>
      </c>
      <c r="AA12" s="684" t="str">
        <f>IF('Evaluation (2)'!AA19&lt;&gt;"",LEFT('Evaluation (2)'!AA19,1),"")</f>
        <v/>
      </c>
      <c r="AB12" s="684" t="str">
        <f>IF('Evaluation (2)'!AB19&lt;&gt;"",LEFT('Evaluation (2)'!AB19,1),"")</f>
        <v/>
      </c>
      <c r="AC12" s="684" t="str">
        <f>IF('Evaluation (2)'!AC19&lt;&gt;"",LEFT('Evaluation (2)'!AC19,1),"")</f>
        <v/>
      </c>
      <c r="AD12" s="684" t="str">
        <f>IF('Evaluation (2)'!AD19&lt;&gt;"",LEFT('Evaluation (2)'!AD19,1),"")</f>
        <v/>
      </c>
      <c r="AE12" s="684" t="str">
        <f>IF('Evaluation (2)'!AE19&lt;&gt;"",LEFT('Evaluation (2)'!AE19,1),"")</f>
        <v/>
      </c>
      <c r="AF12" s="684" t="str">
        <f>IF('Evaluation (2)'!AF19&lt;&gt;"",LEFT('Evaluation (2)'!AF19,1),"")</f>
        <v/>
      </c>
      <c r="AG12" s="684" t="str">
        <f>IF('Evaluation (2)'!AG19&lt;&gt;"",LEFT('Evaluation (2)'!AG19,1),"")</f>
        <v/>
      </c>
      <c r="AH12" s="684" t="str">
        <f>IF('Evaluation (2)'!AH19&lt;&gt;"",LEFT('Evaluation (2)'!AH19,1),"")</f>
        <v/>
      </c>
      <c r="AI12" s="684" t="str">
        <f>IF('Evaluation (2)'!AI19&lt;&gt;"",LEFT('Evaluation (2)'!AI19,1),"")</f>
        <v/>
      </c>
      <c r="AJ12" s="685" t="str">
        <f>IF('Evaluation (2)'!AJ19&lt;&gt;"",LEFT('Evaluation (2)'!AJ19,1),"")</f>
        <v/>
      </c>
      <c r="BD12" s="682"/>
      <c r="BE12" s="35">
        <v>9</v>
      </c>
      <c r="BF12" s="683" t="str">
        <f>IF('ARDT Cutter Entry'!C12&lt;&gt;"",'ARDT Cutter Entry'!C12,"")</f>
        <v/>
      </c>
      <c r="BG12" s="684" t="str">
        <f>IF('ARDT Cutter Entry'!D12&lt;&gt;"",'ARDT Cutter Entry'!D12,"")</f>
        <v/>
      </c>
      <c r="BH12" s="684" t="str">
        <f>IF('ARDT Cutter Entry'!E12&lt;&gt;"",'ARDT Cutter Entry'!E12,"")</f>
        <v/>
      </c>
      <c r="BI12" s="684" t="str">
        <f>IF('ARDT Cutter Entry'!F12&lt;&gt;"",'ARDT Cutter Entry'!F12,"")</f>
        <v/>
      </c>
      <c r="BJ12" s="684" t="str">
        <f>IF('ARDT Cutter Entry'!G12&lt;&gt;"",'ARDT Cutter Entry'!G12,"")</f>
        <v/>
      </c>
      <c r="BK12" s="684" t="str">
        <f>IF('ARDT Cutter Entry'!H12&lt;&gt;"",'ARDT Cutter Entry'!H12,"")</f>
        <v/>
      </c>
      <c r="BL12" s="684" t="str">
        <f>IF('ARDT Cutter Entry'!I12&lt;&gt;"",'ARDT Cutter Entry'!I12,"")</f>
        <v/>
      </c>
      <c r="BM12" s="684" t="str">
        <f>IF('ARDT Cutter Entry'!J12&lt;&gt;"",'ARDT Cutter Entry'!J12,"")</f>
        <v/>
      </c>
      <c r="BN12" s="684" t="str">
        <f>IF('ARDT Cutter Entry'!K12&lt;&gt;"",'ARDT Cutter Entry'!K12,"")</f>
        <v/>
      </c>
      <c r="BO12" s="684" t="str">
        <f>IF('ARDT Cutter Entry'!L12&lt;&gt;"",'ARDT Cutter Entry'!L12,"")</f>
        <v/>
      </c>
      <c r="BP12" s="684" t="str">
        <f>IF('ARDT Cutter Entry'!M12&lt;&gt;"",'ARDT Cutter Entry'!M12,"")</f>
        <v/>
      </c>
      <c r="BQ12" s="684" t="str">
        <f>IF('ARDT Cutter Entry'!N12&lt;&gt;"",'ARDT Cutter Entry'!N12,"")</f>
        <v/>
      </c>
      <c r="BR12" s="684" t="str">
        <f>IF('ARDT Cutter Entry'!O12&lt;&gt;"",'ARDT Cutter Entry'!O12,"")</f>
        <v/>
      </c>
      <c r="BS12" s="684" t="str">
        <f>IF('ARDT Cutter Entry'!P12&lt;&gt;"",'ARDT Cutter Entry'!P12,"")</f>
        <v/>
      </c>
      <c r="BT12" s="684" t="str">
        <f>IF('ARDT Cutter Entry'!Q12&lt;&gt;"",'ARDT Cutter Entry'!Q12,"")</f>
        <v/>
      </c>
      <c r="BU12" s="684" t="str">
        <f>IF('ARDT Cutter Entry'!R12&lt;&gt;"",'ARDT Cutter Entry'!R12,"")</f>
        <v/>
      </c>
      <c r="BV12" s="684" t="str">
        <f>IF('ARDT Cutter Entry'!S12&lt;&gt;"",'ARDT Cutter Entry'!S12,"")</f>
        <v/>
      </c>
      <c r="BW12" s="684" t="str">
        <f>IF('ARDT Cutter Entry'!T12&lt;&gt;"",'ARDT Cutter Entry'!T12,"")</f>
        <v/>
      </c>
      <c r="BX12" s="684" t="str">
        <f>IF('ARDT Cutter Entry'!U12&lt;&gt;"",'ARDT Cutter Entry'!U12,"")</f>
        <v/>
      </c>
      <c r="BY12" s="684" t="str">
        <f>IF('ARDT Cutter Entry'!V12&lt;&gt;"",'ARDT Cutter Entry'!V12,"")</f>
        <v/>
      </c>
      <c r="BZ12" s="684" t="str">
        <f>IF('ARDT Cutter Entry'!W12&lt;&gt;"",'ARDT Cutter Entry'!W12,"")</f>
        <v/>
      </c>
      <c r="CA12" s="684" t="str">
        <f>IF('ARDT Cutter Entry'!X12&lt;&gt;"",'ARDT Cutter Entry'!X12,"")</f>
        <v/>
      </c>
      <c r="CB12" s="684" t="str">
        <f>IF('ARDT Cutter Entry'!Y12&lt;&gt;"",'ARDT Cutter Entry'!Y12,"")</f>
        <v/>
      </c>
      <c r="CC12" s="684" t="str">
        <f>IF('ARDT Cutter Entry'!Z12&lt;&gt;"",'ARDT Cutter Entry'!Z12,"")</f>
        <v/>
      </c>
      <c r="CD12" s="684" t="str">
        <f>IF('ARDT Cutter Entry'!AA12&lt;&gt;"",'ARDT Cutter Entry'!AA12,"")</f>
        <v/>
      </c>
      <c r="CE12" s="684" t="str">
        <f>IF('ARDT Cutter Entry'!AB12&lt;&gt;"",'ARDT Cutter Entry'!AB12,"")</f>
        <v/>
      </c>
      <c r="CF12" s="684" t="str">
        <f>IF('ARDT Cutter Entry'!AC12&lt;&gt;"",'ARDT Cutter Entry'!AC12,"")</f>
        <v/>
      </c>
      <c r="CG12" s="684" t="str">
        <f>IF('ARDT Cutter Entry'!AD12&lt;&gt;"",'ARDT Cutter Entry'!AD12,"")</f>
        <v/>
      </c>
      <c r="CH12" s="684" t="str">
        <f>IF('ARDT Cutter Entry'!AE12&lt;&gt;"",'ARDT Cutter Entry'!AE12,"")</f>
        <v/>
      </c>
      <c r="CI12" s="684" t="str">
        <f>IF('ARDT Cutter Entry'!AF12&lt;&gt;"",'ARDT Cutter Entry'!AF12,"")</f>
        <v/>
      </c>
      <c r="CJ12" s="684" t="str">
        <f>IF('ARDT Cutter Entry'!AG12&lt;&gt;"",'ARDT Cutter Entry'!AG12,"")</f>
        <v/>
      </c>
      <c r="CK12" s="684" t="str">
        <f>IF('ARDT Cutter Entry'!AH12&lt;&gt;"",'ARDT Cutter Entry'!AH12,"")</f>
        <v/>
      </c>
      <c r="CL12" s="685" t="str">
        <f>IF('ARDT Cutter Entry'!AI12&lt;&gt;"",'ARDT Cutter Entry'!AI12,"")</f>
        <v/>
      </c>
    </row>
    <row r="13" spans="1:90" ht="11.15" customHeight="1" x14ac:dyDescent="0.35">
      <c r="A13" s="682"/>
      <c r="B13" s="35">
        <v>10</v>
      </c>
      <c r="C13" s="683" t="str">
        <f>IF('Evaluation (2)'!C20&lt;&gt;"",LEFT('Evaluation (2)'!C20,1),"")</f>
        <v/>
      </c>
      <c r="D13" s="684" t="str">
        <f>IF('Evaluation (2)'!D20&lt;&gt;"",LEFT('Evaluation (2)'!D20,1),"")</f>
        <v/>
      </c>
      <c r="E13" s="684" t="str">
        <f>IF('Evaluation (2)'!E20&lt;&gt;"",LEFT('Evaluation (2)'!E20,1),"")</f>
        <v/>
      </c>
      <c r="F13" s="684" t="str">
        <f>IF('Evaluation (2)'!F20&lt;&gt;"",LEFT('Evaluation (2)'!F20,1),"")</f>
        <v/>
      </c>
      <c r="G13" s="684" t="str">
        <f>IF('Evaluation (2)'!G20&lt;&gt;"",LEFT('Evaluation (2)'!G20,1),"")</f>
        <v/>
      </c>
      <c r="H13" s="684" t="str">
        <f>IF('Evaluation (2)'!H20&lt;&gt;"",LEFT('Evaluation (2)'!H20,1),"")</f>
        <v/>
      </c>
      <c r="I13" s="684" t="str">
        <f>IF('Evaluation (2)'!I20&lt;&gt;"",LEFT('Evaluation (2)'!I20,1),"")</f>
        <v/>
      </c>
      <c r="J13" s="684" t="str">
        <f>IF('Evaluation (2)'!J20&lt;&gt;"",LEFT('Evaluation (2)'!J20,1),"")</f>
        <v/>
      </c>
      <c r="K13" s="684" t="str">
        <f>IF('Evaluation (2)'!K20&lt;&gt;"",LEFT('Evaluation (2)'!K20,1),"")</f>
        <v/>
      </c>
      <c r="L13" s="684" t="str">
        <f>IF('Evaluation (2)'!L20&lt;&gt;"",LEFT('Evaluation (2)'!L20,1),"")</f>
        <v/>
      </c>
      <c r="M13" s="684" t="str">
        <f>IF('Evaluation (2)'!M20&lt;&gt;"",LEFT('Evaluation (2)'!M20,1),"")</f>
        <v/>
      </c>
      <c r="N13" s="684" t="str">
        <f>IF('Evaluation (2)'!N20&lt;&gt;"",LEFT('Evaluation (2)'!N20,1),"")</f>
        <v/>
      </c>
      <c r="O13" s="684" t="str">
        <f>IF('Evaluation (2)'!O20&lt;&gt;"",LEFT('Evaluation (2)'!O20,1),"")</f>
        <v/>
      </c>
      <c r="P13" s="684" t="str">
        <f>IF('Evaluation (2)'!P20&lt;&gt;"",LEFT('Evaluation (2)'!P20,1),"")</f>
        <v/>
      </c>
      <c r="Q13" s="684" t="str">
        <f>IF('Evaluation (2)'!Q20&lt;&gt;"",LEFT('Evaluation (2)'!Q20,1),"")</f>
        <v/>
      </c>
      <c r="R13" s="684" t="str">
        <f>IF('Evaluation (2)'!R20&lt;&gt;"",LEFT('Evaluation (2)'!R20,1),"")</f>
        <v/>
      </c>
      <c r="S13" s="684" t="str">
        <f>IF('Evaluation (2)'!S20&lt;&gt;"",LEFT('Evaluation (2)'!S20,1),"")</f>
        <v/>
      </c>
      <c r="T13" s="684" t="str">
        <f>IF('Evaluation (2)'!T20&lt;&gt;"",LEFT('Evaluation (2)'!T20,1),"")</f>
        <v/>
      </c>
      <c r="U13" s="684" t="str">
        <f>IF('Evaluation (2)'!U20&lt;&gt;"",LEFT('Evaluation (2)'!U20,1),"")</f>
        <v/>
      </c>
      <c r="V13" s="684" t="str">
        <f>IF('Evaluation (2)'!V20&lt;&gt;"",LEFT('Evaluation (2)'!V20,1),"")</f>
        <v/>
      </c>
      <c r="W13" s="684" t="str">
        <f>IF('Evaluation (2)'!W20&lt;&gt;"",LEFT('Evaluation (2)'!W20,1),"")</f>
        <v/>
      </c>
      <c r="X13" s="684" t="str">
        <f>IF('Evaluation (2)'!X20&lt;&gt;"",LEFT('Evaluation (2)'!X20,1),"")</f>
        <v/>
      </c>
      <c r="Y13" s="684" t="str">
        <f>IF('Evaluation (2)'!Y20&lt;&gt;"",LEFT('Evaluation (2)'!Y20,1),"")</f>
        <v/>
      </c>
      <c r="Z13" s="684" t="str">
        <f>IF('Evaluation (2)'!Z20&lt;&gt;"",LEFT('Evaluation (2)'!Z20,1),"")</f>
        <v/>
      </c>
      <c r="AA13" s="684" t="str">
        <f>IF('Evaluation (2)'!AA20&lt;&gt;"",LEFT('Evaluation (2)'!AA20,1),"")</f>
        <v/>
      </c>
      <c r="AB13" s="684" t="str">
        <f>IF('Evaluation (2)'!AB20&lt;&gt;"",LEFT('Evaluation (2)'!AB20,1),"")</f>
        <v/>
      </c>
      <c r="AC13" s="684" t="str">
        <f>IF('Evaluation (2)'!AC20&lt;&gt;"",LEFT('Evaluation (2)'!AC20,1),"")</f>
        <v/>
      </c>
      <c r="AD13" s="684" t="str">
        <f>IF('Evaluation (2)'!AD20&lt;&gt;"",LEFT('Evaluation (2)'!AD20,1),"")</f>
        <v/>
      </c>
      <c r="AE13" s="684" t="str">
        <f>IF('Evaluation (2)'!AE20&lt;&gt;"",LEFT('Evaluation (2)'!AE20,1),"")</f>
        <v/>
      </c>
      <c r="AF13" s="684" t="str">
        <f>IF('Evaluation (2)'!AF20&lt;&gt;"",LEFT('Evaluation (2)'!AF20,1),"")</f>
        <v/>
      </c>
      <c r="AG13" s="684" t="str">
        <f>IF('Evaluation (2)'!AG20&lt;&gt;"",LEFT('Evaluation (2)'!AG20,1),"")</f>
        <v/>
      </c>
      <c r="AH13" s="684" t="str">
        <f>IF('Evaluation (2)'!AH20&lt;&gt;"",LEFT('Evaluation (2)'!AH20,1),"")</f>
        <v/>
      </c>
      <c r="AI13" s="684" t="str">
        <f>IF('Evaluation (2)'!AI20&lt;&gt;"",LEFT('Evaluation (2)'!AI20,1),"")</f>
        <v/>
      </c>
      <c r="AJ13" s="685" t="str">
        <f>IF('Evaluation (2)'!AJ20&lt;&gt;"",LEFT('Evaluation (2)'!AJ20,1),"")</f>
        <v/>
      </c>
      <c r="BD13" s="682"/>
      <c r="BE13" s="35">
        <v>10</v>
      </c>
      <c r="BF13" s="683" t="str">
        <f>IF('ARDT Cutter Entry'!C13&lt;&gt;"",'ARDT Cutter Entry'!C13,"")</f>
        <v/>
      </c>
      <c r="BG13" s="684" t="str">
        <f>IF('ARDT Cutter Entry'!D13&lt;&gt;"",'ARDT Cutter Entry'!D13,"")</f>
        <v/>
      </c>
      <c r="BH13" s="684" t="str">
        <f>IF('ARDT Cutter Entry'!E13&lt;&gt;"",'ARDT Cutter Entry'!E13,"")</f>
        <v/>
      </c>
      <c r="BI13" s="684" t="str">
        <f>IF('ARDT Cutter Entry'!F13&lt;&gt;"",'ARDT Cutter Entry'!F13,"")</f>
        <v/>
      </c>
      <c r="BJ13" s="684" t="str">
        <f>IF('ARDT Cutter Entry'!G13&lt;&gt;"",'ARDT Cutter Entry'!G13,"")</f>
        <v/>
      </c>
      <c r="BK13" s="684" t="str">
        <f>IF('ARDT Cutter Entry'!H13&lt;&gt;"",'ARDT Cutter Entry'!H13,"")</f>
        <v/>
      </c>
      <c r="BL13" s="684" t="str">
        <f>IF('ARDT Cutter Entry'!I13&lt;&gt;"",'ARDT Cutter Entry'!I13,"")</f>
        <v/>
      </c>
      <c r="BM13" s="684" t="str">
        <f>IF('ARDT Cutter Entry'!J13&lt;&gt;"",'ARDT Cutter Entry'!J13,"")</f>
        <v/>
      </c>
      <c r="BN13" s="684" t="str">
        <f>IF('ARDT Cutter Entry'!K13&lt;&gt;"",'ARDT Cutter Entry'!K13,"")</f>
        <v/>
      </c>
      <c r="BO13" s="684" t="str">
        <f>IF('ARDT Cutter Entry'!L13&lt;&gt;"",'ARDT Cutter Entry'!L13,"")</f>
        <v/>
      </c>
      <c r="BP13" s="684" t="str">
        <f>IF('ARDT Cutter Entry'!M13&lt;&gt;"",'ARDT Cutter Entry'!M13,"")</f>
        <v/>
      </c>
      <c r="BQ13" s="684" t="str">
        <f>IF('ARDT Cutter Entry'!N13&lt;&gt;"",'ARDT Cutter Entry'!N13,"")</f>
        <v/>
      </c>
      <c r="BR13" s="684" t="str">
        <f>IF('ARDT Cutter Entry'!O13&lt;&gt;"",'ARDT Cutter Entry'!O13,"")</f>
        <v/>
      </c>
      <c r="BS13" s="684" t="str">
        <f>IF('ARDT Cutter Entry'!P13&lt;&gt;"",'ARDT Cutter Entry'!P13,"")</f>
        <v/>
      </c>
      <c r="BT13" s="684" t="str">
        <f>IF('ARDT Cutter Entry'!Q13&lt;&gt;"",'ARDT Cutter Entry'!Q13,"")</f>
        <v/>
      </c>
      <c r="BU13" s="684" t="str">
        <f>IF('ARDT Cutter Entry'!R13&lt;&gt;"",'ARDT Cutter Entry'!R13,"")</f>
        <v/>
      </c>
      <c r="BV13" s="684" t="str">
        <f>IF('ARDT Cutter Entry'!S13&lt;&gt;"",'ARDT Cutter Entry'!S13,"")</f>
        <v/>
      </c>
      <c r="BW13" s="684" t="str">
        <f>IF('ARDT Cutter Entry'!T13&lt;&gt;"",'ARDT Cutter Entry'!T13,"")</f>
        <v/>
      </c>
      <c r="BX13" s="684" t="str">
        <f>IF('ARDT Cutter Entry'!U13&lt;&gt;"",'ARDT Cutter Entry'!U13,"")</f>
        <v/>
      </c>
      <c r="BY13" s="684" t="str">
        <f>IF('ARDT Cutter Entry'!V13&lt;&gt;"",'ARDT Cutter Entry'!V13,"")</f>
        <v/>
      </c>
      <c r="BZ13" s="684" t="str">
        <f>IF('ARDT Cutter Entry'!W13&lt;&gt;"",'ARDT Cutter Entry'!W13,"")</f>
        <v/>
      </c>
      <c r="CA13" s="684" t="str">
        <f>IF('ARDT Cutter Entry'!X13&lt;&gt;"",'ARDT Cutter Entry'!X13,"")</f>
        <v/>
      </c>
      <c r="CB13" s="684" t="str">
        <f>IF('ARDT Cutter Entry'!Y13&lt;&gt;"",'ARDT Cutter Entry'!Y13,"")</f>
        <v/>
      </c>
      <c r="CC13" s="684" t="str">
        <f>IF('ARDT Cutter Entry'!Z13&lt;&gt;"",'ARDT Cutter Entry'!Z13,"")</f>
        <v/>
      </c>
      <c r="CD13" s="684" t="str">
        <f>IF('ARDT Cutter Entry'!AA13&lt;&gt;"",'ARDT Cutter Entry'!AA13,"")</f>
        <v/>
      </c>
      <c r="CE13" s="684" t="str">
        <f>IF('ARDT Cutter Entry'!AB13&lt;&gt;"",'ARDT Cutter Entry'!AB13,"")</f>
        <v/>
      </c>
      <c r="CF13" s="684" t="str">
        <f>IF('ARDT Cutter Entry'!AC13&lt;&gt;"",'ARDT Cutter Entry'!AC13,"")</f>
        <v/>
      </c>
      <c r="CG13" s="684" t="str">
        <f>IF('ARDT Cutter Entry'!AD13&lt;&gt;"",'ARDT Cutter Entry'!AD13,"")</f>
        <v/>
      </c>
      <c r="CH13" s="684" t="str">
        <f>IF('ARDT Cutter Entry'!AE13&lt;&gt;"",'ARDT Cutter Entry'!AE13,"")</f>
        <v/>
      </c>
      <c r="CI13" s="684" t="str">
        <f>IF('ARDT Cutter Entry'!AF13&lt;&gt;"",'ARDT Cutter Entry'!AF13,"")</f>
        <v/>
      </c>
      <c r="CJ13" s="684" t="str">
        <f>IF('ARDT Cutter Entry'!AG13&lt;&gt;"",'ARDT Cutter Entry'!AG13,"")</f>
        <v/>
      </c>
      <c r="CK13" s="684" t="str">
        <f>IF('ARDT Cutter Entry'!AH13&lt;&gt;"",'ARDT Cutter Entry'!AH13,"")</f>
        <v/>
      </c>
      <c r="CL13" s="685" t="str">
        <f>IF('ARDT Cutter Entry'!AI13&lt;&gt;"",'ARDT Cutter Entry'!AI13,"")</f>
        <v/>
      </c>
    </row>
    <row r="14" spans="1:90" ht="11.15" customHeight="1" x14ac:dyDescent="0.35">
      <c r="A14" s="682"/>
      <c r="B14" s="35">
        <v>11</v>
      </c>
      <c r="C14" s="683" t="str">
        <f>IF('Evaluation (2)'!C21&lt;&gt;"",LEFT('Evaluation (2)'!C21,1),"")</f>
        <v/>
      </c>
      <c r="D14" s="684" t="str">
        <f>IF('Evaluation (2)'!D21&lt;&gt;"",LEFT('Evaluation (2)'!D21,1),"")</f>
        <v/>
      </c>
      <c r="E14" s="684" t="str">
        <f>IF('Evaluation (2)'!E21&lt;&gt;"",LEFT('Evaluation (2)'!E21,1),"")</f>
        <v/>
      </c>
      <c r="F14" s="684" t="str">
        <f>IF('Evaluation (2)'!F21&lt;&gt;"",LEFT('Evaluation (2)'!F21,1),"")</f>
        <v/>
      </c>
      <c r="G14" s="684" t="str">
        <f>IF('Evaluation (2)'!G21&lt;&gt;"",LEFT('Evaluation (2)'!G21,1),"")</f>
        <v/>
      </c>
      <c r="H14" s="684" t="str">
        <f>IF('Evaluation (2)'!H21&lt;&gt;"",LEFT('Evaluation (2)'!H21,1),"")</f>
        <v/>
      </c>
      <c r="I14" s="684" t="str">
        <f>IF('Evaluation (2)'!I21&lt;&gt;"",LEFT('Evaluation (2)'!I21,1),"")</f>
        <v/>
      </c>
      <c r="J14" s="684" t="str">
        <f>IF('Evaluation (2)'!J21&lt;&gt;"",LEFT('Evaluation (2)'!J21,1),"")</f>
        <v/>
      </c>
      <c r="K14" s="684" t="str">
        <f>IF('Evaluation (2)'!K21&lt;&gt;"",LEFT('Evaluation (2)'!K21,1),"")</f>
        <v/>
      </c>
      <c r="L14" s="684" t="str">
        <f>IF('Evaluation (2)'!L21&lt;&gt;"",LEFT('Evaluation (2)'!L21,1),"")</f>
        <v/>
      </c>
      <c r="M14" s="684" t="str">
        <f>IF('Evaluation (2)'!M21&lt;&gt;"",LEFT('Evaluation (2)'!M21,1),"")</f>
        <v/>
      </c>
      <c r="N14" s="684" t="str">
        <f>IF('Evaluation (2)'!N21&lt;&gt;"",LEFT('Evaluation (2)'!N21,1),"")</f>
        <v/>
      </c>
      <c r="O14" s="684" t="str">
        <f>IF('Evaluation (2)'!O21&lt;&gt;"",LEFT('Evaluation (2)'!O21,1),"")</f>
        <v/>
      </c>
      <c r="P14" s="684" t="str">
        <f>IF('Evaluation (2)'!P21&lt;&gt;"",LEFT('Evaluation (2)'!P21,1),"")</f>
        <v/>
      </c>
      <c r="Q14" s="684" t="str">
        <f>IF('Evaluation (2)'!Q21&lt;&gt;"",LEFT('Evaluation (2)'!Q21,1),"")</f>
        <v/>
      </c>
      <c r="R14" s="684" t="str">
        <f>IF('Evaluation (2)'!R21&lt;&gt;"",LEFT('Evaluation (2)'!R21,1),"")</f>
        <v/>
      </c>
      <c r="S14" s="684" t="str">
        <f>IF('Evaluation (2)'!S21&lt;&gt;"",LEFT('Evaluation (2)'!S21,1),"")</f>
        <v/>
      </c>
      <c r="T14" s="684" t="str">
        <f>IF('Evaluation (2)'!T21&lt;&gt;"",LEFT('Evaluation (2)'!T21,1),"")</f>
        <v/>
      </c>
      <c r="U14" s="684" t="str">
        <f>IF('Evaluation (2)'!U21&lt;&gt;"",LEFT('Evaluation (2)'!U21,1),"")</f>
        <v/>
      </c>
      <c r="V14" s="684" t="str">
        <f>IF('Evaluation (2)'!V21&lt;&gt;"",LEFT('Evaluation (2)'!V21,1),"")</f>
        <v/>
      </c>
      <c r="W14" s="684" t="str">
        <f>IF('Evaluation (2)'!W21&lt;&gt;"",LEFT('Evaluation (2)'!W21,1),"")</f>
        <v/>
      </c>
      <c r="X14" s="684" t="str">
        <f>IF('Evaluation (2)'!X21&lt;&gt;"",LEFT('Evaluation (2)'!X21,1),"")</f>
        <v/>
      </c>
      <c r="Y14" s="684" t="str">
        <f>IF('Evaluation (2)'!Y21&lt;&gt;"",LEFT('Evaluation (2)'!Y21,1),"")</f>
        <v/>
      </c>
      <c r="Z14" s="684" t="str">
        <f>IF('Evaluation (2)'!Z21&lt;&gt;"",LEFT('Evaluation (2)'!Z21,1),"")</f>
        <v/>
      </c>
      <c r="AA14" s="684" t="str">
        <f>IF('Evaluation (2)'!AA21&lt;&gt;"",LEFT('Evaluation (2)'!AA21,1),"")</f>
        <v/>
      </c>
      <c r="AB14" s="684" t="str">
        <f>IF('Evaluation (2)'!AB21&lt;&gt;"",LEFT('Evaluation (2)'!AB21,1),"")</f>
        <v/>
      </c>
      <c r="AC14" s="684" t="str">
        <f>IF('Evaluation (2)'!AC21&lt;&gt;"",LEFT('Evaluation (2)'!AC21,1),"")</f>
        <v/>
      </c>
      <c r="AD14" s="684" t="str">
        <f>IF('Evaluation (2)'!AD21&lt;&gt;"",LEFT('Evaluation (2)'!AD21,1),"")</f>
        <v/>
      </c>
      <c r="AE14" s="684" t="str">
        <f>IF('Evaluation (2)'!AE21&lt;&gt;"",LEFT('Evaluation (2)'!AE21,1),"")</f>
        <v/>
      </c>
      <c r="AF14" s="684" t="str">
        <f>IF('Evaluation (2)'!AF21&lt;&gt;"",LEFT('Evaluation (2)'!AF21,1),"")</f>
        <v/>
      </c>
      <c r="AG14" s="684" t="str">
        <f>IF('Evaluation (2)'!AG21&lt;&gt;"",LEFT('Evaluation (2)'!AG21,1),"")</f>
        <v/>
      </c>
      <c r="AH14" s="684" t="str">
        <f>IF('Evaluation (2)'!AH21&lt;&gt;"",LEFT('Evaluation (2)'!AH21,1),"")</f>
        <v/>
      </c>
      <c r="AI14" s="684" t="str">
        <f>IF('Evaluation (2)'!AI21&lt;&gt;"",LEFT('Evaluation (2)'!AI21,1),"")</f>
        <v/>
      </c>
      <c r="AJ14" s="685" t="str">
        <f>IF('Evaluation (2)'!AJ21&lt;&gt;"",LEFT('Evaluation (2)'!AJ21,1),"")</f>
        <v/>
      </c>
      <c r="BD14" s="682"/>
      <c r="BE14" s="35">
        <v>11</v>
      </c>
      <c r="BF14" s="683" t="str">
        <f>IF('ARDT Cutter Entry'!C14&lt;&gt;"",'ARDT Cutter Entry'!C14,"")</f>
        <v/>
      </c>
      <c r="BG14" s="684" t="str">
        <f>IF('ARDT Cutter Entry'!D14&lt;&gt;"",'ARDT Cutter Entry'!D14,"")</f>
        <v/>
      </c>
      <c r="BH14" s="684" t="str">
        <f>IF('ARDT Cutter Entry'!E14&lt;&gt;"",'ARDT Cutter Entry'!E14,"")</f>
        <v/>
      </c>
      <c r="BI14" s="684" t="str">
        <f>IF('ARDT Cutter Entry'!F14&lt;&gt;"",'ARDT Cutter Entry'!F14,"")</f>
        <v/>
      </c>
      <c r="BJ14" s="684" t="str">
        <f>IF('ARDT Cutter Entry'!G14&lt;&gt;"",'ARDT Cutter Entry'!G14,"")</f>
        <v/>
      </c>
      <c r="BK14" s="684" t="str">
        <f>IF('ARDT Cutter Entry'!H14&lt;&gt;"",'ARDT Cutter Entry'!H14,"")</f>
        <v/>
      </c>
      <c r="BL14" s="684" t="str">
        <f>IF('ARDT Cutter Entry'!I14&lt;&gt;"",'ARDT Cutter Entry'!I14,"")</f>
        <v/>
      </c>
      <c r="BM14" s="684" t="str">
        <f>IF('ARDT Cutter Entry'!J14&lt;&gt;"",'ARDT Cutter Entry'!J14,"")</f>
        <v/>
      </c>
      <c r="BN14" s="684" t="str">
        <f>IF('ARDT Cutter Entry'!K14&lt;&gt;"",'ARDT Cutter Entry'!K14,"")</f>
        <v/>
      </c>
      <c r="BO14" s="684" t="str">
        <f>IF('ARDT Cutter Entry'!L14&lt;&gt;"",'ARDT Cutter Entry'!L14,"")</f>
        <v/>
      </c>
      <c r="BP14" s="684" t="str">
        <f>IF('ARDT Cutter Entry'!M14&lt;&gt;"",'ARDT Cutter Entry'!M14,"")</f>
        <v/>
      </c>
      <c r="BQ14" s="684" t="str">
        <f>IF('ARDT Cutter Entry'!N14&lt;&gt;"",'ARDT Cutter Entry'!N14,"")</f>
        <v/>
      </c>
      <c r="BR14" s="684" t="str">
        <f>IF('ARDT Cutter Entry'!O14&lt;&gt;"",'ARDT Cutter Entry'!O14,"")</f>
        <v/>
      </c>
      <c r="BS14" s="684" t="str">
        <f>IF('ARDT Cutter Entry'!P14&lt;&gt;"",'ARDT Cutter Entry'!P14,"")</f>
        <v/>
      </c>
      <c r="BT14" s="684" t="str">
        <f>IF('ARDT Cutter Entry'!Q14&lt;&gt;"",'ARDT Cutter Entry'!Q14,"")</f>
        <v/>
      </c>
      <c r="BU14" s="684" t="str">
        <f>IF('ARDT Cutter Entry'!R14&lt;&gt;"",'ARDT Cutter Entry'!R14,"")</f>
        <v/>
      </c>
      <c r="BV14" s="684" t="str">
        <f>IF('ARDT Cutter Entry'!S14&lt;&gt;"",'ARDT Cutter Entry'!S14,"")</f>
        <v/>
      </c>
      <c r="BW14" s="684" t="str">
        <f>IF('ARDT Cutter Entry'!T14&lt;&gt;"",'ARDT Cutter Entry'!T14,"")</f>
        <v/>
      </c>
      <c r="BX14" s="684" t="str">
        <f>IF('ARDT Cutter Entry'!U14&lt;&gt;"",'ARDT Cutter Entry'!U14,"")</f>
        <v/>
      </c>
      <c r="BY14" s="684" t="str">
        <f>IF('ARDT Cutter Entry'!V14&lt;&gt;"",'ARDT Cutter Entry'!V14,"")</f>
        <v/>
      </c>
      <c r="BZ14" s="684" t="str">
        <f>IF('ARDT Cutter Entry'!W14&lt;&gt;"",'ARDT Cutter Entry'!W14,"")</f>
        <v/>
      </c>
      <c r="CA14" s="684" t="str">
        <f>IF('ARDT Cutter Entry'!X14&lt;&gt;"",'ARDT Cutter Entry'!X14,"")</f>
        <v/>
      </c>
      <c r="CB14" s="684" t="str">
        <f>IF('ARDT Cutter Entry'!Y14&lt;&gt;"",'ARDT Cutter Entry'!Y14,"")</f>
        <v/>
      </c>
      <c r="CC14" s="684" t="str">
        <f>IF('ARDT Cutter Entry'!Z14&lt;&gt;"",'ARDT Cutter Entry'!Z14,"")</f>
        <v/>
      </c>
      <c r="CD14" s="684" t="str">
        <f>IF('ARDT Cutter Entry'!AA14&lt;&gt;"",'ARDT Cutter Entry'!AA14,"")</f>
        <v/>
      </c>
      <c r="CE14" s="684" t="str">
        <f>IF('ARDT Cutter Entry'!AB14&lt;&gt;"",'ARDT Cutter Entry'!AB14,"")</f>
        <v/>
      </c>
      <c r="CF14" s="684" t="str">
        <f>IF('ARDT Cutter Entry'!AC14&lt;&gt;"",'ARDT Cutter Entry'!AC14,"")</f>
        <v/>
      </c>
      <c r="CG14" s="684" t="str">
        <f>IF('ARDT Cutter Entry'!AD14&lt;&gt;"",'ARDT Cutter Entry'!AD14,"")</f>
        <v/>
      </c>
      <c r="CH14" s="684" t="str">
        <f>IF('ARDT Cutter Entry'!AE14&lt;&gt;"",'ARDT Cutter Entry'!AE14,"")</f>
        <v/>
      </c>
      <c r="CI14" s="684" t="str">
        <f>IF('ARDT Cutter Entry'!AF14&lt;&gt;"",'ARDT Cutter Entry'!AF14,"")</f>
        <v/>
      </c>
      <c r="CJ14" s="684" t="str">
        <f>IF('ARDT Cutter Entry'!AG14&lt;&gt;"",'ARDT Cutter Entry'!AG14,"")</f>
        <v/>
      </c>
      <c r="CK14" s="684" t="str">
        <f>IF('ARDT Cutter Entry'!AH14&lt;&gt;"",'ARDT Cutter Entry'!AH14,"")</f>
        <v/>
      </c>
      <c r="CL14" s="685" t="str">
        <f>IF('ARDT Cutter Entry'!AI14&lt;&gt;"",'ARDT Cutter Entry'!AI14,"")</f>
        <v/>
      </c>
    </row>
    <row r="15" spans="1:90" ht="11.15" customHeight="1" thickBot="1" x14ac:dyDescent="0.4">
      <c r="A15" s="686"/>
      <c r="B15" s="355">
        <v>12</v>
      </c>
      <c r="C15" s="687" t="str">
        <f>IF('Evaluation (2)'!C22&lt;&gt;"",LEFT('Evaluation (2)'!C22,1),"")</f>
        <v/>
      </c>
      <c r="D15" s="688" t="str">
        <f>IF('Evaluation (2)'!D22&lt;&gt;"",LEFT('Evaluation (2)'!D22,1),"")</f>
        <v/>
      </c>
      <c r="E15" s="688" t="str">
        <f>IF('Evaluation (2)'!E22&lt;&gt;"",LEFT('Evaluation (2)'!E22,1),"")</f>
        <v/>
      </c>
      <c r="F15" s="688" t="str">
        <f>IF('Evaluation (2)'!F22&lt;&gt;"",LEFT('Evaluation (2)'!F22,1),"")</f>
        <v/>
      </c>
      <c r="G15" s="688" t="str">
        <f>IF('Evaluation (2)'!G22&lt;&gt;"",LEFT('Evaluation (2)'!G22,1),"")</f>
        <v/>
      </c>
      <c r="H15" s="688" t="str">
        <f>IF('Evaluation (2)'!H22&lt;&gt;"",LEFT('Evaluation (2)'!H22,1),"")</f>
        <v/>
      </c>
      <c r="I15" s="688" t="str">
        <f>IF('Evaluation (2)'!I22&lt;&gt;"",LEFT('Evaluation (2)'!I22,1),"")</f>
        <v/>
      </c>
      <c r="J15" s="688" t="str">
        <f>IF('Evaluation (2)'!J22&lt;&gt;"",LEFT('Evaluation (2)'!J22,1),"")</f>
        <v/>
      </c>
      <c r="K15" s="688" t="str">
        <f>IF('Evaluation (2)'!K22&lt;&gt;"",LEFT('Evaluation (2)'!K22,1),"")</f>
        <v/>
      </c>
      <c r="L15" s="688" t="str">
        <f>IF('Evaluation (2)'!L22&lt;&gt;"",LEFT('Evaluation (2)'!L22,1),"")</f>
        <v/>
      </c>
      <c r="M15" s="688" t="str">
        <f>IF('Evaluation (2)'!M22&lt;&gt;"",LEFT('Evaluation (2)'!M22,1),"")</f>
        <v/>
      </c>
      <c r="N15" s="688" t="str">
        <f>IF('Evaluation (2)'!N22&lt;&gt;"",LEFT('Evaluation (2)'!N22,1),"")</f>
        <v/>
      </c>
      <c r="O15" s="688" t="str">
        <f>IF('Evaluation (2)'!O22&lt;&gt;"",LEFT('Evaluation (2)'!O22,1),"")</f>
        <v/>
      </c>
      <c r="P15" s="688" t="str">
        <f>IF('Evaluation (2)'!P22&lt;&gt;"",LEFT('Evaluation (2)'!P22,1),"")</f>
        <v/>
      </c>
      <c r="Q15" s="688" t="str">
        <f>IF('Evaluation (2)'!Q22&lt;&gt;"",LEFT('Evaluation (2)'!Q22,1),"")</f>
        <v/>
      </c>
      <c r="R15" s="688" t="str">
        <f>IF('Evaluation (2)'!R22&lt;&gt;"",LEFT('Evaluation (2)'!R22,1),"")</f>
        <v/>
      </c>
      <c r="S15" s="688" t="str">
        <f>IF('Evaluation (2)'!S22&lt;&gt;"",LEFT('Evaluation (2)'!S22,1),"")</f>
        <v/>
      </c>
      <c r="T15" s="688" t="str">
        <f>IF('Evaluation (2)'!T22&lt;&gt;"",LEFT('Evaluation (2)'!T22,1),"")</f>
        <v/>
      </c>
      <c r="U15" s="688" t="str">
        <f>IF('Evaluation (2)'!U22&lt;&gt;"",LEFT('Evaluation (2)'!U22,1),"")</f>
        <v/>
      </c>
      <c r="V15" s="688" t="str">
        <f>IF('Evaluation (2)'!V22&lt;&gt;"",LEFT('Evaluation (2)'!V22,1),"")</f>
        <v/>
      </c>
      <c r="W15" s="688" t="str">
        <f>IF('Evaluation (2)'!W22&lt;&gt;"",LEFT('Evaluation (2)'!W22,1),"")</f>
        <v/>
      </c>
      <c r="X15" s="688" t="str">
        <f>IF('Evaluation (2)'!X22&lt;&gt;"",LEFT('Evaluation (2)'!X22,1),"")</f>
        <v/>
      </c>
      <c r="Y15" s="688" t="str">
        <f>IF('Evaluation (2)'!Y22&lt;&gt;"",LEFT('Evaluation (2)'!Y22,1),"")</f>
        <v/>
      </c>
      <c r="Z15" s="688" t="str">
        <f>IF('Evaluation (2)'!Z22&lt;&gt;"",LEFT('Evaluation (2)'!Z22,1),"")</f>
        <v/>
      </c>
      <c r="AA15" s="688" t="str">
        <f>IF('Evaluation (2)'!AA22&lt;&gt;"",LEFT('Evaluation (2)'!AA22,1),"")</f>
        <v/>
      </c>
      <c r="AB15" s="688" t="str">
        <f>IF('Evaluation (2)'!AB22&lt;&gt;"",LEFT('Evaluation (2)'!AB22,1),"")</f>
        <v/>
      </c>
      <c r="AC15" s="688" t="str">
        <f>IF('Evaluation (2)'!AC22&lt;&gt;"",LEFT('Evaluation (2)'!AC22,1),"")</f>
        <v/>
      </c>
      <c r="AD15" s="688" t="str">
        <f>IF('Evaluation (2)'!AD22&lt;&gt;"",LEFT('Evaluation (2)'!AD22,1),"")</f>
        <v/>
      </c>
      <c r="AE15" s="688" t="str">
        <f>IF('Evaluation (2)'!AE22&lt;&gt;"",LEFT('Evaluation (2)'!AE22,1),"")</f>
        <v/>
      </c>
      <c r="AF15" s="688" t="str">
        <f>IF('Evaluation (2)'!AF22&lt;&gt;"",LEFT('Evaluation (2)'!AF22,1),"")</f>
        <v/>
      </c>
      <c r="AG15" s="688" t="str">
        <f>IF('Evaluation (2)'!AG22&lt;&gt;"",LEFT('Evaluation (2)'!AG22,1),"")</f>
        <v/>
      </c>
      <c r="AH15" s="688" t="str">
        <f>IF('Evaluation (2)'!AH22&lt;&gt;"",LEFT('Evaluation (2)'!AH22,1),"")</f>
        <v/>
      </c>
      <c r="AI15" s="688" t="str">
        <f>IF('Evaluation (2)'!AI22&lt;&gt;"",LEFT('Evaluation (2)'!AI22,1),"")</f>
        <v/>
      </c>
      <c r="AJ15" s="689" t="str">
        <f>IF('Evaluation (2)'!AJ22&lt;&gt;"",LEFT('Evaluation (2)'!AJ22,1),"")</f>
        <v/>
      </c>
      <c r="BD15" s="686"/>
      <c r="BE15" s="355">
        <v>12</v>
      </c>
      <c r="BF15" s="687" t="str">
        <f>IF('ARDT Cutter Entry'!C15&lt;&gt;"",'ARDT Cutter Entry'!C15,"")</f>
        <v/>
      </c>
      <c r="BG15" s="688" t="str">
        <f>IF('ARDT Cutter Entry'!D15&lt;&gt;"",'ARDT Cutter Entry'!D15,"")</f>
        <v/>
      </c>
      <c r="BH15" s="688" t="str">
        <f>IF('ARDT Cutter Entry'!E15&lt;&gt;"",'ARDT Cutter Entry'!E15,"")</f>
        <v/>
      </c>
      <c r="BI15" s="688" t="str">
        <f>IF('ARDT Cutter Entry'!F15&lt;&gt;"",'ARDT Cutter Entry'!F15,"")</f>
        <v/>
      </c>
      <c r="BJ15" s="688" t="str">
        <f>IF('ARDT Cutter Entry'!G15&lt;&gt;"",'ARDT Cutter Entry'!G15,"")</f>
        <v/>
      </c>
      <c r="BK15" s="688" t="str">
        <f>IF('ARDT Cutter Entry'!H15&lt;&gt;"",'ARDT Cutter Entry'!H15,"")</f>
        <v/>
      </c>
      <c r="BL15" s="688" t="str">
        <f>IF('ARDT Cutter Entry'!I15&lt;&gt;"",'ARDT Cutter Entry'!I15,"")</f>
        <v/>
      </c>
      <c r="BM15" s="688" t="str">
        <f>IF('ARDT Cutter Entry'!J15&lt;&gt;"",'ARDT Cutter Entry'!J15,"")</f>
        <v/>
      </c>
      <c r="BN15" s="688" t="str">
        <f>IF('ARDT Cutter Entry'!K15&lt;&gt;"",'ARDT Cutter Entry'!K15,"")</f>
        <v/>
      </c>
      <c r="BO15" s="688" t="str">
        <f>IF('ARDT Cutter Entry'!L15&lt;&gt;"",'ARDT Cutter Entry'!L15,"")</f>
        <v/>
      </c>
      <c r="BP15" s="688" t="str">
        <f>IF('ARDT Cutter Entry'!M15&lt;&gt;"",'ARDT Cutter Entry'!M15,"")</f>
        <v/>
      </c>
      <c r="BQ15" s="688" t="str">
        <f>IF('ARDT Cutter Entry'!N15&lt;&gt;"",'ARDT Cutter Entry'!N15,"")</f>
        <v/>
      </c>
      <c r="BR15" s="688" t="str">
        <f>IF('ARDT Cutter Entry'!O15&lt;&gt;"",'ARDT Cutter Entry'!O15,"")</f>
        <v/>
      </c>
      <c r="BS15" s="688" t="str">
        <f>IF('ARDT Cutter Entry'!P15&lt;&gt;"",'ARDT Cutter Entry'!P15,"")</f>
        <v/>
      </c>
      <c r="BT15" s="688" t="str">
        <f>IF('ARDT Cutter Entry'!Q15&lt;&gt;"",'ARDT Cutter Entry'!Q15,"")</f>
        <v/>
      </c>
      <c r="BU15" s="688" t="str">
        <f>IF('ARDT Cutter Entry'!R15&lt;&gt;"",'ARDT Cutter Entry'!R15,"")</f>
        <v/>
      </c>
      <c r="BV15" s="688" t="str">
        <f>IF('ARDT Cutter Entry'!S15&lt;&gt;"",'ARDT Cutter Entry'!S15,"")</f>
        <v/>
      </c>
      <c r="BW15" s="688" t="str">
        <f>IF('ARDT Cutter Entry'!T15&lt;&gt;"",'ARDT Cutter Entry'!T15,"")</f>
        <v/>
      </c>
      <c r="BX15" s="688" t="str">
        <f>IF('ARDT Cutter Entry'!U15&lt;&gt;"",'ARDT Cutter Entry'!U15,"")</f>
        <v/>
      </c>
      <c r="BY15" s="688" t="str">
        <f>IF('ARDT Cutter Entry'!V15&lt;&gt;"",'ARDT Cutter Entry'!V15,"")</f>
        <v/>
      </c>
      <c r="BZ15" s="688" t="str">
        <f>IF('ARDT Cutter Entry'!W15&lt;&gt;"",'ARDT Cutter Entry'!W15,"")</f>
        <v/>
      </c>
      <c r="CA15" s="688" t="str">
        <f>IF('ARDT Cutter Entry'!X15&lt;&gt;"",'ARDT Cutter Entry'!X15,"")</f>
        <v/>
      </c>
      <c r="CB15" s="688" t="str">
        <f>IF('ARDT Cutter Entry'!Y15&lt;&gt;"",'ARDT Cutter Entry'!Y15,"")</f>
        <v/>
      </c>
      <c r="CC15" s="688" t="str">
        <f>IF('ARDT Cutter Entry'!Z15&lt;&gt;"",'ARDT Cutter Entry'!Z15,"")</f>
        <v/>
      </c>
      <c r="CD15" s="688" t="str">
        <f>IF('ARDT Cutter Entry'!AA15&lt;&gt;"",'ARDT Cutter Entry'!AA15,"")</f>
        <v/>
      </c>
      <c r="CE15" s="688" t="str">
        <f>IF('ARDT Cutter Entry'!AB15&lt;&gt;"",'ARDT Cutter Entry'!AB15,"")</f>
        <v/>
      </c>
      <c r="CF15" s="688" t="str">
        <f>IF('ARDT Cutter Entry'!AC15&lt;&gt;"",'ARDT Cutter Entry'!AC15,"")</f>
        <v/>
      </c>
      <c r="CG15" s="688" t="str">
        <f>IF('ARDT Cutter Entry'!AD15&lt;&gt;"",'ARDT Cutter Entry'!AD15,"")</f>
        <v/>
      </c>
      <c r="CH15" s="688" t="str">
        <f>IF('ARDT Cutter Entry'!AE15&lt;&gt;"",'ARDT Cutter Entry'!AE15,"")</f>
        <v/>
      </c>
      <c r="CI15" s="688" t="str">
        <f>IF('ARDT Cutter Entry'!AF15&lt;&gt;"",'ARDT Cutter Entry'!AF15,"")</f>
        <v/>
      </c>
      <c r="CJ15" s="688" t="str">
        <f>IF('ARDT Cutter Entry'!AG15&lt;&gt;"",'ARDT Cutter Entry'!AG15,"")</f>
        <v/>
      </c>
      <c r="CK15" s="688" t="str">
        <f>IF('ARDT Cutter Entry'!AH15&lt;&gt;"",'ARDT Cutter Entry'!AH15,"")</f>
        <v/>
      </c>
      <c r="CL15" s="689" t="str">
        <f>IF('ARDT Cutter Entry'!AI15&lt;&gt;"",'ARDT Cutter Entry'!AI15,"")</f>
        <v/>
      </c>
    </row>
    <row r="19" spans="1:90" ht="15" thickBot="1" x14ac:dyDescent="0.4"/>
    <row r="20" spans="1:90" ht="24" thickBot="1" x14ac:dyDescent="0.4">
      <c r="A20" s="1193"/>
      <c r="B20" s="1194"/>
      <c r="C20" s="1194"/>
      <c r="D20" s="1194"/>
      <c r="E20" s="1194"/>
      <c r="F20" s="1194"/>
      <c r="G20" s="1194"/>
      <c r="H20" s="1194"/>
      <c r="I20" s="1194"/>
      <c r="J20" s="1194"/>
      <c r="K20" s="1194"/>
      <c r="L20" s="1194"/>
      <c r="M20" s="1194"/>
      <c r="N20" s="1194"/>
      <c r="O20" s="1194"/>
      <c r="P20" s="1194"/>
      <c r="Q20" s="1194"/>
      <c r="R20" s="1194"/>
      <c r="S20" s="1194"/>
      <c r="T20" s="1194"/>
      <c r="U20" s="1194"/>
      <c r="V20" s="1194"/>
      <c r="W20" s="1194"/>
      <c r="X20" s="1194"/>
      <c r="Y20" s="1194"/>
      <c r="Z20" s="1194"/>
      <c r="AA20" s="1194"/>
      <c r="AB20" s="1194"/>
      <c r="AC20" s="1194"/>
      <c r="AD20" s="1194"/>
      <c r="AE20" s="1194"/>
      <c r="AF20" s="1194"/>
      <c r="AG20" s="1194"/>
      <c r="AH20" s="1194"/>
      <c r="AI20" s="1194"/>
      <c r="AJ20" s="1194"/>
      <c r="BD20" s="751"/>
      <c r="BE20" s="752"/>
      <c r="BF20" s="752"/>
      <c r="BG20" s="752"/>
      <c r="BH20" s="752"/>
      <c r="BI20" s="752"/>
      <c r="BJ20" s="752"/>
      <c r="BK20" s="752"/>
      <c r="BL20" s="752"/>
      <c r="BM20" s="752"/>
      <c r="BN20" s="752"/>
      <c r="BO20" s="752"/>
      <c r="BP20" s="752"/>
      <c r="BQ20" s="752"/>
      <c r="BR20" s="752"/>
      <c r="BS20" s="752"/>
      <c r="BT20" s="752"/>
      <c r="BU20" s="752"/>
      <c r="BV20" s="752"/>
      <c r="BW20" s="752"/>
      <c r="BX20" s="752"/>
      <c r="BY20" s="752"/>
      <c r="BZ20" s="752"/>
      <c r="CA20" s="752"/>
      <c r="CB20" s="752"/>
      <c r="CC20" s="752"/>
      <c r="CD20" s="752"/>
      <c r="CE20" s="752"/>
      <c r="CF20" s="752"/>
      <c r="CG20" s="752"/>
      <c r="CH20" s="752"/>
      <c r="CI20" s="752"/>
      <c r="CJ20" s="752"/>
      <c r="CK20" s="752"/>
      <c r="CL20" s="753"/>
    </row>
    <row r="21" spans="1:90" x14ac:dyDescent="0.35">
      <c r="A21" s="691"/>
      <c r="B21" s="718"/>
      <c r="C21" s="1191"/>
      <c r="D21" s="1192"/>
      <c r="E21" s="1192"/>
      <c r="F21" s="1192"/>
      <c r="G21" s="1192"/>
      <c r="H21" s="1192"/>
      <c r="I21" s="1192"/>
      <c r="J21" s="1192"/>
      <c r="K21" s="1192"/>
      <c r="L21" s="1192"/>
      <c r="M21" s="1192"/>
      <c r="N21" s="1192"/>
      <c r="O21" s="1192"/>
      <c r="P21" s="1192"/>
      <c r="Q21" s="1192"/>
      <c r="R21" s="1192"/>
      <c r="S21" s="1192"/>
      <c r="T21" s="1192"/>
      <c r="U21" s="1192"/>
      <c r="V21" s="1192"/>
      <c r="W21" s="1192"/>
      <c r="X21" s="1192"/>
      <c r="Y21" s="1192"/>
      <c r="Z21" s="1192"/>
      <c r="AA21" s="1192"/>
      <c r="AB21" s="1192"/>
      <c r="AC21" s="1192"/>
      <c r="AD21" s="1192"/>
      <c r="AE21" s="1192"/>
      <c r="AF21" s="1192"/>
      <c r="AG21" s="1192"/>
      <c r="AH21" s="1192"/>
      <c r="AI21" s="1192"/>
      <c r="AJ21" s="1192"/>
      <c r="BD21" s="691"/>
      <c r="BE21" s="718"/>
      <c r="BF21" s="719"/>
      <c r="BG21" s="720"/>
      <c r="BH21" s="720"/>
      <c r="BI21" s="720"/>
      <c r="BJ21" s="720"/>
      <c r="BK21" s="720"/>
      <c r="BL21" s="720"/>
      <c r="BM21" s="720"/>
      <c r="BN21" s="720"/>
      <c r="BO21" s="720"/>
      <c r="BP21" s="720"/>
      <c r="BQ21" s="720"/>
      <c r="BR21" s="720"/>
      <c r="BS21" s="720"/>
      <c r="BT21" s="720"/>
      <c r="BU21" s="720"/>
      <c r="BV21" s="720"/>
      <c r="BW21" s="720"/>
      <c r="BX21" s="720"/>
      <c r="BY21" s="720"/>
      <c r="BZ21" s="722"/>
      <c r="CA21" s="720"/>
      <c r="CB21" s="720"/>
      <c r="CC21" s="720"/>
      <c r="CD21" s="720"/>
      <c r="CE21" s="720"/>
      <c r="CF21" s="720"/>
      <c r="CG21" s="720"/>
      <c r="CH21" s="720"/>
      <c r="CI21" s="720"/>
      <c r="CJ21" s="720"/>
      <c r="CK21" s="720"/>
      <c r="CL21" s="721"/>
    </row>
    <row r="22" spans="1:90" ht="15" thickBot="1" x14ac:dyDescent="0.4">
      <c r="A22" s="697"/>
      <c r="B22" s="723"/>
      <c r="C22" s="361">
        <f>IF(Data!$BQ$44&lt;&gt;0,1,0)</f>
        <v>1</v>
      </c>
      <c r="D22" s="35">
        <f>IF(Data!$BQ$44&lt;&gt;0,IF(AND(C22&lt;&gt;0,Data!$BQ$44&gt;C22),C22+1,0),0)</f>
        <v>2</v>
      </c>
      <c r="E22" s="35">
        <f>IF(Data!$BQ$44&lt;&gt;0,IF(AND(D22&lt;&gt;0,Data!$BQ$44&gt;D22),D22+1,0),0)</f>
        <v>3</v>
      </c>
      <c r="F22" s="35">
        <f>IF(Data!$BQ$44&lt;&gt;0,IF(AND(E22&lt;&gt;0,Data!$BQ$44&gt;E22),E22+1,0),0)</f>
        <v>4</v>
      </c>
      <c r="G22" s="35">
        <f>IF(Data!$BQ$44&lt;&gt;0,IF(AND(F22&lt;&gt;0,Data!$BQ$44&gt;F22),F22+1,0),0)</f>
        <v>5</v>
      </c>
      <c r="H22" s="35">
        <f>IF(Data!$BQ$44&lt;&gt;0,IF(AND(G22&lt;&gt;0,Data!$BQ$44&gt;G22),G22+1,0),0)</f>
        <v>6</v>
      </c>
      <c r="I22" s="35">
        <f>IF(Data!$BQ$44&lt;&gt;0,IF(AND(H22&lt;&gt;0,Data!$BQ$44&gt;H22),H22+1,0),0)</f>
        <v>7</v>
      </c>
      <c r="J22" s="35">
        <f>IF(Data!$BQ$44&lt;&gt;0,IF(AND(I22&lt;&gt;0,Data!$BQ$44&gt;I22),I22+1,0),0)</f>
        <v>8</v>
      </c>
      <c r="K22" s="35">
        <f>IF(Data!$BQ$44&lt;&gt;0,IF(AND(J22&lt;&gt;0,Data!$BQ$44&gt;J22),J22+1,0),0)</f>
        <v>9</v>
      </c>
      <c r="L22" s="35">
        <f>IF(Data!$BQ$44&lt;&gt;0,IF(AND(K22&lt;&gt;0,Data!$BQ$44&gt;K22),K22+1,0),0)</f>
        <v>10</v>
      </c>
      <c r="M22" s="35">
        <f>IF(Data!$BQ$44&lt;&gt;0,IF(AND(L22&lt;&gt;0,Data!$BQ$44&gt;L22),L22+1,0),0)</f>
        <v>11</v>
      </c>
      <c r="N22" s="35">
        <f>IF(Data!$BQ$44&lt;&gt;0,IF(AND(M22&lt;&gt;0,Data!$BQ$44&gt;M22),M22+1,0),0)</f>
        <v>12</v>
      </c>
      <c r="O22" s="35">
        <f>IF(Data!$BQ$44&lt;&gt;0,IF(AND(N22&lt;&gt;0,Data!$BQ$44&gt;N22),N22+1,0),0)</f>
        <v>0</v>
      </c>
      <c r="P22" s="35">
        <f>IF(Data!$BQ$44&lt;&gt;0,IF(AND(O22&lt;&gt;0,Data!$BQ$44&gt;O22),O22+1,0),0)</f>
        <v>0</v>
      </c>
      <c r="Q22" s="35">
        <f>IF(Data!$BQ$44&lt;&gt;0,IF(AND(P22&lt;&gt;0,Data!$BQ$44&gt;P22),P22+1,0),0)</f>
        <v>0</v>
      </c>
      <c r="R22" s="35">
        <f>IF(Data!$BQ$44&lt;&gt;0,IF(AND(Q22&lt;&gt;0,Data!$BQ$44&gt;Q22),Q22+1,0),0)</f>
        <v>0</v>
      </c>
      <c r="S22" s="35">
        <f>IF(Data!$BQ$44&lt;&gt;0,IF(AND(R22&lt;&gt;0,Data!$BQ$44&gt;R22),R22+1,0),0)</f>
        <v>0</v>
      </c>
      <c r="T22" s="35">
        <f>IF(Data!$BQ$44&lt;&gt;0,IF(AND(S22&lt;&gt;0,Data!$BQ$44&gt;S22),S22+1,0),0)</f>
        <v>0</v>
      </c>
      <c r="U22" s="35">
        <f>IF(Data!$BQ$44&lt;&gt;0,IF(AND(T22&lt;&gt;0,Data!$BQ$44&gt;T22),T22+1,0),0)</f>
        <v>0</v>
      </c>
      <c r="V22" s="35">
        <f>IF(Data!$BQ$44&lt;&gt;0,IF(AND(U22&lt;&gt;0,Data!$BQ$44&gt;U22),U22+1,0),0)</f>
        <v>0</v>
      </c>
      <c r="W22" s="35">
        <f>IF(Data!$BQ$44&lt;&gt;0,IF(AND(V22&lt;&gt;0,Data!$BQ$44&gt;V22),V22+1,0),0)</f>
        <v>0</v>
      </c>
      <c r="X22" s="35">
        <f>IF(Data!$BQ$44&lt;&gt;0,IF(AND(W22&lt;&gt;0,Data!$BQ$44&gt;W22),W22+1,0),0)</f>
        <v>0</v>
      </c>
      <c r="Y22" s="35">
        <f>IF(Data!$BQ$44&lt;&gt;0,IF(AND(X22&lt;&gt;0,Data!$BQ$44&gt;X22),X22+1,0),0)</f>
        <v>0</v>
      </c>
      <c r="Z22" s="35">
        <f>IF(Data!$BQ$44&lt;&gt;0,IF(AND(Y22&lt;&gt;0,Data!$BQ$44&gt;Y22),Y22+1,0),0)</f>
        <v>0</v>
      </c>
      <c r="AA22" s="35">
        <f>IF(Data!$BQ$44&lt;&gt;0,IF(AND(Z22&lt;&gt;0,Data!$BQ$44&gt;Z22),Z22+1,0),0)</f>
        <v>0</v>
      </c>
      <c r="AB22" s="35">
        <f>IF(Data!$BQ$44&lt;&gt;0,IF(AND(AA22&lt;&gt;0,Data!$BQ$44&gt;AA22),AA22+1,0),0)</f>
        <v>0</v>
      </c>
      <c r="AC22" s="35">
        <f>IF(Data!$BQ$44&lt;&gt;0,IF(AND(AB22&lt;&gt;0,Data!$BQ$44&gt;AB22),AB22+1,0),0)</f>
        <v>0</v>
      </c>
      <c r="AD22" s="35">
        <f>IF(Data!$BQ$44&lt;&gt;0,IF(AND(AC22&lt;&gt;0,Data!$BQ$44&gt;AC22),AC22+1,0),0)</f>
        <v>0</v>
      </c>
      <c r="AE22" s="35">
        <f>IF(Data!$BQ$44&lt;&gt;0,IF(AND(AD22&lt;&gt;0,Data!$BQ$44&gt;AD22),AD22+1,0),0)</f>
        <v>0</v>
      </c>
      <c r="AF22" s="35">
        <f>IF(Data!$BQ$44&lt;&gt;0,IF(AND(AE22&lt;&gt;0,Data!$BQ$44&gt;AE22),AE22+1,0),0)</f>
        <v>0</v>
      </c>
      <c r="AG22" s="35">
        <f>IF(Data!$BQ$44&lt;&gt;0,IF(AND(AF22&lt;&gt;0,Data!$BQ$44&gt;AF22),AF22+1,0),0)</f>
        <v>0</v>
      </c>
      <c r="AH22" s="35">
        <f>IF(Data!$BQ$44&lt;&gt;0,IF(AND(AG22&lt;&gt;0,Data!$BQ$44&gt;AG22),AG22+1,0),0)</f>
        <v>0</v>
      </c>
      <c r="AI22" s="35">
        <f>IF(Data!$BQ$44&lt;&gt;0,IF(AND(AH22&lt;&gt;0,Data!$BQ$44&gt;AH22),AH22+1,0),0)</f>
        <v>0</v>
      </c>
      <c r="AJ22" s="35">
        <f>IF(Data!$BQ$44&lt;&gt;0,IF(AND(AI22&lt;&gt;0,Data!$BQ$44&gt;AI22),AI22+1,0),0)</f>
        <v>0</v>
      </c>
      <c r="BD22" s="697"/>
      <c r="BE22" s="723"/>
      <c r="BF22" s="750">
        <f>IF(Data!$BQ$44&lt;&gt;0,1,0)</f>
        <v>1</v>
      </c>
      <c r="BG22" s="355">
        <f>IF(Data!$BQ$44&lt;&gt;0,IF(AND(BF22&lt;&gt;0,Data!$BQ$44&gt;BF22),BF22+1,0),0)</f>
        <v>2</v>
      </c>
      <c r="BH22" s="355">
        <f>IF(Data!$BQ$44&lt;&gt;0,IF(AND(BG22&lt;&gt;0,Data!$BQ$44&gt;BG22),BG22+1,0),0)</f>
        <v>3</v>
      </c>
      <c r="BI22" s="355">
        <f>IF(Data!$BQ$44&lt;&gt;0,IF(AND(BH22&lt;&gt;0,Data!$BQ$44&gt;BH22),BH22+1,0),0)</f>
        <v>4</v>
      </c>
      <c r="BJ22" s="355">
        <f>IF(Data!$BQ$44&lt;&gt;0,IF(AND(BI22&lt;&gt;0,Data!$BQ$44&gt;BI22),BI22+1,0),0)</f>
        <v>5</v>
      </c>
      <c r="BK22" s="355">
        <f>IF(Data!$BQ$44&lt;&gt;0,IF(AND(BJ22&lt;&gt;0,Data!$BQ$44&gt;BJ22),BJ22+1,0),0)</f>
        <v>6</v>
      </c>
      <c r="BL22" s="355">
        <f>IF(Data!$BQ$44&lt;&gt;0,IF(AND(BK22&lt;&gt;0,Data!$BQ$44&gt;BK22),BK22+1,0),0)</f>
        <v>7</v>
      </c>
      <c r="BM22" s="355">
        <f>IF(Data!$BQ$44&lt;&gt;0,IF(AND(BL22&lt;&gt;0,Data!$BQ$44&gt;BL22),BL22+1,0),0)</f>
        <v>8</v>
      </c>
      <c r="BN22" s="355">
        <f>IF(Data!$BQ$44&lt;&gt;0,IF(AND(BM22&lt;&gt;0,Data!$BQ$44&gt;BM22),BM22+1,0),0)</f>
        <v>9</v>
      </c>
      <c r="BO22" s="355">
        <f>IF(Data!$BQ$44&lt;&gt;0,IF(AND(BN22&lt;&gt;0,Data!$BQ$44&gt;BN22),BN22+1,0),0)</f>
        <v>10</v>
      </c>
      <c r="BP22" s="355">
        <f>IF(Data!$BQ$44&lt;&gt;0,IF(AND(BO22&lt;&gt;0,Data!$BQ$44&gt;BO22),BO22+1,0),0)</f>
        <v>11</v>
      </c>
      <c r="BQ22" s="355">
        <f>IF(Data!$BQ$44&lt;&gt;0,IF(AND(BP22&lt;&gt;0,Data!$BQ$44&gt;BP22),BP22+1,0),0)</f>
        <v>12</v>
      </c>
      <c r="BR22" s="355">
        <f>IF(Data!$BQ$44&lt;&gt;0,IF(AND(BQ22&lt;&gt;0,Data!$BQ$44&gt;BQ22),BQ22+1,0),0)</f>
        <v>0</v>
      </c>
      <c r="BS22" s="355">
        <f>IF(Data!$BQ$44&lt;&gt;0,IF(AND(BR22&lt;&gt;0,Data!$BQ$44&gt;BR22),BR22+1,0),0)</f>
        <v>0</v>
      </c>
      <c r="BT22" s="355">
        <f>IF(Data!$BQ$44&lt;&gt;0,IF(AND(BS22&lt;&gt;0,Data!$BQ$44&gt;BS22),BS22+1,0),0)</f>
        <v>0</v>
      </c>
      <c r="BU22" s="355">
        <f>IF(Data!$BQ$44&lt;&gt;0,IF(AND(BT22&lt;&gt;0,Data!$BQ$44&gt;BT22),BT22+1,0),0)</f>
        <v>0</v>
      </c>
      <c r="BV22" s="355">
        <f>IF(Data!$BQ$44&lt;&gt;0,IF(AND(BU22&lt;&gt;0,Data!$BQ$44&gt;BU22),BU22+1,0),0)</f>
        <v>0</v>
      </c>
      <c r="BW22" s="355">
        <f>IF(Data!$BQ$44&lt;&gt;0,IF(AND(BV22&lt;&gt;0,Data!$BQ$44&gt;BV22),BV22+1,0),0)</f>
        <v>0</v>
      </c>
      <c r="BX22" s="355">
        <f>IF(Data!$BQ$44&lt;&gt;0,IF(AND(BW22&lt;&gt;0,Data!$BQ$44&gt;BW22),BW22+1,0),0)</f>
        <v>0</v>
      </c>
      <c r="BY22" s="355">
        <f>IF(Data!$BQ$44&lt;&gt;0,IF(AND(BX22&lt;&gt;0,Data!$BQ$44&gt;BX22),BX22+1,0),0)</f>
        <v>0</v>
      </c>
      <c r="BZ22" s="355">
        <f>IF(Data!$BQ$44&lt;&gt;0,IF(AND(BY22&lt;&gt;0,Data!$BQ$44&gt;BY22),BY22+1,0),0)</f>
        <v>0</v>
      </c>
      <c r="CA22" s="355">
        <f>IF(Data!$BQ$44&lt;&gt;0,IF(AND(BZ22&lt;&gt;0,Data!$BQ$44&gt;BZ22),BZ22+1,0),0)</f>
        <v>0</v>
      </c>
      <c r="CB22" s="355">
        <f>IF(Data!$BQ$44&lt;&gt;0,IF(AND(CA22&lt;&gt;0,Data!$BQ$44&gt;CA22),CA22+1,0),0)</f>
        <v>0</v>
      </c>
      <c r="CC22" s="355">
        <f>IF(Data!$BQ$44&lt;&gt;0,IF(AND(CB22&lt;&gt;0,Data!$BQ$44&gt;CB22),CB22+1,0),0)</f>
        <v>0</v>
      </c>
      <c r="CD22" s="355">
        <f>IF(Data!$BQ$44&lt;&gt;0,IF(AND(CC22&lt;&gt;0,Data!$BQ$44&gt;CC22),CC22+1,0),0)</f>
        <v>0</v>
      </c>
      <c r="CE22" s="355">
        <f>IF(Data!$BQ$44&lt;&gt;0,IF(AND(CD22&lt;&gt;0,Data!$BQ$44&gt;CD22),CD22+1,0),0)</f>
        <v>0</v>
      </c>
      <c r="CF22" s="355">
        <f>IF(Data!$BQ$44&lt;&gt;0,IF(AND(CE22&lt;&gt;0,Data!$BQ$44&gt;CE22),CE22+1,0),0)</f>
        <v>0</v>
      </c>
      <c r="CG22" s="355">
        <f>IF(Data!$BQ$44&lt;&gt;0,IF(AND(CF22&lt;&gt;0,Data!$BQ$44&gt;CF22),CF22+1,0),0)</f>
        <v>0</v>
      </c>
      <c r="CH22" s="355">
        <f>IF(Data!$BQ$44&lt;&gt;0,IF(AND(CG22&lt;&gt;0,Data!$BQ$44&gt;CG22),CG22+1,0),0)</f>
        <v>0</v>
      </c>
      <c r="CI22" s="355">
        <f>IF(Data!$BQ$44&lt;&gt;0,IF(AND(CH22&lt;&gt;0,Data!$BQ$44&gt;CH22),CH22+1,0),0)</f>
        <v>0</v>
      </c>
      <c r="CJ22" s="355">
        <f>IF(Data!$BQ$44&lt;&gt;0,IF(AND(CI22&lt;&gt;0,Data!$BQ$44&gt;CI22),CI22+1,0),0)</f>
        <v>0</v>
      </c>
      <c r="CK22" s="355">
        <f>IF(Data!$BQ$44&lt;&gt;0,IF(AND(CJ22&lt;&gt;0,Data!$BQ$44&gt;CJ22),CJ22+1,0),0)</f>
        <v>0</v>
      </c>
      <c r="CL22" s="360">
        <f>IF(Data!$BQ$44&lt;&gt;0,IF(AND(CK22&lt;&gt;0,Data!$BQ$44&gt;CK22),CK22+1,0),0)</f>
        <v>0</v>
      </c>
    </row>
    <row r="23" spans="1:90" ht="15.5" x14ac:dyDescent="0.35">
      <c r="A23" s="707"/>
      <c r="B23" s="746">
        <v>1</v>
      </c>
      <c r="C23" s="725" t="str">
        <f t="shared" ref="C23:AJ23" si="0">IF(C102&lt;&gt;"",C102,"")</f>
        <v>R</v>
      </c>
      <c r="D23" s="705" t="str">
        <f t="shared" si="0"/>
        <v>R</v>
      </c>
      <c r="E23" s="705" t="str">
        <f t="shared" si="0"/>
        <v>X</v>
      </c>
      <c r="F23" s="705" t="str">
        <f t="shared" si="0"/>
        <v>X</v>
      </c>
      <c r="G23" s="705" t="str">
        <f t="shared" si="0"/>
        <v>X</v>
      </c>
      <c r="H23" s="705" t="str">
        <f t="shared" si="0"/>
        <v>X</v>
      </c>
      <c r="I23" s="705" t="str">
        <f t="shared" si="0"/>
        <v>R</v>
      </c>
      <c r="J23" s="705" t="str">
        <f t="shared" si="0"/>
        <v>X</v>
      </c>
      <c r="K23" s="705" t="str">
        <f t="shared" si="0"/>
        <v>S</v>
      </c>
      <c r="L23" s="705" t="str">
        <f t="shared" si="0"/>
        <v>X</v>
      </c>
      <c r="M23" s="705" t="str">
        <f t="shared" si="0"/>
        <v>X</v>
      </c>
      <c r="N23" s="705" t="str">
        <f t="shared" si="0"/>
        <v>R</v>
      </c>
      <c r="O23" s="705" t="str">
        <f t="shared" si="0"/>
        <v xml:space="preserve"> </v>
      </c>
      <c r="P23" s="705" t="str">
        <f t="shared" si="0"/>
        <v xml:space="preserve"> </v>
      </c>
      <c r="Q23" s="705" t="str">
        <f t="shared" si="0"/>
        <v xml:space="preserve"> </v>
      </c>
      <c r="R23" s="705" t="str">
        <f t="shared" si="0"/>
        <v xml:space="preserve"> </v>
      </c>
      <c r="S23" s="705" t="str">
        <f t="shared" si="0"/>
        <v xml:space="preserve"> </v>
      </c>
      <c r="T23" s="705" t="str">
        <f t="shared" si="0"/>
        <v xml:space="preserve"> </v>
      </c>
      <c r="U23" s="705" t="str">
        <f t="shared" si="0"/>
        <v xml:space="preserve"> </v>
      </c>
      <c r="V23" s="705" t="str">
        <f t="shared" si="0"/>
        <v xml:space="preserve"> </v>
      </c>
      <c r="W23" s="705" t="str">
        <f t="shared" si="0"/>
        <v xml:space="preserve"> </v>
      </c>
      <c r="X23" s="705" t="str">
        <f t="shared" si="0"/>
        <v xml:space="preserve"> </v>
      </c>
      <c r="Y23" s="705" t="str">
        <f t="shared" si="0"/>
        <v xml:space="preserve"> </v>
      </c>
      <c r="Z23" s="705" t="str">
        <f t="shared" si="0"/>
        <v xml:space="preserve"> </v>
      </c>
      <c r="AA23" s="705" t="str">
        <f t="shared" si="0"/>
        <v xml:space="preserve"> </v>
      </c>
      <c r="AB23" s="705" t="str">
        <f t="shared" si="0"/>
        <v xml:space="preserve"> </v>
      </c>
      <c r="AC23" s="705" t="str">
        <f t="shared" si="0"/>
        <v xml:space="preserve"> </v>
      </c>
      <c r="AD23" s="705" t="str">
        <f t="shared" si="0"/>
        <v xml:space="preserve"> </v>
      </c>
      <c r="AE23" s="705" t="str">
        <f t="shared" si="0"/>
        <v xml:space="preserve"> </v>
      </c>
      <c r="AF23" s="705" t="str">
        <f t="shared" si="0"/>
        <v xml:space="preserve"> </v>
      </c>
      <c r="AG23" s="705" t="str">
        <f t="shared" si="0"/>
        <v xml:space="preserve"> </v>
      </c>
      <c r="AH23" s="705" t="str">
        <f t="shared" si="0"/>
        <v xml:space="preserve"> </v>
      </c>
      <c r="AI23" s="705" t="str">
        <f t="shared" si="0"/>
        <v xml:space="preserve"> </v>
      </c>
      <c r="AJ23" s="706" t="str">
        <f t="shared" si="0"/>
        <v xml:space="preserve"> </v>
      </c>
      <c r="BD23" s="702"/>
      <c r="BE23" s="724">
        <v>1</v>
      </c>
      <c r="BF23" s="747" t="str">
        <f t="shared" ref="BF23:CL23" si="1">IF(BF102&lt;&gt;"",BF102,"")</f>
        <v>R</v>
      </c>
      <c r="BG23" s="748" t="str">
        <f t="shared" si="1"/>
        <v>R</v>
      </c>
      <c r="BH23" s="748" t="str">
        <f t="shared" si="1"/>
        <v>X</v>
      </c>
      <c r="BI23" s="748" t="str">
        <f t="shared" si="1"/>
        <v>X</v>
      </c>
      <c r="BJ23" s="748" t="str">
        <f t="shared" si="1"/>
        <v>X</v>
      </c>
      <c r="BK23" s="748" t="str">
        <f t="shared" si="1"/>
        <v>X</v>
      </c>
      <c r="BL23" s="748" t="str">
        <f t="shared" si="1"/>
        <v>R</v>
      </c>
      <c r="BM23" s="748" t="str">
        <f t="shared" si="1"/>
        <v>X</v>
      </c>
      <c r="BN23" s="748" t="str">
        <f t="shared" si="1"/>
        <v>S</v>
      </c>
      <c r="BO23" s="748" t="str">
        <f t="shared" si="1"/>
        <v>X</v>
      </c>
      <c r="BP23" s="748" t="str">
        <f t="shared" si="1"/>
        <v>X</v>
      </c>
      <c r="BQ23" s="748" t="str">
        <f t="shared" si="1"/>
        <v>R</v>
      </c>
      <c r="BR23" s="748" t="str">
        <f t="shared" si="1"/>
        <v xml:space="preserve"> </v>
      </c>
      <c r="BS23" s="748" t="str">
        <f t="shared" si="1"/>
        <v xml:space="preserve"> </v>
      </c>
      <c r="BT23" s="748" t="str">
        <f t="shared" si="1"/>
        <v xml:space="preserve"> </v>
      </c>
      <c r="BU23" s="748" t="str">
        <f t="shared" si="1"/>
        <v xml:space="preserve"> </v>
      </c>
      <c r="BV23" s="748" t="str">
        <f t="shared" si="1"/>
        <v xml:space="preserve"> </v>
      </c>
      <c r="BW23" s="748" t="str">
        <f t="shared" si="1"/>
        <v xml:space="preserve"> </v>
      </c>
      <c r="BX23" s="748" t="str">
        <f t="shared" si="1"/>
        <v xml:space="preserve"> </v>
      </c>
      <c r="BY23" s="748" t="str">
        <f t="shared" si="1"/>
        <v xml:space="preserve"> </v>
      </c>
      <c r="BZ23" s="748" t="str">
        <f t="shared" si="1"/>
        <v xml:space="preserve"> </v>
      </c>
      <c r="CA23" s="748" t="str">
        <f t="shared" si="1"/>
        <v xml:space="preserve"> </v>
      </c>
      <c r="CB23" s="748" t="str">
        <f t="shared" si="1"/>
        <v xml:space="preserve"> </v>
      </c>
      <c r="CC23" s="748" t="str">
        <f t="shared" si="1"/>
        <v xml:space="preserve"> </v>
      </c>
      <c r="CD23" s="748" t="str">
        <f t="shared" si="1"/>
        <v xml:space="preserve"> </v>
      </c>
      <c r="CE23" s="748" t="str">
        <f t="shared" si="1"/>
        <v xml:space="preserve"> </v>
      </c>
      <c r="CF23" s="748" t="str">
        <f t="shared" si="1"/>
        <v xml:space="preserve"> </v>
      </c>
      <c r="CG23" s="748" t="str">
        <f t="shared" si="1"/>
        <v xml:space="preserve"> </v>
      </c>
      <c r="CH23" s="748" t="str">
        <f t="shared" si="1"/>
        <v xml:space="preserve"> </v>
      </c>
      <c r="CI23" s="748" t="str">
        <f t="shared" si="1"/>
        <v xml:space="preserve"> </v>
      </c>
      <c r="CJ23" s="748" t="str">
        <f t="shared" si="1"/>
        <v xml:space="preserve"> </v>
      </c>
      <c r="CK23" s="748" t="str">
        <f t="shared" si="1"/>
        <v xml:space="preserve"> </v>
      </c>
      <c r="CL23" s="749" t="str">
        <f t="shared" si="1"/>
        <v xml:space="preserve"> </v>
      </c>
    </row>
    <row r="24" spans="1:90" ht="15.5" x14ac:dyDescent="0.35">
      <c r="A24" s="707"/>
      <c r="B24" s="726">
        <v>2</v>
      </c>
      <c r="C24" s="727" t="str">
        <f t="shared" ref="C24:AJ24" si="2">IF(C103&lt;&gt;"",C103,"")</f>
        <v>X</v>
      </c>
      <c r="D24" s="166" t="str">
        <f t="shared" si="2"/>
        <v>X</v>
      </c>
      <c r="E24" s="166" t="str">
        <f t="shared" si="2"/>
        <v>X</v>
      </c>
      <c r="F24" s="166" t="str">
        <f t="shared" si="2"/>
        <v>R</v>
      </c>
      <c r="G24" s="166" t="str">
        <f t="shared" si="2"/>
        <v>X</v>
      </c>
      <c r="H24" s="166" t="str">
        <f t="shared" si="2"/>
        <v>S</v>
      </c>
      <c r="I24" s="166" t="str">
        <f t="shared" si="2"/>
        <v>R</v>
      </c>
      <c r="J24" s="166" t="str">
        <f t="shared" si="2"/>
        <v>X</v>
      </c>
      <c r="K24" s="166" t="str">
        <f t="shared" si="2"/>
        <v>R</v>
      </c>
      <c r="L24" s="166" t="str">
        <f t="shared" si="2"/>
        <v xml:space="preserve"> </v>
      </c>
      <c r="M24" s="166" t="str">
        <f t="shared" si="2"/>
        <v xml:space="preserve"> </v>
      </c>
      <c r="N24" s="166" t="str">
        <f t="shared" si="2"/>
        <v xml:space="preserve"> </v>
      </c>
      <c r="O24" s="166" t="str">
        <f t="shared" si="2"/>
        <v xml:space="preserve"> </v>
      </c>
      <c r="P24" s="166" t="str">
        <f t="shared" si="2"/>
        <v xml:space="preserve"> </v>
      </c>
      <c r="Q24" s="166" t="str">
        <f t="shared" si="2"/>
        <v xml:space="preserve"> </v>
      </c>
      <c r="R24" s="166" t="str">
        <f t="shared" si="2"/>
        <v xml:space="preserve"> </v>
      </c>
      <c r="S24" s="166" t="str">
        <f t="shared" si="2"/>
        <v xml:space="preserve"> </v>
      </c>
      <c r="T24" s="166" t="str">
        <f t="shared" si="2"/>
        <v xml:space="preserve"> </v>
      </c>
      <c r="U24" s="166" t="str">
        <f t="shared" si="2"/>
        <v xml:space="preserve"> </v>
      </c>
      <c r="V24" s="166" t="str">
        <f t="shared" si="2"/>
        <v xml:space="preserve"> </v>
      </c>
      <c r="W24" s="166" t="str">
        <f t="shared" si="2"/>
        <v xml:space="preserve"> </v>
      </c>
      <c r="X24" s="166" t="str">
        <f t="shared" si="2"/>
        <v xml:space="preserve"> </v>
      </c>
      <c r="Y24" s="166" t="str">
        <f t="shared" si="2"/>
        <v xml:space="preserve"> </v>
      </c>
      <c r="Z24" s="166" t="str">
        <f t="shared" si="2"/>
        <v xml:space="preserve"> </v>
      </c>
      <c r="AA24" s="166" t="str">
        <f t="shared" si="2"/>
        <v xml:space="preserve"> </v>
      </c>
      <c r="AB24" s="166" t="str">
        <f t="shared" si="2"/>
        <v xml:space="preserve"> </v>
      </c>
      <c r="AC24" s="166" t="str">
        <f t="shared" si="2"/>
        <v xml:space="preserve"> </v>
      </c>
      <c r="AD24" s="166" t="str">
        <f t="shared" si="2"/>
        <v xml:space="preserve"> </v>
      </c>
      <c r="AE24" s="166" t="str">
        <f t="shared" si="2"/>
        <v xml:space="preserve"> </v>
      </c>
      <c r="AF24" s="166" t="str">
        <f t="shared" si="2"/>
        <v xml:space="preserve"> </v>
      </c>
      <c r="AG24" s="166" t="str">
        <f t="shared" si="2"/>
        <v xml:space="preserve"> </v>
      </c>
      <c r="AH24" s="166" t="str">
        <f t="shared" si="2"/>
        <v xml:space="preserve"> </v>
      </c>
      <c r="AI24" s="166" t="str">
        <f t="shared" si="2"/>
        <v xml:space="preserve"> </v>
      </c>
      <c r="AJ24" s="710" t="str">
        <f t="shared" si="2"/>
        <v xml:space="preserve"> </v>
      </c>
      <c r="BD24" s="707"/>
      <c r="BE24" s="726">
        <v>2</v>
      </c>
      <c r="BF24" s="727" t="str">
        <f t="shared" ref="BF24:CL24" si="3">IF(BF103&lt;&gt;"",BF103,"")</f>
        <v>X</v>
      </c>
      <c r="BG24" s="166" t="str">
        <f t="shared" si="3"/>
        <v>X</v>
      </c>
      <c r="BH24" s="166" t="str">
        <f t="shared" si="3"/>
        <v>X</v>
      </c>
      <c r="BI24" s="166" t="str">
        <f t="shared" si="3"/>
        <v>R</v>
      </c>
      <c r="BJ24" s="166" t="str">
        <f t="shared" si="3"/>
        <v>X</v>
      </c>
      <c r="BK24" s="166" t="str">
        <f t="shared" si="3"/>
        <v>S</v>
      </c>
      <c r="BL24" s="166" t="str">
        <f t="shared" si="3"/>
        <v>R</v>
      </c>
      <c r="BM24" s="166" t="str">
        <f t="shared" si="3"/>
        <v>X</v>
      </c>
      <c r="BN24" s="166" t="str">
        <f t="shared" si="3"/>
        <v>R</v>
      </c>
      <c r="BO24" s="166" t="str">
        <f t="shared" si="3"/>
        <v xml:space="preserve"> </v>
      </c>
      <c r="BP24" s="166" t="str">
        <f t="shared" si="3"/>
        <v xml:space="preserve"> </v>
      </c>
      <c r="BQ24" s="166" t="str">
        <f t="shared" si="3"/>
        <v xml:space="preserve"> </v>
      </c>
      <c r="BR24" s="166" t="str">
        <f t="shared" si="3"/>
        <v xml:space="preserve"> </v>
      </c>
      <c r="BS24" s="166" t="str">
        <f t="shared" si="3"/>
        <v xml:space="preserve"> </v>
      </c>
      <c r="BT24" s="166" t="str">
        <f t="shared" si="3"/>
        <v xml:space="preserve"> </v>
      </c>
      <c r="BU24" s="166" t="str">
        <f t="shared" si="3"/>
        <v xml:space="preserve"> </v>
      </c>
      <c r="BV24" s="166" t="str">
        <f t="shared" si="3"/>
        <v xml:space="preserve"> </v>
      </c>
      <c r="BW24" s="166" t="str">
        <f t="shared" si="3"/>
        <v xml:space="preserve"> </v>
      </c>
      <c r="BX24" s="166" t="str">
        <f t="shared" si="3"/>
        <v xml:space="preserve"> </v>
      </c>
      <c r="BY24" s="166" t="str">
        <f t="shared" si="3"/>
        <v xml:space="preserve"> </v>
      </c>
      <c r="BZ24" s="166" t="str">
        <f t="shared" si="3"/>
        <v xml:space="preserve"> </v>
      </c>
      <c r="CA24" s="166" t="str">
        <f t="shared" si="3"/>
        <v xml:space="preserve"> </v>
      </c>
      <c r="CB24" s="166" t="str">
        <f t="shared" si="3"/>
        <v xml:space="preserve"> </v>
      </c>
      <c r="CC24" s="166" t="str">
        <f t="shared" si="3"/>
        <v xml:space="preserve"> </v>
      </c>
      <c r="CD24" s="166" t="str">
        <f t="shared" si="3"/>
        <v xml:space="preserve"> </v>
      </c>
      <c r="CE24" s="166" t="str">
        <f t="shared" si="3"/>
        <v xml:space="preserve"> </v>
      </c>
      <c r="CF24" s="166" t="str">
        <f t="shared" si="3"/>
        <v xml:space="preserve"> </v>
      </c>
      <c r="CG24" s="166" t="str">
        <f t="shared" si="3"/>
        <v xml:space="preserve"> </v>
      </c>
      <c r="CH24" s="166" t="str">
        <f t="shared" si="3"/>
        <v xml:space="preserve"> </v>
      </c>
      <c r="CI24" s="166" t="str">
        <f t="shared" si="3"/>
        <v xml:space="preserve"> </v>
      </c>
      <c r="CJ24" s="166" t="str">
        <f t="shared" si="3"/>
        <v xml:space="preserve"> </v>
      </c>
      <c r="CK24" s="166" t="str">
        <f t="shared" si="3"/>
        <v xml:space="preserve"> </v>
      </c>
      <c r="CL24" s="710" t="str">
        <f t="shared" si="3"/>
        <v xml:space="preserve"> </v>
      </c>
    </row>
    <row r="25" spans="1:90" ht="15.5" x14ac:dyDescent="0.35">
      <c r="A25" s="707"/>
      <c r="B25" s="726">
        <v>3</v>
      </c>
      <c r="C25" s="727" t="str">
        <f t="shared" ref="C25:AJ25" si="4">IF(C104&lt;&gt;"",C104,"")</f>
        <v>R</v>
      </c>
      <c r="D25" s="166" t="str">
        <f t="shared" si="4"/>
        <v>R</v>
      </c>
      <c r="E25" s="166" t="str">
        <f t="shared" si="4"/>
        <v>R</v>
      </c>
      <c r="F25" s="166" t="str">
        <f t="shared" si="4"/>
        <v>X</v>
      </c>
      <c r="G25" s="166" t="str">
        <f t="shared" si="4"/>
        <v>X</v>
      </c>
      <c r="H25" s="166" t="str">
        <f t="shared" si="4"/>
        <v>X</v>
      </c>
      <c r="I25" s="166" t="str">
        <f t="shared" si="4"/>
        <v>X</v>
      </c>
      <c r="J25" s="166" t="str">
        <f t="shared" si="4"/>
        <v>R</v>
      </c>
      <c r="K25" s="166" t="str">
        <f t="shared" si="4"/>
        <v>X</v>
      </c>
      <c r="L25" s="166" t="str">
        <f t="shared" si="4"/>
        <v>X</v>
      </c>
      <c r="M25" s="166" t="str">
        <f t="shared" si="4"/>
        <v xml:space="preserve"> </v>
      </c>
      <c r="N25" s="166" t="str">
        <f t="shared" si="4"/>
        <v xml:space="preserve"> </v>
      </c>
      <c r="O25" s="166" t="str">
        <f t="shared" si="4"/>
        <v xml:space="preserve"> </v>
      </c>
      <c r="P25" s="166" t="str">
        <f t="shared" si="4"/>
        <v xml:space="preserve"> </v>
      </c>
      <c r="Q25" s="166" t="str">
        <f t="shared" si="4"/>
        <v xml:space="preserve"> </v>
      </c>
      <c r="R25" s="166" t="str">
        <f t="shared" si="4"/>
        <v xml:space="preserve"> </v>
      </c>
      <c r="S25" s="166" t="str">
        <f t="shared" si="4"/>
        <v xml:space="preserve"> </v>
      </c>
      <c r="T25" s="166" t="str">
        <f t="shared" si="4"/>
        <v xml:space="preserve"> </v>
      </c>
      <c r="U25" s="166" t="str">
        <f t="shared" si="4"/>
        <v xml:space="preserve"> </v>
      </c>
      <c r="V25" s="166" t="str">
        <f t="shared" si="4"/>
        <v xml:space="preserve"> </v>
      </c>
      <c r="W25" s="166" t="str">
        <f t="shared" si="4"/>
        <v xml:space="preserve"> </v>
      </c>
      <c r="X25" s="166" t="str">
        <f t="shared" si="4"/>
        <v xml:space="preserve"> </v>
      </c>
      <c r="Y25" s="166" t="str">
        <f t="shared" si="4"/>
        <v xml:space="preserve"> </v>
      </c>
      <c r="Z25" s="166" t="str">
        <f t="shared" si="4"/>
        <v xml:space="preserve"> </v>
      </c>
      <c r="AA25" s="166" t="str">
        <f t="shared" si="4"/>
        <v xml:space="preserve"> </v>
      </c>
      <c r="AB25" s="166" t="str">
        <f t="shared" si="4"/>
        <v xml:space="preserve"> </v>
      </c>
      <c r="AC25" s="166" t="str">
        <f t="shared" si="4"/>
        <v xml:space="preserve"> </v>
      </c>
      <c r="AD25" s="166" t="str">
        <f t="shared" si="4"/>
        <v xml:space="preserve"> </v>
      </c>
      <c r="AE25" s="166" t="str">
        <f t="shared" si="4"/>
        <v xml:space="preserve"> </v>
      </c>
      <c r="AF25" s="166" t="str">
        <f t="shared" si="4"/>
        <v xml:space="preserve"> </v>
      </c>
      <c r="AG25" s="166" t="str">
        <f t="shared" si="4"/>
        <v xml:space="preserve"> </v>
      </c>
      <c r="AH25" s="166" t="str">
        <f t="shared" si="4"/>
        <v xml:space="preserve"> </v>
      </c>
      <c r="AI25" s="166" t="str">
        <f t="shared" si="4"/>
        <v xml:space="preserve"> </v>
      </c>
      <c r="AJ25" s="710" t="str">
        <f t="shared" si="4"/>
        <v xml:space="preserve"> </v>
      </c>
      <c r="BD25" s="707"/>
      <c r="BE25" s="726">
        <v>3</v>
      </c>
      <c r="BF25" s="727" t="str">
        <f t="shared" ref="BF25:CL25" si="5">IF(BF104&lt;&gt;"",BF104,"")</f>
        <v>R</v>
      </c>
      <c r="BG25" s="166" t="str">
        <f t="shared" si="5"/>
        <v>R</v>
      </c>
      <c r="BH25" s="166" t="str">
        <f t="shared" si="5"/>
        <v>R</v>
      </c>
      <c r="BI25" s="166" t="str">
        <f t="shared" si="5"/>
        <v>X</v>
      </c>
      <c r="BJ25" s="166" t="str">
        <f t="shared" si="5"/>
        <v>X</v>
      </c>
      <c r="BK25" s="166" t="str">
        <f t="shared" si="5"/>
        <v>X</v>
      </c>
      <c r="BL25" s="166" t="str">
        <f t="shared" si="5"/>
        <v>X</v>
      </c>
      <c r="BM25" s="166" t="str">
        <f t="shared" si="5"/>
        <v>R</v>
      </c>
      <c r="BN25" s="166" t="str">
        <f t="shared" si="5"/>
        <v>X</v>
      </c>
      <c r="BO25" s="166" t="str">
        <f t="shared" si="5"/>
        <v>X</v>
      </c>
      <c r="BP25" s="166" t="str">
        <f t="shared" si="5"/>
        <v xml:space="preserve"> </v>
      </c>
      <c r="BQ25" s="166" t="str">
        <f t="shared" si="5"/>
        <v xml:space="preserve"> </v>
      </c>
      <c r="BR25" s="166" t="str">
        <f t="shared" si="5"/>
        <v xml:space="preserve"> </v>
      </c>
      <c r="BS25" s="166" t="str">
        <f t="shared" si="5"/>
        <v xml:space="preserve"> </v>
      </c>
      <c r="BT25" s="166" t="str">
        <f t="shared" si="5"/>
        <v xml:space="preserve"> </v>
      </c>
      <c r="BU25" s="166" t="str">
        <f t="shared" si="5"/>
        <v xml:space="preserve"> </v>
      </c>
      <c r="BV25" s="166" t="str">
        <f t="shared" si="5"/>
        <v xml:space="preserve"> </v>
      </c>
      <c r="BW25" s="166" t="str">
        <f t="shared" si="5"/>
        <v xml:space="preserve"> </v>
      </c>
      <c r="BX25" s="166" t="str">
        <f t="shared" si="5"/>
        <v xml:space="preserve"> </v>
      </c>
      <c r="BY25" s="166" t="str">
        <f t="shared" si="5"/>
        <v xml:space="preserve"> </v>
      </c>
      <c r="BZ25" s="166" t="str">
        <f t="shared" si="5"/>
        <v xml:space="preserve"> </v>
      </c>
      <c r="CA25" s="166" t="str">
        <f t="shared" si="5"/>
        <v xml:space="preserve"> </v>
      </c>
      <c r="CB25" s="166" t="str">
        <f t="shared" si="5"/>
        <v xml:space="preserve"> </v>
      </c>
      <c r="CC25" s="166" t="str">
        <f t="shared" si="5"/>
        <v xml:space="preserve"> </v>
      </c>
      <c r="CD25" s="166" t="str">
        <f t="shared" si="5"/>
        <v xml:space="preserve"> </v>
      </c>
      <c r="CE25" s="166" t="str">
        <f t="shared" si="5"/>
        <v xml:space="preserve"> </v>
      </c>
      <c r="CF25" s="166" t="str">
        <f t="shared" si="5"/>
        <v xml:space="preserve"> </v>
      </c>
      <c r="CG25" s="166" t="str">
        <f t="shared" si="5"/>
        <v xml:space="preserve"> </v>
      </c>
      <c r="CH25" s="166" t="str">
        <f t="shared" si="5"/>
        <v xml:space="preserve"> </v>
      </c>
      <c r="CI25" s="166" t="str">
        <f t="shared" si="5"/>
        <v xml:space="preserve"> </v>
      </c>
      <c r="CJ25" s="166" t="str">
        <f t="shared" si="5"/>
        <v xml:space="preserve"> </v>
      </c>
      <c r="CK25" s="166" t="str">
        <f t="shared" si="5"/>
        <v xml:space="preserve"> </v>
      </c>
      <c r="CL25" s="710" t="str">
        <f t="shared" si="5"/>
        <v xml:space="preserve"> </v>
      </c>
    </row>
    <row r="26" spans="1:90" ht="15.5" x14ac:dyDescent="0.35">
      <c r="A26" s="707"/>
      <c r="B26" s="726">
        <v>4</v>
      </c>
      <c r="C26" s="727" t="str">
        <f t="shared" ref="C26:AJ26" si="6">IF(C105&lt;&gt;"",C105,"")</f>
        <v>X</v>
      </c>
      <c r="D26" s="166" t="str">
        <f t="shared" si="6"/>
        <v>X</v>
      </c>
      <c r="E26" s="166" t="str">
        <f t="shared" si="6"/>
        <v>X</v>
      </c>
      <c r="F26" s="166" t="str">
        <f t="shared" si="6"/>
        <v>X</v>
      </c>
      <c r="G26" s="166" t="str">
        <f t="shared" si="6"/>
        <v>R</v>
      </c>
      <c r="H26" s="166" t="str">
        <f t="shared" si="6"/>
        <v>X</v>
      </c>
      <c r="I26" s="166" t="str">
        <f t="shared" si="6"/>
        <v>R</v>
      </c>
      <c r="J26" s="166" t="str">
        <f t="shared" si="6"/>
        <v>R</v>
      </c>
      <c r="K26" s="166" t="str">
        <f t="shared" si="6"/>
        <v>R</v>
      </c>
      <c r="L26" s="166" t="str">
        <f t="shared" si="6"/>
        <v>S</v>
      </c>
      <c r="M26" s="166" t="str">
        <f t="shared" si="6"/>
        <v xml:space="preserve"> </v>
      </c>
      <c r="N26" s="166" t="str">
        <f t="shared" si="6"/>
        <v xml:space="preserve"> </v>
      </c>
      <c r="O26" s="166" t="str">
        <f t="shared" si="6"/>
        <v xml:space="preserve"> </v>
      </c>
      <c r="P26" s="166" t="str">
        <f t="shared" si="6"/>
        <v xml:space="preserve"> </v>
      </c>
      <c r="Q26" s="166" t="str">
        <f t="shared" si="6"/>
        <v xml:space="preserve"> </v>
      </c>
      <c r="R26" s="166" t="str">
        <f t="shared" si="6"/>
        <v xml:space="preserve"> </v>
      </c>
      <c r="S26" s="166" t="str">
        <f t="shared" si="6"/>
        <v xml:space="preserve"> </v>
      </c>
      <c r="T26" s="166" t="str">
        <f t="shared" si="6"/>
        <v xml:space="preserve"> </v>
      </c>
      <c r="U26" s="166" t="str">
        <f t="shared" si="6"/>
        <v xml:space="preserve"> </v>
      </c>
      <c r="V26" s="166" t="str">
        <f t="shared" si="6"/>
        <v xml:space="preserve"> </v>
      </c>
      <c r="W26" s="166" t="str">
        <f t="shared" si="6"/>
        <v xml:space="preserve"> </v>
      </c>
      <c r="X26" s="166" t="str">
        <f t="shared" si="6"/>
        <v xml:space="preserve"> </v>
      </c>
      <c r="Y26" s="166" t="str">
        <f t="shared" si="6"/>
        <v xml:space="preserve"> </v>
      </c>
      <c r="Z26" s="166" t="str">
        <f t="shared" si="6"/>
        <v xml:space="preserve"> </v>
      </c>
      <c r="AA26" s="166" t="str">
        <f t="shared" si="6"/>
        <v xml:space="preserve"> </v>
      </c>
      <c r="AB26" s="166" t="str">
        <f t="shared" si="6"/>
        <v xml:space="preserve"> </v>
      </c>
      <c r="AC26" s="166" t="str">
        <f t="shared" si="6"/>
        <v xml:space="preserve"> </v>
      </c>
      <c r="AD26" s="166" t="str">
        <f t="shared" si="6"/>
        <v xml:space="preserve"> </v>
      </c>
      <c r="AE26" s="166" t="str">
        <f t="shared" si="6"/>
        <v xml:space="preserve"> </v>
      </c>
      <c r="AF26" s="166" t="str">
        <f t="shared" si="6"/>
        <v xml:space="preserve"> </v>
      </c>
      <c r="AG26" s="166" t="str">
        <f t="shared" si="6"/>
        <v xml:space="preserve"> </v>
      </c>
      <c r="AH26" s="166" t="str">
        <f t="shared" si="6"/>
        <v xml:space="preserve"> </v>
      </c>
      <c r="AI26" s="166" t="str">
        <f t="shared" si="6"/>
        <v xml:space="preserve"> </v>
      </c>
      <c r="AJ26" s="710" t="str">
        <f t="shared" si="6"/>
        <v xml:space="preserve"> </v>
      </c>
      <c r="BD26" s="707"/>
      <c r="BE26" s="726">
        <v>4</v>
      </c>
      <c r="BF26" s="727" t="str">
        <f t="shared" ref="BF26:CL26" si="7">IF(BF105&lt;&gt;"",BF105,"")</f>
        <v>X</v>
      </c>
      <c r="BG26" s="166" t="str">
        <f t="shared" si="7"/>
        <v>X</v>
      </c>
      <c r="BH26" s="166" t="str">
        <f t="shared" si="7"/>
        <v>X</v>
      </c>
      <c r="BI26" s="166" t="str">
        <f t="shared" si="7"/>
        <v>X</v>
      </c>
      <c r="BJ26" s="166" t="str">
        <f t="shared" si="7"/>
        <v>R</v>
      </c>
      <c r="BK26" s="166" t="str">
        <f t="shared" si="7"/>
        <v>X</v>
      </c>
      <c r="BL26" s="166" t="str">
        <f t="shared" si="7"/>
        <v>R</v>
      </c>
      <c r="BM26" s="166" t="str">
        <f t="shared" si="7"/>
        <v>R</v>
      </c>
      <c r="BN26" s="166" t="str">
        <f t="shared" si="7"/>
        <v>R</v>
      </c>
      <c r="BO26" s="166" t="str">
        <f t="shared" si="7"/>
        <v>S</v>
      </c>
      <c r="BP26" s="166" t="str">
        <f t="shared" si="7"/>
        <v xml:space="preserve"> </v>
      </c>
      <c r="BQ26" s="166" t="str">
        <f t="shared" si="7"/>
        <v xml:space="preserve"> </v>
      </c>
      <c r="BR26" s="166" t="str">
        <f t="shared" si="7"/>
        <v xml:space="preserve"> </v>
      </c>
      <c r="BS26" s="166" t="str">
        <f t="shared" si="7"/>
        <v xml:space="preserve"> </v>
      </c>
      <c r="BT26" s="166" t="str">
        <f t="shared" si="7"/>
        <v xml:space="preserve"> </v>
      </c>
      <c r="BU26" s="166" t="str">
        <f t="shared" si="7"/>
        <v xml:space="preserve"> </v>
      </c>
      <c r="BV26" s="166" t="str">
        <f t="shared" si="7"/>
        <v xml:space="preserve"> </v>
      </c>
      <c r="BW26" s="166" t="str">
        <f t="shared" si="7"/>
        <v xml:space="preserve"> </v>
      </c>
      <c r="BX26" s="166" t="str">
        <f t="shared" si="7"/>
        <v xml:space="preserve"> </v>
      </c>
      <c r="BY26" s="166" t="str">
        <f t="shared" si="7"/>
        <v xml:space="preserve"> </v>
      </c>
      <c r="BZ26" s="166" t="str">
        <f t="shared" si="7"/>
        <v xml:space="preserve"> </v>
      </c>
      <c r="CA26" s="166" t="str">
        <f t="shared" si="7"/>
        <v xml:space="preserve"> </v>
      </c>
      <c r="CB26" s="166" t="str">
        <f t="shared" si="7"/>
        <v xml:space="preserve"> </v>
      </c>
      <c r="CC26" s="166" t="str">
        <f t="shared" si="7"/>
        <v xml:space="preserve"> </v>
      </c>
      <c r="CD26" s="166" t="str">
        <f t="shared" si="7"/>
        <v xml:space="preserve"> </v>
      </c>
      <c r="CE26" s="166" t="str">
        <f t="shared" si="7"/>
        <v xml:space="preserve"> </v>
      </c>
      <c r="CF26" s="166" t="str">
        <f t="shared" si="7"/>
        <v xml:space="preserve"> </v>
      </c>
      <c r="CG26" s="166" t="str">
        <f t="shared" si="7"/>
        <v xml:space="preserve"> </v>
      </c>
      <c r="CH26" s="166" t="str">
        <f t="shared" si="7"/>
        <v xml:space="preserve"> </v>
      </c>
      <c r="CI26" s="166" t="str">
        <f t="shared" si="7"/>
        <v xml:space="preserve"> </v>
      </c>
      <c r="CJ26" s="166" t="str">
        <f t="shared" si="7"/>
        <v xml:space="preserve"> </v>
      </c>
      <c r="CK26" s="166" t="str">
        <f t="shared" si="7"/>
        <v xml:space="preserve"> </v>
      </c>
      <c r="CL26" s="710" t="str">
        <f t="shared" si="7"/>
        <v xml:space="preserve"> </v>
      </c>
    </row>
    <row r="27" spans="1:90" ht="15.5" x14ac:dyDescent="0.35">
      <c r="A27" s="707"/>
      <c r="B27" s="726">
        <v>5</v>
      </c>
      <c r="C27" s="727" t="str">
        <f t="shared" ref="C27:AJ27" si="8">IF(C106&lt;&gt;"",C106,"")</f>
        <v>R</v>
      </c>
      <c r="D27" s="166" t="str">
        <f t="shared" si="8"/>
        <v>R</v>
      </c>
      <c r="E27" s="166" t="str">
        <f t="shared" si="8"/>
        <v>X</v>
      </c>
      <c r="F27" s="166" t="str">
        <f t="shared" si="8"/>
        <v>X</v>
      </c>
      <c r="G27" s="166" t="str">
        <f t="shared" si="8"/>
        <v>X</v>
      </c>
      <c r="H27" s="166" t="str">
        <f t="shared" si="8"/>
        <v>X</v>
      </c>
      <c r="I27" s="166" t="str">
        <f t="shared" si="8"/>
        <v>R</v>
      </c>
      <c r="J27" s="166" t="str">
        <f t="shared" si="8"/>
        <v>X</v>
      </c>
      <c r="K27" s="166" t="str">
        <f t="shared" si="8"/>
        <v>R</v>
      </c>
      <c r="L27" s="166" t="str">
        <f t="shared" si="8"/>
        <v>X</v>
      </c>
      <c r="M27" s="166" t="str">
        <f t="shared" si="8"/>
        <v>R</v>
      </c>
      <c r="N27" s="166" t="str">
        <f t="shared" si="8"/>
        <v>R</v>
      </c>
      <c r="O27" s="166" t="str">
        <f t="shared" si="8"/>
        <v xml:space="preserve"> </v>
      </c>
      <c r="P27" s="166" t="str">
        <f t="shared" si="8"/>
        <v xml:space="preserve"> </v>
      </c>
      <c r="Q27" s="166" t="str">
        <f t="shared" si="8"/>
        <v xml:space="preserve"> </v>
      </c>
      <c r="R27" s="166" t="str">
        <f t="shared" si="8"/>
        <v xml:space="preserve"> </v>
      </c>
      <c r="S27" s="166" t="str">
        <f t="shared" si="8"/>
        <v xml:space="preserve"> </v>
      </c>
      <c r="T27" s="166" t="str">
        <f t="shared" si="8"/>
        <v xml:space="preserve"> </v>
      </c>
      <c r="U27" s="166" t="str">
        <f t="shared" si="8"/>
        <v xml:space="preserve"> </v>
      </c>
      <c r="V27" s="166" t="str">
        <f t="shared" si="8"/>
        <v xml:space="preserve"> </v>
      </c>
      <c r="W27" s="166" t="str">
        <f t="shared" si="8"/>
        <v xml:space="preserve"> </v>
      </c>
      <c r="X27" s="166" t="str">
        <f t="shared" si="8"/>
        <v xml:space="preserve"> </v>
      </c>
      <c r="Y27" s="166" t="str">
        <f t="shared" si="8"/>
        <v xml:space="preserve"> </v>
      </c>
      <c r="Z27" s="166" t="str">
        <f t="shared" si="8"/>
        <v xml:space="preserve"> </v>
      </c>
      <c r="AA27" s="166" t="str">
        <f t="shared" si="8"/>
        <v xml:space="preserve"> </v>
      </c>
      <c r="AB27" s="166" t="str">
        <f t="shared" si="8"/>
        <v xml:space="preserve"> </v>
      </c>
      <c r="AC27" s="166" t="str">
        <f t="shared" si="8"/>
        <v xml:space="preserve"> </v>
      </c>
      <c r="AD27" s="166" t="str">
        <f t="shared" si="8"/>
        <v xml:space="preserve"> </v>
      </c>
      <c r="AE27" s="166" t="str">
        <f t="shared" si="8"/>
        <v xml:space="preserve"> </v>
      </c>
      <c r="AF27" s="166" t="str">
        <f t="shared" si="8"/>
        <v xml:space="preserve"> </v>
      </c>
      <c r="AG27" s="166" t="str">
        <f t="shared" si="8"/>
        <v xml:space="preserve"> </v>
      </c>
      <c r="AH27" s="166" t="str">
        <f t="shared" si="8"/>
        <v xml:space="preserve"> </v>
      </c>
      <c r="AI27" s="166" t="str">
        <f t="shared" si="8"/>
        <v xml:space="preserve"> </v>
      </c>
      <c r="AJ27" s="710" t="str">
        <f t="shared" si="8"/>
        <v xml:space="preserve"> </v>
      </c>
      <c r="BD27" s="707"/>
      <c r="BE27" s="726">
        <v>5</v>
      </c>
      <c r="BF27" s="727" t="str">
        <f t="shared" ref="BF27:CL27" si="9">IF(BF106&lt;&gt;"",BF106,"")</f>
        <v>R</v>
      </c>
      <c r="BG27" s="166" t="str">
        <f t="shared" si="9"/>
        <v>R</v>
      </c>
      <c r="BH27" s="166" t="str">
        <f t="shared" si="9"/>
        <v>X</v>
      </c>
      <c r="BI27" s="166" t="str">
        <f t="shared" si="9"/>
        <v>X</v>
      </c>
      <c r="BJ27" s="166" t="str">
        <f t="shared" si="9"/>
        <v>X</v>
      </c>
      <c r="BK27" s="166" t="str">
        <f t="shared" si="9"/>
        <v>X</v>
      </c>
      <c r="BL27" s="166" t="str">
        <f t="shared" si="9"/>
        <v>R</v>
      </c>
      <c r="BM27" s="166" t="str">
        <f t="shared" si="9"/>
        <v>X</v>
      </c>
      <c r="BN27" s="166" t="str">
        <f t="shared" si="9"/>
        <v>R</v>
      </c>
      <c r="BO27" s="166" t="str">
        <f t="shared" si="9"/>
        <v>X</v>
      </c>
      <c r="BP27" s="166" t="str">
        <f t="shared" si="9"/>
        <v>R</v>
      </c>
      <c r="BQ27" s="166" t="str">
        <f t="shared" si="9"/>
        <v>R</v>
      </c>
      <c r="BR27" s="166" t="str">
        <f t="shared" si="9"/>
        <v xml:space="preserve"> </v>
      </c>
      <c r="BS27" s="166" t="str">
        <f t="shared" si="9"/>
        <v xml:space="preserve"> </v>
      </c>
      <c r="BT27" s="166" t="str">
        <f t="shared" si="9"/>
        <v xml:space="preserve"> </v>
      </c>
      <c r="BU27" s="166" t="str">
        <f t="shared" si="9"/>
        <v xml:space="preserve"> </v>
      </c>
      <c r="BV27" s="166" t="str">
        <f t="shared" si="9"/>
        <v xml:space="preserve"> </v>
      </c>
      <c r="BW27" s="166" t="str">
        <f t="shared" si="9"/>
        <v xml:space="preserve"> </v>
      </c>
      <c r="BX27" s="166" t="str">
        <f t="shared" si="9"/>
        <v xml:space="preserve"> </v>
      </c>
      <c r="BY27" s="166" t="str">
        <f t="shared" si="9"/>
        <v xml:space="preserve"> </v>
      </c>
      <c r="BZ27" s="166" t="str">
        <f t="shared" si="9"/>
        <v xml:space="preserve"> </v>
      </c>
      <c r="CA27" s="166" t="str">
        <f t="shared" si="9"/>
        <v xml:space="preserve"> </v>
      </c>
      <c r="CB27" s="166" t="str">
        <f t="shared" si="9"/>
        <v xml:space="preserve"> </v>
      </c>
      <c r="CC27" s="166" t="str">
        <f t="shared" si="9"/>
        <v xml:space="preserve"> </v>
      </c>
      <c r="CD27" s="166" t="str">
        <f t="shared" si="9"/>
        <v xml:space="preserve"> </v>
      </c>
      <c r="CE27" s="166" t="str">
        <f t="shared" si="9"/>
        <v xml:space="preserve"> </v>
      </c>
      <c r="CF27" s="166" t="str">
        <f t="shared" si="9"/>
        <v xml:space="preserve"> </v>
      </c>
      <c r="CG27" s="166" t="str">
        <f t="shared" si="9"/>
        <v xml:space="preserve"> </v>
      </c>
      <c r="CH27" s="166" t="str">
        <f t="shared" si="9"/>
        <v xml:space="preserve"> </v>
      </c>
      <c r="CI27" s="166" t="str">
        <f t="shared" si="9"/>
        <v xml:space="preserve"> </v>
      </c>
      <c r="CJ27" s="166" t="str">
        <f t="shared" si="9"/>
        <v xml:space="preserve"> </v>
      </c>
      <c r="CK27" s="166" t="str">
        <f t="shared" si="9"/>
        <v xml:space="preserve"> </v>
      </c>
      <c r="CL27" s="710" t="str">
        <f t="shared" si="9"/>
        <v xml:space="preserve"> </v>
      </c>
    </row>
    <row r="28" spans="1:90" ht="15.5" x14ac:dyDescent="0.35">
      <c r="A28" s="707"/>
      <c r="B28" s="726">
        <v>6</v>
      </c>
      <c r="C28" s="727" t="str">
        <f t="shared" ref="C28:AJ28" si="10">IF(C107&lt;&gt;"",C107,"")</f>
        <v>X</v>
      </c>
      <c r="D28" s="166" t="str">
        <f t="shared" si="10"/>
        <v>X</v>
      </c>
      <c r="E28" s="166" t="str">
        <f t="shared" si="10"/>
        <v>X</v>
      </c>
      <c r="F28" s="166" t="str">
        <f t="shared" si="10"/>
        <v>R</v>
      </c>
      <c r="G28" s="166" t="str">
        <f t="shared" si="10"/>
        <v>X</v>
      </c>
      <c r="H28" s="166" t="str">
        <f t="shared" si="10"/>
        <v>S</v>
      </c>
      <c r="I28" s="166" t="str">
        <f t="shared" si="10"/>
        <v>R</v>
      </c>
      <c r="J28" s="166" t="str">
        <f t="shared" si="10"/>
        <v>R</v>
      </c>
      <c r="K28" s="166" t="str">
        <f t="shared" si="10"/>
        <v>R</v>
      </c>
      <c r="L28" s="166" t="str">
        <f t="shared" si="10"/>
        <v xml:space="preserve"> </v>
      </c>
      <c r="M28" s="166" t="str">
        <f t="shared" si="10"/>
        <v xml:space="preserve"> </v>
      </c>
      <c r="N28" s="166" t="str">
        <f t="shared" si="10"/>
        <v xml:space="preserve"> </v>
      </c>
      <c r="O28" s="166" t="str">
        <f t="shared" si="10"/>
        <v xml:space="preserve"> </v>
      </c>
      <c r="P28" s="166" t="str">
        <f t="shared" si="10"/>
        <v xml:space="preserve"> </v>
      </c>
      <c r="Q28" s="166" t="str">
        <f t="shared" si="10"/>
        <v xml:space="preserve"> </v>
      </c>
      <c r="R28" s="166" t="str">
        <f t="shared" si="10"/>
        <v xml:space="preserve"> </v>
      </c>
      <c r="S28" s="166" t="str">
        <f t="shared" si="10"/>
        <v xml:space="preserve"> </v>
      </c>
      <c r="T28" s="166" t="str">
        <f t="shared" si="10"/>
        <v xml:space="preserve"> </v>
      </c>
      <c r="U28" s="166" t="str">
        <f t="shared" si="10"/>
        <v xml:space="preserve"> </v>
      </c>
      <c r="V28" s="166" t="str">
        <f t="shared" si="10"/>
        <v xml:space="preserve"> </v>
      </c>
      <c r="W28" s="166" t="str">
        <f t="shared" si="10"/>
        <v xml:space="preserve"> </v>
      </c>
      <c r="X28" s="166" t="str">
        <f t="shared" si="10"/>
        <v xml:space="preserve"> </v>
      </c>
      <c r="Y28" s="166" t="str">
        <f t="shared" si="10"/>
        <v xml:space="preserve"> </v>
      </c>
      <c r="Z28" s="166" t="str">
        <f t="shared" si="10"/>
        <v xml:space="preserve"> </v>
      </c>
      <c r="AA28" s="166" t="str">
        <f t="shared" si="10"/>
        <v xml:space="preserve"> </v>
      </c>
      <c r="AB28" s="166" t="str">
        <f t="shared" si="10"/>
        <v xml:space="preserve"> </v>
      </c>
      <c r="AC28" s="166" t="str">
        <f t="shared" si="10"/>
        <v xml:space="preserve"> </v>
      </c>
      <c r="AD28" s="166" t="str">
        <f t="shared" si="10"/>
        <v xml:space="preserve"> </v>
      </c>
      <c r="AE28" s="166" t="str">
        <f t="shared" si="10"/>
        <v xml:space="preserve"> </v>
      </c>
      <c r="AF28" s="166" t="str">
        <f t="shared" si="10"/>
        <v xml:space="preserve"> </v>
      </c>
      <c r="AG28" s="166" t="str">
        <f t="shared" si="10"/>
        <v xml:space="preserve"> </v>
      </c>
      <c r="AH28" s="166" t="str">
        <f t="shared" si="10"/>
        <v xml:space="preserve"> </v>
      </c>
      <c r="AI28" s="166" t="str">
        <f t="shared" si="10"/>
        <v xml:space="preserve"> </v>
      </c>
      <c r="AJ28" s="710" t="str">
        <f t="shared" si="10"/>
        <v xml:space="preserve"> </v>
      </c>
      <c r="BD28" s="707"/>
      <c r="BE28" s="726">
        <v>6</v>
      </c>
      <c r="BF28" s="727" t="str">
        <f t="shared" ref="BF28:CL28" si="11">IF(BF107&lt;&gt;"",BF107,"")</f>
        <v>X</v>
      </c>
      <c r="BG28" s="166" t="str">
        <f t="shared" si="11"/>
        <v>X</v>
      </c>
      <c r="BH28" s="166" t="str">
        <f t="shared" si="11"/>
        <v>X</v>
      </c>
      <c r="BI28" s="166" t="str">
        <f t="shared" si="11"/>
        <v>R</v>
      </c>
      <c r="BJ28" s="166" t="str">
        <f t="shared" si="11"/>
        <v>X</v>
      </c>
      <c r="BK28" s="166" t="str">
        <f t="shared" si="11"/>
        <v>S</v>
      </c>
      <c r="BL28" s="166" t="str">
        <f t="shared" si="11"/>
        <v>R</v>
      </c>
      <c r="BM28" s="166" t="str">
        <f t="shared" si="11"/>
        <v>R</v>
      </c>
      <c r="BN28" s="166" t="str">
        <f t="shared" si="11"/>
        <v>R</v>
      </c>
      <c r="BO28" s="166" t="str">
        <f t="shared" si="11"/>
        <v xml:space="preserve"> </v>
      </c>
      <c r="BP28" s="166" t="str">
        <f t="shared" si="11"/>
        <v xml:space="preserve"> </v>
      </c>
      <c r="BQ28" s="166" t="str">
        <f t="shared" si="11"/>
        <v xml:space="preserve"> </v>
      </c>
      <c r="BR28" s="166" t="str">
        <f t="shared" si="11"/>
        <v xml:space="preserve"> </v>
      </c>
      <c r="BS28" s="166" t="str">
        <f t="shared" si="11"/>
        <v xml:space="preserve"> </v>
      </c>
      <c r="BT28" s="166" t="str">
        <f t="shared" si="11"/>
        <v xml:space="preserve"> </v>
      </c>
      <c r="BU28" s="166" t="str">
        <f t="shared" si="11"/>
        <v xml:space="preserve"> </v>
      </c>
      <c r="BV28" s="166" t="str">
        <f t="shared" si="11"/>
        <v xml:space="preserve"> </v>
      </c>
      <c r="BW28" s="166" t="str">
        <f t="shared" si="11"/>
        <v xml:space="preserve"> </v>
      </c>
      <c r="BX28" s="166" t="str">
        <f t="shared" si="11"/>
        <v xml:space="preserve"> </v>
      </c>
      <c r="BY28" s="166" t="str">
        <f t="shared" si="11"/>
        <v xml:space="preserve"> </v>
      </c>
      <c r="BZ28" s="166" t="str">
        <f t="shared" si="11"/>
        <v xml:space="preserve"> </v>
      </c>
      <c r="CA28" s="166" t="str">
        <f t="shared" si="11"/>
        <v xml:space="preserve"> </v>
      </c>
      <c r="CB28" s="166" t="str">
        <f t="shared" si="11"/>
        <v xml:space="preserve"> </v>
      </c>
      <c r="CC28" s="166" t="str">
        <f t="shared" si="11"/>
        <v xml:space="preserve"> </v>
      </c>
      <c r="CD28" s="166" t="str">
        <f t="shared" si="11"/>
        <v xml:space="preserve"> </v>
      </c>
      <c r="CE28" s="166" t="str">
        <f t="shared" si="11"/>
        <v xml:space="preserve"> </v>
      </c>
      <c r="CF28" s="166" t="str">
        <f t="shared" si="11"/>
        <v xml:space="preserve"> </v>
      </c>
      <c r="CG28" s="166" t="str">
        <f t="shared" si="11"/>
        <v xml:space="preserve"> </v>
      </c>
      <c r="CH28" s="166" t="str">
        <f t="shared" si="11"/>
        <v xml:space="preserve"> </v>
      </c>
      <c r="CI28" s="166" t="str">
        <f t="shared" si="11"/>
        <v xml:space="preserve"> </v>
      </c>
      <c r="CJ28" s="166" t="str">
        <f t="shared" si="11"/>
        <v xml:space="preserve"> </v>
      </c>
      <c r="CK28" s="166" t="str">
        <f t="shared" si="11"/>
        <v xml:space="preserve"> </v>
      </c>
      <c r="CL28" s="710" t="str">
        <f t="shared" si="11"/>
        <v xml:space="preserve"> </v>
      </c>
    </row>
    <row r="29" spans="1:90" ht="15.5" x14ac:dyDescent="0.35">
      <c r="A29" s="707"/>
      <c r="B29" s="726">
        <v>7</v>
      </c>
      <c r="C29" s="727" t="str">
        <f t="shared" ref="C29:AJ29" si="12">IF(C108&lt;&gt;"",C108,"")</f>
        <v xml:space="preserve"> </v>
      </c>
      <c r="D29" s="166" t="str">
        <f t="shared" si="12"/>
        <v xml:space="preserve"> </v>
      </c>
      <c r="E29" s="166" t="str">
        <f t="shared" si="12"/>
        <v xml:space="preserve"> </v>
      </c>
      <c r="F29" s="166" t="str">
        <f t="shared" si="12"/>
        <v xml:space="preserve"> </v>
      </c>
      <c r="G29" s="166" t="str">
        <f t="shared" si="12"/>
        <v xml:space="preserve"> </v>
      </c>
      <c r="H29" s="166" t="str">
        <f t="shared" si="12"/>
        <v xml:space="preserve"> </v>
      </c>
      <c r="I29" s="166" t="str">
        <f t="shared" si="12"/>
        <v xml:space="preserve"> </v>
      </c>
      <c r="J29" s="166" t="str">
        <f t="shared" si="12"/>
        <v xml:space="preserve"> </v>
      </c>
      <c r="K29" s="166" t="str">
        <f t="shared" si="12"/>
        <v xml:space="preserve"> </v>
      </c>
      <c r="L29" s="166" t="str">
        <f t="shared" si="12"/>
        <v xml:space="preserve"> </v>
      </c>
      <c r="M29" s="166" t="str">
        <f t="shared" si="12"/>
        <v xml:space="preserve"> </v>
      </c>
      <c r="N29" s="166" t="str">
        <f t="shared" si="12"/>
        <v xml:space="preserve"> </v>
      </c>
      <c r="O29" s="166" t="str">
        <f t="shared" si="12"/>
        <v xml:space="preserve"> </v>
      </c>
      <c r="P29" s="166" t="str">
        <f t="shared" si="12"/>
        <v xml:space="preserve"> </v>
      </c>
      <c r="Q29" s="166" t="str">
        <f t="shared" si="12"/>
        <v xml:space="preserve"> </v>
      </c>
      <c r="R29" s="166" t="str">
        <f t="shared" si="12"/>
        <v xml:space="preserve"> </v>
      </c>
      <c r="S29" s="166" t="str">
        <f t="shared" si="12"/>
        <v xml:space="preserve"> </v>
      </c>
      <c r="T29" s="166" t="str">
        <f t="shared" si="12"/>
        <v xml:space="preserve"> </v>
      </c>
      <c r="U29" s="166" t="str">
        <f t="shared" si="12"/>
        <v xml:space="preserve"> </v>
      </c>
      <c r="V29" s="166" t="str">
        <f t="shared" si="12"/>
        <v xml:space="preserve"> </v>
      </c>
      <c r="W29" s="166" t="str">
        <f t="shared" si="12"/>
        <v xml:space="preserve"> </v>
      </c>
      <c r="X29" s="166" t="str">
        <f t="shared" si="12"/>
        <v xml:space="preserve"> </v>
      </c>
      <c r="Y29" s="166" t="str">
        <f t="shared" si="12"/>
        <v xml:space="preserve"> </v>
      </c>
      <c r="Z29" s="166" t="str">
        <f t="shared" si="12"/>
        <v xml:space="preserve"> </v>
      </c>
      <c r="AA29" s="166" t="str">
        <f t="shared" si="12"/>
        <v xml:space="preserve"> </v>
      </c>
      <c r="AB29" s="166" t="str">
        <f t="shared" si="12"/>
        <v xml:space="preserve"> </v>
      </c>
      <c r="AC29" s="166" t="str">
        <f t="shared" si="12"/>
        <v xml:space="preserve"> </v>
      </c>
      <c r="AD29" s="166" t="str">
        <f t="shared" si="12"/>
        <v xml:space="preserve"> </v>
      </c>
      <c r="AE29" s="166" t="str">
        <f t="shared" si="12"/>
        <v xml:space="preserve"> </v>
      </c>
      <c r="AF29" s="166" t="str">
        <f t="shared" si="12"/>
        <v xml:space="preserve"> </v>
      </c>
      <c r="AG29" s="166" t="str">
        <f t="shared" si="12"/>
        <v xml:space="preserve"> </v>
      </c>
      <c r="AH29" s="166" t="str">
        <f t="shared" si="12"/>
        <v xml:space="preserve"> </v>
      </c>
      <c r="AI29" s="166" t="str">
        <f t="shared" si="12"/>
        <v xml:space="preserve"> </v>
      </c>
      <c r="AJ29" s="710" t="str">
        <f t="shared" si="12"/>
        <v xml:space="preserve"> </v>
      </c>
      <c r="BD29" s="707"/>
      <c r="BE29" s="726">
        <v>7</v>
      </c>
      <c r="BF29" s="727" t="str">
        <f t="shared" ref="BF29:CL29" si="13">IF(BF108&lt;&gt;"",BF108,"")</f>
        <v xml:space="preserve"> </v>
      </c>
      <c r="BG29" s="166" t="str">
        <f t="shared" si="13"/>
        <v xml:space="preserve"> </v>
      </c>
      <c r="BH29" s="166" t="str">
        <f t="shared" si="13"/>
        <v xml:space="preserve"> </v>
      </c>
      <c r="BI29" s="166" t="str">
        <f t="shared" si="13"/>
        <v xml:space="preserve"> </v>
      </c>
      <c r="BJ29" s="166" t="str">
        <f t="shared" si="13"/>
        <v xml:space="preserve"> </v>
      </c>
      <c r="BK29" s="166" t="str">
        <f t="shared" si="13"/>
        <v xml:space="preserve"> </v>
      </c>
      <c r="BL29" s="166" t="str">
        <f t="shared" si="13"/>
        <v xml:space="preserve"> </v>
      </c>
      <c r="BM29" s="166" t="str">
        <f t="shared" si="13"/>
        <v xml:space="preserve"> </v>
      </c>
      <c r="BN29" s="166" t="str">
        <f t="shared" si="13"/>
        <v xml:space="preserve"> </v>
      </c>
      <c r="BO29" s="166" t="str">
        <f t="shared" si="13"/>
        <v xml:space="preserve"> </v>
      </c>
      <c r="BP29" s="166" t="str">
        <f t="shared" si="13"/>
        <v xml:space="preserve"> </v>
      </c>
      <c r="BQ29" s="166" t="str">
        <f t="shared" si="13"/>
        <v xml:space="preserve"> </v>
      </c>
      <c r="BR29" s="166" t="str">
        <f t="shared" si="13"/>
        <v xml:space="preserve"> </v>
      </c>
      <c r="BS29" s="166" t="str">
        <f t="shared" si="13"/>
        <v xml:space="preserve"> </v>
      </c>
      <c r="BT29" s="166" t="str">
        <f t="shared" si="13"/>
        <v xml:space="preserve"> </v>
      </c>
      <c r="BU29" s="166" t="str">
        <f t="shared" si="13"/>
        <v xml:space="preserve"> </v>
      </c>
      <c r="BV29" s="166" t="str">
        <f t="shared" si="13"/>
        <v xml:space="preserve"> </v>
      </c>
      <c r="BW29" s="166" t="str">
        <f t="shared" si="13"/>
        <v xml:space="preserve"> </v>
      </c>
      <c r="BX29" s="166" t="str">
        <f t="shared" si="13"/>
        <v xml:space="preserve"> </v>
      </c>
      <c r="BY29" s="166" t="str">
        <f t="shared" si="13"/>
        <v xml:space="preserve"> </v>
      </c>
      <c r="BZ29" s="166" t="str">
        <f t="shared" si="13"/>
        <v xml:space="preserve"> </v>
      </c>
      <c r="CA29" s="166" t="str">
        <f t="shared" si="13"/>
        <v xml:space="preserve"> </v>
      </c>
      <c r="CB29" s="166" t="str">
        <f t="shared" si="13"/>
        <v xml:space="preserve"> </v>
      </c>
      <c r="CC29" s="166" t="str">
        <f t="shared" si="13"/>
        <v xml:space="preserve"> </v>
      </c>
      <c r="CD29" s="166" t="str">
        <f t="shared" si="13"/>
        <v xml:space="preserve"> </v>
      </c>
      <c r="CE29" s="166" t="str">
        <f t="shared" si="13"/>
        <v xml:space="preserve"> </v>
      </c>
      <c r="CF29" s="166" t="str">
        <f t="shared" si="13"/>
        <v xml:space="preserve"> </v>
      </c>
      <c r="CG29" s="166" t="str">
        <f t="shared" si="13"/>
        <v xml:space="preserve"> </v>
      </c>
      <c r="CH29" s="166" t="str">
        <f t="shared" si="13"/>
        <v xml:space="preserve"> </v>
      </c>
      <c r="CI29" s="166" t="str">
        <f t="shared" si="13"/>
        <v xml:space="preserve"> </v>
      </c>
      <c r="CJ29" s="166" t="str">
        <f t="shared" si="13"/>
        <v xml:space="preserve"> </v>
      </c>
      <c r="CK29" s="166" t="str">
        <f t="shared" si="13"/>
        <v xml:space="preserve"> </v>
      </c>
      <c r="CL29" s="710" t="str">
        <f t="shared" si="13"/>
        <v xml:space="preserve"> </v>
      </c>
    </row>
    <row r="30" spans="1:90" ht="15.5" x14ac:dyDescent="0.35">
      <c r="A30" s="707"/>
      <c r="B30" s="726">
        <v>8</v>
      </c>
      <c r="C30" s="727" t="str">
        <f t="shared" ref="C30:AJ30" si="14">IF(C109&lt;&gt;"",C109,"")</f>
        <v xml:space="preserve"> </v>
      </c>
      <c r="D30" s="166" t="str">
        <f t="shared" si="14"/>
        <v xml:space="preserve"> </v>
      </c>
      <c r="E30" s="166" t="str">
        <f t="shared" si="14"/>
        <v xml:space="preserve"> </v>
      </c>
      <c r="F30" s="166" t="str">
        <f t="shared" si="14"/>
        <v xml:space="preserve"> </v>
      </c>
      <c r="G30" s="166" t="str">
        <f t="shared" si="14"/>
        <v xml:space="preserve"> </v>
      </c>
      <c r="H30" s="166" t="str">
        <f t="shared" si="14"/>
        <v xml:space="preserve"> </v>
      </c>
      <c r="I30" s="166" t="str">
        <f t="shared" si="14"/>
        <v xml:space="preserve"> </v>
      </c>
      <c r="J30" s="166" t="str">
        <f t="shared" si="14"/>
        <v xml:space="preserve"> </v>
      </c>
      <c r="K30" s="166" t="str">
        <f t="shared" si="14"/>
        <v xml:space="preserve"> </v>
      </c>
      <c r="L30" s="166" t="str">
        <f t="shared" si="14"/>
        <v xml:space="preserve"> </v>
      </c>
      <c r="M30" s="166" t="str">
        <f t="shared" si="14"/>
        <v xml:space="preserve"> </v>
      </c>
      <c r="N30" s="166" t="str">
        <f t="shared" si="14"/>
        <v xml:space="preserve"> </v>
      </c>
      <c r="O30" s="166" t="str">
        <f t="shared" si="14"/>
        <v xml:space="preserve"> </v>
      </c>
      <c r="P30" s="166" t="str">
        <f t="shared" si="14"/>
        <v xml:space="preserve"> </v>
      </c>
      <c r="Q30" s="166" t="str">
        <f t="shared" si="14"/>
        <v xml:space="preserve"> </v>
      </c>
      <c r="R30" s="166" t="str">
        <f t="shared" si="14"/>
        <v xml:space="preserve"> </v>
      </c>
      <c r="S30" s="166" t="str">
        <f t="shared" si="14"/>
        <v xml:space="preserve"> </v>
      </c>
      <c r="T30" s="166" t="str">
        <f t="shared" si="14"/>
        <v xml:space="preserve"> </v>
      </c>
      <c r="U30" s="166" t="str">
        <f t="shared" si="14"/>
        <v xml:space="preserve"> </v>
      </c>
      <c r="V30" s="166" t="str">
        <f t="shared" si="14"/>
        <v xml:space="preserve"> </v>
      </c>
      <c r="W30" s="166" t="str">
        <f t="shared" si="14"/>
        <v xml:space="preserve"> </v>
      </c>
      <c r="X30" s="166" t="str">
        <f t="shared" si="14"/>
        <v xml:space="preserve"> </v>
      </c>
      <c r="Y30" s="166" t="str">
        <f t="shared" si="14"/>
        <v xml:space="preserve"> </v>
      </c>
      <c r="Z30" s="166" t="str">
        <f t="shared" si="14"/>
        <v xml:space="preserve"> </v>
      </c>
      <c r="AA30" s="166" t="str">
        <f t="shared" si="14"/>
        <v xml:space="preserve"> </v>
      </c>
      <c r="AB30" s="166" t="str">
        <f t="shared" si="14"/>
        <v xml:space="preserve"> </v>
      </c>
      <c r="AC30" s="166" t="str">
        <f t="shared" si="14"/>
        <v xml:space="preserve"> </v>
      </c>
      <c r="AD30" s="166" t="str">
        <f t="shared" si="14"/>
        <v xml:space="preserve"> </v>
      </c>
      <c r="AE30" s="166" t="str">
        <f t="shared" si="14"/>
        <v xml:space="preserve"> </v>
      </c>
      <c r="AF30" s="166" t="str">
        <f t="shared" si="14"/>
        <v xml:space="preserve"> </v>
      </c>
      <c r="AG30" s="166" t="str">
        <f t="shared" si="14"/>
        <v xml:space="preserve"> </v>
      </c>
      <c r="AH30" s="166" t="str">
        <f t="shared" si="14"/>
        <v xml:space="preserve"> </v>
      </c>
      <c r="AI30" s="166" t="str">
        <f t="shared" si="14"/>
        <v xml:space="preserve"> </v>
      </c>
      <c r="AJ30" s="710" t="str">
        <f t="shared" si="14"/>
        <v xml:space="preserve"> </v>
      </c>
      <c r="BD30" s="707"/>
      <c r="BE30" s="726">
        <v>8</v>
      </c>
      <c r="BF30" s="727" t="str">
        <f t="shared" ref="BF30:CL30" si="15">IF(BF109&lt;&gt;"",BF109,"")</f>
        <v xml:space="preserve"> </v>
      </c>
      <c r="BG30" s="166" t="str">
        <f t="shared" si="15"/>
        <v xml:space="preserve"> </v>
      </c>
      <c r="BH30" s="166" t="str">
        <f t="shared" si="15"/>
        <v xml:space="preserve"> </v>
      </c>
      <c r="BI30" s="166" t="str">
        <f t="shared" si="15"/>
        <v xml:space="preserve"> </v>
      </c>
      <c r="BJ30" s="166" t="str">
        <f t="shared" si="15"/>
        <v xml:space="preserve"> </v>
      </c>
      <c r="BK30" s="166" t="str">
        <f t="shared" si="15"/>
        <v xml:space="preserve"> </v>
      </c>
      <c r="BL30" s="166" t="str">
        <f t="shared" si="15"/>
        <v xml:space="preserve"> </v>
      </c>
      <c r="BM30" s="166" t="str">
        <f t="shared" si="15"/>
        <v xml:space="preserve"> </v>
      </c>
      <c r="BN30" s="166" t="str">
        <f t="shared" si="15"/>
        <v xml:space="preserve"> </v>
      </c>
      <c r="BO30" s="166" t="str">
        <f t="shared" si="15"/>
        <v xml:space="preserve"> </v>
      </c>
      <c r="BP30" s="166" t="str">
        <f t="shared" si="15"/>
        <v xml:space="preserve"> </v>
      </c>
      <c r="BQ30" s="166" t="str">
        <f t="shared" si="15"/>
        <v xml:space="preserve"> </v>
      </c>
      <c r="BR30" s="166" t="str">
        <f t="shared" si="15"/>
        <v xml:space="preserve"> </v>
      </c>
      <c r="BS30" s="166" t="str">
        <f t="shared" si="15"/>
        <v xml:space="preserve"> </v>
      </c>
      <c r="BT30" s="166" t="str">
        <f t="shared" si="15"/>
        <v xml:space="preserve"> </v>
      </c>
      <c r="BU30" s="166" t="str">
        <f t="shared" si="15"/>
        <v xml:space="preserve"> </v>
      </c>
      <c r="BV30" s="166" t="str">
        <f t="shared" si="15"/>
        <v xml:space="preserve"> </v>
      </c>
      <c r="BW30" s="166" t="str">
        <f t="shared" si="15"/>
        <v xml:space="preserve"> </v>
      </c>
      <c r="BX30" s="166" t="str">
        <f t="shared" si="15"/>
        <v xml:space="preserve"> </v>
      </c>
      <c r="BY30" s="166" t="str">
        <f t="shared" si="15"/>
        <v xml:space="preserve"> </v>
      </c>
      <c r="BZ30" s="166" t="str">
        <f t="shared" si="15"/>
        <v xml:space="preserve"> </v>
      </c>
      <c r="CA30" s="166" t="str">
        <f t="shared" si="15"/>
        <v xml:space="preserve"> </v>
      </c>
      <c r="CB30" s="166" t="str">
        <f t="shared" si="15"/>
        <v xml:space="preserve"> </v>
      </c>
      <c r="CC30" s="166" t="str">
        <f t="shared" si="15"/>
        <v xml:space="preserve"> </v>
      </c>
      <c r="CD30" s="166" t="str">
        <f t="shared" si="15"/>
        <v xml:space="preserve"> </v>
      </c>
      <c r="CE30" s="166" t="str">
        <f t="shared" si="15"/>
        <v xml:space="preserve"> </v>
      </c>
      <c r="CF30" s="166" t="str">
        <f t="shared" si="15"/>
        <v xml:space="preserve"> </v>
      </c>
      <c r="CG30" s="166" t="str">
        <f t="shared" si="15"/>
        <v xml:space="preserve"> </v>
      </c>
      <c r="CH30" s="166" t="str">
        <f t="shared" si="15"/>
        <v xml:space="preserve"> </v>
      </c>
      <c r="CI30" s="166" t="str">
        <f t="shared" si="15"/>
        <v xml:space="preserve"> </v>
      </c>
      <c r="CJ30" s="166" t="str">
        <f t="shared" si="15"/>
        <v xml:space="preserve"> </v>
      </c>
      <c r="CK30" s="166" t="str">
        <f t="shared" si="15"/>
        <v xml:space="preserve"> </v>
      </c>
      <c r="CL30" s="710" t="str">
        <f t="shared" si="15"/>
        <v xml:space="preserve"> </v>
      </c>
    </row>
    <row r="31" spans="1:90" ht="15.5" x14ac:dyDescent="0.35">
      <c r="A31" s="707"/>
      <c r="B31" s="726">
        <v>9</v>
      </c>
      <c r="C31" s="727" t="str">
        <f t="shared" ref="C31:AJ31" si="16">IF(C110&lt;&gt;"",C110,"")</f>
        <v xml:space="preserve"> </v>
      </c>
      <c r="D31" s="166" t="str">
        <f t="shared" si="16"/>
        <v xml:space="preserve"> </v>
      </c>
      <c r="E31" s="166" t="str">
        <f t="shared" si="16"/>
        <v xml:space="preserve"> </v>
      </c>
      <c r="F31" s="166" t="str">
        <f t="shared" si="16"/>
        <v xml:space="preserve"> </v>
      </c>
      <c r="G31" s="166" t="str">
        <f t="shared" si="16"/>
        <v xml:space="preserve"> </v>
      </c>
      <c r="H31" s="166" t="str">
        <f t="shared" si="16"/>
        <v xml:space="preserve"> </v>
      </c>
      <c r="I31" s="166" t="str">
        <f t="shared" si="16"/>
        <v xml:space="preserve"> </v>
      </c>
      <c r="J31" s="166" t="str">
        <f t="shared" si="16"/>
        <v xml:space="preserve"> </v>
      </c>
      <c r="K31" s="166" t="str">
        <f t="shared" si="16"/>
        <v xml:space="preserve"> </v>
      </c>
      <c r="L31" s="166" t="str">
        <f t="shared" si="16"/>
        <v xml:space="preserve"> </v>
      </c>
      <c r="M31" s="166" t="str">
        <f t="shared" si="16"/>
        <v xml:space="preserve"> </v>
      </c>
      <c r="N31" s="166" t="str">
        <f t="shared" si="16"/>
        <v xml:space="preserve"> </v>
      </c>
      <c r="O31" s="166" t="str">
        <f t="shared" si="16"/>
        <v xml:space="preserve"> </v>
      </c>
      <c r="P31" s="166" t="str">
        <f t="shared" si="16"/>
        <v xml:space="preserve"> </v>
      </c>
      <c r="Q31" s="166" t="str">
        <f t="shared" si="16"/>
        <v xml:space="preserve"> </v>
      </c>
      <c r="R31" s="166" t="str">
        <f t="shared" si="16"/>
        <v xml:space="preserve"> </v>
      </c>
      <c r="S31" s="166" t="str">
        <f t="shared" si="16"/>
        <v xml:space="preserve"> </v>
      </c>
      <c r="T31" s="166" t="str">
        <f t="shared" si="16"/>
        <v xml:space="preserve"> </v>
      </c>
      <c r="U31" s="166" t="str">
        <f t="shared" si="16"/>
        <v xml:space="preserve"> </v>
      </c>
      <c r="V31" s="166" t="str">
        <f t="shared" si="16"/>
        <v xml:space="preserve"> </v>
      </c>
      <c r="W31" s="166" t="str">
        <f t="shared" si="16"/>
        <v xml:space="preserve"> </v>
      </c>
      <c r="X31" s="166" t="str">
        <f t="shared" si="16"/>
        <v xml:space="preserve"> </v>
      </c>
      <c r="Y31" s="166" t="str">
        <f t="shared" si="16"/>
        <v xml:space="preserve"> </v>
      </c>
      <c r="Z31" s="166" t="str">
        <f t="shared" si="16"/>
        <v xml:space="preserve"> </v>
      </c>
      <c r="AA31" s="166" t="str">
        <f t="shared" si="16"/>
        <v xml:space="preserve"> </v>
      </c>
      <c r="AB31" s="166" t="str">
        <f t="shared" si="16"/>
        <v xml:space="preserve"> </v>
      </c>
      <c r="AC31" s="166" t="str">
        <f t="shared" si="16"/>
        <v xml:space="preserve"> </v>
      </c>
      <c r="AD31" s="166" t="str">
        <f t="shared" si="16"/>
        <v xml:space="preserve"> </v>
      </c>
      <c r="AE31" s="166" t="str">
        <f t="shared" si="16"/>
        <v xml:space="preserve"> </v>
      </c>
      <c r="AF31" s="166" t="str">
        <f t="shared" si="16"/>
        <v xml:space="preserve"> </v>
      </c>
      <c r="AG31" s="166" t="str">
        <f t="shared" si="16"/>
        <v xml:space="preserve"> </v>
      </c>
      <c r="AH31" s="166" t="str">
        <f t="shared" si="16"/>
        <v xml:space="preserve"> </v>
      </c>
      <c r="AI31" s="166" t="str">
        <f t="shared" si="16"/>
        <v xml:space="preserve"> </v>
      </c>
      <c r="AJ31" s="710" t="str">
        <f t="shared" si="16"/>
        <v xml:space="preserve"> </v>
      </c>
      <c r="BD31" s="707"/>
      <c r="BE31" s="726">
        <v>9</v>
      </c>
      <c r="BF31" s="727" t="str">
        <f t="shared" ref="BF31:CL31" si="17">IF(BF110&lt;&gt;"",BF110,"")</f>
        <v xml:space="preserve"> </v>
      </c>
      <c r="BG31" s="166" t="str">
        <f t="shared" si="17"/>
        <v xml:space="preserve"> </v>
      </c>
      <c r="BH31" s="166" t="str">
        <f t="shared" si="17"/>
        <v xml:space="preserve"> </v>
      </c>
      <c r="BI31" s="166" t="str">
        <f t="shared" si="17"/>
        <v xml:space="preserve"> </v>
      </c>
      <c r="BJ31" s="166" t="str">
        <f t="shared" si="17"/>
        <v xml:space="preserve"> </v>
      </c>
      <c r="BK31" s="166" t="str">
        <f t="shared" si="17"/>
        <v xml:space="preserve"> </v>
      </c>
      <c r="BL31" s="166" t="str">
        <f t="shared" si="17"/>
        <v xml:space="preserve"> </v>
      </c>
      <c r="BM31" s="166" t="str">
        <f t="shared" si="17"/>
        <v xml:space="preserve"> </v>
      </c>
      <c r="BN31" s="166" t="str">
        <f t="shared" si="17"/>
        <v xml:space="preserve"> </v>
      </c>
      <c r="BO31" s="166" t="str">
        <f t="shared" si="17"/>
        <v xml:space="preserve"> </v>
      </c>
      <c r="BP31" s="166" t="str">
        <f t="shared" si="17"/>
        <v xml:space="preserve"> </v>
      </c>
      <c r="BQ31" s="166" t="str">
        <f t="shared" si="17"/>
        <v xml:space="preserve"> </v>
      </c>
      <c r="BR31" s="166" t="str">
        <f t="shared" si="17"/>
        <v xml:space="preserve"> </v>
      </c>
      <c r="BS31" s="166" t="str">
        <f t="shared" si="17"/>
        <v xml:space="preserve"> </v>
      </c>
      <c r="BT31" s="166" t="str">
        <f t="shared" si="17"/>
        <v xml:space="preserve"> </v>
      </c>
      <c r="BU31" s="166" t="str">
        <f t="shared" si="17"/>
        <v xml:space="preserve"> </v>
      </c>
      <c r="BV31" s="166" t="str">
        <f t="shared" si="17"/>
        <v xml:space="preserve"> </v>
      </c>
      <c r="BW31" s="166" t="str">
        <f t="shared" si="17"/>
        <v xml:space="preserve"> </v>
      </c>
      <c r="BX31" s="166" t="str">
        <f t="shared" si="17"/>
        <v xml:space="preserve"> </v>
      </c>
      <c r="BY31" s="166" t="str">
        <f t="shared" si="17"/>
        <v xml:space="preserve"> </v>
      </c>
      <c r="BZ31" s="166" t="str">
        <f t="shared" si="17"/>
        <v xml:space="preserve"> </v>
      </c>
      <c r="CA31" s="166" t="str">
        <f t="shared" si="17"/>
        <v xml:space="preserve"> </v>
      </c>
      <c r="CB31" s="166" t="str">
        <f t="shared" si="17"/>
        <v xml:space="preserve"> </v>
      </c>
      <c r="CC31" s="166" t="str">
        <f t="shared" si="17"/>
        <v xml:space="preserve"> </v>
      </c>
      <c r="CD31" s="166" t="str">
        <f t="shared" si="17"/>
        <v xml:space="preserve"> </v>
      </c>
      <c r="CE31" s="166" t="str">
        <f t="shared" si="17"/>
        <v xml:space="preserve"> </v>
      </c>
      <c r="CF31" s="166" t="str">
        <f t="shared" si="17"/>
        <v xml:space="preserve"> </v>
      </c>
      <c r="CG31" s="166" t="str">
        <f t="shared" si="17"/>
        <v xml:space="preserve"> </v>
      </c>
      <c r="CH31" s="166" t="str">
        <f t="shared" si="17"/>
        <v xml:space="preserve"> </v>
      </c>
      <c r="CI31" s="166" t="str">
        <f t="shared" si="17"/>
        <v xml:space="preserve"> </v>
      </c>
      <c r="CJ31" s="166" t="str">
        <f t="shared" si="17"/>
        <v xml:space="preserve"> </v>
      </c>
      <c r="CK31" s="166" t="str">
        <f t="shared" si="17"/>
        <v xml:space="preserve"> </v>
      </c>
      <c r="CL31" s="710" t="str">
        <f t="shared" si="17"/>
        <v xml:space="preserve"> </v>
      </c>
    </row>
    <row r="32" spans="1:90" ht="15.5" x14ac:dyDescent="0.35">
      <c r="A32" s="707"/>
      <c r="B32" s="726">
        <v>10</v>
      </c>
      <c r="C32" s="727" t="str">
        <f t="shared" ref="C32:AJ32" si="18">IF(C111&lt;&gt;"",C111,"")</f>
        <v xml:space="preserve"> </v>
      </c>
      <c r="D32" s="166" t="str">
        <f t="shared" si="18"/>
        <v xml:space="preserve"> </v>
      </c>
      <c r="E32" s="166" t="str">
        <f t="shared" si="18"/>
        <v xml:space="preserve"> </v>
      </c>
      <c r="F32" s="166" t="str">
        <f t="shared" si="18"/>
        <v xml:space="preserve"> </v>
      </c>
      <c r="G32" s="166" t="str">
        <f t="shared" si="18"/>
        <v xml:space="preserve"> </v>
      </c>
      <c r="H32" s="166" t="str">
        <f t="shared" si="18"/>
        <v xml:space="preserve"> </v>
      </c>
      <c r="I32" s="166" t="str">
        <f t="shared" si="18"/>
        <v xml:space="preserve"> </v>
      </c>
      <c r="J32" s="166" t="str">
        <f t="shared" si="18"/>
        <v xml:space="preserve"> </v>
      </c>
      <c r="K32" s="166" t="str">
        <f t="shared" si="18"/>
        <v xml:space="preserve"> </v>
      </c>
      <c r="L32" s="166" t="str">
        <f t="shared" si="18"/>
        <v xml:space="preserve"> </v>
      </c>
      <c r="M32" s="166" t="str">
        <f t="shared" si="18"/>
        <v xml:space="preserve"> </v>
      </c>
      <c r="N32" s="166" t="str">
        <f t="shared" si="18"/>
        <v xml:space="preserve"> </v>
      </c>
      <c r="O32" s="166" t="str">
        <f t="shared" si="18"/>
        <v xml:space="preserve"> </v>
      </c>
      <c r="P32" s="166" t="str">
        <f t="shared" si="18"/>
        <v xml:space="preserve"> </v>
      </c>
      <c r="Q32" s="166" t="str">
        <f t="shared" si="18"/>
        <v xml:space="preserve"> </v>
      </c>
      <c r="R32" s="166" t="str">
        <f t="shared" si="18"/>
        <v xml:space="preserve"> </v>
      </c>
      <c r="S32" s="166" t="str">
        <f t="shared" si="18"/>
        <v xml:space="preserve"> </v>
      </c>
      <c r="T32" s="166" t="str">
        <f t="shared" si="18"/>
        <v xml:space="preserve"> </v>
      </c>
      <c r="U32" s="166" t="str">
        <f t="shared" si="18"/>
        <v xml:space="preserve"> </v>
      </c>
      <c r="V32" s="166" t="str">
        <f t="shared" si="18"/>
        <v xml:space="preserve"> </v>
      </c>
      <c r="W32" s="166" t="str">
        <f t="shared" si="18"/>
        <v xml:space="preserve"> </v>
      </c>
      <c r="X32" s="166" t="str">
        <f t="shared" si="18"/>
        <v xml:space="preserve"> </v>
      </c>
      <c r="Y32" s="166" t="str">
        <f t="shared" si="18"/>
        <v xml:space="preserve"> </v>
      </c>
      <c r="Z32" s="166" t="str">
        <f t="shared" si="18"/>
        <v xml:space="preserve"> </v>
      </c>
      <c r="AA32" s="166" t="str">
        <f t="shared" si="18"/>
        <v xml:space="preserve"> </v>
      </c>
      <c r="AB32" s="166" t="str">
        <f t="shared" si="18"/>
        <v xml:space="preserve"> </v>
      </c>
      <c r="AC32" s="166" t="str">
        <f t="shared" si="18"/>
        <v xml:space="preserve"> </v>
      </c>
      <c r="AD32" s="166" t="str">
        <f t="shared" si="18"/>
        <v xml:space="preserve"> </v>
      </c>
      <c r="AE32" s="166" t="str">
        <f t="shared" si="18"/>
        <v xml:space="preserve"> </v>
      </c>
      <c r="AF32" s="166" t="str">
        <f t="shared" si="18"/>
        <v xml:space="preserve"> </v>
      </c>
      <c r="AG32" s="166" t="str">
        <f t="shared" si="18"/>
        <v xml:space="preserve"> </v>
      </c>
      <c r="AH32" s="166" t="str">
        <f t="shared" si="18"/>
        <v xml:space="preserve"> </v>
      </c>
      <c r="AI32" s="166" t="str">
        <f t="shared" si="18"/>
        <v xml:space="preserve"> </v>
      </c>
      <c r="AJ32" s="710" t="str">
        <f t="shared" si="18"/>
        <v xml:space="preserve"> </v>
      </c>
      <c r="BD32" s="707"/>
      <c r="BE32" s="726">
        <v>10</v>
      </c>
      <c r="BF32" s="727" t="str">
        <f t="shared" ref="BF32:CL32" si="19">IF(BF111&lt;&gt;"",BF111,"")</f>
        <v xml:space="preserve"> </v>
      </c>
      <c r="BG32" s="166" t="str">
        <f t="shared" si="19"/>
        <v xml:space="preserve"> </v>
      </c>
      <c r="BH32" s="166" t="str">
        <f t="shared" si="19"/>
        <v xml:space="preserve"> </v>
      </c>
      <c r="BI32" s="166" t="str">
        <f t="shared" si="19"/>
        <v xml:space="preserve"> </v>
      </c>
      <c r="BJ32" s="166" t="str">
        <f t="shared" si="19"/>
        <v xml:space="preserve"> </v>
      </c>
      <c r="BK32" s="166" t="str">
        <f t="shared" si="19"/>
        <v xml:space="preserve"> </v>
      </c>
      <c r="BL32" s="166" t="str">
        <f t="shared" si="19"/>
        <v xml:space="preserve"> </v>
      </c>
      <c r="BM32" s="166" t="str">
        <f t="shared" si="19"/>
        <v xml:space="preserve"> </v>
      </c>
      <c r="BN32" s="166" t="str">
        <f t="shared" si="19"/>
        <v xml:space="preserve"> </v>
      </c>
      <c r="BO32" s="166" t="str">
        <f t="shared" si="19"/>
        <v xml:space="preserve"> </v>
      </c>
      <c r="BP32" s="166" t="str">
        <f t="shared" si="19"/>
        <v xml:space="preserve"> </v>
      </c>
      <c r="BQ32" s="166" t="str">
        <f t="shared" si="19"/>
        <v xml:space="preserve"> </v>
      </c>
      <c r="BR32" s="166" t="str">
        <f t="shared" si="19"/>
        <v xml:space="preserve"> </v>
      </c>
      <c r="BS32" s="166" t="str">
        <f t="shared" si="19"/>
        <v xml:space="preserve"> </v>
      </c>
      <c r="BT32" s="166" t="str">
        <f t="shared" si="19"/>
        <v xml:space="preserve"> </v>
      </c>
      <c r="BU32" s="166" t="str">
        <f t="shared" si="19"/>
        <v xml:space="preserve"> </v>
      </c>
      <c r="BV32" s="166" t="str">
        <f t="shared" si="19"/>
        <v xml:space="preserve"> </v>
      </c>
      <c r="BW32" s="166" t="str">
        <f t="shared" si="19"/>
        <v xml:space="preserve"> </v>
      </c>
      <c r="BX32" s="166" t="str">
        <f t="shared" si="19"/>
        <v xml:space="preserve"> </v>
      </c>
      <c r="BY32" s="166" t="str">
        <f t="shared" si="19"/>
        <v xml:space="preserve"> </v>
      </c>
      <c r="BZ32" s="166" t="str">
        <f t="shared" si="19"/>
        <v xml:space="preserve"> </v>
      </c>
      <c r="CA32" s="166" t="str">
        <f t="shared" si="19"/>
        <v xml:space="preserve"> </v>
      </c>
      <c r="CB32" s="166" t="str">
        <f t="shared" si="19"/>
        <v xml:space="preserve"> </v>
      </c>
      <c r="CC32" s="166" t="str">
        <f t="shared" si="19"/>
        <v xml:space="preserve"> </v>
      </c>
      <c r="CD32" s="166" t="str">
        <f t="shared" si="19"/>
        <v xml:space="preserve"> </v>
      </c>
      <c r="CE32" s="166" t="str">
        <f t="shared" si="19"/>
        <v xml:space="preserve"> </v>
      </c>
      <c r="CF32" s="166" t="str">
        <f t="shared" si="19"/>
        <v xml:space="preserve"> </v>
      </c>
      <c r="CG32" s="166" t="str">
        <f t="shared" si="19"/>
        <v xml:space="preserve"> </v>
      </c>
      <c r="CH32" s="166" t="str">
        <f t="shared" si="19"/>
        <v xml:space="preserve"> </v>
      </c>
      <c r="CI32" s="166" t="str">
        <f t="shared" si="19"/>
        <v xml:space="preserve"> </v>
      </c>
      <c r="CJ32" s="166" t="str">
        <f t="shared" si="19"/>
        <v xml:space="preserve"> </v>
      </c>
      <c r="CK32" s="166" t="str">
        <f t="shared" si="19"/>
        <v xml:space="preserve"> </v>
      </c>
      <c r="CL32" s="710" t="str">
        <f t="shared" si="19"/>
        <v xml:space="preserve"> </v>
      </c>
    </row>
    <row r="33" spans="1:90" ht="15.5" x14ac:dyDescent="0.35">
      <c r="A33" s="707"/>
      <c r="B33" s="726">
        <v>11</v>
      </c>
      <c r="C33" s="727" t="str">
        <f t="shared" ref="C33:AJ33" si="20">IF(C112&lt;&gt;"",C112,"")</f>
        <v xml:space="preserve"> </v>
      </c>
      <c r="D33" s="166" t="str">
        <f t="shared" si="20"/>
        <v xml:space="preserve"> </v>
      </c>
      <c r="E33" s="166" t="str">
        <f t="shared" si="20"/>
        <v xml:space="preserve"> </v>
      </c>
      <c r="F33" s="166" t="str">
        <f t="shared" si="20"/>
        <v xml:space="preserve"> </v>
      </c>
      <c r="G33" s="166" t="str">
        <f t="shared" si="20"/>
        <v xml:space="preserve"> </v>
      </c>
      <c r="H33" s="166" t="str">
        <f t="shared" si="20"/>
        <v xml:space="preserve"> </v>
      </c>
      <c r="I33" s="166" t="str">
        <f t="shared" si="20"/>
        <v xml:space="preserve"> </v>
      </c>
      <c r="J33" s="166" t="str">
        <f t="shared" si="20"/>
        <v xml:space="preserve"> </v>
      </c>
      <c r="K33" s="166" t="str">
        <f t="shared" si="20"/>
        <v xml:space="preserve"> </v>
      </c>
      <c r="L33" s="166" t="str">
        <f t="shared" si="20"/>
        <v xml:space="preserve"> </v>
      </c>
      <c r="M33" s="166" t="str">
        <f t="shared" si="20"/>
        <v xml:space="preserve"> </v>
      </c>
      <c r="N33" s="166" t="str">
        <f t="shared" si="20"/>
        <v xml:space="preserve"> </v>
      </c>
      <c r="O33" s="166" t="str">
        <f t="shared" si="20"/>
        <v xml:space="preserve"> </v>
      </c>
      <c r="P33" s="166" t="str">
        <f t="shared" si="20"/>
        <v xml:space="preserve"> </v>
      </c>
      <c r="Q33" s="166" t="str">
        <f t="shared" si="20"/>
        <v xml:space="preserve"> </v>
      </c>
      <c r="R33" s="166" t="str">
        <f t="shared" si="20"/>
        <v xml:space="preserve"> </v>
      </c>
      <c r="S33" s="166" t="str">
        <f t="shared" si="20"/>
        <v xml:space="preserve"> </v>
      </c>
      <c r="T33" s="166" t="str">
        <f t="shared" si="20"/>
        <v xml:space="preserve"> </v>
      </c>
      <c r="U33" s="166" t="str">
        <f t="shared" si="20"/>
        <v xml:space="preserve"> </v>
      </c>
      <c r="V33" s="166" t="str">
        <f t="shared" si="20"/>
        <v xml:space="preserve"> </v>
      </c>
      <c r="W33" s="166" t="str">
        <f t="shared" si="20"/>
        <v xml:space="preserve"> </v>
      </c>
      <c r="X33" s="166" t="str">
        <f t="shared" si="20"/>
        <v xml:space="preserve"> </v>
      </c>
      <c r="Y33" s="166" t="str">
        <f t="shared" si="20"/>
        <v xml:space="preserve"> </v>
      </c>
      <c r="Z33" s="166" t="str">
        <f t="shared" si="20"/>
        <v xml:space="preserve"> </v>
      </c>
      <c r="AA33" s="166" t="str">
        <f t="shared" si="20"/>
        <v xml:space="preserve"> </v>
      </c>
      <c r="AB33" s="166" t="str">
        <f t="shared" si="20"/>
        <v xml:space="preserve"> </v>
      </c>
      <c r="AC33" s="166" t="str">
        <f t="shared" si="20"/>
        <v xml:space="preserve"> </v>
      </c>
      <c r="AD33" s="166" t="str">
        <f t="shared" si="20"/>
        <v xml:space="preserve"> </v>
      </c>
      <c r="AE33" s="166" t="str">
        <f t="shared" si="20"/>
        <v xml:space="preserve"> </v>
      </c>
      <c r="AF33" s="166" t="str">
        <f t="shared" si="20"/>
        <v xml:space="preserve"> </v>
      </c>
      <c r="AG33" s="166" t="str">
        <f t="shared" si="20"/>
        <v xml:space="preserve"> </v>
      </c>
      <c r="AH33" s="166" t="str">
        <f t="shared" si="20"/>
        <v xml:space="preserve"> </v>
      </c>
      <c r="AI33" s="166" t="str">
        <f t="shared" si="20"/>
        <v xml:space="preserve"> </v>
      </c>
      <c r="AJ33" s="710" t="str">
        <f t="shared" si="20"/>
        <v xml:space="preserve"> </v>
      </c>
      <c r="BD33" s="707"/>
      <c r="BE33" s="726">
        <v>11</v>
      </c>
      <c r="BF33" s="727" t="str">
        <f t="shared" ref="BF33:CL33" si="21">IF(BF112&lt;&gt;"",BF112,"")</f>
        <v xml:space="preserve"> </v>
      </c>
      <c r="BG33" s="166" t="str">
        <f t="shared" si="21"/>
        <v xml:space="preserve"> </v>
      </c>
      <c r="BH33" s="166" t="str">
        <f t="shared" si="21"/>
        <v xml:space="preserve"> </v>
      </c>
      <c r="BI33" s="166" t="str">
        <f t="shared" si="21"/>
        <v xml:space="preserve"> </v>
      </c>
      <c r="BJ33" s="166" t="str">
        <f t="shared" si="21"/>
        <v xml:space="preserve"> </v>
      </c>
      <c r="BK33" s="166" t="str">
        <f t="shared" si="21"/>
        <v xml:space="preserve"> </v>
      </c>
      <c r="BL33" s="166" t="str">
        <f t="shared" si="21"/>
        <v xml:space="preserve"> </v>
      </c>
      <c r="BM33" s="166" t="str">
        <f t="shared" si="21"/>
        <v xml:space="preserve"> </v>
      </c>
      <c r="BN33" s="166" t="str">
        <f t="shared" si="21"/>
        <v xml:space="preserve"> </v>
      </c>
      <c r="BO33" s="166" t="str">
        <f t="shared" si="21"/>
        <v xml:space="preserve"> </v>
      </c>
      <c r="BP33" s="166" t="str">
        <f t="shared" si="21"/>
        <v xml:space="preserve"> </v>
      </c>
      <c r="BQ33" s="166" t="str">
        <f t="shared" si="21"/>
        <v xml:space="preserve"> </v>
      </c>
      <c r="BR33" s="166" t="str">
        <f t="shared" si="21"/>
        <v xml:space="preserve"> </v>
      </c>
      <c r="BS33" s="166" t="str">
        <f t="shared" si="21"/>
        <v xml:space="preserve"> </v>
      </c>
      <c r="BT33" s="166" t="str">
        <f t="shared" si="21"/>
        <v xml:space="preserve"> </v>
      </c>
      <c r="BU33" s="166" t="str">
        <f t="shared" si="21"/>
        <v xml:space="preserve"> </v>
      </c>
      <c r="BV33" s="166" t="str">
        <f t="shared" si="21"/>
        <v xml:space="preserve"> </v>
      </c>
      <c r="BW33" s="166" t="str">
        <f t="shared" si="21"/>
        <v xml:space="preserve"> </v>
      </c>
      <c r="BX33" s="166" t="str">
        <f t="shared" si="21"/>
        <v xml:space="preserve"> </v>
      </c>
      <c r="BY33" s="166" t="str">
        <f t="shared" si="21"/>
        <v xml:space="preserve"> </v>
      </c>
      <c r="BZ33" s="166" t="str">
        <f t="shared" si="21"/>
        <v xml:space="preserve"> </v>
      </c>
      <c r="CA33" s="166" t="str">
        <f t="shared" si="21"/>
        <v xml:space="preserve"> </v>
      </c>
      <c r="CB33" s="166" t="str">
        <f t="shared" si="21"/>
        <v xml:space="preserve"> </v>
      </c>
      <c r="CC33" s="166" t="str">
        <f t="shared" si="21"/>
        <v xml:space="preserve"> </v>
      </c>
      <c r="CD33" s="166" t="str">
        <f t="shared" si="21"/>
        <v xml:space="preserve"> </v>
      </c>
      <c r="CE33" s="166" t="str">
        <f t="shared" si="21"/>
        <v xml:space="preserve"> </v>
      </c>
      <c r="CF33" s="166" t="str">
        <f t="shared" si="21"/>
        <v xml:space="preserve"> </v>
      </c>
      <c r="CG33" s="166" t="str">
        <f t="shared" si="21"/>
        <v xml:space="preserve"> </v>
      </c>
      <c r="CH33" s="166" t="str">
        <f t="shared" si="21"/>
        <v xml:space="preserve"> </v>
      </c>
      <c r="CI33" s="166" t="str">
        <f t="shared" si="21"/>
        <v xml:space="preserve"> </v>
      </c>
      <c r="CJ33" s="166" t="str">
        <f t="shared" si="21"/>
        <v xml:space="preserve"> </v>
      </c>
      <c r="CK33" s="166" t="str">
        <f t="shared" si="21"/>
        <v xml:space="preserve"> </v>
      </c>
      <c r="CL33" s="710" t="str">
        <f t="shared" si="21"/>
        <v xml:space="preserve"> </v>
      </c>
    </row>
    <row r="34" spans="1:90" ht="16" thickBot="1" x14ac:dyDescent="0.4">
      <c r="A34" s="711"/>
      <c r="B34" s="728">
        <v>12</v>
      </c>
      <c r="C34" s="729" t="str">
        <f t="shared" ref="C34:AJ34" si="22">IF(C113&lt;&gt;"",C113,"")</f>
        <v xml:space="preserve"> </v>
      </c>
      <c r="D34" s="714" t="str">
        <f t="shared" si="22"/>
        <v xml:space="preserve"> </v>
      </c>
      <c r="E34" s="714" t="str">
        <f t="shared" si="22"/>
        <v xml:space="preserve"> </v>
      </c>
      <c r="F34" s="714" t="str">
        <f t="shared" si="22"/>
        <v xml:space="preserve"> </v>
      </c>
      <c r="G34" s="714" t="str">
        <f t="shared" si="22"/>
        <v xml:space="preserve"> </v>
      </c>
      <c r="H34" s="714" t="str">
        <f t="shared" si="22"/>
        <v xml:space="preserve"> </v>
      </c>
      <c r="I34" s="714" t="str">
        <f t="shared" si="22"/>
        <v xml:space="preserve"> </v>
      </c>
      <c r="J34" s="714" t="str">
        <f t="shared" si="22"/>
        <v xml:space="preserve"> </v>
      </c>
      <c r="K34" s="714" t="str">
        <f t="shared" si="22"/>
        <v xml:space="preserve"> </v>
      </c>
      <c r="L34" s="714" t="str">
        <f t="shared" si="22"/>
        <v xml:space="preserve"> </v>
      </c>
      <c r="M34" s="714" t="str">
        <f t="shared" si="22"/>
        <v xml:space="preserve"> </v>
      </c>
      <c r="N34" s="714" t="str">
        <f t="shared" si="22"/>
        <v xml:space="preserve"> </v>
      </c>
      <c r="O34" s="714" t="str">
        <f t="shared" si="22"/>
        <v xml:space="preserve"> </v>
      </c>
      <c r="P34" s="714" t="str">
        <f t="shared" si="22"/>
        <v xml:space="preserve"> </v>
      </c>
      <c r="Q34" s="714" t="str">
        <f t="shared" si="22"/>
        <v xml:space="preserve"> </v>
      </c>
      <c r="R34" s="714" t="str">
        <f t="shared" si="22"/>
        <v xml:space="preserve"> </v>
      </c>
      <c r="S34" s="714" t="str">
        <f t="shared" si="22"/>
        <v xml:space="preserve"> </v>
      </c>
      <c r="T34" s="714" t="str">
        <f t="shared" si="22"/>
        <v xml:space="preserve"> </v>
      </c>
      <c r="U34" s="714" t="str">
        <f t="shared" si="22"/>
        <v xml:space="preserve"> </v>
      </c>
      <c r="V34" s="714" t="str">
        <f t="shared" si="22"/>
        <v xml:space="preserve"> </v>
      </c>
      <c r="W34" s="714" t="str">
        <f t="shared" si="22"/>
        <v xml:space="preserve"> </v>
      </c>
      <c r="X34" s="714" t="str">
        <f t="shared" si="22"/>
        <v xml:space="preserve"> </v>
      </c>
      <c r="Y34" s="714" t="str">
        <f t="shared" si="22"/>
        <v xml:space="preserve"> </v>
      </c>
      <c r="Z34" s="714" t="str">
        <f t="shared" si="22"/>
        <v xml:space="preserve"> </v>
      </c>
      <c r="AA34" s="714" t="str">
        <f t="shared" si="22"/>
        <v xml:space="preserve"> </v>
      </c>
      <c r="AB34" s="714" t="str">
        <f t="shared" si="22"/>
        <v xml:space="preserve"> </v>
      </c>
      <c r="AC34" s="714" t="str">
        <f t="shared" si="22"/>
        <v xml:space="preserve"> </v>
      </c>
      <c r="AD34" s="714" t="str">
        <f t="shared" si="22"/>
        <v xml:space="preserve"> </v>
      </c>
      <c r="AE34" s="714" t="str">
        <f t="shared" si="22"/>
        <v xml:space="preserve"> </v>
      </c>
      <c r="AF34" s="714" t="str">
        <f t="shared" si="22"/>
        <v xml:space="preserve"> </v>
      </c>
      <c r="AG34" s="714" t="str">
        <f t="shared" si="22"/>
        <v xml:space="preserve"> </v>
      </c>
      <c r="AH34" s="714" t="str">
        <f t="shared" si="22"/>
        <v xml:space="preserve"> </v>
      </c>
      <c r="AI34" s="714" t="str">
        <f t="shared" si="22"/>
        <v xml:space="preserve"> </v>
      </c>
      <c r="AJ34" s="715" t="str">
        <f t="shared" si="22"/>
        <v xml:space="preserve"> </v>
      </c>
      <c r="BD34" s="711"/>
      <c r="BE34" s="728">
        <v>12</v>
      </c>
      <c r="BF34" s="729" t="str">
        <f t="shared" ref="BF34:CL34" si="23">IF(BF113&lt;&gt;"",BF113,"")</f>
        <v xml:space="preserve"> </v>
      </c>
      <c r="BG34" s="714" t="str">
        <f t="shared" si="23"/>
        <v xml:space="preserve"> </v>
      </c>
      <c r="BH34" s="714" t="str">
        <f t="shared" si="23"/>
        <v xml:space="preserve"> </v>
      </c>
      <c r="BI34" s="714" t="str">
        <f t="shared" si="23"/>
        <v xml:space="preserve"> </v>
      </c>
      <c r="BJ34" s="714" t="str">
        <f t="shared" si="23"/>
        <v xml:space="preserve"> </v>
      </c>
      <c r="BK34" s="714" t="str">
        <f t="shared" si="23"/>
        <v xml:space="preserve"> </v>
      </c>
      <c r="BL34" s="714" t="str">
        <f t="shared" si="23"/>
        <v xml:space="preserve"> </v>
      </c>
      <c r="BM34" s="714" t="str">
        <f t="shared" si="23"/>
        <v xml:space="preserve"> </v>
      </c>
      <c r="BN34" s="714" t="str">
        <f t="shared" si="23"/>
        <v xml:space="preserve"> </v>
      </c>
      <c r="BO34" s="714" t="str">
        <f t="shared" si="23"/>
        <v xml:space="preserve"> </v>
      </c>
      <c r="BP34" s="714" t="str">
        <f t="shared" si="23"/>
        <v xml:space="preserve"> </v>
      </c>
      <c r="BQ34" s="714" t="str">
        <f t="shared" si="23"/>
        <v xml:space="preserve"> </v>
      </c>
      <c r="BR34" s="714" t="str">
        <f t="shared" si="23"/>
        <v xml:space="preserve"> </v>
      </c>
      <c r="BS34" s="714" t="str">
        <f t="shared" si="23"/>
        <v xml:space="preserve"> </v>
      </c>
      <c r="BT34" s="714" t="str">
        <f t="shared" si="23"/>
        <v xml:space="preserve"> </v>
      </c>
      <c r="BU34" s="714" t="str">
        <f t="shared" si="23"/>
        <v xml:space="preserve"> </v>
      </c>
      <c r="BV34" s="714" t="str">
        <f t="shared" si="23"/>
        <v xml:space="preserve"> </v>
      </c>
      <c r="BW34" s="714" t="str">
        <f t="shared" si="23"/>
        <v xml:space="preserve"> </v>
      </c>
      <c r="BX34" s="714" t="str">
        <f t="shared" si="23"/>
        <v xml:space="preserve"> </v>
      </c>
      <c r="BY34" s="714" t="str">
        <f t="shared" si="23"/>
        <v xml:space="preserve"> </v>
      </c>
      <c r="BZ34" s="714" t="str">
        <f t="shared" si="23"/>
        <v xml:space="preserve"> </v>
      </c>
      <c r="CA34" s="714" t="str">
        <f t="shared" si="23"/>
        <v xml:space="preserve"> </v>
      </c>
      <c r="CB34" s="714" t="str">
        <f t="shared" si="23"/>
        <v xml:space="preserve"> </v>
      </c>
      <c r="CC34" s="714" t="str">
        <f t="shared" si="23"/>
        <v xml:space="preserve"> </v>
      </c>
      <c r="CD34" s="714" t="str">
        <f t="shared" si="23"/>
        <v xml:space="preserve"> </v>
      </c>
      <c r="CE34" s="714" t="str">
        <f t="shared" si="23"/>
        <v xml:space="preserve"> </v>
      </c>
      <c r="CF34" s="714" t="str">
        <f t="shared" si="23"/>
        <v xml:space="preserve"> </v>
      </c>
      <c r="CG34" s="714" t="str">
        <f t="shared" si="23"/>
        <v xml:space="preserve"> </v>
      </c>
      <c r="CH34" s="714" t="str">
        <f t="shared" si="23"/>
        <v xml:space="preserve"> </v>
      </c>
      <c r="CI34" s="714" t="str">
        <f t="shared" si="23"/>
        <v xml:space="preserve"> </v>
      </c>
      <c r="CJ34" s="714" t="str">
        <f t="shared" si="23"/>
        <v xml:space="preserve"> </v>
      </c>
      <c r="CK34" s="714" t="str">
        <f t="shared" si="23"/>
        <v xml:space="preserve"> </v>
      </c>
      <c r="CL34" s="715" t="str">
        <f t="shared" si="23"/>
        <v xml:space="preserve"> </v>
      </c>
    </row>
    <row r="35" spans="1:90" x14ac:dyDescent="0.35">
      <c r="C35" t="str">
        <f t="shared" ref="C35:AI35" si="24">IF(C114&lt;&gt;"",C114,"")</f>
        <v/>
      </c>
      <c r="D35" t="str">
        <f t="shared" si="24"/>
        <v/>
      </c>
      <c r="E35" t="str">
        <f t="shared" si="24"/>
        <v/>
      </c>
      <c r="F35" t="str">
        <f t="shared" si="24"/>
        <v/>
      </c>
      <c r="G35" t="str">
        <f t="shared" si="24"/>
        <v/>
      </c>
      <c r="H35" t="str">
        <f t="shared" si="24"/>
        <v/>
      </c>
      <c r="I35" t="str">
        <f t="shared" si="24"/>
        <v/>
      </c>
      <c r="J35" t="str">
        <f t="shared" si="24"/>
        <v/>
      </c>
      <c r="K35" t="str">
        <f t="shared" si="24"/>
        <v/>
      </c>
      <c r="L35" t="str">
        <f t="shared" si="24"/>
        <v/>
      </c>
      <c r="M35" t="str">
        <f t="shared" si="24"/>
        <v/>
      </c>
      <c r="N35" t="str">
        <f t="shared" si="24"/>
        <v/>
      </c>
      <c r="O35" t="str">
        <f t="shared" si="24"/>
        <v/>
      </c>
      <c r="P35" t="str">
        <f t="shared" si="24"/>
        <v/>
      </c>
      <c r="Q35" t="str">
        <f t="shared" si="24"/>
        <v/>
      </c>
      <c r="R35" t="str">
        <f t="shared" si="24"/>
        <v/>
      </c>
      <c r="S35" t="str">
        <f t="shared" si="24"/>
        <v/>
      </c>
      <c r="T35" t="str">
        <f t="shared" si="24"/>
        <v/>
      </c>
      <c r="U35" t="str">
        <f t="shared" si="24"/>
        <v/>
      </c>
      <c r="V35" t="str">
        <f t="shared" si="24"/>
        <v/>
      </c>
      <c r="W35" t="str">
        <f t="shared" si="24"/>
        <v/>
      </c>
      <c r="X35" t="str">
        <f t="shared" si="24"/>
        <v/>
      </c>
      <c r="Y35" t="str">
        <f t="shared" si="24"/>
        <v/>
      </c>
      <c r="Z35" t="str">
        <f t="shared" si="24"/>
        <v/>
      </c>
      <c r="AA35" t="str">
        <f t="shared" si="24"/>
        <v/>
      </c>
      <c r="AB35" t="str">
        <f t="shared" si="24"/>
        <v/>
      </c>
      <c r="AC35" t="str">
        <f t="shared" si="24"/>
        <v/>
      </c>
      <c r="AD35" t="str">
        <f t="shared" si="24"/>
        <v/>
      </c>
      <c r="AE35" t="str">
        <f t="shared" si="24"/>
        <v/>
      </c>
      <c r="AF35" t="str">
        <f t="shared" si="24"/>
        <v/>
      </c>
      <c r="AG35" t="str">
        <f t="shared" si="24"/>
        <v/>
      </c>
      <c r="AH35" t="str">
        <f t="shared" si="24"/>
        <v/>
      </c>
      <c r="AI35" t="str">
        <f t="shared" si="24"/>
        <v/>
      </c>
    </row>
    <row r="36" spans="1:90" x14ac:dyDescent="0.35">
      <c r="C36" t="str">
        <f t="shared" ref="C36:AI36" si="25">IF(C115&lt;&gt;"",C115,"")</f>
        <v/>
      </c>
      <c r="D36" t="str">
        <f t="shared" si="25"/>
        <v/>
      </c>
      <c r="E36" t="str">
        <f t="shared" si="25"/>
        <v/>
      </c>
      <c r="F36" t="str">
        <f t="shared" si="25"/>
        <v/>
      </c>
      <c r="G36" t="str">
        <f t="shared" si="25"/>
        <v/>
      </c>
      <c r="H36" t="str">
        <f t="shared" si="25"/>
        <v/>
      </c>
      <c r="I36" t="str">
        <f t="shared" si="25"/>
        <v/>
      </c>
      <c r="J36" t="str">
        <f t="shared" si="25"/>
        <v/>
      </c>
      <c r="K36" t="str">
        <f t="shared" si="25"/>
        <v/>
      </c>
      <c r="L36" t="str">
        <f t="shared" si="25"/>
        <v/>
      </c>
      <c r="M36" t="str">
        <f t="shared" si="25"/>
        <v/>
      </c>
      <c r="N36" t="str">
        <f t="shared" si="25"/>
        <v/>
      </c>
      <c r="O36" t="str">
        <f t="shared" si="25"/>
        <v/>
      </c>
      <c r="P36" t="str">
        <f t="shared" si="25"/>
        <v/>
      </c>
      <c r="Q36" t="str">
        <f t="shared" si="25"/>
        <v/>
      </c>
      <c r="R36" t="str">
        <f t="shared" si="25"/>
        <v/>
      </c>
      <c r="S36" t="str">
        <f t="shared" si="25"/>
        <v/>
      </c>
      <c r="T36" t="str">
        <f t="shared" si="25"/>
        <v/>
      </c>
      <c r="U36" t="str">
        <f t="shared" si="25"/>
        <v/>
      </c>
      <c r="V36" t="str">
        <f t="shared" si="25"/>
        <v/>
      </c>
      <c r="W36" t="str">
        <f t="shared" si="25"/>
        <v/>
      </c>
      <c r="X36" t="str">
        <f t="shared" si="25"/>
        <v/>
      </c>
      <c r="Y36" t="str">
        <f t="shared" si="25"/>
        <v/>
      </c>
      <c r="Z36" t="str">
        <f t="shared" si="25"/>
        <v/>
      </c>
      <c r="AA36" t="str">
        <f t="shared" si="25"/>
        <v/>
      </c>
      <c r="AB36" t="str">
        <f t="shared" si="25"/>
        <v/>
      </c>
      <c r="AC36" t="str">
        <f t="shared" si="25"/>
        <v/>
      </c>
      <c r="AD36" t="str">
        <f t="shared" si="25"/>
        <v/>
      </c>
      <c r="AE36" t="str">
        <f t="shared" si="25"/>
        <v/>
      </c>
      <c r="AF36" t="str">
        <f t="shared" si="25"/>
        <v/>
      </c>
      <c r="AG36" t="str">
        <f t="shared" si="25"/>
        <v/>
      </c>
      <c r="AH36" t="str">
        <f t="shared" si="25"/>
        <v/>
      </c>
      <c r="AI36" t="str">
        <f t="shared" si="25"/>
        <v/>
      </c>
    </row>
    <row r="37" spans="1:90" x14ac:dyDescent="0.35">
      <c r="C37" t="str">
        <f t="shared" ref="C37:AI37" si="26">IF(C116&lt;&gt;"",C116,"")</f>
        <v/>
      </c>
      <c r="D37" t="str">
        <f t="shared" si="26"/>
        <v/>
      </c>
      <c r="E37" t="str">
        <f t="shared" si="26"/>
        <v/>
      </c>
      <c r="F37" t="str">
        <f t="shared" si="26"/>
        <v/>
      </c>
      <c r="G37" t="str">
        <f t="shared" si="26"/>
        <v/>
      </c>
      <c r="H37" t="str">
        <f t="shared" si="26"/>
        <v/>
      </c>
      <c r="I37" t="str">
        <f t="shared" si="26"/>
        <v/>
      </c>
      <c r="J37" t="str">
        <f t="shared" si="26"/>
        <v/>
      </c>
      <c r="K37" t="str">
        <f t="shared" si="26"/>
        <v/>
      </c>
      <c r="L37" t="str">
        <f t="shared" si="26"/>
        <v/>
      </c>
      <c r="M37" t="str">
        <f t="shared" si="26"/>
        <v/>
      </c>
      <c r="N37" t="str">
        <f t="shared" si="26"/>
        <v/>
      </c>
      <c r="O37" t="str">
        <f t="shared" si="26"/>
        <v/>
      </c>
      <c r="P37" t="str">
        <f t="shared" si="26"/>
        <v/>
      </c>
      <c r="Q37" t="str">
        <f t="shared" si="26"/>
        <v/>
      </c>
      <c r="R37" t="str">
        <f t="shared" si="26"/>
        <v/>
      </c>
      <c r="S37" t="str">
        <f t="shared" si="26"/>
        <v/>
      </c>
      <c r="T37" t="str">
        <f t="shared" si="26"/>
        <v/>
      </c>
      <c r="U37" t="str">
        <f t="shared" si="26"/>
        <v/>
      </c>
      <c r="V37" t="str">
        <f t="shared" si="26"/>
        <v/>
      </c>
      <c r="W37" t="str">
        <f t="shared" si="26"/>
        <v/>
      </c>
      <c r="X37" t="str">
        <f t="shared" si="26"/>
        <v/>
      </c>
      <c r="Y37" t="str">
        <f t="shared" si="26"/>
        <v/>
      </c>
      <c r="Z37" t="str">
        <f t="shared" si="26"/>
        <v/>
      </c>
      <c r="AA37" t="str">
        <f t="shared" si="26"/>
        <v/>
      </c>
      <c r="AB37" t="str">
        <f t="shared" si="26"/>
        <v/>
      </c>
      <c r="AC37" t="str">
        <f t="shared" si="26"/>
        <v/>
      </c>
      <c r="AD37" t="str">
        <f t="shared" si="26"/>
        <v/>
      </c>
      <c r="AE37" t="str">
        <f t="shared" si="26"/>
        <v/>
      </c>
      <c r="AF37" t="str">
        <f t="shared" si="26"/>
        <v/>
      </c>
      <c r="AG37" t="str">
        <f t="shared" si="26"/>
        <v/>
      </c>
      <c r="AH37" t="str">
        <f t="shared" si="26"/>
        <v/>
      </c>
      <c r="AI37" t="str">
        <f t="shared" si="26"/>
        <v/>
      </c>
    </row>
    <row r="39" spans="1:90" ht="24" thickBot="1" x14ac:dyDescent="0.4">
      <c r="A39" s="844"/>
      <c r="B39" s="839"/>
      <c r="C39" s="839"/>
      <c r="D39" s="839"/>
      <c r="E39" s="839"/>
      <c r="F39" s="839"/>
      <c r="G39" s="839"/>
      <c r="H39" s="839"/>
      <c r="I39" s="839"/>
      <c r="J39" s="839"/>
      <c r="K39" s="839"/>
      <c r="L39" s="839"/>
      <c r="M39" s="839"/>
      <c r="N39" s="839"/>
      <c r="O39" s="839"/>
      <c r="P39" s="839"/>
      <c r="Q39" s="839"/>
      <c r="R39" s="839"/>
      <c r="S39" s="839"/>
      <c r="T39" s="839"/>
      <c r="U39" s="839"/>
      <c r="V39" s="839"/>
      <c r="W39" s="839"/>
      <c r="X39" s="839"/>
      <c r="Y39" s="839"/>
      <c r="Z39" s="839"/>
      <c r="AA39" s="839"/>
      <c r="AB39" s="839"/>
      <c r="AC39" s="839"/>
      <c r="AD39" s="839"/>
      <c r="AE39" s="839"/>
      <c r="AF39" s="839"/>
      <c r="AG39" s="839"/>
      <c r="AH39" s="839"/>
      <c r="AI39" s="839"/>
      <c r="AJ39" s="839"/>
      <c r="BD39" s="690"/>
      <c r="BE39" s="717"/>
      <c r="BF39" s="734"/>
      <c r="BG39" s="734"/>
      <c r="BH39" s="734"/>
      <c r="BI39" s="734"/>
      <c r="BJ39" s="734"/>
      <c r="BK39" s="734"/>
      <c r="BL39" s="734"/>
      <c r="BM39" s="734"/>
      <c r="BN39" s="734"/>
      <c r="BO39" s="734"/>
      <c r="BP39" s="734"/>
      <c r="BQ39" s="734"/>
      <c r="BR39" s="734"/>
      <c r="BS39" s="734"/>
      <c r="BT39" s="734"/>
      <c r="BU39" s="734"/>
      <c r="BV39" s="734"/>
      <c r="BW39" s="734"/>
      <c r="BX39" s="734"/>
      <c r="BY39" s="734"/>
      <c r="BZ39" s="734"/>
      <c r="CA39" s="734"/>
      <c r="CB39" s="734"/>
      <c r="CC39" s="734"/>
      <c r="CD39" s="734"/>
      <c r="CE39" s="734"/>
      <c r="CF39" s="734"/>
      <c r="CG39" s="734"/>
      <c r="CH39" s="734"/>
      <c r="CI39" s="734"/>
      <c r="CJ39" s="734"/>
      <c r="CK39" s="734"/>
      <c r="CL39" s="734"/>
    </row>
    <row r="40" spans="1:90" ht="15" thickBot="1" x14ac:dyDescent="0.4">
      <c r="A40" s="691"/>
      <c r="B40" s="735"/>
      <c r="C40" s="1191"/>
      <c r="D40" s="1192"/>
      <c r="E40" s="1192"/>
      <c r="F40" s="1192"/>
      <c r="G40" s="1192"/>
      <c r="H40" s="1192"/>
      <c r="I40" s="1192"/>
      <c r="J40" s="1192"/>
      <c r="K40" s="1192"/>
      <c r="L40" s="1192"/>
      <c r="M40" s="1192"/>
      <c r="N40" s="1192"/>
      <c r="O40" s="1192"/>
      <c r="P40" s="1192"/>
      <c r="Q40" s="1192"/>
      <c r="R40" s="1192"/>
      <c r="S40" s="1192"/>
      <c r="T40" s="1192"/>
      <c r="U40" s="1192"/>
      <c r="V40" s="1192"/>
      <c r="W40" s="1192"/>
      <c r="X40" s="1192"/>
      <c r="Y40" s="1192"/>
      <c r="Z40" s="1192"/>
      <c r="AA40" s="1192"/>
      <c r="AB40" s="1192"/>
      <c r="AC40" s="1192"/>
      <c r="AD40" s="1192"/>
      <c r="AE40" s="1192"/>
      <c r="AF40" s="1192"/>
      <c r="AG40" s="1192"/>
      <c r="AH40" s="1192"/>
      <c r="AI40" s="1192"/>
      <c r="AJ40" s="1192"/>
      <c r="BD40" s="691"/>
      <c r="BE40" s="735"/>
      <c r="BF40" s="719"/>
      <c r="BG40" s="720"/>
      <c r="BH40" s="720"/>
      <c r="BI40" s="720"/>
      <c r="BJ40" s="720"/>
      <c r="BK40" s="720"/>
      <c r="BL40" s="720"/>
      <c r="BM40" s="720"/>
      <c r="BN40" s="720"/>
      <c r="BO40" s="720"/>
      <c r="BP40" s="720"/>
      <c r="BQ40" s="720"/>
      <c r="BR40" s="720"/>
      <c r="BS40" s="720"/>
      <c r="BT40" s="720"/>
      <c r="BU40" s="720"/>
      <c r="BV40" s="720"/>
      <c r="BW40" s="720"/>
      <c r="BX40" s="720"/>
      <c r="BY40" s="720"/>
      <c r="BZ40" s="722"/>
      <c r="CA40" s="720"/>
      <c r="CB40" s="720"/>
      <c r="CC40" s="720"/>
      <c r="CD40" s="720"/>
      <c r="CE40" s="720"/>
      <c r="CF40" s="720"/>
      <c r="CG40" s="720"/>
      <c r="CH40" s="720"/>
      <c r="CI40" s="720"/>
      <c r="CJ40" s="720"/>
      <c r="CK40" s="720"/>
      <c r="CL40" s="721"/>
    </row>
    <row r="41" spans="1:90" ht="15" thickBot="1" x14ac:dyDescent="0.4">
      <c r="A41" s="697"/>
      <c r="B41" s="733"/>
      <c r="C41" s="699">
        <f>IF(Data!$BQ$44&lt;&gt;0,1,0)</f>
        <v>1</v>
      </c>
      <c r="D41" s="700">
        <f>IF(Data!$BQ$44&lt;&gt;0,IF(AND(C41&lt;&gt;0,Data!$BQ$44&gt;C41),C41+1,0),0)</f>
        <v>2</v>
      </c>
      <c r="E41" s="700">
        <f>IF(Data!$BQ$44&lt;&gt;0,IF(AND(D41&lt;&gt;0,Data!$BQ$44&gt;D41),D41+1,0),0)</f>
        <v>3</v>
      </c>
      <c r="F41" s="700">
        <f>IF(Data!$BQ$44&lt;&gt;0,IF(AND(E41&lt;&gt;0,Data!$BQ$44&gt;E41),E41+1,0),0)</f>
        <v>4</v>
      </c>
      <c r="G41" s="700">
        <f>IF(Data!$BQ$44&lt;&gt;0,IF(AND(F41&lt;&gt;0,Data!$BQ$44&gt;F41),F41+1,0),0)</f>
        <v>5</v>
      </c>
      <c r="H41" s="700">
        <f>IF(Data!$BQ$44&lt;&gt;0,IF(AND(G41&lt;&gt;0,Data!$BQ$44&gt;G41),G41+1,0),0)</f>
        <v>6</v>
      </c>
      <c r="I41" s="700">
        <f>IF(Data!$BQ$44&lt;&gt;0,IF(AND(H41&lt;&gt;0,Data!$BQ$44&gt;H41),H41+1,0),0)</f>
        <v>7</v>
      </c>
      <c r="J41" s="700">
        <f>IF(Data!$BQ$44&lt;&gt;0,IF(AND(I41&lt;&gt;0,Data!$BQ$44&gt;I41),I41+1,0),0)</f>
        <v>8</v>
      </c>
      <c r="K41" s="700">
        <f>IF(Data!$BQ$44&lt;&gt;0,IF(AND(J41&lt;&gt;0,Data!$BQ$44&gt;J41),J41+1,0),0)</f>
        <v>9</v>
      </c>
      <c r="L41" s="700">
        <f>IF(Data!$BQ$44&lt;&gt;0,IF(AND(K41&lt;&gt;0,Data!$BQ$44&gt;K41),K41+1,0),0)</f>
        <v>10</v>
      </c>
      <c r="M41" s="700">
        <f>IF(Data!$BQ$44&lt;&gt;0,IF(AND(L41&lt;&gt;0,Data!$BQ$44&gt;L41),L41+1,0),0)</f>
        <v>11</v>
      </c>
      <c r="N41" s="700">
        <f>IF(Data!$BQ$44&lt;&gt;0,IF(AND(M41&lt;&gt;0,Data!$BQ$44&gt;M41),M41+1,0),0)</f>
        <v>12</v>
      </c>
      <c r="O41" s="700">
        <f>IF(Data!$BQ$44&lt;&gt;0,IF(AND(N41&lt;&gt;0,Data!$BQ$44&gt;N41),N41+1,0),0)</f>
        <v>0</v>
      </c>
      <c r="P41" s="700">
        <f>IF(Data!$BQ$44&lt;&gt;0,IF(AND(O41&lt;&gt;0,Data!$BQ$44&gt;O41),O41+1,0),0)</f>
        <v>0</v>
      </c>
      <c r="Q41" s="700">
        <f>IF(Data!$BQ$44&lt;&gt;0,IF(AND(P41&lt;&gt;0,Data!$BQ$44&gt;P41),P41+1,0),0)</f>
        <v>0</v>
      </c>
      <c r="R41" s="700">
        <f>IF(Data!$BQ$44&lt;&gt;0,IF(AND(Q41&lt;&gt;0,Data!$BQ$44&gt;Q41),Q41+1,0),0)</f>
        <v>0</v>
      </c>
      <c r="S41" s="700">
        <f>IF(Data!$BQ$44&lt;&gt;0,IF(AND(R41&lt;&gt;0,Data!$BQ$44&gt;R41),R41+1,0),0)</f>
        <v>0</v>
      </c>
      <c r="T41" s="700">
        <f>IF(Data!$BQ$44&lt;&gt;0,IF(AND(S41&lt;&gt;0,Data!$BQ$44&gt;S41),S41+1,0),0)</f>
        <v>0</v>
      </c>
      <c r="U41" s="700">
        <f>IF(Data!$BQ$44&lt;&gt;0,IF(AND(T41&lt;&gt;0,Data!$BQ$44&gt;T41),T41+1,0),0)</f>
        <v>0</v>
      </c>
      <c r="V41" s="700">
        <f>IF(Data!$BQ$44&lt;&gt;0,IF(AND(U41&lt;&gt;0,Data!$BQ$44&gt;U41),U41+1,0),0)</f>
        <v>0</v>
      </c>
      <c r="W41" s="700">
        <f>IF(Data!$BQ$44&lt;&gt;0,IF(AND(V41&lt;&gt;0,Data!$BQ$44&gt;V41),V41+1,0),0)</f>
        <v>0</v>
      </c>
      <c r="X41" s="700">
        <f>IF(Data!$BQ$44&lt;&gt;0,IF(AND(W41&lt;&gt;0,Data!$BQ$44&gt;W41),W41+1,0),0)</f>
        <v>0</v>
      </c>
      <c r="Y41" s="700">
        <f>IF(Data!$BQ$44&lt;&gt;0,IF(AND(X41&lt;&gt;0,Data!$BQ$44&gt;X41),X41+1,0),0)</f>
        <v>0</v>
      </c>
      <c r="Z41" s="700">
        <f>IF(Data!$BQ$44&lt;&gt;0,IF(AND(Y41&lt;&gt;0,Data!$BQ$44&gt;Y41),Y41+1,0),0)</f>
        <v>0</v>
      </c>
      <c r="AA41" s="700">
        <f>IF(Data!$BQ$44&lt;&gt;0,IF(AND(Z41&lt;&gt;0,Data!$BQ$44&gt;Z41),Z41+1,0),0)</f>
        <v>0</v>
      </c>
      <c r="AB41" s="700">
        <f>IF(Data!$BQ$44&lt;&gt;0,IF(AND(AA41&lt;&gt;0,Data!$BQ$44&gt;AA41),AA41+1,0),0)</f>
        <v>0</v>
      </c>
      <c r="AC41" s="700">
        <f>IF(Data!$BQ$44&lt;&gt;0,IF(AND(AB41&lt;&gt;0,Data!$BQ$44&gt;AB41),AB41+1,0),0)</f>
        <v>0</v>
      </c>
      <c r="AD41" s="700">
        <f>IF(Data!$BQ$44&lt;&gt;0,IF(AND(AC41&lt;&gt;0,Data!$BQ$44&gt;AC41),AC41+1,0),0)</f>
        <v>0</v>
      </c>
      <c r="AE41" s="700">
        <f>IF(Data!$BQ$44&lt;&gt;0,IF(AND(AD41&lt;&gt;0,Data!$BQ$44&gt;AD41),AD41+1,0),0)</f>
        <v>0</v>
      </c>
      <c r="AF41" s="700">
        <f>IF(Data!$BQ$44&lt;&gt;0,IF(AND(AE41&lt;&gt;0,Data!$BQ$44&gt;AE41),AE41+1,0),0)</f>
        <v>0</v>
      </c>
      <c r="AG41" s="700">
        <f>IF(Data!$BQ$44&lt;&gt;0,IF(AND(AF41&lt;&gt;0,Data!$BQ$44&gt;AF41),AF41+1,0),0)</f>
        <v>0</v>
      </c>
      <c r="AH41" s="700">
        <f>IF(Data!$BQ$44&lt;&gt;0,IF(AND(AG41&lt;&gt;0,Data!$BQ$44&gt;AG41),AG41+1,0),0)</f>
        <v>0</v>
      </c>
      <c r="AI41" s="700">
        <f>IF(Data!$BQ$44&lt;&gt;0,IF(AND(AH41&lt;&gt;0,Data!$BQ$44&gt;AH41),AH41+1,0),0)</f>
        <v>0</v>
      </c>
      <c r="AJ41" s="701">
        <f>IF(Data!$BQ$44&lt;&gt;0,IF(AND(AI41&lt;&gt;0,Data!$BQ$44&gt;AI41),AI41+1,0),0)</f>
        <v>0</v>
      </c>
      <c r="BD41" s="697"/>
      <c r="BE41" s="733"/>
      <c r="BF41" s="361">
        <f>IF(Data!$BQ$44&lt;&gt;0,1,0)</f>
        <v>1</v>
      </c>
      <c r="BG41" s="35">
        <f>IF(Data!$BQ$44&lt;&gt;0,IF(AND(BF41&lt;&gt;0,Data!$BQ$44&gt;BF41),BF41+1,0),0)</f>
        <v>2</v>
      </c>
      <c r="BH41" s="35">
        <f>IF(Data!$BQ$44&lt;&gt;0,IF(AND(BG41&lt;&gt;0,Data!$BQ$44&gt;BG41),BG41+1,0),0)</f>
        <v>3</v>
      </c>
      <c r="BI41" s="35">
        <f>IF(Data!$BQ$44&lt;&gt;0,IF(AND(BH41&lt;&gt;0,Data!$BQ$44&gt;BH41),BH41+1,0),0)</f>
        <v>4</v>
      </c>
      <c r="BJ41" s="35">
        <f>IF(Data!$BQ$44&lt;&gt;0,IF(AND(BI41&lt;&gt;0,Data!$BQ$44&gt;BI41),BI41+1,0),0)</f>
        <v>5</v>
      </c>
      <c r="BK41" s="35">
        <f>IF(Data!$BQ$44&lt;&gt;0,IF(AND(BJ41&lt;&gt;0,Data!$BQ$44&gt;BJ41),BJ41+1,0),0)</f>
        <v>6</v>
      </c>
      <c r="BL41" s="35">
        <f>IF(Data!$BQ$44&lt;&gt;0,IF(AND(BK41&lt;&gt;0,Data!$BQ$44&gt;BK41),BK41+1,0),0)</f>
        <v>7</v>
      </c>
      <c r="BM41" s="35">
        <f>IF(Data!$BQ$44&lt;&gt;0,IF(AND(BL41&lt;&gt;0,Data!$BQ$44&gt;BL41),BL41+1,0),0)</f>
        <v>8</v>
      </c>
      <c r="BN41" s="35">
        <f>IF(Data!$BQ$44&lt;&gt;0,IF(AND(BM41&lt;&gt;0,Data!$BQ$44&gt;BM41),BM41+1,0),0)</f>
        <v>9</v>
      </c>
      <c r="BO41" s="35">
        <f>IF(Data!$BQ$44&lt;&gt;0,IF(AND(BN41&lt;&gt;0,Data!$BQ$44&gt;BN41),BN41+1,0),0)</f>
        <v>10</v>
      </c>
      <c r="BP41" s="35">
        <f>IF(Data!$BQ$44&lt;&gt;0,IF(AND(BO41&lt;&gt;0,Data!$BQ$44&gt;BO41),BO41+1,0),0)</f>
        <v>11</v>
      </c>
      <c r="BQ41" s="35">
        <f>IF(Data!$BQ$44&lt;&gt;0,IF(AND(BP41&lt;&gt;0,Data!$BQ$44&gt;BP41),BP41+1,0),0)</f>
        <v>12</v>
      </c>
      <c r="BR41" s="35">
        <f>IF(Data!$BQ$44&lt;&gt;0,IF(AND(BQ41&lt;&gt;0,Data!$BQ$44&gt;BQ41),BQ41+1,0),0)</f>
        <v>0</v>
      </c>
      <c r="BS41" s="35">
        <f>IF(Data!$BQ$44&lt;&gt;0,IF(AND(BR41&lt;&gt;0,Data!$BQ$44&gt;BR41),BR41+1,0),0)</f>
        <v>0</v>
      </c>
      <c r="BT41" s="35">
        <f>IF(Data!$BQ$44&lt;&gt;0,IF(AND(BS41&lt;&gt;0,Data!$BQ$44&gt;BS41),BS41+1,0),0)</f>
        <v>0</v>
      </c>
      <c r="BU41" s="35">
        <f>IF(Data!$BQ$44&lt;&gt;0,IF(AND(BT41&lt;&gt;0,Data!$BQ$44&gt;BT41),BT41+1,0),0)</f>
        <v>0</v>
      </c>
      <c r="BV41" s="35">
        <f>IF(Data!$BQ$44&lt;&gt;0,IF(AND(BU41&lt;&gt;0,Data!$BQ$44&gt;BU41),BU41+1,0),0)</f>
        <v>0</v>
      </c>
      <c r="BW41" s="35">
        <f>IF(Data!$BQ$44&lt;&gt;0,IF(AND(BV41&lt;&gt;0,Data!$BQ$44&gt;BV41),BV41+1,0),0)</f>
        <v>0</v>
      </c>
      <c r="BX41" s="35">
        <f>IF(Data!$BQ$44&lt;&gt;0,IF(AND(BW41&lt;&gt;0,Data!$BQ$44&gt;BW41),BW41+1,0),0)</f>
        <v>0</v>
      </c>
      <c r="BY41" s="35">
        <f>IF(Data!$BQ$44&lt;&gt;0,IF(AND(BX41&lt;&gt;0,Data!$BQ$44&gt;BX41),BX41+1,0),0)</f>
        <v>0</v>
      </c>
      <c r="BZ41" s="35">
        <f>IF(Data!$BQ$44&lt;&gt;0,IF(AND(BY41&lt;&gt;0,Data!$BQ$44&gt;BY41),BY41+1,0),0)</f>
        <v>0</v>
      </c>
      <c r="CA41" s="35">
        <f>IF(Data!$BQ$44&lt;&gt;0,IF(AND(BZ41&lt;&gt;0,Data!$BQ$44&gt;BZ41),BZ41+1,0),0)</f>
        <v>0</v>
      </c>
      <c r="CB41" s="35">
        <f>IF(Data!$BQ$44&lt;&gt;0,IF(AND(CA41&lt;&gt;0,Data!$BQ$44&gt;CA41),CA41+1,0),0)</f>
        <v>0</v>
      </c>
      <c r="CC41" s="35">
        <f>IF(Data!$BQ$44&lt;&gt;0,IF(AND(CB41&lt;&gt;0,Data!$BQ$44&gt;CB41),CB41+1,0),0)</f>
        <v>0</v>
      </c>
      <c r="CD41" s="35">
        <f>IF(Data!$BQ$44&lt;&gt;0,IF(AND(CC41&lt;&gt;0,Data!$BQ$44&gt;CC41),CC41+1,0),0)</f>
        <v>0</v>
      </c>
      <c r="CE41" s="35">
        <f>IF(Data!$BQ$44&lt;&gt;0,IF(AND(CD41&lt;&gt;0,Data!$BQ$44&gt;CD41),CD41+1,0),0)</f>
        <v>0</v>
      </c>
      <c r="CF41" s="35">
        <f>IF(Data!$BQ$44&lt;&gt;0,IF(AND(CE41&lt;&gt;0,Data!$BQ$44&gt;CE41),CE41+1,0),0)</f>
        <v>0</v>
      </c>
      <c r="CG41" s="35">
        <f>IF(Data!$BQ$44&lt;&gt;0,IF(AND(CF41&lt;&gt;0,Data!$BQ$44&gt;CF41),CF41+1,0),0)</f>
        <v>0</v>
      </c>
      <c r="CH41" s="35">
        <f>IF(Data!$BQ$44&lt;&gt;0,IF(AND(CG41&lt;&gt;0,Data!$BQ$44&gt;CG41),CG41+1,0),0)</f>
        <v>0</v>
      </c>
      <c r="CI41" s="35">
        <f>IF(Data!$BQ$44&lt;&gt;0,IF(AND(CH41&lt;&gt;0,Data!$BQ$44&gt;CH41),CH41+1,0),0)</f>
        <v>0</v>
      </c>
      <c r="CJ41" s="35">
        <f>IF(Data!$BQ$44&lt;&gt;0,IF(AND(CI41&lt;&gt;0,Data!$BQ$44&gt;CI41),CI41+1,0),0)</f>
        <v>0</v>
      </c>
      <c r="CK41" s="35">
        <f>IF(Data!$BQ$44&lt;&gt;0,IF(AND(CJ41&lt;&gt;0,Data!$BQ$44&gt;CJ41),CJ41+1,0),0)</f>
        <v>0</v>
      </c>
      <c r="CL41" s="357">
        <f>IF(Data!$BQ$44&lt;&gt;0,IF(AND(CK41&lt;&gt;0,Data!$BQ$44&gt;CK41),CK41+1,0),0)</f>
        <v>0</v>
      </c>
    </row>
    <row r="42" spans="1:90" ht="15.5" x14ac:dyDescent="0.35">
      <c r="A42" s="702"/>
      <c r="B42" s="724">
        <v>1</v>
      </c>
      <c r="C42" s="747" t="str">
        <f>IF(C102&lt;&gt;"",SUBSTITUTE(SUBSTITUTE(SUBSTITUTE(C102,"F","O"),"S","O"),"L","X"),"")</f>
        <v>R</v>
      </c>
      <c r="D42" s="748" t="str">
        <f t="shared" ref="D42:AJ42" si="27">IF(D102&lt;&gt;"",SUBSTITUTE(SUBSTITUTE(SUBSTITUTE(D102,"F","O"),"S","O"),"L","X"),"")</f>
        <v>R</v>
      </c>
      <c r="E42" s="748" t="str">
        <f t="shared" si="27"/>
        <v>X</v>
      </c>
      <c r="F42" s="748" t="str">
        <f t="shared" si="27"/>
        <v>X</v>
      </c>
      <c r="G42" s="748" t="str">
        <f t="shared" si="27"/>
        <v>X</v>
      </c>
      <c r="H42" s="748" t="str">
        <f t="shared" si="27"/>
        <v>X</v>
      </c>
      <c r="I42" s="748" t="str">
        <f t="shared" si="27"/>
        <v>R</v>
      </c>
      <c r="J42" s="748" t="str">
        <f t="shared" si="27"/>
        <v>X</v>
      </c>
      <c r="K42" s="748" t="str">
        <f t="shared" si="27"/>
        <v>O</v>
      </c>
      <c r="L42" s="748" t="str">
        <f t="shared" si="27"/>
        <v>X</v>
      </c>
      <c r="M42" s="748" t="str">
        <f t="shared" si="27"/>
        <v>X</v>
      </c>
      <c r="N42" s="748" t="str">
        <f t="shared" si="27"/>
        <v>R</v>
      </c>
      <c r="O42" s="748" t="str">
        <f t="shared" si="27"/>
        <v xml:space="preserve"> </v>
      </c>
      <c r="P42" s="748" t="str">
        <f t="shared" si="27"/>
        <v xml:space="preserve"> </v>
      </c>
      <c r="Q42" s="748" t="str">
        <f t="shared" si="27"/>
        <v xml:space="preserve"> </v>
      </c>
      <c r="R42" s="748" t="str">
        <f t="shared" si="27"/>
        <v xml:space="preserve"> </v>
      </c>
      <c r="S42" s="748" t="str">
        <f t="shared" si="27"/>
        <v xml:space="preserve"> </v>
      </c>
      <c r="T42" s="748" t="str">
        <f t="shared" si="27"/>
        <v xml:space="preserve"> </v>
      </c>
      <c r="U42" s="748" t="str">
        <f t="shared" si="27"/>
        <v xml:space="preserve"> </v>
      </c>
      <c r="V42" s="748" t="str">
        <f t="shared" si="27"/>
        <v xml:space="preserve"> </v>
      </c>
      <c r="W42" s="748" t="str">
        <f t="shared" si="27"/>
        <v xml:space="preserve"> </v>
      </c>
      <c r="X42" s="748" t="str">
        <f t="shared" si="27"/>
        <v xml:space="preserve"> </v>
      </c>
      <c r="Y42" s="748" t="str">
        <f t="shared" si="27"/>
        <v xml:space="preserve"> </v>
      </c>
      <c r="Z42" s="748" t="str">
        <f t="shared" si="27"/>
        <v xml:space="preserve"> </v>
      </c>
      <c r="AA42" s="748" t="str">
        <f t="shared" si="27"/>
        <v xml:space="preserve"> </v>
      </c>
      <c r="AB42" s="748" t="str">
        <f t="shared" si="27"/>
        <v xml:space="preserve"> </v>
      </c>
      <c r="AC42" s="748" t="str">
        <f t="shared" si="27"/>
        <v xml:space="preserve"> </v>
      </c>
      <c r="AD42" s="748" t="str">
        <f t="shared" si="27"/>
        <v xml:space="preserve"> </v>
      </c>
      <c r="AE42" s="748" t="str">
        <f t="shared" si="27"/>
        <v xml:space="preserve"> </v>
      </c>
      <c r="AF42" s="748" t="str">
        <f t="shared" si="27"/>
        <v xml:space="preserve"> </v>
      </c>
      <c r="AG42" s="748" t="str">
        <f t="shared" si="27"/>
        <v xml:space="preserve"> </v>
      </c>
      <c r="AH42" s="748" t="str">
        <f t="shared" si="27"/>
        <v xml:space="preserve"> </v>
      </c>
      <c r="AI42" s="748" t="str">
        <f t="shared" si="27"/>
        <v xml:space="preserve"> </v>
      </c>
      <c r="AJ42" s="749" t="str">
        <f t="shared" si="27"/>
        <v xml:space="preserve"> </v>
      </c>
      <c r="BD42" s="702"/>
      <c r="BE42" s="724">
        <v>1</v>
      </c>
      <c r="BF42" s="725" t="str">
        <f>IF(BF102&lt;&gt;"",SUBSTITUTE(SUBSTITUTE(SUBSTITUTE(BF102,"F","O"),"S","O"),"L","X"),"")</f>
        <v>R</v>
      </c>
      <c r="BG42" s="705" t="str">
        <f t="shared" ref="BG42:CL42" si="28">IF(BG102&lt;&gt;"",SUBSTITUTE(SUBSTITUTE(SUBSTITUTE(BG102,"F","O"),"S","O"),"L","X"),"")</f>
        <v>R</v>
      </c>
      <c r="BH42" s="705" t="str">
        <f t="shared" si="28"/>
        <v>X</v>
      </c>
      <c r="BI42" s="705" t="str">
        <f t="shared" si="28"/>
        <v>X</v>
      </c>
      <c r="BJ42" s="705" t="str">
        <f t="shared" si="28"/>
        <v>X</v>
      </c>
      <c r="BK42" s="705" t="str">
        <f t="shared" si="28"/>
        <v>X</v>
      </c>
      <c r="BL42" s="705" t="str">
        <f t="shared" si="28"/>
        <v>R</v>
      </c>
      <c r="BM42" s="705" t="str">
        <f t="shared" si="28"/>
        <v>X</v>
      </c>
      <c r="BN42" s="705" t="str">
        <f t="shared" si="28"/>
        <v>O</v>
      </c>
      <c r="BO42" s="705" t="str">
        <f t="shared" si="28"/>
        <v>X</v>
      </c>
      <c r="BP42" s="705" t="str">
        <f t="shared" si="28"/>
        <v>X</v>
      </c>
      <c r="BQ42" s="705" t="str">
        <f t="shared" si="28"/>
        <v>R</v>
      </c>
      <c r="BR42" s="705" t="str">
        <f t="shared" si="28"/>
        <v xml:space="preserve"> </v>
      </c>
      <c r="BS42" s="705" t="str">
        <f t="shared" si="28"/>
        <v xml:space="preserve"> </v>
      </c>
      <c r="BT42" s="705" t="str">
        <f t="shared" si="28"/>
        <v xml:space="preserve"> </v>
      </c>
      <c r="BU42" s="705" t="str">
        <f t="shared" si="28"/>
        <v xml:space="preserve"> </v>
      </c>
      <c r="BV42" s="705" t="str">
        <f t="shared" si="28"/>
        <v xml:space="preserve"> </v>
      </c>
      <c r="BW42" s="705" t="str">
        <f t="shared" si="28"/>
        <v xml:space="preserve"> </v>
      </c>
      <c r="BX42" s="705" t="str">
        <f t="shared" si="28"/>
        <v xml:space="preserve"> </v>
      </c>
      <c r="BY42" s="705" t="str">
        <f t="shared" si="28"/>
        <v xml:space="preserve"> </v>
      </c>
      <c r="BZ42" s="705" t="str">
        <f t="shared" si="28"/>
        <v xml:space="preserve"> </v>
      </c>
      <c r="CA42" s="705" t="str">
        <f t="shared" si="28"/>
        <v xml:space="preserve"> </v>
      </c>
      <c r="CB42" s="705" t="str">
        <f t="shared" si="28"/>
        <v xml:space="preserve"> </v>
      </c>
      <c r="CC42" s="705" t="str">
        <f t="shared" si="28"/>
        <v xml:space="preserve"> </v>
      </c>
      <c r="CD42" s="705" t="str">
        <f t="shared" si="28"/>
        <v xml:space="preserve"> </v>
      </c>
      <c r="CE42" s="705" t="str">
        <f t="shared" si="28"/>
        <v xml:space="preserve"> </v>
      </c>
      <c r="CF42" s="705" t="str">
        <f t="shared" si="28"/>
        <v xml:space="preserve"> </v>
      </c>
      <c r="CG42" s="705" t="str">
        <f t="shared" si="28"/>
        <v xml:space="preserve"> </v>
      </c>
      <c r="CH42" s="705" t="str">
        <f t="shared" si="28"/>
        <v xml:space="preserve"> </v>
      </c>
      <c r="CI42" s="705" t="str">
        <f t="shared" si="28"/>
        <v xml:space="preserve"> </v>
      </c>
      <c r="CJ42" s="705" t="str">
        <f t="shared" si="28"/>
        <v xml:space="preserve"> </v>
      </c>
      <c r="CK42" s="705" t="str">
        <f t="shared" si="28"/>
        <v xml:space="preserve"> </v>
      </c>
      <c r="CL42" s="706" t="str">
        <f t="shared" si="28"/>
        <v xml:space="preserve"> </v>
      </c>
    </row>
    <row r="43" spans="1:90" ht="15.5" x14ac:dyDescent="0.35">
      <c r="A43" s="707"/>
      <c r="B43" s="726">
        <v>2</v>
      </c>
      <c r="C43" s="727" t="str">
        <f t="shared" ref="C43:AJ43" si="29">IF(C103&lt;&gt;"",SUBSTITUTE(SUBSTITUTE(SUBSTITUTE(C103,"F","O"),"S","O"),"L","X"),"")</f>
        <v>X</v>
      </c>
      <c r="D43" s="166" t="str">
        <f t="shared" si="29"/>
        <v>X</v>
      </c>
      <c r="E43" s="166" t="str">
        <f t="shared" si="29"/>
        <v>X</v>
      </c>
      <c r="F43" s="166" t="str">
        <f t="shared" si="29"/>
        <v>R</v>
      </c>
      <c r="G43" s="166" t="str">
        <f t="shared" si="29"/>
        <v>X</v>
      </c>
      <c r="H43" s="166" t="str">
        <f t="shared" si="29"/>
        <v>O</v>
      </c>
      <c r="I43" s="166" t="str">
        <f t="shared" si="29"/>
        <v>R</v>
      </c>
      <c r="J43" s="166" t="str">
        <f t="shared" si="29"/>
        <v>X</v>
      </c>
      <c r="K43" s="166" t="str">
        <f t="shared" si="29"/>
        <v>R</v>
      </c>
      <c r="L43" s="166" t="str">
        <f t="shared" si="29"/>
        <v xml:space="preserve"> </v>
      </c>
      <c r="M43" s="166" t="str">
        <f t="shared" si="29"/>
        <v xml:space="preserve"> </v>
      </c>
      <c r="N43" s="166" t="str">
        <f t="shared" si="29"/>
        <v xml:space="preserve"> </v>
      </c>
      <c r="O43" s="166" t="str">
        <f t="shared" si="29"/>
        <v xml:space="preserve"> </v>
      </c>
      <c r="P43" s="166" t="str">
        <f t="shared" si="29"/>
        <v xml:space="preserve"> </v>
      </c>
      <c r="Q43" s="166" t="str">
        <f t="shared" si="29"/>
        <v xml:space="preserve"> </v>
      </c>
      <c r="R43" s="166" t="str">
        <f t="shared" si="29"/>
        <v xml:space="preserve"> </v>
      </c>
      <c r="S43" s="166" t="str">
        <f t="shared" si="29"/>
        <v xml:space="preserve"> </v>
      </c>
      <c r="T43" s="166" t="str">
        <f t="shared" si="29"/>
        <v xml:space="preserve"> </v>
      </c>
      <c r="U43" s="166" t="str">
        <f t="shared" si="29"/>
        <v xml:space="preserve"> </v>
      </c>
      <c r="V43" s="166" t="str">
        <f t="shared" si="29"/>
        <v xml:space="preserve"> </v>
      </c>
      <c r="W43" s="166" t="str">
        <f t="shared" si="29"/>
        <v xml:space="preserve"> </v>
      </c>
      <c r="X43" s="166" t="str">
        <f t="shared" si="29"/>
        <v xml:space="preserve"> </v>
      </c>
      <c r="Y43" s="166" t="str">
        <f t="shared" si="29"/>
        <v xml:space="preserve"> </v>
      </c>
      <c r="Z43" s="166" t="str">
        <f t="shared" si="29"/>
        <v xml:space="preserve"> </v>
      </c>
      <c r="AA43" s="166" t="str">
        <f t="shared" si="29"/>
        <v xml:space="preserve"> </v>
      </c>
      <c r="AB43" s="166" t="str">
        <f t="shared" si="29"/>
        <v xml:space="preserve"> </v>
      </c>
      <c r="AC43" s="166" t="str">
        <f t="shared" si="29"/>
        <v xml:space="preserve"> </v>
      </c>
      <c r="AD43" s="166" t="str">
        <f t="shared" si="29"/>
        <v xml:space="preserve"> </v>
      </c>
      <c r="AE43" s="166" t="str">
        <f t="shared" si="29"/>
        <v xml:space="preserve"> </v>
      </c>
      <c r="AF43" s="166" t="str">
        <f t="shared" si="29"/>
        <v xml:space="preserve"> </v>
      </c>
      <c r="AG43" s="166" t="str">
        <f t="shared" si="29"/>
        <v xml:space="preserve"> </v>
      </c>
      <c r="AH43" s="166" t="str">
        <f t="shared" si="29"/>
        <v xml:space="preserve"> </v>
      </c>
      <c r="AI43" s="166" t="str">
        <f t="shared" si="29"/>
        <v xml:space="preserve"> </v>
      </c>
      <c r="AJ43" s="710" t="str">
        <f t="shared" si="29"/>
        <v xml:space="preserve"> </v>
      </c>
      <c r="BD43" s="707"/>
      <c r="BE43" s="726">
        <v>2</v>
      </c>
      <c r="BF43" s="727" t="str">
        <f t="shared" ref="BF43:CL43" si="30">IF(BF103&lt;&gt;"",SUBSTITUTE(SUBSTITUTE(SUBSTITUTE(BF103,"F","O"),"S","O"),"L","X"),"")</f>
        <v>X</v>
      </c>
      <c r="BG43" s="166" t="str">
        <f t="shared" si="30"/>
        <v>X</v>
      </c>
      <c r="BH43" s="166" t="str">
        <f t="shared" si="30"/>
        <v>X</v>
      </c>
      <c r="BI43" s="166" t="str">
        <f t="shared" si="30"/>
        <v>R</v>
      </c>
      <c r="BJ43" s="166" t="str">
        <f t="shared" si="30"/>
        <v>X</v>
      </c>
      <c r="BK43" s="166" t="str">
        <f t="shared" si="30"/>
        <v>O</v>
      </c>
      <c r="BL43" s="166" t="str">
        <f t="shared" si="30"/>
        <v>R</v>
      </c>
      <c r="BM43" s="166" t="str">
        <f t="shared" si="30"/>
        <v>X</v>
      </c>
      <c r="BN43" s="166" t="str">
        <f t="shared" si="30"/>
        <v>R</v>
      </c>
      <c r="BO43" s="166" t="str">
        <f t="shared" si="30"/>
        <v xml:space="preserve"> </v>
      </c>
      <c r="BP43" s="166" t="str">
        <f t="shared" si="30"/>
        <v xml:space="preserve"> </v>
      </c>
      <c r="BQ43" s="166" t="str">
        <f t="shared" si="30"/>
        <v xml:space="preserve"> </v>
      </c>
      <c r="BR43" s="166" t="str">
        <f t="shared" si="30"/>
        <v xml:space="preserve"> </v>
      </c>
      <c r="BS43" s="166" t="str">
        <f t="shared" si="30"/>
        <v xml:space="preserve"> </v>
      </c>
      <c r="BT43" s="166" t="str">
        <f t="shared" si="30"/>
        <v xml:space="preserve"> </v>
      </c>
      <c r="BU43" s="166" t="str">
        <f t="shared" si="30"/>
        <v xml:space="preserve"> </v>
      </c>
      <c r="BV43" s="166" t="str">
        <f t="shared" si="30"/>
        <v xml:space="preserve"> </v>
      </c>
      <c r="BW43" s="166" t="str">
        <f t="shared" si="30"/>
        <v xml:space="preserve"> </v>
      </c>
      <c r="BX43" s="166" t="str">
        <f t="shared" si="30"/>
        <v xml:space="preserve"> </v>
      </c>
      <c r="BY43" s="166" t="str">
        <f t="shared" si="30"/>
        <v xml:space="preserve"> </v>
      </c>
      <c r="BZ43" s="166" t="str">
        <f t="shared" si="30"/>
        <v xml:space="preserve"> </v>
      </c>
      <c r="CA43" s="166" t="str">
        <f t="shared" si="30"/>
        <v xml:space="preserve"> </v>
      </c>
      <c r="CB43" s="166" t="str">
        <f t="shared" si="30"/>
        <v xml:space="preserve"> </v>
      </c>
      <c r="CC43" s="166" t="str">
        <f t="shared" si="30"/>
        <v xml:space="preserve"> </v>
      </c>
      <c r="CD43" s="166" t="str">
        <f t="shared" si="30"/>
        <v xml:space="preserve"> </v>
      </c>
      <c r="CE43" s="166" t="str">
        <f t="shared" si="30"/>
        <v xml:space="preserve"> </v>
      </c>
      <c r="CF43" s="166" t="str">
        <f t="shared" si="30"/>
        <v xml:space="preserve"> </v>
      </c>
      <c r="CG43" s="166" t="str">
        <f t="shared" si="30"/>
        <v xml:space="preserve"> </v>
      </c>
      <c r="CH43" s="166" t="str">
        <f t="shared" si="30"/>
        <v xml:space="preserve"> </v>
      </c>
      <c r="CI43" s="166" t="str">
        <f t="shared" si="30"/>
        <v xml:space="preserve"> </v>
      </c>
      <c r="CJ43" s="166" t="str">
        <f t="shared" si="30"/>
        <v xml:space="preserve"> </v>
      </c>
      <c r="CK43" s="166" t="str">
        <f t="shared" si="30"/>
        <v xml:space="preserve"> </v>
      </c>
      <c r="CL43" s="710" t="str">
        <f t="shared" si="30"/>
        <v xml:space="preserve"> </v>
      </c>
    </row>
    <row r="44" spans="1:90" ht="15.5" x14ac:dyDescent="0.35">
      <c r="A44" s="707"/>
      <c r="B44" s="726">
        <v>3</v>
      </c>
      <c r="C44" s="727" t="str">
        <f t="shared" ref="C44:AJ44" si="31">IF(C104&lt;&gt;"",SUBSTITUTE(SUBSTITUTE(SUBSTITUTE(C104,"F","O"),"S","O"),"L","X"),"")</f>
        <v>R</v>
      </c>
      <c r="D44" s="166" t="str">
        <f t="shared" si="31"/>
        <v>R</v>
      </c>
      <c r="E44" s="166" t="str">
        <f t="shared" si="31"/>
        <v>R</v>
      </c>
      <c r="F44" s="166" t="str">
        <f t="shared" si="31"/>
        <v>X</v>
      </c>
      <c r="G44" s="166" t="str">
        <f t="shared" si="31"/>
        <v>X</v>
      </c>
      <c r="H44" s="166" t="str">
        <f t="shared" si="31"/>
        <v>X</v>
      </c>
      <c r="I44" s="166" t="str">
        <f t="shared" si="31"/>
        <v>X</v>
      </c>
      <c r="J44" s="166" t="str">
        <f t="shared" si="31"/>
        <v>R</v>
      </c>
      <c r="K44" s="166" t="str">
        <f t="shared" si="31"/>
        <v>X</v>
      </c>
      <c r="L44" s="166" t="str">
        <f t="shared" si="31"/>
        <v>X</v>
      </c>
      <c r="M44" s="166" t="str">
        <f t="shared" si="31"/>
        <v xml:space="preserve"> </v>
      </c>
      <c r="N44" s="166" t="str">
        <f t="shared" si="31"/>
        <v xml:space="preserve"> </v>
      </c>
      <c r="O44" s="166" t="str">
        <f t="shared" si="31"/>
        <v xml:space="preserve"> </v>
      </c>
      <c r="P44" s="166" t="str">
        <f t="shared" si="31"/>
        <v xml:space="preserve"> </v>
      </c>
      <c r="Q44" s="166" t="str">
        <f t="shared" si="31"/>
        <v xml:space="preserve"> </v>
      </c>
      <c r="R44" s="166" t="str">
        <f t="shared" si="31"/>
        <v xml:space="preserve"> </v>
      </c>
      <c r="S44" s="166" t="str">
        <f t="shared" si="31"/>
        <v xml:space="preserve"> </v>
      </c>
      <c r="T44" s="166" t="str">
        <f t="shared" si="31"/>
        <v xml:space="preserve"> </v>
      </c>
      <c r="U44" s="166" t="str">
        <f t="shared" si="31"/>
        <v xml:space="preserve"> </v>
      </c>
      <c r="V44" s="166" t="str">
        <f t="shared" si="31"/>
        <v xml:space="preserve"> </v>
      </c>
      <c r="W44" s="166" t="str">
        <f t="shared" si="31"/>
        <v xml:space="preserve"> </v>
      </c>
      <c r="X44" s="166" t="str">
        <f t="shared" si="31"/>
        <v xml:space="preserve"> </v>
      </c>
      <c r="Y44" s="166" t="str">
        <f t="shared" si="31"/>
        <v xml:space="preserve"> </v>
      </c>
      <c r="Z44" s="166" t="str">
        <f t="shared" si="31"/>
        <v xml:space="preserve"> </v>
      </c>
      <c r="AA44" s="166" t="str">
        <f t="shared" si="31"/>
        <v xml:space="preserve"> </v>
      </c>
      <c r="AB44" s="166" t="str">
        <f t="shared" si="31"/>
        <v xml:space="preserve"> </v>
      </c>
      <c r="AC44" s="166" t="str">
        <f t="shared" si="31"/>
        <v xml:space="preserve"> </v>
      </c>
      <c r="AD44" s="166" t="str">
        <f t="shared" si="31"/>
        <v xml:space="preserve"> </v>
      </c>
      <c r="AE44" s="166" t="str">
        <f t="shared" si="31"/>
        <v xml:space="preserve"> </v>
      </c>
      <c r="AF44" s="166" t="str">
        <f t="shared" si="31"/>
        <v xml:space="preserve"> </v>
      </c>
      <c r="AG44" s="166" t="str">
        <f t="shared" si="31"/>
        <v xml:space="preserve"> </v>
      </c>
      <c r="AH44" s="166" t="str">
        <f t="shared" si="31"/>
        <v xml:space="preserve"> </v>
      </c>
      <c r="AI44" s="166" t="str">
        <f t="shared" si="31"/>
        <v xml:space="preserve"> </v>
      </c>
      <c r="AJ44" s="710" t="str">
        <f t="shared" si="31"/>
        <v xml:space="preserve"> </v>
      </c>
      <c r="BD44" s="707"/>
      <c r="BE44" s="726">
        <v>3</v>
      </c>
      <c r="BF44" s="727" t="str">
        <f t="shared" ref="BF44:CL44" si="32">IF(BF104&lt;&gt;"",SUBSTITUTE(SUBSTITUTE(SUBSTITUTE(BF104,"F","O"),"S","O"),"L","X"),"")</f>
        <v>R</v>
      </c>
      <c r="BG44" s="166" t="str">
        <f t="shared" si="32"/>
        <v>R</v>
      </c>
      <c r="BH44" s="166" t="str">
        <f t="shared" si="32"/>
        <v>R</v>
      </c>
      <c r="BI44" s="166" t="str">
        <f t="shared" si="32"/>
        <v>X</v>
      </c>
      <c r="BJ44" s="166" t="str">
        <f t="shared" si="32"/>
        <v>X</v>
      </c>
      <c r="BK44" s="166" t="str">
        <f t="shared" si="32"/>
        <v>X</v>
      </c>
      <c r="BL44" s="166" t="str">
        <f t="shared" si="32"/>
        <v>X</v>
      </c>
      <c r="BM44" s="166" t="str">
        <f t="shared" si="32"/>
        <v>R</v>
      </c>
      <c r="BN44" s="166" t="str">
        <f t="shared" si="32"/>
        <v>X</v>
      </c>
      <c r="BO44" s="166" t="str">
        <f t="shared" si="32"/>
        <v>X</v>
      </c>
      <c r="BP44" s="166" t="str">
        <f t="shared" si="32"/>
        <v xml:space="preserve"> </v>
      </c>
      <c r="BQ44" s="166" t="str">
        <f t="shared" si="32"/>
        <v xml:space="preserve"> </v>
      </c>
      <c r="BR44" s="166" t="str">
        <f t="shared" si="32"/>
        <v xml:space="preserve"> </v>
      </c>
      <c r="BS44" s="166" t="str">
        <f t="shared" si="32"/>
        <v xml:space="preserve"> </v>
      </c>
      <c r="BT44" s="166" t="str">
        <f t="shared" si="32"/>
        <v xml:space="preserve"> </v>
      </c>
      <c r="BU44" s="166" t="str">
        <f t="shared" si="32"/>
        <v xml:space="preserve"> </v>
      </c>
      <c r="BV44" s="166" t="str">
        <f t="shared" si="32"/>
        <v xml:space="preserve"> </v>
      </c>
      <c r="BW44" s="166" t="str">
        <f t="shared" si="32"/>
        <v xml:space="preserve"> </v>
      </c>
      <c r="BX44" s="166" t="str">
        <f t="shared" si="32"/>
        <v xml:space="preserve"> </v>
      </c>
      <c r="BY44" s="166" t="str">
        <f t="shared" si="32"/>
        <v xml:space="preserve"> </v>
      </c>
      <c r="BZ44" s="166" t="str">
        <f t="shared" si="32"/>
        <v xml:space="preserve"> </v>
      </c>
      <c r="CA44" s="166" t="str">
        <f t="shared" si="32"/>
        <v xml:space="preserve"> </v>
      </c>
      <c r="CB44" s="166" t="str">
        <f t="shared" si="32"/>
        <v xml:space="preserve"> </v>
      </c>
      <c r="CC44" s="166" t="str">
        <f t="shared" si="32"/>
        <v xml:space="preserve"> </v>
      </c>
      <c r="CD44" s="166" t="str">
        <f t="shared" si="32"/>
        <v xml:space="preserve"> </v>
      </c>
      <c r="CE44" s="166" t="str">
        <f t="shared" si="32"/>
        <v xml:space="preserve"> </v>
      </c>
      <c r="CF44" s="166" t="str">
        <f t="shared" si="32"/>
        <v xml:space="preserve"> </v>
      </c>
      <c r="CG44" s="166" t="str">
        <f t="shared" si="32"/>
        <v xml:space="preserve"> </v>
      </c>
      <c r="CH44" s="166" t="str">
        <f t="shared" si="32"/>
        <v xml:space="preserve"> </v>
      </c>
      <c r="CI44" s="166" t="str">
        <f t="shared" si="32"/>
        <v xml:space="preserve"> </v>
      </c>
      <c r="CJ44" s="166" t="str">
        <f t="shared" si="32"/>
        <v xml:space="preserve"> </v>
      </c>
      <c r="CK44" s="166" t="str">
        <f t="shared" si="32"/>
        <v xml:space="preserve"> </v>
      </c>
      <c r="CL44" s="710" t="str">
        <f t="shared" si="32"/>
        <v xml:space="preserve"> </v>
      </c>
    </row>
    <row r="45" spans="1:90" ht="15.5" x14ac:dyDescent="0.35">
      <c r="A45" s="707"/>
      <c r="B45" s="726">
        <v>4</v>
      </c>
      <c r="C45" s="727" t="str">
        <f t="shared" ref="C45:AJ45" si="33">IF(C105&lt;&gt;"",SUBSTITUTE(SUBSTITUTE(SUBSTITUTE(C105,"F","O"),"S","O"),"L","X"),"")</f>
        <v>X</v>
      </c>
      <c r="D45" s="166" t="str">
        <f t="shared" si="33"/>
        <v>X</v>
      </c>
      <c r="E45" s="166" t="str">
        <f t="shared" si="33"/>
        <v>X</v>
      </c>
      <c r="F45" s="166" t="str">
        <f t="shared" si="33"/>
        <v>X</v>
      </c>
      <c r="G45" s="166" t="str">
        <f t="shared" si="33"/>
        <v>R</v>
      </c>
      <c r="H45" s="166" t="str">
        <f t="shared" si="33"/>
        <v>X</v>
      </c>
      <c r="I45" s="166" t="str">
        <f t="shared" si="33"/>
        <v>R</v>
      </c>
      <c r="J45" s="166" t="str">
        <f t="shared" si="33"/>
        <v>R</v>
      </c>
      <c r="K45" s="166" t="str">
        <f t="shared" si="33"/>
        <v>R</v>
      </c>
      <c r="L45" s="166" t="str">
        <f t="shared" si="33"/>
        <v>O</v>
      </c>
      <c r="M45" s="166" t="str">
        <f t="shared" si="33"/>
        <v xml:space="preserve"> </v>
      </c>
      <c r="N45" s="166" t="str">
        <f t="shared" si="33"/>
        <v xml:space="preserve"> </v>
      </c>
      <c r="O45" s="166" t="str">
        <f t="shared" si="33"/>
        <v xml:space="preserve"> </v>
      </c>
      <c r="P45" s="166" t="str">
        <f t="shared" si="33"/>
        <v xml:space="preserve"> </v>
      </c>
      <c r="Q45" s="166" t="str">
        <f t="shared" si="33"/>
        <v xml:space="preserve"> </v>
      </c>
      <c r="R45" s="166" t="str">
        <f t="shared" si="33"/>
        <v xml:space="preserve"> </v>
      </c>
      <c r="S45" s="166" t="str">
        <f t="shared" si="33"/>
        <v xml:space="preserve"> </v>
      </c>
      <c r="T45" s="166" t="str">
        <f t="shared" si="33"/>
        <v xml:space="preserve"> </v>
      </c>
      <c r="U45" s="166" t="str">
        <f t="shared" si="33"/>
        <v xml:space="preserve"> </v>
      </c>
      <c r="V45" s="166" t="str">
        <f t="shared" si="33"/>
        <v xml:space="preserve"> </v>
      </c>
      <c r="W45" s="166" t="str">
        <f t="shared" si="33"/>
        <v xml:space="preserve"> </v>
      </c>
      <c r="X45" s="166" t="str">
        <f t="shared" si="33"/>
        <v xml:space="preserve"> </v>
      </c>
      <c r="Y45" s="166" t="str">
        <f t="shared" si="33"/>
        <v xml:space="preserve"> </v>
      </c>
      <c r="Z45" s="166" t="str">
        <f t="shared" si="33"/>
        <v xml:space="preserve"> </v>
      </c>
      <c r="AA45" s="166" t="str">
        <f t="shared" si="33"/>
        <v xml:space="preserve"> </v>
      </c>
      <c r="AB45" s="166" t="str">
        <f t="shared" si="33"/>
        <v xml:space="preserve"> </v>
      </c>
      <c r="AC45" s="166" t="str">
        <f t="shared" si="33"/>
        <v xml:space="preserve"> </v>
      </c>
      <c r="AD45" s="166" t="str">
        <f t="shared" si="33"/>
        <v xml:space="preserve"> </v>
      </c>
      <c r="AE45" s="166" t="str">
        <f t="shared" si="33"/>
        <v xml:space="preserve"> </v>
      </c>
      <c r="AF45" s="166" t="str">
        <f t="shared" si="33"/>
        <v xml:space="preserve"> </v>
      </c>
      <c r="AG45" s="166" t="str">
        <f t="shared" si="33"/>
        <v xml:space="preserve"> </v>
      </c>
      <c r="AH45" s="166" t="str">
        <f t="shared" si="33"/>
        <v xml:space="preserve"> </v>
      </c>
      <c r="AI45" s="166" t="str">
        <f t="shared" si="33"/>
        <v xml:space="preserve"> </v>
      </c>
      <c r="AJ45" s="710" t="str">
        <f t="shared" si="33"/>
        <v xml:space="preserve"> </v>
      </c>
      <c r="BD45" s="707"/>
      <c r="BE45" s="726">
        <v>4</v>
      </c>
      <c r="BF45" s="727" t="str">
        <f t="shared" ref="BF45:CL45" si="34">IF(BF105&lt;&gt;"",SUBSTITUTE(SUBSTITUTE(SUBSTITUTE(BF105,"F","O"),"S","O"),"L","X"),"")</f>
        <v>X</v>
      </c>
      <c r="BG45" s="166" t="str">
        <f t="shared" si="34"/>
        <v>X</v>
      </c>
      <c r="BH45" s="166" t="str">
        <f t="shared" si="34"/>
        <v>X</v>
      </c>
      <c r="BI45" s="166" t="str">
        <f t="shared" si="34"/>
        <v>X</v>
      </c>
      <c r="BJ45" s="166" t="str">
        <f t="shared" si="34"/>
        <v>R</v>
      </c>
      <c r="BK45" s="166" t="str">
        <f t="shared" si="34"/>
        <v>X</v>
      </c>
      <c r="BL45" s="166" t="str">
        <f t="shared" si="34"/>
        <v>R</v>
      </c>
      <c r="BM45" s="166" t="str">
        <f t="shared" si="34"/>
        <v>R</v>
      </c>
      <c r="BN45" s="166" t="str">
        <f t="shared" si="34"/>
        <v>R</v>
      </c>
      <c r="BO45" s="166" t="str">
        <f t="shared" si="34"/>
        <v>O</v>
      </c>
      <c r="BP45" s="166" t="str">
        <f t="shared" si="34"/>
        <v xml:space="preserve"> </v>
      </c>
      <c r="BQ45" s="166" t="str">
        <f t="shared" si="34"/>
        <v xml:space="preserve"> </v>
      </c>
      <c r="BR45" s="166" t="str">
        <f t="shared" si="34"/>
        <v xml:space="preserve"> </v>
      </c>
      <c r="BS45" s="166" t="str">
        <f t="shared" si="34"/>
        <v xml:space="preserve"> </v>
      </c>
      <c r="BT45" s="166" t="str">
        <f t="shared" si="34"/>
        <v xml:space="preserve"> </v>
      </c>
      <c r="BU45" s="166" t="str">
        <f t="shared" si="34"/>
        <v xml:space="preserve"> </v>
      </c>
      <c r="BV45" s="166" t="str">
        <f t="shared" si="34"/>
        <v xml:space="preserve"> </v>
      </c>
      <c r="BW45" s="166" t="str">
        <f t="shared" si="34"/>
        <v xml:space="preserve"> </v>
      </c>
      <c r="BX45" s="166" t="str">
        <f t="shared" si="34"/>
        <v xml:space="preserve"> </v>
      </c>
      <c r="BY45" s="166" t="str">
        <f t="shared" si="34"/>
        <v xml:space="preserve"> </v>
      </c>
      <c r="BZ45" s="166" t="str">
        <f t="shared" si="34"/>
        <v xml:space="preserve"> </v>
      </c>
      <c r="CA45" s="166" t="str">
        <f t="shared" si="34"/>
        <v xml:space="preserve"> </v>
      </c>
      <c r="CB45" s="166" t="str">
        <f t="shared" si="34"/>
        <v xml:space="preserve"> </v>
      </c>
      <c r="CC45" s="166" t="str">
        <f t="shared" si="34"/>
        <v xml:space="preserve"> </v>
      </c>
      <c r="CD45" s="166" t="str">
        <f t="shared" si="34"/>
        <v xml:space="preserve"> </v>
      </c>
      <c r="CE45" s="166" t="str">
        <f t="shared" si="34"/>
        <v xml:space="preserve"> </v>
      </c>
      <c r="CF45" s="166" t="str">
        <f t="shared" si="34"/>
        <v xml:space="preserve"> </v>
      </c>
      <c r="CG45" s="166" t="str">
        <f t="shared" si="34"/>
        <v xml:space="preserve"> </v>
      </c>
      <c r="CH45" s="166" t="str">
        <f t="shared" si="34"/>
        <v xml:space="preserve"> </v>
      </c>
      <c r="CI45" s="166" t="str">
        <f t="shared" si="34"/>
        <v xml:space="preserve"> </v>
      </c>
      <c r="CJ45" s="166" t="str">
        <f t="shared" si="34"/>
        <v xml:space="preserve"> </v>
      </c>
      <c r="CK45" s="166" t="str">
        <f t="shared" si="34"/>
        <v xml:space="preserve"> </v>
      </c>
      <c r="CL45" s="710" t="str">
        <f t="shared" si="34"/>
        <v xml:space="preserve"> </v>
      </c>
    </row>
    <row r="46" spans="1:90" ht="15.5" x14ac:dyDescent="0.35">
      <c r="A46" s="707"/>
      <c r="B46" s="726">
        <v>5</v>
      </c>
      <c r="C46" s="727" t="str">
        <f t="shared" ref="C46:AJ46" si="35">IF(C106&lt;&gt;"",SUBSTITUTE(SUBSTITUTE(SUBSTITUTE(C106,"F","O"),"S","O"),"L","X"),"")</f>
        <v>R</v>
      </c>
      <c r="D46" s="166" t="str">
        <f t="shared" si="35"/>
        <v>R</v>
      </c>
      <c r="E46" s="166" t="str">
        <f t="shared" si="35"/>
        <v>X</v>
      </c>
      <c r="F46" s="166" t="str">
        <f t="shared" si="35"/>
        <v>X</v>
      </c>
      <c r="G46" s="166" t="str">
        <f t="shared" si="35"/>
        <v>X</v>
      </c>
      <c r="H46" s="166" t="str">
        <f t="shared" si="35"/>
        <v>X</v>
      </c>
      <c r="I46" s="166" t="str">
        <f t="shared" si="35"/>
        <v>R</v>
      </c>
      <c r="J46" s="166" t="str">
        <f t="shared" si="35"/>
        <v>X</v>
      </c>
      <c r="K46" s="166" t="str">
        <f t="shared" si="35"/>
        <v>R</v>
      </c>
      <c r="L46" s="166" t="str">
        <f t="shared" si="35"/>
        <v>X</v>
      </c>
      <c r="M46" s="166" t="str">
        <f t="shared" si="35"/>
        <v>R</v>
      </c>
      <c r="N46" s="166" t="str">
        <f t="shared" si="35"/>
        <v>R</v>
      </c>
      <c r="O46" s="166" t="str">
        <f t="shared" si="35"/>
        <v xml:space="preserve"> </v>
      </c>
      <c r="P46" s="166" t="str">
        <f t="shared" si="35"/>
        <v xml:space="preserve"> </v>
      </c>
      <c r="Q46" s="166" t="str">
        <f t="shared" si="35"/>
        <v xml:space="preserve"> </v>
      </c>
      <c r="R46" s="166" t="str">
        <f t="shared" si="35"/>
        <v xml:space="preserve"> </v>
      </c>
      <c r="S46" s="166" t="str">
        <f t="shared" si="35"/>
        <v xml:space="preserve"> </v>
      </c>
      <c r="T46" s="166" t="str">
        <f t="shared" si="35"/>
        <v xml:space="preserve"> </v>
      </c>
      <c r="U46" s="166" t="str">
        <f t="shared" si="35"/>
        <v xml:space="preserve"> </v>
      </c>
      <c r="V46" s="166" t="str">
        <f t="shared" si="35"/>
        <v xml:space="preserve"> </v>
      </c>
      <c r="W46" s="166" t="str">
        <f t="shared" si="35"/>
        <v xml:space="preserve"> </v>
      </c>
      <c r="X46" s="166" t="str">
        <f t="shared" si="35"/>
        <v xml:space="preserve"> </v>
      </c>
      <c r="Y46" s="166" t="str">
        <f t="shared" si="35"/>
        <v xml:space="preserve"> </v>
      </c>
      <c r="Z46" s="166" t="str">
        <f t="shared" si="35"/>
        <v xml:space="preserve"> </v>
      </c>
      <c r="AA46" s="166" t="str">
        <f t="shared" si="35"/>
        <v xml:space="preserve"> </v>
      </c>
      <c r="AB46" s="166" t="str">
        <f t="shared" si="35"/>
        <v xml:space="preserve"> </v>
      </c>
      <c r="AC46" s="166" t="str">
        <f t="shared" si="35"/>
        <v xml:space="preserve"> </v>
      </c>
      <c r="AD46" s="166" t="str">
        <f t="shared" si="35"/>
        <v xml:space="preserve"> </v>
      </c>
      <c r="AE46" s="166" t="str">
        <f t="shared" si="35"/>
        <v xml:space="preserve"> </v>
      </c>
      <c r="AF46" s="166" t="str">
        <f t="shared" si="35"/>
        <v xml:space="preserve"> </v>
      </c>
      <c r="AG46" s="166" t="str">
        <f t="shared" si="35"/>
        <v xml:space="preserve"> </v>
      </c>
      <c r="AH46" s="166" t="str">
        <f t="shared" si="35"/>
        <v xml:space="preserve"> </v>
      </c>
      <c r="AI46" s="166" t="str">
        <f t="shared" si="35"/>
        <v xml:space="preserve"> </v>
      </c>
      <c r="AJ46" s="710" t="str">
        <f t="shared" si="35"/>
        <v xml:space="preserve"> </v>
      </c>
      <c r="BD46" s="707"/>
      <c r="BE46" s="726">
        <v>5</v>
      </c>
      <c r="BF46" s="727" t="str">
        <f t="shared" ref="BF46:CL46" si="36">IF(BF106&lt;&gt;"",SUBSTITUTE(SUBSTITUTE(SUBSTITUTE(BF106,"F","O"),"S","O"),"L","X"),"")</f>
        <v>R</v>
      </c>
      <c r="BG46" s="166" t="str">
        <f t="shared" si="36"/>
        <v>R</v>
      </c>
      <c r="BH46" s="166" t="str">
        <f t="shared" si="36"/>
        <v>X</v>
      </c>
      <c r="BI46" s="166" t="str">
        <f t="shared" si="36"/>
        <v>X</v>
      </c>
      <c r="BJ46" s="166" t="str">
        <f t="shared" si="36"/>
        <v>X</v>
      </c>
      <c r="BK46" s="166" t="str">
        <f t="shared" si="36"/>
        <v>X</v>
      </c>
      <c r="BL46" s="166" t="str">
        <f t="shared" si="36"/>
        <v>R</v>
      </c>
      <c r="BM46" s="166" t="str">
        <f t="shared" si="36"/>
        <v>X</v>
      </c>
      <c r="BN46" s="166" t="str">
        <f t="shared" si="36"/>
        <v>R</v>
      </c>
      <c r="BO46" s="166" t="str">
        <f t="shared" si="36"/>
        <v>X</v>
      </c>
      <c r="BP46" s="166" t="str">
        <f t="shared" si="36"/>
        <v>R</v>
      </c>
      <c r="BQ46" s="166" t="str">
        <f t="shared" si="36"/>
        <v>R</v>
      </c>
      <c r="BR46" s="166" t="str">
        <f t="shared" si="36"/>
        <v xml:space="preserve"> </v>
      </c>
      <c r="BS46" s="166" t="str">
        <f t="shared" si="36"/>
        <v xml:space="preserve"> </v>
      </c>
      <c r="BT46" s="166" t="str">
        <f t="shared" si="36"/>
        <v xml:space="preserve"> </v>
      </c>
      <c r="BU46" s="166" t="str">
        <f t="shared" si="36"/>
        <v xml:space="preserve"> </v>
      </c>
      <c r="BV46" s="166" t="str">
        <f t="shared" si="36"/>
        <v xml:space="preserve"> </v>
      </c>
      <c r="BW46" s="166" t="str">
        <f t="shared" si="36"/>
        <v xml:space="preserve"> </v>
      </c>
      <c r="BX46" s="166" t="str">
        <f t="shared" si="36"/>
        <v xml:space="preserve"> </v>
      </c>
      <c r="BY46" s="166" t="str">
        <f t="shared" si="36"/>
        <v xml:space="preserve"> </v>
      </c>
      <c r="BZ46" s="166" t="str">
        <f t="shared" si="36"/>
        <v xml:space="preserve"> </v>
      </c>
      <c r="CA46" s="166" t="str">
        <f t="shared" si="36"/>
        <v xml:space="preserve"> </v>
      </c>
      <c r="CB46" s="166" t="str">
        <f t="shared" si="36"/>
        <v xml:space="preserve"> </v>
      </c>
      <c r="CC46" s="166" t="str">
        <f t="shared" si="36"/>
        <v xml:space="preserve"> </v>
      </c>
      <c r="CD46" s="166" t="str">
        <f t="shared" si="36"/>
        <v xml:space="preserve"> </v>
      </c>
      <c r="CE46" s="166" t="str">
        <f t="shared" si="36"/>
        <v xml:space="preserve"> </v>
      </c>
      <c r="CF46" s="166" t="str">
        <f t="shared" si="36"/>
        <v xml:space="preserve"> </v>
      </c>
      <c r="CG46" s="166" t="str">
        <f t="shared" si="36"/>
        <v xml:space="preserve"> </v>
      </c>
      <c r="CH46" s="166" t="str">
        <f t="shared" si="36"/>
        <v xml:space="preserve"> </v>
      </c>
      <c r="CI46" s="166" t="str">
        <f t="shared" si="36"/>
        <v xml:space="preserve"> </v>
      </c>
      <c r="CJ46" s="166" t="str">
        <f t="shared" si="36"/>
        <v xml:space="preserve"> </v>
      </c>
      <c r="CK46" s="166" t="str">
        <f t="shared" si="36"/>
        <v xml:space="preserve"> </v>
      </c>
      <c r="CL46" s="710" t="str">
        <f t="shared" si="36"/>
        <v xml:space="preserve"> </v>
      </c>
    </row>
    <row r="47" spans="1:90" ht="15.5" x14ac:dyDescent="0.35">
      <c r="A47" s="707"/>
      <c r="B47" s="726">
        <v>6</v>
      </c>
      <c r="C47" s="727" t="str">
        <f t="shared" ref="C47:AJ47" si="37">IF(C107&lt;&gt;"",SUBSTITUTE(SUBSTITUTE(SUBSTITUTE(C107,"F","O"),"S","O"),"L","X"),"")</f>
        <v>X</v>
      </c>
      <c r="D47" s="166" t="str">
        <f t="shared" si="37"/>
        <v>X</v>
      </c>
      <c r="E47" s="166" t="str">
        <f t="shared" si="37"/>
        <v>X</v>
      </c>
      <c r="F47" s="166" t="str">
        <f t="shared" si="37"/>
        <v>R</v>
      </c>
      <c r="G47" s="166" t="str">
        <f t="shared" si="37"/>
        <v>X</v>
      </c>
      <c r="H47" s="166" t="str">
        <f t="shared" si="37"/>
        <v>O</v>
      </c>
      <c r="I47" s="166" t="str">
        <f t="shared" si="37"/>
        <v>R</v>
      </c>
      <c r="J47" s="166" t="str">
        <f t="shared" si="37"/>
        <v>R</v>
      </c>
      <c r="K47" s="166" t="str">
        <f t="shared" si="37"/>
        <v>R</v>
      </c>
      <c r="L47" s="166" t="str">
        <f t="shared" si="37"/>
        <v xml:space="preserve"> </v>
      </c>
      <c r="M47" s="166" t="str">
        <f t="shared" si="37"/>
        <v xml:space="preserve"> </v>
      </c>
      <c r="N47" s="166" t="str">
        <f t="shared" si="37"/>
        <v xml:space="preserve"> </v>
      </c>
      <c r="O47" s="166" t="str">
        <f t="shared" si="37"/>
        <v xml:space="preserve"> </v>
      </c>
      <c r="P47" s="166" t="str">
        <f t="shared" si="37"/>
        <v xml:space="preserve"> </v>
      </c>
      <c r="Q47" s="166" t="str">
        <f t="shared" si="37"/>
        <v xml:space="preserve"> </v>
      </c>
      <c r="R47" s="166" t="str">
        <f t="shared" si="37"/>
        <v xml:space="preserve"> </v>
      </c>
      <c r="S47" s="166" t="str">
        <f t="shared" si="37"/>
        <v xml:space="preserve"> </v>
      </c>
      <c r="T47" s="166" t="str">
        <f t="shared" si="37"/>
        <v xml:space="preserve"> </v>
      </c>
      <c r="U47" s="166" t="str">
        <f t="shared" si="37"/>
        <v xml:space="preserve"> </v>
      </c>
      <c r="V47" s="166" t="str">
        <f t="shared" si="37"/>
        <v xml:space="preserve"> </v>
      </c>
      <c r="W47" s="166" t="str">
        <f t="shared" si="37"/>
        <v xml:space="preserve"> </v>
      </c>
      <c r="X47" s="166" t="str">
        <f t="shared" si="37"/>
        <v xml:space="preserve"> </v>
      </c>
      <c r="Y47" s="166" t="str">
        <f t="shared" si="37"/>
        <v xml:space="preserve"> </v>
      </c>
      <c r="Z47" s="166" t="str">
        <f t="shared" si="37"/>
        <v xml:space="preserve"> </v>
      </c>
      <c r="AA47" s="166" t="str">
        <f t="shared" si="37"/>
        <v xml:space="preserve"> </v>
      </c>
      <c r="AB47" s="166" t="str">
        <f t="shared" si="37"/>
        <v xml:space="preserve"> </v>
      </c>
      <c r="AC47" s="166" t="str">
        <f t="shared" si="37"/>
        <v xml:space="preserve"> </v>
      </c>
      <c r="AD47" s="166" t="str">
        <f t="shared" si="37"/>
        <v xml:space="preserve"> </v>
      </c>
      <c r="AE47" s="166" t="str">
        <f t="shared" si="37"/>
        <v xml:space="preserve"> </v>
      </c>
      <c r="AF47" s="166" t="str">
        <f t="shared" si="37"/>
        <v xml:space="preserve"> </v>
      </c>
      <c r="AG47" s="166" t="str">
        <f t="shared" si="37"/>
        <v xml:space="preserve"> </v>
      </c>
      <c r="AH47" s="166" t="str">
        <f t="shared" si="37"/>
        <v xml:space="preserve"> </v>
      </c>
      <c r="AI47" s="166" t="str">
        <f t="shared" si="37"/>
        <v xml:space="preserve"> </v>
      </c>
      <c r="AJ47" s="710" t="str">
        <f t="shared" si="37"/>
        <v xml:space="preserve"> </v>
      </c>
      <c r="BD47" s="707"/>
      <c r="BE47" s="726">
        <v>6</v>
      </c>
      <c r="BF47" s="727" t="str">
        <f t="shared" ref="BF47:CL47" si="38">IF(BF107&lt;&gt;"",SUBSTITUTE(SUBSTITUTE(SUBSTITUTE(BF107,"F","O"),"S","O"),"L","X"),"")</f>
        <v>X</v>
      </c>
      <c r="BG47" s="166" t="str">
        <f t="shared" si="38"/>
        <v>X</v>
      </c>
      <c r="BH47" s="166" t="str">
        <f t="shared" si="38"/>
        <v>X</v>
      </c>
      <c r="BI47" s="166" t="str">
        <f t="shared" si="38"/>
        <v>R</v>
      </c>
      <c r="BJ47" s="166" t="str">
        <f t="shared" si="38"/>
        <v>X</v>
      </c>
      <c r="BK47" s="166" t="str">
        <f t="shared" si="38"/>
        <v>O</v>
      </c>
      <c r="BL47" s="166" t="str">
        <f t="shared" si="38"/>
        <v>R</v>
      </c>
      <c r="BM47" s="166" t="str">
        <f t="shared" si="38"/>
        <v>R</v>
      </c>
      <c r="BN47" s="166" t="str">
        <f t="shared" si="38"/>
        <v>R</v>
      </c>
      <c r="BO47" s="166" t="str">
        <f t="shared" si="38"/>
        <v xml:space="preserve"> </v>
      </c>
      <c r="BP47" s="166" t="str">
        <f t="shared" si="38"/>
        <v xml:space="preserve"> </v>
      </c>
      <c r="BQ47" s="166" t="str">
        <f t="shared" si="38"/>
        <v xml:space="preserve"> </v>
      </c>
      <c r="BR47" s="166" t="str">
        <f t="shared" si="38"/>
        <v xml:space="preserve"> </v>
      </c>
      <c r="BS47" s="166" t="str">
        <f t="shared" si="38"/>
        <v xml:space="preserve"> </v>
      </c>
      <c r="BT47" s="166" t="str">
        <f t="shared" si="38"/>
        <v xml:space="preserve"> </v>
      </c>
      <c r="BU47" s="166" t="str">
        <f t="shared" si="38"/>
        <v xml:space="preserve"> </v>
      </c>
      <c r="BV47" s="166" t="str">
        <f t="shared" si="38"/>
        <v xml:space="preserve"> </v>
      </c>
      <c r="BW47" s="166" t="str">
        <f t="shared" si="38"/>
        <v xml:space="preserve"> </v>
      </c>
      <c r="BX47" s="166" t="str">
        <f t="shared" si="38"/>
        <v xml:space="preserve"> </v>
      </c>
      <c r="BY47" s="166" t="str">
        <f t="shared" si="38"/>
        <v xml:space="preserve"> </v>
      </c>
      <c r="BZ47" s="166" t="str">
        <f t="shared" si="38"/>
        <v xml:space="preserve"> </v>
      </c>
      <c r="CA47" s="166" t="str">
        <f t="shared" si="38"/>
        <v xml:space="preserve"> </v>
      </c>
      <c r="CB47" s="166" t="str">
        <f t="shared" si="38"/>
        <v xml:space="preserve"> </v>
      </c>
      <c r="CC47" s="166" t="str">
        <f t="shared" si="38"/>
        <v xml:space="preserve"> </v>
      </c>
      <c r="CD47" s="166" t="str">
        <f t="shared" si="38"/>
        <v xml:space="preserve"> </v>
      </c>
      <c r="CE47" s="166" t="str">
        <f t="shared" si="38"/>
        <v xml:space="preserve"> </v>
      </c>
      <c r="CF47" s="166" t="str">
        <f t="shared" si="38"/>
        <v xml:space="preserve"> </v>
      </c>
      <c r="CG47" s="166" t="str">
        <f t="shared" si="38"/>
        <v xml:space="preserve"> </v>
      </c>
      <c r="CH47" s="166" t="str">
        <f t="shared" si="38"/>
        <v xml:space="preserve"> </v>
      </c>
      <c r="CI47" s="166" t="str">
        <f t="shared" si="38"/>
        <v xml:space="preserve"> </v>
      </c>
      <c r="CJ47" s="166" t="str">
        <f t="shared" si="38"/>
        <v xml:space="preserve"> </v>
      </c>
      <c r="CK47" s="166" t="str">
        <f t="shared" si="38"/>
        <v xml:space="preserve"> </v>
      </c>
      <c r="CL47" s="710" t="str">
        <f t="shared" si="38"/>
        <v xml:space="preserve"> </v>
      </c>
    </row>
    <row r="48" spans="1:90" ht="15.5" x14ac:dyDescent="0.35">
      <c r="A48" s="707"/>
      <c r="B48" s="726">
        <v>7</v>
      </c>
      <c r="C48" s="727" t="str">
        <f t="shared" ref="C48:AJ48" si="39">IF(C108&lt;&gt;"",SUBSTITUTE(SUBSTITUTE(SUBSTITUTE(C108,"F","O"),"S","O"),"L","X"),"")</f>
        <v xml:space="preserve"> </v>
      </c>
      <c r="D48" s="166" t="str">
        <f t="shared" si="39"/>
        <v xml:space="preserve"> </v>
      </c>
      <c r="E48" s="166" t="str">
        <f t="shared" si="39"/>
        <v xml:space="preserve"> </v>
      </c>
      <c r="F48" s="166" t="str">
        <f t="shared" si="39"/>
        <v xml:space="preserve"> </v>
      </c>
      <c r="G48" s="166" t="str">
        <f t="shared" si="39"/>
        <v xml:space="preserve"> </v>
      </c>
      <c r="H48" s="166" t="str">
        <f t="shared" si="39"/>
        <v xml:space="preserve"> </v>
      </c>
      <c r="I48" s="166" t="str">
        <f t="shared" si="39"/>
        <v xml:space="preserve"> </v>
      </c>
      <c r="J48" s="166" t="str">
        <f t="shared" si="39"/>
        <v xml:space="preserve"> </v>
      </c>
      <c r="K48" s="166" t="str">
        <f t="shared" si="39"/>
        <v xml:space="preserve"> </v>
      </c>
      <c r="L48" s="166" t="str">
        <f t="shared" si="39"/>
        <v xml:space="preserve"> </v>
      </c>
      <c r="M48" s="166" t="str">
        <f t="shared" si="39"/>
        <v xml:space="preserve"> </v>
      </c>
      <c r="N48" s="166" t="str">
        <f t="shared" si="39"/>
        <v xml:space="preserve"> </v>
      </c>
      <c r="O48" s="166" t="str">
        <f t="shared" si="39"/>
        <v xml:space="preserve"> </v>
      </c>
      <c r="P48" s="166" t="str">
        <f t="shared" si="39"/>
        <v xml:space="preserve"> </v>
      </c>
      <c r="Q48" s="166" t="str">
        <f t="shared" si="39"/>
        <v xml:space="preserve"> </v>
      </c>
      <c r="R48" s="166" t="str">
        <f t="shared" si="39"/>
        <v xml:space="preserve"> </v>
      </c>
      <c r="S48" s="166" t="str">
        <f t="shared" si="39"/>
        <v xml:space="preserve"> </v>
      </c>
      <c r="T48" s="166" t="str">
        <f t="shared" si="39"/>
        <v xml:space="preserve"> </v>
      </c>
      <c r="U48" s="166" t="str">
        <f t="shared" si="39"/>
        <v xml:space="preserve"> </v>
      </c>
      <c r="V48" s="166" t="str">
        <f t="shared" si="39"/>
        <v xml:space="preserve"> </v>
      </c>
      <c r="W48" s="166" t="str">
        <f t="shared" si="39"/>
        <v xml:space="preserve"> </v>
      </c>
      <c r="X48" s="166" t="str">
        <f t="shared" si="39"/>
        <v xml:space="preserve"> </v>
      </c>
      <c r="Y48" s="166" t="str">
        <f t="shared" si="39"/>
        <v xml:space="preserve"> </v>
      </c>
      <c r="Z48" s="166" t="str">
        <f t="shared" si="39"/>
        <v xml:space="preserve"> </v>
      </c>
      <c r="AA48" s="166" t="str">
        <f t="shared" si="39"/>
        <v xml:space="preserve"> </v>
      </c>
      <c r="AB48" s="166" t="str">
        <f t="shared" si="39"/>
        <v xml:space="preserve"> </v>
      </c>
      <c r="AC48" s="166" t="str">
        <f t="shared" si="39"/>
        <v xml:space="preserve"> </v>
      </c>
      <c r="AD48" s="166" t="str">
        <f t="shared" si="39"/>
        <v xml:space="preserve"> </v>
      </c>
      <c r="AE48" s="166" t="str">
        <f t="shared" si="39"/>
        <v xml:space="preserve"> </v>
      </c>
      <c r="AF48" s="166" t="str">
        <f t="shared" si="39"/>
        <v xml:space="preserve"> </v>
      </c>
      <c r="AG48" s="166" t="str">
        <f t="shared" si="39"/>
        <v xml:space="preserve"> </v>
      </c>
      <c r="AH48" s="166" t="str">
        <f t="shared" si="39"/>
        <v xml:space="preserve"> </v>
      </c>
      <c r="AI48" s="166" t="str">
        <f t="shared" si="39"/>
        <v xml:space="preserve"> </v>
      </c>
      <c r="AJ48" s="710" t="str">
        <f t="shared" si="39"/>
        <v xml:space="preserve"> </v>
      </c>
      <c r="BD48" s="707"/>
      <c r="BE48" s="726">
        <v>7</v>
      </c>
      <c r="BF48" s="727" t="str">
        <f t="shared" ref="BF48:CL48" si="40">IF(BF108&lt;&gt;"",SUBSTITUTE(SUBSTITUTE(SUBSTITUTE(BF108,"F","O"),"S","O"),"L","X"),"")</f>
        <v xml:space="preserve"> </v>
      </c>
      <c r="BG48" s="166" t="str">
        <f t="shared" si="40"/>
        <v xml:space="preserve"> </v>
      </c>
      <c r="BH48" s="166" t="str">
        <f t="shared" si="40"/>
        <v xml:space="preserve"> </v>
      </c>
      <c r="BI48" s="166" t="str">
        <f t="shared" si="40"/>
        <v xml:space="preserve"> </v>
      </c>
      <c r="BJ48" s="166" t="str">
        <f t="shared" si="40"/>
        <v xml:space="preserve"> </v>
      </c>
      <c r="BK48" s="166" t="str">
        <f t="shared" si="40"/>
        <v xml:space="preserve"> </v>
      </c>
      <c r="BL48" s="166" t="str">
        <f t="shared" si="40"/>
        <v xml:space="preserve"> </v>
      </c>
      <c r="BM48" s="166" t="str">
        <f t="shared" si="40"/>
        <v xml:space="preserve"> </v>
      </c>
      <c r="BN48" s="166" t="str">
        <f t="shared" si="40"/>
        <v xml:space="preserve"> </v>
      </c>
      <c r="BO48" s="166" t="str">
        <f t="shared" si="40"/>
        <v xml:space="preserve"> </v>
      </c>
      <c r="BP48" s="166" t="str">
        <f t="shared" si="40"/>
        <v xml:space="preserve"> </v>
      </c>
      <c r="BQ48" s="166" t="str">
        <f t="shared" si="40"/>
        <v xml:space="preserve"> </v>
      </c>
      <c r="BR48" s="166" t="str">
        <f t="shared" si="40"/>
        <v xml:space="preserve"> </v>
      </c>
      <c r="BS48" s="166" t="str">
        <f t="shared" si="40"/>
        <v xml:space="preserve"> </v>
      </c>
      <c r="BT48" s="166" t="str">
        <f t="shared" si="40"/>
        <v xml:space="preserve"> </v>
      </c>
      <c r="BU48" s="166" t="str">
        <f t="shared" si="40"/>
        <v xml:space="preserve"> </v>
      </c>
      <c r="BV48" s="166" t="str">
        <f t="shared" si="40"/>
        <v xml:space="preserve"> </v>
      </c>
      <c r="BW48" s="166" t="str">
        <f t="shared" si="40"/>
        <v xml:space="preserve"> </v>
      </c>
      <c r="BX48" s="166" t="str">
        <f t="shared" si="40"/>
        <v xml:space="preserve"> </v>
      </c>
      <c r="BY48" s="166" t="str">
        <f t="shared" si="40"/>
        <v xml:space="preserve"> </v>
      </c>
      <c r="BZ48" s="166" t="str">
        <f t="shared" si="40"/>
        <v xml:space="preserve"> </v>
      </c>
      <c r="CA48" s="166" t="str">
        <f t="shared" si="40"/>
        <v xml:space="preserve"> </v>
      </c>
      <c r="CB48" s="166" t="str">
        <f t="shared" si="40"/>
        <v xml:space="preserve"> </v>
      </c>
      <c r="CC48" s="166" t="str">
        <f t="shared" si="40"/>
        <v xml:space="preserve"> </v>
      </c>
      <c r="CD48" s="166" t="str">
        <f t="shared" si="40"/>
        <v xml:space="preserve"> </v>
      </c>
      <c r="CE48" s="166" t="str">
        <f t="shared" si="40"/>
        <v xml:space="preserve"> </v>
      </c>
      <c r="CF48" s="166" t="str">
        <f t="shared" si="40"/>
        <v xml:space="preserve"> </v>
      </c>
      <c r="CG48" s="166" t="str">
        <f t="shared" si="40"/>
        <v xml:space="preserve"> </v>
      </c>
      <c r="CH48" s="166" t="str">
        <f t="shared" si="40"/>
        <v xml:space="preserve"> </v>
      </c>
      <c r="CI48" s="166" t="str">
        <f t="shared" si="40"/>
        <v xml:space="preserve"> </v>
      </c>
      <c r="CJ48" s="166" t="str">
        <f t="shared" si="40"/>
        <v xml:space="preserve"> </v>
      </c>
      <c r="CK48" s="166" t="str">
        <f t="shared" si="40"/>
        <v xml:space="preserve"> </v>
      </c>
      <c r="CL48" s="710" t="str">
        <f t="shared" si="40"/>
        <v xml:space="preserve"> </v>
      </c>
    </row>
    <row r="49" spans="1:107" ht="15.5" x14ac:dyDescent="0.35">
      <c r="A49" s="707"/>
      <c r="B49" s="726">
        <v>8</v>
      </c>
      <c r="C49" s="727" t="str">
        <f t="shared" ref="C49:AJ49" si="41">IF(C109&lt;&gt;"",SUBSTITUTE(SUBSTITUTE(SUBSTITUTE(C109,"F","O"),"S","O"),"L","X"),"")</f>
        <v xml:space="preserve"> </v>
      </c>
      <c r="D49" s="166" t="str">
        <f t="shared" si="41"/>
        <v xml:space="preserve"> </v>
      </c>
      <c r="E49" s="166" t="str">
        <f t="shared" si="41"/>
        <v xml:space="preserve"> </v>
      </c>
      <c r="F49" s="166" t="str">
        <f t="shared" si="41"/>
        <v xml:space="preserve"> </v>
      </c>
      <c r="G49" s="166" t="str">
        <f t="shared" si="41"/>
        <v xml:space="preserve"> </v>
      </c>
      <c r="H49" s="166" t="str">
        <f t="shared" si="41"/>
        <v xml:space="preserve"> </v>
      </c>
      <c r="I49" s="166" t="str">
        <f t="shared" si="41"/>
        <v xml:space="preserve"> </v>
      </c>
      <c r="J49" s="166" t="str">
        <f t="shared" si="41"/>
        <v xml:space="preserve"> </v>
      </c>
      <c r="K49" s="166" t="str">
        <f t="shared" si="41"/>
        <v xml:space="preserve"> </v>
      </c>
      <c r="L49" s="166" t="str">
        <f t="shared" si="41"/>
        <v xml:space="preserve"> </v>
      </c>
      <c r="M49" s="166" t="str">
        <f t="shared" si="41"/>
        <v xml:space="preserve"> </v>
      </c>
      <c r="N49" s="166" t="str">
        <f t="shared" si="41"/>
        <v xml:space="preserve"> </v>
      </c>
      <c r="O49" s="166" t="str">
        <f t="shared" si="41"/>
        <v xml:space="preserve"> </v>
      </c>
      <c r="P49" s="166" t="str">
        <f t="shared" si="41"/>
        <v xml:space="preserve"> </v>
      </c>
      <c r="Q49" s="166" t="str">
        <f t="shared" si="41"/>
        <v xml:space="preserve"> </v>
      </c>
      <c r="R49" s="166" t="str">
        <f t="shared" si="41"/>
        <v xml:space="preserve"> </v>
      </c>
      <c r="S49" s="166" t="str">
        <f t="shared" si="41"/>
        <v xml:space="preserve"> </v>
      </c>
      <c r="T49" s="166" t="str">
        <f t="shared" si="41"/>
        <v xml:space="preserve"> </v>
      </c>
      <c r="U49" s="166" t="str">
        <f t="shared" si="41"/>
        <v xml:space="preserve"> </v>
      </c>
      <c r="V49" s="166" t="str">
        <f t="shared" si="41"/>
        <v xml:space="preserve"> </v>
      </c>
      <c r="W49" s="166" t="str">
        <f t="shared" si="41"/>
        <v xml:space="preserve"> </v>
      </c>
      <c r="X49" s="166" t="str">
        <f t="shared" si="41"/>
        <v xml:space="preserve"> </v>
      </c>
      <c r="Y49" s="166" t="str">
        <f t="shared" si="41"/>
        <v xml:space="preserve"> </v>
      </c>
      <c r="Z49" s="166" t="str">
        <f t="shared" si="41"/>
        <v xml:space="preserve"> </v>
      </c>
      <c r="AA49" s="166" t="str">
        <f t="shared" si="41"/>
        <v xml:space="preserve"> </v>
      </c>
      <c r="AB49" s="166" t="str">
        <f t="shared" si="41"/>
        <v xml:space="preserve"> </v>
      </c>
      <c r="AC49" s="166" t="str">
        <f t="shared" si="41"/>
        <v xml:space="preserve"> </v>
      </c>
      <c r="AD49" s="166" t="str">
        <f t="shared" si="41"/>
        <v xml:space="preserve"> </v>
      </c>
      <c r="AE49" s="166" t="str">
        <f t="shared" si="41"/>
        <v xml:space="preserve"> </v>
      </c>
      <c r="AF49" s="166" t="str">
        <f t="shared" si="41"/>
        <v xml:space="preserve"> </v>
      </c>
      <c r="AG49" s="166" t="str">
        <f t="shared" si="41"/>
        <v xml:space="preserve"> </v>
      </c>
      <c r="AH49" s="166" t="str">
        <f t="shared" si="41"/>
        <v xml:space="preserve"> </v>
      </c>
      <c r="AI49" s="166" t="str">
        <f t="shared" si="41"/>
        <v xml:space="preserve"> </v>
      </c>
      <c r="AJ49" s="710" t="str">
        <f t="shared" si="41"/>
        <v xml:space="preserve"> </v>
      </c>
      <c r="BD49" s="707"/>
      <c r="BE49" s="726">
        <v>8</v>
      </c>
      <c r="BF49" s="727" t="str">
        <f t="shared" ref="BF49:CL49" si="42">IF(BF109&lt;&gt;"",SUBSTITUTE(SUBSTITUTE(SUBSTITUTE(BF109,"F","O"),"S","O"),"L","X"),"")</f>
        <v xml:space="preserve"> </v>
      </c>
      <c r="BG49" s="166" t="str">
        <f t="shared" si="42"/>
        <v xml:space="preserve"> </v>
      </c>
      <c r="BH49" s="166" t="str">
        <f t="shared" si="42"/>
        <v xml:space="preserve"> </v>
      </c>
      <c r="BI49" s="166" t="str">
        <f t="shared" si="42"/>
        <v xml:space="preserve"> </v>
      </c>
      <c r="BJ49" s="166" t="str">
        <f t="shared" si="42"/>
        <v xml:space="preserve"> </v>
      </c>
      <c r="BK49" s="166" t="str">
        <f t="shared" si="42"/>
        <v xml:space="preserve"> </v>
      </c>
      <c r="BL49" s="166" t="str">
        <f t="shared" si="42"/>
        <v xml:space="preserve"> </v>
      </c>
      <c r="BM49" s="166" t="str">
        <f t="shared" si="42"/>
        <v xml:space="preserve"> </v>
      </c>
      <c r="BN49" s="166" t="str">
        <f t="shared" si="42"/>
        <v xml:space="preserve"> </v>
      </c>
      <c r="BO49" s="166" t="str">
        <f t="shared" si="42"/>
        <v xml:space="preserve"> </v>
      </c>
      <c r="BP49" s="166" t="str">
        <f t="shared" si="42"/>
        <v xml:space="preserve"> </v>
      </c>
      <c r="BQ49" s="166" t="str">
        <f t="shared" si="42"/>
        <v xml:space="preserve"> </v>
      </c>
      <c r="BR49" s="166" t="str">
        <f t="shared" si="42"/>
        <v xml:space="preserve"> </v>
      </c>
      <c r="BS49" s="166" t="str">
        <f t="shared" si="42"/>
        <v xml:space="preserve"> </v>
      </c>
      <c r="BT49" s="166" t="str">
        <f t="shared" si="42"/>
        <v xml:space="preserve"> </v>
      </c>
      <c r="BU49" s="166" t="str">
        <f t="shared" si="42"/>
        <v xml:space="preserve"> </v>
      </c>
      <c r="BV49" s="166" t="str">
        <f t="shared" si="42"/>
        <v xml:space="preserve"> </v>
      </c>
      <c r="BW49" s="166" t="str">
        <f t="shared" si="42"/>
        <v xml:space="preserve"> </v>
      </c>
      <c r="BX49" s="166" t="str">
        <f t="shared" si="42"/>
        <v xml:space="preserve"> </v>
      </c>
      <c r="BY49" s="166" t="str">
        <f t="shared" si="42"/>
        <v xml:space="preserve"> </v>
      </c>
      <c r="BZ49" s="166" t="str">
        <f t="shared" si="42"/>
        <v xml:space="preserve"> </v>
      </c>
      <c r="CA49" s="166" t="str">
        <f t="shared" si="42"/>
        <v xml:space="preserve"> </v>
      </c>
      <c r="CB49" s="166" t="str">
        <f t="shared" si="42"/>
        <v xml:space="preserve"> </v>
      </c>
      <c r="CC49" s="166" t="str">
        <f t="shared" si="42"/>
        <v xml:space="preserve"> </v>
      </c>
      <c r="CD49" s="166" t="str">
        <f t="shared" si="42"/>
        <v xml:space="preserve"> </v>
      </c>
      <c r="CE49" s="166" t="str">
        <f t="shared" si="42"/>
        <v xml:space="preserve"> </v>
      </c>
      <c r="CF49" s="166" t="str">
        <f t="shared" si="42"/>
        <v xml:space="preserve"> </v>
      </c>
      <c r="CG49" s="166" t="str">
        <f t="shared" si="42"/>
        <v xml:space="preserve"> </v>
      </c>
      <c r="CH49" s="166" t="str">
        <f t="shared" si="42"/>
        <v xml:space="preserve"> </v>
      </c>
      <c r="CI49" s="166" t="str">
        <f t="shared" si="42"/>
        <v xml:space="preserve"> </v>
      </c>
      <c r="CJ49" s="166" t="str">
        <f t="shared" si="42"/>
        <v xml:space="preserve"> </v>
      </c>
      <c r="CK49" s="166" t="str">
        <f t="shared" si="42"/>
        <v xml:space="preserve"> </v>
      </c>
      <c r="CL49" s="710" t="str">
        <f t="shared" si="42"/>
        <v xml:space="preserve"> </v>
      </c>
    </row>
    <row r="50" spans="1:107" ht="15.5" x14ac:dyDescent="0.35">
      <c r="A50" s="707"/>
      <c r="B50" s="726">
        <v>9</v>
      </c>
      <c r="C50" s="727" t="str">
        <f t="shared" ref="C50:AJ50" si="43">IF(C110&lt;&gt;"",SUBSTITUTE(SUBSTITUTE(SUBSTITUTE(C110,"F","O"),"S","O"),"L","X"),"")</f>
        <v xml:space="preserve"> </v>
      </c>
      <c r="D50" s="166" t="str">
        <f t="shared" si="43"/>
        <v xml:space="preserve"> </v>
      </c>
      <c r="E50" s="166" t="str">
        <f t="shared" si="43"/>
        <v xml:space="preserve"> </v>
      </c>
      <c r="F50" s="166" t="str">
        <f t="shared" si="43"/>
        <v xml:space="preserve"> </v>
      </c>
      <c r="G50" s="166" t="str">
        <f t="shared" si="43"/>
        <v xml:space="preserve"> </v>
      </c>
      <c r="H50" s="166" t="str">
        <f t="shared" si="43"/>
        <v xml:space="preserve"> </v>
      </c>
      <c r="I50" s="166" t="str">
        <f t="shared" si="43"/>
        <v xml:space="preserve"> </v>
      </c>
      <c r="J50" s="166" t="str">
        <f t="shared" si="43"/>
        <v xml:space="preserve"> </v>
      </c>
      <c r="K50" s="166" t="str">
        <f t="shared" si="43"/>
        <v xml:space="preserve"> </v>
      </c>
      <c r="L50" s="166" t="str">
        <f t="shared" si="43"/>
        <v xml:space="preserve"> </v>
      </c>
      <c r="M50" s="166" t="str">
        <f t="shared" si="43"/>
        <v xml:space="preserve"> </v>
      </c>
      <c r="N50" s="166" t="str">
        <f t="shared" si="43"/>
        <v xml:space="preserve"> </v>
      </c>
      <c r="O50" s="166" t="str">
        <f t="shared" si="43"/>
        <v xml:space="preserve"> </v>
      </c>
      <c r="P50" s="166" t="str">
        <f t="shared" si="43"/>
        <v xml:space="preserve"> </v>
      </c>
      <c r="Q50" s="166" t="str">
        <f t="shared" si="43"/>
        <v xml:space="preserve"> </v>
      </c>
      <c r="R50" s="166" t="str">
        <f t="shared" si="43"/>
        <v xml:space="preserve"> </v>
      </c>
      <c r="S50" s="166" t="str">
        <f t="shared" si="43"/>
        <v xml:space="preserve"> </v>
      </c>
      <c r="T50" s="166" t="str">
        <f t="shared" si="43"/>
        <v xml:space="preserve"> </v>
      </c>
      <c r="U50" s="166" t="str">
        <f t="shared" si="43"/>
        <v xml:space="preserve"> </v>
      </c>
      <c r="V50" s="166" t="str">
        <f t="shared" si="43"/>
        <v xml:space="preserve"> </v>
      </c>
      <c r="W50" s="166" t="str">
        <f t="shared" si="43"/>
        <v xml:space="preserve"> </v>
      </c>
      <c r="X50" s="166" t="str">
        <f t="shared" si="43"/>
        <v xml:space="preserve"> </v>
      </c>
      <c r="Y50" s="166" t="str">
        <f t="shared" si="43"/>
        <v xml:space="preserve"> </v>
      </c>
      <c r="Z50" s="166" t="str">
        <f t="shared" si="43"/>
        <v xml:space="preserve"> </v>
      </c>
      <c r="AA50" s="166" t="str">
        <f t="shared" si="43"/>
        <v xml:space="preserve"> </v>
      </c>
      <c r="AB50" s="166" t="str">
        <f t="shared" si="43"/>
        <v xml:space="preserve"> </v>
      </c>
      <c r="AC50" s="166" t="str">
        <f t="shared" si="43"/>
        <v xml:space="preserve"> </v>
      </c>
      <c r="AD50" s="166" t="str">
        <f t="shared" si="43"/>
        <v xml:space="preserve"> </v>
      </c>
      <c r="AE50" s="166" t="str">
        <f t="shared" si="43"/>
        <v xml:space="preserve"> </v>
      </c>
      <c r="AF50" s="166" t="str">
        <f t="shared" si="43"/>
        <v xml:space="preserve"> </v>
      </c>
      <c r="AG50" s="166" t="str">
        <f t="shared" si="43"/>
        <v xml:space="preserve"> </v>
      </c>
      <c r="AH50" s="166" t="str">
        <f t="shared" si="43"/>
        <v xml:space="preserve"> </v>
      </c>
      <c r="AI50" s="166" t="str">
        <f t="shared" si="43"/>
        <v xml:space="preserve"> </v>
      </c>
      <c r="AJ50" s="710" t="str">
        <f t="shared" si="43"/>
        <v xml:space="preserve"> </v>
      </c>
      <c r="BD50" s="707"/>
      <c r="BE50" s="726">
        <v>9</v>
      </c>
      <c r="BF50" s="727" t="str">
        <f t="shared" ref="BF50:CL50" si="44">IF(BF110&lt;&gt;"",SUBSTITUTE(SUBSTITUTE(SUBSTITUTE(BF110,"F","O"),"S","O"),"L","X"),"")</f>
        <v xml:space="preserve"> </v>
      </c>
      <c r="BG50" s="166" t="str">
        <f t="shared" si="44"/>
        <v xml:space="preserve"> </v>
      </c>
      <c r="BH50" s="166" t="str">
        <f t="shared" si="44"/>
        <v xml:space="preserve"> </v>
      </c>
      <c r="BI50" s="166" t="str">
        <f t="shared" si="44"/>
        <v xml:space="preserve"> </v>
      </c>
      <c r="BJ50" s="166" t="str">
        <f t="shared" si="44"/>
        <v xml:space="preserve"> </v>
      </c>
      <c r="BK50" s="166" t="str">
        <f t="shared" si="44"/>
        <v xml:space="preserve"> </v>
      </c>
      <c r="BL50" s="166" t="str">
        <f t="shared" si="44"/>
        <v xml:space="preserve"> </v>
      </c>
      <c r="BM50" s="166" t="str">
        <f t="shared" si="44"/>
        <v xml:space="preserve"> </v>
      </c>
      <c r="BN50" s="166" t="str">
        <f t="shared" si="44"/>
        <v xml:space="preserve"> </v>
      </c>
      <c r="BO50" s="166" t="str">
        <f t="shared" si="44"/>
        <v xml:space="preserve"> </v>
      </c>
      <c r="BP50" s="166" t="str">
        <f t="shared" si="44"/>
        <v xml:space="preserve"> </v>
      </c>
      <c r="BQ50" s="166" t="str">
        <f t="shared" si="44"/>
        <v xml:space="preserve"> </v>
      </c>
      <c r="BR50" s="166" t="str">
        <f t="shared" si="44"/>
        <v xml:space="preserve"> </v>
      </c>
      <c r="BS50" s="166" t="str">
        <f t="shared" si="44"/>
        <v xml:space="preserve"> </v>
      </c>
      <c r="BT50" s="166" t="str">
        <f t="shared" si="44"/>
        <v xml:space="preserve"> </v>
      </c>
      <c r="BU50" s="166" t="str">
        <f t="shared" si="44"/>
        <v xml:space="preserve"> </v>
      </c>
      <c r="BV50" s="166" t="str">
        <f t="shared" si="44"/>
        <v xml:space="preserve"> </v>
      </c>
      <c r="BW50" s="166" t="str">
        <f t="shared" si="44"/>
        <v xml:space="preserve"> </v>
      </c>
      <c r="BX50" s="166" t="str">
        <f t="shared" si="44"/>
        <v xml:space="preserve"> </v>
      </c>
      <c r="BY50" s="166" t="str">
        <f t="shared" si="44"/>
        <v xml:space="preserve"> </v>
      </c>
      <c r="BZ50" s="166" t="str">
        <f t="shared" si="44"/>
        <v xml:space="preserve"> </v>
      </c>
      <c r="CA50" s="166" t="str">
        <f t="shared" si="44"/>
        <v xml:space="preserve"> </v>
      </c>
      <c r="CB50" s="166" t="str">
        <f t="shared" si="44"/>
        <v xml:space="preserve"> </v>
      </c>
      <c r="CC50" s="166" t="str">
        <f t="shared" si="44"/>
        <v xml:space="preserve"> </v>
      </c>
      <c r="CD50" s="166" t="str">
        <f t="shared" si="44"/>
        <v xml:space="preserve"> </v>
      </c>
      <c r="CE50" s="166" t="str">
        <f t="shared" si="44"/>
        <v xml:space="preserve"> </v>
      </c>
      <c r="CF50" s="166" t="str">
        <f t="shared" si="44"/>
        <v xml:space="preserve"> </v>
      </c>
      <c r="CG50" s="166" t="str">
        <f t="shared" si="44"/>
        <v xml:space="preserve"> </v>
      </c>
      <c r="CH50" s="166" t="str">
        <f t="shared" si="44"/>
        <v xml:space="preserve"> </v>
      </c>
      <c r="CI50" s="166" t="str">
        <f t="shared" si="44"/>
        <v xml:space="preserve"> </v>
      </c>
      <c r="CJ50" s="166" t="str">
        <f t="shared" si="44"/>
        <v xml:space="preserve"> </v>
      </c>
      <c r="CK50" s="166" t="str">
        <f t="shared" si="44"/>
        <v xml:space="preserve"> </v>
      </c>
      <c r="CL50" s="710" t="str">
        <f t="shared" si="44"/>
        <v xml:space="preserve"> </v>
      </c>
    </row>
    <row r="51" spans="1:107" ht="13.5" customHeight="1" x14ac:dyDescent="0.35">
      <c r="A51" s="707"/>
      <c r="B51" s="726">
        <v>10</v>
      </c>
      <c r="C51" s="727" t="str">
        <f t="shared" ref="C51:AJ51" si="45">IF(C111&lt;&gt;"",SUBSTITUTE(SUBSTITUTE(SUBSTITUTE(C111,"F","O"),"S","O"),"L","X"),"")</f>
        <v xml:space="preserve"> </v>
      </c>
      <c r="D51" s="166" t="str">
        <f t="shared" si="45"/>
        <v xml:space="preserve"> </v>
      </c>
      <c r="E51" s="166" t="str">
        <f t="shared" si="45"/>
        <v xml:space="preserve"> </v>
      </c>
      <c r="F51" s="166" t="str">
        <f t="shared" si="45"/>
        <v xml:space="preserve"> </v>
      </c>
      <c r="G51" s="166" t="str">
        <f t="shared" si="45"/>
        <v xml:space="preserve"> </v>
      </c>
      <c r="H51" s="166" t="str">
        <f t="shared" si="45"/>
        <v xml:space="preserve"> </v>
      </c>
      <c r="I51" s="166" t="str">
        <f t="shared" si="45"/>
        <v xml:space="preserve"> </v>
      </c>
      <c r="J51" s="166" t="str">
        <f t="shared" si="45"/>
        <v xml:space="preserve"> </v>
      </c>
      <c r="K51" s="166" t="str">
        <f t="shared" si="45"/>
        <v xml:space="preserve"> </v>
      </c>
      <c r="L51" s="166" t="str">
        <f t="shared" si="45"/>
        <v xml:space="preserve"> </v>
      </c>
      <c r="M51" s="166" t="str">
        <f t="shared" si="45"/>
        <v xml:space="preserve"> </v>
      </c>
      <c r="N51" s="166" t="str">
        <f t="shared" si="45"/>
        <v xml:space="preserve"> </v>
      </c>
      <c r="O51" s="166" t="str">
        <f t="shared" si="45"/>
        <v xml:space="preserve"> </v>
      </c>
      <c r="P51" s="166" t="str">
        <f t="shared" si="45"/>
        <v xml:space="preserve"> </v>
      </c>
      <c r="Q51" s="166" t="str">
        <f t="shared" si="45"/>
        <v xml:space="preserve"> </v>
      </c>
      <c r="R51" s="166" t="str">
        <f t="shared" si="45"/>
        <v xml:space="preserve"> </v>
      </c>
      <c r="S51" s="166" t="str">
        <f t="shared" si="45"/>
        <v xml:space="preserve"> </v>
      </c>
      <c r="T51" s="166" t="str">
        <f t="shared" si="45"/>
        <v xml:space="preserve"> </v>
      </c>
      <c r="U51" s="166" t="str">
        <f t="shared" si="45"/>
        <v xml:space="preserve"> </v>
      </c>
      <c r="V51" s="166" t="str">
        <f t="shared" si="45"/>
        <v xml:space="preserve"> </v>
      </c>
      <c r="W51" s="166" t="str">
        <f t="shared" si="45"/>
        <v xml:space="preserve"> </v>
      </c>
      <c r="X51" s="166" t="str">
        <f t="shared" si="45"/>
        <v xml:space="preserve"> </v>
      </c>
      <c r="Y51" s="166" t="str">
        <f t="shared" si="45"/>
        <v xml:space="preserve"> </v>
      </c>
      <c r="Z51" s="166" t="str">
        <f t="shared" si="45"/>
        <v xml:space="preserve"> </v>
      </c>
      <c r="AA51" s="166" t="str">
        <f t="shared" si="45"/>
        <v xml:space="preserve"> </v>
      </c>
      <c r="AB51" s="166" t="str">
        <f t="shared" si="45"/>
        <v xml:space="preserve"> </v>
      </c>
      <c r="AC51" s="166" t="str">
        <f t="shared" si="45"/>
        <v xml:space="preserve"> </v>
      </c>
      <c r="AD51" s="166" t="str">
        <f t="shared" si="45"/>
        <v xml:space="preserve"> </v>
      </c>
      <c r="AE51" s="166" t="str">
        <f t="shared" si="45"/>
        <v xml:space="preserve"> </v>
      </c>
      <c r="AF51" s="166" t="str">
        <f t="shared" si="45"/>
        <v xml:space="preserve"> </v>
      </c>
      <c r="AG51" s="166" t="str">
        <f t="shared" si="45"/>
        <v xml:space="preserve"> </v>
      </c>
      <c r="AH51" s="166" t="str">
        <f t="shared" si="45"/>
        <v xml:space="preserve"> </v>
      </c>
      <c r="AI51" s="166" t="str">
        <f t="shared" si="45"/>
        <v xml:space="preserve"> </v>
      </c>
      <c r="AJ51" s="710" t="str">
        <f t="shared" si="45"/>
        <v xml:space="preserve"> </v>
      </c>
      <c r="BD51" s="707"/>
      <c r="BE51" s="726">
        <v>10</v>
      </c>
      <c r="BF51" s="727" t="str">
        <f t="shared" ref="BF51:CL51" si="46">IF(BF111&lt;&gt;"",SUBSTITUTE(SUBSTITUTE(SUBSTITUTE(BF111,"F","O"),"S","O"),"L","X"),"")</f>
        <v xml:space="preserve"> </v>
      </c>
      <c r="BG51" s="166" t="str">
        <f t="shared" si="46"/>
        <v xml:space="preserve"> </v>
      </c>
      <c r="BH51" s="166" t="str">
        <f t="shared" si="46"/>
        <v xml:space="preserve"> </v>
      </c>
      <c r="BI51" s="166" t="str">
        <f t="shared" si="46"/>
        <v xml:space="preserve"> </v>
      </c>
      <c r="BJ51" s="166" t="str">
        <f t="shared" si="46"/>
        <v xml:space="preserve"> </v>
      </c>
      <c r="BK51" s="166" t="str">
        <f t="shared" si="46"/>
        <v xml:space="preserve"> </v>
      </c>
      <c r="BL51" s="166" t="str">
        <f t="shared" si="46"/>
        <v xml:space="preserve"> </v>
      </c>
      <c r="BM51" s="166" t="str">
        <f t="shared" si="46"/>
        <v xml:space="preserve"> </v>
      </c>
      <c r="BN51" s="166" t="str">
        <f t="shared" si="46"/>
        <v xml:space="preserve"> </v>
      </c>
      <c r="BO51" s="166" t="str">
        <f t="shared" si="46"/>
        <v xml:space="preserve"> </v>
      </c>
      <c r="BP51" s="166" t="str">
        <f t="shared" si="46"/>
        <v xml:space="preserve"> </v>
      </c>
      <c r="BQ51" s="166" t="str">
        <f t="shared" si="46"/>
        <v xml:space="preserve"> </v>
      </c>
      <c r="BR51" s="166" t="str">
        <f t="shared" si="46"/>
        <v xml:space="preserve"> </v>
      </c>
      <c r="BS51" s="166" t="str">
        <f t="shared" si="46"/>
        <v xml:space="preserve"> </v>
      </c>
      <c r="BT51" s="166" t="str">
        <f t="shared" si="46"/>
        <v xml:space="preserve"> </v>
      </c>
      <c r="BU51" s="166" t="str">
        <f t="shared" si="46"/>
        <v xml:space="preserve"> </v>
      </c>
      <c r="BV51" s="166" t="str">
        <f t="shared" si="46"/>
        <v xml:space="preserve"> </v>
      </c>
      <c r="BW51" s="166" t="str">
        <f t="shared" si="46"/>
        <v xml:space="preserve"> </v>
      </c>
      <c r="BX51" s="166" t="str">
        <f t="shared" si="46"/>
        <v xml:space="preserve"> </v>
      </c>
      <c r="BY51" s="166" t="str">
        <f t="shared" si="46"/>
        <v xml:space="preserve"> </v>
      </c>
      <c r="BZ51" s="166" t="str">
        <f t="shared" si="46"/>
        <v xml:space="preserve"> </v>
      </c>
      <c r="CA51" s="166" t="str">
        <f t="shared" si="46"/>
        <v xml:space="preserve"> </v>
      </c>
      <c r="CB51" s="166" t="str">
        <f t="shared" si="46"/>
        <v xml:space="preserve"> </v>
      </c>
      <c r="CC51" s="166" t="str">
        <f t="shared" si="46"/>
        <v xml:space="preserve"> </v>
      </c>
      <c r="CD51" s="166" t="str">
        <f t="shared" si="46"/>
        <v xml:space="preserve"> </v>
      </c>
      <c r="CE51" s="166" t="str">
        <f t="shared" si="46"/>
        <v xml:space="preserve"> </v>
      </c>
      <c r="CF51" s="166" t="str">
        <f t="shared" si="46"/>
        <v xml:space="preserve"> </v>
      </c>
      <c r="CG51" s="166" t="str">
        <f t="shared" si="46"/>
        <v xml:space="preserve"> </v>
      </c>
      <c r="CH51" s="166" t="str">
        <f t="shared" si="46"/>
        <v xml:space="preserve"> </v>
      </c>
      <c r="CI51" s="166" t="str">
        <f t="shared" si="46"/>
        <v xml:space="preserve"> </v>
      </c>
      <c r="CJ51" s="166" t="str">
        <f t="shared" si="46"/>
        <v xml:space="preserve"> </v>
      </c>
      <c r="CK51" s="166" t="str">
        <f t="shared" si="46"/>
        <v xml:space="preserve"> </v>
      </c>
      <c r="CL51" s="710" t="str">
        <f t="shared" si="46"/>
        <v xml:space="preserve"> </v>
      </c>
    </row>
    <row r="52" spans="1:107" ht="13.5" customHeight="1" x14ac:dyDescent="0.35">
      <c r="A52" s="707"/>
      <c r="B52" s="726">
        <v>11</v>
      </c>
      <c r="C52" s="727" t="str">
        <f t="shared" ref="C52:AJ52" si="47">IF(C112&lt;&gt;"",SUBSTITUTE(SUBSTITUTE(SUBSTITUTE(C112,"F","O"),"S","O"),"L","X"),"")</f>
        <v xml:space="preserve"> </v>
      </c>
      <c r="D52" s="166" t="str">
        <f t="shared" si="47"/>
        <v xml:space="preserve"> </v>
      </c>
      <c r="E52" s="166" t="str">
        <f t="shared" si="47"/>
        <v xml:space="preserve"> </v>
      </c>
      <c r="F52" s="166" t="str">
        <f t="shared" si="47"/>
        <v xml:space="preserve"> </v>
      </c>
      <c r="G52" s="166" t="str">
        <f t="shared" si="47"/>
        <v xml:space="preserve"> </v>
      </c>
      <c r="H52" s="166" t="str">
        <f t="shared" si="47"/>
        <v xml:space="preserve"> </v>
      </c>
      <c r="I52" s="166" t="str">
        <f t="shared" si="47"/>
        <v xml:space="preserve"> </v>
      </c>
      <c r="J52" s="166" t="str">
        <f t="shared" si="47"/>
        <v xml:space="preserve"> </v>
      </c>
      <c r="K52" s="166" t="str">
        <f t="shared" si="47"/>
        <v xml:space="preserve"> </v>
      </c>
      <c r="L52" s="166" t="str">
        <f t="shared" si="47"/>
        <v xml:space="preserve"> </v>
      </c>
      <c r="M52" s="166" t="str">
        <f t="shared" si="47"/>
        <v xml:space="preserve"> </v>
      </c>
      <c r="N52" s="166" t="str">
        <f t="shared" si="47"/>
        <v xml:space="preserve"> </v>
      </c>
      <c r="O52" s="166" t="str">
        <f t="shared" si="47"/>
        <v xml:space="preserve"> </v>
      </c>
      <c r="P52" s="166" t="str">
        <f t="shared" si="47"/>
        <v xml:space="preserve"> </v>
      </c>
      <c r="Q52" s="166" t="str">
        <f t="shared" si="47"/>
        <v xml:space="preserve"> </v>
      </c>
      <c r="R52" s="166" t="str">
        <f t="shared" si="47"/>
        <v xml:space="preserve"> </v>
      </c>
      <c r="S52" s="166" t="str">
        <f t="shared" si="47"/>
        <v xml:space="preserve"> </v>
      </c>
      <c r="T52" s="166" t="str">
        <f t="shared" si="47"/>
        <v xml:space="preserve"> </v>
      </c>
      <c r="U52" s="166" t="str">
        <f t="shared" si="47"/>
        <v xml:space="preserve"> </v>
      </c>
      <c r="V52" s="166" t="str">
        <f t="shared" si="47"/>
        <v xml:space="preserve"> </v>
      </c>
      <c r="W52" s="166" t="str">
        <f t="shared" si="47"/>
        <v xml:space="preserve"> </v>
      </c>
      <c r="X52" s="166" t="str">
        <f t="shared" si="47"/>
        <v xml:space="preserve"> </v>
      </c>
      <c r="Y52" s="166" t="str">
        <f t="shared" si="47"/>
        <v xml:space="preserve"> </v>
      </c>
      <c r="Z52" s="166" t="str">
        <f t="shared" si="47"/>
        <v xml:space="preserve"> </v>
      </c>
      <c r="AA52" s="166" t="str">
        <f t="shared" si="47"/>
        <v xml:space="preserve"> </v>
      </c>
      <c r="AB52" s="166" t="str">
        <f t="shared" si="47"/>
        <v xml:space="preserve"> </v>
      </c>
      <c r="AC52" s="166" t="str">
        <f t="shared" si="47"/>
        <v xml:space="preserve"> </v>
      </c>
      <c r="AD52" s="166" t="str">
        <f t="shared" si="47"/>
        <v xml:space="preserve"> </v>
      </c>
      <c r="AE52" s="166" t="str">
        <f t="shared" si="47"/>
        <v xml:space="preserve"> </v>
      </c>
      <c r="AF52" s="166" t="str">
        <f t="shared" si="47"/>
        <v xml:space="preserve"> </v>
      </c>
      <c r="AG52" s="166" t="str">
        <f t="shared" si="47"/>
        <v xml:space="preserve"> </v>
      </c>
      <c r="AH52" s="166" t="str">
        <f t="shared" si="47"/>
        <v xml:space="preserve"> </v>
      </c>
      <c r="AI52" s="166" t="str">
        <f t="shared" si="47"/>
        <v xml:space="preserve"> </v>
      </c>
      <c r="AJ52" s="710" t="str">
        <f t="shared" si="47"/>
        <v xml:space="preserve"> </v>
      </c>
      <c r="BD52" s="707"/>
      <c r="BE52" s="726">
        <v>11</v>
      </c>
      <c r="BF52" s="727" t="str">
        <f t="shared" ref="BF52:CL52" si="48">IF(BF112&lt;&gt;"",SUBSTITUTE(SUBSTITUTE(SUBSTITUTE(BF112,"F","O"),"S","O"),"L","X"),"")</f>
        <v xml:space="preserve"> </v>
      </c>
      <c r="BG52" s="166" t="str">
        <f t="shared" si="48"/>
        <v xml:space="preserve"> </v>
      </c>
      <c r="BH52" s="166" t="str">
        <f t="shared" si="48"/>
        <v xml:space="preserve"> </v>
      </c>
      <c r="BI52" s="166" t="str">
        <f t="shared" si="48"/>
        <v xml:space="preserve"> </v>
      </c>
      <c r="BJ52" s="166" t="str">
        <f t="shared" si="48"/>
        <v xml:space="preserve"> </v>
      </c>
      <c r="BK52" s="166" t="str">
        <f t="shared" si="48"/>
        <v xml:space="preserve"> </v>
      </c>
      <c r="BL52" s="166" t="str">
        <f t="shared" si="48"/>
        <v xml:space="preserve"> </v>
      </c>
      <c r="BM52" s="166" t="str">
        <f t="shared" si="48"/>
        <v xml:space="preserve"> </v>
      </c>
      <c r="BN52" s="166" t="str">
        <f t="shared" si="48"/>
        <v xml:space="preserve"> </v>
      </c>
      <c r="BO52" s="166" t="str">
        <f t="shared" si="48"/>
        <v xml:space="preserve"> </v>
      </c>
      <c r="BP52" s="166" t="str">
        <f t="shared" si="48"/>
        <v xml:space="preserve"> </v>
      </c>
      <c r="BQ52" s="166" t="str">
        <f t="shared" si="48"/>
        <v xml:space="preserve"> </v>
      </c>
      <c r="BR52" s="166" t="str">
        <f t="shared" si="48"/>
        <v xml:space="preserve"> </v>
      </c>
      <c r="BS52" s="166" t="str">
        <f t="shared" si="48"/>
        <v xml:space="preserve"> </v>
      </c>
      <c r="BT52" s="166" t="str">
        <f t="shared" si="48"/>
        <v xml:space="preserve"> </v>
      </c>
      <c r="BU52" s="166" t="str">
        <f t="shared" si="48"/>
        <v xml:space="preserve"> </v>
      </c>
      <c r="BV52" s="166" t="str">
        <f t="shared" si="48"/>
        <v xml:space="preserve"> </v>
      </c>
      <c r="BW52" s="166" t="str">
        <f t="shared" si="48"/>
        <v xml:space="preserve"> </v>
      </c>
      <c r="BX52" s="166" t="str">
        <f t="shared" si="48"/>
        <v xml:space="preserve"> </v>
      </c>
      <c r="BY52" s="166" t="str">
        <f t="shared" si="48"/>
        <v xml:space="preserve"> </v>
      </c>
      <c r="BZ52" s="166" t="str">
        <f t="shared" si="48"/>
        <v xml:space="preserve"> </v>
      </c>
      <c r="CA52" s="166" t="str">
        <f t="shared" si="48"/>
        <v xml:space="preserve"> </v>
      </c>
      <c r="CB52" s="166" t="str">
        <f t="shared" si="48"/>
        <v xml:space="preserve"> </v>
      </c>
      <c r="CC52" s="166" t="str">
        <f t="shared" si="48"/>
        <v xml:space="preserve"> </v>
      </c>
      <c r="CD52" s="166" t="str">
        <f t="shared" si="48"/>
        <v xml:space="preserve"> </v>
      </c>
      <c r="CE52" s="166" t="str">
        <f t="shared" si="48"/>
        <v xml:space="preserve"> </v>
      </c>
      <c r="CF52" s="166" t="str">
        <f t="shared" si="48"/>
        <v xml:space="preserve"> </v>
      </c>
      <c r="CG52" s="166" t="str">
        <f t="shared" si="48"/>
        <v xml:space="preserve"> </v>
      </c>
      <c r="CH52" s="166" t="str">
        <f t="shared" si="48"/>
        <v xml:space="preserve"> </v>
      </c>
      <c r="CI52" s="166" t="str">
        <f t="shared" si="48"/>
        <v xml:space="preserve"> </v>
      </c>
      <c r="CJ52" s="166" t="str">
        <f t="shared" si="48"/>
        <v xml:space="preserve"> </v>
      </c>
      <c r="CK52" s="166" t="str">
        <f t="shared" si="48"/>
        <v xml:space="preserve"> </v>
      </c>
      <c r="CL52" s="710" t="str">
        <f t="shared" si="48"/>
        <v xml:space="preserve"> </v>
      </c>
    </row>
    <row r="53" spans="1:107" ht="13.5" customHeight="1" thickBot="1" x14ac:dyDescent="0.4">
      <c r="A53" s="711"/>
      <c r="B53" s="728">
        <v>12</v>
      </c>
      <c r="C53" s="729" t="str">
        <f t="shared" ref="C53:AJ53" si="49">IF(C113&lt;&gt;"",SUBSTITUTE(SUBSTITUTE(SUBSTITUTE(C113,"F","O"),"S","O"),"L","X"),"")</f>
        <v xml:space="preserve"> </v>
      </c>
      <c r="D53" s="714" t="str">
        <f t="shared" si="49"/>
        <v xml:space="preserve"> </v>
      </c>
      <c r="E53" s="714" t="str">
        <f t="shared" si="49"/>
        <v xml:space="preserve"> </v>
      </c>
      <c r="F53" s="714" t="str">
        <f t="shared" si="49"/>
        <v xml:space="preserve"> </v>
      </c>
      <c r="G53" s="714" t="str">
        <f t="shared" si="49"/>
        <v xml:space="preserve"> </v>
      </c>
      <c r="H53" s="714" t="str">
        <f t="shared" si="49"/>
        <v xml:space="preserve"> </v>
      </c>
      <c r="I53" s="714" t="str">
        <f t="shared" si="49"/>
        <v xml:space="preserve"> </v>
      </c>
      <c r="J53" s="714" t="str">
        <f t="shared" si="49"/>
        <v xml:space="preserve"> </v>
      </c>
      <c r="K53" s="714" t="str">
        <f t="shared" si="49"/>
        <v xml:space="preserve"> </v>
      </c>
      <c r="L53" s="714" t="str">
        <f t="shared" si="49"/>
        <v xml:space="preserve"> </v>
      </c>
      <c r="M53" s="714" t="str">
        <f t="shared" si="49"/>
        <v xml:space="preserve"> </v>
      </c>
      <c r="N53" s="714" t="str">
        <f t="shared" si="49"/>
        <v xml:space="preserve"> </v>
      </c>
      <c r="O53" s="714" t="str">
        <f t="shared" si="49"/>
        <v xml:space="preserve"> </v>
      </c>
      <c r="P53" s="714" t="str">
        <f t="shared" si="49"/>
        <v xml:space="preserve"> </v>
      </c>
      <c r="Q53" s="714" t="str">
        <f t="shared" si="49"/>
        <v xml:space="preserve"> </v>
      </c>
      <c r="R53" s="714" t="str">
        <f t="shared" si="49"/>
        <v xml:space="preserve"> </v>
      </c>
      <c r="S53" s="714" t="str">
        <f t="shared" si="49"/>
        <v xml:space="preserve"> </v>
      </c>
      <c r="T53" s="714" t="str">
        <f t="shared" si="49"/>
        <v xml:space="preserve"> </v>
      </c>
      <c r="U53" s="714" t="str">
        <f t="shared" si="49"/>
        <v xml:space="preserve"> </v>
      </c>
      <c r="V53" s="714" t="str">
        <f t="shared" si="49"/>
        <v xml:space="preserve"> </v>
      </c>
      <c r="W53" s="714" t="str">
        <f t="shared" si="49"/>
        <v xml:space="preserve"> </v>
      </c>
      <c r="X53" s="714" t="str">
        <f t="shared" si="49"/>
        <v xml:space="preserve"> </v>
      </c>
      <c r="Y53" s="714" t="str">
        <f t="shared" si="49"/>
        <v xml:space="preserve"> </v>
      </c>
      <c r="Z53" s="714" t="str">
        <f t="shared" si="49"/>
        <v xml:space="preserve"> </v>
      </c>
      <c r="AA53" s="714" t="str">
        <f t="shared" si="49"/>
        <v xml:space="preserve"> </v>
      </c>
      <c r="AB53" s="714" t="str">
        <f t="shared" si="49"/>
        <v xml:space="preserve"> </v>
      </c>
      <c r="AC53" s="714" t="str">
        <f t="shared" si="49"/>
        <v xml:space="preserve"> </v>
      </c>
      <c r="AD53" s="714" t="str">
        <f t="shared" si="49"/>
        <v xml:space="preserve"> </v>
      </c>
      <c r="AE53" s="714" t="str">
        <f t="shared" si="49"/>
        <v xml:space="preserve"> </v>
      </c>
      <c r="AF53" s="714" t="str">
        <f t="shared" si="49"/>
        <v xml:space="preserve"> </v>
      </c>
      <c r="AG53" s="714" t="str">
        <f t="shared" si="49"/>
        <v xml:space="preserve"> </v>
      </c>
      <c r="AH53" s="714" t="str">
        <f t="shared" si="49"/>
        <v xml:space="preserve"> </v>
      </c>
      <c r="AI53" s="714" t="str">
        <f t="shared" si="49"/>
        <v xml:space="preserve"> </v>
      </c>
      <c r="AJ53" s="715" t="str">
        <f t="shared" si="49"/>
        <v xml:space="preserve"> </v>
      </c>
      <c r="BD53" s="711"/>
      <c r="BE53" s="728">
        <v>12</v>
      </c>
      <c r="BF53" s="729" t="str">
        <f t="shared" ref="BF53:CL53" si="50">IF(BF113&lt;&gt;"",SUBSTITUTE(SUBSTITUTE(SUBSTITUTE(BF113,"F","O"),"S","O"),"L","X"),"")</f>
        <v xml:space="preserve"> </v>
      </c>
      <c r="BG53" s="714" t="str">
        <f t="shared" si="50"/>
        <v xml:space="preserve"> </v>
      </c>
      <c r="BH53" s="714" t="str">
        <f t="shared" si="50"/>
        <v xml:space="preserve"> </v>
      </c>
      <c r="BI53" s="714" t="str">
        <f t="shared" si="50"/>
        <v xml:space="preserve"> </v>
      </c>
      <c r="BJ53" s="714" t="str">
        <f t="shared" si="50"/>
        <v xml:space="preserve"> </v>
      </c>
      <c r="BK53" s="714" t="str">
        <f t="shared" si="50"/>
        <v xml:space="preserve"> </v>
      </c>
      <c r="BL53" s="714" t="str">
        <f t="shared" si="50"/>
        <v xml:space="preserve"> </v>
      </c>
      <c r="BM53" s="714" t="str">
        <f t="shared" si="50"/>
        <v xml:space="preserve"> </v>
      </c>
      <c r="BN53" s="714" t="str">
        <f t="shared" si="50"/>
        <v xml:space="preserve"> </v>
      </c>
      <c r="BO53" s="714" t="str">
        <f t="shared" si="50"/>
        <v xml:space="preserve"> </v>
      </c>
      <c r="BP53" s="714" t="str">
        <f t="shared" si="50"/>
        <v xml:space="preserve"> </v>
      </c>
      <c r="BQ53" s="714" t="str">
        <f t="shared" si="50"/>
        <v xml:space="preserve"> </v>
      </c>
      <c r="BR53" s="714" t="str">
        <f t="shared" si="50"/>
        <v xml:space="preserve"> </v>
      </c>
      <c r="BS53" s="714" t="str">
        <f t="shared" si="50"/>
        <v xml:space="preserve"> </v>
      </c>
      <c r="BT53" s="714" t="str">
        <f t="shared" si="50"/>
        <v xml:space="preserve"> </v>
      </c>
      <c r="BU53" s="714" t="str">
        <f t="shared" si="50"/>
        <v xml:space="preserve"> </v>
      </c>
      <c r="BV53" s="714" t="str">
        <f t="shared" si="50"/>
        <v xml:space="preserve"> </v>
      </c>
      <c r="BW53" s="714" t="str">
        <f t="shared" si="50"/>
        <v xml:space="preserve"> </v>
      </c>
      <c r="BX53" s="714" t="str">
        <f t="shared" si="50"/>
        <v xml:space="preserve"> </v>
      </c>
      <c r="BY53" s="714" t="str">
        <f t="shared" si="50"/>
        <v xml:space="preserve"> </v>
      </c>
      <c r="BZ53" s="714" t="str">
        <f t="shared" si="50"/>
        <v xml:space="preserve"> </v>
      </c>
      <c r="CA53" s="714" t="str">
        <f t="shared" si="50"/>
        <v xml:space="preserve"> </v>
      </c>
      <c r="CB53" s="714" t="str">
        <f t="shared" si="50"/>
        <v xml:space="preserve"> </v>
      </c>
      <c r="CC53" s="714" t="str">
        <f t="shared" si="50"/>
        <v xml:space="preserve"> </v>
      </c>
      <c r="CD53" s="714" t="str">
        <f t="shared" si="50"/>
        <v xml:space="preserve"> </v>
      </c>
      <c r="CE53" s="714" t="str">
        <f t="shared" si="50"/>
        <v xml:space="preserve"> </v>
      </c>
      <c r="CF53" s="714" t="str">
        <f t="shared" si="50"/>
        <v xml:space="preserve"> </v>
      </c>
      <c r="CG53" s="714" t="str">
        <f t="shared" si="50"/>
        <v xml:space="preserve"> </v>
      </c>
      <c r="CH53" s="714" t="str">
        <f t="shared" si="50"/>
        <v xml:space="preserve"> </v>
      </c>
      <c r="CI53" s="714" t="str">
        <f t="shared" si="50"/>
        <v xml:space="preserve"> </v>
      </c>
      <c r="CJ53" s="714" t="str">
        <f t="shared" si="50"/>
        <v xml:space="preserve"> </v>
      </c>
      <c r="CK53" s="714" t="str">
        <f t="shared" si="50"/>
        <v xml:space="preserve"> </v>
      </c>
      <c r="CL53" s="715" t="str">
        <f t="shared" si="50"/>
        <v xml:space="preserve"> </v>
      </c>
    </row>
    <row r="54" spans="1:107" ht="13.5" customHeight="1" x14ac:dyDescent="0.35"/>
    <row r="55" spans="1:107" ht="13.5" customHeight="1" x14ac:dyDescent="0.35"/>
    <row r="56" spans="1:107" ht="13.5" customHeight="1" x14ac:dyDescent="0.35"/>
    <row r="57" spans="1:107" ht="13.5" customHeight="1" x14ac:dyDescent="0.35"/>
    <row r="58" spans="1:107" ht="13.5" customHeight="1" x14ac:dyDescent="0.35"/>
    <row r="59" spans="1:107" ht="13.5" customHeight="1" x14ac:dyDescent="0.35"/>
    <row r="60" spans="1:107" ht="13.5" customHeight="1" x14ac:dyDescent="0.35"/>
    <row r="61" spans="1:107" ht="13.5" customHeight="1" x14ac:dyDescent="0.35"/>
    <row r="62" spans="1:107" ht="13.5" customHeight="1" x14ac:dyDescent="0.35"/>
    <row r="63" spans="1:107" ht="13.5" customHeight="1" thickBot="1" x14ac:dyDescent="0.4">
      <c r="B63">
        <v>1</v>
      </c>
      <c r="C63">
        <v>2</v>
      </c>
      <c r="D63">
        <v>3</v>
      </c>
      <c r="E63">
        <v>4</v>
      </c>
      <c r="F63">
        <v>5</v>
      </c>
      <c r="G63">
        <v>6</v>
      </c>
      <c r="H63">
        <v>7</v>
      </c>
      <c r="I63">
        <v>8</v>
      </c>
      <c r="J63">
        <v>9</v>
      </c>
      <c r="K63">
        <v>10</v>
      </c>
      <c r="L63">
        <v>11</v>
      </c>
      <c r="M63">
        <v>12</v>
      </c>
      <c r="O63">
        <v>1</v>
      </c>
      <c r="P63">
        <v>2</v>
      </c>
      <c r="Q63">
        <v>3</v>
      </c>
      <c r="R63">
        <v>4</v>
      </c>
      <c r="S63">
        <v>5</v>
      </c>
      <c r="T63">
        <v>6</v>
      </c>
      <c r="U63">
        <v>7</v>
      </c>
      <c r="V63">
        <v>8</v>
      </c>
      <c r="W63">
        <v>9</v>
      </c>
      <c r="X63">
        <v>10</v>
      </c>
      <c r="Y63">
        <v>11</v>
      </c>
      <c r="Z63">
        <v>12</v>
      </c>
      <c r="AB63">
        <v>1</v>
      </c>
      <c r="AC63">
        <v>2</v>
      </c>
      <c r="AD63">
        <v>3</v>
      </c>
      <c r="AE63">
        <v>4</v>
      </c>
      <c r="AF63">
        <v>5</v>
      </c>
      <c r="AG63">
        <v>6</v>
      </c>
      <c r="AH63">
        <v>7</v>
      </c>
      <c r="AI63">
        <v>8</v>
      </c>
      <c r="AJ63">
        <v>9</v>
      </c>
      <c r="AK63">
        <v>10</v>
      </c>
      <c r="AL63">
        <v>11</v>
      </c>
      <c r="AM63">
        <v>12</v>
      </c>
      <c r="AO63">
        <v>1</v>
      </c>
      <c r="AP63">
        <v>2</v>
      </c>
      <c r="AQ63">
        <v>3</v>
      </c>
      <c r="AR63">
        <v>4</v>
      </c>
      <c r="AS63">
        <v>5</v>
      </c>
      <c r="AT63">
        <v>6</v>
      </c>
      <c r="AU63">
        <v>7</v>
      </c>
      <c r="AV63">
        <v>8</v>
      </c>
      <c r="AW63">
        <v>9</v>
      </c>
      <c r="AX63">
        <v>10</v>
      </c>
      <c r="AY63">
        <v>11</v>
      </c>
      <c r="AZ63">
        <v>12</v>
      </c>
      <c r="BE63">
        <v>1</v>
      </c>
      <c r="BF63">
        <v>2</v>
      </c>
      <c r="BG63">
        <v>3</v>
      </c>
      <c r="BH63">
        <v>4</v>
      </c>
      <c r="BI63">
        <v>5</v>
      </c>
      <c r="BJ63">
        <v>6</v>
      </c>
      <c r="BK63">
        <v>7</v>
      </c>
      <c r="BL63">
        <v>8</v>
      </c>
      <c r="BM63">
        <v>9</v>
      </c>
      <c r="BN63">
        <v>10</v>
      </c>
      <c r="BO63">
        <v>11</v>
      </c>
      <c r="BP63">
        <v>12</v>
      </c>
      <c r="BR63">
        <v>1</v>
      </c>
      <c r="BS63">
        <v>2</v>
      </c>
      <c r="BT63">
        <v>3</v>
      </c>
      <c r="BU63">
        <v>4</v>
      </c>
      <c r="BV63">
        <v>5</v>
      </c>
      <c r="BW63">
        <v>6</v>
      </c>
      <c r="BX63">
        <v>7</v>
      </c>
      <c r="BY63">
        <v>8</v>
      </c>
      <c r="BZ63">
        <v>9</v>
      </c>
      <c r="CA63">
        <v>10</v>
      </c>
      <c r="CB63">
        <v>11</v>
      </c>
      <c r="CC63">
        <v>12</v>
      </c>
      <c r="CE63">
        <v>1</v>
      </c>
      <c r="CF63">
        <v>2</v>
      </c>
      <c r="CG63">
        <v>3</v>
      </c>
      <c r="CH63">
        <v>4</v>
      </c>
      <c r="CI63">
        <v>5</v>
      </c>
      <c r="CJ63">
        <v>6</v>
      </c>
      <c r="CK63">
        <v>7</v>
      </c>
      <c r="CL63">
        <v>8</v>
      </c>
      <c r="CM63">
        <v>9</v>
      </c>
      <c r="CN63">
        <v>10</v>
      </c>
      <c r="CO63">
        <v>11</v>
      </c>
      <c r="CP63">
        <v>12</v>
      </c>
      <c r="CR63">
        <v>1</v>
      </c>
      <c r="CS63">
        <v>2</v>
      </c>
      <c r="CT63">
        <v>3</v>
      </c>
      <c r="CU63">
        <v>4</v>
      </c>
      <c r="CV63">
        <v>5</v>
      </c>
      <c r="CW63">
        <v>6</v>
      </c>
      <c r="CX63">
        <v>7</v>
      </c>
      <c r="CY63">
        <v>8</v>
      </c>
      <c r="CZ63">
        <v>9</v>
      </c>
      <c r="DA63">
        <v>10</v>
      </c>
      <c r="DB63">
        <v>11</v>
      </c>
      <c r="DC63">
        <v>12</v>
      </c>
    </row>
    <row r="64" spans="1:107" ht="13.5" customHeight="1" x14ac:dyDescent="0.35">
      <c r="B64" s="118" t="str">
        <f t="array" ref="B64:B97">TRANSPOSE(BLADE1)</f>
        <v>R</v>
      </c>
      <c r="C64" s="320" t="str">
        <f t="array" ref="C64:C97">TRANSPOSE(BLADE2)</f>
        <v>X</v>
      </c>
      <c r="D64" s="320" t="str">
        <f t="array" ref="D64:D97">TRANSPOSE(BLADE3)</f>
        <v>R</v>
      </c>
      <c r="E64" s="320" t="str">
        <f t="array" ref="E64:E97">TRANSPOSE(BLADE4)</f>
        <v>X</v>
      </c>
      <c r="F64" s="320" t="str">
        <f t="array" ref="F64:F97">TRANSPOSE(BLADE5)</f>
        <v>R</v>
      </c>
      <c r="G64" s="320" t="str">
        <f t="array" ref="G64:G97">TRANSPOSE(BLADE6)</f>
        <v>X</v>
      </c>
      <c r="H64" s="320" t="str">
        <f t="array" ref="H64:H97">TRANSPOSE(BLADE7)</f>
        <v/>
      </c>
      <c r="I64" s="320" t="str">
        <f t="array" ref="I64:I97">TRANSPOSE(BLADE8)</f>
        <v/>
      </c>
      <c r="J64" s="320" t="str">
        <f t="array" ref="J64:J97">TRANSPOSE(BLADE9)</f>
        <v/>
      </c>
      <c r="K64" s="320" t="str">
        <f t="array" ref="K64:K97">TRANSPOSE(BLADE10)</f>
        <v/>
      </c>
      <c r="L64" s="320" t="str">
        <f t="array" ref="L64:L97">TRANSPOSE(BLADE11)</f>
        <v/>
      </c>
      <c r="M64" s="119" t="str">
        <f t="array" ref="M64:M97">TRANSPOSE(BLADE12)</f>
        <v/>
      </c>
      <c r="O64" s="118" t="str">
        <f>IF(B64=0,"",B64)</f>
        <v>R</v>
      </c>
      <c r="P64" s="320" t="str">
        <f t="shared" ref="P64:Z79" si="51">IF(C64=0,"",C64)</f>
        <v>X</v>
      </c>
      <c r="Q64" s="320" t="str">
        <f t="shared" si="51"/>
        <v>R</v>
      </c>
      <c r="R64" s="320" t="str">
        <f t="shared" si="51"/>
        <v>X</v>
      </c>
      <c r="S64" s="320" t="str">
        <f t="shared" si="51"/>
        <v>R</v>
      </c>
      <c r="T64" s="320" t="str">
        <f t="shared" si="51"/>
        <v>X</v>
      </c>
      <c r="U64" s="320" t="str">
        <f t="shared" si="51"/>
        <v/>
      </c>
      <c r="V64" s="320" t="str">
        <f t="shared" si="51"/>
        <v/>
      </c>
      <c r="W64" s="320" t="str">
        <f t="shared" si="51"/>
        <v/>
      </c>
      <c r="X64" s="320" t="str">
        <f t="shared" si="51"/>
        <v/>
      </c>
      <c r="Y64" s="320" t="str">
        <f t="shared" si="51"/>
        <v/>
      </c>
      <c r="Z64" s="119" t="str">
        <f t="shared" si="51"/>
        <v/>
      </c>
      <c r="AB64" s="118" t="str">
        <f t="array" ref="AB64">IFERROR(INDEX(TRAS1B1,SMALL(IF(FREQUENCY(IF(TRAS1B1&lt;&gt;"",MATCH(ROW(TRAS1B1),ROW(TRAS1B1)),""),MATCH(ROW(TRAS1B1),ROW(TRAS1B1)))&gt;0,MATCH(ROW(TRAS1B1),ROW(TRAS1B1)),""),ROW(A1)),COLUMN(A1)),"")</f>
        <v>R</v>
      </c>
      <c r="AC64" s="320" t="str">
        <f t="array" ref="AC64">IFERROR(INDEX(TRAS1B2,SMALL(IF(FREQUENCY(IF(TRAS1B2&lt;&gt;"",MATCH(ROW(TRAS1B2),ROW(TRAS1B2)),""),MATCH(ROW(TRAS1B2),ROW(TRAS1B2)))&gt;0,MATCH(ROW(TRAS1B2),ROW(TRAS1B2)),""),ROW(A1)),COLUMN(A1)),"")</f>
        <v>X</v>
      </c>
      <c r="AD64" s="320" t="str">
        <f t="array" ref="AD64">IFERROR(INDEX(TRAS1B3,SMALL(IF(FREQUENCY(IF(TRAS1B3&lt;&gt;"",MATCH(ROW(TRAS1B3),ROW(TRAS1B3)),""),MATCH(ROW(TRAS1B3),ROW(TRAS1B3)))&gt;0,MATCH(ROW(TRAS1B3),ROW(TRAS1B3)),""),ROW(A1)),COLUMN(A1)),"")</f>
        <v>R</v>
      </c>
      <c r="AE64" s="320" t="str">
        <f t="array" ref="AE64">IFERROR(INDEX(TRAS1B4,SMALL(IF(FREQUENCY(IF(TRAS1B4&lt;&gt;"",MATCH(ROW(TRAS1B4),ROW(TRAS1B4)),""),MATCH(ROW(TRAS1B4),ROW(TRAS1B4)))&gt;0,MATCH(ROW(TRAS1B4),ROW(TRAS1B4)),""),ROW(A1)),COLUMN(A1)),"")</f>
        <v>X</v>
      </c>
      <c r="AF64" s="320" t="str">
        <f t="array" ref="AF64">IFERROR(INDEX(TRAS1B5,SMALL(IF(FREQUENCY(IF(TRAS1B5&lt;&gt;"",MATCH(ROW(TRAS1B5),ROW(TRAS1B5)),""),MATCH(ROW(TRAS1B5),ROW(TRAS1B5)))&gt;0,MATCH(ROW(TRAS1B5),ROW(TRAS1B5)),""),ROW(A1)),COLUMN(A1)),"")</f>
        <v>R</v>
      </c>
      <c r="AG64" s="320" t="str">
        <f t="array" ref="AG64">IFERROR(INDEX(TRAS1B6,SMALL(IF(FREQUENCY(IF(TRAS1B6&lt;&gt;"",MATCH(ROW(TRAS1B6),ROW(TRAS1B6)),""),MATCH(ROW(TRAS1B6),ROW(TRAS1B6)))&gt;0,MATCH(ROW(TRAS1B6),ROW(TRAS1B6)),""),ROW(A1)),COLUMN(A1)),"")</f>
        <v>X</v>
      </c>
      <c r="AH64" s="320" t="str">
        <f t="array" ref="AH64">IFERROR(INDEX(TRAS1B7,SMALL(IF(FREQUENCY(IF(TRAS1B7&lt;&gt;"",MATCH(ROW(TRAS1B7),ROW(TRAS1B7)),""),MATCH(ROW(TRAS1B7),ROW(TRAS1B7)))&gt;0,MATCH(ROW(TRAS1B7),ROW(TRAS1B7)),""),ROW(A1)),COLUMN(A1)),"")</f>
        <v/>
      </c>
      <c r="AI64" s="320" t="str">
        <f t="array" ref="AI64">IFERROR(INDEX(TRAS1B8,SMALL(IF(FREQUENCY(IF(TRAS1B8&lt;&gt;"",MATCH(ROW(TRAS1B8),ROW(TRAS1B8)),""),MATCH(ROW(TRAS1B8),ROW(TRAS1B8)))&gt;0,MATCH(ROW(TRAS1B8),ROW(TRAS1B8)),""),ROW(A1)),COLUMN(A1)),"")</f>
        <v/>
      </c>
      <c r="AJ64" s="320" t="str">
        <f t="array" ref="AJ64">IFERROR(INDEX(TRAS1B9,SMALL(IF(FREQUENCY(IF(TRAS1B9&lt;&gt;"",MATCH(ROW(TRAS1B9),ROW(TRAS1B9)),""),MATCH(ROW(TRAS1B9),ROW(TRAS1B9)))&gt;0,MATCH(ROW(TRAS1B9),ROW(TRAS1B9)),""),ROW(A1)),COLUMN(A1)),"")</f>
        <v/>
      </c>
      <c r="AK64" s="320" t="str">
        <f t="array" ref="AK64">IFERROR(INDEX(TRAS1B10,SMALL(IF(FREQUENCY(IF(TRAS1B10&lt;&gt;"",MATCH(ROW(TRAS1B10),ROW(TRAS1B10)),""),MATCH(ROW(TRAS1B10),ROW(TRAS1B10)))&gt;0,MATCH(ROW(TRAS1B10),ROW(TRAS1B10)),""),ROW(A1)),COLUMN(A1)),"")</f>
        <v/>
      </c>
      <c r="AL64" s="320" t="str">
        <f t="array" ref="AL64">IFERROR(INDEX(TRAS1B11,SMALL(IF(FREQUENCY(IF(TRAS1B11&lt;&gt;"",MATCH(ROW(TRAS1B11),ROW(TRAS1B11)),""),MATCH(ROW(TRAS1B11),ROW(TRAS1B11)))&gt;0,MATCH(ROW(TRAS1B11),ROW(TRAS1B11)),""),ROW(A1)),COLUMN(A1)),"")</f>
        <v/>
      </c>
      <c r="AM64" s="119" t="str">
        <f t="array" ref="AM64">IFERROR(INDEX(TRAS1B12,SMALL(IF(FREQUENCY(IF(TRAS1B12&lt;&gt;"",MATCH(ROW(TRAS1B12),ROW(TRAS1B12)),""),MATCH(ROW(TRAS1B12),ROW(TRAS1B12)))&gt;0,MATCH(ROW(TRAS1B12),ROW(TRAS1B12)),""),ROW(A1)),COLUMN(A1)),"")</f>
        <v/>
      </c>
      <c r="AO64" s="118" t="str">
        <f>IF(AB64&lt;&gt;"",AB64," ")</f>
        <v>R</v>
      </c>
      <c r="AP64" s="320" t="str">
        <f t="shared" ref="AP64:AZ64" si="52">IF(AC64&lt;&gt;"",AC64," ")</f>
        <v>X</v>
      </c>
      <c r="AQ64" s="320" t="str">
        <f t="shared" si="52"/>
        <v>R</v>
      </c>
      <c r="AR64" s="320" t="str">
        <f t="shared" si="52"/>
        <v>X</v>
      </c>
      <c r="AS64" s="320" t="str">
        <f t="shared" si="52"/>
        <v>R</v>
      </c>
      <c r="AT64" s="320" t="str">
        <f t="shared" si="52"/>
        <v>X</v>
      </c>
      <c r="AU64" s="320" t="str">
        <f t="shared" si="52"/>
        <v xml:space="preserve"> </v>
      </c>
      <c r="AV64" s="320" t="str">
        <f t="shared" si="52"/>
        <v xml:space="preserve"> </v>
      </c>
      <c r="AW64" s="320" t="str">
        <f t="shared" si="52"/>
        <v xml:space="preserve"> </v>
      </c>
      <c r="AX64" s="320" t="str">
        <f t="shared" si="52"/>
        <v xml:space="preserve"> </v>
      </c>
      <c r="AY64" s="320" t="str">
        <f t="shared" si="52"/>
        <v xml:space="preserve"> </v>
      </c>
      <c r="AZ64" s="119" t="str">
        <f t="shared" si="52"/>
        <v xml:space="preserve"> </v>
      </c>
      <c r="BE64" s="118" t="str">
        <f t="array" ref="BE64:BE96">TRANSPOSE(BLADE1)</f>
        <v>R</v>
      </c>
      <c r="BF64" s="118" t="str">
        <f t="array" ref="BF64:BF96">TRANSPOSE(BLADE2)</f>
        <v>X</v>
      </c>
      <c r="BG64" s="320" t="str">
        <f t="array" ref="BG64:BG96">TRANSPOSE(BLADE3)</f>
        <v>R</v>
      </c>
      <c r="BH64" s="320" t="str">
        <f t="array" ref="BH64:BH96">TRANSPOSE(BLADE4)</f>
        <v>X</v>
      </c>
      <c r="BI64" s="320" t="str">
        <f t="array" ref="BI64:BI96">TRANSPOSE(BLADE5)</f>
        <v>R</v>
      </c>
      <c r="BJ64" s="320" t="str">
        <f t="array" ref="BJ64:BJ96">TRANSPOSE(BLADE6)</f>
        <v>X</v>
      </c>
      <c r="BK64" s="320" t="str">
        <f t="array" ref="BK64:BK96">TRANSPOSE(BLADE7)</f>
        <v/>
      </c>
      <c r="BL64" s="320" t="str">
        <f t="array" ref="BL64:BL96">TRANSPOSE(BLADE8)</f>
        <v/>
      </c>
      <c r="BM64" s="320" t="str">
        <f t="array" ref="BM64:BM96">TRANSPOSE(BLADE9)</f>
        <v/>
      </c>
      <c r="BN64" s="320" t="str">
        <f t="array" ref="BN64:BN96">TRANSPOSE(BLADE10)</f>
        <v/>
      </c>
      <c r="BO64" s="320" t="str">
        <f t="array" ref="BO64:BO96">TRANSPOSE(BLADE11)</f>
        <v/>
      </c>
      <c r="BP64" s="119" t="str">
        <f t="array" ref="BP64:BP96">TRANSPOSE(BLADE12)</f>
        <v/>
      </c>
      <c r="BR64" s="118" t="str">
        <f>IF(BE64=0,"",BE64)</f>
        <v>R</v>
      </c>
      <c r="BS64" s="320" t="str">
        <f t="shared" ref="BS64:BS96" si="53">IF(BF64=0,"",BF64)</f>
        <v>X</v>
      </c>
      <c r="BT64" s="320" t="str">
        <f t="shared" ref="BT64:BT96" si="54">IF(BG64=0,"",BG64)</f>
        <v>R</v>
      </c>
      <c r="BU64" s="320" t="str">
        <f t="shared" ref="BU64:BU96" si="55">IF(BH64=0,"",BH64)</f>
        <v>X</v>
      </c>
      <c r="BV64" s="320" t="str">
        <f t="shared" ref="BV64:BV96" si="56">IF(BI64=0,"",BI64)</f>
        <v>R</v>
      </c>
      <c r="BW64" s="320" t="str">
        <f t="shared" ref="BW64:BW96" si="57">IF(BJ64=0,"",BJ64)</f>
        <v>X</v>
      </c>
      <c r="BX64" s="320" t="str">
        <f t="shared" ref="BX64:BX96" si="58">IF(BK64=0,"",BK64)</f>
        <v/>
      </c>
      <c r="BY64" s="320" t="str">
        <f t="shared" ref="BY64:BY96" si="59">IF(BL64=0,"",BL64)</f>
        <v/>
      </c>
      <c r="BZ64" s="320" t="str">
        <f t="shared" ref="BZ64:BZ96" si="60">IF(BM64=0,"",BM64)</f>
        <v/>
      </c>
      <c r="CA64" s="320" t="str">
        <f t="shared" ref="CA64:CA96" si="61">IF(BN64=0,"",BN64)</f>
        <v/>
      </c>
      <c r="CB64" s="320" t="str">
        <f t="shared" ref="CB64:CB96" si="62">IF(BO64=0,"",BO64)</f>
        <v/>
      </c>
      <c r="CC64" s="119" t="str">
        <f t="shared" ref="CC64:CC96" si="63">IF(BP64=0,"",BP64)</f>
        <v/>
      </c>
      <c r="CE64" s="118" t="str">
        <f t="array" ref="CE64">IFERROR(INDEX(TRAS1B1,SMALL(IF(FREQUENCY(IF(TRAS1B1&lt;&gt;"",MATCH(ROW(TRAS1B1),ROW(TRAS1B1)),""),MATCH(ROW(TRAS1B1),ROW(TRAS1B1)))&gt;0,MATCH(ROW(TRAS1B1),ROW(TRAS1B1)),""),ROW(BD1)),COLUMN(BD1)),"")</f>
        <v/>
      </c>
      <c r="CF64" s="320" t="str">
        <f t="array" ref="CF64">IFERROR(INDEX(TRAS1B2,SMALL(IF(FREQUENCY(IF(TRAS1B2&lt;&gt;"",MATCH(ROW(TRAS1B2),ROW(TRAS1B2)),""),MATCH(ROW(TRAS1B2),ROW(TRAS1B2)))&gt;0,MATCH(ROW(TRAS1B2),ROW(TRAS1B2)),""),ROW(BD1)),COLUMN(BD1)),"")</f>
        <v/>
      </c>
      <c r="CG64" s="320" t="str">
        <f t="array" ref="CG64">IFERROR(INDEX(TRAS1B3,SMALL(IF(FREQUENCY(IF(TRAS1B3&lt;&gt;"",MATCH(ROW(TRAS1B3),ROW(TRAS1B3)),""),MATCH(ROW(TRAS1B3),ROW(TRAS1B3)))&gt;0,MATCH(ROW(TRAS1B3),ROW(TRAS1B3)),""),ROW(BD1)),COLUMN(BD1)),"")</f>
        <v/>
      </c>
      <c r="CH64" s="320" t="str">
        <f t="array" ref="CH64">IFERROR(INDEX(TRAS1B4,SMALL(IF(FREQUENCY(IF(TRAS1B4&lt;&gt;"",MATCH(ROW(TRAS1B4),ROW(TRAS1B4)),""),MATCH(ROW(TRAS1B4),ROW(TRAS1B4)))&gt;0,MATCH(ROW(TRAS1B4),ROW(TRAS1B4)),""),ROW(BD1)),COLUMN(BD1)),"")</f>
        <v/>
      </c>
      <c r="CI64" s="320" t="str">
        <f t="array" ref="CI64">IFERROR(INDEX(TRAS1B5,SMALL(IF(FREQUENCY(IF(TRAS1B5&lt;&gt;"",MATCH(ROW(TRAS1B5),ROW(TRAS1B5)),""),MATCH(ROW(TRAS1B5),ROW(TRAS1B5)))&gt;0,MATCH(ROW(TRAS1B5),ROW(TRAS1B5)),""),ROW(BD1)),COLUMN(BD1)),"")</f>
        <v/>
      </c>
      <c r="CJ64" s="320" t="str">
        <f t="array" ref="CJ64">IFERROR(INDEX(TRAS1B6,SMALL(IF(FREQUENCY(IF(TRAS1B6&lt;&gt;"",MATCH(ROW(TRAS1B6),ROW(TRAS1B6)),""),MATCH(ROW(TRAS1B6),ROW(TRAS1B6)))&gt;0,MATCH(ROW(TRAS1B6),ROW(TRAS1B6)),""),ROW(BD1)),COLUMN(BD1)),"")</f>
        <v/>
      </c>
      <c r="CK64" s="320" t="str">
        <f t="array" ref="CK64">IFERROR(INDEX(TRAS1B7,SMALL(IF(FREQUENCY(IF(TRAS1B7&lt;&gt;"",MATCH(ROW(TRAS1B7),ROW(TRAS1B7)),""),MATCH(ROW(TRAS1B7),ROW(TRAS1B7)))&gt;0,MATCH(ROW(TRAS1B7),ROW(TRAS1B7)),""),ROW(BD1)),COLUMN(BD1)),"")</f>
        <v/>
      </c>
      <c r="CL64" s="320" t="str">
        <f t="array" ref="CL64">IFERROR(INDEX(TRAS1B8,SMALL(IF(FREQUENCY(IF(TRAS1B8&lt;&gt;"",MATCH(ROW(TRAS1B8),ROW(TRAS1B8)),""),MATCH(ROW(TRAS1B8),ROW(TRAS1B8)))&gt;0,MATCH(ROW(TRAS1B8),ROW(TRAS1B8)),""),ROW(BD1)),COLUMN(BD1)),"")</f>
        <v/>
      </c>
      <c r="CM64" s="320" t="str">
        <f t="array" ref="CM64">IFERROR(INDEX(TRAS1B9,SMALL(IF(FREQUENCY(IF(TRAS1B9&lt;&gt;"",MATCH(ROW(TRAS1B9),ROW(TRAS1B9)),""),MATCH(ROW(TRAS1B9),ROW(TRAS1B9)))&gt;0,MATCH(ROW(TRAS1B9),ROW(TRAS1B9)),""),ROW(BD1)),COLUMN(BD1)),"")</f>
        <v/>
      </c>
      <c r="CN64" s="320" t="str">
        <f t="array" ref="CN64">IFERROR(INDEX(TRAS1B10,SMALL(IF(FREQUENCY(IF(TRAS1B10&lt;&gt;"",MATCH(ROW(TRAS1B10),ROW(TRAS1B10)),""),MATCH(ROW(TRAS1B10),ROW(TRAS1B10)))&gt;0,MATCH(ROW(TRAS1B10),ROW(TRAS1B10)),""),ROW(BD1)),COLUMN(BD1)),"")</f>
        <v/>
      </c>
      <c r="CO64" s="320" t="str">
        <f t="array" ref="CO64">IFERROR(INDEX(TRAS1B11,SMALL(IF(FREQUENCY(IF(TRAS1B11&lt;&gt;"",MATCH(ROW(TRAS1B11),ROW(TRAS1B11)),""),MATCH(ROW(TRAS1B11),ROW(TRAS1B11)))&gt;0,MATCH(ROW(TRAS1B11),ROW(TRAS1B11)),""),ROW(BD1)),COLUMN(BD1)),"")</f>
        <v/>
      </c>
      <c r="CP64" s="119" t="str">
        <f t="array" ref="CP64">IFERROR(INDEX(TRAS1B12,SMALL(IF(FREQUENCY(IF(TRAS1B12&lt;&gt;"",MATCH(ROW(TRAS1B12),ROW(TRAS1B12)),""),MATCH(ROW(TRAS1B12),ROW(TRAS1B12)))&gt;0,MATCH(ROW(TRAS1B12),ROW(TRAS1B12)),""),ROW(BD1)),COLUMN(BD1)),"")</f>
        <v/>
      </c>
      <c r="CR64" s="118" t="str">
        <f>IF(CE64&lt;&gt;"",CE64," ")</f>
        <v xml:space="preserve"> </v>
      </c>
      <c r="CS64" s="320" t="str">
        <f t="shared" ref="CS64:CS96" si="64">IF(CF64&lt;&gt;"",CF64," ")</f>
        <v xml:space="preserve"> </v>
      </c>
      <c r="CT64" s="320" t="str">
        <f t="shared" ref="CT64:CT96" si="65">IF(CG64&lt;&gt;"",CG64," ")</f>
        <v xml:space="preserve"> </v>
      </c>
      <c r="CU64" s="320" t="str">
        <f t="shared" ref="CU64:CU96" si="66">IF(CH64&lt;&gt;"",CH64," ")</f>
        <v xml:space="preserve"> </v>
      </c>
      <c r="CV64" s="320" t="str">
        <f t="shared" ref="CV64:CV96" si="67">IF(CI64&lt;&gt;"",CI64," ")</f>
        <v xml:space="preserve"> </v>
      </c>
      <c r="CW64" s="320" t="str">
        <f t="shared" ref="CW64:CW96" si="68">IF(CJ64&lt;&gt;"",CJ64," ")</f>
        <v xml:space="preserve"> </v>
      </c>
      <c r="CX64" s="320" t="str">
        <f t="shared" ref="CX64:CX96" si="69">IF(CK64&lt;&gt;"",CK64," ")</f>
        <v xml:space="preserve"> </v>
      </c>
      <c r="CY64" s="320" t="str">
        <f t="shared" ref="CY64:CY96" si="70">IF(CL64&lt;&gt;"",CL64," ")</f>
        <v xml:space="preserve"> </v>
      </c>
      <c r="CZ64" s="320" t="str">
        <f t="shared" ref="CZ64:CZ96" si="71">IF(CM64&lt;&gt;"",CM64," ")</f>
        <v xml:space="preserve"> </v>
      </c>
      <c r="DA64" s="320" t="str">
        <f t="shared" ref="DA64:DA96" si="72">IF(CN64&lt;&gt;"",CN64," ")</f>
        <v xml:space="preserve"> </v>
      </c>
      <c r="DB64" s="320" t="str">
        <f t="shared" ref="DB64:DB96" si="73">IF(CO64&lt;&gt;"",CO64," ")</f>
        <v xml:space="preserve"> </v>
      </c>
      <c r="DC64" s="119" t="str">
        <f t="shared" ref="DC64:DC96" si="74">IF(CP64&lt;&gt;"",CP64," ")</f>
        <v xml:space="preserve"> </v>
      </c>
    </row>
    <row r="65" spans="2:107" ht="13.5" customHeight="1" x14ac:dyDescent="0.35">
      <c r="B65" s="3" t="str">
        <v>R</v>
      </c>
      <c r="C65" s="36" t="str">
        <v>X</v>
      </c>
      <c r="D65" s="36" t="str">
        <v>R</v>
      </c>
      <c r="E65" s="36" t="str">
        <v>X</v>
      </c>
      <c r="F65" s="36" t="str">
        <v>R</v>
      </c>
      <c r="G65" s="36" t="str">
        <v>X</v>
      </c>
      <c r="H65" s="36" t="str">
        <v/>
      </c>
      <c r="I65" s="36" t="str">
        <v/>
      </c>
      <c r="J65" s="36" t="str">
        <v/>
      </c>
      <c r="K65" s="36" t="str">
        <v/>
      </c>
      <c r="L65" s="36" t="str">
        <v/>
      </c>
      <c r="M65" s="27" t="str">
        <v/>
      </c>
      <c r="O65" s="3" t="str">
        <f t="shared" ref="O65:Z96" si="75">IF(B65=0,"",B65)</f>
        <v>R</v>
      </c>
      <c r="P65" s="36" t="str">
        <f t="shared" si="51"/>
        <v>X</v>
      </c>
      <c r="Q65" s="36" t="str">
        <f t="shared" si="51"/>
        <v>R</v>
      </c>
      <c r="R65" s="36" t="str">
        <f t="shared" si="51"/>
        <v>X</v>
      </c>
      <c r="S65" s="36" t="str">
        <f t="shared" si="51"/>
        <v>R</v>
      </c>
      <c r="T65" s="36" t="str">
        <f t="shared" si="51"/>
        <v>X</v>
      </c>
      <c r="U65" s="36" t="str">
        <f t="shared" si="51"/>
        <v/>
      </c>
      <c r="V65" s="36" t="str">
        <f t="shared" si="51"/>
        <v/>
      </c>
      <c r="W65" s="36" t="str">
        <f t="shared" si="51"/>
        <v/>
      </c>
      <c r="X65" s="36" t="str">
        <f t="shared" si="51"/>
        <v/>
      </c>
      <c r="Y65" s="36" t="str">
        <f t="shared" si="51"/>
        <v/>
      </c>
      <c r="Z65" s="27" t="str">
        <f t="shared" si="51"/>
        <v/>
      </c>
      <c r="AB65" s="3" t="str">
        <f t="array" ref="AB65">IFERROR(INDEX(TRAS1B1,SMALL(IF(FREQUENCY(IF(TRAS1B1&lt;&gt;"",MATCH(ROW(TRAS1B1),ROW(TRAS1B1)),""),MATCH(ROW(TRAS1B1),ROW(TRAS1B1)))&gt;0,MATCH(ROW(TRAS1B1),ROW(TRAS1B1)),""),ROW(A2)),COLUMN(A2)),"")</f>
        <v>R</v>
      </c>
      <c r="AC65" s="36" t="str">
        <f t="array" ref="AC65">IFERROR(INDEX(TRAS1B2,SMALL(IF(FREQUENCY(IF(TRAS1B2&lt;&gt;"",MATCH(ROW(TRAS1B2),ROW(TRAS1B2)),""),MATCH(ROW(TRAS1B2),ROW(TRAS1B2)))&gt;0,MATCH(ROW(TRAS1B2),ROW(TRAS1B2)),""),ROW(A2)),COLUMN(A2)),"")</f>
        <v>X</v>
      </c>
      <c r="AD65" s="36" t="str">
        <f t="array" ref="AD65">IFERROR(INDEX(TRAS1B3,SMALL(IF(FREQUENCY(IF(TRAS1B3&lt;&gt;"",MATCH(ROW(TRAS1B3),ROW(TRAS1B3)),""),MATCH(ROW(TRAS1B3),ROW(TRAS1B3)))&gt;0,MATCH(ROW(TRAS1B3),ROW(TRAS1B3)),""),ROW(A2)),COLUMN(A2)),"")</f>
        <v>R</v>
      </c>
      <c r="AE65" s="36" t="str">
        <f t="array" ref="AE65">IFERROR(INDEX(TRAS1B4,SMALL(IF(FREQUENCY(IF(TRAS1B4&lt;&gt;"",MATCH(ROW(TRAS1B4),ROW(TRAS1B4)),""),MATCH(ROW(TRAS1B4),ROW(TRAS1B4)))&gt;0,MATCH(ROW(TRAS1B4),ROW(TRAS1B4)),""),ROW(A2)),COLUMN(A2)),"")</f>
        <v>X</v>
      </c>
      <c r="AF65" s="36" t="str">
        <f t="array" ref="AF65">IFERROR(INDEX(TRAS1B5,SMALL(IF(FREQUENCY(IF(TRAS1B5&lt;&gt;"",MATCH(ROW(TRAS1B5),ROW(TRAS1B5)),""),MATCH(ROW(TRAS1B5),ROW(TRAS1B5)))&gt;0,MATCH(ROW(TRAS1B5),ROW(TRAS1B5)),""),ROW(A2)),COLUMN(A2)),"")</f>
        <v>R</v>
      </c>
      <c r="AG65" s="36" t="str">
        <f t="array" ref="AG65">IFERROR(INDEX(TRAS1B6,SMALL(IF(FREQUENCY(IF(TRAS1B6&lt;&gt;"",MATCH(ROW(TRAS1B6),ROW(TRAS1B6)),""),MATCH(ROW(TRAS1B6),ROW(TRAS1B6)))&gt;0,MATCH(ROW(TRAS1B6),ROW(TRAS1B6)),""),ROW(A2)),COLUMN(A2)),"")</f>
        <v>X</v>
      </c>
      <c r="AH65" s="36" t="str">
        <f t="array" ref="AH65">IFERROR(INDEX(TRAS1B7,SMALL(IF(FREQUENCY(IF(TRAS1B7&lt;&gt;"",MATCH(ROW(TRAS1B7),ROW(TRAS1B7)),""),MATCH(ROW(TRAS1B7),ROW(TRAS1B7)))&gt;0,MATCH(ROW(TRAS1B7),ROW(TRAS1B7)),""),ROW(A2)),COLUMN(A2)),"")</f>
        <v/>
      </c>
      <c r="AI65" s="36" t="str">
        <f t="array" ref="AI65">IFERROR(INDEX(TRAS1B8,SMALL(IF(FREQUENCY(IF(TRAS1B8&lt;&gt;"",MATCH(ROW(TRAS1B8),ROW(TRAS1B8)),""),MATCH(ROW(TRAS1B8),ROW(TRAS1B8)))&gt;0,MATCH(ROW(TRAS1B8),ROW(TRAS1B8)),""),ROW(A2)),COLUMN(A2)),"")</f>
        <v/>
      </c>
      <c r="AJ65" s="36" t="str">
        <f t="array" ref="AJ65">IFERROR(INDEX(TRAS1B9,SMALL(IF(FREQUENCY(IF(TRAS1B9&lt;&gt;"",MATCH(ROW(TRAS1B9),ROW(TRAS1B9)),""),MATCH(ROW(TRAS1B9),ROW(TRAS1B9)))&gt;0,MATCH(ROW(TRAS1B9),ROW(TRAS1B9)),""),ROW(A2)),COLUMN(A2)),"")</f>
        <v/>
      </c>
      <c r="AK65" s="36" t="str">
        <f t="array" ref="AK65">IFERROR(INDEX(TRAS1B10,SMALL(IF(FREQUENCY(IF(TRAS1B10&lt;&gt;"",MATCH(ROW(TRAS1B10),ROW(TRAS1B10)),""),MATCH(ROW(TRAS1B10),ROW(TRAS1B10)))&gt;0,MATCH(ROW(TRAS1B10),ROW(TRAS1B10)),""),ROW(A2)),COLUMN(A2)),"")</f>
        <v/>
      </c>
      <c r="AL65" s="36" t="str">
        <f t="array" ref="AL65">IFERROR(INDEX(TRAS1B11,SMALL(IF(FREQUENCY(IF(TRAS1B11&lt;&gt;"",MATCH(ROW(TRAS1B11),ROW(TRAS1B11)),""),MATCH(ROW(TRAS1B11),ROW(TRAS1B11)))&gt;0,MATCH(ROW(TRAS1B11),ROW(TRAS1B11)),""),ROW(A2)),COLUMN(A2)),"")</f>
        <v/>
      </c>
      <c r="AM65" s="27" t="str">
        <f t="array" ref="AM65">IFERROR(INDEX(TRAS1B12,SMALL(IF(FREQUENCY(IF(TRAS1B12&lt;&gt;"",MATCH(ROW(TRAS1B12),ROW(TRAS1B12)),""),MATCH(ROW(TRAS1B12),ROW(TRAS1B12)))&gt;0,MATCH(ROW(TRAS1B12),ROW(TRAS1B12)),""),ROW(A2)),COLUMN(A2)),"")</f>
        <v/>
      </c>
      <c r="AO65" s="3" t="str">
        <f t="shared" ref="AO65:AO97" si="76">IF(AB65&lt;&gt;"",AB65," ")</f>
        <v>R</v>
      </c>
      <c r="AP65" s="36" t="str">
        <f t="shared" ref="AP65:AP97" si="77">IF(AC65&lt;&gt;"",AC65," ")</f>
        <v>X</v>
      </c>
      <c r="AQ65" s="36" t="str">
        <f t="shared" ref="AQ65:AQ97" si="78">IF(AD65&lt;&gt;"",AD65," ")</f>
        <v>R</v>
      </c>
      <c r="AR65" s="36" t="str">
        <f t="shared" ref="AR65:AR97" si="79">IF(AE65&lt;&gt;"",AE65," ")</f>
        <v>X</v>
      </c>
      <c r="AS65" s="36" t="str">
        <f t="shared" ref="AS65:AS97" si="80">IF(AF65&lt;&gt;"",AF65," ")</f>
        <v>R</v>
      </c>
      <c r="AT65" s="36" t="str">
        <f t="shared" ref="AT65:AT97" si="81">IF(AG65&lt;&gt;"",AG65," ")</f>
        <v>X</v>
      </c>
      <c r="AU65" s="36" t="str">
        <f t="shared" ref="AU65:AU97" si="82">IF(AH65&lt;&gt;"",AH65," ")</f>
        <v xml:space="preserve"> </v>
      </c>
      <c r="AV65" s="36" t="str">
        <f t="shared" ref="AV65:AV97" si="83">IF(AI65&lt;&gt;"",AI65," ")</f>
        <v xml:space="preserve"> </v>
      </c>
      <c r="AW65" s="36" t="str">
        <f t="shared" ref="AW65:AW97" si="84">IF(AJ65&lt;&gt;"",AJ65," ")</f>
        <v xml:space="preserve"> </v>
      </c>
      <c r="AX65" s="36" t="str">
        <f t="shared" ref="AX65:AX97" si="85">IF(AK65&lt;&gt;"",AK65," ")</f>
        <v xml:space="preserve"> </v>
      </c>
      <c r="AY65" s="36" t="str">
        <f t="shared" ref="AY65:AY97" si="86">IF(AL65&lt;&gt;"",AL65," ")</f>
        <v xml:space="preserve"> </v>
      </c>
      <c r="AZ65" s="27" t="str">
        <f t="shared" ref="AZ65:AZ97" si="87">IF(AM65&lt;&gt;"",AM65," ")</f>
        <v xml:space="preserve"> </v>
      </c>
      <c r="BE65" s="3" t="str">
        <v>R</v>
      </c>
      <c r="BF65" s="36" t="str">
        <v>X</v>
      </c>
      <c r="BG65" s="36" t="str">
        <v>R</v>
      </c>
      <c r="BH65" s="36" t="str">
        <v>X</v>
      </c>
      <c r="BI65" s="36" t="str">
        <v>R</v>
      </c>
      <c r="BJ65" s="36" t="str">
        <v>X</v>
      </c>
      <c r="BK65" s="36" t="str">
        <v/>
      </c>
      <c r="BL65" s="36" t="str">
        <v/>
      </c>
      <c r="BM65" s="36" t="str">
        <v/>
      </c>
      <c r="BN65" s="36" t="str">
        <v/>
      </c>
      <c r="BO65" s="36" t="str">
        <v/>
      </c>
      <c r="BP65" s="27" t="str">
        <v/>
      </c>
      <c r="BR65" s="3" t="str">
        <f t="shared" ref="BR65:BR96" si="88">IF(BE65=0,"",BE65)</f>
        <v>R</v>
      </c>
      <c r="BS65" s="36" t="str">
        <f t="shared" si="53"/>
        <v>X</v>
      </c>
      <c r="BT65" s="36" t="str">
        <f t="shared" si="54"/>
        <v>R</v>
      </c>
      <c r="BU65" s="36" t="str">
        <f t="shared" si="55"/>
        <v>X</v>
      </c>
      <c r="BV65" s="36" t="str">
        <f t="shared" si="56"/>
        <v>R</v>
      </c>
      <c r="BW65" s="36" t="str">
        <f t="shared" si="57"/>
        <v>X</v>
      </c>
      <c r="BX65" s="36" t="str">
        <f t="shared" si="58"/>
        <v/>
      </c>
      <c r="BY65" s="36" t="str">
        <f t="shared" si="59"/>
        <v/>
      </c>
      <c r="BZ65" s="36" t="str">
        <f t="shared" si="60"/>
        <v/>
      </c>
      <c r="CA65" s="36" t="str">
        <f t="shared" si="61"/>
        <v/>
      </c>
      <c r="CB65" s="36" t="str">
        <f t="shared" si="62"/>
        <v/>
      </c>
      <c r="CC65" s="27" t="str">
        <f t="shared" si="63"/>
        <v/>
      </c>
      <c r="CE65" s="3" t="str">
        <f t="array" ref="CE65">IFERROR(INDEX(TRAS1B1,SMALL(IF(FREQUENCY(IF(TRAS1B1&lt;&gt;"",MATCH(ROW(TRAS1B1),ROW(TRAS1B1)),""),MATCH(ROW(TRAS1B1),ROW(TRAS1B1)))&gt;0,MATCH(ROW(TRAS1B1),ROW(TRAS1B1)),""),ROW(BD2)),COLUMN(BD2)),"")</f>
        <v/>
      </c>
      <c r="CF65" s="36" t="str">
        <f t="array" ref="CF65">IFERROR(INDEX(TRAS1B2,SMALL(IF(FREQUENCY(IF(TRAS1B2&lt;&gt;"",MATCH(ROW(TRAS1B2),ROW(TRAS1B2)),""),MATCH(ROW(TRAS1B2),ROW(TRAS1B2)))&gt;0,MATCH(ROW(TRAS1B2),ROW(TRAS1B2)),""),ROW(BD2)),COLUMN(BD2)),"")</f>
        <v/>
      </c>
      <c r="CG65" s="36" t="str">
        <f t="array" ref="CG65">IFERROR(INDEX(TRAS1B3,SMALL(IF(FREQUENCY(IF(TRAS1B3&lt;&gt;"",MATCH(ROW(TRAS1B3),ROW(TRAS1B3)),""),MATCH(ROW(TRAS1B3),ROW(TRAS1B3)))&gt;0,MATCH(ROW(TRAS1B3),ROW(TRAS1B3)),""),ROW(BD2)),COLUMN(BD2)),"")</f>
        <v/>
      </c>
      <c r="CH65" s="36" t="str">
        <f t="array" ref="CH65">IFERROR(INDEX(TRAS1B4,SMALL(IF(FREQUENCY(IF(TRAS1B4&lt;&gt;"",MATCH(ROW(TRAS1B4),ROW(TRAS1B4)),""),MATCH(ROW(TRAS1B4),ROW(TRAS1B4)))&gt;0,MATCH(ROW(TRAS1B4),ROW(TRAS1B4)),""),ROW(BD2)),COLUMN(BD2)),"")</f>
        <v/>
      </c>
      <c r="CI65" s="36" t="str">
        <f t="array" ref="CI65">IFERROR(INDEX(TRAS1B5,SMALL(IF(FREQUENCY(IF(TRAS1B5&lt;&gt;"",MATCH(ROW(TRAS1B5),ROW(TRAS1B5)),""),MATCH(ROW(TRAS1B5),ROW(TRAS1B5)))&gt;0,MATCH(ROW(TRAS1B5),ROW(TRAS1B5)),""),ROW(BD2)),COLUMN(BD2)),"")</f>
        <v/>
      </c>
      <c r="CJ65" s="36" t="str">
        <f t="array" ref="CJ65">IFERROR(INDEX(TRAS1B6,SMALL(IF(FREQUENCY(IF(TRAS1B6&lt;&gt;"",MATCH(ROW(TRAS1B6),ROW(TRAS1B6)),""),MATCH(ROW(TRAS1B6),ROW(TRAS1B6)))&gt;0,MATCH(ROW(TRAS1B6),ROW(TRAS1B6)),""),ROW(BD2)),COLUMN(BD2)),"")</f>
        <v/>
      </c>
      <c r="CK65" s="36" t="str">
        <f t="array" ref="CK65">IFERROR(INDEX(TRAS1B7,SMALL(IF(FREQUENCY(IF(TRAS1B7&lt;&gt;"",MATCH(ROW(TRAS1B7),ROW(TRAS1B7)),""),MATCH(ROW(TRAS1B7),ROW(TRAS1B7)))&gt;0,MATCH(ROW(TRAS1B7),ROW(TRAS1B7)),""),ROW(BD2)),COLUMN(BD2)),"")</f>
        <v/>
      </c>
      <c r="CL65" s="36" t="str">
        <f t="array" ref="CL65">IFERROR(INDEX(TRAS1B8,SMALL(IF(FREQUENCY(IF(TRAS1B8&lt;&gt;"",MATCH(ROW(TRAS1B8),ROW(TRAS1B8)),""),MATCH(ROW(TRAS1B8),ROW(TRAS1B8)))&gt;0,MATCH(ROW(TRAS1B8),ROW(TRAS1B8)),""),ROW(BD2)),COLUMN(BD2)),"")</f>
        <v/>
      </c>
      <c r="CM65" s="36" t="str">
        <f t="array" ref="CM65">IFERROR(INDEX(TRAS1B9,SMALL(IF(FREQUENCY(IF(TRAS1B9&lt;&gt;"",MATCH(ROW(TRAS1B9),ROW(TRAS1B9)),""),MATCH(ROW(TRAS1B9),ROW(TRAS1B9)))&gt;0,MATCH(ROW(TRAS1B9),ROW(TRAS1B9)),""),ROW(BD2)),COLUMN(BD2)),"")</f>
        <v/>
      </c>
      <c r="CN65" s="36" t="str">
        <f t="array" ref="CN65">IFERROR(INDEX(TRAS1B10,SMALL(IF(FREQUENCY(IF(TRAS1B10&lt;&gt;"",MATCH(ROW(TRAS1B10),ROW(TRAS1B10)),""),MATCH(ROW(TRAS1B10),ROW(TRAS1B10)))&gt;0,MATCH(ROW(TRAS1B10),ROW(TRAS1B10)),""),ROW(BD2)),COLUMN(BD2)),"")</f>
        <v/>
      </c>
      <c r="CO65" s="36" t="str">
        <f t="array" ref="CO65">IFERROR(INDEX(TRAS1B11,SMALL(IF(FREQUENCY(IF(TRAS1B11&lt;&gt;"",MATCH(ROW(TRAS1B11),ROW(TRAS1B11)),""),MATCH(ROW(TRAS1B11),ROW(TRAS1B11)))&gt;0,MATCH(ROW(TRAS1B11),ROW(TRAS1B11)),""),ROW(BD2)),COLUMN(BD2)),"")</f>
        <v/>
      </c>
      <c r="CP65" s="27" t="str">
        <f t="array" ref="CP65">IFERROR(INDEX(TRAS1B12,SMALL(IF(FREQUENCY(IF(TRAS1B12&lt;&gt;"",MATCH(ROW(TRAS1B12),ROW(TRAS1B12)),""),MATCH(ROW(TRAS1B12),ROW(TRAS1B12)))&gt;0,MATCH(ROW(TRAS1B12),ROW(TRAS1B12)),""),ROW(BD2)),COLUMN(BD2)),"")</f>
        <v/>
      </c>
      <c r="CR65" s="3" t="str">
        <f t="shared" ref="CR65:CR96" si="89">IF(CE65&lt;&gt;"",CE65," ")</f>
        <v xml:space="preserve"> </v>
      </c>
      <c r="CS65" s="36" t="str">
        <f t="shared" si="64"/>
        <v xml:space="preserve"> </v>
      </c>
      <c r="CT65" s="36" t="str">
        <f t="shared" si="65"/>
        <v xml:space="preserve"> </v>
      </c>
      <c r="CU65" s="36" t="str">
        <f t="shared" si="66"/>
        <v xml:space="preserve"> </v>
      </c>
      <c r="CV65" s="36" t="str">
        <f t="shared" si="67"/>
        <v xml:space="preserve"> </v>
      </c>
      <c r="CW65" s="36" t="str">
        <f t="shared" si="68"/>
        <v xml:space="preserve"> </v>
      </c>
      <c r="CX65" s="36" t="str">
        <f t="shared" si="69"/>
        <v xml:space="preserve"> </v>
      </c>
      <c r="CY65" s="36" t="str">
        <f t="shared" si="70"/>
        <v xml:space="preserve"> </v>
      </c>
      <c r="CZ65" s="36" t="str">
        <f t="shared" si="71"/>
        <v xml:space="preserve"> </v>
      </c>
      <c r="DA65" s="36" t="str">
        <f t="shared" si="72"/>
        <v xml:space="preserve"> </v>
      </c>
      <c r="DB65" s="36" t="str">
        <f t="shared" si="73"/>
        <v xml:space="preserve"> </v>
      </c>
      <c r="DC65" s="27" t="str">
        <f t="shared" si="74"/>
        <v xml:space="preserve"> </v>
      </c>
    </row>
    <row r="66" spans="2:107" ht="13.5" customHeight="1" x14ac:dyDescent="0.35">
      <c r="B66" s="3" t="str">
        <v>X</v>
      </c>
      <c r="C66" s="36" t="str">
        <v>X</v>
      </c>
      <c r="D66" s="36" t="str">
        <v>R</v>
      </c>
      <c r="E66" s="36" t="str">
        <v>X</v>
      </c>
      <c r="F66" s="36" t="str">
        <v>X</v>
      </c>
      <c r="G66" s="36" t="str">
        <v>X</v>
      </c>
      <c r="H66" s="36" t="str">
        <v/>
      </c>
      <c r="I66" s="36" t="str">
        <v/>
      </c>
      <c r="J66" s="36" t="str">
        <v/>
      </c>
      <c r="K66" s="36" t="str">
        <v/>
      </c>
      <c r="L66" s="36" t="str">
        <v/>
      </c>
      <c r="M66" s="27" t="str">
        <v/>
      </c>
      <c r="O66" s="3" t="str">
        <f t="shared" si="75"/>
        <v>X</v>
      </c>
      <c r="P66" s="36" t="str">
        <f t="shared" si="51"/>
        <v>X</v>
      </c>
      <c r="Q66" s="36" t="str">
        <f t="shared" si="51"/>
        <v>R</v>
      </c>
      <c r="R66" s="36" t="str">
        <f t="shared" si="51"/>
        <v>X</v>
      </c>
      <c r="S66" s="36" t="str">
        <f t="shared" si="51"/>
        <v>X</v>
      </c>
      <c r="T66" s="36" t="str">
        <f t="shared" si="51"/>
        <v>X</v>
      </c>
      <c r="U66" s="36" t="str">
        <f t="shared" si="51"/>
        <v/>
      </c>
      <c r="V66" s="36" t="str">
        <f t="shared" si="51"/>
        <v/>
      </c>
      <c r="W66" s="36" t="str">
        <f t="shared" si="51"/>
        <v/>
      </c>
      <c r="X66" s="36" t="str">
        <f t="shared" si="51"/>
        <v/>
      </c>
      <c r="Y66" s="36" t="str">
        <f t="shared" si="51"/>
        <v/>
      </c>
      <c r="Z66" s="27" t="str">
        <f t="shared" si="51"/>
        <v/>
      </c>
      <c r="AB66" s="3" t="str">
        <f t="array" ref="AB66">IFERROR(INDEX(TRAS1B1,SMALL(IF(FREQUENCY(IF(TRAS1B1&lt;&gt;"",MATCH(ROW(TRAS1B1),ROW(TRAS1B1)),""),MATCH(ROW(TRAS1B1),ROW(TRAS1B1)))&gt;0,MATCH(ROW(TRAS1B1),ROW(TRAS1B1)),""),ROW(A3)),COLUMN(A3)),"")</f>
        <v>X</v>
      </c>
      <c r="AC66" s="36" t="str">
        <f t="array" ref="AC66">IFERROR(INDEX(TRAS1B2,SMALL(IF(FREQUENCY(IF(TRAS1B2&lt;&gt;"",MATCH(ROW(TRAS1B2),ROW(TRAS1B2)),""),MATCH(ROW(TRAS1B2),ROW(TRAS1B2)))&gt;0,MATCH(ROW(TRAS1B2),ROW(TRAS1B2)),""),ROW(A3)),COLUMN(A3)),"")</f>
        <v>X</v>
      </c>
      <c r="AD66" s="36" t="str">
        <f t="array" ref="AD66">IFERROR(INDEX(TRAS1B3,SMALL(IF(FREQUENCY(IF(TRAS1B3&lt;&gt;"",MATCH(ROW(TRAS1B3),ROW(TRAS1B3)),""),MATCH(ROW(TRAS1B3),ROW(TRAS1B3)))&gt;0,MATCH(ROW(TRAS1B3),ROW(TRAS1B3)),""),ROW(A3)),COLUMN(A3)),"")</f>
        <v>R</v>
      </c>
      <c r="AE66" s="36" t="str">
        <f t="array" ref="AE66">IFERROR(INDEX(TRAS1B4,SMALL(IF(FREQUENCY(IF(TRAS1B4&lt;&gt;"",MATCH(ROW(TRAS1B4),ROW(TRAS1B4)),""),MATCH(ROW(TRAS1B4),ROW(TRAS1B4)))&gt;0,MATCH(ROW(TRAS1B4),ROW(TRAS1B4)),""),ROW(A3)),COLUMN(A3)),"")</f>
        <v>X</v>
      </c>
      <c r="AF66" s="36" t="str">
        <f t="array" ref="AF66">IFERROR(INDEX(TRAS1B5,SMALL(IF(FREQUENCY(IF(TRAS1B5&lt;&gt;"",MATCH(ROW(TRAS1B5),ROW(TRAS1B5)),""),MATCH(ROW(TRAS1B5),ROW(TRAS1B5)))&gt;0,MATCH(ROW(TRAS1B5),ROW(TRAS1B5)),""),ROW(A3)),COLUMN(A3)),"")</f>
        <v>X</v>
      </c>
      <c r="AG66" s="36" t="str">
        <f t="array" ref="AG66">IFERROR(INDEX(TRAS1B6,SMALL(IF(FREQUENCY(IF(TRAS1B6&lt;&gt;"",MATCH(ROW(TRAS1B6),ROW(TRAS1B6)),""),MATCH(ROW(TRAS1B6),ROW(TRAS1B6)))&gt;0,MATCH(ROW(TRAS1B6),ROW(TRAS1B6)),""),ROW(A3)),COLUMN(A3)),"")</f>
        <v>X</v>
      </c>
      <c r="AH66" s="36" t="str">
        <f t="array" ref="AH66">IFERROR(INDEX(TRAS1B7,SMALL(IF(FREQUENCY(IF(TRAS1B7&lt;&gt;"",MATCH(ROW(TRAS1B7),ROW(TRAS1B7)),""),MATCH(ROW(TRAS1B7),ROW(TRAS1B7)))&gt;0,MATCH(ROW(TRAS1B7),ROW(TRAS1B7)),""),ROW(A3)),COLUMN(A3)),"")</f>
        <v/>
      </c>
      <c r="AI66" s="36" t="str">
        <f t="array" ref="AI66">IFERROR(INDEX(TRAS1B8,SMALL(IF(FREQUENCY(IF(TRAS1B8&lt;&gt;"",MATCH(ROW(TRAS1B8),ROW(TRAS1B8)),""),MATCH(ROW(TRAS1B8),ROW(TRAS1B8)))&gt;0,MATCH(ROW(TRAS1B8),ROW(TRAS1B8)),""),ROW(A3)),COLUMN(A3)),"")</f>
        <v/>
      </c>
      <c r="AJ66" s="36" t="str">
        <f t="array" ref="AJ66">IFERROR(INDEX(TRAS1B9,SMALL(IF(FREQUENCY(IF(TRAS1B9&lt;&gt;"",MATCH(ROW(TRAS1B9),ROW(TRAS1B9)),""),MATCH(ROW(TRAS1B9),ROW(TRAS1B9)))&gt;0,MATCH(ROW(TRAS1B9),ROW(TRAS1B9)),""),ROW(A3)),COLUMN(A3)),"")</f>
        <v/>
      </c>
      <c r="AK66" s="36" t="str">
        <f t="array" ref="AK66">IFERROR(INDEX(TRAS1B10,SMALL(IF(FREQUENCY(IF(TRAS1B10&lt;&gt;"",MATCH(ROW(TRAS1B10),ROW(TRAS1B10)),""),MATCH(ROW(TRAS1B10),ROW(TRAS1B10)))&gt;0,MATCH(ROW(TRAS1B10),ROW(TRAS1B10)),""),ROW(A3)),COLUMN(A3)),"")</f>
        <v/>
      </c>
      <c r="AL66" s="36" t="str">
        <f t="array" ref="AL66">IFERROR(INDEX(TRAS1B11,SMALL(IF(FREQUENCY(IF(TRAS1B11&lt;&gt;"",MATCH(ROW(TRAS1B11),ROW(TRAS1B11)),""),MATCH(ROW(TRAS1B11),ROW(TRAS1B11)))&gt;0,MATCH(ROW(TRAS1B11),ROW(TRAS1B11)),""),ROW(A3)),COLUMN(A3)),"")</f>
        <v/>
      </c>
      <c r="AM66" s="27" t="str">
        <f t="array" ref="AM66">IFERROR(INDEX(TRAS1B12,SMALL(IF(FREQUENCY(IF(TRAS1B12&lt;&gt;"",MATCH(ROW(TRAS1B12),ROW(TRAS1B12)),""),MATCH(ROW(TRAS1B12),ROW(TRAS1B12)))&gt;0,MATCH(ROW(TRAS1B12),ROW(TRAS1B12)),""),ROW(A3)),COLUMN(A3)),"")</f>
        <v/>
      </c>
      <c r="AO66" s="3" t="str">
        <f t="shared" si="76"/>
        <v>X</v>
      </c>
      <c r="AP66" s="36" t="str">
        <f t="shared" si="77"/>
        <v>X</v>
      </c>
      <c r="AQ66" s="36" t="str">
        <f t="shared" si="78"/>
        <v>R</v>
      </c>
      <c r="AR66" s="36" t="str">
        <f t="shared" si="79"/>
        <v>X</v>
      </c>
      <c r="AS66" s="36" t="str">
        <f t="shared" si="80"/>
        <v>X</v>
      </c>
      <c r="AT66" s="36" t="str">
        <f t="shared" si="81"/>
        <v>X</v>
      </c>
      <c r="AU66" s="36" t="str">
        <f t="shared" si="82"/>
        <v xml:space="preserve"> </v>
      </c>
      <c r="AV66" s="36" t="str">
        <f t="shared" si="83"/>
        <v xml:space="preserve"> </v>
      </c>
      <c r="AW66" s="36" t="str">
        <f t="shared" si="84"/>
        <v xml:space="preserve"> </v>
      </c>
      <c r="AX66" s="36" t="str">
        <f t="shared" si="85"/>
        <v xml:space="preserve"> </v>
      </c>
      <c r="AY66" s="36" t="str">
        <f t="shared" si="86"/>
        <v xml:space="preserve"> </v>
      </c>
      <c r="AZ66" s="27" t="str">
        <f t="shared" si="87"/>
        <v xml:space="preserve"> </v>
      </c>
      <c r="BE66" s="3" t="str">
        <v>X</v>
      </c>
      <c r="BF66" s="36" t="str">
        <v>X</v>
      </c>
      <c r="BG66" s="36" t="str">
        <v>R</v>
      </c>
      <c r="BH66" s="36" t="str">
        <v>X</v>
      </c>
      <c r="BI66" s="36" t="str">
        <v>X</v>
      </c>
      <c r="BJ66" s="36" t="str">
        <v>X</v>
      </c>
      <c r="BK66" s="36" t="str">
        <v/>
      </c>
      <c r="BL66" s="36" t="str">
        <v/>
      </c>
      <c r="BM66" s="36" t="str">
        <v/>
      </c>
      <c r="BN66" s="36" t="str">
        <v/>
      </c>
      <c r="BO66" s="36" t="str">
        <v/>
      </c>
      <c r="BP66" s="27" t="str">
        <v/>
      </c>
      <c r="BR66" s="3" t="str">
        <f t="shared" si="88"/>
        <v>X</v>
      </c>
      <c r="BS66" s="36" t="str">
        <f t="shared" si="53"/>
        <v>X</v>
      </c>
      <c r="BT66" s="36" t="str">
        <f t="shared" si="54"/>
        <v>R</v>
      </c>
      <c r="BU66" s="36" t="str">
        <f t="shared" si="55"/>
        <v>X</v>
      </c>
      <c r="BV66" s="36" t="str">
        <f t="shared" si="56"/>
        <v>X</v>
      </c>
      <c r="BW66" s="36" t="str">
        <f t="shared" si="57"/>
        <v>X</v>
      </c>
      <c r="BX66" s="36" t="str">
        <f t="shared" si="58"/>
        <v/>
      </c>
      <c r="BY66" s="36" t="str">
        <f t="shared" si="59"/>
        <v/>
      </c>
      <c r="BZ66" s="36" t="str">
        <f t="shared" si="60"/>
        <v/>
      </c>
      <c r="CA66" s="36" t="str">
        <f t="shared" si="61"/>
        <v/>
      </c>
      <c r="CB66" s="36" t="str">
        <f t="shared" si="62"/>
        <v/>
      </c>
      <c r="CC66" s="27" t="str">
        <f t="shared" si="63"/>
        <v/>
      </c>
      <c r="CE66" s="3" t="str">
        <f t="array" ref="CE66">IFERROR(INDEX(TRAS1B1,SMALL(IF(FREQUENCY(IF(TRAS1B1&lt;&gt;"",MATCH(ROW(TRAS1B1),ROW(TRAS1B1)),""),MATCH(ROW(TRAS1B1),ROW(TRAS1B1)))&gt;0,MATCH(ROW(TRAS1B1),ROW(TRAS1B1)),""),ROW(BD3)),COLUMN(BD3)),"")</f>
        <v/>
      </c>
      <c r="CF66" s="36" t="str">
        <f t="array" ref="CF66">IFERROR(INDEX(TRAS1B2,SMALL(IF(FREQUENCY(IF(TRAS1B2&lt;&gt;"",MATCH(ROW(TRAS1B2),ROW(TRAS1B2)),""),MATCH(ROW(TRAS1B2),ROW(TRAS1B2)))&gt;0,MATCH(ROW(TRAS1B2),ROW(TRAS1B2)),""),ROW(BD3)),COLUMN(BD3)),"")</f>
        <v/>
      </c>
      <c r="CG66" s="36" t="str">
        <f t="array" ref="CG66">IFERROR(INDEX(TRAS1B3,SMALL(IF(FREQUENCY(IF(TRAS1B3&lt;&gt;"",MATCH(ROW(TRAS1B3),ROW(TRAS1B3)),""),MATCH(ROW(TRAS1B3),ROW(TRAS1B3)))&gt;0,MATCH(ROW(TRAS1B3),ROW(TRAS1B3)),""),ROW(BD3)),COLUMN(BD3)),"")</f>
        <v/>
      </c>
      <c r="CH66" s="36" t="str">
        <f t="array" ref="CH66">IFERROR(INDEX(TRAS1B4,SMALL(IF(FREQUENCY(IF(TRAS1B4&lt;&gt;"",MATCH(ROW(TRAS1B4),ROW(TRAS1B4)),""),MATCH(ROW(TRAS1B4),ROW(TRAS1B4)))&gt;0,MATCH(ROW(TRAS1B4),ROW(TRAS1B4)),""),ROW(BD3)),COLUMN(BD3)),"")</f>
        <v/>
      </c>
      <c r="CI66" s="36" t="str">
        <f t="array" ref="CI66">IFERROR(INDEX(TRAS1B5,SMALL(IF(FREQUENCY(IF(TRAS1B5&lt;&gt;"",MATCH(ROW(TRAS1B5),ROW(TRAS1B5)),""),MATCH(ROW(TRAS1B5),ROW(TRAS1B5)))&gt;0,MATCH(ROW(TRAS1B5),ROW(TRAS1B5)),""),ROW(BD3)),COLUMN(BD3)),"")</f>
        <v/>
      </c>
      <c r="CJ66" s="36" t="str">
        <f t="array" ref="CJ66">IFERROR(INDEX(TRAS1B6,SMALL(IF(FREQUENCY(IF(TRAS1B6&lt;&gt;"",MATCH(ROW(TRAS1B6),ROW(TRAS1B6)),""),MATCH(ROW(TRAS1B6),ROW(TRAS1B6)))&gt;0,MATCH(ROW(TRAS1B6),ROW(TRAS1B6)),""),ROW(BD3)),COLUMN(BD3)),"")</f>
        <v/>
      </c>
      <c r="CK66" s="36" t="str">
        <f t="array" ref="CK66">IFERROR(INDEX(TRAS1B7,SMALL(IF(FREQUENCY(IF(TRAS1B7&lt;&gt;"",MATCH(ROW(TRAS1B7),ROW(TRAS1B7)),""),MATCH(ROW(TRAS1B7),ROW(TRAS1B7)))&gt;0,MATCH(ROW(TRAS1B7),ROW(TRAS1B7)),""),ROW(BD3)),COLUMN(BD3)),"")</f>
        <v/>
      </c>
      <c r="CL66" s="36" t="str">
        <f t="array" ref="CL66">IFERROR(INDEX(TRAS1B8,SMALL(IF(FREQUENCY(IF(TRAS1B8&lt;&gt;"",MATCH(ROW(TRAS1B8),ROW(TRAS1B8)),""),MATCH(ROW(TRAS1B8),ROW(TRAS1B8)))&gt;0,MATCH(ROW(TRAS1B8),ROW(TRAS1B8)),""),ROW(BD3)),COLUMN(BD3)),"")</f>
        <v/>
      </c>
      <c r="CM66" s="36" t="str">
        <f t="array" ref="CM66">IFERROR(INDEX(TRAS1B9,SMALL(IF(FREQUENCY(IF(TRAS1B9&lt;&gt;"",MATCH(ROW(TRAS1B9),ROW(TRAS1B9)),""),MATCH(ROW(TRAS1B9),ROW(TRAS1B9)))&gt;0,MATCH(ROW(TRAS1B9),ROW(TRAS1B9)),""),ROW(BD3)),COLUMN(BD3)),"")</f>
        <v/>
      </c>
      <c r="CN66" s="36" t="str">
        <f t="array" ref="CN66">IFERROR(INDEX(TRAS1B10,SMALL(IF(FREQUENCY(IF(TRAS1B10&lt;&gt;"",MATCH(ROW(TRAS1B10),ROW(TRAS1B10)),""),MATCH(ROW(TRAS1B10),ROW(TRAS1B10)))&gt;0,MATCH(ROW(TRAS1B10),ROW(TRAS1B10)),""),ROW(BD3)),COLUMN(BD3)),"")</f>
        <v/>
      </c>
      <c r="CO66" s="36" t="str">
        <f t="array" ref="CO66">IFERROR(INDEX(TRAS1B11,SMALL(IF(FREQUENCY(IF(TRAS1B11&lt;&gt;"",MATCH(ROW(TRAS1B11),ROW(TRAS1B11)),""),MATCH(ROW(TRAS1B11),ROW(TRAS1B11)))&gt;0,MATCH(ROW(TRAS1B11),ROW(TRAS1B11)),""),ROW(BD3)),COLUMN(BD3)),"")</f>
        <v/>
      </c>
      <c r="CP66" s="27" t="str">
        <f t="array" ref="CP66">IFERROR(INDEX(TRAS1B12,SMALL(IF(FREQUENCY(IF(TRAS1B12&lt;&gt;"",MATCH(ROW(TRAS1B12),ROW(TRAS1B12)),""),MATCH(ROW(TRAS1B12),ROW(TRAS1B12)))&gt;0,MATCH(ROW(TRAS1B12),ROW(TRAS1B12)),""),ROW(BD3)),COLUMN(BD3)),"")</f>
        <v/>
      </c>
      <c r="CR66" s="3" t="str">
        <f t="shared" si="89"/>
        <v xml:space="preserve"> </v>
      </c>
      <c r="CS66" s="36" t="str">
        <f t="shared" si="64"/>
        <v xml:space="preserve"> </v>
      </c>
      <c r="CT66" s="36" t="str">
        <f t="shared" si="65"/>
        <v xml:space="preserve"> </v>
      </c>
      <c r="CU66" s="36" t="str">
        <f t="shared" si="66"/>
        <v xml:space="preserve"> </v>
      </c>
      <c r="CV66" s="36" t="str">
        <f t="shared" si="67"/>
        <v xml:space="preserve"> </v>
      </c>
      <c r="CW66" s="36" t="str">
        <f t="shared" si="68"/>
        <v xml:space="preserve"> </v>
      </c>
      <c r="CX66" s="36" t="str">
        <f t="shared" si="69"/>
        <v xml:space="preserve"> </v>
      </c>
      <c r="CY66" s="36" t="str">
        <f t="shared" si="70"/>
        <v xml:space="preserve"> </v>
      </c>
      <c r="CZ66" s="36" t="str">
        <f t="shared" si="71"/>
        <v xml:space="preserve"> </v>
      </c>
      <c r="DA66" s="36" t="str">
        <f t="shared" si="72"/>
        <v xml:space="preserve"> </v>
      </c>
      <c r="DB66" s="36" t="str">
        <f t="shared" si="73"/>
        <v xml:space="preserve"> </v>
      </c>
      <c r="DC66" s="27" t="str">
        <f t="shared" si="74"/>
        <v xml:space="preserve"> </v>
      </c>
    </row>
    <row r="67" spans="2:107" ht="13.5" customHeight="1" x14ac:dyDescent="0.35">
      <c r="B67" s="3" t="str">
        <v>X</v>
      </c>
      <c r="C67" s="36" t="str">
        <v>R</v>
      </c>
      <c r="D67" s="36" t="str">
        <v>X</v>
      </c>
      <c r="E67" s="36" t="str">
        <v>X</v>
      </c>
      <c r="F67" s="36" t="str">
        <v>X</v>
      </c>
      <c r="G67" s="36" t="str">
        <v>R</v>
      </c>
      <c r="H67" s="36" t="str">
        <v/>
      </c>
      <c r="I67" s="36" t="str">
        <v/>
      </c>
      <c r="J67" s="36" t="str">
        <v/>
      </c>
      <c r="K67" s="36" t="str">
        <v/>
      </c>
      <c r="L67" s="36" t="str">
        <v/>
      </c>
      <c r="M67" s="27" t="str">
        <v/>
      </c>
      <c r="O67" s="3" t="str">
        <f t="shared" si="75"/>
        <v>X</v>
      </c>
      <c r="P67" s="36" t="str">
        <f t="shared" si="51"/>
        <v>R</v>
      </c>
      <c r="Q67" s="36" t="str">
        <f t="shared" si="51"/>
        <v>X</v>
      </c>
      <c r="R67" s="36" t="str">
        <f t="shared" si="51"/>
        <v>X</v>
      </c>
      <c r="S67" s="36" t="str">
        <f t="shared" si="51"/>
        <v>X</v>
      </c>
      <c r="T67" s="36" t="str">
        <f t="shared" si="51"/>
        <v>R</v>
      </c>
      <c r="U67" s="36" t="str">
        <f t="shared" si="51"/>
        <v/>
      </c>
      <c r="V67" s="36" t="str">
        <f t="shared" si="51"/>
        <v/>
      </c>
      <c r="W67" s="36" t="str">
        <f t="shared" si="51"/>
        <v/>
      </c>
      <c r="X67" s="36" t="str">
        <f t="shared" si="51"/>
        <v/>
      </c>
      <c r="Y67" s="36" t="str">
        <f t="shared" si="51"/>
        <v/>
      </c>
      <c r="Z67" s="27" t="str">
        <f t="shared" si="51"/>
        <v/>
      </c>
      <c r="AB67" s="3" t="str">
        <f t="array" ref="AB67">IFERROR(INDEX(TRAS1B1,SMALL(IF(FREQUENCY(IF(TRAS1B1&lt;&gt;"",MATCH(ROW(TRAS1B1),ROW(TRAS1B1)),""),MATCH(ROW(TRAS1B1),ROW(TRAS1B1)))&gt;0,MATCH(ROW(TRAS1B1),ROW(TRAS1B1)),""),ROW(A4)),COLUMN(A4)),"")</f>
        <v>X</v>
      </c>
      <c r="AC67" s="36" t="str">
        <f t="array" ref="AC67">IFERROR(INDEX(TRAS1B2,SMALL(IF(FREQUENCY(IF(TRAS1B2&lt;&gt;"",MATCH(ROW(TRAS1B2),ROW(TRAS1B2)),""),MATCH(ROW(TRAS1B2),ROW(TRAS1B2)))&gt;0,MATCH(ROW(TRAS1B2),ROW(TRAS1B2)),""),ROW(A4)),COLUMN(A4)),"")</f>
        <v>R</v>
      </c>
      <c r="AD67" s="36" t="str">
        <f t="array" ref="AD67">IFERROR(INDEX(TRAS1B3,SMALL(IF(FREQUENCY(IF(TRAS1B3&lt;&gt;"",MATCH(ROW(TRAS1B3),ROW(TRAS1B3)),""),MATCH(ROW(TRAS1B3),ROW(TRAS1B3)))&gt;0,MATCH(ROW(TRAS1B3),ROW(TRAS1B3)),""),ROW(A4)),COLUMN(A4)),"")</f>
        <v>X</v>
      </c>
      <c r="AE67" s="36" t="str">
        <f t="array" ref="AE67">IFERROR(INDEX(TRAS1B4,SMALL(IF(FREQUENCY(IF(TRAS1B4&lt;&gt;"",MATCH(ROW(TRAS1B4),ROW(TRAS1B4)),""),MATCH(ROW(TRAS1B4),ROW(TRAS1B4)))&gt;0,MATCH(ROW(TRAS1B4),ROW(TRAS1B4)),""),ROW(A4)),COLUMN(A4)),"")</f>
        <v>X</v>
      </c>
      <c r="AF67" s="36" t="str">
        <f t="array" ref="AF67">IFERROR(INDEX(TRAS1B5,SMALL(IF(FREQUENCY(IF(TRAS1B5&lt;&gt;"",MATCH(ROW(TRAS1B5),ROW(TRAS1B5)),""),MATCH(ROW(TRAS1B5),ROW(TRAS1B5)))&gt;0,MATCH(ROW(TRAS1B5),ROW(TRAS1B5)),""),ROW(A4)),COLUMN(A4)),"")</f>
        <v>X</v>
      </c>
      <c r="AG67" s="36" t="str">
        <f t="array" ref="AG67">IFERROR(INDEX(TRAS1B6,SMALL(IF(FREQUENCY(IF(TRAS1B6&lt;&gt;"",MATCH(ROW(TRAS1B6),ROW(TRAS1B6)),""),MATCH(ROW(TRAS1B6),ROW(TRAS1B6)))&gt;0,MATCH(ROW(TRAS1B6),ROW(TRAS1B6)),""),ROW(A4)),COLUMN(A4)),"")</f>
        <v>R</v>
      </c>
      <c r="AH67" s="36" t="str">
        <f t="array" ref="AH67">IFERROR(INDEX(TRAS1B7,SMALL(IF(FREQUENCY(IF(TRAS1B7&lt;&gt;"",MATCH(ROW(TRAS1B7),ROW(TRAS1B7)),""),MATCH(ROW(TRAS1B7),ROW(TRAS1B7)))&gt;0,MATCH(ROW(TRAS1B7),ROW(TRAS1B7)),""),ROW(A4)),COLUMN(A4)),"")</f>
        <v/>
      </c>
      <c r="AI67" s="36" t="str">
        <f t="array" ref="AI67">IFERROR(INDEX(TRAS1B8,SMALL(IF(FREQUENCY(IF(TRAS1B8&lt;&gt;"",MATCH(ROW(TRAS1B8),ROW(TRAS1B8)),""),MATCH(ROW(TRAS1B8),ROW(TRAS1B8)))&gt;0,MATCH(ROW(TRAS1B8),ROW(TRAS1B8)),""),ROW(A4)),COLUMN(A4)),"")</f>
        <v/>
      </c>
      <c r="AJ67" s="36" t="str">
        <f t="array" ref="AJ67">IFERROR(INDEX(TRAS1B9,SMALL(IF(FREQUENCY(IF(TRAS1B9&lt;&gt;"",MATCH(ROW(TRAS1B9),ROW(TRAS1B9)),""),MATCH(ROW(TRAS1B9),ROW(TRAS1B9)))&gt;0,MATCH(ROW(TRAS1B9),ROW(TRAS1B9)),""),ROW(A4)),COLUMN(A4)),"")</f>
        <v/>
      </c>
      <c r="AK67" s="36" t="str">
        <f t="array" ref="AK67">IFERROR(INDEX(TRAS1B10,SMALL(IF(FREQUENCY(IF(TRAS1B10&lt;&gt;"",MATCH(ROW(TRAS1B10),ROW(TRAS1B10)),""),MATCH(ROW(TRAS1B10),ROW(TRAS1B10)))&gt;0,MATCH(ROW(TRAS1B10),ROW(TRAS1B10)),""),ROW(A4)),COLUMN(A4)),"")</f>
        <v/>
      </c>
      <c r="AL67" s="36" t="str">
        <f t="array" ref="AL67">IFERROR(INDEX(TRAS1B11,SMALL(IF(FREQUENCY(IF(TRAS1B11&lt;&gt;"",MATCH(ROW(TRAS1B11),ROW(TRAS1B11)),""),MATCH(ROW(TRAS1B11),ROW(TRAS1B11)))&gt;0,MATCH(ROW(TRAS1B11),ROW(TRAS1B11)),""),ROW(A4)),COLUMN(A4)),"")</f>
        <v/>
      </c>
      <c r="AM67" s="27" t="str">
        <f t="array" ref="AM67">IFERROR(INDEX(TRAS1B12,SMALL(IF(FREQUENCY(IF(TRAS1B12&lt;&gt;"",MATCH(ROW(TRAS1B12),ROW(TRAS1B12)),""),MATCH(ROW(TRAS1B12),ROW(TRAS1B12)))&gt;0,MATCH(ROW(TRAS1B12),ROW(TRAS1B12)),""),ROW(A4)),COLUMN(A4)),"")</f>
        <v/>
      </c>
      <c r="AO67" s="3" t="str">
        <f t="shared" si="76"/>
        <v>X</v>
      </c>
      <c r="AP67" s="36" t="str">
        <f t="shared" si="77"/>
        <v>R</v>
      </c>
      <c r="AQ67" s="36" t="str">
        <f t="shared" si="78"/>
        <v>X</v>
      </c>
      <c r="AR67" s="36" t="str">
        <f t="shared" si="79"/>
        <v>X</v>
      </c>
      <c r="AS67" s="36" t="str">
        <f t="shared" si="80"/>
        <v>X</v>
      </c>
      <c r="AT67" s="36" t="str">
        <f t="shared" si="81"/>
        <v>R</v>
      </c>
      <c r="AU67" s="36" t="str">
        <f t="shared" si="82"/>
        <v xml:space="preserve"> </v>
      </c>
      <c r="AV67" s="36" t="str">
        <f t="shared" si="83"/>
        <v xml:space="preserve"> </v>
      </c>
      <c r="AW67" s="36" t="str">
        <f t="shared" si="84"/>
        <v xml:space="preserve"> </v>
      </c>
      <c r="AX67" s="36" t="str">
        <f t="shared" si="85"/>
        <v xml:space="preserve"> </v>
      </c>
      <c r="AY67" s="36" t="str">
        <f t="shared" si="86"/>
        <v xml:space="preserve"> </v>
      </c>
      <c r="AZ67" s="27" t="str">
        <f t="shared" si="87"/>
        <v xml:space="preserve"> </v>
      </c>
      <c r="BE67" s="3" t="str">
        <v>X</v>
      </c>
      <c r="BF67" s="36" t="str">
        <v>R</v>
      </c>
      <c r="BG67" s="36" t="str">
        <v>X</v>
      </c>
      <c r="BH67" s="36" t="str">
        <v>X</v>
      </c>
      <c r="BI67" s="36" t="str">
        <v>X</v>
      </c>
      <c r="BJ67" s="36" t="str">
        <v>R</v>
      </c>
      <c r="BK67" s="36" t="str">
        <v/>
      </c>
      <c r="BL67" s="36" t="str">
        <v/>
      </c>
      <c r="BM67" s="36" t="str">
        <v/>
      </c>
      <c r="BN67" s="36" t="str">
        <v/>
      </c>
      <c r="BO67" s="36" t="str">
        <v/>
      </c>
      <c r="BP67" s="27" t="str">
        <v/>
      </c>
      <c r="BR67" s="3" t="str">
        <f t="shared" si="88"/>
        <v>X</v>
      </c>
      <c r="BS67" s="36" t="str">
        <f t="shared" si="53"/>
        <v>R</v>
      </c>
      <c r="BT67" s="36" t="str">
        <f t="shared" si="54"/>
        <v>X</v>
      </c>
      <c r="BU67" s="36" t="str">
        <f t="shared" si="55"/>
        <v>X</v>
      </c>
      <c r="BV67" s="36" t="str">
        <f t="shared" si="56"/>
        <v>X</v>
      </c>
      <c r="BW67" s="36" t="str">
        <f t="shared" si="57"/>
        <v>R</v>
      </c>
      <c r="BX67" s="36" t="str">
        <f t="shared" si="58"/>
        <v/>
      </c>
      <c r="BY67" s="36" t="str">
        <f t="shared" si="59"/>
        <v/>
      </c>
      <c r="BZ67" s="36" t="str">
        <f t="shared" si="60"/>
        <v/>
      </c>
      <c r="CA67" s="36" t="str">
        <f t="shared" si="61"/>
        <v/>
      </c>
      <c r="CB67" s="36" t="str">
        <f t="shared" si="62"/>
        <v/>
      </c>
      <c r="CC67" s="27" t="str">
        <f t="shared" si="63"/>
        <v/>
      </c>
      <c r="CE67" s="3" t="str">
        <f t="array" ref="CE67">IFERROR(INDEX(TRAS1B1,SMALL(IF(FREQUENCY(IF(TRAS1B1&lt;&gt;"",MATCH(ROW(TRAS1B1),ROW(TRAS1B1)),""),MATCH(ROW(TRAS1B1),ROW(TRAS1B1)))&gt;0,MATCH(ROW(TRAS1B1),ROW(TRAS1B1)),""),ROW(BD4)),COLUMN(BD4)),"")</f>
        <v/>
      </c>
      <c r="CF67" s="36" t="str">
        <f t="array" ref="CF67">IFERROR(INDEX(TRAS1B2,SMALL(IF(FREQUENCY(IF(TRAS1B2&lt;&gt;"",MATCH(ROW(TRAS1B2),ROW(TRAS1B2)),""),MATCH(ROW(TRAS1B2),ROW(TRAS1B2)))&gt;0,MATCH(ROW(TRAS1B2),ROW(TRAS1B2)),""),ROW(BD4)),COLUMN(BD4)),"")</f>
        <v/>
      </c>
      <c r="CG67" s="36" t="str">
        <f t="array" ref="CG67">IFERROR(INDEX(TRAS1B3,SMALL(IF(FREQUENCY(IF(TRAS1B3&lt;&gt;"",MATCH(ROW(TRAS1B3),ROW(TRAS1B3)),""),MATCH(ROW(TRAS1B3),ROW(TRAS1B3)))&gt;0,MATCH(ROW(TRAS1B3),ROW(TRAS1B3)),""),ROW(BD4)),COLUMN(BD4)),"")</f>
        <v/>
      </c>
      <c r="CH67" s="36" t="str">
        <f t="array" ref="CH67">IFERROR(INDEX(TRAS1B4,SMALL(IF(FREQUENCY(IF(TRAS1B4&lt;&gt;"",MATCH(ROW(TRAS1B4),ROW(TRAS1B4)),""),MATCH(ROW(TRAS1B4),ROW(TRAS1B4)))&gt;0,MATCH(ROW(TRAS1B4),ROW(TRAS1B4)),""),ROW(BD4)),COLUMN(BD4)),"")</f>
        <v/>
      </c>
      <c r="CI67" s="36" t="str">
        <f t="array" ref="CI67">IFERROR(INDEX(TRAS1B5,SMALL(IF(FREQUENCY(IF(TRAS1B5&lt;&gt;"",MATCH(ROW(TRAS1B5),ROW(TRAS1B5)),""),MATCH(ROW(TRAS1B5),ROW(TRAS1B5)))&gt;0,MATCH(ROW(TRAS1B5),ROW(TRAS1B5)),""),ROW(BD4)),COLUMN(BD4)),"")</f>
        <v/>
      </c>
      <c r="CJ67" s="36" t="str">
        <f t="array" ref="CJ67">IFERROR(INDEX(TRAS1B6,SMALL(IF(FREQUENCY(IF(TRAS1B6&lt;&gt;"",MATCH(ROW(TRAS1B6),ROW(TRAS1B6)),""),MATCH(ROW(TRAS1B6),ROW(TRAS1B6)))&gt;0,MATCH(ROW(TRAS1B6),ROW(TRAS1B6)),""),ROW(BD4)),COLUMN(BD4)),"")</f>
        <v/>
      </c>
      <c r="CK67" s="36" t="str">
        <f t="array" ref="CK67">IFERROR(INDEX(TRAS1B7,SMALL(IF(FREQUENCY(IF(TRAS1B7&lt;&gt;"",MATCH(ROW(TRAS1B7),ROW(TRAS1B7)),""),MATCH(ROW(TRAS1B7),ROW(TRAS1B7)))&gt;0,MATCH(ROW(TRAS1B7),ROW(TRAS1B7)),""),ROW(BD4)),COLUMN(BD4)),"")</f>
        <v/>
      </c>
      <c r="CL67" s="36" t="str">
        <f t="array" ref="CL67">IFERROR(INDEX(TRAS1B8,SMALL(IF(FREQUENCY(IF(TRAS1B8&lt;&gt;"",MATCH(ROW(TRAS1B8),ROW(TRAS1B8)),""),MATCH(ROW(TRAS1B8),ROW(TRAS1B8)))&gt;0,MATCH(ROW(TRAS1B8),ROW(TRAS1B8)),""),ROW(BD4)),COLUMN(BD4)),"")</f>
        <v/>
      </c>
      <c r="CM67" s="36" t="str">
        <f t="array" ref="CM67">IFERROR(INDEX(TRAS1B9,SMALL(IF(FREQUENCY(IF(TRAS1B9&lt;&gt;"",MATCH(ROW(TRAS1B9),ROW(TRAS1B9)),""),MATCH(ROW(TRAS1B9),ROW(TRAS1B9)))&gt;0,MATCH(ROW(TRAS1B9),ROW(TRAS1B9)),""),ROW(BD4)),COLUMN(BD4)),"")</f>
        <v/>
      </c>
      <c r="CN67" s="36" t="str">
        <f t="array" ref="CN67">IFERROR(INDEX(TRAS1B10,SMALL(IF(FREQUENCY(IF(TRAS1B10&lt;&gt;"",MATCH(ROW(TRAS1B10),ROW(TRAS1B10)),""),MATCH(ROW(TRAS1B10),ROW(TRAS1B10)))&gt;0,MATCH(ROW(TRAS1B10),ROW(TRAS1B10)),""),ROW(BD4)),COLUMN(BD4)),"")</f>
        <v/>
      </c>
      <c r="CO67" s="36" t="str">
        <f t="array" ref="CO67">IFERROR(INDEX(TRAS1B11,SMALL(IF(FREQUENCY(IF(TRAS1B11&lt;&gt;"",MATCH(ROW(TRAS1B11),ROW(TRAS1B11)),""),MATCH(ROW(TRAS1B11),ROW(TRAS1B11)))&gt;0,MATCH(ROW(TRAS1B11),ROW(TRAS1B11)),""),ROW(BD4)),COLUMN(BD4)),"")</f>
        <v/>
      </c>
      <c r="CP67" s="27" t="str">
        <f t="array" ref="CP67">IFERROR(INDEX(TRAS1B12,SMALL(IF(FREQUENCY(IF(TRAS1B12&lt;&gt;"",MATCH(ROW(TRAS1B12),ROW(TRAS1B12)),""),MATCH(ROW(TRAS1B12),ROW(TRAS1B12)))&gt;0,MATCH(ROW(TRAS1B12),ROW(TRAS1B12)),""),ROW(BD4)),COLUMN(BD4)),"")</f>
        <v/>
      </c>
      <c r="CR67" s="3" t="str">
        <f t="shared" si="89"/>
        <v xml:space="preserve"> </v>
      </c>
      <c r="CS67" s="36" t="str">
        <f t="shared" si="64"/>
        <v xml:space="preserve"> </v>
      </c>
      <c r="CT67" s="36" t="str">
        <f t="shared" si="65"/>
        <v xml:space="preserve"> </v>
      </c>
      <c r="CU67" s="36" t="str">
        <f t="shared" si="66"/>
        <v xml:space="preserve"> </v>
      </c>
      <c r="CV67" s="36" t="str">
        <f t="shared" si="67"/>
        <v xml:space="preserve"> </v>
      </c>
      <c r="CW67" s="36" t="str">
        <f t="shared" si="68"/>
        <v xml:space="preserve"> </v>
      </c>
      <c r="CX67" s="36" t="str">
        <f t="shared" si="69"/>
        <v xml:space="preserve"> </v>
      </c>
      <c r="CY67" s="36" t="str">
        <f t="shared" si="70"/>
        <v xml:space="preserve"> </v>
      </c>
      <c r="CZ67" s="36" t="str">
        <f t="shared" si="71"/>
        <v xml:space="preserve"> </v>
      </c>
      <c r="DA67" s="36" t="str">
        <f t="shared" si="72"/>
        <v xml:space="preserve"> </v>
      </c>
      <c r="DB67" s="36" t="str">
        <f t="shared" si="73"/>
        <v xml:space="preserve"> </v>
      </c>
      <c r="DC67" s="27" t="str">
        <f t="shared" si="74"/>
        <v xml:space="preserve"> </v>
      </c>
    </row>
    <row r="68" spans="2:107" ht="13.5" customHeight="1" x14ac:dyDescent="0.35">
      <c r="B68" s="3" t="str">
        <v>X</v>
      </c>
      <c r="C68" s="36" t="str">
        <v>X</v>
      </c>
      <c r="D68" s="36" t="str">
        <v>X</v>
      </c>
      <c r="E68" s="36" t="str">
        <v>R</v>
      </c>
      <c r="F68" s="36" t="str">
        <v>X</v>
      </c>
      <c r="G68" s="36" t="str">
        <v>X</v>
      </c>
      <c r="H68" s="36" t="str">
        <v/>
      </c>
      <c r="I68" s="36" t="str">
        <v/>
      </c>
      <c r="J68" s="36" t="str">
        <v/>
      </c>
      <c r="K68" s="36" t="str">
        <v/>
      </c>
      <c r="L68" s="36" t="str">
        <v/>
      </c>
      <c r="M68" s="27" t="str">
        <v/>
      </c>
      <c r="O68" s="3" t="str">
        <f t="shared" si="75"/>
        <v>X</v>
      </c>
      <c r="P68" s="36" t="str">
        <f t="shared" si="51"/>
        <v>X</v>
      </c>
      <c r="Q68" s="36" t="str">
        <f t="shared" si="51"/>
        <v>X</v>
      </c>
      <c r="R68" s="36" t="str">
        <f t="shared" si="51"/>
        <v>R</v>
      </c>
      <c r="S68" s="36" t="str">
        <f t="shared" si="51"/>
        <v>X</v>
      </c>
      <c r="T68" s="36" t="str">
        <f t="shared" si="51"/>
        <v>X</v>
      </c>
      <c r="U68" s="36" t="str">
        <f t="shared" si="51"/>
        <v/>
      </c>
      <c r="V68" s="36" t="str">
        <f t="shared" si="51"/>
        <v/>
      </c>
      <c r="W68" s="36" t="str">
        <f t="shared" si="51"/>
        <v/>
      </c>
      <c r="X68" s="36" t="str">
        <f t="shared" si="51"/>
        <v/>
      </c>
      <c r="Y68" s="36" t="str">
        <f t="shared" si="51"/>
        <v/>
      </c>
      <c r="Z68" s="27" t="str">
        <f t="shared" si="51"/>
        <v/>
      </c>
      <c r="AB68" s="3" t="str">
        <f t="array" ref="AB68">IFERROR(INDEX(TRAS1B1,SMALL(IF(FREQUENCY(IF(TRAS1B1&lt;&gt;"",MATCH(ROW(TRAS1B1),ROW(TRAS1B1)),""),MATCH(ROW(TRAS1B1),ROW(TRAS1B1)))&gt;0,MATCH(ROW(TRAS1B1),ROW(TRAS1B1)),""),ROW(A5)),COLUMN(A5)),"")</f>
        <v>X</v>
      </c>
      <c r="AC68" s="36" t="str">
        <f t="array" ref="AC68">IFERROR(INDEX(TRAS1B2,SMALL(IF(FREQUENCY(IF(TRAS1B2&lt;&gt;"",MATCH(ROW(TRAS1B2),ROW(TRAS1B2)),""),MATCH(ROW(TRAS1B2),ROW(TRAS1B2)))&gt;0,MATCH(ROW(TRAS1B2),ROW(TRAS1B2)),""),ROW(A5)),COLUMN(A5)),"")</f>
        <v>X</v>
      </c>
      <c r="AD68" s="36" t="str">
        <f t="array" ref="AD68">IFERROR(INDEX(TRAS1B3,SMALL(IF(FREQUENCY(IF(TRAS1B3&lt;&gt;"",MATCH(ROW(TRAS1B3),ROW(TRAS1B3)),""),MATCH(ROW(TRAS1B3),ROW(TRAS1B3)))&gt;0,MATCH(ROW(TRAS1B3),ROW(TRAS1B3)),""),ROW(A5)),COLUMN(A5)),"")</f>
        <v>X</v>
      </c>
      <c r="AE68" s="36" t="str">
        <f t="array" ref="AE68">IFERROR(INDEX(TRAS1B4,SMALL(IF(FREQUENCY(IF(TRAS1B4&lt;&gt;"",MATCH(ROW(TRAS1B4),ROW(TRAS1B4)),""),MATCH(ROW(TRAS1B4),ROW(TRAS1B4)))&gt;0,MATCH(ROW(TRAS1B4),ROW(TRAS1B4)),""),ROW(A5)),COLUMN(A5)),"")</f>
        <v>R</v>
      </c>
      <c r="AF68" s="36" t="str">
        <f t="array" ref="AF68">IFERROR(INDEX(TRAS1B5,SMALL(IF(FREQUENCY(IF(TRAS1B5&lt;&gt;"",MATCH(ROW(TRAS1B5),ROW(TRAS1B5)),""),MATCH(ROW(TRAS1B5),ROW(TRAS1B5)))&gt;0,MATCH(ROW(TRAS1B5),ROW(TRAS1B5)),""),ROW(A5)),COLUMN(A5)),"")</f>
        <v>X</v>
      </c>
      <c r="AG68" s="36" t="str">
        <f t="array" ref="AG68">IFERROR(INDEX(TRAS1B6,SMALL(IF(FREQUENCY(IF(TRAS1B6&lt;&gt;"",MATCH(ROW(TRAS1B6),ROW(TRAS1B6)),""),MATCH(ROW(TRAS1B6),ROW(TRAS1B6)))&gt;0,MATCH(ROW(TRAS1B6),ROW(TRAS1B6)),""),ROW(A5)),COLUMN(A5)),"")</f>
        <v>X</v>
      </c>
      <c r="AH68" s="36" t="str">
        <f t="array" ref="AH68">IFERROR(INDEX(TRAS1B7,SMALL(IF(FREQUENCY(IF(TRAS1B7&lt;&gt;"",MATCH(ROW(TRAS1B7),ROW(TRAS1B7)),""),MATCH(ROW(TRAS1B7),ROW(TRAS1B7)))&gt;0,MATCH(ROW(TRAS1B7),ROW(TRAS1B7)),""),ROW(A5)),COLUMN(A5)),"")</f>
        <v/>
      </c>
      <c r="AI68" s="36" t="str">
        <f t="array" ref="AI68">IFERROR(INDEX(TRAS1B8,SMALL(IF(FREQUENCY(IF(TRAS1B8&lt;&gt;"",MATCH(ROW(TRAS1B8),ROW(TRAS1B8)),""),MATCH(ROW(TRAS1B8),ROW(TRAS1B8)))&gt;0,MATCH(ROW(TRAS1B8),ROW(TRAS1B8)),""),ROW(A5)),COLUMN(A5)),"")</f>
        <v/>
      </c>
      <c r="AJ68" s="36" t="str">
        <f t="array" ref="AJ68">IFERROR(INDEX(TRAS1B9,SMALL(IF(FREQUENCY(IF(TRAS1B9&lt;&gt;"",MATCH(ROW(TRAS1B9),ROW(TRAS1B9)),""),MATCH(ROW(TRAS1B9),ROW(TRAS1B9)))&gt;0,MATCH(ROW(TRAS1B9),ROW(TRAS1B9)),""),ROW(A5)),COLUMN(A5)),"")</f>
        <v/>
      </c>
      <c r="AK68" s="36" t="str">
        <f t="array" ref="AK68">IFERROR(INDEX(TRAS1B10,SMALL(IF(FREQUENCY(IF(TRAS1B10&lt;&gt;"",MATCH(ROW(TRAS1B10),ROW(TRAS1B10)),""),MATCH(ROW(TRAS1B10),ROW(TRAS1B10)))&gt;0,MATCH(ROW(TRAS1B10),ROW(TRAS1B10)),""),ROW(A5)),COLUMN(A5)),"")</f>
        <v/>
      </c>
      <c r="AL68" s="36" t="str">
        <f t="array" ref="AL68">IFERROR(INDEX(TRAS1B11,SMALL(IF(FREQUENCY(IF(TRAS1B11&lt;&gt;"",MATCH(ROW(TRAS1B11),ROW(TRAS1B11)),""),MATCH(ROW(TRAS1B11),ROW(TRAS1B11)))&gt;0,MATCH(ROW(TRAS1B11),ROW(TRAS1B11)),""),ROW(A5)),COLUMN(A5)),"")</f>
        <v/>
      </c>
      <c r="AM68" s="27" t="str">
        <f t="array" ref="AM68">IFERROR(INDEX(TRAS1B12,SMALL(IF(FREQUENCY(IF(TRAS1B12&lt;&gt;"",MATCH(ROW(TRAS1B12),ROW(TRAS1B12)),""),MATCH(ROW(TRAS1B12),ROW(TRAS1B12)))&gt;0,MATCH(ROW(TRAS1B12),ROW(TRAS1B12)),""),ROW(A5)),COLUMN(A5)),"")</f>
        <v/>
      </c>
      <c r="AO68" s="3" t="str">
        <f t="shared" si="76"/>
        <v>X</v>
      </c>
      <c r="AP68" s="36" t="str">
        <f t="shared" si="77"/>
        <v>X</v>
      </c>
      <c r="AQ68" s="36" t="str">
        <f t="shared" si="78"/>
        <v>X</v>
      </c>
      <c r="AR68" s="36" t="str">
        <f t="shared" si="79"/>
        <v>R</v>
      </c>
      <c r="AS68" s="36" t="str">
        <f t="shared" si="80"/>
        <v>X</v>
      </c>
      <c r="AT68" s="36" t="str">
        <f t="shared" si="81"/>
        <v>X</v>
      </c>
      <c r="AU68" s="36" t="str">
        <f t="shared" si="82"/>
        <v xml:space="preserve"> </v>
      </c>
      <c r="AV68" s="36" t="str">
        <f t="shared" si="83"/>
        <v xml:space="preserve"> </v>
      </c>
      <c r="AW68" s="36" t="str">
        <f t="shared" si="84"/>
        <v xml:space="preserve"> </v>
      </c>
      <c r="AX68" s="36" t="str">
        <f t="shared" si="85"/>
        <v xml:space="preserve"> </v>
      </c>
      <c r="AY68" s="36" t="str">
        <f t="shared" si="86"/>
        <v xml:space="preserve"> </v>
      </c>
      <c r="AZ68" s="27" t="str">
        <f t="shared" si="87"/>
        <v xml:space="preserve"> </v>
      </c>
      <c r="BE68" s="3" t="str">
        <v>X</v>
      </c>
      <c r="BF68" s="36" t="str">
        <v>X</v>
      </c>
      <c r="BG68" s="36" t="str">
        <v>X</v>
      </c>
      <c r="BH68" s="36" t="str">
        <v>R</v>
      </c>
      <c r="BI68" s="36" t="str">
        <v>X</v>
      </c>
      <c r="BJ68" s="36" t="str">
        <v>X</v>
      </c>
      <c r="BK68" s="36" t="str">
        <v/>
      </c>
      <c r="BL68" s="36" t="str">
        <v/>
      </c>
      <c r="BM68" s="36" t="str">
        <v/>
      </c>
      <c r="BN68" s="36" t="str">
        <v/>
      </c>
      <c r="BO68" s="36" t="str">
        <v/>
      </c>
      <c r="BP68" s="27" t="str">
        <v/>
      </c>
      <c r="BR68" s="3" t="str">
        <f t="shared" si="88"/>
        <v>X</v>
      </c>
      <c r="BS68" s="36" t="str">
        <f t="shared" si="53"/>
        <v>X</v>
      </c>
      <c r="BT68" s="36" t="str">
        <f t="shared" si="54"/>
        <v>X</v>
      </c>
      <c r="BU68" s="36" t="str">
        <f t="shared" si="55"/>
        <v>R</v>
      </c>
      <c r="BV68" s="36" t="str">
        <f t="shared" si="56"/>
        <v>X</v>
      </c>
      <c r="BW68" s="36" t="str">
        <f t="shared" si="57"/>
        <v>X</v>
      </c>
      <c r="BX68" s="36" t="str">
        <f t="shared" si="58"/>
        <v/>
      </c>
      <c r="BY68" s="36" t="str">
        <f t="shared" si="59"/>
        <v/>
      </c>
      <c r="BZ68" s="36" t="str">
        <f t="shared" si="60"/>
        <v/>
      </c>
      <c r="CA68" s="36" t="str">
        <f t="shared" si="61"/>
        <v/>
      </c>
      <c r="CB68" s="36" t="str">
        <f t="shared" si="62"/>
        <v/>
      </c>
      <c r="CC68" s="27" t="str">
        <f t="shared" si="63"/>
        <v/>
      </c>
      <c r="CE68" s="3" t="str">
        <f t="array" ref="CE68">IFERROR(INDEX(TRAS1B1,SMALL(IF(FREQUENCY(IF(TRAS1B1&lt;&gt;"",MATCH(ROW(TRAS1B1),ROW(TRAS1B1)),""),MATCH(ROW(TRAS1B1),ROW(TRAS1B1)))&gt;0,MATCH(ROW(TRAS1B1),ROW(TRAS1B1)),""),ROW(BD5)),COLUMN(BD5)),"")</f>
        <v/>
      </c>
      <c r="CF68" s="36" t="str">
        <f t="array" ref="CF68">IFERROR(INDEX(TRAS1B2,SMALL(IF(FREQUENCY(IF(TRAS1B2&lt;&gt;"",MATCH(ROW(TRAS1B2),ROW(TRAS1B2)),""),MATCH(ROW(TRAS1B2),ROW(TRAS1B2)))&gt;0,MATCH(ROW(TRAS1B2),ROW(TRAS1B2)),""),ROW(BD5)),COLUMN(BD5)),"")</f>
        <v/>
      </c>
      <c r="CG68" s="36" t="str">
        <f t="array" ref="CG68">IFERROR(INDEX(TRAS1B3,SMALL(IF(FREQUENCY(IF(TRAS1B3&lt;&gt;"",MATCH(ROW(TRAS1B3),ROW(TRAS1B3)),""),MATCH(ROW(TRAS1B3),ROW(TRAS1B3)))&gt;0,MATCH(ROW(TRAS1B3),ROW(TRAS1B3)),""),ROW(BD5)),COLUMN(BD5)),"")</f>
        <v/>
      </c>
      <c r="CH68" s="36" t="str">
        <f t="array" ref="CH68">IFERROR(INDEX(TRAS1B4,SMALL(IF(FREQUENCY(IF(TRAS1B4&lt;&gt;"",MATCH(ROW(TRAS1B4),ROW(TRAS1B4)),""),MATCH(ROW(TRAS1B4),ROW(TRAS1B4)))&gt;0,MATCH(ROW(TRAS1B4),ROW(TRAS1B4)),""),ROW(BD5)),COLUMN(BD5)),"")</f>
        <v/>
      </c>
      <c r="CI68" s="36" t="str">
        <f t="array" ref="CI68">IFERROR(INDEX(TRAS1B5,SMALL(IF(FREQUENCY(IF(TRAS1B5&lt;&gt;"",MATCH(ROW(TRAS1B5),ROW(TRAS1B5)),""),MATCH(ROW(TRAS1B5),ROW(TRAS1B5)))&gt;0,MATCH(ROW(TRAS1B5),ROW(TRAS1B5)),""),ROW(BD5)),COLUMN(BD5)),"")</f>
        <v/>
      </c>
      <c r="CJ68" s="36" t="str">
        <f t="array" ref="CJ68">IFERROR(INDEX(TRAS1B6,SMALL(IF(FREQUENCY(IF(TRAS1B6&lt;&gt;"",MATCH(ROW(TRAS1B6),ROW(TRAS1B6)),""),MATCH(ROW(TRAS1B6),ROW(TRAS1B6)))&gt;0,MATCH(ROW(TRAS1B6),ROW(TRAS1B6)),""),ROW(BD5)),COLUMN(BD5)),"")</f>
        <v/>
      </c>
      <c r="CK68" s="36" t="str">
        <f t="array" ref="CK68">IFERROR(INDEX(TRAS1B7,SMALL(IF(FREQUENCY(IF(TRAS1B7&lt;&gt;"",MATCH(ROW(TRAS1B7),ROW(TRAS1B7)),""),MATCH(ROW(TRAS1B7),ROW(TRAS1B7)))&gt;0,MATCH(ROW(TRAS1B7),ROW(TRAS1B7)),""),ROW(BD5)),COLUMN(BD5)),"")</f>
        <v/>
      </c>
      <c r="CL68" s="36" t="str">
        <f t="array" ref="CL68">IFERROR(INDEX(TRAS1B8,SMALL(IF(FREQUENCY(IF(TRAS1B8&lt;&gt;"",MATCH(ROW(TRAS1B8),ROW(TRAS1B8)),""),MATCH(ROW(TRAS1B8),ROW(TRAS1B8)))&gt;0,MATCH(ROW(TRAS1B8),ROW(TRAS1B8)),""),ROW(BD5)),COLUMN(BD5)),"")</f>
        <v/>
      </c>
      <c r="CM68" s="36" t="str">
        <f t="array" ref="CM68">IFERROR(INDEX(TRAS1B9,SMALL(IF(FREQUENCY(IF(TRAS1B9&lt;&gt;"",MATCH(ROW(TRAS1B9),ROW(TRAS1B9)),""),MATCH(ROW(TRAS1B9),ROW(TRAS1B9)))&gt;0,MATCH(ROW(TRAS1B9),ROW(TRAS1B9)),""),ROW(BD5)),COLUMN(BD5)),"")</f>
        <v/>
      </c>
      <c r="CN68" s="36" t="str">
        <f t="array" ref="CN68">IFERROR(INDEX(TRAS1B10,SMALL(IF(FREQUENCY(IF(TRAS1B10&lt;&gt;"",MATCH(ROW(TRAS1B10),ROW(TRAS1B10)),""),MATCH(ROW(TRAS1B10),ROW(TRAS1B10)))&gt;0,MATCH(ROW(TRAS1B10),ROW(TRAS1B10)),""),ROW(BD5)),COLUMN(BD5)),"")</f>
        <v/>
      </c>
      <c r="CO68" s="36" t="str">
        <f t="array" ref="CO68">IFERROR(INDEX(TRAS1B11,SMALL(IF(FREQUENCY(IF(TRAS1B11&lt;&gt;"",MATCH(ROW(TRAS1B11),ROW(TRAS1B11)),""),MATCH(ROW(TRAS1B11),ROW(TRAS1B11)))&gt;0,MATCH(ROW(TRAS1B11),ROW(TRAS1B11)),""),ROW(BD5)),COLUMN(BD5)),"")</f>
        <v/>
      </c>
      <c r="CP68" s="27" t="str">
        <f t="array" ref="CP68">IFERROR(INDEX(TRAS1B12,SMALL(IF(FREQUENCY(IF(TRAS1B12&lt;&gt;"",MATCH(ROW(TRAS1B12),ROW(TRAS1B12)),""),MATCH(ROW(TRAS1B12),ROW(TRAS1B12)))&gt;0,MATCH(ROW(TRAS1B12),ROW(TRAS1B12)),""),ROW(BD5)),COLUMN(BD5)),"")</f>
        <v/>
      </c>
      <c r="CR68" s="3" t="str">
        <f t="shared" si="89"/>
        <v xml:space="preserve"> </v>
      </c>
      <c r="CS68" s="36" t="str">
        <f t="shared" si="64"/>
        <v xml:space="preserve"> </v>
      </c>
      <c r="CT68" s="36" t="str">
        <f t="shared" si="65"/>
        <v xml:space="preserve"> </v>
      </c>
      <c r="CU68" s="36" t="str">
        <f t="shared" si="66"/>
        <v xml:space="preserve"> </v>
      </c>
      <c r="CV68" s="36" t="str">
        <f t="shared" si="67"/>
        <v xml:space="preserve"> </v>
      </c>
      <c r="CW68" s="36" t="str">
        <f t="shared" si="68"/>
        <v xml:space="preserve"> </v>
      </c>
      <c r="CX68" s="36" t="str">
        <f t="shared" si="69"/>
        <v xml:space="preserve"> </v>
      </c>
      <c r="CY68" s="36" t="str">
        <f t="shared" si="70"/>
        <v xml:space="preserve"> </v>
      </c>
      <c r="CZ68" s="36" t="str">
        <f t="shared" si="71"/>
        <v xml:space="preserve"> </v>
      </c>
      <c r="DA68" s="36" t="str">
        <f t="shared" si="72"/>
        <v xml:space="preserve"> </v>
      </c>
      <c r="DB68" s="36" t="str">
        <f t="shared" si="73"/>
        <v xml:space="preserve"> </v>
      </c>
      <c r="DC68" s="27" t="str">
        <f t="shared" si="74"/>
        <v xml:space="preserve"> </v>
      </c>
    </row>
    <row r="69" spans="2:107" ht="13.5" customHeight="1" x14ac:dyDescent="0.35">
      <c r="B69" s="3" t="str">
        <v>X</v>
      </c>
      <c r="C69" s="36" t="str">
        <v/>
      </c>
      <c r="D69" s="36" t="str">
        <v>X</v>
      </c>
      <c r="E69" s="36" t="str">
        <v>X</v>
      </c>
      <c r="F69" s="36" t="str">
        <v>X</v>
      </c>
      <c r="G69" s="36" t="str">
        <v/>
      </c>
      <c r="H69" s="36" t="str">
        <v/>
      </c>
      <c r="I69" s="36" t="str">
        <v/>
      </c>
      <c r="J69" s="36" t="str">
        <v/>
      </c>
      <c r="K69" s="36" t="str">
        <v/>
      </c>
      <c r="L69" s="36" t="str">
        <v/>
      </c>
      <c r="M69" s="27" t="str">
        <v/>
      </c>
      <c r="O69" s="3" t="str">
        <f t="shared" si="75"/>
        <v>X</v>
      </c>
      <c r="P69" s="36" t="str">
        <f t="shared" si="51"/>
        <v/>
      </c>
      <c r="Q69" s="36" t="str">
        <f t="shared" si="51"/>
        <v>X</v>
      </c>
      <c r="R69" s="36" t="str">
        <f t="shared" si="51"/>
        <v>X</v>
      </c>
      <c r="S69" s="36" t="str">
        <f t="shared" si="51"/>
        <v>X</v>
      </c>
      <c r="T69" s="36" t="str">
        <f t="shared" si="51"/>
        <v/>
      </c>
      <c r="U69" s="36" t="str">
        <f t="shared" si="51"/>
        <v/>
      </c>
      <c r="V69" s="36" t="str">
        <f t="shared" si="51"/>
        <v/>
      </c>
      <c r="W69" s="36" t="str">
        <f t="shared" si="51"/>
        <v/>
      </c>
      <c r="X69" s="36" t="str">
        <f t="shared" si="51"/>
        <v/>
      </c>
      <c r="Y69" s="36" t="str">
        <f t="shared" si="51"/>
        <v/>
      </c>
      <c r="Z69" s="27" t="str">
        <f t="shared" si="51"/>
        <v/>
      </c>
      <c r="AB69" s="3" t="str">
        <f t="array" ref="AB69">IFERROR(INDEX(TRAS1B1,SMALL(IF(FREQUENCY(IF(TRAS1B1&lt;&gt;"",MATCH(ROW(TRAS1B1),ROW(TRAS1B1)),""),MATCH(ROW(TRAS1B1),ROW(TRAS1B1)))&gt;0,MATCH(ROW(TRAS1B1),ROW(TRAS1B1)),""),ROW(A6)),COLUMN(A6)),"")</f>
        <v>X</v>
      </c>
      <c r="AC69" s="36" t="str">
        <f t="array" ref="AC69">IFERROR(INDEX(TRAS1B2,SMALL(IF(FREQUENCY(IF(TRAS1B2&lt;&gt;"",MATCH(ROW(TRAS1B2),ROW(TRAS1B2)),""),MATCH(ROW(TRAS1B2),ROW(TRAS1B2)))&gt;0,MATCH(ROW(TRAS1B2),ROW(TRAS1B2)),""),ROW(A6)),COLUMN(A6)),"")</f>
        <v>S</v>
      </c>
      <c r="AD69" s="36" t="str">
        <f t="array" ref="AD69">IFERROR(INDEX(TRAS1B3,SMALL(IF(FREQUENCY(IF(TRAS1B3&lt;&gt;"",MATCH(ROW(TRAS1B3),ROW(TRAS1B3)),""),MATCH(ROW(TRAS1B3),ROW(TRAS1B3)))&gt;0,MATCH(ROW(TRAS1B3),ROW(TRAS1B3)),""),ROW(A6)),COLUMN(A6)),"")</f>
        <v>X</v>
      </c>
      <c r="AE69" s="36" t="str">
        <f t="array" ref="AE69">IFERROR(INDEX(TRAS1B4,SMALL(IF(FREQUENCY(IF(TRAS1B4&lt;&gt;"",MATCH(ROW(TRAS1B4),ROW(TRAS1B4)),""),MATCH(ROW(TRAS1B4),ROW(TRAS1B4)))&gt;0,MATCH(ROW(TRAS1B4),ROW(TRAS1B4)),""),ROW(A6)),COLUMN(A6)),"")</f>
        <v>X</v>
      </c>
      <c r="AF69" s="36" t="str">
        <f t="array" ref="AF69">IFERROR(INDEX(TRAS1B5,SMALL(IF(FREQUENCY(IF(TRAS1B5&lt;&gt;"",MATCH(ROW(TRAS1B5),ROW(TRAS1B5)),""),MATCH(ROW(TRAS1B5),ROW(TRAS1B5)))&gt;0,MATCH(ROW(TRAS1B5),ROW(TRAS1B5)),""),ROW(A6)),COLUMN(A6)),"")</f>
        <v>X</v>
      </c>
      <c r="AG69" s="36" t="str">
        <f t="array" ref="AG69">IFERROR(INDEX(TRAS1B6,SMALL(IF(FREQUENCY(IF(TRAS1B6&lt;&gt;"",MATCH(ROW(TRAS1B6),ROW(TRAS1B6)),""),MATCH(ROW(TRAS1B6),ROW(TRAS1B6)))&gt;0,MATCH(ROW(TRAS1B6),ROW(TRAS1B6)),""),ROW(A6)),COLUMN(A6)),"")</f>
        <v>S</v>
      </c>
      <c r="AH69" s="36" t="str">
        <f t="array" ref="AH69">IFERROR(INDEX(TRAS1B7,SMALL(IF(FREQUENCY(IF(TRAS1B7&lt;&gt;"",MATCH(ROW(TRAS1B7),ROW(TRAS1B7)),""),MATCH(ROW(TRAS1B7),ROW(TRAS1B7)))&gt;0,MATCH(ROW(TRAS1B7),ROW(TRAS1B7)),""),ROW(A6)),COLUMN(A6)),"")</f>
        <v/>
      </c>
      <c r="AI69" s="36" t="str">
        <f t="array" ref="AI69">IFERROR(INDEX(TRAS1B8,SMALL(IF(FREQUENCY(IF(TRAS1B8&lt;&gt;"",MATCH(ROW(TRAS1B8),ROW(TRAS1B8)),""),MATCH(ROW(TRAS1B8),ROW(TRAS1B8)))&gt;0,MATCH(ROW(TRAS1B8),ROW(TRAS1B8)),""),ROW(A6)),COLUMN(A6)),"")</f>
        <v/>
      </c>
      <c r="AJ69" s="36" t="str">
        <f t="array" ref="AJ69">IFERROR(INDEX(TRAS1B9,SMALL(IF(FREQUENCY(IF(TRAS1B9&lt;&gt;"",MATCH(ROW(TRAS1B9),ROW(TRAS1B9)),""),MATCH(ROW(TRAS1B9),ROW(TRAS1B9)))&gt;0,MATCH(ROW(TRAS1B9),ROW(TRAS1B9)),""),ROW(A6)),COLUMN(A6)),"")</f>
        <v/>
      </c>
      <c r="AK69" s="36" t="str">
        <f t="array" ref="AK69">IFERROR(INDEX(TRAS1B10,SMALL(IF(FREQUENCY(IF(TRAS1B10&lt;&gt;"",MATCH(ROW(TRAS1B10),ROW(TRAS1B10)),""),MATCH(ROW(TRAS1B10),ROW(TRAS1B10)))&gt;0,MATCH(ROW(TRAS1B10),ROW(TRAS1B10)),""),ROW(A6)),COLUMN(A6)),"")</f>
        <v/>
      </c>
      <c r="AL69" s="36" t="str">
        <f t="array" ref="AL69">IFERROR(INDEX(TRAS1B11,SMALL(IF(FREQUENCY(IF(TRAS1B11&lt;&gt;"",MATCH(ROW(TRAS1B11),ROW(TRAS1B11)),""),MATCH(ROW(TRAS1B11),ROW(TRAS1B11)))&gt;0,MATCH(ROW(TRAS1B11),ROW(TRAS1B11)),""),ROW(A6)),COLUMN(A6)),"")</f>
        <v/>
      </c>
      <c r="AM69" s="27" t="str">
        <f t="array" ref="AM69">IFERROR(INDEX(TRAS1B12,SMALL(IF(FREQUENCY(IF(TRAS1B12&lt;&gt;"",MATCH(ROW(TRAS1B12),ROW(TRAS1B12)),""),MATCH(ROW(TRAS1B12),ROW(TRAS1B12)))&gt;0,MATCH(ROW(TRAS1B12),ROW(TRAS1B12)),""),ROW(A6)),COLUMN(A6)),"")</f>
        <v/>
      </c>
      <c r="AO69" s="3" t="str">
        <f t="shared" si="76"/>
        <v>X</v>
      </c>
      <c r="AP69" s="36" t="str">
        <f t="shared" si="77"/>
        <v>S</v>
      </c>
      <c r="AQ69" s="36" t="str">
        <f t="shared" si="78"/>
        <v>X</v>
      </c>
      <c r="AR69" s="36" t="str">
        <f t="shared" si="79"/>
        <v>X</v>
      </c>
      <c r="AS69" s="36" t="str">
        <f t="shared" si="80"/>
        <v>X</v>
      </c>
      <c r="AT69" s="36" t="str">
        <f t="shared" si="81"/>
        <v>S</v>
      </c>
      <c r="AU69" s="36" t="str">
        <f t="shared" si="82"/>
        <v xml:space="preserve"> </v>
      </c>
      <c r="AV69" s="36" t="str">
        <f t="shared" si="83"/>
        <v xml:space="preserve"> </v>
      </c>
      <c r="AW69" s="36" t="str">
        <f t="shared" si="84"/>
        <v xml:space="preserve"> </v>
      </c>
      <c r="AX69" s="36" t="str">
        <f t="shared" si="85"/>
        <v xml:space="preserve"> </v>
      </c>
      <c r="AY69" s="36" t="str">
        <f t="shared" si="86"/>
        <v xml:space="preserve"> </v>
      </c>
      <c r="AZ69" s="27" t="str">
        <f t="shared" si="87"/>
        <v xml:space="preserve"> </v>
      </c>
      <c r="BE69" s="3" t="str">
        <v>X</v>
      </c>
      <c r="BF69" s="36" t="str">
        <v/>
      </c>
      <c r="BG69" s="36" t="str">
        <v>X</v>
      </c>
      <c r="BH69" s="36" t="str">
        <v>X</v>
      </c>
      <c r="BI69" s="36" t="str">
        <v>X</v>
      </c>
      <c r="BJ69" s="36" t="str">
        <v/>
      </c>
      <c r="BK69" s="36" t="str">
        <v/>
      </c>
      <c r="BL69" s="36" t="str">
        <v/>
      </c>
      <c r="BM69" s="36" t="str">
        <v/>
      </c>
      <c r="BN69" s="36" t="str">
        <v/>
      </c>
      <c r="BO69" s="36" t="str">
        <v/>
      </c>
      <c r="BP69" s="27" t="str">
        <v/>
      </c>
      <c r="BR69" s="3" t="str">
        <f t="shared" si="88"/>
        <v>X</v>
      </c>
      <c r="BS69" s="36" t="str">
        <f t="shared" si="53"/>
        <v/>
      </c>
      <c r="BT69" s="36" t="str">
        <f t="shared" si="54"/>
        <v>X</v>
      </c>
      <c r="BU69" s="36" t="str">
        <f t="shared" si="55"/>
        <v>X</v>
      </c>
      <c r="BV69" s="36" t="str">
        <f t="shared" si="56"/>
        <v>X</v>
      </c>
      <c r="BW69" s="36" t="str">
        <f t="shared" si="57"/>
        <v/>
      </c>
      <c r="BX69" s="36" t="str">
        <f t="shared" si="58"/>
        <v/>
      </c>
      <c r="BY69" s="36" t="str">
        <f t="shared" si="59"/>
        <v/>
      </c>
      <c r="BZ69" s="36" t="str">
        <f t="shared" si="60"/>
        <v/>
      </c>
      <c r="CA69" s="36" t="str">
        <f t="shared" si="61"/>
        <v/>
      </c>
      <c r="CB69" s="36" t="str">
        <f t="shared" si="62"/>
        <v/>
      </c>
      <c r="CC69" s="27" t="str">
        <f t="shared" si="63"/>
        <v/>
      </c>
      <c r="CE69" s="3" t="str">
        <f t="array" ref="CE69">IFERROR(INDEX(TRAS1B1,SMALL(IF(FREQUENCY(IF(TRAS1B1&lt;&gt;"",MATCH(ROW(TRAS1B1),ROW(TRAS1B1)),""),MATCH(ROW(TRAS1B1),ROW(TRAS1B1)))&gt;0,MATCH(ROW(TRAS1B1),ROW(TRAS1B1)),""),ROW(BD6)),COLUMN(BD6)),"")</f>
        <v/>
      </c>
      <c r="CF69" s="36" t="str">
        <f t="array" ref="CF69">IFERROR(INDEX(TRAS1B2,SMALL(IF(FREQUENCY(IF(TRAS1B2&lt;&gt;"",MATCH(ROW(TRAS1B2),ROW(TRAS1B2)),""),MATCH(ROW(TRAS1B2),ROW(TRAS1B2)))&gt;0,MATCH(ROW(TRAS1B2),ROW(TRAS1B2)),""),ROW(BD6)),COLUMN(BD6)),"")</f>
        <v/>
      </c>
      <c r="CG69" s="36" t="str">
        <f t="array" ref="CG69">IFERROR(INDEX(TRAS1B3,SMALL(IF(FREQUENCY(IF(TRAS1B3&lt;&gt;"",MATCH(ROW(TRAS1B3),ROW(TRAS1B3)),""),MATCH(ROW(TRAS1B3),ROW(TRAS1B3)))&gt;0,MATCH(ROW(TRAS1B3),ROW(TRAS1B3)),""),ROW(BD6)),COLUMN(BD6)),"")</f>
        <v/>
      </c>
      <c r="CH69" s="36" t="str">
        <f t="array" ref="CH69">IFERROR(INDEX(TRAS1B4,SMALL(IF(FREQUENCY(IF(TRAS1B4&lt;&gt;"",MATCH(ROW(TRAS1B4),ROW(TRAS1B4)),""),MATCH(ROW(TRAS1B4),ROW(TRAS1B4)))&gt;0,MATCH(ROW(TRAS1B4),ROW(TRAS1B4)),""),ROW(BD6)),COLUMN(BD6)),"")</f>
        <v/>
      </c>
      <c r="CI69" s="36" t="str">
        <f t="array" ref="CI69">IFERROR(INDEX(TRAS1B5,SMALL(IF(FREQUENCY(IF(TRAS1B5&lt;&gt;"",MATCH(ROW(TRAS1B5),ROW(TRAS1B5)),""),MATCH(ROW(TRAS1B5),ROW(TRAS1B5)))&gt;0,MATCH(ROW(TRAS1B5),ROW(TRAS1B5)),""),ROW(BD6)),COLUMN(BD6)),"")</f>
        <v/>
      </c>
      <c r="CJ69" s="36" t="str">
        <f t="array" ref="CJ69">IFERROR(INDEX(TRAS1B6,SMALL(IF(FREQUENCY(IF(TRAS1B6&lt;&gt;"",MATCH(ROW(TRAS1B6),ROW(TRAS1B6)),""),MATCH(ROW(TRAS1B6),ROW(TRAS1B6)))&gt;0,MATCH(ROW(TRAS1B6),ROW(TRAS1B6)),""),ROW(BD6)),COLUMN(BD6)),"")</f>
        <v/>
      </c>
      <c r="CK69" s="36" t="str">
        <f t="array" ref="CK69">IFERROR(INDEX(TRAS1B7,SMALL(IF(FREQUENCY(IF(TRAS1B7&lt;&gt;"",MATCH(ROW(TRAS1B7),ROW(TRAS1B7)),""),MATCH(ROW(TRAS1B7),ROW(TRAS1B7)))&gt;0,MATCH(ROW(TRAS1B7),ROW(TRAS1B7)),""),ROW(BD6)),COLUMN(BD6)),"")</f>
        <v/>
      </c>
      <c r="CL69" s="36" t="str">
        <f t="array" ref="CL69">IFERROR(INDEX(TRAS1B8,SMALL(IF(FREQUENCY(IF(TRAS1B8&lt;&gt;"",MATCH(ROW(TRAS1B8),ROW(TRAS1B8)),""),MATCH(ROW(TRAS1B8),ROW(TRAS1B8)))&gt;0,MATCH(ROW(TRAS1B8),ROW(TRAS1B8)),""),ROW(BD6)),COLUMN(BD6)),"")</f>
        <v/>
      </c>
      <c r="CM69" s="36" t="str">
        <f t="array" ref="CM69">IFERROR(INDEX(TRAS1B9,SMALL(IF(FREQUENCY(IF(TRAS1B9&lt;&gt;"",MATCH(ROW(TRAS1B9),ROW(TRAS1B9)),""),MATCH(ROW(TRAS1B9),ROW(TRAS1B9)))&gt;0,MATCH(ROW(TRAS1B9),ROW(TRAS1B9)),""),ROW(BD6)),COLUMN(BD6)),"")</f>
        <v/>
      </c>
      <c r="CN69" s="36" t="str">
        <f t="array" ref="CN69">IFERROR(INDEX(TRAS1B10,SMALL(IF(FREQUENCY(IF(TRAS1B10&lt;&gt;"",MATCH(ROW(TRAS1B10),ROW(TRAS1B10)),""),MATCH(ROW(TRAS1B10),ROW(TRAS1B10)))&gt;0,MATCH(ROW(TRAS1B10),ROW(TRAS1B10)),""),ROW(BD6)),COLUMN(BD6)),"")</f>
        <v/>
      </c>
      <c r="CO69" s="36" t="str">
        <f t="array" ref="CO69">IFERROR(INDEX(TRAS1B11,SMALL(IF(FREQUENCY(IF(TRAS1B11&lt;&gt;"",MATCH(ROW(TRAS1B11),ROW(TRAS1B11)),""),MATCH(ROW(TRAS1B11),ROW(TRAS1B11)))&gt;0,MATCH(ROW(TRAS1B11),ROW(TRAS1B11)),""),ROW(BD6)),COLUMN(BD6)),"")</f>
        <v/>
      </c>
      <c r="CP69" s="27" t="str">
        <f t="array" ref="CP69">IFERROR(INDEX(TRAS1B12,SMALL(IF(FREQUENCY(IF(TRAS1B12&lt;&gt;"",MATCH(ROW(TRAS1B12),ROW(TRAS1B12)),""),MATCH(ROW(TRAS1B12),ROW(TRAS1B12)))&gt;0,MATCH(ROW(TRAS1B12),ROW(TRAS1B12)),""),ROW(BD6)),COLUMN(BD6)),"")</f>
        <v/>
      </c>
      <c r="CR69" s="3" t="str">
        <f t="shared" si="89"/>
        <v xml:space="preserve"> </v>
      </c>
      <c r="CS69" s="36" t="str">
        <f t="shared" si="64"/>
        <v xml:space="preserve"> </v>
      </c>
      <c r="CT69" s="36" t="str">
        <f t="shared" si="65"/>
        <v xml:space="preserve"> </v>
      </c>
      <c r="CU69" s="36" t="str">
        <f t="shared" si="66"/>
        <v xml:space="preserve"> </v>
      </c>
      <c r="CV69" s="36" t="str">
        <f t="shared" si="67"/>
        <v xml:space="preserve"> </v>
      </c>
      <c r="CW69" s="36" t="str">
        <f t="shared" si="68"/>
        <v xml:space="preserve"> </v>
      </c>
      <c r="CX69" s="36" t="str">
        <f t="shared" si="69"/>
        <v xml:space="preserve"> </v>
      </c>
      <c r="CY69" s="36" t="str">
        <f t="shared" si="70"/>
        <v xml:space="preserve"> </v>
      </c>
      <c r="CZ69" s="36" t="str">
        <f t="shared" si="71"/>
        <v xml:space="preserve"> </v>
      </c>
      <c r="DA69" s="36" t="str">
        <f t="shared" si="72"/>
        <v xml:space="preserve"> </v>
      </c>
      <c r="DB69" s="36" t="str">
        <f t="shared" si="73"/>
        <v xml:space="preserve"> </v>
      </c>
      <c r="DC69" s="27" t="str">
        <f t="shared" si="74"/>
        <v xml:space="preserve"> </v>
      </c>
    </row>
    <row r="70" spans="2:107" ht="13.5" customHeight="1" x14ac:dyDescent="0.35">
      <c r="B70" s="3" t="str">
        <v>R</v>
      </c>
      <c r="C70" s="36" t="str">
        <v/>
      </c>
      <c r="D70" s="36" t="str">
        <v>X</v>
      </c>
      <c r="E70" s="36" t="str">
        <v/>
      </c>
      <c r="F70" s="36" t="str">
        <v>R</v>
      </c>
      <c r="G70" s="36" t="str">
        <v/>
      </c>
      <c r="H70" s="36" t="str">
        <v/>
      </c>
      <c r="I70" s="36" t="str">
        <v/>
      </c>
      <c r="J70" s="36" t="str">
        <v/>
      </c>
      <c r="K70" s="36" t="str">
        <v/>
      </c>
      <c r="L70" s="36" t="str">
        <v/>
      </c>
      <c r="M70" s="27" t="str">
        <v/>
      </c>
      <c r="O70" s="3" t="str">
        <f t="shared" si="75"/>
        <v>R</v>
      </c>
      <c r="P70" s="36" t="str">
        <f t="shared" si="51"/>
        <v/>
      </c>
      <c r="Q70" s="36" t="str">
        <f t="shared" si="51"/>
        <v>X</v>
      </c>
      <c r="R70" s="36" t="str">
        <f t="shared" si="51"/>
        <v/>
      </c>
      <c r="S70" s="36" t="str">
        <f t="shared" si="51"/>
        <v>R</v>
      </c>
      <c r="T70" s="36" t="str">
        <f t="shared" si="51"/>
        <v/>
      </c>
      <c r="U70" s="36" t="str">
        <f t="shared" si="51"/>
        <v/>
      </c>
      <c r="V70" s="36" t="str">
        <f t="shared" si="51"/>
        <v/>
      </c>
      <c r="W70" s="36" t="str">
        <f t="shared" si="51"/>
        <v/>
      </c>
      <c r="X70" s="36" t="str">
        <f t="shared" si="51"/>
        <v/>
      </c>
      <c r="Y70" s="36" t="str">
        <f t="shared" si="51"/>
        <v/>
      </c>
      <c r="Z70" s="27" t="str">
        <f t="shared" si="51"/>
        <v/>
      </c>
      <c r="AB70" s="3" t="str">
        <f t="array" ref="AB70">IFERROR(INDEX(TRAS1B1,SMALL(IF(FREQUENCY(IF(TRAS1B1&lt;&gt;"",MATCH(ROW(TRAS1B1),ROW(TRAS1B1)),""),MATCH(ROW(TRAS1B1),ROW(TRAS1B1)))&gt;0,MATCH(ROW(TRAS1B1),ROW(TRAS1B1)),""),ROW(A7)),COLUMN(A7)),"")</f>
        <v>R</v>
      </c>
      <c r="AC70" s="36" t="str">
        <f t="array" ref="AC70">IFERROR(INDEX(TRAS1B2,SMALL(IF(FREQUENCY(IF(TRAS1B2&lt;&gt;"",MATCH(ROW(TRAS1B2),ROW(TRAS1B2)),""),MATCH(ROW(TRAS1B2),ROW(TRAS1B2)))&gt;0,MATCH(ROW(TRAS1B2),ROW(TRAS1B2)),""),ROW(A7)),COLUMN(A7)),"")</f>
        <v>R</v>
      </c>
      <c r="AD70" s="36" t="str">
        <f t="array" ref="AD70">IFERROR(INDEX(TRAS1B3,SMALL(IF(FREQUENCY(IF(TRAS1B3&lt;&gt;"",MATCH(ROW(TRAS1B3),ROW(TRAS1B3)),""),MATCH(ROW(TRAS1B3),ROW(TRAS1B3)))&gt;0,MATCH(ROW(TRAS1B3),ROW(TRAS1B3)),""),ROW(A7)),COLUMN(A7)),"")</f>
        <v>X</v>
      </c>
      <c r="AE70" s="36" t="str">
        <f t="array" ref="AE70">IFERROR(INDEX(TRAS1B4,SMALL(IF(FREQUENCY(IF(TRAS1B4&lt;&gt;"",MATCH(ROW(TRAS1B4),ROW(TRAS1B4)),""),MATCH(ROW(TRAS1B4),ROW(TRAS1B4)))&gt;0,MATCH(ROW(TRAS1B4),ROW(TRAS1B4)),""),ROW(A7)),COLUMN(A7)),"")</f>
        <v>R</v>
      </c>
      <c r="AF70" s="36" t="str">
        <f t="array" ref="AF70">IFERROR(INDEX(TRAS1B5,SMALL(IF(FREQUENCY(IF(TRAS1B5&lt;&gt;"",MATCH(ROW(TRAS1B5),ROW(TRAS1B5)),""),MATCH(ROW(TRAS1B5),ROW(TRAS1B5)))&gt;0,MATCH(ROW(TRAS1B5),ROW(TRAS1B5)),""),ROW(A7)),COLUMN(A7)),"")</f>
        <v>R</v>
      </c>
      <c r="AG70" s="36" t="str">
        <f t="array" ref="AG70">IFERROR(INDEX(TRAS1B6,SMALL(IF(FREQUENCY(IF(TRAS1B6&lt;&gt;"",MATCH(ROW(TRAS1B6),ROW(TRAS1B6)),""),MATCH(ROW(TRAS1B6),ROW(TRAS1B6)))&gt;0,MATCH(ROW(TRAS1B6),ROW(TRAS1B6)),""),ROW(A7)),COLUMN(A7)),"")</f>
        <v>R</v>
      </c>
      <c r="AH70" s="36" t="str">
        <f t="array" ref="AH70">IFERROR(INDEX(TRAS1B7,SMALL(IF(FREQUENCY(IF(TRAS1B7&lt;&gt;"",MATCH(ROW(TRAS1B7),ROW(TRAS1B7)),""),MATCH(ROW(TRAS1B7),ROW(TRAS1B7)))&gt;0,MATCH(ROW(TRAS1B7),ROW(TRAS1B7)),""),ROW(A7)),COLUMN(A7)),"")</f>
        <v/>
      </c>
      <c r="AI70" s="36" t="str">
        <f t="array" ref="AI70">IFERROR(INDEX(TRAS1B8,SMALL(IF(FREQUENCY(IF(TRAS1B8&lt;&gt;"",MATCH(ROW(TRAS1B8),ROW(TRAS1B8)),""),MATCH(ROW(TRAS1B8),ROW(TRAS1B8)))&gt;0,MATCH(ROW(TRAS1B8),ROW(TRAS1B8)),""),ROW(A7)),COLUMN(A7)),"")</f>
        <v/>
      </c>
      <c r="AJ70" s="36" t="str">
        <f t="array" ref="AJ70">IFERROR(INDEX(TRAS1B9,SMALL(IF(FREQUENCY(IF(TRAS1B9&lt;&gt;"",MATCH(ROW(TRAS1B9),ROW(TRAS1B9)),""),MATCH(ROW(TRAS1B9),ROW(TRAS1B9)))&gt;0,MATCH(ROW(TRAS1B9),ROW(TRAS1B9)),""),ROW(A7)),COLUMN(A7)),"")</f>
        <v/>
      </c>
      <c r="AK70" s="36" t="str">
        <f t="array" ref="AK70">IFERROR(INDEX(TRAS1B10,SMALL(IF(FREQUENCY(IF(TRAS1B10&lt;&gt;"",MATCH(ROW(TRAS1B10),ROW(TRAS1B10)),""),MATCH(ROW(TRAS1B10),ROW(TRAS1B10)))&gt;0,MATCH(ROW(TRAS1B10),ROW(TRAS1B10)),""),ROW(A7)),COLUMN(A7)),"")</f>
        <v/>
      </c>
      <c r="AL70" s="36" t="str">
        <f t="array" ref="AL70">IFERROR(INDEX(TRAS1B11,SMALL(IF(FREQUENCY(IF(TRAS1B11&lt;&gt;"",MATCH(ROW(TRAS1B11),ROW(TRAS1B11)),""),MATCH(ROW(TRAS1B11),ROW(TRAS1B11)))&gt;0,MATCH(ROW(TRAS1B11),ROW(TRAS1B11)),""),ROW(A7)),COLUMN(A7)),"")</f>
        <v/>
      </c>
      <c r="AM70" s="27" t="str">
        <f t="array" ref="AM70">IFERROR(INDEX(TRAS1B12,SMALL(IF(FREQUENCY(IF(TRAS1B12&lt;&gt;"",MATCH(ROW(TRAS1B12),ROW(TRAS1B12)),""),MATCH(ROW(TRAS1B12),ROW(TRAS1B12)))&gt;0,MATCH(ROW(TRAS1B12),ROW(TRAS1B12)),""),ROW(A7)),COLUMN(A7)),"")</f>
        <v/>
      </c>
      <c r="AO70" s="3" t="str">
        <f t="shared" si="76"/>
        <v>R</v>
      </c>
      <c r="AP70" s="36" t="str">
        <f t="shared" si="77"/>
        <v>R</v>
      </c>
      <c r="AQ70" s="36" t="str">
        <f t="shared" si="78"/>
        <v>X</v>
      </c>
      <c r="AR70" s="36" t="str">
        <f t="shared" si="79"/>
        <v>R</v>
      </c>
      <c r="AS70" s="36" t="str">
        <f t="shared" si="80"/>
        <v>R</v>
      </c>
      <c r="AT70" s="36" t="str">
        <f t="shared" si="81"/>
        <v>R</v>
      </c>
      <c r="AU70" s="36" t="str">
        <f t="shared" si="82"/>
        <v xml:space="preserve"> </v>
      </c>
      <c r="AV70" s="36" t="str">
        <f t="shared" si="83"/>
        <v xml:space="preserve"> </v>
      </c>
      <c r="AW70" s="36" t="str">
        <f t="shared" si="84"/>
        <v xml:space="preserve"> </v>
      </c>
      <c r="AX70" s="36" t="str">
        <f t="shared" si="85"/>
        <v xml:space="preserve"> </v>
      </c>
      <c r="AY70" s="36" t="str">
        <f t="shared" si="86"/>
        <v xml:space="preserve"> </v>
      </c>
      <c r="AZ70" s="27" t="str">
        <f t="shared" si="87"/>
        <v xml:space="preserve"> </v>
      </c>
      <c r="BE70" s="3" t="str">
        <v>R</v>
      </c>
      <c r="BF70" s="36" t="str">
        <v/>
      </c>
      <c r="BG70" s="36" t="str">
        <v>X</v>
      </c>
      <c r="BH70" s="36" t="str">
        <v/>
      </c>
      <c r="BI70" s="36" t="str">
        <v>R</v>
      </c>
      <c r="BJ70" s="36" t="str">
        <v/>
      </c>
      <c r="BK70" s="36" t="str">
        <v/>
      </c>
      <c r="BL70" s="36" t="str">
        <v/>
      </c>
      <c r="BM70" s="36" t="str">
        <v/>
      </c>
      <c r="BN70" s="36" t="str">
        <v/>
      </c>
      <c r="BO70" s="36" t="str">
        <v/>
      </c>
      <c r="BP70" s="27" t="str">
        <v/>
      </c>
      <c r="BR70" s="3" t="str">
        <f t="shared" si="88"/>
        <v>R</v>
      </c>
      <c r="BS70" s="36" t="str">
        <f t="shared" si="53"/>
        <v/>
      </c>
      <c r="BT70" s="36" t="str">
        <f t="shared" si="54"/>
        <v>X</v>
      </c>
      <c r="BU70" s="36" t="str">
        <f t="shared" si="55"/>
        <v/>
      </c>
      <c r="BV70" s="36" t="str">
        <f t="shared" si="56"/>
        <v>R</v>
      </c>
      <c r="BW70" s="36" t="str">
        <f t="shared" si="57"/>
        <v/>
      </c>
      <c r="BX70" s="36" t="str">
        <f t="shared" si="58"/>
        <v/>
      </c>
      <c r="BY70" s="36" t="str">
        <f t="shared" si="59"/>
        <v/>
      </c>
      <c r="BZ70" s="36" t="str">
        <f t="shared" si="60"/>
        <v/>
      </c>
      <c r="CA70" s="36" t="str">
        <f t="shared" si="61"/>
        <v/>
      </c>
      <c r="CB70" s="36" t="str">
        <f t="shared" si="62"/>
        <v/>
      </c>
      <c r="CC70" s="27" t="str">
        <f t="shared" si="63"/>
        <v/>
      </c>
      <c r="CE70" s="3" t="str">
        <f t="array" ref="CE70">IFERROR(INDEX(TRAS1B1,SMALL(IF(FREQUENCY(IF(TRAS1B1&lt;&gt;"",MATCH(ROW(TRAS1B1),ROW(TRAS1B1)),""),MATCH(ROW(TRAS1B1),ROW(TRAS1B1)))&gt;0,MATCH(ROW(TRAS1B1),ROW(TRAS1B1)),""),ROW(BD7)),COLUMN(BD7)),"")</f>
        <v/>
      </c>
      <c r="CF70" s="36" t="str">
        <f t="array" ref="CF70">IFERROR(INDEX(TRAS1B2,SMALL(IF(FREQUENCY(IF(TRAS1B2&lt;&gt;"",MATCH(ROW(TRAS1B2),ROW(TRAS1B2)),""),MATCH(ROW(TRAS1B2),ROW(TRAS1B2)))&gt;0,MATCH(ROW(TRAS1B2),ROW(TRAS1B2)),""),ROW(BD7)),COLUMN(BD7)),"")</f>
        <v/>
      </c>
      <c r="CG70" s="36" t="str">
        <f t="array" ref="CG70">IFERROR(INDEX(TRAS1B3,SMALL(IF(FREQUENCY(IF(TRAS1B3&lt;&gt;"",MATCH(ROW(TRAS1B3),ROW(TRAS1B3)),""),MATCH(ROW(TRAS1B3),ROW(TRAS1B3)))&gt;0,MATCH(ROW(TRAS1B3),ROW(TRAS1B3)),""),ROW(BD7)),COLUMN(BD7)),"")</f>
        <v/>
      </c>
      <c r="CH70" s="36" t="str">
        <f t="array" ref="CH70">IFERROR(INDEX(TRAS1B4,SMALL(IF(FREQUENCY(IF(TRAS1B4&lt;&gt;"",MATCH(ROW(TRAS1B4),ROW(TRAS1B4)),""),MATCH(ROW(TRAS1B4),ROW(TRAS1B4)))&gt;0,MATCH(ROW(TRAS1B4),ROW(TRAS1B4)),""),ROW(BD7)),COLUMN(BD7)),"")</f>
        <v/>
      </c>
      <c r="CI70" s="36" t="str">
        <f t="array" ref="CI70">IFERROR(INDEX(TRAS1B5,SMALL(IF(FREQUENCY(IF(TRAS1B5&lt;&gt;"",MATCH(ROW(TRAS1B5),ROW(TRAS1B5)),""),MATCH(ROW(TRAS1B5),ROW(TRAS1B5)))&gt;0,MATCH(ROW(TRAS1B5),ROW(TRAS1B5)),""),ROW(BD7)),COLUMN(BD7)),"")</f>
        <v/>
      </c>
      <c r="CJ70" s="36" t="str">
        <f t="array" ref="CJ70">IFERROR(INDEX(TRAS1B6,SMALL(IF(FREQUENCY(IF(TRAS1B6&lt;&gt;"",MATCH(ROW(TRAS1B6),ROW(TRAS1B6)),""),MATCH(ROW(TRAS1B6),ROW(TRAS1B6)))&gt;0,MATCH(ROW(TRAS1B6),ROW(TRAS1B6)),""),ROW(BD7)),COLUMN(BD7)),"")</f>
        <v/>
      </c>
      <c r="CK70" s="36" t="str">
        <f t="array" ref="CK70">IFERROR(INDEX(TRAS1B7,SMALL(IF(FREQUENCY(IF(TRAS1B7&lt;&gt;"",MATCH(ROW(TRAS1B7),ROW(TRAS1B7)),""),MATCH(ROW(TRAS1B7),ROW(TRAS1B7)))&gt;0,MATCH(ROW(TRAS1B7),ROW(TRAS1B7)),""),ROW(BD7)),COLUMN(BD7)),"")</f>
        <v/>
      </c>
      <c r="CL70" s="36" t="str">
        <f t="array" ref="CL70">IFERROR(INDEX(TRAS1B8,SMALL(IF(FREQUENCY(IF(TRAS1B8&lt;&gt;"",MATCH(ROW(TRAS1B8),ROW(TRAS1B8)),""),MATCH(ROW(TRAS1B8),ROW(TRAS1B8)))&gt;0,MATCH(ROW(TRAS1B8),ROW(TRAS1B8)),""),ROW(BD7)),COLUMN(BD7)),"")</f>
        <v/>
      </c>
      <c r="CM70" s="36" t="str">
        <f t="array" ref="CM70">IFERROR(INDEX(TRAS1B9,SMALL(IF(FREQUENCY(IF(TRAS1B9&lt;&gt;"",MATCH(ROW(TRAS1B9),ROW(TRAS1B9)),""),MATCH(ROW(TRAS1B9),ROW(TRAS1B9)))&gt;0,MATCH(ROW(TRAS1B9),ROW(TRAS1B9)),""),ROW(BD7)),COLUMN(BD7)),"")</f>
        <v/>
      </c>
      <c r="CN70" s="36" t="str">
        <f t="array" ref="CN70">IFERROR(INDEX(TRAS1B10,SMALL(IF(FREQUENCY(IF(TRAS1B10&lt;&gt;"",MATCH(ROW(TRAS1B10),ROW(TRAS1B10)),""),MATCH(ROW(TRAS1B10),ROW(TRAS1B10)))&gt;0,MATCH(ROW(TRAS1B10),ROW(TRAS1B10)),""),ROW(BD7)),COLUMN(BD7)),"")</f>
        <v/>
      </c>
      <c r="CO70" s="36" t="str">
        <f t="array" ref="CO70">IFERROR(INDEX(TRAS1B11,SMALL(IF(FREQUENCY(IF(TRAS1B11&lt;&gt;"",MATCH(ROW(TRAS1B11),ROW(TRAS1B11)),""),MATCH(ROW(TRAS1B11),ROW(TRAS1B11)))&gt;0,MATCH(ROW(TRAS1B11),ROW(TRAS1B11)),""),ROW(BD7)),COLUMN(BD7)),"")</f>
        <v/>
      </c>
      <c r="CP70" s="27" t="str">
        <f t="array" ref="CP70">IFERROR(INDEX(TRAS1B12,SMALL(IF(FREQUENCY(IF(TRAS1B12&lt;&gt;"",MATCH(ROW(TRAS1B12),ROW(TRAS1B12)),""),MATCH(ROW(TRAS1B12),ROW(TRAS1B12)))&gt;0,MATCH(ROW(TRAS1B12),ROW(TRAS1B12)),""),ROW(BD7)),COLUMN(BD7)),"")</f>
        <v/>
      </c>
      <c r="CR70" s="3" t="str">
        <f t="shared" si="89"/>
        <v xml:space="preserve"> </v>
      </c>
      <c r="CS70" s="36" t="str">
        <f t="shared" si="64"/>
        <v xml:space="preserve"> </v>
      </c>
      <c r="CT70" s="36" t="str">
        <f t="shared" si="65"/>
        <v xml:space="preserve"> </v>
      </c>
      <c r="CU70" s="36" t="str">
        <f t="shared" si="66"/>
        <v xml:space="preserve"> </v>
      </c>
      <c r="CV70" s="36" t="str">
        <f t="shared" si="67"/>
        <v xml:space="preserve"> </v>
      </c>
      <c r="CW70" s="36" t="str">
        <f t="shared" si="68"/>
        <v xml:space="preserve"> </v>
      </c>
      <c r="CX70" s="36" t="str">
        <f t="shared" si="69"/>
        <v xml:space="preserve"> </v>
      </c>
      <c r="CY70" s="36" t="str">
        <f t="shared" si="70"/>
        <v xml:space="preserve"> </v>
      </c>
      <c r="CZ70" s="36" t="str">
        <f t="shared" si="71"/>
        <v xml:space="preserve"> </v>
      </c>
      <c r="DA70" s="36" t="str">
        <f t="shared" si="72"/>
        <v xml:space="preserve"> </v>
      </c>
      <c r="DB70" s="36" t="str">
        <f t="shared" si="73"/>
        <v xml:space="preserve"> </v>
      </c>
      <c r="DC70" s="27" t="str">
        <f t="shared" si="74"/>
        <v xml:space="preserve"> </v>
      </c>
    </row>
    <row r="71" spans="2:107" ht="13.5" customHeight="1" x14ac:dyDescent="0.35">
      <c r="B71" s="3" t="str">
        <v>X</v>
      </c>
      <c r="C71" s="36" t="str">
        <v/>
      </c>
      <c r="D71" s="36" t="str">
        <v/>
      </c>
      <c r="E71" s="36" t="str">
        <v/>
      </c>
      <c r="F71" s="36" t="str">
        <v>X</v>
      </c>
      <c r="G71" s="36" t="str">
        <v/>
      </c>
      <c r="H71" s="36" t="str">
        <v/>
      </c>
      <c r="I71" s="36" t="str">
        <v/>
      </c>
      <c r="J71" s="36" t="str">
        <v/>
      </c>
      <c r="K71" s="36" t="str">
        <v/>
      </c>
      <c r="L71" s="36" t="str">
        <v/>
      </c>
      <c r="M71" s="27" t="str">
        <v/>
      </c>
      <c r="O71" s="3" t="str">
        <f t="shared" si="75"/>
        <v>X</v>
      </c>
      <c r="P71" s="36" t="str">
        <f t="shared" si="51"/>
        <v/>
      </c>
      <c r="Q71" s="36" t="str">
        <f t="shared" si="51"/>
        <v/>
      </c>
      <c r="R71" s="36" t="str">
        <f t="shared" si="51"/>
        <v/>
      </c>
      <c r="S71" s="36" t="str">
        <f t="shared" si="51"/>
        <v>X</v>
      </c>
      <c r="T71" s="36" t="str">
        <f t="shared" si="51"/>
        <v/>
      </c>
      <c r="U71" s="36" t="str">
        <f t="shared" si="51"/>
        <v/>
      </c>
      <c r="V71" s="36" t="str">
        <f t="shared" si="51"/>
        <v/>
      </c>
      <c r="W71" s="36" t="str">
        <f t="shared" si="51"/>
        <v/>
      </c>
      <c r="X71" s="36" t="str">
        <f t="shared" si="51"/>
        <v/>
      </c>
      <c r="Y71" s="36" t="str">
        <f t="shared" si="51"/>
        <v/>
      </c>
      <c r="Z71" s="27" t="str">
        <f t="shared" si="51"/>
        <v/>
      </c>
      <c r="AB71" s="3" t="str">
        <f t="array" ref="AB71">IFERROR(INDEX(TRAS1B1,SMALL(IF(FREQUENCY(IF(TRAS1B1&lt;&gt;"",MATCH(ROW(TRAS1B1),ROW(TRAS1B1)),""),MATCH(ROW(TRAS1B1),ROW(TRAS1B1)))&gt;0,MATCH(ROW(TRAS1B1),ROW(TRAS1B1)),""),ROW(A8)),COLUMN(A8)),"")</f>
        <v>X</v>
      </c>
      <c r="AC71" s="36" t="str">
        <f t="array" ref="AC71">IFERROR(INDEX(TRAS1B2,SMALL(IF(FREQUENCY(IF(TRAS1B2&lt;&gt;"",MATCH(ROW(TRAS1B2),ROW(TRAS1B2)),""),MATCH(ROW(TRAS1B2),ROW(TRAS1B2)))&gt;0,MATCH(ROW(TRAS1B2),ROW(TRAS1B2)),""),ROW(A8)),COLUMN(A8)),"")</f>
        <v>X</v>
      </c>
      <c r="AD71" s="36" t="str">
        <f t="array" ref="AD71">IFERROR(INDEX(TRAS1B3,SMALL(IF(FREQUENCY(IF(TRAS1B3&lt;&gt;"",MATCH(ROW(TRAS1B3),ROW(TRAS1B3)),""),MATCH(ROW(TRAS1B3),ROW(TRAS1B3)))&gt;0,MATCH(ROW(TRAS1B3),ROW(TRAS1B3)),""),ROW(A8)),COLUMN(A8)),"")</f>
        <v>R</v>
      </c>
      <c r="AE71" s="36" t="str">
        <f t="array" ref="AE71">IFERROR(INDEX(TRAS1B4,SMALL(IF(FREQUENCY(IF(TRAS1B4&lt;&gt;"",MATCH(ROW(TRAS1B4),ROW(TRAS1B4)),""),MATCH(ROW(TRAS1B4),ROW(TRAS1B4)))&gt;0,MATCH(ROW(TRAS1B4),ROW(TRAS1B4)),""),ROW(A8)),COLUMN(A8)),"")</f>
        <v>R</v>
      </c>
      <c r="AF71" s="36" t="str">
        <f t="array" ref="AF71">IFERROR(INDEX(TRAS1B5,SMALL(IF(FREQUENCY(IF(TRAS1B5&lt;&gt;"",MATCH(ROW(TRAS1B5),ROW(TRAS1B5)),""),MATCH(ROW(TRAS1B5),ROW(TRAS1B5)))&gt;0,MATCH(ROW(TRAS1B5),ROW(TRAS1B5)),""),ROW(A8)),COLUMN(A8)),"")</f>
        <v>X</v>
      </c>
      <c r="AG71" s="36" t="str">
        <f t="array" ref="AG71">IFERROR(INDEX(TRAS1B6,SMALL(IF(FREQUENCY(IF(TRAS1B6&lt;&gt;"",MATCH(ROW(TRAS1B6),ROW(TRAS1B6)),""),MATCH(ROW(TRAS1B6),ROW(TRAS1B6)))&gt;0,MATCH(ROW(TRAS1B6),ROW(TRAS1B6)),""),ROW(A8)),COLUMN(A8)),"")</f>
        <v>R</v>
      </c>
      <c r="AH71" s="36" t="str">
        <f t="array" ref="AH71">IFERROR(INDEX(TRAS1B7,SMALL(IF(FREQUENCY(IF(TRAS1B7&lt;&gt;"",MATCH(ROW(TRAS1B7),ROW(TRAS1B7)),""),MATCH(ROW(TRAS1B7),ROW(TRAS1B7)))&gt;0,MATCH(ROW(TRAS1B7),ROW(TRAS1B7)),""),ROW(A8)),COLUMN(A8)),"")</f>
        <v/>
      </c>
      <c r="AI71" s="36" t="str">
        <f t="array" ref="AI71">IFERROR(INDEX(TRAS1B8,SMALL(IF(FREQUENCY(IF(TRAS1B8&lt;&gt;"",MATCH(ROW(TRAS1B8),ROW(TRAS1B8)),""),MATCH(ROW(TRAS1B8),ROW(TRAS1B8)))&gt;0,MATCH(ROW(TRAS1B8),ROW(TRAS1B8)),""),ROW(A8)),COLUMN(A8)),"")</f>
        <v/>
      </c>
      <c r="AJ71" s="36" t="str">
        <f t="array" ref="AJ71">IFERROR(INDEX(TRAS1B9,SMALL(IF(FREQUENCY(IF(TRAS1B9&lt;&gt;"",MATCH(ROW(TRAS1B9),ROW(TRAS1B9)),""),MATCH(ROW(TRAS1B9),ROW(TRAS1B9)))&gt;0,MATCH(ROW(TRAS1B9),ROW(TRAS1B9)),""),ROW(A8)),COLUMN(A8)),"")</f>
        <v/>
      </c>
      <c r="AK71" s="36" t="str">
        <f t="array" ref="AK71">IFERROR(INDEX(TRAS1B10,SMALL(IF(FREQUENCY(IF(TRAS1B10&lt;&gt;"",MATCH(ROW(TRAS1B10),ROW(TRAS1B10)),""),MATCH(ROW(TRAS1B10),ROW(TRAS1B10)))&gt;0,MATCH(ROW(TRAS1B10),ROW(TRAS1B10)),""),ROW(A8)),COLUMN(A8)),"")</f>
        <v/>
      </c>
      <c r="AL71" s="36" t="str">
        <f t="array" ref="AL71">IFERROR(INDEX(TRAS1B11,SMALL(IF(FREQUENCY(IF(TRAS1B11&lt;&gt;"",MATCH(ROW(TRAS1B11),ROW(TRAS1B11)),""),MATCH(ROW(TRAS1B11),ROW(TRAS1B11)))&gt;0,MATCH(ROW(TRAS1B11),ROW(TRAS1B11)),""),ROW(A8)),COLUMN(A8)),"")</f>
        <v/>
      </c>
      <c r="AM71" s="27" t="str">
        <f t="array" ref="AM71">IFERROR(INDEX(TRAS1B12,SMALL(IF(FREQUENCY(IF(TRAS1B12&lt;&gt;"",MATCH(ROW(TRAS1B12),ROW(TRAS1B12)),""),MATCH(ROW(TRAS1B12),ROW(TRAS1B12)))&gt;0,MATCH(ROW(TRAS1B12),ROW(TRAS1B12)),""),ROW(A8)),COLUMN(A8)),"")</f>
        <v/>
      </c>
      <c r="AO71" s="3" t="str">
        <f t="shared" si="76"/>
        <v>X</v>
      </c>
      <c r="AP71" s="36" t="str">
        <f t="shared" si="77"/>
        <v>X</v>
      </c>
      <c r="AQ71" s="36" t="str">
        <f t="shared" si="78"/>
        <v>R</v>
      </c>
      <c r="AR71" s="36" t="str">
        <f t="shared" si="79"/>
        <v>R</v>
      </c>
      <c r="AS71" s="36" t="str">
        <f t="shared" si="80"/>
        <v>X</v>
      </c>
      <c r="AT71" s="36" t="str">
        <f t="shared" si="81"/>
        <v>R</v>
      </c>
      <c r="AU71" s="36" t="str">
        <f t="shared" si="82"/>
        <v xml:space="preserve"> </v>
      </c>
      <c r="AV71" s="36" t="str">
        <f t="shared" si="83"/>
        <v xml:space="preserve"> </v>
      </c>
      <c r="AW71" s="36" t="str">
        <f t="shared" si="84"/>
        <v xml:space="preserve"> </v>
      </c>
      <c r="AX71" s="36" t="str">
        <f t="shared" si="85"/>
        <v xml:space="preserve"> </v>
      </c>
      <c r="AY71" s="36" t="str">
        <f t="shared" si="86"/>
        <v xml:space="preserve"> </v>
      </c>
      <c r="AZ71" s="27" t="str">
        <f t="shared" si="87"/>
        <v xml:space="preserve"> </v>
      </c>
      <c r="BE71" s="3" t="str">
        <v>X</v>
      </c>
      <c r="BF71" s="36" t="str">
        <v/>
      </c>
      <c r="BG71" s="36" t="str">
        <v/>
      </c>
      <c r="BH71" s="36" t="str">
        <v/>
      </c>
      <c r="BI71" s="36" t="str">
        <v>X</v>
      </c>
      <c r="BJ71" s="36" t="str">
        <v/>
      </c>
      <c r="BK71" s="36" t="str">
        <v/>
      </c>
      <c r="BL71" s="36" t="str">
        <v/>
      </c>
      <c r="BM71" s="36" t="str">
        <v/>
      </c>
      <c r="BN71" s="36" t="str">
        <v/>
      </c>
      <c r="BO71" s="36" t="str">
        <v/>
      </c>
      <c r="BP71" s="27" t="str">
        <v/>
      </c>
      <c r="BR71" s="3" t="str">
        <f t="shared" si="88"/>
        <v>X</v>
      </c>
      <c r="BS71" s="36" t="str">
        <f t="shared" si="53"/>
        <v/>
      </c>
      <c r="BT71" s="36" t="str">
        <f t="shared" si="54"/>
        <v/>
      </c>
      <c r="BU71" s="36" t="str">
        <f t="shared" si="55"/>
        <v/>
      </c>
      <c r="BV71" s="36" t="str">
        <f t="shared" si="56"/>
        <v>X</v>
      </c>
      <c r="BW71" s="36" t="str">
        <f t="shared" si="57"/>
        <v/>
      </c>
      <c r="BX71" s="36" t="str">
        <f t="shared" si="58"/>
        <v/>
      </c>
      <c r="BY71" s="36" t="str">
        <f t="shared" si="59"/>
        <v/>
      </c>
      <c r="BZ71" s="36" t="str">
        <f t="shared" si="60"/>
        <v/>
      </c>
      <c r="CA71" s="36" t="str">
        <f t="shared" si="61"/>
        <v/>
      </c>
      <c r="CB71" s="36" t="str">
        <f t="shared" si="62"/>
        <v/>
      </c>
      <c r="CC71" s="27" t="str">
        <f t="shared" si="63"/>
        <v/>
      </c>
      <c r="CE71" s="3" t="str">
        <f t="array" ref="CE71">IFERROR(INDEX(TRAS1B1,SMALL(IF(FREQUENCY(IF(TRAS1B1&lt;&gt;"",MATCH(ROW(TRAS1B1),ROW(TRAS1B1)),""),MATCH(ROW(TRAS1B1),ROW(TRAS1B1)))&gt;0,MATCH(ROW(TRAS1B1),ROW(TRAS1B1)),""),ROW(BD8)),COLUMN(BD8)),"")</f>
        <v/>
      </c>
      <c r="CF71" s="36" t="str">
        <f t="array" ref="CF71">IFERROR(INDEX(TRAS1B2,SMALL(IF(FREQUENCY(IF(TRAS1B2&lt;&gt;"",MATCH(ROW(TRAS1B2),ROW(TRAS1B2)),""),MATCH(ROW(TRAS1B2),ROW(TRAS1B2)))&gt;0,MATCH(ROW(TRAS1B2),ROW(TRAS1B2)),""),ROW(BD8)),COLUMN(BD8)),"")</f>
        <v/>
      </c>
      <c r="CG71" s="36" t="str">
        <f t="array" ref="CG71">IFERROR(INDEX(TRAS1B3,SMALL(IF(FREQUENCY(IF(TRAS1B3&lt;&gt;"",MATCH(ROW(TRAS1B3),ROW(TRAS1B3)),""),MATCH(ROW(TRAS1B3),ROW(TRAS1B3)))&gt;0,MATCH(ROW(TRAS1B3),ROW(TRAS1B3)),""),ROW(BD8)),COLUMN(BD8)),"")</f>
        <v/>
      </c>
      <c r="CH71" s="36" t="str">
        <f t="array" ref="CH71">IFERROR(INDEX(TRAS1B4,SMALL(IF(FREQUENCY(IF(TRAS1B4&lt;&gt;"",MATCH(ROW(TRAS1B4),ROW(TRAS1B4)),""),MATCH(ROW(TRAS1B4),ROW(TRAS1B4)))&gt;0,MATCH(ROW(TRAS1B4),ROW(TRAS1B4)),""),ROW(BD8)),COLUMN(BD8)),"")</f>
        <v/>
      </c>
      <c r="CI71" s="36" t="str">
        <f t="array" ref="CI71">IFERROR(INDEX(TRAS1B5,SMALL(IF(FREQUENCY(IF(TRAS1B5&lt;&gt;"",MATCH(ROW(TRAS1B5),ROW(TRAS1B5)),""),MATCH(ROW(TRAS1B5),ROW(TRAS1B5)))&gt;0,MATCH(ROW(TRAS1B5),ROW(TRAS1B5)),""),ROW(BD8)),COLUMN(BD8)),"")</f>
        <v/>
      </c>
      <c r="CJ71" s="36" t="str">
        <f t="array" ref="CJ71">IFERROR(INDEX(TRAS1B6,SMALL(IF(FREQUENCY(IF(TRAS1B6&lt;&gt;"",MATCH(ROW(TRAS1B6),ROW(TRAS1B6)),""),MATCH(ROW(TRAS1B6),ROW(TRAS1B6)))&gt;0,MATCH(ROW(TRAS1B6),ROW(TRAS1B6)),""),ROW(BD8)),COLUMN(BD8)),"")</f>
        <v/>
      </c>
      <c r="CK71" s="36" t="str">
        <f t="array" ref="CK71">IFERROR(INDEX(TRAS1B7,SMALL(IF(FREQUENCY(IF(TRAS1B7&lt;&gt;"",MATCH(ROW(TRAS1B7),ROW(TRAS1B7)),""),MATCH(ROW(TRAS1B7),ROW(TRAS1B7)))&gt;0,MATCH(ROW(TRAS1B7),ROW(TRAS1B7)),""),ROW(BD8)),COLUMN(BD8)),"")</f>
        <v/>
      </c>
      <c r="CL71" s="36" t="str">
        <f t="array" ref="CL71">IFERROR(INDEX(TRAS1B8,SMALL(IF(FREQUENCY(IF(TRAS1B8&lt;&gt;"",MATCH(ROW(TRAS1B8),ROW(TRAS1B8)),""),MATCH(ROW(TRAS1B8),ROW(TRAS1B8)))&gt;0,MATCH(ROW(TRAS1B8),ROW(TRAS1B8)),""),ROW(BD8)),COLUMN(BD8)),"")</f>
        <v/>
      </c>
      <c r="CM71" s="36" t="str">
        <f t="array" ref="CM71">IFERROR(INDEX(TRAS1B9,SMALL(IF(FREQUENCY(IF(TRAS1B9&lt;&gt;"",MATCH(ROW(TRAS1B9),ROW(TRAS1B9)),""),MATCH(ROW(TRAS1B9),ROW(TRAS1B9)))&gt;0,MATCH(ROW(TRAS1B9),ROW(TRAS1B9)),""),ROW(BD8)),COLUMN(BD8)),"")</f>
        <v/>
      </c>
      <c r="CN71" s="36" t="str">
        <f t="array" ref="CN71">IFERROR(INDEX(TRAS1B10,SMALL(IF(FREQUENCY(IF(TRAS1B10&lt;&gt;"",MATCH(ROW(TRAS1B10),ROW(TRAS1B10)),""),MATCH(ROW(TRAS1B10),ROW(TRAS1B10)))&gt;0,MATCH(ROW(TRAS1B10),ROW(TRAS1B10)),""),ROW(BD8)),COLUMN(BD8)),"")</f>
        <v/>
      </c>
      <c r="CO71" s="36" t="str">
        <f t="array" ref="CO71">IFERROR(INDEX(TRAS1B11,SMALL(IF(FREQUENCY(IF(TRAS1B11&lt;&gt;"",MATCH(ROW(TRAS1B11),ROW(TRAS1B11)),""),MATCH(ROW(TRAS1B11),ROW(TRAS1B11)))&gt;0,MATCH(ROW(TRAS1B11),ROW(TRAS1B11)),""),ROW(BD8)),COLUMN(BD8)),"")</f>
        <v/>
      </c>
      <c r="CP71" s="27" t="str">
        <f t="array" ref="CP71">IFERROR(INDEX(TRAS1B12,SMALL(IF(FREQUENCY(IF(TRAS1B12&lt;&gt;"",MATCH(ROW(TRAS1B12),ROW(TRAS1B12)),""),MATCH(ROW(TRAS1B12),ROW(TRAS1B12)))&gt;0,MATCH(ROW(TRAS1B12),ROW(TRAS1B12)),""),ROW(BD8)),COLUMN(BD8)),"")</f>
        <v/>
      </c>
      <c r="CR71" s="3" t="str">
        <f t="shared" si="89"/>
        <v xml:space="preserve"> </v>
      </c>
      <c r="CS71" s="36" t="str">
        <f t="shared" si="64"/>
        <v xml:space="preserve"> </v>
      </c>
      <c r="CT71" s="36" t="str">
        <f t="shared" si="65"/>
        <v xml:space="preserve"> </v>
      </c>
      <c r="CU71" s="36" t="str">
        <f t="shared" si="66"/>
        <v xml:space="preserve"> </v>
      </c>
      <c r="CV71" s="36" t="str">
        <f t="shared" si="67"/>
        <v xml:space="preserve"> </v>
      </c>
      <c r="CW71" s="36" t="str">
        <f t="shared" si="68"/>
        <v xml:space="preserve"> </v>
      </c>
      <c r="CX71" s="36" t="str">
        <f t="shared" si="69"/>
        <v xml:space="preserve"> </v>
      </c>
      <c r="CY71" s="36" t="str">
        <f t="shared" si="70"/>
        <v xml:space="preserve"> </v>
      </c>
      <c r="CZ71" s="36" t="str">
        <f t="shared" si="71"/>
        <v xml:space="preserve"> </v>
      </c>
      <c r="DA71" s="36" t="str">
        <f t="shared" si="72"/>
        <v xml:space="preserve"> </v>
      </c>
      <c r="DB71" s="36" t="str">
        <f t="shared" si="73"/>
        <v xml:space="preserve"> </v>
      </c>
      <c r="DC71" s="27" t="str">
        <f t="shared" si="74"/>
        <v xml:space="preserve"> </v>
      </c>
    </row>
    <row r="72" spans="2:107" ht="13.5" customHeight="1" x14ac:dyDescent="0.35">
      <c r="B72" s="3" t="str">
        <v/>
      </c>
      <c r="C72" s="36" t="str">
        <v/>
      </c>
      <c r="D72" s="36" t="str">
        <v/>
      </c>
      <c r="E72" s="36" t="str">
        <v/>
      </c>
      <c r="F72" s="36" t="str">
        <v/>
      </c>
      <c r="G72" s="36" t="str">
        <v/>
      </c>
      <c r="H72" s="36" t="str">
        <v/>
      </c>
      <c r="I72" s="36" t="str">
        <v/>
      </c>
      <c r="J72" s="36" t="str">
        <v/>
      </c>
      <c r="K72" s="36" t="str">
        <v/>
      </c>
      <c r="L72" s="36" t="str">
        <v/>
      </c>
      <c r="M72" s="27" t="str">
        <v/>
      </c>
      <c r="O72" s="3" t="str">
        <f t="shared" si="75"/>
        <v/>
      </c>
      <c r="P72" s="36" t="str">
        <f t="shared" si="51"/>
        <v/>
      </c>
      <c r="Q72" s="36" t="str">
        <f t="shared" si="51"/>
        <v/>
      </c>
      <c r="R72" s="36" t="str">
        <f t="shared" si="51"/>
        <v/>
      </c>
      <c r="S72" s="36" t="str">
        <f t="shared" si="51"/>
        <v/>
      </c>
      <c r="T72" s="36" t="str">
        <f t="shared" si="51"/>
        <v/>
      </c>
      <c r="U72" s="36" t="str">
        <f t="shared" si="51"/>
        <v/>
      </c>
      <c r="V72" s="36" t="str">
        <f t="shared" si="51"/>
        <v/>
      </c>
      <c r="W72" s="36" t="str">
        <f t="shared" si="51"/>
        <v/>
      </c>
      <c r="X72" s="36" t="str">
        <f t="shared" si="51"/>
        <v/>
      </c>
      <c r="Y72" s="36" t="str">
        <f t="shared" si="51"/>
        <v/>
      </c>
      <c r="Z72" s="27" t="str">
        <f t="shared" si="51"/>
        <v/>
      </c>
      <c r="AB72" s="3" t="str">
        <f t="array" ref="AB72">IFERROR(INDEX(TRAS1B1,SMALL(IF(FREQUENCY(IF(TRAS1B1&lt;&gt;"",MATCH(ROW(TRAS1B1),ROW(TRAS1B1)),""),MATCH(ROW(TRAS1B1),ROW(TRAS1B1)))&gt;0,MATCH(ROW(TRAS1B1),ROW(TRAS1B1)),""),ROW(A9)),COLUMN(A9)),"")</f>
        <v>S</v>
      </c>
      <c r="AC72" s="36" t="str">
        <f t="array" ref="AC72">IFERROR(INDEX(TRAS1B2,SMALL(IF(FREQUENCY(IF(TRAS1B2&lt;&gt;"",MATCH(ROW(TRAS1B2),ROW(TRAS1B2)),""),MATCH(ROW(TRAS1B2),ROW(TRAS1B2)))&gt;0,MATCH(ROW(TRAS1B2),ROW(TRAS1B2)),""),ROW(A9)),COLUMN(A9)),"")</f>
        <v>R</v>
      </c>
      <c r="AD72" s="36" t="str">
        <f t="array" ref="AD72">IFERROR(INDEX(TRAS1B3,SMALL(IF(FREQUENCY(IF(TRAS1B3&lt;&gt;"",MATCH(ROW(TRAS1B3),ROW(TRAS1B3)),""),MATCH(ROW(TRAS1B3),ROW(TRAS1B3)))&gt;0,MATCH(ROW(TRAS1B3),ROW(TRAS1B3)),""),ROW(A9)),COLUMN(A9)),"")</f>
        <v>X</v>
      </c>
      <c r="AE72" s="36" t="str">
        <f t="array" ref="AE72">IFERROR(INDEX(TRAS1B4,SMALL(IF(FREQUENCY(IF(TRAS1B4&lt;&gt;"",MATCH(ROW(TRAS1B4),ROW(TRAS1B4)),""),MATCH(ROW(TRAS1B4),ROW(TRAS1B4)))&gt;0,MATCH(ROW(TRAS1B4),ROW(TRAS1B4)),""),ROW(A9)),COLUMN(A9)),"")</f>
        <v>R</v>
      </c>
      <c r="AF72" s="36" t="str">
        <f t="array" ref="AF72">IFERROR(INDEX(TRAS1B5,SMALL(IF(FREQUENCY(IF(TRAS1B5&lt;&gt;"",MATCH(ROW(TRAS1B5),ROW(TRAS1B5)),""),MATCH(ROW(TRAS1B5),ROW(TRAS1B5)))&gt;0,MATCH(ROW(TRAS1B5),ROW(TRAS1B5)),""),ROW(A9)),COLUMN(A9)),"")</f>
        <v>R</v>
      </c>
      <c r="AG72" s="36" t="str">
        <f t="array" ref="AG72">IFERROR(INDEX(TRAS1B6,SMALL(IF(FREQUENCY(IF(TRAS1B6&lt;&gt;"",MATCH(ROW(TRAS1B6),ROW(TRAS1B6)),""),MATCH(ROW(TRAS1B6),ROW(TRAS1B6)))&gt;0,MATCH(ROW(TRAS1B6),ROW(TRAS1B6)),""),ROW(A9)),COLUMN(A9)),"")</f>
        <v>R</v>
      </c>
      <c r="AH72" s="36" t="str">
        <f t="array" ref="AH72">IFERROR(INDEX(TRAS1B7,SMALL(IF(FREQUENCY(IF(TRAS1B7&lt;&gt;"",MATCH(ROW(TRAS1B7),ROW(TRAS1B7)),""),MATCH(ROW(TRAS1B7),ROW(TRAS1B7)))&gt;0,MATCH(ROW(TRAS1B7),ROW(TRAS1B7)),""),ROW(A9)),COLUMN(A9)),"")</f>
        <v/>
      </c>
      <c r="AI72" s="36" t="str">
        <f t="array" ref="AI72">IFERROR(INDEX(TRAS1B8,SMALL(IF(FREQUENCY(IF(TRAS1B8&lt;&gt;"",MATCH(ROW(TRAS1B8),ROW(TRAS1B8)),""),MATCH(ROW(TRAS1B8),ROW(TRAS1B8)))&gt;0,MATCH(ROW(TRAS1B8),ROW(TRAS1B8)),""),ROW(A9)),COLUMN(A9)),"")</f>
        <v/>
      </c>
      <c r="AJ72" s="36" t="str">
        <f t="array" ref="AJ72">IFERROR(INDEX(TRAS1B9,SMALL(IF(FREQUENCY(IF(TRAS1B9&lt;&gt;"",MATCH(ROW(TRAS1B9),ROW(TRAS1B9)),""),MATCH(ROW(TRAS1B9),ROW(TRAS1B9)))&gt;0,MATCH(ROW(TRAS1B9),ROW(TRAS1B9)),""),ROW(A9)),COLUMN(A9)),"")</f>
        <v/>
      </c>
      <c r="AK72" s="36" t="str">
        <f t="array" ref="AK72">IFERROR(INDEX(TRAS1B10,SMALL(IF(FREQUENCY(IF(TRAS1B10&lt;&gt;"",MATCH(ROW(TRAS1B10),ROW(TRAS1B10)),""),MATCH(ROW(TRAS1B10),ROW(TRAS1B10)))&gt;0,MATCH(ROW(TRAS1B10),ROW(TRAS1B10)),""),ROW(A9)),COLUMN(A9)),"")</f>
        <v/>
      </c>
      <c r="AL72" s="36" t="str">
        <f t="array" ref="AL72">IFERROR(INDEX(TRAS1B11,SMALL(IF(FREQUENCY(IF(TRAS1B11&lt;&gt;"",MATCH(ROW(TRAS1B11),ROW(TRAS1B11)),""),MATCH(ROW(TRAS1B11),ROW(TRAS1B11)))&gt;0,MATCH(ROW(TRAS1B11),ROW(TRAS1B11)),""),ROW(A9)),COLUMN(A9)),"")</f>
        <v/>
      </c>
      <c r="AM72" s="27" t="str">
        <f t="array" ref="AM72">IFERROR(INDEX(TRAS1B12,SMALL(IF(FREQUENCY(IF(TRAS1B12&lt;&gt;"",MATCH(ROW(TRAS1B12),ROW(TRAS1B12)),""),MATCH(ROW(TRAS1B12),ROW(TRAS1B12)))&gt;0,MATCH(ROW(TRAS1B12),ROW(TRAS1B12)),""),ROW(A9)),COLUMN(A9)),"")</f>
        <v/>
      </c>
      <c r="AO72" s="3" t="str">
        <f t="shared" si="76"/>
        <v>S</v>
      </c>
      <c r="AP72" s="36" t="str">
        <f t="shared" si="77"/>
        <v>R</v>
      </c>
      <c r="AQ72" s="36" t="str">
        <f t="shared" si="78"/>
        <v>X</v>
      </c>
      <c r="AR72" s="36" t="str">
        <f t="shared" si="79"/>
        <v>R</v>
      </c>
      <c r="AS72" s="36" t="str">
        <f t="shared" si="80"/>
        <v>R</v>
      </c>
      <c r="AT72" s="36" t="str">
        <f t="shared" si="81"/>
        <v>R</v>
      </c>
      <c r="AU72" s="36" t="str">
        <f t="shared" si="82"/>
        <v xml:space="preserve"> </v>
      </c>
      <c r="AV72" s="36" t="str">
        <f t="shared" si="83"/>
        <v xml:space="preserve"> </v>
      </c>
      <c r="AW72" s="36" t="str">
        <f t="shared" si="84"/>
        <v xml:space="preserve"> </v>
      </c>
      <c r="AX72" s="36" t="str">
        <f t="shared" si="85"/>
        <v xml:space="preserve"> </v>
      </c>
      <c r="AY72" s="36" t="str">
        <f t="shared" si="86"/>
        <v xml:space="preserve"> </v>
      </c>
      <c r="AZ72" s="27" t="str">
        <f t="shared" si="87"/>
        <v xml:space="preserve"> </v>
      </c>
      <c r="BE72" s="3" t="str">
        <v/>
      </c>
      <c r="BF72" s="36" t="str">
        <v/>
      </c>
      <c r="BG72" s="36" t="str">
        <v/>
      </c>
      <c r="BH72" s="36" t="str">
        <v/>
      </c>
      <c r="BI72" s="36" t="str">
        <v/>
      </c>
      <c r="BJ72" s="36" t="str">
        <v/>
      </c>
      <c r="BK72" s="36" t="str">
        <v/>
      </c>
      <c r="BL72" s="36" t="str">
        <v/>
      </c>
      <c r="BM72" s="36" t="str">
        <v/>
      </c>
      <c r="BN72" s="36" t="str">
        <v/>
      </c>
      <c r="BO72" s="36" t="str">
        <v/>
      </c>
      <c r="BP72" s="27" t="str">
        <v/>
      </c>
      <c r="BR72" s="3" t="str">
        <f t="shared" si="88"/>
        <v/>
      </c>
      <c r="BS72" s="36" t="str">
        <f t="shared" si="53"/>
        <v/>
      </c>
      <c r="BT72" s="36" t="str">
        <f t="shared" si="54"/>
        <v/>
      </c>
      <c r="BU72" s="36" t="str">
        <f t="shared" si="55"/>
        <v/>
      </c>
      <c r="BV72" s="36" t="str">
        <f t="shared" si="56"/>
        <v/>
      </c>
      <c r="BW72" s="36" t="str">
        <f t="shared" si="57"/>
        <v/>
      </c>
      <c r="BX72" s="36" t="str">
        <f t="shared" si="58"/>
        <v/>
      </c>
      <c r="BY72" s="36" t="str">
        <f t="shared" si="59"/>
        <v/>
      </c>
      <c r="BZ72" s="36" t="str">
        <f t="shared" si="60"/>
        <v/>
      </c>
      <c r="CA72" s="36" t="str">
        <f t="shared" si="61"/>
        <v/>
      </c>
      <c r="CB72" s="36" t="str">
        <f t="shared" si="62"/>
        <v/>
      </c>
      <c r="CC72" s="27" t="str">
        <f t="shared" si="63"/>
        <v/>
      </c>
      <c r="CE72" s="3" t="str">
        <f t="array" ref="CE72">IFERROR(INDEX(TRAS1B1,SMALL(IF(FREQUENCY(IF(TRAS1B1&lt;&gt;"",MATCH(ROW(TRAS1B1),ROW(TRAS1B1)),""),MATCH(ROW(TRAS1B1),ROW(TRAS1B1)))&gt;0,MATCH(ROW(TRAS1B1),ROW(TRAS1B1)),""),ROW(BD9)),COLUMN(BD9)),"")</f>
        <v/>
      </c>
      <c r="CF72" s="36" t="str">
        <f t="array" ref="CF72">IFERROR(INDEX(TRAS1B2,SMALL(IF(FREQUENCY(IF(TRAS1B2&lt;&gt;"",MATCH(ROW(TRAS1B2),ROW(TRAS1B2)),""),MATCH(ROW(TRAS1B2),ROW(TRAS1B2)))&gt;0,MATCH(ROW(TRAS1B2),ROW(TRAS1B2)),""),ROW(BD9)),COLUMN(BD9)),"")</f>
        <v/>
      </c>
      <c r="CG72" s="36" t="str">
        <f t="array" ref="CG72">IFERROR(INDEX(TRAS1B3,SMALL(IF(FREQUENCY(IF(TRAS1B3&lt;&gt;"",MATCH(ROW(TRAS1B3),ROW(TRAS1B3)),""),MATCH(ROW(TRAS1B3),ROW(TRAS1B3)))&gt;0,MATCH(ROW(TRAS1B3),ROW(TRAS1B3)),""),ROW(BD9)),COLUMN(BD9)),"")</f>
        <v/>
      </c>
      <c r="CH72" s="36" t="str">
        <f t="array" ref="CH72">IFERROR(INDEX(TRAS1B4,SMALL(IF(FREQUENCY(IF(TRAS1B4&lt;&gt;"",MATCH(ROW(TRAS1B4),ROW(TRAS1B4)),""),MATCH(ROW(TRAS1B4),ROW(TRAS1B4)))&gt;0,MATCH(ROW(TRAS1B4),ROW(TRAS1B4)),""),ROW(BD9)),COLUMN(BD9)),"")</f>
        <v/>
      </c>
      <c r="CI72" s="36" t="str">
        <f t="array" ref="CI72">IFERROR(INDEX(TRAS1B5,SMALL(IF(FREQUENCY(IF(TRAS1B5&lt;&gt;"",MATCH(ROW(TRAS1B5),ROW(TRAS1B5)),""),MATCH(ROW(TRAS1B5),ROW(TRAS1B5)))&gt;0,MATCH(ROW(TRAS1B5),ROW(TRAS1B5)),""),ROW(BD9)),COLUMN(BD9)),"")</f>
        <v/>
      </c>
      <c r="CJ72" s="36" t="str">
        <f t="array" ref="CJ72">IFERROR(INDEX(TRAS1B6,SMALL(IF(FREQUENCY(IF(TRAS1B6&lt;&gt;"",MATCH(ROW(TRAS1B6),ROW(TRAS1B6)),""),MATCH(ROW(TRAS1B6),ROW(TRAS1B6)))&gt;0,MATCH(ROW(TRAS1B6),ROW(TRAS1B6)),""),ROW(BD9)),COLUMN(BD9)),"")</f>
        <v/>
      </c>
      <c r="CK72" s="36" t="str">
        <f t="array" ref="CK72">IFERROR(INDEX(TRAS1B7,SMALL(IF(FREQUENCY(IF(TRAS1B7&lt;&gt;"",MATCH(ROW(TRAS1B7),ROW(TRAS1B7)),""),MATCH(ROW(TRAS1B7),ROW(TRAS1B7)))&gt;0,MATCH(ROW(TRAS1B7),ROW(TRAS1B7)),""),ROW(BD9)),COLUMN(BD9)),"")</f>
        <v/>
      </c>
      <c r="CL72" s="36" t="str">
        <f t="array" ref="CL72">IFERROR(INDEX(TRAS1B8,SMALL(IF(FREQUENCY(IF(TRAS1B8&lt;&gt;"",MATCH(ROW(TRAS1B8),ROW(TRAS1B8)),""),MATCH(ROW(TRAS1B8),ROW(TRAS1B8)))&gt;0,MATCH(ROW(TRAS1B8),ROW(TRAS1B8)),""),ROW(BD9)),COLUMN(BD9)),"")</f>
        <v/>
      </c>
      <c r="CM72" s="36" t="str">
        <f t="array" ref="CM72">IFERROR(INDEX(TRAS1B9,SMALL(IF(FREQUENCY(IF(TRAS1B9&lt;&gt;"",MATCH(ROW(TRAS1B9),ROW(TRAS1B9)),""),MATCH(ROW(TRAS1B9),ROW(TRAS1B9)))&gt;0,MATCH(ROW(TRAS1B9),ROW(TRAS1B9)),""),ROW(BD9)),COLUMN(BD9)),"")</f>
        <v/>
      </c>
      <c r="CN72" s="36" t="str">
        <f t="array" ref="CN72">IFERROR(INDEX(TRAS1B10,SMALL(IF(FREQUENCY(IF(TRAS1B10&lt;&gt;"",MATCH(ROW(TRAS1B10),ROW(TRAS1B10)),""),MATCH(ROW(TRAS1B10),ROW(TRAS1B10)))&gt;0,MATCH(ROW(TRAS1B10),ROW(TRAS1B10)),""),ROW(BD9)),COLUMN(BD9)),"")</f>
        <v/>
      </c>
      <c r="CO72" s="36" t="str">
        <f t="array" ref="CO72">IFERROR(INDEX(TRAS1B11,SMALL(IF(FREQUENCY(IF(TRAS1B11&lt;&gt;"",MATCH(ROW(TRAS1B11),ROW(TRAS1B11)),""),MATCH(ROW(TRAS1B11),ROW(TRAS1B11)))&gt;0,MATCH(ROW(TRAS1B11),ROW(TRAS1B11)),""),ROW(BD9)),COLUMN(BD9)),"")</f>
        <v/>
      </c>
      <c r="CP72" s="27" t="str">
        <f t="array" ref="CP72">IFERROR(INDEX(TRAS1B12,SMALL(IF(FREQUENCY(IF(TRAS1B12&lt;&gt;"",MATCH(ROW(TRAS1B12),ROW(TRAS1B12)),""),MATCH(ROW(TRAS1B12),ROW(TRAS1B12)))&gt;0,MATCH(ROW(TRAS1B12),ROW(TRAS1B12)),""),ROW(BD9)),COLUMN(BD9)),"")</f>
        <v/>
      </c>
      <c r="CR72" s="3" t="str">
        <f t="shared" si="89"/>
        <v xml:space="preserve"> </v>
      </c>
      <c r="CS72" s="36" t="str">
        <f t="shared" si="64"/>
        <v xml:space="preserve"> </v>
      </c>
      <c r="CT72" s="36" t="str">
        <f t="shared" si="65"/>
        <v xml:space="preserve"> </v>
      </c>
      <c r="CU72" s="36" t="str">
        <f t="shared" si="66"/>
        <v xml:space="preserve"> </v>
      </c>
      <c r="CV72" s="36" t="str">
        <f t="shared" si="67"/>
        <v xml:space="preserve"> </v>
      </c>
      <c r="CW72" s="36" t="str">
        <f t="shared" si="68"/>
        <v xml:space="preserve"> </v>
      </c>
      <c r="CX72" s="36" t="str">
        <f t="shared" si="69"/>
        <v xml:space="preserve"> </v>
      </c>
      <c r="CY72" s="36" t="str">
        <f t="shared" si="70"/>
        <v xml:space="preserve"> </v>
      </c>
      <c r="CZ72" s="36" t="str">
        <f t="shared" si="71"/>
        <v xml:space="preserve"> </v>
      </c>
      <c r="DA72" s="36" t="str">
        <f t="shared" si="72"/>
        <v xml:space="preserve"> </v>
      </c>
      <c r="DB72" s="36" t="str">
        <f t="shared" si="73"/>
        <v xml:space="preserve"> </v>
      </c>
      <c r="DC72" s="27" t="str">
        <f t="shared" si="74"/>
        <v xml:space="preserve"> </v>
      </c>
    </row>
    <row r="73" spans="2:107" ht="13.5" customHeight="1" x14ac:dyDescent="0.35">
      <c r="B73" s="3" t="str">
        <v>S</v>
      </c>
      <c r="C73" s="36" t="str">
        <v>S</v>
      </c>
      <c r="D73" s="36" t="str">
        <v>R</v>
      </c>
      <c r="E73" s="36" t="str">
        <v>R</v>
      </c>
      <c r="F73" s="36" t="str">
        <v>R</v>
      </c>
      <c r="G73" s="36" t="str">
        <v>S</v>
      </c>
      <c r="H73" s="36" t="str">
        <v/>
      </c>
      <c r="I73" s="36" t="str">
        <v/>
      </c>
      <c r="J73" s="36" t="str">
        <v/>
      </c>
      <c r="K73" s="36" t="str">
        <v/>
      </c>
      <c r="L73" s="36" t="str">
        <v/>
      </c>
      <c r="M73" s="27" t="str">
        <v/>
      </c>
      <c r="O73" s="3" t="str">
        <f t="shared" si="75"/>
        <v>S</v>
      </c>
      <c r="P73" s="36" t="str">
        <f t="shared" si="51"/>
        <v>S</v>
      </c>
      <c r="Q73" s="36" t="str">
        <f t="shared" si="51"/>
        <v>R</v>
      </c>
      <c r="R73" s="36" t="str">
        <f t="shared" si="51"/>
        <v>R</v>
      </c>
      <c r="S73" s="36" t="str">
        <f t="shared" si="51"/>
        <v>R</v>
      </c>
      <c r="T73" s="36" t="str">
        <f t="shared" si="51"/>
        <v>S</v>
      </c>
      <c r="U73" s="36" t="str">
        <f t="shared" si="51"/>
        <v/>
      </c>
      <c r="V73" s="36" t="str">
        <f t="shared" si="51"/>
        <v/>
      </c>
      <c r="W73" s="36" t="str">
        <f t="shared" si="51"/>
        <v/>
      </c>
      <c r="X73" s="36" t="str">
        <f t="shared" si="51"/>
        <v/>
      </c>
      <c r="Y73" s="36" t="str">
        <f t="shared" si="51"/>
        <v/>
      </c>
      <c r="Z73" s="27" t="str">
        <f t="shared" si="51"/>
        <v/>
      </c>
      <c r="AB73" s="3" t="str">
        <f t="array" ref="AB73">IFERROR(INDEX(TRAS1B1,SMALL(IF(FREQUENCY(IF(TRAS1B1&lt;&gt;"",MATCH(ROW(TRAS1B1),ROW(TRAS1B1)),""),MATCH(ROW(TRAS1B1),ROW(TRAS1B1)))&gt;0,MATCH(ROW(TRAS1B1),ROW(TRAS1B1)),""),ROW(A10)),COLUMN(A10)),"")</f>
        <v>X</v>
      </c>
      <c r="AC73" s="36" t="str">
        <f t="array" ref="AC73">IFERROR(INDEX(TRAS1B2,SMALL(IF(FREQUENCY(IF(TRAS1B2&lt;&gt;"",MATCH(ROW(TRAS1B2),ROW(TRAS1B2)),""),MATCH(ROW(TRAS1B2),ROW(TRAS1B2)))&gt;0,MATCH(ROW(TRAS1B2),ROW(TRAS1B2)),""),ROW(A10)),COLUMN(A10)),"")</f>
        <v/>
      </c>
      <c r="AD73" s="36" t="str">
        <f t="array" ref="AD73">IFERROR(INDEX(TRAS1B3,SMALL(IF(FREQUENCY(IF(TRAS1B3&lt;&gt;"",MATCH(ROW(TRAS1B3),ROW(TRAS1B3)),""),MATCH(ROW(TRAS1B3),ROW(TRAS1B3)))&gt;0,MATCH(ROW(TRAS1B3),ROW(TRAS1B3)),""),ROW(A10)),COLUMN(A10)),"")</f>
        <v>X</v>
      </c>
      <c r="AE73" s="36" t="str">
        <f t="array" ref="AE73">IFERROR(INDEX(TRAS1B4,SMALL(IF(FREQUENCY(IF(TRAS1B4&lt;&gt;"",MATCH(ROW(TRAS1B4),ROW(TRAS1B4)),""),MATCH(ROW(TRAS1B4),ROW(TRAS1B4)))&gt;0,MATCH(ROW(TRAS1B4),ROW(TRAS1B4)),""),ROW(A10)),COLUMN(A10)),"")</f>
        <v>S</v>
      </c>
      <c r="AF73" s="36" t="str">
        <f t="array" ref="AF73">IFERROR(INDEX(TRAS1B5,SMALL(IF(FREQUENCY(IF(TRAS1B5&lt;&gt;"",MATCH(ROW(TRAS1B5),ROW(TRAS1B5)),""),MATCH(ROW(TRAS1B5),ROW(TRAS1B5)))&gt;0,MATCH(ROW(TRAS1B5),ROW(TRAS1B5)),""),ROW(A10)),COLUMN(A10)),"")</f>
        <v>X</v>
      </c>
      <c r="AG73" s="36" t="str">
        <f t="array" ref="AG73">IFERROR(INDEX(TRAS1B6,SMALL(IF(FREQUENCY(IF(TRAS1B6&lt;&gt;"",MATCH(ROW(TRAS1B6),ROW(TRAS1B6)),""),MATCH(ROW(TRAS1B6),ROW(TRAS1B6)))&gt;0,MATCH(ROW(TRAS1B6),ROW(TRAS1B6)),""),ROW(A10)),COLUMN(A10)),"")</f>
        <v/>
      </c>
      <c r="AH73" s="36" t="str">
        <f t="array" ref="AH73">IFERROR(INDEX(TRAS1B7,SMALL(IF(FREQUENCY(IF(TRAS1B7&lt;&gt;"",MATCH(ROW(TRAS1B7),ROW(TRAS1B7)),""),MATCH(ROW(TRAS1B7),ROW(TRAS1B7)))&gt;0,MATCH(ROW(TRAS1B7),ROW(TRAS1B7)),""),ROW(A10)),COLUMN(A10)),"")</f>
        <v/>
      </c>
      <c r="AI73" s="36" t="str">
        <f t="array" ref="AI73">IFERROR(INDEX(TRAS1B8,SMALL(IF(FREQUENCY(IF(TRAS1B8&lt;&gt;"",MATCH(ROW(TRAS1B8),ROW(TRAS1B8)),""),MATCH(ROW(TRAS1B8),ROW(TRAS1B8)))&gt;0,MATCH(ROW(TRAS1B8),ROW(TRAS1B8)),""),ROW(A10)),COLUMN(A10)),"")</f>
        <v/>
      </c>
      <c r="AJ73" s="36" t="str">
        <f t="array" ref="AJ73">IFERROR(INDEX(TRAS1B9,SMALL(IF(FREQUENCY(IF(TRAS1B9&lt;&gt;"",MATCH(ROW(TRAS1B9),ROW(TRAS1B9)),""),MATCH(ROW(TRAS1B9),ROW(TRAS1B9)))&gt;0,MATCH(ROW(TRAS1B9),ROW(TRAS1B9)),""),ROW(A10)),COLUMN(A10)),"")</f>
        <v/>
      </c>
      <c r="AK73" s="36" t="str">
        <f t="array" ref="AK73">IFERROR(INDEX(TRAS1B10,SMALL(IF(FREQUENCY(IF(TRAS1B10&lt;&gt;"",MATCH(ROW(TRAS1B10),ROW(TRAS1B10)),""),MATCH(ROW(TRAS1B10),ROW(TRAS1B10)))&gt;0,MATCH(ROW(TRAS1B10),ROW(TRAS1B10)),""),ROW(A10)),COLUMN(A10)),"")</f>
        <v/>
      </c>
      <c r="AL73" s="36" t="str">
        <f t="array" ref="AL73">IFERROR(INDEX(TRAS1B11,SMALL(IF(FREQUENCY(IF(TRAS1B11&lt;&gt;"",MATCH(ROW(TRAS1B11),ROW(TRAS1B11)),""),MATCH(ROW(TRAS1B11),ROW(TRAS1B11)))&gt;0,MATCH(ROW(TRAS1B11),ROW(TRAS1B11)),""),ROW(A10)),COLUMN(A10)),"")</f>
        <v/>
      </c>
      <c r="AM73" s="27" t="str">
        <f t="array" ref="AM73">IFERROR(INDEX(TRAS1B12,SMALL(IF(FREQUENCY(IF(TRAS1B12&lt;&gt;"",MATCH(ROW(TRAS1B12),ROW(TRAS1B12)),""),MATCH(ROW(TRAS1B12),ROW(TRAS1B12)))&gt;0,MATCH(ROW(TRAS1B12),ROW(TRAS1B12)),""),ROW(A10)),COLUMN(A10)),"")</f>
        <v/>
      </c>
      <c r="AO73" s="3" t="str">
        <f t="shared" si="76"/>
        <v>X</v>
      </c>
      <c r="AP73" s="36" t="str">
        <f t="shared" si="77"/>
        <v xml:space="preserve"> </v>
      </c>
      <c r="AQ73" s="36" t="str">
        <f t="shared" si="78"/>
        <v>X</v>
      </c>
      <c r="AR73" s="36" t="str">
        <f t="shared" si="79"/>
        <v>S</v>
      </c>
      <c r="AS73" s="36" t="str">
        <f t="shared" si="80"/>
        <v>X</v>
      </c>
      <c r="AT73" s="36" t="str">
        <f t="shared" si="81"/>
        <v xml:space="preserve"> </v>
      </c>
      <c r="AU73" s="36" t="str">
        <f t="shared" si="82"/>
        <v xml:space="preserve"> </v>
      </c>
      <c r="AV73" s="36" t="str">
        <f t="shared" si="83"/>
        <v xml:space="preserve"> </v>
      </c>
      <c r="AW73" s="36" t="str">
        <f t="shared" si="84"/>
        <v xml:space="preserve"> </v>
      </c>
      <c r="AX73" s="36" t="str">
        <f t="shared" si="85"/>
        <v xml:space="preserve"> </v>
      </c>
      <c r="AY73" s="36" t="str">
        <f t="shared" si="86"/>
        <v xml:space="preserve"> </v>
      </c>
      <c r="AZ73" s="27" t="str">
        <f t="shared" si="87"/>
        <v xml:space="preserve"> </v>
      </c>
      <c r="BE73" s="3" t="str">
        <v>S</v>
      </c>
      <c r="BF73" s="36" t="str">
        <v>S</v>
      </c>
      <c r="BG73" s="36" t="str">
        <v>R</v>
      </c>
      <c r="BH73" s="36" t="str">
        <v>R</v>
      </c>
      <c r="BI73" s="36" t="str">
        <v>R</v>
      </c>
      <c r="BJ73" s="36" t="str">
        <v>S</v>
      </c>
      <c r="BK73" s="36" t="str">
        <v/>
      </c>
      <c r="BL73" s="36" t="str">
        <v/>
      </c>
      <c r="BM73" s="36" t="str">
        <v/>
      </c>
      <c r="BN73" s="36" t="str">
        <v/>
      </c>
      <c r="BO73" s="36" t="str">
        <v/>
      </c>
      <c r="BP73" s="27" t="str">
        <v/>
      </c>
      <c r="BR73" s="3" t="str">
        <f t="shared" si="88"/>
        <v>S</v>
      </c>
      <c r="BS73" s="36" t="str">
        <f t="shared" si="53"/>
        <v>S</v>
      </c>
      <c r="BT73" s="36" t="str">
        <f t="shared" si="54"/>
        <v>R</v>
      </c>
      <c r="BU73" s="36" t="str">
        <f t="shared" si="55"/>
        <v>R</v>
      </c>
      <c r="BV73" s="36" t="str">
        <f t="shared" si="56"/>
        <v>R</v>
      </c>
      <c r="BW73" s="36" t="str">
        <f t="shared" si="57"/>
        <v>S</v>
      </c>
      <c r="BX73" s="36" t="str">
        <f t="shared" si="58"/>
        <v/>
      </c>
      <c r="BY73" s="36" t="str">
        <f t="shared" si="59"/>
        <v/>
      </c>
      <c r="BZ73" s="36" t="str">
        <f t="shared" si="60"/>
        <v/>
      </c>
      <c r="CA73" s="36" t="str">
        <f t="shared" si="61"/>
        <v/>
      </c>
      <c r="CB73" s="36" t="str">
        <f t="shared" si="62"/>
        <v/>
      </c>
      <c r="CC73" s="27" t="str">
        <f t="shared" si="63"/>
        <v/>
      </c>
      <c r="CE73" s="3" t="str">
        <f t="array" ref="CE73">IFERROR(INDEX(TRAS1B1,SMALL(IF(FREQUENCY(IF(TRAS1B1&lt;&gt;"",MATCH(ROW(TRAS1B1),ROW(TRAS1B1)),""),MATCH(ROW(TRAS1B1),ROW(TRAS1B1)))&gt;0,MATCH(ROW(TRAS1B1),ROW(TRAS1B1)),""),ROW(BD10)),COLUMN(BD10)),"")</f>
        <v/>
      </c>
      <c r="CF73" s="36" t="str">
        <f t="array" ref="CF73">IFERROR(INDEX(TRAS1B2,SMALL(IF(FREQUENCY(IF(TRAS1B2&lt;&gt;"",MATCH(ROW(TRAS1B2),ROW(TRAS1B2)),""),MATCH(ROW(TRAS1B2),ROW(TRAS1B2)))&gt;0,MATCH(ROW(TRAS1B2),ROW(TRAS1B2)),""),ROW(BD10)),COLUMN(BD10)),"")</f>
        <v/>
      </c>
      <c r="CG73" s="36" t="str">
        <f t="array" ref="CG73">IFERROR(INDEX(TRAS1B3,SMALL(IF(FREQUENCY(IF(TRAS1B3&lt;&gt;"",MATCH(ROW(TRAS1B3),ROW(TRAS1B3)),""),MATCH(ROW(TRAS1B3),ROW(TRAS1B3)))&gt;0,MATCH(ROW(TRAS1B3),ROW(TRAS1B3)),""),ROW(BD10)),COLUMN(BD10)),"")</f>
        <v/>
      </c>
      <c r="CH73" s="36" t="str">
        <f t="array" ref="CH73">IFERROR(INDEX(TRAS1B4,SMALL(IF(FREQUENCY(IF(TRAS1B4&lt;&gt;"",MATCH(ROW(TRAS1B4),ROW(TRAS1B4)),""),MATCH(ROW(TRAS1B4),ROW(TRAS1B4)))&gt;0,MATCH(ROW(TRAS1B4),ROW(TRAS1B4)),""),ROW(BD10)),COLUMN(BD10)),"")</f>
        <v/>
      </c>
      <c r="CI73" s="36" t="str">
        <f t="array" ref="CI73">IFERROR(INDEX(TRAS1B5,SMALL(IF(FREQUENCY(IF(TRAS1B5&lt;&gt;"",MATCH(ROW(TRAS1B5),ROW(TRAS1B5)),""),MATCH(ROW(TRAS1B5),ROW(TRAS1B5)))&gt;0,MATCH(ROW(TRAS1B5),ROW(TRAS1B5)),""),ROW(BD10)),COLUMN(BD10)),"")</f>
        <v/>
      </c>
      <c r="CJ73" s="36" t="str">
        <f t="array" ref="CJ73">IFERROR(INDEX(TRAS1B6,SMALL(IF(FREQUENCY(IF(TRAS1B6&lt;&gt;"",MATCH(ROW(TRAS1B6),ROW(TRAS1B6)),""),MATCH(ROW(TRAS1B6),ROW(TRAS1B6)))&gt;0,MATCH(ROW(TRAS1B6),ROW(TRAS1B6)),""),ROW(BD10)),COLUMN(BD10)),"")</f>
        <v/>
      </c>
      <c r="CK73" s="36" t="str">
        <f t="array" ref="CK73">IFERROR(INDEX(TRAS1B7,SMALL(IF(FREQUENCY(IF(TRAS1B7&lt;&gt;"",MATCH(ROW(TRAS1B7),ROW(TRAS1B7)),""),MATCH(ROW(TRAS1B7),ROW(TRAS1B7)))&gt;0,MATCH(ROW(TRAS1B7),ROW(TRAS1B7)),""),ROW(BD10)),COLUMN(BD10)),"")</f>
        <v/>
      </c>
      <c r="CL73" s="36" t="str">
        <f t="array" ref="CL73">IFERROR(INDEX(TRAS1B8,SMALL(IF(FREQUENCY(IF(TRAS1B8&lt;&gt;"",MATCH(ROW(TRAS1B8),ROW(TRAS1B8)),""),MATCH(ROW(TRAS1B8),ROW(TRAS1B8)))&gt;0,MATCH(ROW(TRAS1B8),ROW(TRAS1B8)),""),ROW(BD10)),COLUMN(BD10)),"")</f>
        <v/>
      </c>
      <c r="CM73" s="36" t="str">
        <f t="array" ref="CM73">IFERROR(INDEX(TRAS1B9,SMALL(IF(FREQUENCY(IF(TRAS1B9&lt;&gt;"",MATCH(ROW(TRAS1B9),ROW(TRAS1B9)),""),MATCH(ROW(TRAS1B9),ROW(TRAS1B9)))&gt;0,MATCH(ROW(TRAS1B9),ROW(TRAS1B9)),""),ROW(BD10)),COLUMN(BD10)),"")</f>
        <v/>
      </c>
      <c r="CN73" s="36" t="str">
        <f t="array" ref="CN73">IFERROR(INDEX(TRAS1B10,SMALL(IF(FREQUENCY(IF(TRAS1B10&lt;&gt;"",MATCH(ROW(TRAS1B10),ROW(TRAS1B10)),""),MATCH(ROW(TRAS1B10),ROW(TRAS1B10)))&gt;0,MATCH(ROW(TRAS1B10),ROW(TRAS1B10)),""),ROW(BD10)),COLUMN(BD10)),"")</f>
        <v/>
      </c>
      <c r="CO73" s="36" t="str">
        <f t="array" ref="CO73">IFERROR(INDEX(TRAS1B11,SMALL(IF(FREQUENCY(IF(TRAS1B11&lt;&gt;"",MATCH(ROW(TRAS1B11),ROW(TRAS1B11)),""),MATCH(ROW(TRAS1B11),ROW(TRAS1B11)))&gt;0,MATCH(ROW(TRAS1B11),ROW(TRAS1B11)),""),ROW(BD10)),COLUMN(BD10)),"")</f>
        <v/>
      </c>
      <c r="CP73" s="27" t="str">
        <f t="array" ref="CP73">IFERROR(INDEX(TRAS1B12,SMALL(IF(FREQUENCY(IF(TRAS1B12&lt;&gt;"",MATCH(ROW(TRAS1B12),ROW(TRAS1B12)),""),MATCH(ROW(TRAS1B12),ROW(TRAS1B12)))&gt;0,MATCH(ROW(TRAS1B12),ROW(TRAS1B12)),""),ROW(BD10)),COLUMN(BD10)),"")</f>
        <v/>
      </c>
      <c r="CR73" s="3" t="str">
        <f t="shared" si="89"/>
        <v xml:space="preserve"> </v>
      </c>
      <c r="CS73" s="36" t="str">
        <f t="shared" si="64"/>
        <v xml:space="preserve"> </v>
      </c>
      <c r="CT73" s="36" t="str">
        <f t="shared" si="65"/>
        <v xml:space="preserve"> </v>
      </c>
      <c r="CU73" s="36" t="str">
        <f t="shared" si="66"/>
        <v xml:space="preserve"> </v>
      </c>
      <c r="CV73" s="36" t="str">
        <f t="shared" si="67"/>
        <v xml:space="preserve"> </v>
      </c>
      <c r="CW73" s="36" t="str">
        <f t="shared" si="68"/>
        <v xml:space="preserve"> </v>
      </c>
      <c r="CX73" s="36" t="str">
        <f t="shared" si="69"/>
        <v xml:space="preserve"> </v>
      </c>
      <c r="CY73" s="36" t="str">
        <f t="shared" si="70"/>
        <v xml:space="preserve"> </v>
      </c>
      <c r="CZ73" s="36" t="str">
        <f t="shared" si="71"/>
        <v xml:space="preserve"> </v>
      </c>
      <c r="DA73" s="36" t="str">
        <f t="shared" si="72"/>
        <v xml:space="preserve"> </v>
      </c>
      <c r="DB73" s="36" t="str">
        <f t="shared" si="73"/>
        <v xml:space="preserve"> </v>
      </c>
      <c r="DC73" s="27" t="str">
        <f t="shared" si="74"/>
        <v xml:space="preserve"> </v>
      </c>
    </row>
    <row r="74" spans="2:107" ht="13.5" customHeight="1" x14ac:dyDescent="0.35">
      <c r="B74" s="3" t="str">
        <v>X</v>
      </c>
      <c r="C74" s="36" t="str">
        <v>R</v>
      </c>
      <c r="D74" s="36" t="str">
        <v>X</v>
      </c>
      <c r="E74" s="36" t="str">
        <v>R</v>
      </c>
      <c r="F74" s="36" t="str">
        <v>X</v>
      </c>
      <c r="G74" s="36" t="str">
        <v>R</v>
      </c>
      <c r="H74" s="36" t="str">
        <v/>
      </c>
      <c r="I74" s="36" t="str">
        <v/>
      </c>
      <c r="J74" s="36" t="str">
        <v/>
      </c>
      <c r="K74" s="36" t="str">
        <v/>
      </c>
      <c r="L74" s="36" t="str">
        <v/>
      </c>
      <c r="M74" s="27" t="str">
        <v/>
      </c>
      <c r="O74" s="3" t="str">
        <f t="shared" si="75"/>
        <v>X</v>
      </c>
      <c r="P74" s="36" t="str">
        <f t="shared" si="51"/>
        <v>R</v>
      </c>
      <c r="Q74" s="36" t="str">
        <f t="shared" si="51"/>
        <v>X</v>
      </c>
      <c r="R74" s="36" t="str">
        <f t="shared" si="51"/>
        <v>R</v>
      </c>
      <c r="S74" s="36" t="str">
        <f t="shared" si="51"/>
        <v>X</v>
      </c>
      <c r="T74" s="36" t="str">
        <f t="shared" si="51"/>
        <v>R</v>
      </c>
      <c r="U74" s="36" t="str">
        <f t="shared" si="51"/>
        <v/>
      </c>
      <c r="V74" s="36" t="str">
        <f t="shared" si="51"/>
        <v/>
      </c>
      <c r="W74" s="36" t="str">
        <f t="shared" si="51"/>
        <v/>
      </c>
      <c r="X74" s="36" t="str">
        <f t="shared" si="51"/>
        <v/>
      </c>
      <c r="Y74" s="36" t="str">
        <f t="shared" si="51"/>
        <v/>
      </c>
      <c r="Z74" s="27" t="str">
        <f t="shared" si="51"/>
        <v/>
      </c>
      <c r="AB74" s="3" t="str">
        <f t="array" ref="AB74">IFERROR(INDEX(TRAS1B1,SMALL(IF(FREQUENCY(IF(TRAS1B1&lt;&gt;"",MATCH(ROW(TRAS1B1),ROW(TRAS1B1)),""),MATCH(ROW(TRAS1B1),ROW(TRAS1B1)))&gt;0,MATCH(ROW(TRAS1B1),ROW(TRAS1B1)),""),ROW(A11)),COLUMN(A11)),"")</f>
        <v>X</v>
      </c>
      <c r="AC74" s="36" t="str">
        <f t="array" ref="AC74">IFERROR(INDEX(TRAS1B2,SMALL(IF(FREQUENCY(IF(TRAS1B2&lt;&gt;"",MATCH(ROW(TRAS1B2),ROW(TRAS1B2)),""),MATCH(ROW(TRAS1B2),ROW(TRAS1B2)))&gt;0,MATCH(ROW(TRAS1B2),ROW(TRAS1B2)),""),ROW(A11)),COLUMN(A11)),"")</f>
        <v/>
      </c>
      <c r="AD74" s="36" t="str">
        <f t="array" ref="AD74">IFERROR(INDEX(TRAS1B3,SMALL(IF(FREQUENCY(IF(TRAS1B3&lt;&gt;"",MATCH(ROW(TRAS1B3),ROW(TRAS1B3)),""),MATCH(ROW(TRAS1B3),ROW(TRAS1B3)))&gt;0,MATCH(ROW(TRAS1B3),ROW(TRAS1B3)),""),ROW(A11)),COLUMN(A11)),"")</f>
        <v/>
      </c>
      <c r="AE74" s="36" t="str">
        <f t="array" ref="AE74">IFERROR(INDEX(TRAS1B4,SMALL(IF(FREQUENCY(IF(TRAS1B4&lt;&gt;"",MATCH(ROW(TRAS1B4),ROW(TRAS1B4)),""),MATCH(ROW(TRAS1B4),ROW(TRAS1B4)))&gt;0,MATCH(ROW(TRAS1B4),ROW(TRAS1B4)),""),ROW(A11)),COLUMN(A11)),"")</f>
        <v/>
      </c>
      <c r="AF74" s="36" t="str">
        <f t="array" ref="AF74">IFERROR(INDEX(TRAS1B5,SMALL(IF(FREQUENCY(IF(TRAS1B5&lt;&gt;"",MATCH(ROW(TRAS1B5),ROW(TRAS1B5)),""),MATCH(ROW(TRAS1B5),ROW(TRAS1B5)))&gt;0,MATCH(ROW(TRAS1B5),ROW(TRAS1B5)),""),ROW(A11)),COLUMN(A11)),"")</f>
        <v>R</v>
      </c>
      <c r="AG74" s="36" t="str">
        <f t="array" ref="AG74">IFERROR(INDEX(TRAS1B6,SMALL(IF(FREQUENCY(IF(TRAS1B6&lt;&gt;"",MATCH(ROW(TRAS1B6),ROW(TRAS1B6)),""),MATCH(ROW(TRAS1B6),ROW(TRAS1B6)))&gt;0,MATCH(ROW(TRAS1B6),ROW(TRAS1B6)),""),ROW(A11)),COLUMN(A11)),"")</f>
        <v/>
      </c>
      <c r="AH74" s="36" t="str">
        <f t="array" ref="AH74">IFERROR(INDEX(TRAS1B7,SMALL(IF(FREQUENCY(IF(TRAS1B7&lt;&gt;"",MATCH(ROW(TRAS1B7),ROW(TRAS1B7)),""),MATCH(ROW(TRAS1B7),ROW(TRAS1B7)))&gt;0,MATCH(ROW(TRAS1B7),ROW(TRAS1B7)),""),ROW(A11)),COLUMN(A11)),"")</f>
        <v/>
      </c>
      <c r="AI74" s="36" t="str">
        <f t="array" ref="AI74">IFERROR(INDEX(TRAS1B8,SMALL(IF(FREQUENCY(IF(TRAS1B8&lt;&gt;"",MATCH(ROW(TRAS1B8),ROW(TRAS1B8)),""),MATCH(ROW(TRAS1B8),ROW(TRAS1B8)))&gt;0,MATCH(ROW(TRAS1B8),ROW(TRAS1B8)),""),ROW(A11)),COLUMN(A11)),"")</f>
        <v/>
      </c>
      <c r="AJ74" s="36" t="str">
        <f t="array" ref="AJ74">IFERROR(INDEX(TRAS1B9,SMALL(IF(FREQUENCY(IF(TRAS1B9&lt;&gt;"",MATCH(ROW(TRAS1B9),ROW(TRAS1B9)),""),MATCH(ROW(TRAS1B9),ROW(TRAS1B9)))&gt;0,MATCH(ROW(TRAS1B9),ROW(TRAS1B9)),""),ROW(A11)),COLUMN(A11)),"")</f>
        <v/>
      </c>
      <c r="AK74" s="36" t="str">
        <f t="array" ref="AK74">IFERROR(INDEX(TRAS1B10,SMALL(IF(FREQUENCY(IF(TRAS1B10&lt;&gt;"",MATCH(ROW(TRAS1B10),ROW(TRAS1B10)),""),MATCH(ROW(TRAS1B10),ROW(TRAS1B10)))&gt;0,MATCH(ROW(TRAS1B10),ROW(TRAS1B10)),""),ROW(A11)),COLUMN(A11)),"")</f>
        <v/>
      </c>
      <c r="AL74" s="36" t="str">
        <f t="array" ref="AL74">IFERROR(INDEX(TRAS1B11,SMALL(IF(FREQUENCY(IF(TRAS1B11&lt;&gt;"",MATCH(ROW(TRAS1B11),ROW(TRAS1B11)),""),MATCH(ROW(TRAS1B11),ROW(TRAS1B11)))&gt;0,MATCH(ROW(TRAS1B11),ROW(TRAS1B11)),""),ROW(A11)),COLUMN(A11)),"")</f>
        <v/>
      </c>
      <c r="AM74" s="27" t="str">
        <f t="array" ref="AM74">IFERROR(INDEX(TRAS1B12,SMALL(IF(FREQUENCY(IF(TRAS1B12&lt;&gt;"",MATCH(ROW(TRAS1B12),ROW(TRAS1B12)),""),MATCH(ROW(TRAS1B12),ROW(TRAS1B12)))&gt;0,MATCH(ROW(TRAS1B12),ROW(TRAS1B12)),""),ROW(A11)),COLUMN(A11)),"")</f>
        <v/>
      </c>
      <c r="AO74" s="3" t="str">
        <f t="shared" si="76"/>
        <v>X</v>
      </c>
      <c r="AP74" s="36" t="str">
        <f t="shared" si="77"/>
        <v xml:space="preserve"> </v>
      </c>
      <c r="AQ74" s="36" t="str">
        <f t="shared" si="78"/>
        <v xml:space="preserve"> </v>
      </c>
      <c r="AR74" s="36" t="str">
        <f t="shared" si="79"/>
        <v xml:space="preserve"> </v>
      </c>
      <c r="AS74" s="36" t="str">
        <f t="shared" si="80"/>
        <v>R</v>
      </c>
      <c r="AT74" s="36" t="str">
        <f t="shared" si="81"/>
        <v xml:space="preserve"> </v>
      </c>
      <c r="AU74" s="36" t="str">
        <f t="shared" si="82"/>
        <v xml:space="preserve"> </v>
      </c>
      <c r="AV74" s="36" t="str">
        <f t="shared" si="83"/>
        <v xml:space="preserve"> </v>
      </c>
      <c r="AW74" s="36" t="str">
        <f t="shared" si="84"/>
        <v xml:space="preserve"> </v>
      </c>
      <c r="AX74" s="36" t="str">
        <f t="shared" si="85"/>
        <v xml:space="preserve"> </v>
      </c>
      <c r="AY74" s="36" t="str">
        <f t="shared" si="86"/>
        <v xml:space="preserve"> </v>
      </c>
      <c r="AZ74" s="27" t="str">
        <f t="shared" si="87"/>
        <v xml:space="preserve"> </v>
      </c>
      <c r="BE74" s="3" t="str">
        <v>X</v>
      </c>
      <c r="BF74" s="36" t="str">
        <v>R</v>
      </c>
      <c r="BG74" s="36" t="str">
        <v>X</v>
      </c>
      <c r="BH74" s="36" t="str">
        <v>R</v>
      </c>
      <c r="BI74" s="36" t="str">
        <v>X</v>
      </c>
      <c r="BJ74" s="36" t="str">
        <v>R</v>
      </c>
      <c r="BK74" s="36" t="str">
        <v/>
      </c>
      <c r="BL74" s="36" t="str">
        <v/>
      </c>
      <c r="BM74" s="36" t="str">
        <v/>
      </c>
      <c r="BN74" s="36" t="str">
        <v/>
      </c>
      <c r="BO74" s="36" t="str">
        <v/>
      </c>
      <c r="BP74" s="27" t="str">
        <v/>
      </c>
      <c r="BR74" s="3" t="str">
        <f t="shared" si="88"/>
        <v>X</v>
      </c>
      <c r="BS74" s="36" t="str">
        <f t="shared" si="53"/>
        <v>R</v>
      </c>
      <c r="BT74" s="36" t="str">
        <f t="shared" si="54"/>
        <v>X</v>
      </c>
      <c r="BU74" s="36" t="str">
        <f t="shared" si="55"/>
        <v>R</v>
      </c>
      <c r="BV74" s="36" t="str">
        <f t="shared" si="56"/>
        <v>X</v>
      </c>
      <c r="BW74" s="36" t="str">
        <f t="shared" si="57"/>
        <v>R</v>
      </c>
      <c r="BX74" s="36" t="str">
        <f t="shared" si="58"/>
        <v/>
      </c>
      <c r="BY74" s="36" t="str">
        <f t="shared" si="59"/>
        <v/>
      </c>
      <c r="BZ74" s="36" t="str">
        <f t="shared" si="60"/>
        <v/>
      </c>
      <c r="CA74" s="36" t="str">
        <f t="shared" si="61"/>
        <v/>
      </c>
      <c r="CB74" s="36" t="str">
        <f t="shared" si="62"/>
        <v/>
      </c>
      <c r="CC74" s="27" t="str">
        <f t="shared" si="63"/>
        <v/>
      </c>
      <c r="CE74" s="3" t="str">
        <f t="array" ref="CE74">IFERROR(INDEX(TRAS1B1,SMALL(IF(FREQUENCY(IF(TRAS1B1&lt;&gt;"",MATCH(ROW(TRAS1B1),ROW(TRAS1B1)),""),MATCH(ROW(TRAS1B1),ROW(TRAS1B1)))&gt;0,MATCH(ROW(TRAS1B1),ROW(TRAS1B1)),""),ROW(BD11)),COLUMN(BD11)),"")</f>
        <v/>
      </c>
      <c r="CF74" s="36" t="str">
        <f t="array" ref="CF74">IFERROR(INDEX(TRAS1B2,SMALL(IF(FREQUENCY(IF(TRAS1B2&lt;&gt;"",MATCH(ROW(TRAS1B2),ROW(TRAS1B2)),""),MATCH(ROW(TRAS1B2),ROW(TRAS1B2)))&gt;0,MATCH(ROW(TRAS1B2),ROW(TRAS1B2)),""),ROW(BD11)),COLUMN(BD11)),"")</f>
        <v/>
      </c>
      <c r="CG74" s="36" t="str">
        <f t="array" ref="CG74">IFERROR(INDEX(TRAS1B3,SMALL(IF(FREQUENCY(IF(TRAS1B3&lt;&gt;"",MATCH(ROW(TRAS1B3),ROW(TRAS1B3)),""),MATCH(ROW(TRAS1B3),ROW(TRAS1B3)))&gt;0,MATCH(ROW(TRAS1B3),ROW(TRAS1B3)),""),ROW(BD11)),COLUMN(BD11)),"")</f>
        <v/>
      </c>
      <c r="CH74" s="36" t="str">
        <f t="array" ref="CH74">IFERROR(INDEX(TRAS1B4,SMALL(IF(FREQUENCY(IF(TRAS1B4&lt;&gt;"",MATCH(ROW(TRAS1B4),ROW(TRAS1B4)),""),MATCH(ROW(TRAS1B4),ROW(TRAS1B4)))&gt;0,MATCH(ROW(TRAS1B4),ROW(TRAS1B4)),""),ROW(BD11)),COLUMN(BD11)),"")</f>
        <v/>
      </c>
      <c r="CI74" s="36" t="str">
        <f t="array" ref="CI74">IFERROR(INDEX(TRAS1B5,SMALL(IF(FREQUENCY(IF(TRAS1B5&lt;&gt;"",MATCH(ROW(TRAS1B5),ROW(TRAS1B5)),""),MATCH(ROW(TRAS1B5),ROW(TRAS1B5)))&gt;0,MATCH(ROW(TRAS1B5),ROW(TRAS1B5)),""),ROW(BD11)),COLUMN(BD11)),"")</f>
        <v/>
      </c>
      <c r="CJ74" s="36" t="str">
        <f t="array" ref="CJ74">IFERROR(INDEX(TRAS1B6,SMALL(IF(FREQUENCY(IF(TRAS1B6&lt;&gt;"",MATCH(ROW(TRAS1B6),ROW(TRAS1B6)),""),MATCH(ROW(TRAS1B6),ROW(TRAS1B6)))&gt;0,MATCH(ROW(TRAS1B6),ROW(TRAS1B6)),""),ROW(BD11)),COLUMN(BD11)),"")</f>
        <v/>
      </c>
      <c r="CK74" s="36" t="str">
        <f t="array" ref="CK74">IFERROR(INDEX(TRAS1B7,SMALL(IF(FREQUENCY(IF(TRAS1B7&lt;&gt;"",MATCH(ROW(TRAS1B7),ROW(TRAS1B7)),""),MATCH(ROW(TRAS1B7),ROW(TRAS1B7)))&gt;0,MATCH(ROW(TRAS1B7),ROW(TRAS1B7)),""),ROW(BD11)),COLUMN(BD11)),"")</f>
        <v/>
      </c>
      <c r="CL74" s="36" t="str">
        <f t="array" ref="CL74">IFERROR(INDEX(TRAS1B8,SMALL(IF(FREQUENCY(IF(TRAS1B8&lt;&gt;"",MATCH(ROW(TRAS1B8),ROW(TRAS1B8)),""),MATCH(ROW(TRAS1B8),ROW(TRAS1B8)))&gt;0,MATCH(ROW(TRAS1B8),ROW(TRAS1B8)),""),ROW(BD11)),COLUMN(BD11)),"")</f>
        <v/>
      </c>
      <c r="CM74" s="36" t="str">
        <f t="array" ref="CM74">IFERROR(INDEX(TRAS1B9,SMALL(IF(FREQUENCY(IF(TRAS1B9&lt;&gt;"",MATCH(ROW(TRAS1B9),ROW(TRAS1B9)),""),MATCH(ROW(TRAS1B9),ROW(TRAS1B9)))&gt;0,MATCH(ROW(TRAS1B9),ROW(TRAS1B9)),""),ROW(BD11)),COLUMN(BD11)),"")</f>
        <v/>
      </c>
      <c r="CN74" s="36" t="str">
        <f t="array" ref="CN74">IFERROR(INDEX(TRAS1B10,SMALL(IF(FREQUENCY(IF(TRAS1B10&lt;&gt;"",MATCH(ROW(TRAS1B10),ROW(TRAS1B10)),""),MATCH(ROW(TRAS1B10),ROW(TRAS1B10)))&gt;0,MATCH(ROW(TRAS1B10),ROW(TRAS1B10)),""),ROW(BD11)),COLUMN(BD11)),"")</f>
        <v/>
      </c>
      <c r="CO74" s="36" t="str">
        <f t="array" ref="CO74">IFERROR(INDEX(TRAS1B11,SMALL(IF(FREQUENCY(IF(TRAS1B11&lt;&gt;"",MATCH(ROW(TRAS1B11),ROW(TRAS1B11)),""),MATCH(ROW(TRAS1B11),ROW(TRAS1B11)))&gt;0,MATCH(ROW(TRAS1B11),ROW(TRAS1B11)),""),ROW(BD11)),COLUMN(BD11)),"")</f>
        <v/>
      </c>
      <c r="CP74" s="27" t="str">
        <f t="array" ref="CP74">IFERROR(INDEX(TRAS1B12,SMALL(IF(FREQUENCY(IF(TRAS1B12&lt;&gt;"",MATCH(ROW(TRAS1B12),ROW(TRAS1B12)),""),MATCH(ROW(TRAS1B12),ROW(TRAS1B12)))&gt;0,MATCH(ROW(TRAS1B12),ROW(TRAS1B12)),""),ROW(BD11)),COLUMN(BD11)),"")</f>
        <v/>
      </c>
      <c r="CR74" s="3" t="str">
        <f t="shared" si="89"/>
        <v xml:space="preserve"> </v>
      </c>
      <c r="CS74" s="36" t="str">
        <f t="shared" si="64"/>
        <v xml:space="preserve"> </v>
      </c>
      <c r="CT74" s="36" t="str">
        <f t="shared" si="65"/>
        <v xml:space="preserve"> </v>
      </c>
      <c r="CU74" s="36" t="str">
        <f t="shared" si="66"/>
        <v xml:space="preserve"> </v>
      </c>
      <c r="CV74" s="36" t="str">
        <f t="shared" si="67"/>
        <v xml:space="preserve"> </v>
      </c>
      <c r="CW74" s="36" t="str">
        <f t="shared" si="68"/>
        <v xml:space="preserve"> </v>
      </c>
      <c r="CX74" s="36" t="str">
        <f t="shared" si="69"/>
        <v xml:space="preserve"> </v>
      </c>
      <c r="CY74" s="36" t="str">
        <f t="shared" si="70"/>
        <v xml:space="preserve"> </v>
      </c>
      <c r="CZ74" s="36" t="str">
        <f t="shared" si="71"/>
        <v xml:space="preserve"> </v>
      </c>
      <c r="DA74" s="36" t="str">
        <f t="shared" si="72"/>
        <v xml:space="preserve"> </v>
      </c>
      <c r="DB74" s="36" t="str">
        <f t="shared" si="73"/>
        <v xml:space="preserve"> </v>
      </c>
      <c r="DC74" s="27" t="str">
        <f t="shared" si="74"/>
        <v xml:space="preserve"> </v>
      </c>
    </row>
    <row r="75" spans="2:107" ht="13.5" customHeight="1" x14ac:dyDescent="0.35">
      <c r="B75" s="3" t="str">
        <v>X</v>
      </c>
      <c r="C75" s="36" t="str">
        <v>X</v>
      </c>
      <c r="D75" s="36" t="str">
        <v>X</v>
      </c>
      <c r="E75" s="36" t="str">
        <v>R</v>
      </c>
      <c r="F75" s="36" t="str">
        <v>R</v>
      </c>
      <c r="G75" s="36" t="str">
        <v>R</v>
      </c>
      <c r="H75" s="36" t="str">
        <v/>
      </c>
      <c r="I75" s="36" t="str">
        <v/>
      </c>
      <c r="J75" s="36" t="str">
        <v/>
      </c>
      <c r="K75" s="36" t="str">
        <v/>
      </c>
      <c r="L75" s="36" t="str">
        <v/>
      </c>
      <c r="M75" s="27" t="str">
        <v/>
      </c>
      <c r="O75" s="3" t="str">
        <f t="shared" si="75"/>
        <v>X</v>
      </c>
      <c r="P75" s="36" t="str">
        <f t="shared" si="51"/>
        <v>X</v>
      </c>
      <c r="Q75" s="36" t="str">
        <f t="shared" si="51"/>
        <v>X</v>
      </c>
      <c r="R75" s="36" t="str">
        <f t="shared" si="51"/>
        <v>R</v>
      </c>
      <c r="S75" s="36" t="str">
        <f t="shared" si="51"/>
        <v>R</v>
      </c>
      <c r="T75" s="36" t="str">
        <f t="shared" si="51"/>
        <v>R</v>
      </c>
      <c r="U75" s="36" t="str">
        <f t="shared" si="51"/>
        <v/>
      </c>
      <c r="V75" s="36" t="str">
        <f t="shared" si="51"/>
        <v/>
      </c>
      <c r="W75" s="36" t="str">
        <f t="shared" si="51"/>
        <v/>
      </c>
      <c r="X75" s="36" t="str">
        <f t="shared" si="51"/>
        <v/>
      </c>
      <c r="Y75" s="36" t="str">
        <f t="shared" si="51"/>
        <v/>
      </c>
      <c r="Z75" s="27" t="str">
        <f t="shared" si="51"/>
        <v/>
      </c>
      <c r="AB75" s="3" t="str">
        <f t="array" ref="AB75">IFERROR(INDEX(TRAS1B1,SMALL(IF(FREQUENCY(IF(TRAS1B1&lt;&gt;"",MATCH(ROW(TRAS1B1),ROW(TRAS1B1)),""),MATCH(ROW(TRAS1B1),ROW(TRAS1B1)))&gt;0,MATCH(ROW(TRAS1B1),ROW(TRAS1B1)),""),ROW(A12)),COLUMN(A12)),"")</f>
        <v>R</v>
      </c>
      <c r="AC75" s="36" t="str">
        <f t="array" ref="AC75">IFERROR(INDEX(TRAS1B2,SMALL(IF(FREQUENCY(IF(TRAS1B2&lt;&gt;"",MATCH(ROW(TRAS1B2),ROW(TRAS1B2)),""),MATCH(ROW(TRAS1B2),ROW(TRAS1B2)))&gt;0,MATCH(ROW(TRAS1B2),ROW(TRAS1B2)),""),ROW(A12)),COLUMN(A12)),"")</f>
        <v/>
      </c>
      <c r="AD75" s="36" t="str">
        <f t="array" ref="AD75">IFERROR(INDEX(TRAS1B3,SMALL(IF(FREQUENCY(IF(TRAS1B3&lt;&gt;"",MATCH(ROW(TRAS1B3),ROW(TRAS1B3)),""),MATCH(ROW(TRAS1B3),ROW(TRAS1B3)))&gt;0,MATCH(ROW(TRAS1B3),ROW(TRAS1B3)),""),ROW(A12)),COLUMN(A12)),"")</f>
        <v/>
      </c>
      <c r="AE75" s="36" t="str">
        <f t="array" ref="AE75">IFERROR(INDEX(TRAS1B4,SMALL(IF(FREQUENCY(IF(TRAS1B4&lt;&gt;"",MATCH(ROW(TRAS1B4),ROW(TRAS1B4)),""),MATCH(ROW(TRAS1B4),ROW(TRAS1B4)))&gt;0,MATCH(ROW(TRAS1B4),ROW(TRAS1B4)),""),ROW(A12)),COLUMN(A12)),"")</f>
        <v/>
      </c>
      <c r="AF75" s="36" t="str">
        <f t="array" ref="AF75">IFERROR(INDEX(TRAS1B5,SMALL(IF(FREQUENCY(IF(TRAS1B5&lt;&gt;"",MATCH(ROW(TRAS1B5),ROW(TRAS1B5)),""),MATCH(ROW(TRAS1B5),ROW(TRAS1B5)))&gt;0,MATCH(ROW(TRAS1B5),ROW(TRAS1B5)),""),ROW(A12)),COLUMN(A12)),"")</f>
        <v>R</v>
      </c>
      <c r="AG75" s="36" t="str">
        <f t="array" ref="AG75">IFERROR(INDEX(TRAS1B6,SMALL(IF(FREQUENCY(IF(TRAS1B6&lt;&gt;"",MATCH(ROW(TRAS1B6),ROW(TRAS1B6)),""),MATCH(ROW(TRAS1B6),ROW(TRAS1B6)))&gt;0,MATCH(ROW(TRAS1B6),ROW(TRAS1B6)),""),ROW(A12)),COLUMN(A12)),"")</f>
        <v/>
      </c>
      <c r="AH75" s="36" t="str">
        <f t="array" ref="AH75">IFERROR(INDEX(TRAS1B7,SMALL(IF(FREQUENCY(IF(TRAS1B7&lt;&gt;"",MATCH(ROW(TRAS1B7),ROW(TRAS1B7)),""),MATCH(ROW(TRAS1B7),ROW(TRAS1B7)))&gt;0,MATCH(ROW(TRAS1B7),ROW(TRAS1B7)),""),ROW(A12)),COLUMN(A12)),"")</f>
        <v/>
      </c>
      <c r="AI75" s="36" t="str">
        <f t="array" ref="AI75">IFERROR(INDEX(TRAS1B8,SMALL(IF(FREQUENCY(IF(TRAS1B8&lt;&gt;"",MATCH(ROW(TRAS1B8),ROW(TRAS1B8)),""),MATCH(ROW(TRAS1B8),ROW(TRAS1B8)))&gt;0,MATCH(ROW(TRAS1B8),ROW(TRAS1B8)),""),ROW(A12)),COLUMN(A12)),"")</f>
        <v/>
      </c>
      <c r="AJ75" s="36" t="str">
        <f t="array" ref="AJ75">IFERROR(INDEX(TRAS1B9,SMALL(IF(FREQUENCY(IF(TRAS1B9&lt;&gt;"",MATCH(ROW(TRAS1B9),ROW(TRAS1B9)),""),MATCH(ROW(TRAS1B9),ROW(TRAS1B9)))&gt;0,MATCH(ROW(TRAS1B9),ROW(TRAS1B9)),""),ROW(A12)),COLUMN(A12)),"")</f>
        <v/>
      </c>
      <c r="AK75" s="36" t="str">
        <f t="array" ref="AK75">IFERROR(INDEX(TRAS1B10,SMALL(IF(FREQUENCY(IF(TRAS1B10&lt;&gt;"",MATCH(ROW(TRAS1B10),ROW(TRAS1B10)),""),MATCH(ROW(TRAS1B10),ROW(TRAS1B10)))&gt;0,MATCH(ROW(TRAS1B10),ROW(TRAS1B10)),""),ROW(A12)),COLUMN(A12)),"")</f>
        <v/>
      </c>
      <c r="AL75" s="36" t="str">
        <f t="array" ref="AL75">IFERROR(INDEX(TRAS1B11,SMALL(IF(FREQUENCY(IF(TRAS1B11&lt;&gt;"",MATCH(ROW(TRAS1B11),ROW(TRAS1B11)),""),MATCH(ROW(TRAS1B11),ROW(TRAS1B11)))&gt;0,MATCH(ROW(TRAS1B11),ROW(TRAS1B11)),""),ROW(A12)),COLUMN(A12)),"")</f>
        <v/>
      </c>
      <c r="AM75" s="27" t="str">
        <f t="array" ref="AM75">IFERROR(INDEX(TRAS1B12,SMALL(IF(FREQUENCY(IF(TRAS1B12&lt;&gt;"",MATCH(ROW(TRAS1B12),ROW(TRAS1B12)),""),MATCH(ROW(TRAS1B12),ROW(TRAS1B12)))&gt;0,MATCH(ROW(TRAS1B12),ROW(TRAS1B12)),""),ROW(A12)),COLUMN(A12)),"")</f>
        <v/>
      </c>
      <c r="AO75" s="3" t="str">
        <f t="shared" si="76"/>
        <v>R</v>
      </c>
      <c r="AP75" s="36" t="str">
        <f t="shared" si="77"/>
        <v xml:space="preserve"> </v>
      </c>
      <c r="AQ75" s="36" t="str">
        <f t="shared" si="78"/>
        <v xml:space="preserve"> </v>
      </c>
      <c r="AR75" s="36" t="str">
        <f t="shared" si="79"/>
        <v xml:space="preserve"> </v>
      </c>
      <c r="AS75" s="36" t="str">
        <f t="shared" si="80"/>
        <v>R</v>
      </c>
      <c r="AT75" s="36" t="str">
        <f t="shared" si="81"/>
        <v xml:space="preserve"> </v>
      </c>
      <c r="AU75" s="36" t="str">
        <f t="shared" si="82"/>
        <v xml:space="preserve"> </v>
      </c>
      <c r="AV75" s="36" t="str">
        <f t="shared" si="83"/>
        <v xml:space="preserve"> </v>
      </c>
      <c r="AW75" s="36" t="str">
        <f t="shared" si="84"/>
        <v xml:space="preserve"> </v>
      </c>
      <c r="AX75" s="36" t="str">
        <f t="shared" si="85"/>
        <v xml:space="preserve"> </v>
      </c>
      <c r="AY75" s="36" t="str">
        <f t="shared" si="86"/>
        <v xml:space="preserve"> </v>
      </c>
      <c r="AZ75" s="27" t="str">
        <f t="shared" si="87"/>
        <v xml:space="preserve"> </v>
      </c>
      <c r="BE75" s="3" t="str">
        <v>X</v>
      </c>
      <c r="BF75" s="36" t="str">
        <v>X</v>
      </c>
      <c r="BG75" s="36" t="str">
        <v>X</v>
      </c>
      <c r="BH75" s="36" t="str">
        <v>R</v>
      </c>
      <c r="BI75" s="36" t="str">
        <v>R</v>
      </c>
      <c r="BJ75" s="36" t="str">
        <v>R</v>
      </c>
      <c r="BK75" s="36" t="str">
        <v/>
      </c>
      <c r="BL75" s="36" t="str">
        <v/>
      </c>
      <c r="BM75" s="36" t="str">
        <v/>
      </c>
      <c r="BN75" s="36" t="str">
        <v/>
      </c>
      <c r="BO75" s="36" t="str">
        <v/>
      </c>
      <c r="BP75" s="27" t="str">
        <v/>
      </c>
      <c r="BR75" s="3" t="str">
        <f t="shared" si="88"/>
        <v>X</v>
      </c>
      <c r="BS75" s="36" t="str">
        <f t="shared" si="53"/>
        <v>X</v>
      </c>
      <c r="BT75" s="36" t="str">
        <f t="shared" si="54"/>
        <v>X</v>
      </c>
      <c r="BU75" s="36" t="str">
        <f t="shared" si="55"/>
        <v>R</v>
      </c>
      <c r="BV75" s="36" t="str">
        <f t="shared" si="56"/>
        <v>R</v>
      </c>
      <c r="BW75" s="36" t="str">
        <f t="shared" si="57"/>
        <v>R</v>
      </c>
      <c r="BX75" s="36" t="str">
        <f t="shared" si="58"/>
        <v/>
      </c>
      <c r="BY75" s="36" t="str">
        <f t="shared" si="59"/>
        <v/>
      </c>
      <c r="BZ75" s="36" t="str">
        <f t="shared" si="60"/>
        <v/>
      </c>
      <c r="CA75" s="36" t="str">
        <f t="shared" si="61"/>
        <v/>
      </c>
      <c r="CB75" s="36" t="str">
        <f t="shared" si="62"/>
        <v/>
      </c>
      <c r="CC75" s="27" t="str">
        <f t="shared" si="63"/>
        <v/>
      </c>
      <c r="CE75" s="3" t="str">
        <f t="array" ref="CE75">IFERROR(INDEX(TRAS1B1,SMALL(IF(FREQUENCY(IF(TRAS1B1&lt;&gt;"",MATCH(ROW(TRAS1B1),ROW(TRAS1B1)),""),MATCH(ROW(TRAS1B1),ROW(TRAS1B1)))&gt;0,MATCH(ROW(TRAS1B1),ROW(TRAS1B1)),""),ROW(BD12)),COLUMN(BD12)),"")</f>
        <v/>
      </c>
      <c r="CF75" s="36" t="str">
        <f t="array" ref="CF75">IFERROR(INDEX(TRAS1B2,SMALL(IF(FREQUENCY(IF(TRAS1B2&lt;&gt;"",MATCH(ROW(TRAS1B2),ROW(TRAS1B2)),""),MATCH(ROW(TRAS1B2),ROW(TRAS1B2)))&gt;0,MATCH(ROW(TRAS1B2),ROW(TRAS1B2)),""),ROW(BD12)),COLUMN(BD12)),"")</f>
        <v/>
      </c>
      <c r="CG75" s="36" t="str">
        <f t="array" ref="CG75">IFERROR(INDEX(TRAS1B3,SMALL(IF(FREQUENCY(IF(TRAS1B3&lt;&gt;"",MATCH(ROW(TRAS1B3),ROW(TRAS1B3)),""),MATCH(ROW(TRAS1B3),ROW(TRAS1B3)))&gt;0,MATCH(ROW(TRAS1B3),ROW(TRAS1B3)),""),ROW(BD12)),COLUMN(BD12)),"")</f>
        <v/>
      </c>
      <c r="CH75" s="36" t="str">
        <f t="array" ref="CH75">IFERROR(INDEX(TRAS1B4,SMALL(IF(FREQUENCY(IF(TRAS1B4&lt;&gt;"",MATCH(ROW(TRAS1B4),ROW(TRAS1B4)),""),MATCH(ROW(TRAS1B4),ROW(TRAS1B4)))&gt;0,MATCH(ROW(TRAS1B4),ROW(TRAS1B4)),""),ROW(BD12)),COLUMN(BD12)),"")</f>
        <v/>
      </c>
      <c r="CI75" s="36" t="str">
        <f t="array" ref="CI75">IFERROR(INDEX(TRAS1B5,SMALL(IF(FREQUENCY(IF(TRAS1B5&lt;&gt;"",MATCH(ROW(TRAS1B5),ROW(TRAS1B5)),""),MATCH(ROW(TRAS1B5),ROW(TRAS1B5)))&gt;0,MATCH(ROW(TRAS1B5),ROW(TRAS1B5)),""),ROW(BD12)),COLUMN(BD12)),"")</f>
        <v/>
      </c>
      <c r="CJ75" s="36" t="str">
        <f t="array" ref="CJ75">IFERROR(INDEX(TRAS1B6,SMALL(IF(FREQUENCY(IF(TRAS1B6&lt;&gt;"",MATCH(ROW(TRAS1B6),ROW(TRAS1B6)),""),MATCH(ROW(TRAS1B6),ROW(TRAS1B6)))&gt;0,MATCH(ROW(TRAS1B6),ROW(TRAS1B6)),""),ROW(BD12)),COLUMN(BD12)),"")</f>
        <v/>
      </c>
      <c r="CK75" s="36" t="str">
        <f t="array" ref="CK75">IFERROR(INDEX(TRAS1B7,SMALL(IF(FREQUENCY(IF(TRAS1B7&lt;&gt;"",MATCH(ROW(TRAS1B7),ROW(TRAS1B7)),""),MATCH(ROW(TRAS1B7),ROW(TRAS1B7)))&gt;0,MATCH(ROW(TRAS1B7),ROW(TRAS1B7)),""),ROW(BD12)),COLUMN(BD12)),"")</f>
        <v/>
      </c>
      <c r="CL75" s="36" t="str">
        <f t="array" ref="CL75">IFERROR(INDEX(TRAS1B8,SMALL(IF(FREQUENCY(IF(TRAS1B8&lt;&gt;"",MATCH(ROW(TRAS1B8),ROW(TRAS1B8)),""),MATCH(ROW(TRAS1B8),ROW(TRAS1B8)))&gt;0,MATCH(ROW(TRAS1B8),ROW(TRAS1B8)),""),ROW(BD12)),COLUMN(BD12)),"")</f>
        <v/>
      </c>
      <c r="CM75" s="36" t="str">
        <f t="array" ref="CM75">IFERROR(INDEX(TRAS1B9,SMALL(IF(FREQUENCY(IF(TRAS1B9&lt;&gt;"",MATCH(ROW(TRAS1B9),ROW(TRAS1B9)),""),MATCH(ROW(TRAS1B9),ROW(TRAS1B9)))&gt;0,MATCH(ROW(TRAS1B9),ROW(TRAS1B9)),""),ROW(BD12)),COLUMN(BD12)),"")</f>
        <v/>
      </c>
      <c r="CN75" s="36" t="str">
        <f t="array" ref="CN75">IFERROR(INDEX(TRAS1B10,SMALL(IF(FREQUENCY(IF(TRAS1B10&lt;&gt;"",MATCH(ROW(TRAS1B10),ROW(TRAS1B10)),""),MATCH(ROW(TRAS1B10),ROW(TRAS1B10)))&gt;0,MATCH(ROW(TRAS1B10),ROW(TRAS1B10)),""),ROW(BD12)),COLUMN(BD12)),"")</f>
        <v/>
      </c>
      <c r="CO75" s="36" t="str">
        <f t="array" ref="CO75">IFERROR(INDEX(TRAS1B11,SMALL(IF(FREQUENCY(IF(TRAS1B11&lt;&gt;"",MATCH(ROW(TRAS1B11),ROW(TRAS1B11)),""),MATCH(ROW(TRAS1B11),ROW(TRAS1B11)))&gt;0,MATCH(ROW(TRAS1B11),ROW(TRAS1B11)),""),ROW(BD12)),COLUMN(BD12)),"")</f>
        <v/>
      </c>
      <c r="CP75" s="27" t="str">
        <f t="array" ref="CP75">IFERROR(INDEX(TRAS1B12,SMALL(IF(FREQUENCY(IF(TRAS1B12&lt;&gt;"",MATCH(ROW(TRAS1B12),ROW(TRAS1B12)),""),MATCH(ROW(TRAS1B12),ROW(TRAS1B12)))&gt;0,MATCH(ROW(TRAS1B12),ROW(TRAS1B12)),""),ROW(BD12)),COLUMN(BD12)),"")</f>
        <v/>
      </c>
      <c r="CR75" s="3" t="str">
        <f t="shared" si="89"/>
        <v xml:space="preserve"> </v>
      </c>
      <c r="CS75" s="36" t="str">
        <f t="shared" si="64"/>
        <v xml:space="preserve"> </v>
      </c>
      <c r="CT75" s="36" t="str">
        <f t="shared" si="65"/>
        <v xml:space="preserve"> </v>
      </c>
      <c r="CU75" s="36" t="str">
        <f t="shared" si="66"/>
        <v xml:space="preserve"> </v>
      </c>
      <c r="CV75" s="36" t="str">
        <f t="shared" si="67"/>
        <v xml:space="preserve"> </v>
      </c>
      <c r="CW75" s="36" t="str">
        <f t="shared" si="68"/>
        <v xml:space="preserve"> </v>
      </c>
      <c r="CX75" s="36" t="str">
        <f t="shared" si="69"/>
        <v xml:space="preserve"> </v>
      </c>
      <c r="CY75" s="36" t="str">
        <f t="shared" si="70"/>
        <v xml:space="preserve"> </v>
      </c>
      <c r="CZ75" s="36" t="str">
        <f t="shared" si="71"/>
        <v xml:space="preserve"> </v>
      </c>
      <c r="DA75" s="36" t="str">
        <f t="shared" si="72"/>
        <v xml:space="preserve"> </v>
      </c>
      <c r="DB75" s="36" t="str">
        <f t="shared" si="73"/>
        <v xml:space="preserve"> </v>
      </c>
      <c r="DC75" s="27" t="str">
        <f t="shared" si="74"/>
        <v xml:space="preserve"> </v>
      </c>
    </row>
    <row r="76" spans="2:107" ht="13.5" customHeight="1" x14ac:dyDescent="0.35">
      <c r="B76" s="3" t="str">
        <v>R</v>
      </c>
      <c r="C76" s="36" t="str">
        <v>R</v>
      </c>
      <c r="D76" s="36" t="str">
        <v/>
      </c>
      <c r="E76" s="36" t="str">
        <v>S</v>
      </c>
      <c r="F76" s="36" t="str">
        <v>R</v>
      </c>
      <c r="G76" s="36" t="str">
        <v>R</v>
      </c>
      <c r="H76" s="36" t="str">
        <v/>
      </c>
      <c r="I76" s="36" t="str">
        <v/>
      </c>
      <c r="J76" s="36" t="str">
        <v/>
      </c>
      <c r="K76" s="36" t="str">
        <v/>
      </c>
      <c r="L76" s="36" t="str">
        <v/>
      </c>
      <c r="M76" s="27" t="str">
        <v/>
      </c>
      <c r="O76" s="3" t="str">
        <f t="shared" si="75"/>
        <v>R</v>
      </c>
      <c r="P76" s="36" t="str">
        <f t="shared" si="51"/>
        <v>R</v>
      </c>
      <c r="Q76" s="36" t="str">
        <f t="shared" si="51"/>
        <v/>
      </c>
      <c r="R76" s="36" t="str">
        <f t="shared" si="51"/>
        <v>S</v>
      </c>
      <c r="S76" s="36" t="str">
        <f t="shared" si="51"/>
        <v>R</v>
      </c>
      <c r="T76" s="36" t="str">
        <f t="shared" si="51"/>
        <v>R</v>
      </c>
      <c r="U76" s="36" t="str">
        <f t="shared" si="51"/>
        <v/>
      </c>
      <c r="V76" s="36" t="str">
        <f t="shared" si="51"/>
        <v/>
      </c>
      <c r="W76" s="36" t="str">
        <f t="shared" si="51"/>
        <v/>
      </c>
      <c r="X76" s="36" t="str">
        <f t="shared" si="51"/>
        <v/>
      </c>
      <c r="Y76" s="36" t="str">
        <f t="shared" si="51"/>
        <v/>
      </c>
      <c r="Z76" s="27" t="str">
        <f t="shared" si="51"/>
        <v/>
      </c>
      <c r="AB76" s="3" t="str">
        <f t="array" ref="AB76">IFERROR(INDEX(TRAS1B1,SMALL(IF(FREQUENCY(IF(TRAS1B1&lt;&gt;"",MATCH(ROW(TRAS1B1),ROW(TRAS1B1)),""),MATCH(ROW(TRAS1B1),ROW(TRAS1B1)))&gt;0,MATCH(ROW(TRAS1B1),ROW(TRAS1B1)),""),ROW(A13)),COLUMN(A13)),"")</f>
        <v/>
      </c>
      <c r="AC76" s="36" t="str">
        <f t="array" ref="AC76">IFERROR(INDEX(TRAS1B2,SMALL(IF(FREQUENCY(IF(TRAS1B2&lt;&gt;"",MATCH(ROW(TRAS1B2),ROW(TRAS1B2)),""),MATCH(ROW(TRAS1B2),ROW(TRAS1B2)))&gt;0,MATCH(ROW(TRAS1B2),ROW(TRAS1B2)),""),ROW(A13)),COLUMN(A13)),"")</f>
        <v/>
      </c>
      <c r="AD76" s="36" t="str">
        <f t="array" ref="AD76">IFERROR(INDEX(TRAS1B3,SMALL(IF(FREQUENCY(IF(TRAS1B3&lt;&gt;"",MATCH(ROW(TRAS1B3),ROW(TRAS1B3)),""),MATCH(ROW(TRAS1B3),ROW(TRAS1B3)))&gt;0,MATCH(ROW(TRAS1B3),ROW(TRAS1B3)),""),ROW(A13)),COLUMN(A13)),"")</f>
        <v/>
      </c>
      <c r="AE76" s="36" t="str">
        <f t="array" ref="AE76">IFERROR(INDEX(TRAS1B4,SMALL(IF(FREQUENCY(IF(TRAS1B4&lt;&gt;"",MATCH(ROW(TRAS1B4),ROW(TRAS1B4)),""),MATCH(ROW(TRAS1B4),ROW(TRAS1B4)))&gt;0,MATCH(ROW(TRAS1B4),ROW(TRAS1B4)),""),ROW(A13)),COLUMN(A13)),"")</f>
        <v/>
      </c>
      <c r="AF76" s="36" t="str">
        <f t="array" ref="AF76">IFERROR(INDEX(TRAS1B5,SMALL(IF(FREQUENCY(IF(TRAS1B5&lt;&gt;"",MATCH(ROW(TRAS1B5),ROW(TRAS1B5)),""),MATCH(ROW(TRAS1B5),ROW(TRAS1B5)))&gt;0,MATCH(ROW(TRAS1B5),ROW(TRAS1B5)),""),ROW(A13)),COLUMN(A13)),"")</f>
        <v/>
      </c>
      <c r="AG76" s="36" t="str">
        <f t="array" ref="AG76">IFERROR(INDEX(TRAS1B6,SMALL(IF(FREQUENCY(IF(TRAS1B6&lt;&gt;"",MATCH(ROW(TRAS1B6),ROW(TRAS1B6)),""),MATCH(ROW(TRAS1B6),ROW(TRAS1B6)))&gt;0,MATCH(ROW(TRAS1B6),ROW(TRAS1B6)),""),ROW(A13)),COLUMN(A13)),"")</f>
        <v/>
      </c>
      <c r="AH76" s="36" t="str">
        <f t="array" ref="AH76">IFERROR(INDEX(TRAS1B7,SMALL(IF(FREQUENCY(IF(TRAS1B7&lt;&gt;"",MATCH(ROW(TRAS1B7),ROW(TRAS1B7)),""),MATCH(ROW(TRAS1B7),ROW(TRAS1B7)))&gt;0,MATCH(ROW(TRAS1B7),ROW(TRAS1B7)),""),ROW(A13)),COLUMN(A13)),"")</f>
        <v/>
      </c>
      <c r="AI76" s="36" t="str">
        <f t="array" ref="AI76">IFERROR(INDEX(TRAS1B8,SMALL(IF(FREQUENCY(IF(TRAS1B8&lt;&gt;"",MATCH(ROW(TRAS1B8),ROW(TRAS1B8)),""),MATCH(ROW(TRAS1B8),ROW(TRAS1B8)))&gt;0,MATCH(ROW(TRAS1B8),ROW(TRAS1B8)),""),ROW(A13)),COLUMN(A13)),"")</f>
        <v/>
      </c>
      <c r="AJ76" s="36" t="str">
        <f t="array" ref="AJ76">IFERROR(INDEX(TRAS1B9,SMALL(IF(FREQUENCY(IF(TRAS1B9&lt;&gt;"",MATCH(ROW(TRAS1B9),ROW(TRAS1B9)),""),MATCH(ROW(TRAS1B9),ROW(TRAS1B9)))&gt;0,MATCH(ROW(TRAS1B9),ROW(TRAS1B9)),""),ROW(A13)),COLUMN(A13)),"")</f>
        <v/>
      </c>
      <c r="AK76" s="36" t="str">
        <f t="array" ref="AK76">IFERROR(INDEX(TRAS1B10,SMALL(IF(FREQUENCY(IF(TRAS1B10&lt;&gt;"",MATCH(ROW(TRAS1B10),ROW(TRAS1B10)),""),MATCH(ROW(TRAS1B10),ROW(TRAS1B10)))&gt;0,MATCH(ROW(TRAS1B10),ROW(TRAS1B10)),""),ROW(A13)),COLUMN(A13)),"")</f>
        <v/>
      </c>
      <c r="AL76" s="36" t="str">
        <f t="array" ref="AL76">IFERROR(INDEX(TRAS1B11,SMALL(IF(FREQUENCY(IF(TRAS1B11&lt;&gt;"",MATCH(ROW(TRAS1B11),ROW(TRAS1B11)),""),MATCH(ROW(TRAS1B11),ROW(TRAS1B11)))&gt;0,MATCH(ROW(TRAS1B11),ROW(TRAS1B11)),""),ROW(A13)),COLUMN(A13)),"")</f>
        <v/>
      </c>
      <c r="AM76" s="27" t="str">
        <f t="array" ref="AM76">IFERROR(INDEX(TRAS1B12,SMALL(IF(FREQUENCY(IF(TRAS1B12&lt;&gt;"",MATCH(ROW(TRAS1B12),ROW(TRAS1B12)),""),MATCH(ROW(TRAS1B12),ROW(TRAS1B12)))&gt;0,MATCH(ROW(TRAS1B12),ROW(TRAS1B12)),""),ROW(A13)),COLUMN(A13)),"")</f>
        <v/>
      </c>
      <c r="AO76" s="3" t="str">
        <f t="shared" si="76"/>
        <v xml:space="preserve"> </v>
      </c>
      <c r="AP76" s="36" t="str">
        <f t="shared" si="77"/>
        <v xml:space="preserve"> </v>
      </c>
      <c r="AQ76" s="36" t="str">
        <f t="shared" si="78"/>
        <v xml:space="preserve"> </v>
      </c>
      <c r="AR76" s="36" t="str">
        <f t="shared" si="79"/>
        <v xml:space="preserve"> </v>
      </c>
      <c r="AS76" s="36" t="str">
        <f t="shared" si="80"/>
        <v xml:space="preserve"> </v>
      </c>
      <c r="AT76" s="36" t="str">
        <f t="shared" si="81"/>
        <v xml:space="preserve"> </v>
      </c>
      <c r="AU76" s="36" t="str">
        <f t="shared" si="82"/>
        <v xml:space="preserve"> </v>
      </c>
      <c r="AV76" s="36" t="str">
        <f t="shared" si="83"/>
        <v xml:space="preserve"> </v>
      </c>
      <c r="AW76" s="36" t="str">
        <f t="shared" si="84"/>
        <v xml:space="preserve"> </v>
      </c>
      <c r="AX76" s="36" t="str">
        <f t="shared" si="85"/>
        <v xml:space="preserve"> </v>
      </c>
      <c r="AY76" s="36" t="str">
        <f t="shared" si="86"/>
        <v xml:space="preserve"> </v>
      </c>
      <c r="AZ76" s="27" t="str">
        <f t="shared" si="87"/>
        <v xml:space="preserve"> </v>
      </c>
      <c r="BE76" s="3" t="str">
        <v>R</v>
      </c>
      <c r="BF76" s="36" t="str">
        <v>R</v>
      </c>
      <c r="BG76" s="36" t="str">
        <v/>
      </c>
      <c r="BH76" s="36" t="str">
        <v>S</v>
      </c>
      <c r="BI76" s="36" t="str">
        <v>R</v>
      </c>
      <c r="BJ76" s="36" t="str">
        <v>R</v>
      </c>
      <c r="BK76" s="36" t="str">
        <v/>
      </c>
      <c r="BL76" s="36" t="str">
        <v/>
      </c>
      <c r="BM76" s="36" t="str">
        <v/>
      </c>
      <c r="BN76" s="36" t="str">
        <v/>
      </c>
      <c r="BO76" s="36" t="str">
        <v/>
      </c>
      <c r="BP76" s="27" t="str">
        <v/>
      </c>
      <c r="BR76" s="3" t="str">
        <f t="shared" si="88"/>
        <v>R</v>
      </c>
      <c r="BS76" s="36" t="str">
        <f t="shared" si="53"/>
        <v>R</v>
      </c>
      <c r="BT76" s="36" t="str">
        <f t="shared" si="54"/>
        <v/>
      </c>
      <c r="BU76" s="36" t="str">
        <f t="shared" si="55"/>
        <v>S</v>
      </c>
      <c r="BV76" s="36" t="str">
        <f t="shared" si="56"/>
        <v>R</v>
      </c>
      <c r="BW76" s="36" t="str">
        <f t="shared" si="57"/>
        <v>R</v>
      </c>
      <c r="BX76" s="36" t="str">
        <f t="shared" si="58"/>
        <v/>
      </c>
      <c r="BY76" s="36" t="str">
        <f t="shared" si="59"/>
        <v/>
      </c>
      <c r="BZ76" s="36" t="str">
        <f t="shared" si="60"/>
        <v/>
      </c>
      <c r="CA76" s="36" t="str">
        <f t="shared" si="61"/>
        <v/>
      </c>
      <c r="CB76" s="36" t="str">
        <f t="shared" si="62"/>
        <v/>
      </c>
      <c r="CC76" s="27" t="str">
        <f t="shared" si="63"/>
        <v/>
      </c>
      <c r="CE76" s="3" t="str">
        <f t="array" ref="CE76">IFERROR(INDEX(TRAS1B1,SMALL(IF(FREQUENCY(IF(TRAS1B1&lt;&gt;"",MATCH(ROW(TRAS1B1),ROW(TRAS1B1)),""),MATCH(ROW(TRAS1B1),ROW(TRAS1B1)))&gt;0,MATCH(ROW(TRAS1B1),ROW(TRAS1B1)),""),ROW(BD13)),COLUMN(BD13)),"")</f>
        <v/>
      </c>
      <c r="CF76" s="36" t="str">
        <f t="array" ref="CF76">IFERROR(INDEX(TRAS1B2,SMALL(IF(FREQUENCY(IF(TRAS1B2&lt;&gt;"",MATCH(ROW(TRAS1B2),ROW(TRAS1B2)),""),MATCH(ROW(TRAS1B2),ROW(TRAS1B2)))&gt;0,MATCH(ROW(TRAS1B2),ROW(TRAS1B2)),""),ROW(BD13)),COLUMN(BD13)),"")</f>
        <v/>
      </c>
      <c r="CG76" s="36" t="str">
        <f t="array" ref="CG76">IFERROR(INDEX(TRAS1B3,SMALL(IF(FREQUENCY(IF(TRAS1B3&lt;&gt;"",MATCH(ROW(TRAS1B3),ROW(TRAS1B3)),""),MATCH(ROW(TRAS1B3),ROW(TRAS1B3)))&gt;0,MATCH(ROW(TRAS1B3),ROW(TRAS1B3)),""),ROW(BD13)),COLUMN(BD13)),"")</f>
        <v/>
      </c>
      <c r="CH76" s="36" t="str">
        <f t="array" ref="CH76">IFERROR(INDEX(TRAS1B4,SMALL(IF(FREQUENCY(IF(TRAS1B4&lt;&gt;"",MATCH(ROW(TRAS1B4),ROW(TRAS1B4)),""),MATCH(ROW(TRAS1B4),ROW(TRAS1B4)))&gt;0,MATCH(ROW(TRAS1B4),ROW(TRAS1B4)),""),ROW(BD13)),COLUMN(BD13)),"")</f>
        <v/>
      </c>
      <c r="CI76" s="36" t="str">
        <f t="array" ref="CI76">IFERROR(INDEX(TRAS1B5,SMALL(IF(FREQUENCY(IF(TRAS1B5&lt;&gt;"",MATCH(ROW(TRAS1B5),ROW(TRAS1B5)),""),MATCH(ROW(TRAS1B5),ROW(TRAS1B5)))&gt;0,MATCH(ROW(TRAS1B5),ROW(TRAS1B5)),""),ROW(BD13)),COLUMN(BD13)),"")</f>
        <v/>
      </c>
      <c r="CJ76" s="36" t="str">
        <f t="array" ref="CJ76">IFERROR(INDEX(TRAS1B6,SMALL(IF(FREQUENCY(IF(TRAS1B6&lt;&gt;"",MATCH(ROW(TRAS1B6),ROW(TRAS1B6)),""),MATCH(ROW(TRAS1B6),ROW(TRAS1B6)))&gt;0,MATCH(ROW(TRAS1B6),ROW(TRAS1B6)),""),ROW(BD13)),COLUMN(BD13)),"")</f>
        <v/>
      </c>
      <c r="CK76" s="36" t="str">
        <f t="array" ref="CK76">IFERROR(INDEX(TRAS1B7,SMALL(IF(FREQUENCY(IF(TRAS1B7&lt;&gt;"",MATCH(ROW(TRAS1B7),ROW(TRAS1B7)),""),MATCH(ROW(TRAS1B7),ROW(TRAS1B7)))&gt;0,MATCH(ROW(TRAS1B7),ROW(TRAS1B7)),""),ROW(BD13)),COLUMN(BD13)),"")</f>
        <v/>
      </c>
      <c r="CL76" s="36" t="str">
        <f t="array" ref="CL76">IFERROR(INDEX(TRAS1B8,SMALL(IF(FREQUENCY(IF(TRAS1B8&lt;&gt;"",MATCH(ROW(TRAS1B8),ROW(TRAS1B8)),""),MATCH(ROW(TRAS1B8),ROW(TRAS1B8)))&gt;0,MATCH(ROW(TRAS1B8),ROW(TRAS1B8)),""),ROW(BD13)),COLUMN(BD13)),"")</f>
        <v/>
      </c>
      <c r="CM76" s="36" t="str">
        <f t="array" ref="CM76">IFERROR(INDEX(TRAS1B9,SMALL(IF(FREQUENCY(IF(TRAS1B9&lt;&gt;"",MATCH(ROW(TRAS1B9),ROW(TRAS1B9)),""),MATCH(ROW(TRAS1B9),ROW(TRAS1B9)))&gt;0,MATCH(ROW(TRAS1B9),ROW(TRAS1B9)),""),ROW(BD13)),COLUMN(BD13)),"")</f>
        <v/>
      </c>
      <c r="CN76" s="36" t="str">
        <f t="array" ref="CN76">IFERROR(INDEX(TRAS1B10,SMALL(IF(FREQUENCY(IF(TRAS1B10&lt;&gt;"",MATCH(ROW(TRAS1B10),ROW(TRAS1B10)),""),MATCH(ROW(TRAS1B10),ROW(TRAS1B10)))&gt;0,MATCH(ROW(TRAS1B10),ROW(TRAS1B10)),""),ROW(BD13)),COLUMN(BD13)),"")</f>
        <v/>
      </c>
      <c r="CO76" s="36" t="str">
        <f t="array" ref="CO76">IFERROR(INDEX(TRAS1B11,SMALL(IF(FREQUENCY(IF(TRAS1B11&lt;&gt;"",MATCH(ROW(TRAS1B11),ROW(TRAS1B11)),""),MATCH(ROW(TRAS1B11),ROW(TRAS1B11)))&gt;0,MATCH(ROW(TRAS1B11),ROW(TRAS1B11)),""),ROW(BD13)),COLUMN(BD13)),"")</f>
        <v/>
      </c>
      <c r="CP76" s="27" t="str">
        <f t="array" ref="CP76">IFERROR(INDEX(TRAS1B12,SMALL(IF(FREQUENCY(IF(TRAS1B12&lt;&gt;"",MATCH(ROW(TRAS1B12),ROW(TRAS1B12)),""),MATCH(ROW(TRAS1B12),ROW(TRAS1B12)))&gt;0,MATCH(ROW(TRAS1B12),ROW(TRAS1B12)),""),ROW(BD13)),COLUMN(BD13)),"")</f>
        <v/>
      </c>
      <c r="CR76" s="3" t="str">
        <f t="shared" si="89"/>
        <v xml:space="preserve"> </v>
      </c>
      <c r="CS76" s="36" t="str">
        <f t="shared" si="64"/>
        <v xml:space="preserve"> </v>
      </c>
      <c r="CT76" s="36" t="str">
        <f t="shared" si="65"/>
        <v xml:space="preserve"> </v>
      </c>
      <c r="CU76" s="36" t="str">
        <f t="shared" si="66"/>
        <v xml:space="preserve"> </v>
      </c>
      <c r="CV76" s="36" t="str">
        <f t="shared" si="67"/>
        <v xml:space="preserve"> </v>
      </c>
      <c r="CW76" s="36" t="str">
        <f t="shared" si="68"/>
        <v xml:space="preserve"> </v>
      </c>
      <c r="CX76" s="36" t="str">
        <f t="shared" si="69"/>
        <v xml:space="preserve"> </v>
      </c>
      <c r="CY76" s="36" t="str">
        <f t="shared" si="70"/>
        <v xml:space="preserve"> </v>
      </c>
      <c r="CZ76" s="36" t="str">
        <f t="shared" si="71"/>
        <v xml:space="preserve"> </v>
      </c>
      <c r="DA76" s="36" t="str">
        <f t="shared" si="72"/>
        <v xml:space="preserve"> </v>
      </c>
      <c r="DB76" s="36" t="str">
        <f t="shared" si="73"/>
        <v xml:space="preserve"> </v>
      </c>
      <c r="DC76" s="27" t="str">
        <f t="shared" si="74"/>
        <v xml:space="preserve"> </v>
      </c>
    </row>
    <row r="77" spans="2:107" ht="13.5" customHeight="1" x14ac:dyDescent="0.35">
      <c r="B77" s="3" t="str">
        <v/>
      </c>
      <c r="C77" s="36" t="str">
        <v/>
      </c>
      <c r="D77" s="36" t="str">
        <v/>
      </c>
      <c r="E77" s="36" t="str">
        <v/>
      </c>
      <c r="F77" s="36" t="str">
        <v/>
      </c>
      <c r="G77" s="36" t="str">
        <v/>
      </c>
      <c r="H77" s="36" t="str">
        <v/>
      </c>
      <c r="I77" s="36" t="str">
        <v/>
      </c>
      <c r="J77" s="36" t="str">
        <v/>
      </c>
      <c r="K77" s="36" t="str">
        <v/>
      </c>
      <c r="L77" s="36" t="str">
        <v/>
      </c>
      <c r="M77" s="27" t="str">
        <v/>
      </c>
      <c r="O77" s="3" t="str">
        <f t="shared" si="75"/>
        <v/>
      </c>
      <c r="P77" s="36" t="str">
        <f t="shared" si="51"/>
        <v/>
      </c>
      <c r="Q77" s="36" t="str">
        <f t="shared" si="51"/>
        <v/>
      </c>
      <c r="R77" s="36" t="str">
        <f t="shared" si="51"/>
        <v/>
      </c>
      <c r="S77" s="36" t="str">
        <f t="shared" si="51"/>
        <v/>
      </c>
      <c r="T77" s="36" t="str">
        <f t="shared" si="51"/>
        <v/>
      </c>
      <c r="U77" s="36" t="str">
        <f t="shared" si="51"/>
        <v/>
      </c>
      <c r="V77" s="36" t="str">
        <f t="shared" si="51"/>
        <v/>
      </c>
      <c r="W77" s="36" t="str">
        <f t="shared" si="51"/>
        <v/>
      </c>
      <c r="X77" s="36" t="str">
        <f t="shared" si="51"/>
        <v/>
      </c>
      <c r="Y77" s="36" t="str">
        <f t="shared" si="51"/>
        <v/>
      </c>
      <c r="Z77" s="27" t="str">
        <f t="shared" si="51"/>
        <v/>
      </c>
      <c r="AB77" s="3" t="str">
        <f t="array" ref="AB77">IFERROR(INDEX(TRAS1B1,SMALL(IF(FREQUENCY(IF(TRAS1B1&lt;&gt;"",MATCH(ROW(TRAS1B1),ROW(TRAS1B1)),""),MATCH(ROW(TRAS1B1),ROW(TRAS1B1)))&gt;0,MATCH(ROW(TRAS1B1),ROW(TRAS1B1)),""),ROW(A14)),COLUMN(A14)),"")</f>
        <v/>
      </c>
      <c r="AC77" s="36" t="str">
        <f t="array" ref="AC77">IFERROR(INDEX(TRAS1B2,SMALL(IF(FREQUENCY(IF(TRAS1B2&lt;&gt;"",MATCH(ROW(TRAS1B2),ROW(TRAS1B2)),""),MATCH(ROW(TRAS1B2),ROW(TRAS1B2)))&gt;0,MATCH(ROW(TRAS1B2),ROW(TRAS1B2)),""),ROW(A14)),COLUMN(A14)),"")</f>
        <v/>
      </c>
      <c r="AD77" s="36" t="str">
        <f t="array" ref="AD77">IFERROR(INDEX(TRAS1B3,SMALL(IF(FREQUENCY(IF(TRAS1B3&lt;&gt;"",MATCH(ROW(TRAS1B3),ROW(TRAS1B3)),""),MATCH(ROW(TRAS1B3),ROW(TRAS1B3)))&gt;0,MATCH(ROW(TRAS1B3),ROW(TRAS1B3)),""),ROW(A14)),COLUMN(A14)),"")</f>
        <v/>
      </c>
      <c r="AE77" s="36" t="str">
        <f t="array" ref="AE77">IFERROR(INDEX(TRAS1B4,SMALL(IF(FREQUENCY(IF(TRAS1B4&lt;&gt;"",MATCH(ROW(TRAS1B4),ROW(TRAS1B4)),""),MATCH(ROW(TRAS1B4),ROW(TRAS1B4)))&gt;0,MATCH(ROW(TRAS1B4),ROW(TRAS1B4)),""),ROW(A14)),COLUMN(A14)),"")</f>
        <v/>
      </c>
      <c r="AF77" s="36" t="str">
        <f t="array" ref="AF77">IFERROR(INDEX(TRAS1B5,SMALL(IF(FREQUENCY(IF(TRAS1B5&lt;&gt;"",MATCH(ROW(TRAS1B5),ROW(TRAS1B5)),""),MATCH(ROW(TRAS1B5),ROW(TRAS1B5)))&gt;0,MATCH(ROW(TRAS1B5),ROW(TRAS1B5)),""),ROW(A14)),COLUMN(A14)),"")</f>
        <v/>
      </c>
      <c r="AG77" s="36" t="str">
        <f t="array" ref="AG77">IFERROR(INDEX(TRAS1B6,SMALL(IF(FREQUENCY(IF(TRAS1B6&lt;&gt;"",MATCH(ROW(TRAS1B6),ROW(TRAS1B6)),""),MATCH(ROW(TRAS1B6),ROW(TRAS1B6)))&gt;0,MATCH(ROW(TRAS1B6),ROW(TRAS1B6)),""),ROW(A14)),COLUMN(A14)),"")</f>
        <v/>
      </c>
      <c r="AH77" s="36" t="str">
        <f t="array" ref="AH77">IFERROR(INDEX(TRAS1B7,SMALL(IF(FREQUENCY(IF(TRAS1B7&lt;&gt;"",MATCH(ROW(TRAS1B7),ROW(TRAS1B7)),""),MATCH(ROW(TRAS1B7),ROW(TRAS1B7)))&gt;0,MATCH(ROW(TRAS1B7),ROW(TRAS1B7)),""),ROW(A14)),COLUMN(A14)),"")</f>
        <v/>
      </c>
      <c r="AI77" s="36" t="str">
        <f t="array" ref="AI77">IFERROR(INDEX(TRAS1B8,SMALL(IF(FREQUENCY(IF(TRAS1B8&lt;&gt;"",MATCH(ROW(TRAS1B8),ROW(TRAS1B8)),""),MATCH(ROW(TRAS1B8),ROW(TRAS1B8)))&gt;0,MATCH(ROW(TRAS1B8),ROW(TRAS1B8)),""),ROW(A14)),COLUMN(A14)),"")</f>
        <v/>
      </c>
      <c r="AJ77" s="36" t="str">
        <f t="array" ref="AJ77">IFERROR(INDEX(TRAS1B9,SMALL(IF(FREQUENCY(IF(TRAS1B9&lt;&gt;"",MATCH(ROW(TRAS1B9),ROW(TRAS1B9)),""),MATCH(ROW(TRAS1B9),ROW(TRAS1B9)))&gt;0,MATCH(ROW(TRAS1B9),ROW(TRAS1B9)),""),ROW(A14)),COLUMN(A14)),"")</f>
        <v/>
      </c>
      <c r="AK77" s="36" t="str">
        <f t="array" ref="AK77">IFERROR(INDEX(TRAS1B10,SMALL(IF(FREQUENCY(IF(TRAS1B10&lt;&gt;"",MATCH(ROW(TRAS1B10),ROW(TRAS1B10)),""),MATCH(ROW(TRAS1B10),ROW(TRAS1B10)))&gt;0,MATCH(ROW(TRAS1B10),ROW(TRAS1B10)),""),ROW(A14)),COLUMN(A14)),"")</f>
        <v/>
      </c>
      <c r="AL77" s="36" t="str">
        <f t="array" ref="AL77">IFERROR(INDEX(TRAS1B11,SMALL(IF(FREQUENCY(IF(TRAS1B11&lt;&gt;"",MATCH(ROW(TRAS1B11),ROW(TRAS1B11)),""),MATCH(ROW(TRAS1B11),ROW(TRAS1B11)))&gt;0,MATCH(ROW(TRAS1B11),ROW(TRAS1B11)),""),ROW(A14)),COLUMN(A14)),"")</f>
        <v/>
      </c>
      <c r="AM77" s="27" t="str">
        <f t="array" ref="AM77">IFERROR(INDEX(TRAS1B12,SMALL(IF(FREQUENCY(IF(TRAS1B12&lt;&gt;"",MATCH(ROW(TRAS1B12),ROW(TRAS1B12)),""),MATCH(ROW(TRAS1B12),ROW(TRAS1B12)))&gt;0,MATCH(ROW(TRAS1B12),ROW(TRAS1B12)),""),ROW(A14)),COLUMN(A14)),"")</f>
        <v/>
      </c>
      <c r="AO77" s="3" t="str">
        <f t="shared" si="76"/>
        <v xml:space="preserve"> </v>
      </c>
      <c r="AP77" s="36" t="str">
        <f t="shared" si="77"/>
        <v xml:space="preserve"> </v>
      </c>
      <c r="AQ77" s="36" t="str">
        <f t="shared" si="78"/>
        <v xml:space="preserve"> </v>
      </c>
      <c r="AR77" s="36" t="str">
        <f t="shared" si="79"/>
        <v xml:space="preserve"> </v>
      </c>
      <c r="AS77" s="36" t="str">
        <f t="shared" si="80"/>
        <v xml:space="preserve"> </v>
      </c>
      <c r="AT77" s="36" t="str">
        <f t="shared" si="81"/>
        <v xml:space="preserve"> </v>
      </c>
      <c r="AU77" s="36" t="str">
        <f t="shared" si="82"/>
        <v xml:space="preserve"> </v>
      </c>
      <c r="AV77" s="36" t="str">
        <f t="shared" si="83"/>
        <v xml:space="preserve"> </v>
      </c>
      <c r="AW77" s="36" t="str">
        <f t="shared" si="84"/>
        <v xml:space="preserve"> </v>
      </c>
      <c r="AX77" s="36" t="str">
        <f t="shared" si="85"/>
        <v xml:space="preserve"> </v>
      </c>
      <c r="AY77" s="36" t="str">
        <f t="shared" si="86"/>
        <v xml:space="preserve"> </v>
      </c>
      <c r="AZ77" s="27" t="str">
        <f t="shared" si="87"/>
        <v xml:space="preserve"> </v>
      </c>
      <c r="BE77" s="3" t="str">
        <v/>
      </c>
      <c r="BF77" s="36" t="str">
        <v/>
      </c>
      <c r="BG77" s="36" t="str">
        <v/>
      </c>
      <c r="BH77" s="36" t="str">
        <v/>
      </c>
      <c r="BI77" s="36" t="str">
        <v/>
      </c>
      <c r="BJ77" s="36" t="str">
        <v/>
      </c>
      <c r="BK77" s="36" t="str">
        <v/>
      </c>
      <c r="BL77" s="36" t="str">
        <v/>
      </c>
      <c r="BM77" s="36" t="str">
        <v/>
      </c>
      <c r="BN77" s="36" t="str">
        <v/>
      </c>
      <c r="BO77" s="36" t="str">
        <v/>
      </c>
      <c r="BP77" s="27" t="str">
        <v/>
      </c>
      <c r="BR77" s="3" t="str">
        <f t="shared" si="88"/>
        <v/>
      </c>
      <c r="BS77" s="36" t="str">
        <f t="shared" si="53"/>
        <v/>
      </c>
      <c r="BT77" s="36" t="str">
        <f t="shared" si="54"/>
        <v/>
      </c>
      <c r="BU77" s="36" t="str">
        <f t="shared" si="55"/>
        <v/>
      </c>
      <c r="BV77" s="36" t="str">
        <f t="shared" si="56"/>
        <v/>
      </c>
      <c r="BW77" s="36" t="str">
        <f t="shared" si="57"/>
        <v/>
      </c>
      <c r="BX77" s="36" t="str">
        <f t="shared" si="58"/>
        <v/>
      </c>
      <c r="BY77" s="36" t="str">
        <f t="shared" si="59"/>
        <v/>
      </c>
      <c r="BZ77" s="36" t="str">
        <f t="shared" si="60"/>
        <v/>
      </c>
      <c r="CA77" s="36" t="str">
        <f t="shared" si="61"/>
        <v/>
      </c>
      <c r="CB77" s="36" t="str">
        <f t="shared" si="62"/>
        <v/>
      </c>
      <c r="CC77" s="27" t="str">
        <f t="shared" si="63"/>
        <v/>
      </c>
      <c r="CE77" s="3" t="str">
        <f t="array" ref="CE77">IFERROR(INDEX(TRAS1B1,SMALL(IF(FREQUENCY(IF(TRAS1B1&lt;&gt;"",MATCH(ROW(TRAS1B1),ROW(TRAS1B1)),""),MATCH(ROW(TRAS1B1),ROW(TRAS1B1)))&gt;0,MATCH(ROW(TRAS1B1),ROW(TRAS1B1)),""),ROW(BD14)),COLUMN(BD14)),"")</f>
        <v/>
      </c>
      <c r="CF77" s="36" t="str">
        <f t="array" ref="CF77">IFERROR(INDEX(TRAS1B2,SMALL(IF(FREQUENCY(IF(TRAS1B2&lt;&gt;"",MATCH(ROW(TRAS1B2),ROW(TRAS1B2)),""),MATCH(ROW(TRAS1B2),ROW(TRAS1B2)))&gt;0,MATCH(ROW(TRAS1B2),ROW(TRAS1B2)),""),ROW(BD14)),COLUMN(BD14)),"")</f>
        <v/>
      </c>
      <c r="CG77" s="36" t="str">
        <f t="array" ref="CG77">IFERROR(INDEX(TRAS1B3,SMALL(IF(FREQUENCY(IF(TRAS1B3&lt;&gt;"",MATCH(ROW(TRAS1B3),ROW(TRAS1B3)),""),MATCH(ROW(TRAS1B3),ROW(TRAS1B3)))&gt;0,MATCH(ROW(TRAS1B3),ROW(TRAS1B3)),""),ROW(BD14)),COLUMN(BD14)),"")</f>
        <v/>
      </c>
      <c r="CH77" s="36" t="str">
        <f t="array" ref="CH77">IFERROR(INDEX(TRAS1B4,SMALL(IF(FREQUENCY(IF(TRAS1B4&lt;&gt;"",MATCH(ROW(TRAS1B4),ROW(TRAS1B4)),""),MATCH(ROW(TRAS1B4),ROW(TRAS1B4)))&gt;0,MATCH(ROW(TRAS1B4),ROW(TRAS1B4)),""),ROW(BD14)),COLUMN(BD14)),"")</f>
        <v/>
      </c>
      <c r="CI77" s="36" t="str">
        <f t="array" ref="CI77">IFERROR(INDEX(TRAS1B5,SMALL(IF(FREQUENCY(IF(TRAS1B5&lt;&gt;"",MATCH(ROW(TRAS1B5),ROW(TRAS1B5)),""),MATCH(ROW(TRAS1B5),ROW(TRAS1B5)))&gt;0,MATCH(ROW(TRAS1B5),ROW(TRAS1B5)),""),ROW(BD14)),COLUMN(BD14)),"")</f>
        <v/>
      </c>
      <c r="CJ77" s="36" t="str">
        <f t="array" ref="CJ77">IFERROR(INDEX(TRAS1B6,SMALL(IF(FREQUENCY(IF(TRAS1B6&lt;&gt;"",MATCH(ROW(TRAS1B6),ROW(TRAS1B6)),""),MATCH(ROW(TRAS1B6),ROW(TRAS1B6)))&gt;0,MATCH(ROW(TRAS1B6),ROW(TRAS1B6)),""),ROW(BD14)),COLUMN(BD14)),"")</f>
        <v/>
      </c>
      <c r="CK77" s="36" t="str">
        <f t="array" ref="CK77">IFERROR(INDEX(TRAS1B7,SMALL(IF(FREQUENCY(IF(TRAS1B7&lt;&gt;"",MATCH(ROW(TRAS1B7),ROW(TRAS1B7)),""),MATCH(ROW(TRAS1B7),ROW(TRAS1B7)))&gt;0,MATCH(ROW(TRAS1B7),ROW(TRAS1B7)),""),ROW(BD14)),COLUMN(BD14)),"")</f>
        <v/>
      </c>
      <c r="CL77" s="36" t="str">
        <f t="array" ref="CL77">IFERROR(INDEX(TRAS1B8,SMALL(IF(FREQUENCY(IF(TRAS1B8&lt;&gt;"",MATCH(ROW(TRAS1B8),ROW(TRAS1B8)),""),MATCH(ROW(TRAS1B8),ROW(TRAS1B8)))&gt;0,MATCH(ROW(TRAS1B8),ROW(TRAS1B8)),""),ROW(BD14)),COLUMN(BD14)),"")</f>
        <v/>
      </c>
      <c r="CM77" s="36" t="str">
        <f t="array" ref="CM77">IFERROR(INDEX(TRAS1B9,SMALL(IF(FREQUENCY(IF(TRAS1B9&lt;&gt;"",MATCH(ROW(TRAS1B9),ROW(TRAS1B9)),""),MATCH(ROW(TRAS1B9),ROW(TRAS1B9)))&gt;0,MATCH(ROW(TRAS1B9),ROW(TRAS1B9)),""),ROW(BD14)),COLUMN(BD14)),"")</f>
        <v/>
      </c>
      <c r="CN77" s="36" t="str">
        <f t="array" ref="CN77">IFERROR(INDEX(TRAS1B10,SMALL(IF(FREQUENCY(IF(TRAS1B10&lt;&gt;"",MATCH(ROW(TRAS1B10),ROW(TRAS1B10)),""),MATCH(ROW(TRAS1B10),ROW(TRAS1B10)))&gt;0,MATCH(ROW(TRAS1B10),ROW(TRAS1B10)),""),ROW(BD14)),COLUMN(BD14)),"")</f>
        <v/>
      </c>
      <c r="CO77" s="36" t="str">
        <f t="array" ref="CO77">IFERROR(INDEX(TRAS1B11,SMALL(IF(FREQUENCY(IF(TRAS1B11&lt;&gt;"",MATCH(ROW(TRAS1B11),ROW(TRAS1B11)),""),MATCH(ROW(TRAS1B11),ROW(TRAS1B11)))&gt;0,MATCH(ROW(TRAS1B11),ROW(TRAS1B11)),""),ROW(BD14)),COLUMN(BD14)),"")</f>
        <v/>
      </c>
      <c r="CP77" s="27" t="str">
        <f t="array" ref="CP77">IFERROR(INDEX(TRAS1B12,SMALL(IF(FREQUENCY(IF(TRAS1B12&lt;&gt;"",MATCH(ROW(TRAS1B12),ROW(TRAS1B12)),""),MATCH(ROW(TRAS1B12),ROW(TRAS1B12)))&gt;0,MATCH(ROW(TRAS1B12),ROW(TRAS1B12)),""),ROW(BD14)),COLUMN(BD14)),"")</f>
        <v/>
      </c>
      <c r="CR77" s="3" t="str">
        <f t="shared" si="89"/>
        <v xml:space="preserve"> </v>
      </c>
      <c r="CS77" s="36" t="str">
        <f t="shared" si="64"/>
        <v xml:space="preserve"> </v>
      </c>
      <c r="CT77" s="36" t="str">
        <f t="shared" si="65"/>
        <v xml:space="preserve"> </v>
      </c>
      <c r="CU77" s="36" t="str">
        <f t="shared" si="66"/>
        <v xml:space="preserve"> </v>
      </c>
      <c r="CV77" s="36" t="str">
        <f t="shared" si="67"/>
        <v xml:space="preserve"> </v>
      </c>
      <c r="CW77" s="36" t="str">
        <f t="shared" si="68"/>
        <v xml:space="preserve"> </v>
      </c>
      <c r="CX77" s="36" t="str">
        <f t="shared" si="69"/>
        <v xml:space="preserve"> </v>
      </c>
      <c r="CY77" s="36" t="str">
        <f t="shared" si="70"/>
        <v xml:space="preserve"> </v>
      </c>
      <c r="CZ77" s="36" t="str">
        <f t="shared" si="71"/>
        <v xml:space="preserve"> </v>
      </c>
      <c r="DA77" s="36" t="str">
        <f t="shared" si="72"/>
        <v xml:space="preserve"> </v>
      </c>
      <c r="DB77" s="36" t="str">
        <f t="shared" si="73"/>
        <v xml:space="preserve"> </v>
      </c>
      <c r="DC77" s="27" t="str">
        <f t="shared" si="74"/>
        <v xml:space="preserve"> </v>
      </c>
    </row>
    <row r="78" spans="2:107" ht="13.5" customHeight="1" x14ac:dyDescent="0.35">
      <c r="B78" s="3" t="str">
        <v/>
      </c>
      <c r="C78" s="36" t="str">
        <v/>
      </c>
      <c r="D78" s="36" t="str">
        <v/>
      </c>
      <c r="E78" s="36" t="str">
        <v/>
      </c>
      <c r="F78" s="36" t="str">
        <v/>
      </c>
      <c r="G78" s="36" t="str">
        <v/>
      </c>
      <c r="H78" s="36" t="str">
        <v/>
      </c>
      <c r="I78" s="36" t="str">
        <v/>
      </c>
      <c r="J78" s="36" t="str">
        <v/>
      </c>
      <c r="K78" s="36" t="str">
        <v/>
      </c>
      <c r="L78" s="36" t="str">
        <v/>
      </c>
      <c r="M78" s="27" t="str">
        <v/>
      </c>
      <c r="O78" s="3" t="str">
        <f t="shared" si="75"/>
        <v/>
      </c>
      <c r="P78" s="36" t="str">
        <f t="shared" si="51"/>
        <v/>
      </c>
      <c r="Q78" s="36" t="str">
        <f t="shared" si="51"/>
        <v/>
      </c>
      <c r="R78" s="36" t="str">
        <f t="shared" si="51"/>
        <v/>
      </c>
      <c r="S78" s="36" t="str">
        <f t="shared" si="51"/>
        <v/>
      </c>
      <c r="T78" s="36" t="str">
        <f t="shared" si="51"/>
        <v/>
      </c>
      <c r="U78" s="36" t="str">
        <f t="shared" si="51"/>
        <v/>
      </c>
      <c r="V78" s="36" t="str">
        <f t="shared" si="51"/>
        <v/>
      </c>
      <c r="W78" s="36" t="str">
        <f t="shared" si="51"/>
        <v/>
      </c>
      <c r="X78" s="36" t="str">
        <f t="shared" si="51"/>
        <v/>
      </c>
      <c r="Y78" s="36" t="str">
        <f t="shared" si="51"/>
        <v/>
      </c>
      <c r="Z78" s="27" t="str">
        <f t="shared" si="51"/>
        <v/>
      </c>
      <c r="AB78" s="3" t="str">
        <f t="array" ref="AB78">IFERROR(INDEX(TRAS1B1,SMALL(IF(FREQUENCY(IF(TRAS1B1&lt;&gt;"",MATCH(ROW(TRAS1B1),ROW(TRAS1B1)),""),MATCH(ROW(TRAS1B1),ROW(TRAS1B1)))&gt;0,MATCH(ROW(TRAS1B1),ROW(TRAS1B1)),""),ROW(A15)),COLUMN(A15)),"")</f>
        <v/>
      </c>
      <c r="AC78" s="36" t="str">
        <f t="array" ref="AC78">IFERROR(INDEX(TRAS1B2,SMALL(IF(FREQUENCY(IF(TRAS1B2&lt;&gt;"",MATCH(ROW(TRAS1B2),ROW(TRAS1B2)),""),MATCH(ROW(TRAS1B2),ROW(TRAS1B2)))&gt;0,MATCH(ROW(TRAS1B2),ROW(TRAS1B2)),""),ROW(A15)),COLUMN(A15)),"")</f>
        <v/>
      </c>
      <c r="AD78" s="36" t="str">
        <f t="array" ref="AD78">IFERROR(INDEX(TRAS1B3,SMALL(IF(FREQUENCY(IF(TRAS1B3&lt;&gt;"",MATCH(ROW(TRAS1B3),ROW(TRAS1B3)),""),MATCH(ROW(TRAS1B3),ROW(TRAS1B3)))&gt;0,MATCH(ROW(TRAS1B3),ROW(TRAS1B3)),""),ROW(A15)),COLUMN(A15)),"")</f>
        <v/>
      </c>
      <c r="AE78" s="36" t="str">
        <f t="array" ref="AE78">IFERROR(INDEX(TRAS1B4,SMALL(IF(FREQUENCY(IF(TRAS1B4&lt;&gt;"",MATCH(ROW(TRAS1B4),ROW(TRAS1B4)),""),MATCH(ROW(TRAS1B4),ROW(TRAS1B4)))&gt;0,MATCH(ROW(TRAS1B4),ROW(TRAS1B4)),""),ROW(A15)),COLUMN(A15)),"")</f>
        <v/>
      </c>
      <c r="AF78" s="36" t="str">
        <f t="array" ref="AF78">IFERROR(INDEX(TRAS1B5,SMALL(IF(FREQUENCY(IF(TRAS1B5&lt;&gt;"",MATCH(ROW(TRAS1B5),ROW(TRAS1B5)),""),MATCH(ROW(TRAS1B5),ROW(TRAS1B5)))&gt;0,MATCH(ROW(TRAS1B5),ROW(TRAS1B5)),""),ROW(A15)),COLUMN(A15)),"")</f>
        <v/>
      </c>
      <c r="AG78" s="36" t="str">
        <f t="array" ref="AG78">IFERROR(INDEX(TRAS1B6,SMALL(IF(FREQUENCY(IF(TRAS1B6&lt;&gt;"",MATCH(ROW(TRAS1B6),ROW(TRAS1B6)),""),MATCH(ROW(TRAS1B6),ROW(TRAS1B6)))&gt;0,MATCH(ROW(TRAS1B6),ROW(TRAS1B6)),""),ROW(A15)),COLUMN(A15)),"")</f>
        <v/>
      </c>
      <c r="AH78" s="36" t="str">
        <f t="array" ref="AH78">IFERROR(INDEX(TRAS1B7,SMALL(IF(FREQUENCY(IF(TRAS1B7&lt;&gt;"",MATCH(ROW(TRAS1B7),ROW(TRAS1B7)),""),MATCH(ROW(TRAS1B7),ROW(TRAS1B7)))&gt;0,MATCH(ROW(TRAS1B7),ROW(TRAS1B7)),""),ROW(A15)),COLUMN(A15)),"")</f>
        <v/>
      </c>
      <c r="AI78" s="36" t="str">
        <f t="array" ref="AI78">IFERROR(INDEX(TRAS1B8,SMALL(IF(FREQUENCY(IF(TRAS1B8&lt;&gt;"",MATCH(ROW(TRAS1B8),ROW(TRAS1B8)),""),MATCH(ROW(TRAS1B8),ROW(TRAS1B8)))&gt;0,MATCH(ROW(TRAS1B8),ROW(TRAS1B8)),""),ROW(A15)),COLUMN(A15)),"")</f>
        <v/>
      </c>
      <c r="AJ78" s="36" t="str">
        <f t="array" ref="AJ78">IFERROR(INDEX(TRAS1B9,SMALL(IF(FREQUENCY(IF(TRAS1B9&lt;&gt;"",MATCH(ROW(TRAS1B9),ROW(TRAS1B9)),""),MATCH(ROW(TRAS1B9),ROW(TRAS1B9)))&gt;0,MATCH(ROW(TRAS1B9),ROW(TRAS1B9)),""),ROW(A15)),COLUMN(A15)),"")</f>
        <v/>
      </c>
      <c r="AK78" s="36" t="str">
        <f t="array" ref="AK78">IFERROR(INDEX(TRAS1B10,SMALL(IF(FREQUENCY(IF(TRAS1B10&lt;&gt;"",MATCH(ROW(TRAS1B10),ROW(TRAS1B10)),""),MATCH(ROW(TRAS1B10),ROW(TRAS1B10)))&gt;0,MATCH(ROW(TRAS1B10),ROW(TRAS1B10)),""),ROW(A15)),COLUMN(A15)),"")</f>
        <v/>
      </c>
      <c r="AL78" s="36" t="str">
        <f t="array" ref="AL78">IFERROR(INDEX(TRAS1B11,SMALL(IF(FREQUENCY(IF(TRAS1B11&lt;&gt;"",MATCH(ROW(TRAS1B11),ROW(TRAS1B11)),""),MATCH(ROW(TRAS1B11),ROW(TRAS1B11)))&gt;0,MATCH(ROW(TRAS1B11),ROW(TRAS1B11)),""),ROW(A15)),COLUMN(A15)),"")</f>
        <v/>
      </c>
      <c r="AM78" s="27" t="str">
        <f t="array" ref="AM78">IFERROR(INDEX(TRAS1B12,SMALL(IF(FREQUENCY(IF(TRAS1B12&lt;&gt;"",MATCH(ROW(TRAS1B12),ROW(TRAS1B12)),""),MATCH(ROW(TRAS1B12),ROW(TRAS1B12)))&gt;0,MATCH(ROW(TRAS1B12),ROW(TRAS1B12)),""),ROW(A15)),COLUMN(A15)),"")</f>
        <v/>
      </c>
      <c r="AO78" s="3" t="str">
        <f t="shared" si="76"/>
        <v xml:space="preserve"> </v>
      </c>
      <c r="AP78" s="36" t="str">
        <f t="shared" si="77"/>
        <v xml:space="preserve"> </v>
      </c>
      <c r="AQ78" s="36" t="str">
        <f t="shared" si="78"/>
        <v xml:space="preserve"> </v>
      </c>
      <c r="AR78" s="36" t="str">
        <f t="shared" si="79"/>
        <v xml:space="preserve"> </v>
      </c>
      <c r="AS78" s="36" t="str">
        <f t="shared" si="80"/>
        <v xml:space="preserve"> </v>
      </c>
      <c r="AT78" s="36" t="str">
        <f t="shared" si="81"/>
        <v xml:space="preserve"> </v>
      </c>
      <c r="AU78" s="36" t="str">
        <f t="shared" si="82"/>
        <v xml:space="preserve"> </v>
      </c>
      <c r="AV78" s="36" t="str">
        <f t="shared" si="83"/>
        <v xml:space="preserve"> </v>
      </c>
      <c r="AW78" s="36" t="str">
        <f t="shared" si="84"/>
        <v xml:space="preserve"> </v>
      </c>
      <c r="AX78" s="36" t="str">
        <f t="shared" si="85"/>
        <v xml:space="preserve"> </v>
      </c>
      <c r="AY78" s="36" t="str">
        <f t="shared" si="86"/>
        <v xml:space="preserve"> </v>
      </c>
      <c r="AZ78" s="27" t="str">
        <f t="shared" si="87"/>
        <v xml:space="preserve"> </v>
      </c>
      <c r="BE78" s="3" t="str">
        <v/>
      </c>
      <c r="BF78" s="36" t="str">
        <v/>
      </c>
      <c r="BG78" s="36" t="str">
        <v/>
      </c>
      <c r="BH78" s="36" t="str">
        <v/>
      </c>
      <c r="BI78" s="36" t="str">
        <v/>
      </c>
      <c r="BJ78" s="36" t="str">
        <v/>
      </c>
      <c r="BK78" s="36" t="str">
        <v/>
      </c>
      <c r="BL78" s="36" t="str">
        <v/>
      </c>
      <c r="BM78" s="36" t="str">
        <v/>
      </c>
      <c r="BN78" s="36" t="str">
        <v/>
      </c>
      <c r="BO78" s="36" t="str">
        <v/>
      </c>
      <c r="BP78" s="27" t="str">
        <v/>
      </c>
      <c r="BR78" s="3" t="str">
        <f t="shared" si="88"/>
        <v/>
      </c>
      <c r="BS78" s="36" t="str">
        <f t="shared" si="53"/>
        <v/>
      </c>
      <c r="BT78" s="36" t="str">
        <f t="shared" si="54"/>
        <v/>
      </c>
      <c r="BU78" s="36" t="str">
        <f t="shared" si="55"/>
        <v/>
      </c>
      <c r="BV78" s="36" t="str">
        <f t="shared" si="56"/>
        <v/>
      </c>
      <c r="BW78" s="36" t="str">
        <f t="shared" si="57"/>
        <v/>
      </c>
      <c r="BX78" s="36" t="str">
        <f t="shared" si="58"/>
        <v/>
      </c>
      <c r="BY78" s="36" t="str">
        <f t="shared" si="59"/>
        <v/>
      </c>
      <c r="BZ78" s="36" t="str">
        <f t="shared" si="60"/>
        <v/>
      </c>
      <c r="CA78" s="36" t="str">
        <f t="shared" si="61"/>
        <v/>
      </c>
      <c r="CB78" s="36" t="str">
        <f t="shared" si="62"/>
        <v/>
      </c>
      <c r="CC78" s="27" t="str">
        <f t="shared" si="63"/>
        <v/>
      </c>
      <c r="CE78" s="3" t="str">
        <f t="array" ref="CE78">IFERROR(INDEX(TRAS1B1,SMALL(IF(FREQUENCY(IF(TRAS1B1&lt;&gt;"",MATCH(ROW(TRAS1B1),ROW(TRAS1B1)),""),MATCH(ROW(TRAS1B1),ROW(TRAS1B1)))&gt;0,MATCH(ROW(TRAS1B1),ROW(TRAS1B1)),""),ROW(BD15)),COLUMN(BD15)),"")</f>
        <v/>
      </c>
      <c r="CF78" s="36" t="str">
        <f t="array" ref="CF78">IFERROR(INDEX(TRAS1B2,SMALL(IF(FREQUENCY(IF(TRAS1B2&lt;&gt;"",MATCH(ROW(TRAS1B2),ROW(TRAS1B2)),""),MATCH(ROW(TRAS1B2),ROW(TRAS1B2)))&gt;0,MATCH(ROW(TRAS1B2),ROW(TRAS1B2)),""),ROW(BD15)),COLUMN(BD15)),"")</f>
        <v/>
      </c>
      <c r="CG78" s="36" t="str">
        <f t="array" ref="CG78">IFERROR(INDEX(TRAS1B3,SMALL(IF(FREQUENCY(IF(TRAS1B3&lt;&gt;"",MATCH(ROW(TRAS1B3),ROW(TRAS1B3)),""),MATCH(ROW(TRAS1B3),ROW(TRAS1B3)))&gt;0,MATCH(ROW(TRAS1B3),ROW(TRAS1B3)),""),ROW(BD15)),COLUMN(BD15)),"")</f>
        <v/>
      </c>
      <c r="CH78" s="36" t="str">
        <f t="array" ref="CH78">IFERROR(INDEX(TRAS1B4,SMALL(IF(FREQUENCY(IF(TRAS1B4&lt;&gt;"",MATCH(ROW(TRAS1B4),ROW(TRAS1B4)),""),MATCH(ROW(TRAS1B4),ROW(TRAS1B4)))&gt;0,MATCH(ROW(TRAS1B4),ROW(TRAS1B4)),""),ROW(BD15)),COLUMN(BD15)),"")</f>
        <v/>
      </c>
      <c r="CI78" s="36" t="str">
        <f t="array" ref="CI78">IFERROR(INDEX(TRAS1B5,SMALL(IF(FREQUENCY(IF(TRAS1B5&lt;&gt;"",MATCH(ROW(TRAS1B5),ROW(TRAS1B5)),""),MATCH(ROW(TRAS1B5),ROW(TRAS1B5)))&gt;0,MATCH(ROW(TRAS1B5),ROW(TRAS1B5)),""),ROW(BD15)),COLUMN(BD15)),"")</f>
        <v/>
      </c>
      <c r="CJ78" s="36" t="str">
        <f t="array" ref="CJ78">IFERROR(INDEX(TRAS1B6,SMALL(IF(FREQUENCY(IF(TRAS1B6&lt;&gt;"",MATCH(ROW(TRAS1B6),ROW(TRAS1B6)),""),MATCH(ROW(TRAS1B6),ROW(TRAS1B6)))&gt;0,MATCH(ROW(TRAS1B6),ROW(TRAS1B6)),""),ROW(BD15)),COLUMN(BD15)),"")</f>
        <v/>
      </c>
      <c r="CK78" s="36" t="str">
        <f t="array" ref="CK78">IFERROR(INDEX(TRAS1B7,SMALL(IF(FREQUENCY(IF(TRAS1B7&lt;&gt;"",MATCH(ROW(TRAS1B7),ROW(TRAS1B7)),""),MATCH(ROW(TRAS1B7),ROW(TRAS1B7)))&gt;0,MATCH(ROW(TRAS1B7),ROW(TRAS1B7)),""),ROW(BD15)),COLUMN(BD15)),"")</f>
        <v/>
      </c>
      <c r="CL78" s="36" t="str">
        <f t="array" ref="CL78">IFERROR(INDEX(TRAS1B8,SMALL(IF(FREQUENCY(IF(TRAS1B8&lt;&gt;"",MATCH(ROW(TRAS1B8),ROW(TRAS1B8)),""),MATCH(ROW(TRAS1B8),ROW(TRAS1B8)))&gt;0,MATCH(ROW(TRAS1B8),ROW(TRAS1B8)),""),ROW(BD15)),COLUMN(BD15)),"")</f>
        <v/>
      </c>
      <c r="CM78" s="36" t="str">
        <f t="array" ref="CM78">IFERROR(INDEX(TRAS1B9,SMALL(IF(FREQUENCY(IF(TRAS1B9&lt;&gt;"",MATCH(ROW(TRAS1B9),ROW(TRAS1B9)),""),MATCH(ROW(TRAS1B9),ROW(TRAS1B9)))&gt;0,MATCH(ROW(TRAS1B9),ROW(TRAS1B9)),""),ROW(BD15)),COLUMN(BD15)),"")</f>
        <v/>
      </c>
      <c r="CN78" s="36" t="str">
        <f t="array" ref="CN78">IFERROR(INDEX(TRAS1B10,SMALL(IF(FREQUENCY(IF(TRAS1B10&lt;&gt;"",MATCH(ROW(TRAS1B10),ROW(TRAS1B10)),""),MATCH(ROW(TRAS1B10),ROW(TRAS1B10)))&gt;0,MATCH(ROW(TRAS1B10),ROW(TRAS1B10)),""),ROW(BD15)),COLUMN(BD15)),"")</f>
        <v/>
      </c>
      <c r="CO78" s="36" t="str">
        <f t="array" ref="CO78">IFERROR(INDEX(TRAS1B11,SMALL(IF(FREQUENCY(IF(TRAS1B11&lt;&gt;"",MATCH(ROW(TRAS1B11),ROW(TRAS1B11)),""),MATCH(ROW(TRAS1B11),ROW(TRAS1B11)))&gt;0,MATCH(ROW(TRAS1B11),ROW(TRAS1B11)),""),ROW(BD15)),COLUMN(BD15)),"")</f>
        <v/>
      </c>
      <c r="CP78" s="27" t="str">
        <f t="array" ref="CP78">IFERROR(INDEX(TRAS1B12,SMALL(IF(FREQUENCY(IF(TRAS1B12&lt;&gt;"",MATCH(ROW(TRAS1B12),ROW(TRAS1B12)),""),MATCH(ROW(TRAS1B12),ROW(TRAS1B12)))&gt;0,MATCH(ROW(TRAS1B12),ROW(TRAS1B12)),""),ROW(BD15)),COLUMN(BD15)),"")</f>
        <v/>
      </c>
      <c r="CR78" s="3" t="str">
        <f t="shared" si="89"/>
        <v xml:space="preserve"> </v>
      </c>
      <c r="CS78" s="36" t="str">
        <f t="shared" si="64"/>
        <v xml:space="preserve"> </v>
      </c>
      <c r="CT78" s="36" t="str">
        <f t="shared" si="65"/>
        <v xml:space="preserve"> </v>
      </c>
      <c r="CU78" s="36" t="str">
        <f t="shared" si="66"/>
        <v xml:space="preserve"> </v>
      </c>
      <c r="CV78" s="36" t="str">
        <f t="shared" si="67"/>
        <v xml:space="preserve"> </v>
      </c>
      <c r="CW78" s="36" t="str">
        <f t="shared" si="68"/>
        <v xml:space="preserve"> </v>
      </c>
      <c r="CX78" s="36" t="str">
        <f t="shared" si="69"/>
        <v xml:space="preserve"> </v>
      </c>
      <c r="CY78" s="36" t="str">
        <f t="shared" si="70"/>
        <v xml:space="preserve"> </v>
      </c>
      <c r="CZ78" s="36" t="str">
        <f t="shared" si="71"/>
        <v xml:space="preserve"> </v>
      </c>
      <c r="DA78" s="36" t="str">
        <f t="shared" si="72"/>
        <v xml:space="preserve"> </v>
      </c>
      <c r="DB78" s="36" t="str">
        <f t="shared" si="73"/>
        <v xml:space="preserve"> </v>
      </c>
      <c r="DC78" s="27" t="str">
        <f t="shared" si="74"/>
        <v xml:space="preserve"> </v>
      </c>
    </row>
    <row r="79" spans="2:107" ht="13.5" customHeight="1" x14ac:dyDescent="0.35">
      <c r="B79" s="3" t="str">
        <v/>
      </c>
      <c r="C79" s="36" t="str">
        <v/>
      </c>
      <c r="D79" s="36" t="str">
        <v/>
      </c>
      <c r="E79" s="36" t="str">
        <v/>
      </c>
      <c r="F79" s="36" t="str">
        <v/>
      </c>
      <c r="G79" s="36" t="str">
        <v/>
      </c>
      <c r="H79" s="36" t="str">
        <v/>
      </c>
      <c r="I79" s="36" t="str">
        <v/>
      </c>
      <c r="J79" s="36" t="str">
        <v/>
      </c>
      <c r="K79" s="36" t="str">
        <v/>
      </c>
      <c r="L79" s="36" t="str">
        <v/>
      </c>
      <c r="M79" s="27" t="str">
        <v/>
      </c>
      <c r="O79" s="3" t="str">
        <f t="shared" si="75"/>
        <v/>
      </c>
      <c r="P79" s="36" t="str">
        <f t="shared" si="51"/>
        <v/>
      </c>
      <c r="Q79" s="36" t="str">
        <f t="shared" si="51"/>
        <v/>
      </c>
      <c r="R79" s="36" t="str">
        <f t="shared" si="51"/>
        <v/>
      </c>
      <c r="S79" s="36" t="str">
        <f t="shared" si="51"/>
        <v/>
      </c>
      <c r="T79" s="36" t="str">
        <f t="shared" si="51"/>
        <v/>
      </c>
      <c r="U79" s="36" t="str">
        <f t="shared" si="51"/>
        <v/>
      </c>
      <c r="V79" s="36" t="str">
        <f t="shared" si="51"/>
        <v/>
      </c>
      <c r="W79" s="36" t="str">
        <f t="shared" si="51"/>
        <v/>
      </c>
      <c r="X79" s="36" t="str">
        <f t="shared" si="51"/>
        <v/>
      </c>
      <c r="Y79" s="36" t="str">
        <f t="shared" si="51"/>
        <v/>
      </c>
      <c r="Z79" s="27" t="str">
        <f t="shared" si="51"/>
        <v/>
      </c>
      <c r="AB79" s="3" t="str">
        <f t="array" ref="AB79">IFERROR(INDEX(TRAS1B1,SMALL(IF(FREQUENCY(IF(TRAS1B1&lt;&gt;"",MATCH(ROW(TRAS1B1),ROW(TRAS1B1)),""),MATCH(ROW(TRAS1B1),ROW(TRAS1B1)))&gt;0,MATCH(ROW(TRAS1B1),ROW(TRAS1B1)),""),ROW(A16)),COLUMN(A16)),"")</f>
        <v/>
      </c>
      <c r="AC79" s="36" t="str">
        <f t="array" ref="AC79">IFERROR(INDEX(TRAS1B2,SMALL(IF(FREQUENCY(IF(TRAS1B2&lt;&gt;"",MATCH(ROW(TRAS1B2),ROW(TRAS1B2)),""),MATCH(ROW(TRAS1B2),ROW(TRAS1B2)))&gt;0,MATCH(ROW(TRAS1B2),ROW(TRAS1B2)),""),ROW(A16)),COLUMN(A16)),"")</f>
        <v/>
      </c>
      <c r="AD79" s="36" t="str">
        <f t="array" ref="AD79">IFERROR(INDEX(TRAS1B3,SMALL(IF(FREQUENCY(IF(TRAS1B3&lt;&gt;"",MATCH(ROW(TRAS1B3),ROW(TRAS1B3)),""),MATCH(ROW(TRAS1B3),ROW(TRAS1B3)))&gt;0,MATCH(ROW(TRAS1B3),ROW(TRAS1B3)),""),ROW(A16)),COLUMN(A16)),"")</f>
        <v/>
      </c>
      <c r="AE79" s="36" t="str">
        <f t="array" ref="AE79">IFERROR(INDEX(TRAS1B4,SMALL(IF(FREQUENCY(IF(TRAS1B4&lt;&gt;"",MATCH(ROW(TRAS1B4),ROW(TRAS1B4)),""),MATCH(ROW(TRAS1B4),ROW(TRAS1B4)))&gt;0,MATCH(ROW(TRAS1B4),ROW(TRAS1B4)),""),ROW(A16)),COLUMN(A16)),"")</f>
        <v/>
      </c>
      <c r="AF79" s="36" t="str">
        <f t="array" ref="AF79">IFERROR(INDEX(TRAS1B5,SMALL(IF(FREQUENCY(IF(TRAS1B5&lt;&gt;"",MATCH(ROW(TRAS1B5),ROW(TRAS1B5)),""),MATCH(ROW(TRAS1B5),ROW(TRAS1B5)))&gt;0,MATCH(ROW(TRAS1B5),ROW(TRAS1B5)),""),ROW(A16)),COLUMN(A16)),"")</f>
        <v/>
      </c>
      <c r="AG79" s="36" t="str">
        <f t="array" ref="AG79">IFERROR(INDEX(TRAS1B6,SMALL(IF(FREQUENCY(IF(TRAS1B6&lt;&gt;"",MATCH(ROW(TRAS1B6),ROW(TRAS1B6)),""),MATCH(ROW(TRAS1B6),ROW(TRAS1B6)))&gt;0,MATCH(ROW(TRAS1B6),ROW(TRAS1B6)),""),ROW(A16)),COLUMN(A16)),"")</f>
        <v/>
      </c>
      <c r="AH79" s="36" t="str">
        <f t="array" ref="AH79">IFERROR(INDEX(TRAS1B7,SMALL(IF(FREQUENCY(IF(TRAS1B7&lt;&gt;"",MATCH(ROW(TRAS1B7),ROW(TRAS1B7)),""),MATCH(ROW(TRAS1B7),ROW(TRAS1B7)))&gt;0,MATCH(ROW(TRAS1B7),ROW(TRAS1B7)),""),ROW(A16)),COLUMN(A16)),"")</f>
        <v/>
      </c>
      <c r="AI79" s="36" t="str">
        <f t="array" ref="AI79">IFERROR(INDEX(TRAS1B8,SMALL(IF(FREQUENCY(IF(TRAS1B8&lt;&gt;"",MATCH(ROW(TRAS1B8),ROW(TRAS1B8)),""),MATCH(ROW(TRAS1B8),ROW(TRAS1B8)))&gt;0,MATCH(ROW(TRAS1B8),ROW(TRAS1B8)),""),ROW(A16)),COLUMN(A16)),"")</f>
        <v/>
      </c>
      <c r="AJ79" s="36" t="str">
        <f t="array" ref="AJ79">IFERROR(INDEX(TRAS1B9,SMALL(IF(FREQUENCY(IF(TRAS1B9&lt;&gt;"",MATCH(ROW(TRAS1B9),ROW(TRAS1B9)),""),MATCH(ROW(TRAS1B9),ROW(TRAS1B9)))&gt;0,MATCH(ROW(TRAS1B9),ROW(TRAS1B9)),""),ROW(A16)),COLUMN(A16)),"")</f>
        <v/>
      </c>
      <c r="AK79" s="36" t="str">
        <f t="array" ref="AK79">IFERROR(INDEX(TRAS1B10,SMALL(IF(FREQUENCY(IF(TRAS1B10&lt;&gt;"",MATCH(ROW(TRAS1B10),ROW(TRAS1B10)),""),MATCH(ROW(TRAS1B10),ROW(TRAS1B10)))&gt;0,MATCH(ROW(TRAS1B10),ROW(TRAS1B10)),""),ROW(A16)),COLUMN(A16)),"")</f>
        <v/>
      </c>
      <c r="AL79" s="36" t="str">
        <f t="array" ref="AL79">IFERROR(INDEX(TRAS1B11,SMALL(IF(FREQUENCY(IF(TRAS1B11&lt;&gt;"",MATCH(ROW(TRAS1B11),ROW(TRAS1B11)),""),MATCH(ROW(TRAS1B11),ROW(TRAS1B11)))&gt;0,MATCH(ROW(TRAS1B11),ROW(TRAS1B11)),""),ROW(A16)),COLUMN(A16)),"")</f>
        <v/>
      </c>
      <c r="AM79" s="27" t="str">
        <f t="array" ref="AM79">IFERROR(INDEX(TRAS1B12,SMALL(IF(FREQUENCY(IF(TRAS1B12&lt;&gt;"",MATCH(ROW(TRAS1B12),ROW(TRAS1B12)),""),MATCH(ROW(TRAS1B12),ROW(TRAS1B12)))&gt;0,MATCH(ROW(TRAS1B12),ROW(TRAS1B12)),""),ROW(A16)),COLUMN(A16)),"")</f>
        <v/>
      </c>
      <c r="AO79" s="3" t="str">
        <f t="shared" si="76"/>
        <v xml:space="preserve"> </v>
      </c>
      <c r="AP79" s="36" t="str">
        <f t="shared" si="77"/>
        <v xml:space="preserve"> </v>
      </c>
      <c r="AQ79" s="36" t="str">
        <f t="shared" si="78"/>
        <v xml:space="preserve"> </v>
      </c>
      <c r="AR79" s="36" t="str">
        <f t="shared" si="79"/>
        <v xml:space="preserve"> </v>
      </c>
      <c r="AS79" s="36" t="str">
        <f t="shared" si="80"/>
        <v xml:space="preserve"> </v>
      </c>
      <c r="AT79" s="36" t="str">
        <f t="shared" si="81"/>
        <v xml:space="preserve"> </v>
      </c>
      <c r="AU79" s="36" t="str">
        <f t="shared" si="82"/>
        <v xml:space="preserve"> </v>
      </c>
      <c r="AV79" s="36" t="str">
        <f t="shared" si="83"/>
        <v xml:space="preserve"> </v>
      </c>
      <c r="AW79" s="36" t="str">
        <f t="shared" si="84"/>
        <v xml:space="preserve"> </v>
      </c>
      <c r="AX79" s="36" t="str">
        <f t="shared" si="85"/>
        <v xml:space="preserve"> </v>
      </c>
      <c r="AY79" s="36" t="str">
        <f t="shared" si="86"/>
        <v xml:space="preserve"> </v>
      </c>
      <c r="AZ79" s="27" t="str">
        <f t="shared" si="87"/>
        <v xml:space="preserve"> </v>
      </c>
      <c r="BE79" s="3" t="str">
        <v/>
      </c>
      <c r="BF79" s="36" t="str">
        <v/>
      </c>
      <c r="BG79" s="36" t="str">
        <v/>
      </c>
      <c r="BH79" s="36" t="str">
        <v/>
      </c>
      <c r="BI79" s="36" t="str">
        <v/>
      </c>
      <c r="BJ79" s="36" t="str">
        <v/>
      </c>
      <c r="BK79" s="36" t="str">
        <v/>
      </c>
      <c r="BL79" s="36" t="str">
        <v/>
      </c>
      <c r="BM79" s="36" t="str">
        <v/>
      </c>
      <c r="BN79" s="36" t="str">
        <v/>
      </c>
      <c r="BO79" s="36" t="str">
        <v/>
      </c>
      <c r="BP79" s="27" t="str">
        <v/>
      </c>
      <c r="BR79" s="3" t="str">
        <f t="shared" si="88"/>
        <v/>
      </c>
      <c r="BS79" s="36" t="str">
        <f t="shared" si="53"/>
        <v/>
      </c>
      <c r="BT79" s="36" t="str">
        <f t="shared" si="54"/>
        <v/>
      </c>
      <c r="BU79" s="36" t="str">
        <f t="shared" si="55"/>
        <v/>
      </c>
      <c r="BV79" s="36" t="str">
        <f t="shared" si="56"/>
        <v/>
      </c>
      <c r="BW79" s="36" t="str">
        <f t="shared" si="57"/>
        <v/>
      </c>
      <c r="BX79" s="36" t="str">
        <f t="shared" si="58"/>
        <v/>
      </c>
      <c r="BY79" s="36" t="str">
        <f t="shared" si="59"/>
        <v/>
      </c>
      <c r="BZ79" s="36" t="str">
        <f t="shared" si="60"/>
        <v/>
      </c>
      <c r="CA79" s="36" t="str">
        <f t="shared" si="61"/>
        <v/>
      </c>
      <c r="CB79" s="36" t="str">
        <f t="shared" si="62"/>
        <v/>
      </c>
      <c r="CC79" s="27" t="str">
        <f t="shared" si="63"/>
        <v/>
      </c>
      <c r="CE79" s="3" t="str">
        <f t="array" ref="CE79">IFERROR(INDEX(TRAS1B1,SMALL(IF(FREQUENCY(IF(TRAS1B1&lt;&gt;"",MATCH(ROW(TRAS1B1),ROW(TRAS1B1)),""),MATCH(ROW(TRAS1B1),ROW(TRAS1B1)))&gt;0,MATCH(ROW(TRAS1B1),ROW(TRAS1B1)),""),ROW(BD63)),COLUMN(BD63)),"")</f>
        <v/>
      </c>
      <c r="CF79" s="36" t="str">
        <f t="array" ref="CF79">IFERROR(INDEX(TRAS1B2,SMALL(IF(FREQUENCY(IF(TRAS1B2&lt;&gt;"",MATCH(ROW(TRAS1B2),ROW(TRAS1B2)),""),MATCH(ROW(TRAS1B2),ROW(TRAS1B2)))&gt;0,MATCH(ROW(TRAS1B2),ROW(TRAS1B2)),""),ROW(BD63)),COLUMN(BD63)),"")</f>
        <v/>
      </c>
      <c r="CG79" s="36" t="str">
        <f t="array" ref="CG79">IFERROR(INDEX(TRAS1B3,SMALL(IF(FREQUENCY(IF(TRAS1B3&lt;&gt;"",MATCH(ROW(TRAS1B3),ROW(TRAS1B3)),""),MATCH(ROW(TRAS1B3),ROW(TRAS1B3)))&gt;0,MATCH(ROW(TRAS1B3),ROW(TRAS1B3)),""),ROW(BD63)),COLUMN(BD63)),"")</f>
        <v/>
      </c>
      <c r="CH79" s="36" t="str">
        <f t="array" ref="CH79">IFERROR(INDEX(TRAS1B4,SMALL(IF(FREQUENCY(IF(TRAS1B4&lt;&gt;"",MATCH(ROW(TRAS1B4),ROW(TRAS1B4)),""),MATCH(ROW(TRAS1B4),ROW(TRAS1B4)))&gt;0,MATCH(ROW(TRAS1B4),ROW(TRAS1B4)),""),ROW(BD63)),COLUMN(BD63)),"")</f>
        <v/>
      </c>
      <c r="CI79" s="36" t="str">
        <f t="array" ref="CI79">IFERROR(INDEX(TRAS1B5,SMALL(IF(FREQUENCY(IF(TRAS1B5&lt;&gt;"",MATCH(ROW(TRAS1B5),ROW(TRAS1B5)),""),MATCH(ROW(TRAS1B5),ROW(TRAS1B5)))&gt;0,MATCH(ROW(TRAS1B5),ROW(TRAS1B5)),""),ROW(BD63)),COLUMN(BD63)),"")</f>
        <v/>
      </c>
      <c r="CJ79" s="36" t="str">
        <f t="array" ref="CJ79">IFERROR(INDEX(TRAS1B6,SMALL(IF(FREQUENCY(IF(TRAS1B6&lt;&gt;"",MATCH(ROW(TRAS1B6),ROW(TRAS1B6)),""),MATCH(ROW(TRAS1B6),ROW(TRAS1B6)))&gt;0,MATCH(ROW(TRAS1B6),ROW(TRAS1B6)),""),ROW(BD63)),COLUMN(BD63)),"")</f>
        <v/>
      </c>
      <c r="CK79" s="36" t="str">
        <f t="array" ref="CK79">IFERROR(INDEX(TRAS1B7,SMALL(IF(FREQUENCY(IF(TRAS1B7&lt;&gt;"",MATCH(ROW(TRAS1B7),ROW(TRAS1B7)),""),MATCH(ROW(TRAS1B7),ROW(TRAS1B7)))&gt;0,MATCH(ROW(TRAS1B7),ROW(TRAS1B7)),""),ROW(BD63)),COLUMN(BD63)),"")</f>
        <v/>
      </c>
      <c r="CL79" s="36" t="str">
        <f t="array" ref="CL79">IFERROR(INDEX(TRAS1B8,SMALL(IF(FREQUENCY(IF(TRAS1B8&lt;&gt;"",MATCH(ROW(TRAS1B8),ROW(TRAS1B8)),""),MATCH(ROW(TRAS1B8),ROW(TRAS1B8)))&gt;0,MATCH(ROW(TRAS1B8),ROW(TRAS1B8)),""),ROW(BD63)),COLUMN(BD63)),"")</f>
        <v/>
      </c>
      <c r="CM79" s="36" t="str">
        <f t="array" ref="CM79">IFERROR(INDEX(TRAS1B9,SMALL(IF(FREQUENCY(IF(TRAS1B9&lt;&gt;"",MATCH(ROW(TRAS1B9),ROW(TRAS1B9)),""),MATCH(ROW(TRAS1B9),ROW(TRAS1B9)))&gt;0,MATCH(ROW(TRAS1B9),ROW(TRAS1B9)),""),ROW(BD63)),COLUMN(BD63)),"")</f>
        <v/>
      </c>
      <c r="CN79" s="36" t="str">
        <f t="array" ref="CN79">IFERROR(INDEX(TRAS1B10,SMALL(IF(FREQUENCY(IF(TRAS1B10&lt;&gt;"",MATCH(ROW(TRAS1B10),ROW(TRAS1B10)),""),MATCH(ROW(TRAS1B10),ROW(TRAS1B10)))&gt;0,MATCH(ROW(TRAS1B10),ROW(TRAS1B10)),""),ROW(BD63)),COLUMN(BD63)),"")</f>
        <v/>
      </c>
      <c r="CO79" s="36" t="str">
        <f t="array" ref="CO79">IFERROR(INDEX(TRAS1B11,SMALL(IF(FREQUENCY(IF(TRAS1B11&lt;&gt;"",MATCH(ROW(TRAS1B11),ROW(TRAS1B11)),""),MATCH(ROW(TRAS1B11),ROW(TRAS1B11)))&gt;0,MATCH(ROW(TRAS1B11),ROW(TRAS1B11)),""),ROW(BD63)),COLUMN(BD63)),"")</f>
        <v/>
      </c>
      <c r="CP79" s="27" t="str">
        <f t="array" ref="CP79">IFERROR(INDEX(TRAS1B12,SMALL(IF(FREQUENCY(IF(TRAS1B12&lt;&gt;"",MATCH(ROW(TRAS1B12),ROW(TRAS1B12)),""),MATCH(ROW(TRAS1B12),ROW(TRAS1B12)))&gt;0,MATCH(ROW(TRAS1B12),ROW(TRAS1B12)),""),ROW(BD63)),COLUMN(BD63)),"")</f>
        <v/>
      </c>
      <c r="CR79" s="3" t="str">
        <f t="shared" si="89"/>
        <v xml:space="preserve"> </v>
      </c>
      <c r="CS79" s="36" t="str">
        <f t="shared" si="64"/>
        <v xml:space="preserve"> </v>
      </c>
      <c r="CT79" s="36" t="str">
        <f t="shared" si="65"/>
        <v xml:space="preserve"> </v>
      </c>
      <c r="CU79" s="36" t="str">
        <f t="shared" si="66"/>
        <v xml:space="preserve"> </v>
      </c>
      <c r="CV79" s="36" t="str">
        <f t="shared" si="67"/>
        <v xml:space="preserve"> </v>
      </c>
      <c r="CW79" s="36" t="str">
        <f t="shared" si="68"/>
        <v xml:space="preserve"> </v>
      </c>
      <c r="CX79" s="36" t="str">
        <f t="shared" si="69"/>
        <v xml:space="preserve"> </v>
      </c>
      <c r="CY79" s="36" t="str">
        <f t="shared" si="70"/>
        <v xml:space="preserve"> </v>
      </c>
      <c r="CZ79" s="36" t="str">
        <f t="shared" si="71"/>
        <v xml:space="preserve"> </v>
      </c>
      <c r="DA79" s="36" t="str">
        <f t="shared" si="72"/>
        <v xml:space="preserve"> </v>
      </c>
      <c r="DB79" s="36" t="str">
        <f t="shared" si="73"/>
        <v xml:space="preserve"> </v>
      </c>
      <c r="DC79" s="27" t="str">
        <f t="shared" si="74"/>
        <v xml:space="preserve"> </v>
      </c>
    </row>
    <row r="80" spans="2:107" ht="13.5" customHeight="1" x14ac:dyDescent="0.35">
      <c r="B80" s="3" t="str">
        <v/>
      </c>
      <c r="C80" s="36" t="str">
        <v/>
      </c>
      <c r="D80" s="36" t="str">
        <v/>
      </c>
      <c r="E80" s="36" t="str">
        <v/>
      </c>
      <c r="F80" s="36" t="str">
        <v/>
      </c>
      <c r="G80" s="36" t="str">
        <v/>
      </c>
      <c r="H80" s="36" t="str">
        <v/>
      </c>
      <c r="I80" s="36" t="str">
        <v/>
      </c>
      <c r="J80" s="36" t="str">
        <v/>
      </c>
      <c r="K80" s="36" t="str">
        <v/>
      </c>
      <c r="L80" s="36" t="str">
        <v/>
      </c>
      <c r="M80" s="27" t="str">
        <v/>
      </c>
      <c r="O80" s="3" t="str">
        <f t="shared" si="75"/>
        <v/>
      </c>
      <c r="P80" s="36" t="str">
        <f t="shared" si="75"/>
        <v/>
      </c>
      <c r="Q80" s="36" t="str">
        <f t="shared" si="75"/>
        <v/>
      </c>
      <c r="R80" s="36" t="str">
        <f t="shared" si="75"/>
        <v/>
      </c>
      <c r="S80" s="36" t="str">
        <f t="shared" si="75"/>
        <v/>
      </c>
      <c r="T80" s="36" t="str">
        <f t="shared" si="75"/>
        <v/>
      </c>
      <c r="U80" s="36" t="str">
        <f t="shared" si="75"/>
        <v/>
      </c>
      <c r="V80" s="36" t="str">
        <f t="shared" si="75"/>
        <v/>
      </c>
      <c r="W80" s="36" t="str">
        <f t="shared" si="75"/>
        <v/>
      </c>
      <c r="X80" s="36" t="str">
        <f t="shared" si="75"/>
        <v/>
      </c>
      <c r="Y80" s="36" t="str">
        <f t="shared" si="75"/>
        <v/>
      </c>
      <c r="Z80" s="27" t="str">
        <f t="shared" si="75"/>
        <v/>
      </c>
      <c r="AB80" s="3" t="str">
        <f t="array" ref="AB80">IFERROR(INDEX(TRAS1B1,SMALL(IF(FREQUENCY(IF(TRAS1B1&lt;&gt;"",MATCH(ROW(TRAS1B1),ROW(TRAS1B1)),""),MATCH(ROW(TRAS1B1),ROW(TRAS1B1)))&gt;0,MATCH(ROW(TRAS1B1),ROW(TRAS1B1)),""),ROW(A17)),COLUMN(A17)),"")</f>
        <v/>
      </c>
      <c r="AC80" s="36" t="str">
        <f t="array" ref="AC80">IFERROR(INDEX(TRAS1B2,SMALL(IF(FREQUENCY(IF(TRAS1B2&lt;&gt;"",MATCH(ROW(TRAS1B2),ROW(TRAS1B2)),""),MATCH(ROW(TRAS1B2),ROW(TRAS1B2)))&gt;0,MATCH(ROW(TRAS1B2),ROW(TRAS1B2)),""),ROW(A17)),COLUMN(A17)),"")</f>
        <v/>
      </c>
      <c r="AD80" s="36" t="str">
        <f t="array" ref="AD80">IFERROR(INDEX(TRAS1B3,SMALL(IF(FREQUENCY(IF(TRAS1B3&lt;&gt;"",MATCH(ROW(TRAS1B3),ROW(TRAS1B3)),""),MATCH(ROW(TRAS1B3),ROW(TRAS1B3)))&gt;0,MATCH(ROW(TRAS1B3),ROW(TRAS1B3)),""),ROW(A17)),COLUMN(A17)),"")</f>
        <v/>
      </c>
      <c r="AE80" s="36" t="str">
        <f t="array" ref="AE80">IFERROR(INDEX(TRAS1B4,SMALL(IF(FREQUENCY(IF(TRAS1B4&lt;&gt;"",MATCH(ROW(TRAS1B4),ROW(TRAS1B4)),""),MATCH(ROW(TRAS1B4),ROW(TRAS1B4)))&gt;0,MATCH(ROW(TRAS1B4),ROW(TRAS1B4)),""),ROW(A17)),COLUMN(A17)),"")</f>
        <v/>
      </c>
      <c r="AF80" s="36" t="str">
        <f t="array" ref="AF80">IFERROR(INDEX(TRAS1B5,SMALL(IF(FREQUENCY(IF(TRAS1B5&lt;&gt;"",MATCH(ROW(TRAS1B5),ROW(TRAS1B5)),""),MATCH(ROW(TRAS1B5),ROW(TRAS1B5)))&gt;0,MATCH(ROW(TRAS1B5),ROW(TRAS1B5)),""),ROW(A17)),COLUMN(A17)),"")</f>
        <v/>
      </c>
      <c r="AG80" s="36" t="str">
        <f t="array" ref="AG80">IFERROR(INDEX(TRAS1B6,SMALL(IF(FREQUENCY(IF(TRAS1B6&lt;&gt;"",MATCH(ROW(TRAS1B6),ROW(TRAS1B6)),""),MATCH(ROW(TRAS1B6),ROW(TRAS1B6)))&gt;0,MATCH(ROW(TRAS1B6),ROW(TRAS1B6)),""),ROW(A17)),COLUMN(A17)),"")</f>
        <v/>
      </c>
      <c r="AH80" s="36" t="str">
        <f t="array" ref="AH80">IFERROR(INDEX(TRAS1B7,SMALL(IF(FREQUENCY(IF(TRAS1B7&lt;&gt;"",MATCH(ROW(TRAS1B7),ROW(TRAS1B7)),""),MATCH(ROW(TRAS1B7),ROW(TRAS1B7)))&gt;0,MATCH(ROW(TRAS1B7),ROW(TRAS1B7)),""),ROW(A17)),COLUMN(A17)),"")</f>
        <v/>
      </c>
      <c r="AI80" s="36" t="str">
        <f t="array" ref="AI80">IFERROR(INDEX(TRAS1B8,SMALL(IF(FREQUENCY(IF(TRAS1B8&lt;&gt;"",MATCH(ROW(TRAS1B8),ROW(TRAS1B8)),""),MATCH(ROW(TRAS1B8),ROW(TRAS1B8)))&gt;0,MATCH(ROW(TRAS1B8),ROW(TRAS1B8)),""),ROW(A17)),COLUMN(A17)),"")</f>
        <v/>
      </c>
      <c r="AJ80" s="36" t="str">
        <f t="array" ref="AJ80">IFERROR(INDEX(TRAS1B9,SMALL(IF(FREQUENCY(IF(TRAS1B9&lt;&gt;"",MATCH(ROW(TRAS1B9),ROW(TRAS1B9)),""),MATCH(ROW(TRAS1B9),ROW(TRAS1B9)))&gt;0,MATCH(ROW(TRAS1B9),ROW(TRAS1B9)),""),ROW(A17)),COLUMN(A17)),"")</f>
        <v/>
      </c>
      <c r="AK80" s="36" t="str">
        <f t="array" ref="AK80">IFERROR(INDEX(TRAS1B10,SMALL(IF(FREQUENCY(IF(TRAS1B10&lt;&gt;"",MATCH(ROW(TRAS1B10),ROW(TRAS1B10)),""),MATCH(ROW(TRAS1B10),ROW(TRAS1B10)))&gt;0,MATCH(ROW(TRAS1B10),ROW(TRAS1B10)),""),ROW(A17)),COLUMN(A17)),"")</f>
        <v/>
      </c>
      <c r="AL80" s="36" t="str">
        <f t="array" ref="AL80">IFERROR(INDEX(TRAS1B11,SMALL(IF(FREQUENCY(IF(TRAS1B11&lt;&gt;"",MATCH(ROW(TRAS1B11),ROW(TRAS1B11)),""),MATCH(ROW(TRAS1B11),ROW(TRAS1B11)))&gt;0,MATCH(ROW(TRAS1B11),ROW(TRAS1B11)),""),ROW(A17)),COLUMN(A17)),"")</f>
        <v/>
      </c>
      <c r="AM80" s="27" t="str">
        <f t="array" ref="AM80">IFERROR(INDEX(TRAS1B12,SMALL(IF(FREQUENCY(IF(TRAS1B12&lt;&gt;"",MATCH(ROW(TRAS1B12),ROW(TRAS1B12)),""),MATCH(ROW(TRAS1B12),ROW(TRAS1B12)))&gt;0,MATCH(ROW(TRAS1B12),ROW(TRAS1B12)),""),ROW(A17)),COLUMN(A17)),"")</f>
        <v/>
      </c>
      <c r="AO80" s="3" t="str">
        <f t="shared" si="76"/>
        <v xml:space="preserve"> </v>
      </c>
      <c r="AP80" s="36" t="str">
        <f t="shared" si="77"/>
        <v xml:space="preserve"> </v>
      </c>
      <c r="AQ80" s="36" t="str">
        <f t="shared" si="78"/>
        <v xml:space="preserve"> </v>
      </c>
      <c r="AR80" s="36" t="str">
        <f t="shared" si="79"/>
        <v xml:space="preserve"> </v>
      </c>
      <c r="AS80" s="36" t="str">
        <f t="shared" si="80"/>
        <v xml:space="preserve"> </v>
      </c>
      <c r="AT80" s="36" t="str">
        <f t="shared" si="81"/>
        <v xml:space="preserve"> </v>
      </c>
      <c r="AU80" s="36" t="str">
        <f t="shared" si="82"/>
        <v xml:space="preserve"> </v>
      </c>
      <c r="AV80" s="36" t="str">
        <f t="shared" si="83"/>
        <v xml:space="preserve"> </v>
      </c>
      <c r="AW80" s="36" t="str">
        <f t="shared" si="84"/>
        <v xml:space="preserve"> </v>
      </c>
      <c r="AX80" s="36" t="str">
        <f t="shared" si="85"/>
        <v xml:space="preserve"> </v>
      </c>
      <c r="AY80" s="36" t="str">
        <f t="shared" si="86"/>
        <v xml:space="preserve"> </v>
      </c>
      <c r="AZ80" s="27" t="str">
        <f t="shared" si="87"/>
        <v xml:space="preserve"> </v>
      </c>
      <c r="BE80" s="3" t="str">
        <v/>
      </c>
      <c r="BF80" s="36" t="str">
        <v/>
      </c>
      <c r="BG80" s="36" t="str">
        <v/>
      </c>
      <c r="BH80" s="36" t="str">
        <v/>
      </c>
      <c r="BI80" s="36" t="str">
        <v/>
      </c>
      <c r="BJ80" s="36" t="str">
        <v/>
      </c>
      <c r="BK80" s="36" t="str">
        <v/>
      </c>
      <c r="BL80" s="36" t="str">
        <v/>
      </c>
      <c r="BM80" s="36" t="str">
        <v/>
      </c>
      <c r="BN80" s="36" t="str">
        <v/>
      </c>
      <c r="BO80" s="36" t="str">
        <v/>
      </c>
      <c r="BP80" s="27" t="str">
        <v/>
      </c>
      <c r="BR80" s="3" t="str">
        <f t="shared" si="88"/>
        <v/>
      </c>
      <c r="BS80" s="36" t="str">
        <f t="shared" si="53"/>
        <v/>
      </c>
      <c r="BT80" s="36" t="str">
        <f t="shared" si="54"/>
        <v/>
      </c>
      <c r="BU80" s="36" t="str">
        <f t="shared" si="55"/>
        <v/>
      </c>
      <c r="BV80" s="36" t="str">
        <f t="shared" si="56"/>
        <v/>
      </c>
      <c r="BW80" s="36" t="str">
        <f t="shared" si="57"/>
        <v/>
      </c>
      <c r="BX80" s="36" t="str">
        <f t="shared" si="58"/>
        <v/>
      </c>
      <c r="BY80" s="36" t="str">
        <f t="shared" si="59"/>
        <v/>
      </c>
      <c r="BZ80" s="36" t="str">
        <f t="shared" si="60"/>
        <v/>
      </c>
      <c r="CA80" s="36" t="str">
        <f t="shared" si="61"/>
        <v/>
      </c>
      <c r="CB80" s="36" t="str">
        <f t="shared" si="62"/>
        <v/>
      </c>
      <c r="CC80" s="27" t="str">
        <f t="shared" si="63"/>
        <v/>
      </c>
      <c r="CE80" s="3" t="str">
        <f t="array" ref="CE80">IFERROR(INDEX(TRAS1B1,SMALL(IF(FREQUENCY(IF(TRAS1B1&lt;&gt;"",MATCH(ROW(TRAS1B1),ROW(TRAS1B1)),""),MATCH(ROW(TRAS1B1),ROW(TRAS1B1)))&gt;0,MATCH(ROW(TRAS1B1),ROW(TRAS1B1)),""),ROW(BD64)),COLUMN(BD64)),"")</f>
        <v/>
      </c>
      <c r="CF80" s="36" t="str">
        <f t="array" ref="CF80">IFERROR(INDEX(TRAS1B2,SMALL(IF(FREQUENCY(IF(TRAS1B2&lt;&gt;"",MATCH(ROW(TRAS1B2),ROW(TRAS1B2)),""),MATCH(ROW(TRAS1B2),ROW(TRAS1B2)))&gt;0,MATCH(ROW(TRAS1B2),ROW(TRAS1B2)),""),ROW(BD64)),COLUMN(BD64)),"")</f>
        <v/>
      </c>
      <c r="CG80" s="36" t="str">
        <f t="array" ref="CG80">IFERROR(INDEX(TRAS1B3,SMALL(IF(FREQUENCY(IF(TRAS1B3&lt;&gt;"",MATCH(ROW(TRAS1B3),ROW(TRAS1B3)),""),MATCH(ROW(TRAS1B3),ROW(TRAS1B3)))&gt;0,MATCH(ROW(TRAS1B3),ROW(TRAS1B3)),""),ROW(BD64)),COLUMN(BD64)),"")</f>
        <v/>
      </c>
      <c r="CH80" s="36" t="str">
        <f t="array" ref="CH80">IFERROR(INDEX(TRAS1B4,SMALL(IF(FREQUENCY(IF(TRAS1B4&lt;&gt;"",MATCH(ROW(TRAS1B4),ROW(TRAS1B4)),""),MATCH(ROW(TRAS1B4),ROW(TRAS1B4)))&gt;0,MATCH(ROW(TRAS1B4),ROW(TRAS1B4)),""),ROW(BD64)),COLUMN(BD64)),"")</f>
        <v/>
      </c>
      <c r="CI80" s="36" t="str">
        <f t="array" ref="CI80">IFERROR(INDEX(TRAS1B5,SMALL(IF(FREQUENCY(IF(TRAS1B5&lt;&gt;"",MATCH(ROW(TRAS1B5),ROW(TRAS1B5)),""),MATCH(ROW(TRAS1B5),ROW(TRAS1B5)))&gt;0,MATCH(ROW(TRAS1B5),ROW(TRAS1B5)),""),ROW(BD64)),COLUMN(BD64)),"")</f>
        <v/>
      </c>
      <c r="CJ80" s="36" t="str">
        <f t="array" ref="CJ80">IFERROR(INDEX(TRAS1B6,SMALL(IF(FREQUENCY(IF(TRAS1B6&lt;&gt;"",MATCH(ROW(TRAS1B6),ROW(TRAS1B6)),""),MATCH(ROW(TRAS1B6),ROW(TRAS1B6)))&gt;0,MATCH(ROW(TRAS1B6),ROW(TRAS1B6)),""),ROW(BD64)),COLUMN(BD64)),"")</f>
        <v/>
      </c>
      <c r="CK80" s="36" t="str">
        <f t="array" ref="CK80">IFERROR(INDEX(TRAS1B7,SMALL(IF(FREQUENCY(IF(TRAS1B7&lt;&gt;"",MATCH(ROW(TRAS1B7),ROW(TRAS1B7)),""),MATCH(ROW(TRAS1B7),ROW(TRAS1B7)))&gt;0,MATCH(ROW(TRAS1B7),ROW(TRAS1B7)),""),ROW(BD64)),COLUMN(BD64)),"")</f>
        <v/>
      </c>
      <c r="CL80" s="36" t="str">
        <f t="array" ref="CL80">IFERROR(INDEX(TRAS1B8,SMALL(IF(FREQUENCY(IF(TRAS1B8&lt;&gt;"",MATCH(ROW(TRAS1B8),ROW(TRAS1B8)),""),MATCH(ROW(TRAS1B8),ROW(TRAS1B8)))&gt;0,MATCH(ROW(TRAS1B8),ROW(TRAS1B8)),""),ROW(BD64)),COLUMN(BD64)),"")</f>
        <v/>
      </c>
      <c r="CM80" s="36" t="str">
        <f t="array" ref="CM80">IFERROR(INDEX(TRAS1B9,SMALL(IF(FREQUENCY(IF(TRAS1B9&lt;&gt;"",MATCH(ROW(TRAS1B9),ROW(TRAS1B9)),""),MATCH(ROW(TRAS1B9),ROW(TRAS1B9)))&gt;0,MATCH(ROW(TRAS1B9),ROW(TRAS1B9)),""),ROW(BD64)),COLUMN(BD64)),"")</f>
        <v/>
      </c>
      <c r="CN80" s="36" t="str">
        <f t="array" ref="CN80">IFERROR(INDEX(TRAS1B10,SMALL(IF(FREQUENCY(IF(TRAS1B10&lt;&gt;"",MATCH(ROW(TRAS1B10),ROW(TRAS1B10)),""),MATCH(ROW(TRAS1B10),ROW(TRAS1B10)))&gt;0,MATCH(ROW(TRAS1B10),ROW(TRAS1B10)),""),ROW(BD64)),COLUMN(BD64)),"")</f>
        <v/>
      </c>
      <c r="CO80" s="36" t="str">
        <f t="array" ref="CO80">IFERROR(INDEX(TRAS1B11,SMALL(IF(FREQUENCY(IF(TRAS1B11&lt;&gt;"",MATCH(ROW(TRAS1B11),ROW(TRAS1B11)),""),MATCH(ROW(TRAS1B11),ROW(TRAS1B11)))&gt;0,MATCH(ROW(TRAS1B11),ROW(TRAS1B11)),""),ROW(BD64)),COLUMN(BD64)),"")</f>
        <v/>
      </c>
      <c r="CP80" s="27" t="str">
        <f t="array" ref="CP80">IFERROR(INDEX(TRAS1B12,SMALL(IF(FREQUENCY(IF(TRAS1B12&lt;&gt;"",MATCH(ROW(TRAS1B12),ROW(TRAS1B12)),""),MATCH(ROW(TRAS1B12),ROW(TRAS1B12)))&gt;0,MATCH(ROW(TRAS1B12),ROW(TRAS1B12)),""),ROW(BD64)),COLUMN(BD64)),"")</f>
        <v/>
      </c>
      <c r="CR80" s="3" t="str">
        <f t="shared" si="89"/>
        <v xml:space="preserve"> </v>
      </c>
      <c r="CS80" s="36" t="str">
        <f t="shared" si="64"/>
        <v xml:space="preserve"> </v>
      </c>
      <c r="CT80" s="36" t="str">
        <f t="shared" si="65"/>
        <v xml:space="preserve"> </v>
      </c>
      <c r="CU80" s="36" t="str">
        <f t="shared" si="66"/>
        <v xml:space="preserve"> </v>
      </c>
      <c r="CV80" s="36" t="str">
        <f t="shared" si="67"/>
        <v xml:space="preserve"> </v>
      </c>
      <c r="CW80" s="36" t="str">
        <f t="shared" si="68"/>
        <v xml:space="preserve"> </v>
      </c>
      <c r="CX80" s="36" t="str">
        <f t="shared" si="69"/>
        <v xml:space="preserve"> </v>
      </c>
      <c r="CY80" s="36" t="str">
        <f t="shared" si="70"/>
        <v xml:space="preserve"> </v>
      </c>
      <c r="CZ80" s="36" t="str">
        <f t="shared" si="71"/>
        <v xml:space="preserve"> </v>
      </c>
      <c r="DA80" s="36" t="str">
        <f t="shared" si="72"/>
        <v xml:space="preserve"> </v>
      </c>
      <c r="DB80" s="36" t="str">
        <f t="shared" si="73"/>
        <v xml:space="preserve"> </v>
      </c>
      <c r="DC80" s="27" t="str">
        <f t="shared" si="74"/>
        <v xml:space="preserve"> </v>
      </c>
    </row>
    <row r="81" spans="2:107" ht="13.5" customHeight="1" x14ac:dyDescent="0.35">
      <c r="B81" s="3" t="str">
        <v/>
      </c>
      <c r="C81" s="36" t="str">
        <v/>
      </c>
      <c r="D81" s="36" t="str">
        <v/>
      </c>
      <c r="E81" s="36" t="str">
        <v/>
      </c>
      <c r="F81" s="36" t="str">
        <v/>
      </c>
      <c r="G81" s="36" t="str">
        <v/>
      </c>
      <c r="H81" s="36" t="str">
        <v/>
      </c>
      <c r="I81" s="36" t="str">
        <v/>
      </c>
      <c r="J81" s="36" t="str">
        <v/>
      </c>
      <c r="K81" s="36" t="str">
        <v/>
      </c>
      <c r="L81" s="36" t="str">
        <v/>
      </c>
      <c r="M81" s="27" t="str">
        <v/>
      </c>
      <c r="O81" s="3" t="str">
        <f t="shared" si="75"/>
        <v/>
      </c>
      <c r="P81" s="36" t="str">
        <f t="shared" si="75"/>
        <v/>
      </c>
      <c r="Q81" s="36" t="str">
        <f t="shared" si="75"/>
        <v/>
      </c>
      <c r="R81" s="36" t="str">
        <f t="shared" si="75"/>
        <v/>
      </c>
      <c r="S81" s="36" t="str">
        <f t="shared" si="75"/>
        <v/>
      </c>
      <c r="T81" s="36" t="str">
        <f t="shared" si="75"/>
        <v/>
      </c>
      <c r="U81" s="36" t="str">
        <f t="shared" si="75"/>
        <v/>
      </c>
      <c r="V81" s="36" t="str">
        <f t="shared" si="75"/>
        <v/>
      </c>
      <c r="W81" s="36" t="str">
        <f t="shared" si="75"/>
        <v/>
      </c>
      <c r="X81" s="36" t="str">
        <f t="shared" si="75"/>
        <v/>
      </c>
      <c r="Y81" s="36" t="str">
        <f t="shared" si="75"/>
        <v/>
      </c>
      <c r="Z81" s="27" t="str">
        <f t="shared" si="75"/>
        <v/>
      </c>
      <c r="AB81" s="3" t="str">
        <f t="array" ref="AB81">IFERROR(INDEX(TRAS1B1,SMALL(IF(FREQUENCY(IF(TRAS1B1&lt;&gt;"",MATCH(ROW(TRAS1B1),ROW(TRAS1B1)),""),MATCH(ROW(TRAS1B1),ROW(TRAS1B1)))&gt;0,MATCH(ROW(TRAS1B1),ROW(TRAS1B1)),""),ROW(A18)),COLUMN(A18)),"")</f>
        <v/>
      </c>
      <c r="AC81" s="36" t="str">
        <f t="array" ref="AC81">IFERROR(INDEX(TRAS1B2,SMALL(IF(FREQUENCY(IF(TRAS1B2&lt;&gt;"",MATCH(ROW(TRAS1B2),ROW(TRAS1B2)),""),MATCH(ROW(TRAS1B2),ROW(TRAS1B2)))&gt;0,MATCH(ROW(TRAS1B2),ROW(TRAS1B2)),""),ROW(A18)),COLUMN(A18)),"")</f>
        <v/>
      </c>
      <c r="AD81" s="36" t="str">
        <f t="array" ref="AD81">IFERROR(INDEX(TRAS1B3,SMALL(IF(FREQUENCY(IF(TRAS1B3&lt;&gt;"",MATCH(ROW(TRAS1B3),ROW(TRAS1B3)),""),MATCH(ROW(TRAS1B3),ROW(TRAS1B3)))&gt;0,MATCH(ROW(TRAS1B3),ROW(TRAS1B3)),""),ROW(A18)),COLUMN(A18)),"")</f>
        <v/>
      </c>
      <c r="AE81" s="36" t="str">
        <f t="array" ref="AE81">IFERROR(INDEX(TRAS1B4,SMALL(IF(FREQUENCY(IF(TRAS1B4&lt;&gt;"",MATCH(ROW(TRAS1B4),ROW(TRAS1B4)),""),MATCH(ROW(TRAS1B4),ROW(TRAS1B4)))&gt;0,MATCH(ROW(TRAS1B4),ROW(TRAS1B4)),""),ROW(A18)),COLUMN(A18)),"")</f>
        <v/>
      </c>
      <c r="AF81" s="36" t="str">
        <f t="array" ref="AF81">IFERROR(INDEX(TRAS1B5,SMALL(IF(FREQUENCY(IF(TRAS1B5&lt;&gt;"",MATCH(ROW(TRAS1B5),ROW(TRAS1B5)),""),MATCH(ROW(TRAS1B5),ROW(TRAS1B5)))&gt;0,MATCH(ROW(TRAS1B5),ROW(TRAS1B5)),""),ROW(A18)),COLUMN(A18)),"")</f>
        <v/>
      </c>
      <c r="AG81" s="36" t="str">
        <f t="array" ref="AG81">IFERROR(INDEX(TRAS1B6,SMALL(IF(FREQUENCY(IF(TRAS1B6&lt;&gt;"",MATCH(ROW(TRAS1B6),ROW(TRAS1B6)),""),MATCH(ROW(TRAS1B6),ROW(TRAS1B6)))&gt;0,MATCH(ROW(TRAS1B6),ROW(TRAS1B6)),""),ROW(A18)),COLUMN(A18)),"")</f>
        <v/>
      </c>
      <c r="AH81" s="36" t="str">
        <f t="array" ref="AH81">IFERROR(INDEX(TRAS1B7,SMALL(IF(FREQUENCY(IF(TRAS1B7&lt;&gt;"",MATCH(ROW(TRAS1B7),ROW(TRAS1B7)),""),MATCH(ROW(TRAS1B7),ROW(TRAS1B7)))&gt;0,MATCH(ROW(TRAS1B7),ROW(TRAS1B7)),""),ROW(A18)),COLUMN(A18)),"")</f>
        <v/>
      </c>
      <c r="AI81" s="36" t="str">
        <f t="array" ref="AI81">IFERROR(INDEX(TRAS1B8,SMALL(IF(FREQUENCY(IF(TRAS1B8&lt;&gt;"",MATCH(ROW(TRAS1B8),ROW(TRAS1B8)),""),MATCH(ROW(TRAS1B8),ROW(TRAS1B8)))&gt;0,MATCH(ROW(TRAS1B8),ROW(TRAS1B8)),""),ROW(A18)),COLUMN(A18)),"")</f>
        <v/>
      </c>
      <c r="AJ81" s="36" t="str">
        <f t="array" ref="AJ81">IFERROR(INDEX(TRAS1B9,SMALL(IF(FREQUENCY(IF(TRAS1B9&lt;&gt;"",MATCH(ROW(TRAS1B9),ROW(TRAS1B9)),""),MATCH(ROW(TRAS1B9),ROW(TRAS1B9)))&gt;0,MATCH(ROW(TRAS1B9),ROW(TRAS1B9)),""),ROW(A18)),COLUMN(A18)),"")</f>
        <v/>
      </c>
      <c r="AK81" s="36" t="str">
        <f t="array" ref="AK81">IFERROR(INDEX(TRAS1B10,SMALL(IF(FREQUENCY(IF(TRAS1B10&lt;&gt;"",MATCH(ROW(TRAS1B10),ROW(TRAS1B10)),""),MATCH(ROW(TRAS1B10),ROW(TRAS1B10)))&gt;0,MATCH(ROW(TRAS1B10),ROW(TRAS1B10)),""),ROW(A18)),COLUMN(A18)),"")</f>
        <v/>
      </c>
      <c r="AL81" s="36" t="str">
        <f t="array" ref="AL81">IFERROR(INDEX(TRAS1B11,SMALL(IF(FREQUENCY(IF(TRAS1B11&lt;&gt;"",MATCH(ROW(TRAS1B11),ROW(TRAS1B11)),""),MATCH(ROW(TRAS1B11),ROW(TRAS1B11)))&gt;0,MATCH(ROW(TRAS1B11),ROW(TRAS1B11)),""),ROW(A18)),COLUMN(A18)),"")</f>
        <v/>
      </c>
      <c r="AM81" s="27" t="str">
        <f t="array" ref="AM81">IFERROR(INDEX(TRAS1B12,SMALL(IF(FREQUENCY(IF(TRAS1B12&lt;&gt;"",MATCH(ROW(TRAS1B12),ROW(TRAS1B12)),""),MATCH(ROW(TRAS1B12),ROW(TRAS1B12)))&gt;0,MATCH(ROW(TRAS1B12),ROW(TRAS1B12)),""),ROW(A18)),COLUMN(A18)),"")</f>
        <v/>
      </c>
      <c r="AO81" s="3" t="str">
        <f t="shared" si="76"/>
        <v xml:space="preserve"> </v>
      </c>
      <c r="AP81" s="36" t="str">
        <f t="shared" si="77"/>
        <v xml:space="preserve"> </v>
      </c>
      <c r="AQ81" s="36" t="str">
        <f t="shared" si="78"/>
        <v xml:space="preserve"> </v>
      </c>
      <c r="AR81" s="36" t="str">
        <f t="shared" si="79"/>
        <v xml:space="preserve"> </v>
      </c>
      <c r="AS81" s="36" t="str">
        <f t="shared" si="80"/>
        <v xml:space="preserve"> </v>
      </c>
      <c r="AT81" s="36" t="str">
        <f t="shared" si="81"/>
        <v xml:space="preserve"> </v>
      </c>
      <c r="AU81" s="36" t="str">
        <f t="shared" si="82"/>
        <v xml:space="preserve"> </v>
      </c>
      <c r="AV81" s="36" t="str">
        <f t="shared" si="83"/>
        <v xml:space="preserve"> </v>
      </c>
      <c r="AW81" s="36" t="str">
        <f t="shared" si="84"/>
        <v xml:space="preserve"> </v>
      </c>
      <c r="AX81" s="36" t="str">
        <f t="shared" si="85"/>
        <v xml:space="preserve"> </v>
      </c>
      <c r="AY81" s="36" t="str">
        <f t="shared" si="86"/>
        <v xml:space="preserve"> </v>
      </c>
      <c r="AZ81" s="27" t="str">
        <f t="shared" si="87"/>
        <v xml:space="preserve"> </v>
      </c>
      <c r="BE81" s="3" t="str">
        <v/>
      </c>
      <c r="BF81" s="36" t="str">
        <v/>
      </c>
      <c r="BG81" s="36" t="str">
        <v/>
      </c>
      <c r="BH81" s="36" t="str">
        <v/>
      </c>
      <c r="BI81" s="36" t="str">
        <v/>
      </c>
      <c r="BJ81" s="36" t="str">
        <v/>
      </c>
      <c r="BK81" s="36" t="str">
        <v/>
      </c>
      <c r="BL81" s="36" t="str">
        <v/>
      </c>
      <c r="BM81" s="36" t="str">
        <v/>
      </c>
      <c r="BN81" s="36" t="str">
        <v/>
      </c>
      <c r="BO81" s="36" t="str">
        <v/>
      </c>
      <c r="BP81" s="27" t="str">
        <v/>
      </c>
      <c r="BR81" s="3" t="str">
        <f t="shared" si="88"/>
        <v/>
      </c>
      <c r="BS81" s="36" t="str">
        <f t="shared" si="53"/>
        <v/>
      </c>
      <c r="BT81" s="36" t="str">
        <f t="shared" si="54"/>
        <v/>
      </c>
      <c r="BU81" s="36" t="str">
        <f t="shared" si="55"/>
        <v/>
      </c>
      <c r="BV81" s="36" t="str">
        <f t="shared" si="56"/>
        <v/>
      </c>
      <c r="BW81" s="36" t="str">
        <f t="shared" si="57"/>
        <v/>
      </c>
      <c r="BX81" s="36" t="str">
        <f t="shared" si="58"/>
        <v/>
      </c>
      <c r="BY81" s="36" t="str">
        <f t="shared" si="59"/>
        <v/>
      </c>
      <c r="BZ81" s="36" t="str">
        <f t="shared" si="60"/>
        <v/>
      </c>
      <c r="CA81" s="36" t="str">
        <f t="shared" si="61"/>
        <v/>
      </c>
      <c r="CB81" s="36" t="str">
        <f t="shared" si="62"/>
        <v/>
      </c>
      <c r="CC81" s="27" t="str">
        <f t="shared" si="63"/>
        <v/>
      </c>
      <c r="CE81" s="3" t="str">
        <f t="array" ref="CE81">IFERROR(INDEX(TRAS1B1,SMALL(IF(FREQUENCY(IF(TRAS1B1&lt;&gt;"",MATCH(ROW(TRAS1B1),ROW(TRAS1B1)),""),MATCH(ROW(TRAS1B1),ROW(TRAS1B1)))&gt;0,MATCH(ROW(TRAS1B1),ROW(TRAS1B1)),""),ROW(BD65)),COLUMN(BD65)),"")</f>
        <v/>
      </c>
      <c r="CF81" s="36" t="str">
        <f t="array" ref="CF81">IFERROR(INDEX(TRAS1B2,SMALL(IF(FREQUENCY(IF(TRAS1B2&lt;&gt;"",MATCH(ROW(TRAS1B2),ROW(TRAS1B2)),""),MATCH(ROW(TRAS1B2),ROW(TRAS1B2)))&gt;0,MATCH(ROW(TRAS1B2),ROW(TRAS1B2)),""),ROW(BD65)),COLUMN(BD65)),"")</f>
        <v/>
      </c>
      <c r="CG81" s="36" t="str">
        <f t="array" ref="CG81">IFERROR(INDEX(TRAS1B3,SMALL(IF(FREQUENCY(IF(TRAS1B3&lt;&gt;"",MATCH(ROW(TRAS1B3),ROW(TRAS1B3)),""),MATCH(ROW(TRAS1B3),ROW(TRAS1B3)))&gt;0,MATCH(ROW(TRAS1B3),ROW(TRAS1B3)),""),ROW(BD65)),COLUMN(BD65)),"")</f>
        <v/>
      </c>
      <c r="CH81" s="36" t="str">
        <f t="array" ref="CH81">IFERROR(INDEX(TRAS1B4,SMALL(IF(FREQUENCY(IF(TRAS1B4&lt;&gt;"",MATCH(ROW(TRAS1B4),ROW(TRAS1B4)),""),MATCH(ROW(TRAS1B4),ROW(TRAS1B4)))&gt;0,MATCH(ROW(TRAS1B4),ROW(TRAS1B4)),""),ROW(BD65)),COLUMN(BD65)),"")</f>
        <v/>
      </c>
      <c r="CI81" s="36" t="str">
        <f t="array" ref="CI81">IFERROR(INDEX(TRAS1B5,SMALL(IF(FREQUENCY(IF(TRAS1B5&lt;&gt;"",MATCH(ROW(TRAS1B5),ROW(TRAS1B5)),""),MATCH(ROW(TRAS1B5),ROW(TRAS1B5)))&gt;0,MATCH(ROW(TRAS1B5),ROW(TRAS1B5)),""),ROW(BD65)),COLUMN(BD65)),"")</f>
        <v/>
      </c>
      <c r="CJ81" s="36" t="str">
        <f t="array" ref="CJ81">IFERROR(INDEX(TRAS1B6,SMALL(IF(FREQUENCY(IF(TRAS1B6&lt;&gt;"",MATCH(ROW(TRAS1B6),ROW(TRAS1B6)),""),MATCH(ROW(TRAS1B6),ROW(TRAS1B6)))&gt;0,MATCH(ROW(TRAS1B6),ROW(TRAS1B6)),""),ROW(BD65)),COLUMN(BD65)),"")</f>
        <v/>
      </c>
      <c r="CK81" s="36" t="str">
        <f t="array" ref="CK81">IFERROR(INDEX(TRAS1B7,SMALL(IF(FREQUENCY(IF(TRAS1B7&lt;&gt;"",MATCH(ROW(TRAS1B7),ROW(TRAS1B7)),""),MATCH(ROW(TRAS1B7),ROW(TRAS1B7)))&gt;0,MATCH(ROW(TRAS1B7),ROW(TRAS1B7)),""),ROW(BD65)),COLUMN(BD65)),"")</f>
        <v/>
      </c>
      <c r="CL81" s="36" t="str">
        <f t="array" ref="CL81">IFERROR(INDEX(TRAS1B8,SMALL(IF(FREQUENCY(IF(TRAS1B8&lt;&gt;"",MATCH(ROW(TRAS1B8),ROW(TRAS1B8)),""),MATCH(ROW(TRAS1B8),ROW(TRAS1B8)))&gt;0,MATCH(ROW(TRAS1B8),ROW(TRAS1B8)),""),ROW(BD65)),COLUMN(BD65)),"")</f>
        <v/>
      </c>
      <c r="CM81" s="36" t="str">
        <f t="array" ref="CM81">IFERROR(INDEX(TRAS1B9,SMALL(IF(FREQUENCY(IF(TRAS1B9&lt;&gt;"",MATCH(ROW(TRAS1B9),ROW(TRAS1B9)),""),MATCH(ROW(TRAS1B9),ROW(TRAS1B9)))&gt;0,MATCH(ROW(TRAS1B9),ROW(TRAS1B9)),""),ROW(BD65)),COLUMN(BD65)),"")</f>
        <v/>
      </c>
      <c r="CN81" s="36" t="str">
        <f t="array" ref="CN81">IFERROR(INDEX(TRAS1B10,SMALL(IF(FREQUENCY(IF(TRAS1B10&lt;&gt;"",MATCH(ROW(TRAS1B10),ROW(TRAS1B10)),""),MATCH(ROW(TRAS1B10),ROW(TRAS1B10)))&gt;0,MATCH(ROW(TRAS1B10),ROW(TRAS1B10)),""),ROW(BD65)),COLUMN(BD65)),"")</f>
        <v/>
      </c>
      <c r="CO81" s="36" t="str">
        <f t="array" ref="CO81">IFERROR(INDEX(TRAS1B11,SMALL(IF(FREQUENCY(IF(TRAS1B11&lt;&gt;"",MATCH(ROW(TRAS1B11),ROW(TRAS1B11)),""),MATCH(ROW(TRAS1B11),ROW(TRAS1B11)))&gt;0,MATCH(ROW(TRAS1B11),ROW(TRAS1B11)),""),ROW(BD65)),COLUMN(BD65)),"")</f>
        <v/>
      </c>
      <c r="CP81" s="27" t="str">
        <f t="array" ref="CP81">IFERROR(INDEX(TRAS1B12,SMALL(IF(FREQUENCY(IF(TRAS1B12&lt;&gt;"",MATCH(ROW(TRAS1B12),ROW(TRAS1B12)),""),MATCH(ROW(TRAS1B12),ROW(TRAS1B12)))&gt;0,MATCH(ROW(TRAS1B12),ROW(TRAS1B12)),""),ROW(BD65)),COLUMN(BD65)),"")</f>
        <v/>
      </c>
      <c r="CR81" s="3" t="str">
        <f t="shared" si="89"/>
        <v xml:space="preserve"> </v>
      </c>
      <c r="CS81" s="36" t="str">
        <f t="shared" si="64"/>
        <v xml:space="preserve"> </v>
      </c>
      <c r="CT81" s="36" t="str">
        <f t="shared" si="65"/>
        <v xml:space="preserve"> </v>
      </c>
      <c r="CU81" s="36" t="str">
        <f t="shared" si="66"/>
        <v xml:space="preserve"> </v>
      </c>
      <c r="CV81" s="36" t="str">
        <f t="shared" si="67"/>
        <v xml:space="preserve"> </v>
      </c>
      <c r="CW81" s="36" t="str">
        <f t="shared" si="68"/>
        <v xml:space="preserve"> </v>
      </c>
      <c r="CX81" s="36" t="str">
        <f t="shared" si="69"/>
        <v xml:space="preserve"> </v>
      </c>
      <c r="CY81" s="36" t="str">
        <f t="shared" si="70"/>
        <v xml:space="preserve"> </v>
      </c>
      <c r="CZ81" s="36" t="str">
        <f t="shared" si="71"/>
        <v xml:space="preserve"> </v>
      </c>
      <c r="DA81" s="36" t="str">
        <f t="shared" si="72"/>
        <v xml:space="preserve"> </v>
      </c>
      <c r="DB81" s="36" t="str">
        <f t="shared" si="73"/>
        <v xml:space="preserve"> </v>
      </c>
      <c r="DC81" s="27" t="str">
        <f t="shared" si="74"/>
        <v xml:space="preserve"> </v>
      </c>
    </row>
    <row r="82" spans="2:107" ht="13.5" customHeight="1" x14ac:dyDescent="0.35">
      <c r="B82" s="3" t="str">
        <v/>
      </c>
      <c r="C82" s="36" t="str">
        <v/>
      </c>
      <c r="D82" s="36" t="str">
        <v/>
      </c>
      <c r="E82" s="36" t="str">
        <v/>
      </c>
      <c r="F82" s="36" t="str">
        <v/>
      </c>
      <c r="G82" s="36" t="str">
        <v/>
      </c>
      <c r="H82" s="36" t="str">
        <v/>
      </c>
      <c r="I82" s="36" t="str">
        <v/>
      </c>
      <c r="J82" s="36" t="str">
        <v/>
      </c>
      <c r="K82" s="36" t="str">
        <v/>
      </c>
      <c r="L82" s="36" t="str">
        <v/>
      </c>
      <c r="M82" s="27" t="str">
        <v/>
      </c>
      <c r="O82" s="3" t="str">
        <f t="shared" si="75"/>
        <v/>
      </c>
      <c r="P82" s="36" t="str">
        <f t="shared" si="75"/>
        <v/>
      </c>
      <c r="Q82" s="36" t="str">
        <f t="shared" si="75"/>
        <v/>
      </c>
      <c r="R82" s="36" t="str">
        <f t="shared" si="75"/>
        <v/>
      </c>
      <c r="S82" s="36" t="str">
        <f t="shared" si="75"/>
        <v/>
      </c>
      <c r="T82" s="36" t="str">
        <f t="shared" si="75"/>
        <v/>
      </c>
      <c r="U82" s="36" t="str">
        <f t="shared" si="75"/>
        <v/>
      </c>
      <c r="V82" s="36" t="str">
        <f t="shared" si="75"/>
        <v/>
      </c>
      <c r="W82" s="36" t="str">
        <f t="shared" si="75"/>
        <v/>
      </c>
      <c r="X82" s="36" t="str">
        <f t="shared" si="75"/>
        <v/>
      </c>
      <c r="Y82" s="36" t="str">
        <f t="shared" si="75"/>
        <v/>
      </c>
      <c r="Z82" s="27" t="str">
        <f t="shared" si="75"/>
        <v/>
      </c>
      <c r="AB82" s="3" t="str">
        <f t="array" ref="AB82">IFERROR(INDEX(TRAS1B1,SMALL(IF(FREQUENCY(IF(TRAS1B1&lt;&gt;"",MATCH(ROW(TRAS1B1),ROW(TRAS1B1)),""),MATCH(ROW(TRAS1B1),ROW(TRAS1B1)))&gt;0,MATCH(ROW(TRAS1B1),ROW(TRAS1B1)),""),ROW(A19)),COLUMN(A19)),"")</f>
        <v/>
      </c>
      <c r="AC82" s="36" t="str">
        <f t="array" ref="AC82">IFERROR(INDEX(TRAS1B2,SMALL(IF(FREQUENCY(IF(TRAS1B2&lt;&gt;"",MATCH(ROW(TRAS1B2),ROW(TRAS1B2)),""),MATCH(ROW(TRAS1B2),ROW(TRAS1B2)))&gt;0,MATCH(ROW(TRAS1B2),ROW(TRAS1B2)),""),ROW(A19)),COLUMN(A19)),"")</f>
        <v/>
      </c>
      <c r="AD82" s="36" t="str">
        <f t="array" ref="AD82">IFERROR(INDEX(TRAS1B3,SMALL(IF(FREQUENCY(IF(TRAS1B3&lt;&gt;"",MATCH(ROW(TRAS1B3),ROW(TRAS1B3)),""),MATCH(ROW(TRAS1B3),ROW(TRAS1B3)))&gt;0,MATCH(ROW(TRAS1B3),ROW(TRAS1B3)),""),ROW(A19)),COLUMN(A19)),"")</f>
        <v/>
      </c>
      <c r="AE82" s="36" t="str">
        <f t="array" ref="AE82">IFERROR(INDEX(TRAS1B4,SMALL(IF(FREQUENCY(IF(TRAS1B4&lt;&gt;"",MATCH(ROW(TRAS1B4),ROW(TRAS1B4)),""),MATCH(ROW(TRAS1B4),ROW(TRAS1B4)))&gt;0,MATCH(ROW(TRAS1B4),ROW(TRAS1B4)),""),ROW(A19)),COLUMN(A19)),"")</f>
        <v/>
      </c>
      <c r="AF82" s="36" t="str">
        <f t="array" ref="AF82">IFERROR(INDEX(TRAS1B5,SMALL(IF(FREQUENCY(IF(TRAS1B5&lt;&gt;"",MATCH(ROW(TRAS1B5),ROW(TRAS1B5)),""),MATCH(ROW(TRAS1B5),ROW(TRAS1B5)))&gt;0,MATCH(ROW(TRAS1B5),ROW(TRAS1B5)),""),ROW(A19)),COLUMN(A19)),"")</f>
        <v/>
      </c>
      <c r="AG82" s="36" t="str">
        <f t="array" ref="AG82">IFERROR(INDEX(TRAS1B6,SMALL(IF(FREQUENCY(IF(TRAS1B6&lt;&gt;"",MATCH(ROW(TRAS1B6),ROW(TRAS1B6)),""),MATCH(ROW(TRAS1B6),ROW(TRAS1B6)))&gt;0,MATCH(ROW(TRAS1B6),ROW(TRAS1B6)),""),ROW(A19)),COLUMN(A19)),"")</f>
        <v/>
      </c>
      <c r="AH82" s="36" t="str">
        <f t="array" ref="AH82">IFERROR(INDEX(TRAS1B7,SMALL(IF(FREQUENCY(IF(TRAS1B7&lt;&gt;"",MATCH(ROW(TRAS1B7),ROW(TRAS1B7)),""),MATCH(ROW(TRAS1B7),ROW(TRAS1B7)))&gt;0,MATCH(ROW(TRAS1B7),ROW(TRAS1B7)),""),ROW(A19)),COLUMN(A19)),"")</f>
        <v/>
      </c>
      <c r="AI82" s="36" t="str">
        <f t="array" ref="AI82">IFERROR(INDEX(TRAS1B8,SMALL(IF(FREQUENCY(IF(TRAS1B8&lt;&gt;"",MATCH(ROW(TRAS1B8),ROW(TRAS1B8)),""),MATCH(ROW(TRAS1B8),ROW(TRAS1B8)))&gt;0,MATCH(ROW(TRAS1B8),ROW(TRAS1B8)),""),ROW(A19)),COLUMN(A19)),"")</f>
        <v/>
      </c>
      <c r="AJ82" s="36" t="str">
        <f t="array" ref="AJ82">IFERROR(INDEX(TRAS1B9,SMALL(IF(FREQUENCY(IF(TRAS1B9&lt;&gt;"",MATCH(ROW(TRAS1B9),ROW(TRAS1B9)),""),MATCH(ROW(TRAS1B9),ROW(TRAS1B9)))&gt;0,MATCH(ROW(TRAS1B9),ROW(TRAS1B9)),""),ROW(A19)),COLUMN(A19)),"")</f>
        <v/>
      </c>
      <c r="AK82" s="36" t="str">
        <f t="array" ref="AK82">IFERROR(INDEX(TRAS1B10,SMALL(IF(FREQUENCY(IF(TRAS1B10&lt;&gt;"",MATCH(ROW(TRAS1B10),ROW(TRAS1B10)),""),MATCH(ROW(TRAS1B10),ROW(TRAS1B10)))&gt;0,MATCH(ROW(TRAS1B10),ROW(TRAS1B10)),""),ROW(A19)),COLUMN(A19)),"")</f>
        <v/>
      </c>
      <c r="AL82" s="36" t="str">
        <f t="array" ref="AL82">IFERROR(INDEX(TRAS1B11,SMALL(IF(FREQUENCY(IF(TRAS1B11&lt;&gt;"",MATCH(ROW(TRAS1B11),ROW(TRAS1B11)),""),MATCH(ROW(TRAS1B11),ROW(TRAS1B11)))&gt;0,MATCH(ROW(TRAS1B11),ROW(TRAS1B11)),""),ROW(A19)),COLUMN(A19)),"")</f>
        <v/>
      </c>
      <c r="AM82" s="27" t="str">
        <f t="array" ref="AM82">IFERROR(INDEX(TRAS1B12,SMALL(IF(FREQUENCY(IF(TRAS1B12&lt;&gt;"",MATCH(ROW(TRAS1B12),ROW(TRAS1B12)),""),MATCH(ROW(TRAS1B12),ROW(TRAS1B12)))&gt;0,MATCH(ROW(TRAS1B12),ROW(TRAS1B12)),""),ROW(A19)),COLUMN(A19)),"")</f>
        <v/>
      </c>
      <c r="AO82" s="3" t="str">
        <f t="shared" si="76"/>
        <v xml:space="preserve"> </v>
      </c>
      <c r="AP82" s="36" t="str">
        <f t="shared" si="77"/>
        <v xml:space="preserve"> </v>
      </c>
      <c r="AQ82" s="36" t="str">
        <f t="shared" si="78"/>
        <v xml:space="preserve"> </v>
      </c>
      <c r="AR82" s="36" t="str">
        <f t="shared" si="79"/>
        <v xml:space="preserve"> </v>
      </c>
      <c r="AS82" s="36" t="str">
        <f t="shared" si="80"/>
        <v xml:space="preserve"> </v>
      </c>
      <c r="AT82" s="36" t="str">
        <f t="shared" si="81"/>
        <v xml:space="preserve"> </v>
      </c>
      <c r="AU82" s="36" t="str">
        <f t="shared" si="82"/>
        <v xml:space="preserve"> </v>
      </c>
      <c r="AV82" s="36" t="str">
        <f t="shared" si="83"/>
        <v xml:space="preserve"> </v>
      </c>
      <c r="AW82" s="36" t="str">
        <f t="shared" si="84"/>
        <v xml:space="preserve"> </v>
      </c>
      <c r="AX82" s="36" t="str">
        <f t="shared" si="85"/>
        <v xml:space="preserve"> </v>
      </c>
      <c r="AY82" s="36" t="str">
        <f t="shared" si="86"/>
        <v xml:space="preserve"> </v>
      </c>
      <c r="AZ82" s="27" t="str">
        <f t="shared" si="87"/>
        <v xml:space="preserve"> </v>
      </c>
      <c r="BE82" s="3" t="str">
        <v/>
      </c>
      <c r="BF82" s="36" t="str">
        <v/>
      </c>
      <c r="BG82" s="36" t="str">
        <v/>
      </c>
      <c r="BH82" s="36" t="str">
        <v/>
      </c>
      <c r="BI82" s="36" t="str">
        <v/>
      </c>
      <c r="BJ82" s="36" t="str">
        <v/>
      </c>
      <c r="BK82" s="36" t="str">
        <v/>
      </c>
      <c r="BL82" s="36" t="str">
        <v/>
      </c>
      <c r="BM82" s="36" t="str">
        <v/>
      </c>
      <c r="BN82" s="36" t="str">
        <v/>
      </c>
      <c r="BO82" s="36" t="str">
        <v/>
      </c>
      <c r="BP82" s="27" t="str">
        <v/>
      </c>
      <c r="BR82" s="3" t="str">
        <f t="shared" si="88"/>
        <v/>
      </c>
      <c r="BS82" s="36" t="str">
        <f t="shared" si="53"/>
        <v/>
      </c>
      <c r="BT82" s="36" t="str">
        <f t="shared" si="54"/>
        <v/>
      </c>
      <c r="BU82" s="36" t="str">
        <f t="shared" si="55"/>
        <v/>
      </c>
      <c r="BV82" s="36" t="str">
        <f t="shared" si="56"/>
        <v/>
      </c>
      <c r="BW82" s="36" t="str">
        <f t="shared" si="57"/>
        <v/>
      </c>
      <c r="BX82" s="36" t="str">
        <f t="shared" si="58"/>
        <v/>
      </c>
      <c r="BY82" s="36" t="str">
        <f t="shared" si="59"/>
        <v/>
      </c>
      <c r="BZ82" s="36" t="str">
        <f t="shared" si="60"/>
        <v/>
      </c>
      <c r="CA82" s="36" t="str">
        <f t="shared" si="61"/>
        <v/>
      </c>
      <c r="CB82" s="36" t="str">
        <f t="shared" si="62"/>
        <v/>
      </c>
      <c r="CC82" s="27" t="str">
        <f t="shared" si="63"/>
        <v/>
      </c>
      <c r="CE82" s="3" t="str">
        <f t="array" ref="CE82">IFERROR(INDEX(TRAS1B1,SMALL(IF(FREQUENCY(IF(TRAS1B1&lt;&gt;"",MATCH(ROW(TRAS1B1),ROW(TRAS1B1)),""),MATCH(ROW(TRAS1B1),ROW(TRAS1B1)))&gt;0,MATCH(ROW(TRAS1B1),ROW(TRAS1B1)),""),ROW(BD66)),COLUMN(BD66)),"")</f>
        <v/>
      </c>
      <c r="CF82" s="36" t="str">
        <f t="array" ref="CF82">IFERROR(INDEX(TRAS1B2,SMALL(IF(FREQUENCY(IF(TRAS1B2&lt;&gt;"",MATCH(ROW(TRAS1B2),ROW(TRAS1B2)),""),MATCH(ROW(TRAS1B2),ROW(TRAS1B2)))&gt;0,MATCH(ROW(TRAS1B2),ROW(TRAS1B2)),""),ROW(BD66)),COLUMN(BD66)),"")</f>
        <v/>
      </c>
      <c r="CG82" s="36" t="str">
        <f t="array" ref="CG82">IFERROR(INDEX(TRAS1B3,SMALL(IF(FREQUENCY(IF(TRAS1B3&lt;&gt;"",MATCH(ROW(TRAS1B3),ROW(TRAS1B3)),""),MATCH(ROW(TRAS1B3),ROW(TRAS1B3)))&gt;0,MATCH(ROW(TRAS1B3),ROW(TRAS1B3)),""),ROW(BD66)),COLUMN(BD66)),"")</f>
        <v/>
      </c>
      <c r="CH82" s="36" t="str">
        <f t="array" ref="CH82">IFERROR(INDEX(TRAS1B4,SMALL(IF(FREQUENCY(IF(TRAS1B4&lt;&gt;"",MATCH(ROW(TRAS1B4),ROW(TRAS1B4)),""),MATCH(ROW(TRAS1B4),ROW(TRAS1B4)))&gt;0,MATCH(ROW(TRAS1B4),ROW(TRAS1B4)),""),ROW(BD66)),COLUMN(BD66)),"")</f>
        <v/>
      </c>
      <c r="CI82" s="36" t="str">
        <f t="array" ref="CI82">IFERROR(INDEX(TRAS1B5,SMALL(IF(FREQUENCY(IF(TRAS1B5&lt;&gt;"",MATCH(ROW(TRAS1B5),ROW(TRAS1B5)),""),MATCH(ROW(TRAS1B5),ROW(TRAS1B5)))&gt;0,MATCH(ROW(TRAS1B5),ROW(TRAS1B5)),""),ROW(BD66)),COLUMN(BD66)),"")</f>
        <v/>
      </c>
      <c r="CJ82" s="36" t="str">
        <f t="array" ref="CJ82">IFERROR(INDEX(TRAS1B6,SMALL(IF(FREQUENCY(IF(TRAS1B6&lt;&gt;"",MATCH(ROW(TRAS1B6),ROW(TRAS1B6)),""),MATCH(ROW(TRAS1B6),ROW(TRAS1B6)))&gt;0,MATCH(ROW(TRAS1B6),ROW(TRAS1B6)),""),ROW(BD66)),COLUMN(BD66)),"")</f>
        <v/>
      </c>
      <c r="CK82" s="36" t="str">
        <f t="array" ref="CK82">IFERROR(INDEX(TRAS1B7,SMALL(IF(FREQUENCY(IF(TRAS1B7&lt;&gt;"",MATCH(ROW(TRAS1B7),ROW(TRAS1B7)),""),MATCH(ROW(TRAS1B7),ROW(TRAS1B7)))&gt;0,MATCH(ROW(TRAS1B7),ROW(TRAS1B7)),""),ROW(BD66)),COLUMN(BD66)),"")</f>
        <v/>
      </c>
      <c r="CL82" s="36" t="str">
        <f t="array" ref="CL82">IFERROR(INDEX(TRAS1B8,SMALL(IF(FREQUENCY(IF(TRAS1B8&lt;&gt;"",MATCH(ROW(TRAS1B8),ROW(TRAS1B8)),""),MATCH(ROW(TRAS1B8),ROW(TRAS1B8)))&gt;0,MATCH(ROW(TRAS1B8),ROW(TRAS1B8)),""),ROW(BD66)),COLUMN(BD66)),"")</f>
        <v/>
      </c>
      <c r="CM82" s="36" t="str">
        <f t="array" ref="CM82">IFERROR(INDEX(TRAS1B9,SMALL(IF(FREQUENCY(IF(TRAS1B9&lt;&gt;"",MATCH(ROW(TRAS1B9),ROW(TRAS1B9)),""),MATCH(ROW(TRAS1B9),ROW(TRAS1B9)))&gt;0,MATCH(ROW(TRAS1B9),ROW(TRAS1B9)),""),ROW(BD66)),COLUMN(BD66)),"")</f>
        <v/>
      </c>
      <c r="CN82" s="36" t="str">
        <f t="array" ref="CN82">IFERROR(INDEX(TRAS1B10,SMALL(IF(FREQUENCY(IF(TRAS1B10&lt;&gt;"",MATCH(ROW(TRAS1B10),ROW(TRAS1B10)),""),MATCH(ROW(TRAS1B10),ROW(TRAS1B10)))&gt;0,MATCH(ROW(TRAS1B10),ROW(TRAS1B10)),""),ROW(BD66)),COLUMN(BD66)),"")</f>
        <v/>
      </c>
      <c r="CO82" s="36" t="str">
        <f t="array" ref="CO82">IFERROR(INDEX(TRAS1B11,SMALL(IF(FREQUENCY(IF(TRAS1B11&lt;&gt;"",MATCH(ROW(TRAS1B11),ROW(TRAS1B11)),""),MATCH(ROW(TRAS1B11),ROW(TRAS1B11)))&gt;0,MATCH(ROW(TRAS1B11),ROW(TRAS1B11)),""),ROW(BD66)),COLUMN(BD66)),"")</f>
        <v/>
      </c>
      <c r="CP82" s="27" t="str">
        <f t="array" ref="CP82">IFERROR(INDEX(TRAS1B12,SMALL(IF(FREQUENCY(IF(TRAS1B12&lt;&gt;"",MATCH(ROW(TRAS1B12),ROW(TRAS1B12)),""),MATCH(ROW(TRAS1B12),ROW(TRAS1B12)))&gt;0,MATCH(ROW(TRAS1B12),ROW(TRAS1B12)),""),ROW(BD66)),COLUMN(BD66)),"")</f>
        <v/>
      </c>
      <c r="CR82" s="3" t="str">
        <f t="shared" si="89"/>
        <v xml:space="preserve"> </v>
      </c>
      <c r="CS82" s="36" t="str">
        <f t="shared" si="64"/>
        <v xml:space="preserve"> </v>
      </c>
      <c r="CT82" s="36" t="str">
        <f t="shared" si="65"/>
        <v xml:space="preserve"> </v>
      </c>
      <c r="CU82" s="36" t="str">
        <f t="shared" si="66"/>
        <v xml:space="preserve"> </v>
      </c>
      <c r="CV82" s="36" t="str">
        <f t="shared" si="67"/>
        <v xml:space="preserve"> </v>
      </c>
      <c r="CW82" s="36" t="str">
        <f t="shared" si="68"/>
        <v xml:space="preserve"> </v>
      </c>
      <c r="CX82" s="36" t="str">
        <f t="shared" si="69"/>
        <v xml:space="preserve"> </v>
      </c>
      <c r="CY82" s="36" t="str">
        <f t="shared" si="70"/>
        <v xml:space="preserve"> </v>
      </c>
      <c r="CZ82" s="36" t="str">
        <f t="shared" si="71"/>
        <v xml:space="preserve"> </v>
      </c>
      <c r="DA82" s="36" t="str">
        <f t="shared" si="72"/>
        <v xml:space="preserve"> </v>
      </c>
      <c r="DB82" s="36" t="str">
        <f t="shared" si="73"/>
        <v xml:space="preserve"> </v>
      </c>
      <c r="DC82" s="27" t="str">
        <f t="shared" si="74"/>
        <v xml:space="preserve"> </v>
      </c>
    </row>
    <row r="83" spans="2:107" ht="13.5" customHeight="1" x14ac:dyDescent="0.35">
      <c r="B83" s="3" t="str">
        <v/>
      </c>
      <c r="C83" s="36" t="str">
        <v/>
      </c>
      <c r="D83" s="36" t="str">
        <v/>
      </c>
      <c r="E83" s="36" t="str">
        <v/>
      </c>
      <c r="F83" s="36" t="str">
        <v/>
      </c>
      <c r="G83" s="36" t="str">
        <v/>
      </c>
      <c r="H83" s="36" t="str">
        <v/>
      </c>
      <c r="I83" s="36" t="str">
        <v/>
      </c>
      <c r="J83" s="36" t="str">
        <v/>
      </c>
      <c r="K83" s="36" t="str">
        <v/>
      </c>
      <c r="L83" s="36" t="str">
        <v/>
      </c>
      <c r="M83" s="27" t="str">
        <v/>
      </c>
      <c r="O83" s="3" t="str">
        <f t="shared" si="75"/>
        <v/>
      </c>
      <c r="P83" s="36" t="str">
        <f t="shared" si="75"/>
        <v/>
      </c>
      <c r="Q83" s="36" t="str">
        <f t="shared" si="75"/>
        <v/>
      </c>
      <c r="R83" s="36" t="str">
        <f t="shared" si="75"/>
        <v/>
      </c>
      <c r="S83" s="36" t="str">
        <f t="shared" si="75"/>
        <v/>
      </c>
      <c r="T83" s="36" t="str">
        <f t="shared" si="75"/>
        <v/>
      </c>
      <c r="U83" s="36" t="str">
        <f t="shared" si="75"/>
        <v/>
      </c>
      <c r="V83" s="36" t="str">
        <f t="shared" si="75"/>
        <v/>
      </c>
      <c r="W83" s="36" t="str">
        <f t="shared" si="75"/>
        <v/>
      </c>
      <c r="X83" s="36" t="str">
        <f t="shared" si="75"/>
        <v/>
      </c>
      <c r="Y83" s="36" t="str">
        <f t="shared" si="75"/>
        <v/>
      </c>
      <c r="Z83" s="27" t="str">
        <f t="shared" si="75"/>
        <v/>
      </c>
      <c r="AB83" s="3" t="str">
        <f t="array" ref="AB83">IFERROR(INDEX(TRAS1B1,SMALL(IF(FREQUENCY(IF(TRAS1B1&lt;&gt;"",MATCH(ROW(TRAS1B1),ROW(TRAS1B1)),""),MATCH(ROW(TRAS1B1),ROW(TRAS1B1)))&gt;0,MATCH(ROW(TRAS1B1),ROW(TRAS1B1)),""),ROW(A20)),COLUMN(A20)),"")</f>
        <v/>
      </c>
      <c r="AC83" s="36" t="str">
        <f t="array" ref="AC83">IFERROR(INDEX(TRAS1B2,SMALL(IF(FREQUENCY(IF(TRAS1B2&lt;&gt;"",MATCH(ROW(TRAS1B2),ROW(TRAS1B2)),""),MATCH(ROW(TRAS1B2),ROW(TRAS1B2)))&gt;0,MATCH(ROW(TRAS1B2),ROW(TRAS1B2)),""),ROW(A20)),COLUMN(A20)),"")</f>
        <v/>
      </c>
      <c r="AD83" s="36" t="str">
        <f t="array" ref="AD83">IFERROR(INDEX(TRAS1B3,SMALL(IF(FREQUENCY(IF(TRAS1B3&lt;&gt;"",MATCH(ROW(TRAS1B3),ROW(TRAS1B3)),""),MATCH(ROW(TRAS1B3),ROW(TRAS1B3)))&gt;0,MATCH(ROW(TRAS1B3),ROW(TRAS1B3)),""),ROW(A20)),COLUMN(A20)),"")</f>
        <v/>
      </c>
      <c r="AE83" s="36" t="str">
        <f t="array" ref="AE83">IFERROR(INDEX(TRAS1B4,SMALL(IF(FREQUENCY(IF(TRAS1B4&lt;&gt;"",MATCH(ROW(TRAS1B4),ROW(TRAS1B4)),""),MATCH(ROW(TRAS1B4),ROW(TRAS1B4)))&gt;0,MATCH(ROW(TRAS1B4),ROW(TRAS1B4)),""),ROW(A20)),COLUMN(A20)),"")</f>
        <v/>
      </c>
      <c r="AF83" s="36" t="str">
        <f t="array" ref="AF83">IFERROR(INDEX(TRAS1B5,SMALL(IF(FREQUENCY(IF(TRAS1B5&lt;&gt;"",MATCH(ROW(TRAS1B5),ROW(TRAS1B5)),""),MATCH(ROW(TRAS1B5),ROW(TRAS1B5)))&gt;0,MATCH(ROW(TRAS1B5),ROW(TRAS1B5)),""),ROW(A20)),COLUMN(A20)),"")</f>
        <v/>
      </c>
      <c r="AG83" s="36" t="str">
        <f t="array" ref="AG83">IFERROR(INDEX(TRAS1B6,SMALL(IF(FREQUENCY(IF(TRAS1B6&lt;&gt;"",MATCH(ROW(TRAS1B6),ROW(TRAS1B6)),""),MATCH(ROW(TRAS1B6),ROW(TRAS1B6)))&gt;0,MATCH(ROW(TRAS1B6),ROW(TRAS1B6)),""),ROW(A20)),COLUMN(A20)),"")</f>
        <v/>
      </c>
      <c r="AH83" s="36" t="str">
        <f t="array" ref="AH83">IFERROR(INDEX(TRAS1B7,SMALL(IF(FREQUENCY(IF(TRAS1B7&lt;&gt;"",MATCH(ROW(TRAS1B7),ROW(TRAS1B7)),""),MATCH(ROW(TRAS1B7),ROW(TRAS1B7)))&gt;0,MATCH(ROW(TRAS1B7),ROW(TRAS1B7)),""),ROW(A20)),COLUMN(A20)),"")</f>
        <v/>
      </c>
      <c r="AI83" s="36" t="str">
        <f t="array" ref="AI83">IFERROR(INDEX(TRAS1B8,SMALL(IF(FREQUENCY(IF(TRAS1B8&lt;&gt;"",MATCH(ROW(TRAS1B8),ROW(TRAS1B8)),""),MATCH(ROW(TRAS1B8),ROW(TRAS1B8)))&gt;0,MATCH(ROW(TRAS1B8),ROW(TRAS1B8)),""),ROW(A20)),COLUMN(A20)),"")</f>
        <v/>
      </c>
      <c r="AJ83" s="36" t="str">
        <f t="array" ref="AJ83">IFERROR(INDEX(TRAS1B9,SMALL(IF(FREQUENCY(IF(TRAS1B9&lt;&gt;"",MATCH(ROW(TRAS1B9),ROW(TRAS1B9)),""),MATCH(ROW(TRAS1B9),ROW(TRAS1B9)))&gt;0,MATCH(ROW(TRAS1B9),ROW(TRAS1B9)),""),ROW(A20)),COLUMN(A20)),"")</f>
        <v/>
      </c>
      <c r="AK83" s="36" t="str">
        <f t="array" ref="AK83">IFERROR(INDEX(TRAS1B10,SMALL(IF(FREQUENCY(IF(TRAS1B10&lt;&gt;"",MATCH(ROW(TRAS1B10),ROW(TRAS1B10)),""),MATCH(ROW(TRAS1B10),ROW(TRAS1B10)))&gt;0,MATCH(ROW(TRAS1B10),ROW(TRAS1B10)),""),ROW(A20)),COLUMN(A20)),"")</f>
        <v/>
      </c>
      <c r="AL83" s="36" t="str">
        <f t="array" ref="AL83">IFERROR(INDEX(TRAS1B11,SMALL(IF(FREQUENCY(IF(TRAS1B11&lt;&gt;"",MATCH(ROW(TRAS1B11),ROW(TRAS1B11)),""),MATCH(ROW(TRAS1B11),ROW(TRAS1B11)))&gt;0,MATCH(ROW(TRAS1B11),ROW(TRAS1B11)),""),ROW(A20)),COLUMN(A20)),"")</f>
        <v/>
      </c>
      <c r="AM83" s="27" t="str">
        <f t="array" ref="AM83">IFERROR(INDEX(TRAS1B12,SMALL(IF(FREQUENCY(IF(TRAS1B12&lt;&gt;"",MATCH(ROW(TRAS1B12),ROW(TRAS1B12)),""),MATCH(ROW(TRAS1B12),ROW(TRAS1B12)))&gt;0,MATCH(ROW(TRAS1B12),ROW(TRAS1B12)),""),ROW(A20)),COLUMN(A20)),"")</f>
        <v/>
      </c>
      <c r="AO83" s="3" t="str">
        <f t="shared" si="76"/>
        <v xml:space="preserve"> </v>
      </c>
      <c r="AP83" s="36" t="str">
        <f t="shared" si="77"/>
        <v xml:space="preserve"> </v>
      </c>
      <c r="AQ83" s="36" t="str">
        <f t="shared" si="78"/>
        <v xml:space="preserve"> </v>
      </c>
      <c r="AR83" s="36" t="str">
        <f t="shared" si="79"/>
        <v xml:space="preserve"> </v>
      </c>
      <c r="AS83" s="36" t="str">
        <f t="shared" si="80"/>
        <v xml:space="preserve"> </v>
      </c>
      <c r="AT83" s="36" t="str">
        <f t="shared" si="81"/>
        <v xml:space="preserve"> </v>
      </c>
      <c r="AU83" s="36" t="str">
        <f t="shared" si="82"/>
        <v xml:space="preserve"> </v>
      </c>
      <c r="AV83" s="36" t="str">
        <f t="shared" si="83"/>
        <v xml:space="preserve"> </v>
      </c>
      <c r="AW83" s="36" t="str">
        <f t="shared" si="84"/>
        <v xml:space="preserve"> </v>
      </c>
      <c r="AX83" s="36" t="str">
        <f t="shared" si="85"/>
        <v xml:space="preserve"> </v>
      </c>
      <c r="AY83" s="36" t="str">
        <f t="shared" si="86"/>
        <v xml:space="preserve"> </v>
      </c>
      <c r="AZ83" s="27" t="str">
        <f t="shared" si="87"/>
        <v xml:space="preserve"> </v>
      </c>
      <c r="BE83" s="3" t="str">
        <v/>
      </c>
      <c r="BF83" s="36" t="str">
        <v/>
      </c>
      <c r="BG83" s="36" t="str">
        <v/>
      </c>
      <c r="BH83" s="36" t="str">
        <v/>
      </c>
      <c r="BI83" s="36" t="str">
        <v/>
      </c>
      <c r="BJ83" s="36" t="str">
        <v/>
      </c>
      <c r="BK83" s="36" t="str">
        <v/>
      </c>
      <c r="BL83" s="36" t="str">
        <v/>
      </c>
      <c r="BM83" s="36" t="str">
        <v/>
      </c>
      <c r="BN83" s="36" t="str">
        <v/>
      </c>
      <c r="BO83" s="36" t="str">
        <v/>
      </c>
      <c r="BP83" s="27" t="str">
        <v/>
      </c>
      <c r="BR83" s="3" t="str">
        <f t="shared" si="88"/>
        <v/>
      </c>
      <c r="BS83" s="36" t="str">
        <f t="shared" si="53"/>
        <v/>
      </c>
      <c r="BT83" s="36" t="str">
        <f t="shared" si="54"/>
        <v/>
      </c>
      <c r="BU83" s="36" t="str">
        <f t="shared" si="55"/>
        <v/>
      </c>
      <c r="BV83" s="36" t="str">
        <f t="shared" si="56"/>
        <v/>
      </c>
      <c r="BW83" s="36" t="str">
        <f t="shared" si="57"/>
        <v/>
      </c>
      <c r="BX83" s="36" t="str">
        <f t="shared" si="58"/>
        <v/>
      </c>
      <c r="BY83" s="36" t="str">
        <f t="shared" si="59"/>
        <v/>
      </c>
      <c r="BZ83" s="36" t="str">
        <f t="shared" si="60"/>
        <v/>
      </c>
      <c r="CA83" s="36" t="str">
        <f t="shared" si="61"/>
        <v/>
      </c>
      <c r="CB83" s="36" t="str">
        <f t="shared" si="62"/>
        <v/>
      </c>
      <c r="CC83" s="27" t="str">
        <f t="shared" si="63"/>
        <v/>
      </c>
      <c r="CE83" s="3" t="str">
        <f t="array" ref="CE83">IFERROR(INDEX(TRAS1B1,SMALL(IF(FREQUENCY(IF(TRAS1B1&lt;&gt;"",MATCH(ROW(TRAS1B1),ROW(TRAS1B1)),""),MATCH(ROW(TRAS1B1),ROW(TRAS1B1)))&gt;0,MATCH(ROW(TRAS1B1),ROW(TRAS1B1)),""),ROW(BD67)),COLUMN(BD67)),"")</f>
        <v/>
      </c>
      <c r="CF83" s="36" t="str">
        <f t="array" ref="CF83">IFERROR(INDEX(TRAS1B2,SMALL(IF(FREQUENCY(IF(TRAS1B2&lt;&gt;"",MATCH(ROW(TRAS1B2),ROW(TRAS1B2)),""),MATCH(ROW(TRAS1B2),ROW(TRAS1B2)))&gt;0,MATCH(ROW(TRAS1B2),ROW(TRAS1B2)),""),ROW(BD67)),COLUMN(BD67)),"")</f>
        <v/>
      </c>
      <c r="CG83" s="36" t="str">
        <f t="array" ref="CG83">IFERROR(INDEX(TRAS1B3,SMALL(IF(FREQUENCY(IF(TRAS1B3&lt;&gt;"",MATCH(ROW(TRAS1B3),ROW(TRAS1B3)),""),MATCH(ROW(TRAS1B3),ROW(TRAS1B3)))&gt;0,MATCH(ROW(TRAS1B3),ROW(TRAS1B3)),""),ROW(BD67)),COLUMN(BD67)),"")</f>
        <v/>
      </c>
      <c r="CH83" s="36" t="str">
        <f t="array" ref="CH83">IFERROR(INDEX(TRAS1B4,SMALL(IF(FREQUENCY(IF(TRAS1B4&lt;&gt;"",MATCH(ROW(TRAS1B4),ROW(TRAS1B4)),""),MATCH(ROW(TRAS1B4),ROW(TRAS1B4)))&gt;0,MATCH(ROW(TRAS1B4),ROW(TRAS1B4)),""),ROW(BD67)),COLUMN(BD67)),"")</f>
        <v/>
      </c>
      <c r="CI83" s="36" t="str">
        <f t="array" ref="CI83">IFERROR(INDEX(TRAS1B5,SMALL(IF(FREQUENCY(IF(TRAS1B5&lt;&gt;"",MATCH(ROW(TRAS1B5),ROW(TRAS1B5)),""),MATCH(ROW(TRAS1B5),ROW(TRAS1B5)))&gt;0,MATCH(ROW(TRAS1B5),ROW(TRAS1B5)),""),ROW(BD67)),COLUMN(BD67)),"")</f>
        <v/>
      </c>
      <c r="CJ83" s="36" t="str">
        <f t="array" ref="CJ83">IFERROR(INDEX(TRAS1B6,SMALL(IF(FREQUENCY(IF(TRAS1B6&lt;&gt;"",MATCH(ROW(TRAS1B6),ROW(TRAS1B6)),""),MATCH(ROW(TRAS1B6),ROW(TRAS1B6)))&gt;0,MATCH(ROW(TRAS1B6),ROW(TRAS1B6)),""),ROW(BD67)),COLUMN(BD67)),"")</f>
        <v/>
      </c>
      <c r="CK83" s="36" t="str">
        <f t="array" ref="CK83">IFERROR(INDEX(TRAS1B7,SMALL(IF(FREQUENCY(IF(TRAS1B7&lt;&gt;"",MATCH(ROW(TRAS1B7),ROW(TRAS1B7)),""),MATCH(ROW(TRAS1B7),ROW(TRAS1B7)))&gt;0,MATCH(ROW(TRAS1B7),ROW(TRAS1B7)),""),ROW(BD67)),COLUMN(BD67)),"")</f>
        <v/>
      </c>
      <c r="CL83" s="36" t="str">
        <f t="array" ref="CL83">IFERROR(INDEX(TRAS1B8,SMALL(IF(FREQUENCY(IF(TRAS1B8&lt;&gt;"",MATCH(ROW(TRAS1B8),ROW(TRAS1B8)),""),MATCH(ROW(TRAS1B8),ROW(TRAS1B8)))&gt;0,MATCH(ROW(TRAS1B8),ROW(TRAS1B8)),""),ROW(BD67)),COLUMN(BD67)),"")</f>
        <v/>
      </c>
      <c r="CM83" s="36" t="str">
        <f t="array" ref="CM83">IFERROR(INDEX(TRAS1B9,SMALL(IF(FREQUENCY(IF(TRAS1B9&lt;&gt;"",MATCH(ROW(TRAS1B9),ROW(TRAS1B9)),""),MATCH(ROW(TRAS1B9),ROW(TRAS1B9)))&gt;0,MATCH(ROW(TRAS1B9),ROW(TRAS1B9)),""),ROW(BD67)),COLUMN(BD67)),"")</f>
        <v/>
      </c>
      <c r="CN83" s="36" t="str">
        <f t="array" ref="CN83">IFERROR(INDEX(TRAS1B10,SMALL(IF(FREQUENCY(IF(TRAS1B10&lt;&gt;"",MATCH(ROW(TRAS1B10),ROW(TRAS1B10)),""),MATCH(ROW(TRAS1B10),ROW(TRAS1B10)))&gt;0,MATCH(ROW(TRAS1B10),ROW(TRAS1B10)),""),ROW(BD67)),COLUMN(BD67)),"")</f>
        <v/>
      </c>
      <c r="CO83" s="36" t="str">
        <f t="array" ref="CO83">IFERROR(INDEX(TRAS1B11,SMALL(IF(FREQUENCY(IF(TRAS1B11&lt;&gt;"",MATCH(ROW(TRAS1B11),ROW(TRAS1B11)),""),MATCH(ROW(TRAS1B11),ROW(TRAS1B11)))&gt;0,MATCH(ROW(TRAS1B11),ROW(TRAS1B11)),""),ROW(BD67)),COLUMN(BD67)),"")</f>
        <v/>
      </c>
      <c r="CP83" s="27" t="str">
        <f t="array" ref="CP83">IFERROR(INDEX(TRAS1B12,SMALL(IF(FREQUENCY(IF(TRAS1B12&lt;&gt;"",MATCH(ROW(TRAS1B12),ROW(TRAS1B12)),""),MATCH(ROW(TRAS1B12),ROW(TRAS1B12)))&gt;0,MATCH(ROW(TRAS1B12),ROW(TRAS1B12)),""),ROW(BD67)),COLUMN(BD67)),"")</f>
        <v/>
      </c>
      <c r="CR83" s="3" t="str">
        <f t="shared" si="89"/>
        <v xml:space="preserve"> </v>
      </c>
      <c r="CS83" s="36" t="str">
        <f t="shared" si="64"/>
        <v xml:space="preserve"> </v>
      </c>
      <c r="CT83" s="36" t="str">
        <f t="shared" si="65"/>
        <v xml:space="preserve"> </v>
      </c>
      <c r="CU83" s="36" t="str">
        <f t="shared" si="66"/>
        <v xml:space="preserve"> </v>
      </c>
      <c r="CV83" s="36" t="str">
        <f t="shared" si="67"/>
        <v xml:space="preserve"> </v>
      </c>
      <c r="CW83" s="36" t="str">
        <f t="shared" si="68"/>
        <v xml:space="preserve"> </v>
      </c>
      <c r="CX83" s="36" t="str">
        <f t="shared" si="69"/>
        <v xml:space="preserve"> </v>
      </c>
      <c r="CY83" s="36" t="str">
        <f t="shared" si="70"/>
        <v xml:space="preserve"> </v>
      </c>
      <c r="CZ83" s="36" t="str">
        <f t="shared" si="71"/>
        <v xml:space="preserve"> </v>
      </c>
      <c r="DA83" s="36" t="str">
        <f t="shared" si="72"/>
        <v xml:space="preserve"> </v>
      </c>
      <c r="DB83" s="36" t="str">
        <f t="shared" si="73"/>
        <v xml:space="preserve"> </v>
      </c>
      <c r="DC83" s="27" t="str">
        <f t="shared" si="74"/>
        <v xml:space="preserve"> </v>
      </c>
    </row>
    <row r="84" spans="2:107" ht="13.5" customHeight="1" x14ac:dyDescent="0.35">
      <c r="B84" s="3" t="str">
        <v/>
      </c>
      <c r="C84" s="36" t="str">
        <v/>
      </c>
      <c r="D84" s="36" t="str">
        <v/>
      </c>
      <c r="E84" s="36" t="str">
        <v/>
      </c>
      <c r="F84" s="36" t="str">
        <v/>
      </c>
      <c r="G84" s="36" t="str">
        <v/>
      </c>
      <c r="H84" s="36" t="str">
        <v/>
      </c>
      <c r="I84" s="36" t="str">
        <v/>
      </c>
      <c r="J84" s="36" t="str">
        <v/>
      </c>
      <c r="K84" s="36" t="str">
        <v/>
      </c>
      <c r="L84" s="36" t="str">
        <v/>
      </c>
      <c r="M84" s="27" t="str">
        <v/>
      </c>
      <c r="O84" s="3" t="str">
        <f t="shared" si="75"/>
        <v/>
      </c>
      <c r="P84" s="36" t="str">
        <f t="shared" si="75"/>
        <v/>
      </c>
      <c r="Q84" s="36" t="str">
        <f t="shared" si="75"/>
        <v/>
      </c>
      <c r="R84" s="36" t="str">
        <f t="shared" si="75"/>
        <v/>
      </c>
      <c r="S84" s="36" t="str">
        <f t="shared" si="75"/>
        <v/>
      </c>
      <c r="T84" s="36" t="str">
        <f t="shared" si="75"/>
        <v/>
      </c>
      <c r="U84" s="36" t="str">
        <f t="shared" si="75"/>
        <v/>
      </c>
      <c r="V84" s="36" t="str">
        <f t="shared" si="75"/>
        <v/>
      </c>
      <c r="W84" s="36" t="str">
        <f t="shared" si="75"/>
        <v/>
      </c>
      <c r="X84" s="36" t="str">
        <f t="shared" si="75"/>
        <v/>
      </c>
      <c r="Y84" s="36" t="str">
        <f t="shared" si="75"/>
        <v/>
      </c>
      <c r="Z84" s="27" t="str">
        <f t="shared" si="75"/>
        <v/>
      </c>
      <c r="AB84" s="3" t="str">
        <f t="array" ref="AB84">IFERROR(INDEX(TRAS1B1,SMALL(IF(FREQUENCY(IF(TRAS1B1&lt;&gt;"",MATCH(ROW(TRAS1B1),ROW(TRAS1B1)),""),MATCH(ROW(TRAS1B1),ROW(TRAS1B1)))&gt;0,MATCH(ROW(TRAS1B1),ROW(TRAS1B1)),""),ROW(A21)),COLUMN(A21)),"")</f>
        <v/>
      </c>
      <c r="AC84" s="36" t="str">
        <f t="array" ref="AC84">IFERROR(INDEX(TRAS1B2,SMALL(IF(FREQUENCY(IF(TRAS1B2&lt;&gt;"",MATCH(ROW(TRAS1B2),ROW(TRAS1B2)),""),MATCH(ROW(TRAS1B2),ROW(TRAS1B2)))&gt;0,MATCH(ROW(TRAS1B2),ROW(TRAS1B2)),""),ROW(A21)),COLUMN(A21)),"")</f>
        <v/>
      </c>
      <c r="AD84" s="36" t="str">
        <f t="array" ref="AD84">IFERROR(INDEX(TRAS1B3,SMALL(IF(FREQUENCY(IF(TRAS1B3&lt;&gt;"",MATCH(ROW(TRAS1B3),ROW(TRAS1B3)),""),MATCH(ROW(TRAS1B3),ROW(TRAS1B3)))&gt;0,MATCH(ROW(TRAS1B3),ROW(TRAS1B3)),""),ROW(A21)),COLUMN(A21)),"")</f>
        <v/>
      </c>
      <c r="AE84" s="36" t="str">
        <f t="array" ref="AE84">IFERROR(INDEX(TRAS1B4,SMALL(IF(FREQUENCY(IF(TRAS1B4&lt;&gt;"",MATCH(ROW(TRAS1B4),ROW(TRAS1B4)),""),MATCH(ROW(TRAS1B4),ROW(TRAS1B4)))&gt;0,MATCH(ROW(TRAS1B4),ROW(TRAS1B4)),""),ROW(A21)),COLUMN(A21)),"")</f>
        <v/>
      </c>
      <c r="AF84" s="36" t="str">
        <f t="array" ref="AF84">IFERROR(INDEX(TRAS1B5,SMALL(IF(FREQUENCY(IF(TRAS1B5&lt;&gt;"",MATCH(ROW(TRAS1B5),ROW(TRAS1B5)),""),MATCH(ROW(TRAS1B5),ROW(TRAS1B5)))&gt;0,MATCH(ROW(TRAS1B5),ROW(TRAS1B5)),""),ROW(A21)),COLUMN(A21)),"")</f>
        <v/>
      </c>
      <c r="AG84" s="36" t="str">
        <f t="array" ref="AG84">IFERROR(INDEX(TRAS1B6,SMALL(IF(FREQUENCY(IF(TRAS1B6&lt;&gt;"",MATCH(ROW(TRAS1B6),ROW(TRAS1B6)),""),MATCH(ROW(TRAS1B6),ROW(TRAS1B6)))&gt;0,MATCH(ROW(TRAS1B6),ROW(TRAS1B6)),""),ROW(A21)),COLUMN(A21)),"")</f>
        <v/>
      </c>
      <c r="AH84" s="36" t="str">
        <f t="array" ref="AH84">IFERROR(INDEX(TRAS1B7,SMALL(IF(FREQUENCY(IF(TRAS1B7&lt;&gt;"",MATCH(ROW(TRAS1B7),ROW(TRAS1B7)),""),MATCH(ROW(TRAS1B7),ROW(TRAS1B7)))&gt;0,MATCH(ROW(TRAS1B7),ROW(TRAS1B7)),""),ROW(A21)),COLUMN(A21)),"")</f>
        <v/>
      </c>
      <c r="AI84" s="36" t="str">
        <f t="array" ref="AI84">IFERROR(INDEX(TRAS1B8,SMALL(IF(FREQUENCY(IF(TRAS1B8&lt;&gt;"",MATCH(ROW(TRAS1B8),ROW(TRAS1B8)),""),MATCH(ROW(TRAS1B8),ROW(TRAS1B8)))&gt;0,MATCH(ROW(TRAS1B8),ROW(TRAS1B8)),""),ROW(A21)),COLUMN(A21)),"")</f>
        <v/>
      </c>
      <c r="AJ84" s="36" t="str">
        <f t="array" ref="AJ84">IFERROR(INDEX(TRAS1B9,SMALL(IF(FREQUENCY(IF(TRAS1B9&lt;&gt;"",MATCH(ROW(TRAS1B9),ROW(TRAS1B9)),""),MATCH(ROW(TRAS1B9),ROW(TRAS1B9)))&gt;0,MATCH(ROW(TRAS1B9),ROW(TRAS1B9)),""),ROW(A21)),COLUMN(A21)),"")</f>
        <v/>
      </c>
      <c r="AK84" s="36" t="str">
        <f t="array" ref="AK84">IFERROR(INDEX(TRAS1B10,SMALL(IF(FREQUENCY(IF(TRAS1B10&lt;&gt;"",MATCH(ROW(TRAS1B10),ROW(TRAS1B10)),""),MATCH(ROW(TRAS1B10),ROW(TRAS1B10)))&gt;0,MATCH(ROW(TRAS1B10),ROW(TRAS1B10)),""),ROW(A21)),COLUMN(A21)),"")</f>
        <v/>
      </c>
      <c r="AL84" s="36" t="str">
        <f t="array" ref="AL84">IFERROR(INDEX(TRAS1B11,SMALL(IF(FREQUENCY(IF(TRAS1B11&lt;&gt;"",MATCH(ROW(TRAS1B11),ROW(TRAS1B11)),""),MATCH(ROW(TRAS1B11),ROW(TRAS1B11)))&gt;0,MATCH(ROW(TRAS1B11),ROW(TRAS1B11)),""),ROW(A21)),COLUMN(A21)),"")</f>
        <v/>
      </c>
      <c r="AM84" s="27" t="str">
        <f t="array" ref="AM84">IFERROR(INDEX(TRAS1B12,SMALL(IF(FREQUENCY(IF(TRAS1B12&lt;&gt;"",MATCH(ROW(TRAS1B12),ROW(TRAS1B12)),""),MATCH(ROW(TRAS1B12),ROW(TRAS1B12)))&gt;0,MATCH(ROW(TRAS1B12),ROW(TRAS1B12)),""),ROW(A21)),COLUMN(A21)),"")</f>
        <v/>
      </c>
      <c r="AO84" s="3" t="str">
        <f t="shared" si="76"/>
        <v xml:space="preserve"> </v>
      </c>
      <c r="AP84" s="36" t="str">
        <f t="shared" si="77"/>
        <v xml:space="preserve"> </v>
      </c>
      <c r="AQ84" s="36" t="str">
        <f t="shared" si="78"/>
        <v xml:space="preserve"> </v>
      </c>
      <c r="AR84" s="36" t="str">
        <f t="shared" si="79"/>
        <v xml:space="preserve"> </v>
      </c>
      <c r="AS84" s="36" t="str">
        <f t="shared" si="80"/>
        <v xml:space="preserve"> </v>
      </c>
      <c r="AT84" s="36" t="str">
        <f t="shared" si="81"/>
        <v xml:space="preserve"> </v>
      </c>
      <c r="AU84" s="36" t="str">
        <f t="shared" si="82"/>
        <v xml:space="preserve"> </v>
      </c>
      <c r="AV84" s="36" t="str">
        <f t="shared" si="83"/>
        <v xml:space="preserve"> </v>
      </c>
      <c r="AW84" s="36" t="str">
        <f t="shared" si="84"/>
        <v xml:space="preserve"> </v>
      </c>
      <c r="AX84" s="36" t="str">
        <f t="shared" si="85"/>
        <v xml:space="preserve"> </v>
      </c>
      <c r="AY84" s="36" t="str">
        <f t="shared" si="86"/>
        <v xml:space="preserve"> </v>
      </c>
      <c r="AZ84" s="27" t="str">
        <f t="shared" si="87"/>
        <v xml:space="preserve"> </v>
      </c>
      <c r="BE84" s="3" t="str">
        <v/>
      </c>
      <c r="BF84" s="36" t="str">
        <v/>
      </c>
      <c r="BG84" s="36" t="str">
        <v/>
      </c>
      <c r="BH84" s="36" t="str">
        <v/>
      </c>
      <c r="BI84" s="36" t="str">
        <v/>
      </c>
      <c r="BJ84" s="36" t="str">
        <v/>
      </c>
      <c r="BK84" s="36" t="str">
        <v/>
      </c>
      <c r="BL84" s="36" t="str">
        <v/>
      </c>
      <c r="BM84" s="36" t="str">
        <v/>
      </c>
      <c r="BN84" s="36" t="str">
        <v/>
      </c>
      <c r="BO84" s="36" t="str">
        <v/>
      </c>
      <c r="BP84" s="27" t="str">
        <v/>
      </c>
      <c r="BR84" s="3" t="str">
        <f t="shared" si="88"/>
        <v/>
      </c>
      <c r="BS84" s="36" t="str">
        <f t="shared" si="53"/>
        <v/>
      </c>
      <c r="BT84" s="36" t="str">
        <f t="shared" si="54"/>
        <v/>
      </c>
      <c r="BU84" s="36" t="str">
        <f t="shared" si="55"/>
        <v/>
      </c>
      <c r="BV84" s="36" t="str">
        <f t="shared" si="56"/>
        <v/>
      </c>
      <c r="BW84" s="36" t="str">
        <f t="shared" si="57"/>
        <v/>
      </c>
      <c r="BX84" s="36" t="str">
        <f t="shared" si="58"/>
        <v/>
      </c>
      <c r="BY84" s="36" t="str">
        <f t="shared" si="59"/>
        <v/>
      </c>
      <c r="BZ84" s="36" t="str">
        <f t="shared" si="60"/>
        <v/>
      </c>
      <c r="CA84" s="36" t="str">
        <f t="shared" si="61"/>
        <v/>
      </c>
      <c r="CB84" s="36" t="str">
        <f t="shared" si="62"/>
        <v/>
      </c>
      <c r="CC84" s="27" t="str">
        <f t="shared" si="63"/>
        <v/>
      </c>
      <c r="CE84" s="3" t="str">
        <f t="array" ref="CE84">IFERROR(INDEX(TRAS1B1,SMALL(IF(FREQUENCY(IF(TRAS1B1&lt;&gt;"",MATCH(ROW(TRAS1B1),ROW(TRAS1B1)),""),MATCH(ROW(TRAS1B1),ROW(TRAS1B1)))&gt;0,MATCH(ROW(TRAS1B1),ROW(TRAS1B1)),""),ROW(BD68)),COLUMN(BD68)),"")</f>
        <v/>
      </c>
      <c r="CF84" s="36" t="str">
        <f t="array" ref="CF84">IFERROR(INDEX(TRAS1B2,SMALL(IF(FREQUENCY(IF(TRAS1B2&lt;&gt;"",MATCH(ROW(TRAS1B2),ROW(TRAS1B2)),""),MATCH(ROW(TRAS1B2),ROW(TRAS1B2)))&gt;0,MATCH(ROW(TRAS1B2),ROW(TRAS1B2)),""),ROW(BD68)),COLUMN(BD68)),"")</f>
        <v/>
      </c>
      <c r="CG84" s="36" t="str">
        <f t="array" ref="CG84">IFERROR(INDEX(TRAS1B3,SMALL(IF(FREQUENCY(IF(TRAS1B3&lt;&gt;"",MATCH(ROW(TRAS1B3),ROW(TRAS1B3)),""),MATCH(ROW(TRAS1B3),ROW(TRAS1B3)))&gt;0,MATCH(ROW(TRAS1B3),ROW(TRAS1B3)),""),ROW(BD68)),COLUMN(BD68)),"")</f>
        <v/>
      </c>
      <c r="CH84" s="36" t="str">
        <f t="array" ref="CH84">IFERROR(INDEX(TRAS1B4,SMALL(IF(FREQUENCY(IF(TRAS1B4&lt;&gt;"",MATCH(ROW(TRAS1B4),ROW(TRAS1B4)),""),MATCH(ROW(TRAS1B4),ROW(TRAS1B4)))&gt;0,MATCH(ROW(TRAS1B4),ROW(TRAS1B4)),""),ROW(BD68)),COLUMN(BD68)),"")</f>
        <v/>
      </c>
      <c r="CI84" s="36" t="str">
        <f t="array" ref="CI84">IFERROR(INDEX(TRAS1B5,SMALL(IF(FREQUENCY(IF(TRAS1B5&lt;&gt;"",MATCH(ROW(TRAS1B5),ROW(TRAS1B5)),""),MATCH(ROW(TRAS1B5),ROW(TRAS1B5)))&gt;0,MATCH(ROW(TRAS1B5),ROW(TRAS1B5)),""),ROW(BD68)),COLUMN(BD68)),"")</f>
        <v/>
      </c>
      <c r="CJ84" s="36" t="str">
        <f t="array" ref="CJ84">IFERROR(INDEX(TRAS1B6,SMALL(IF(FREQUENCY(IF(TRAS1B6&lt;&gt;"",MATCH(ROW(TRAS1B6),ROW(TRAS1B6)),""),MATCH(ROW(TRAS1B6),ROW(TRAS1B6)))&gt;0,MATCH(ROW(TRAS1B6),ROW(TRAS1B6)),""),ROW(BD68)),COLUMN(BD68)),"")</f>
        <v/>
      </c>
      <c r="CK84" s="36" t="str">
        <f t="array" ref="CK84">IFERROR(INDEX(TRAS1B7,SMALL(IF(FREQUENCY(IF(TRAS1B7&lt;&gt;"",MATCH(ROW(TRAS1B7),ROW(TRAS1B7)),""),MATCH(ROW(TRAS1B7),ROW(TRAS1B7)))&gt;0,MATCH(ROW(TRAS1B7),ROW(TRAS1B7)),""),ROW(BD68)),COLUMN(BD68)),"")</f>
        <v/>
      </c>
      <c r="CL84" s="36" t="str">
        <f t="array" ref="CL84">IFERROR(INDEX(TRAS1B8,SMALL(IF(FREQUENCY(IF(TRAS1B8&lt;&gt;"",MATCH(ROW(TRAS1B8),ROW(TRAS1B8)),""),MATCH(ROW(TRAS1B8),ROW(TRAS1B8)))&gt;0,MATCH(ROW(TRAS1B8),ROW(TRAS1B8)),""),ROW(BD68)),COLUMN(BD68)),"")</f>
        <v/>
      </c>
      <c r="CM84" s="36" t="str">
        <f t="array" ref="CM84">IFERROR(INDEX(TRAS1B9,SMALL(IF(FREQUENCY(IF(TRAS1B9&lt;&gt;"",MATCH(ROW(TRAS1B9),ROW(TRAS1B9)),""),MATCH(ROW(TRAS1B9),ROW(TRAS1B9)))&gt;0,MATCH(ROW(TRAS1B9),ROW(TRAS1B9)),""),ROW(BD68)),COLUMN(BD68)),"")</f>
        <v/>
      </c>
      <c r="CN84" s="36" t="str">
        <f t="array" ref="CN84">IFERROR(INDEX(TRAS1B10,SMALL(IF(FREQUENCY(IF(TRAS1B10&lt;&gt;"",MATCH(ROW(TRAS1B10),ROW(TRAS1B10)),""),MATCH(ROW(TRAS1B10),ROW(TRAS1B10)))&gt;0,MATCH(ROW(TRAS1B10),ROW(TRAS1B10)),""),ROW(BD68)),COLUMN(BD68)),"")</f>
        <v/>
      </c>
      <c r="CO84" s="36" t="str">
        <f t="array" ref="CO84">IFERROR(INDEX(TRAS1B11,SMALL(IF(FREQUENCY(IF(TRAS1B11&lt;&gt;"",MATCH(ROW(TRAS1B11),ROW(TRAS1B11)),""),MATCH(ROW(TRAS1B11),ROW(TRAS1B11)))&gt;0,MATCH(ROW(TRAS1B11),ROW(TRAS1B11)),""),ROW(BD68)),COLUMN(BD68)),"")</f>
        <v/>
      </c>
      <c r="CP84" s="27" t="str">
        <f t="array" ref="CP84">IFERROR(INDEX(TRAS1B12,SMALL(IF(FREQUENCY(IF(TRAS1B12&lt;&gt;"",MATCH(ROW(TRAS1B12),ROW(TRAS1B12)),""),MATCH(ROW(TRAS1B12),ROW(TRAS1B12)))&gt;0,MATCH(ROW(TRAS1B12),ROW(TRAS1B12)),""),ROW(BD68)),COLUMN(BD68)),"")</f>
        <v/>
      </c>
      <c r="CR84" s="3" t="str">
        <f t="shared" si="89"/>
        <v xml:space="preserve"> </v>
      </c>
      <c r="CS84" s="36" t="str">
        <f t="shared" si="64"/>
        <v xml:space="preserve"> </v>
      </c>
      <c r="CT84" s="36" t="str">
        <f t="shared" si="65"/>
        <v xml:space="preserve"> </v>
      </c>
      <c r="CU84" s="36" t="str">
        <f t="shared" si="66"/>
        <v xml:space="preserve"> </v>
      </c>
      <c r="CV84" s="36" t="str">
        <f t="shared" si="67"/>
        <v xml:space="preserve"> </v>
      </c>
      <c r="CW84" s="36" t="str">
        <f t="shared" si="68"/>
        <v xml:space="preserve"> </v>
      </c>
      <c r="CX84" s="36" t="str">
        <f t="shared" si="69"/>
        <v xml:space="preserve"> </v>
      </c>
      <c r="CY84" s="36" t="str">
        <f t="shared" si="70"/>
        <v xml:space="preserve"> </v>
      </c>
      <c r="CZ84" s="36" t="str">
        <f t="shared" si="71"/>
        <v xml:space="preserve"> </v>
      </c>
      <c r="DA84" s="36" t="str">
        <f t="shared" si="72"/>
        <v xml:space="preserve"> </v>
      </c>
      <c r="DB84" s="36" t="str">
        <f t="shared" si="73"/>
        <v xml:space="preserve"> </v>
      </c>
      <c r="DC84" s="27" t="str">
        <f t="shared" si="74"/>
        <v xml:space="preserve"> </v>
      </c>
    </row>
    <row r="85" spans="2:107" ht="13.5" customHeight="1" x14ac:dyDescent="0.35">
      <c r="B85" s="3" t="str">
        <v/>
      </c>
      <c r="C85" s="36" t="str">
        <v/>
      </c>
      <c r="D85" s="36" t="str">
        <v/>
      </c>
      <c r="E85" s="36" t="str">
        <v/>
      </c>
      <c r="F85" s="36" t="str">
        <v/>
      </c>
      <c r="G85" s="36" t="str">
        <v/>
      </c>
      <c r="H85" s="36" t="str">
        <v/>
      </c>
      <c r="I85" s="36" t="str">
        <v/>
      </c>
      <c r="J85" s="36" t="str">
        <v/>
      </c>
      <c r="K85" s="36" t="str">
        <v/>
      </c>
      <c r="L85" s="36" t="str">
        <v/>
      </c>
      <c r="M85" s="27" t="str">
        <v/>
      </c>
      <c r="O85" s="3" t="str">
        <f t="shared" si="75"/>
        <v/>
      </c>
      <c r="P85" s="36" t="str">
        <f t="shared" si="75"/>
        <v/>
      </c>
      <c r="Q85" s="36" t="str">
        <f t="shared" si="75"/>
        <v/>
      </c>
      <c r="R85" s="36" t="str">
        <f t="shared" si="75"/>
        <v/>
      </c>
      <c r="S85" s="36" t="str">
        <f t="shared" si="75"/>
        <v/>
      </c>
      <c r="T85" s="36" t="str">
        <f t="shared" si="75"/>
        <v/>
      </c>
      <c r="U85" s="36" t="str">
        <f t="shared" si="75"/>
        <v/>
      </c>
      <c r="V85" s="36" t="str">
        <f t="shared" si="75"/>
        <v/>
      </c>
      <c r="W85" s="36" t="str">
        <f t="shared" si="75"/>
        <v/>
      </c>
      <c r="X85" s="36" t="str">
        <f t="shared" si="75"/>
        <v/>
      </c>
      <c r="Y85" s="36" t="str">
        <f t="shared" si="75"/>
        <v/>
      </c>
      <c r="Z85" s="27" t="str">
        <f t="shared" si="75"/>
        <v/>
      </c>
      <c r="AB85" s="3" t="str">
        <f t="array" ref="AB85">IFERROR(INDEX(TRAS1B1,SMALL(IF(FREQUENCY(IF(TRAS1B1&lt;&gt;"",MATCH(ROW(TRAS1B1),ROW(TRAS1B1)),""),MATCH(ROW(TRAS1B1),ROW(TRAS1B1)))&gt;0,MATCH(ROW(TRAS1B1),ROW(TRAS1B1)),""),ROW(A22)),COLUMN(A22)),"")</f>
        <v/>
      </c>
      <c r="AC85" s="36" t="str">
        <f t="array" ref="AC85">IFERROR(INDEX(TRAS1B2,SMALL(IF(FREQUENCY(IF(TRAS1B2&lt;&gt;"",MATCH(ROW(TRAS1B2),ROW(TRAS1B2)),""),MATCH(ROW(TRAS1B2),ROW(TRAS1B2)))&gt;0,MATCH(ROW(TRAS1B2),ROW(TRAS1B2)),""),ROW(A22)),COLUMN(A22)),"")</f>
        <v/>
      </c>
      <c r="AD85" s="36" t="str">
        <f t="array" ref="AD85">IFERROR(INDEX(TRAS1B3,SMALL(IF(FREQUENCY(IF(TRAS1B3&lt;&gt;"",MATCH(ROW(TRAS1B3),ROW(TRAS1B3)),""),MATCH(ROW(TRAS1B3),ROW(TRAS1B3)))&gt;0,MATCH(ROW(TRAS1B3),ROW(TRAS1B3)),""),ROW(A22)),COLUMN(A22)),"")</f>
        <v/>
      </c>
      <c r="AE85" s="36" t="str">
        <f t="array" ref="AE85">IFERROR(INDEX(TRAS1B4,SMALL(IF(FREQUENCY(IF(TRAS1B4&lt;&gt;"",MATCH(ROW(TRAS1B4),ROW(TRAS1B4)),""),MATCH(ROW(TRAS1B4),ROW(TRAS1B4)))&gt;0,MATCH(ROW(TRAS1B4),ROW(TRAS1B4)),""),ROW(A22)),COLUMN(A22)),"")</f>
        <v/>
      </c>
      <c r="AF85" s="36" t="str">
        <f t="array" ref="AF85">IFERROR(INDEX(TRAS1B5,SMALL(IF(FREQUENCY(IF(TRAS1B5&lt;&gt;"",MATCH(ROW(TRAS1B5),ROW(TRAS1B5)),""),MATCH(ROW(TRAS1B5),ROW(TRAS1B5)))&gt;0,MATCH(ROW(TRAS1B5),ROW(TRAS1B5)),""),ROW(A22)),COLUMN(A22)),"")</f>
        <v/>
      </c>
      <c r="AG85" s="36" t="str">
        <f t="array" ref="AG85">IFERROR(INDEX(TRAS1B6,SMALL(IF(FREQUENCY(IF(TRAS1B6&lt;&gt;"",MATCH(ROW(TRAS1B6),ROW(TRAS1B6)),""),MATCH(ROW(TRAS1B6),ROW(TRAS1B6)))&gt;0,MATCH(ROW(TRAS1B6),ROW(TRAS1B6)),""),ROW(A22)),COLUMN(A22)),"")</f>
        <v/>
      </c>
      <c r="AH85" s="36" t="str">
        <f t="array" ref="AH85">IFERROR(INDEX(TRAS1B7,SMALL(IF(FREQUENCY(IF(TRAS1B7&lt;&gt;"",MATCH(ROW(TRAS1B7),ROW(TRAS1B7)),""),MATCH(ROW(TRAS1B7),ROW(TRAS1B7)))&gt;0,MATCH(ROW(TRAS1B7),ROW(TRAS1B7)),""),ROW(A22)),COLUMN(A22)),"")</f>
        <v/>
      </c>
      <c r="AI85" s="36" t="str">
        <f t="array" ref="AI85">IFERROR(INDEX(TRAS1B8,SMALL(IF(FREQUENCY(IF(TRAS1B8&lt;&gt;"",MATCH(ROW(TRAS1B8),ROW(TRAS1B8)),""),MATCH(ROW(TRAS1B8),ROW(TRAS1B8)))&gt;0,MATCH(ROW(TRAS1B8),ROW(TRAS1B8)),""),ROW(A22)),COLUMN(A22)),"")</f>
        <v/>
      </c>
      <c r="AJ85" s="36" t="str">
        <f t="array" ref="AJ85">IFERROR(INDEX(TRAS1B9,SMALL(IF(FREQUENCY(IF(TRAS1B9&lt;&gt;"",MATCH(ROW(TRAS1B9),ROW(TRAS1B9)),""),MATCH(ROW(TRAS1B9),ROW(TRAS1B9)))&gt;0,MATCH(ROW(TRAS1B9),ROW(TRAS1B9)),""),ROW(A22)),COLUMN(A22)),"")</f>
        <v/>
      </c>
      <c r="AK85" s="36" t="str">
        <f t="array" ref="AK85">IFERROR(INDEX(TRAS1B10,SMALL(IF(FREQUENCY(IF(TRAS1B10&lt;&gt;"",MATCH(ROW(TRAS1B10),ROW(TRAS1B10)),""),MATCH(ROW(TRAS1B10),ROW(TRAS1B10)))&gt;0,MATCH(ROW(TRAS1B10),ROW(TRAS1B10)),""),ROW(A22)),COLUMN(A22)),"")</f>
        <v/>
      </c>
      <c r="AL85" s="36" t="str">
        <f t="array" ref="AL85">IFERROR(INDEX(TRAS1B11,SMALL(IF(FREQUENCY(IF(TRAS1B11&lt;&gt;"",MATCH(ROW(TRAS1B11),ROW(TRAS1B11)),""),MATCH(ROW(TRAS1B11),ROW(TRAS1B11)))&gt;0,MATCH(ROW(TRAS1B11),ROW(TRAS1B11)),""),ROW(A22)),COLUMN(A22)),"")</f>
        <v/>
      </c>
      <c r="AM85" s="27" t="str">
        <f t="array" ref="AM85">IFERROR(INDEX(TRAS1B12,SMALL(IF(FREQUENCY(IF(TRAS1B12&lt;&gt;"",MATCH(ROW(TRAS1B12),ROW(TRAS1B12)),""),MATCH(ROW(TRAS1B12),ROW(TRAS1B12)))&gt;0,MATCH(ROW(TRAS1B12),ROW(TRAS1B12)),""),ROW(A22)),COLUMN(A22)),"")</f>
        <v/>
      </c>
      <c r="AO85" s="3" t="str">
        <f t="shared" si="76"/>
        <v xml:space="preserve"> </v>
      </c>
      <c r="AP85" s="36" t="str">
        <f t="shared" si="77"/>
        <v xml:space="preserve"> </v>
      </c>
      <c r="AQ85" s="36" t="str">
        <f t="shared" si="78"/>
        <v xml:space="preserve"> </v>
      </c>
      <c r="AR85" s="36" t="str">
        <f t="shared" si="79"/>
        <v xml:space="preserve"> </v>
      </c>
      <c r="AS85" s="36" t="str">
        <f t="shared" si="80"/>
        <v xml:space="preserve"> </v>
      </c>
      <c r="AT85" s="36" t="str">
        <f t="shared" si="81"/>
        <v xml:space="preserve"> </v>
      </c>
      <c r="AU85" s="36" t="str">
        <f t="shared" si="82"/>
        <v xml:space="preserve"> </v>
      </c>
      <c r="AV85" s="36" t="str">
        <f t="shared" si="83"/>
        <v xml:space="preserve"> </v>
      </c>
      <c r="AW85" s="36" t="str">
        <f t="shared" si="84"/>
        <v xml:space="preserve"> </v>
      </c>
      <c r="AX85" s="36" t="str">
        <f t="shared" si="85"/>
        <v xml:space="preserve"> </v>
      </c>
      <c r="AY85" s="36" t="str">
        <f t="shared" si="86"/>
        <v xml:space="preserve"> </v>
      </c>
      <c r="AZ85" s="27" t="str">
        <f t="shared" si="87"/>
        <v xml:space="preserve"> </v>
      </c>
      <c r="BE85" s="3" t="str">
        <v/>
      </c>
      <c r="BF85" s="36" t="str">
        <v/>
      </c>
      <c r="BG85" s="36" t="str">
        <v/>
      </c>
      <c r="BH85" s="36" t="str">
        <v/>
      </c>
      <c r="BI85" s="36" t="str">
        <v/>
      </c>
      <c r="BJ85" s="36" t="str">
        <v/>
      </c>
      <c r="BK85" s="36" t="str">
        <v/>
      </c>
      <c r="BL85" s="36" t="str">
        <v/>
      </c>
      <c r="BM85" s="36" t="str">
        <v/>
      </c>
      <c r="BN85" s="36" t="str">
        <v/>
      </c>
      <c r="BO85" s="36" t="str">
        <v/>
      </c>
      <c r="BP85" s="27" t="str">
        <v/>
      </c>
      <c r="BR85" s="3" t="str">
        <f t="shared" si="88"/>
        <v/>
      </c>
      <c r="BS85" s="36" t="str">
        <f t="shared" si="53"/>
        <v/>
      </c>
      <c r="BT85" s="36" t="str">
        <f t="shared" si="54"/>
        <v/>
      </c>
      <c r="BU85" s="36" t="str">
        <f t="shared" si="55"/>
        <v/>
      </c>
      <c r="BV85" s="36" t="str">
        <f t="shared" si="56"/>
        <v/>
      </c>
      <c r="BW85" s="36" t="str">
        <f t="shared" si="57"/>
        <v/>
      </c>
      <c r="BX85" s="36" t="str">
        <f t="shared" si="58"/>
        <v/>
      </c>
      <c r="BY85" s="36" t="str">
        <f t="shared" si="59"/>
        <v/>
      </c>
      <c r="BZ85" s="36" t="str">
        <f t="shared" si="60"/>
        <v/>
      </c>
      <c r="CA85" s="36" t="str">
        <f t="shared" si="61"/>
        <v/>
      </c>
      <c r="CB85" s="36" t="str">
        <f t="shared" si="62"/>
        <v/>
      </c>
      <c r="CC85" s="27" t="str">
        <f t="shared" si="63"/>
        <v/>
      </c>
      <c r="CE85" s="3" t="str">
        <f t="array" ref="CE85">IFERROR(INDEX(TRAS1B1,SMALL(IF(FREQUENCY(IF(TRAS1B1&lt;&gt;"",MATCH(ROW(TRAS1B1),ROW(TRAS1B1)),""),MATCH(ROW(TRAS1B1),ROW(TRAS1B1)))&gt;0,MATCH(ROW(TRAS1B1),ROW(TRAS1B1)),""),ROW(BD69)),COLUMN(BD69)),"")</f>
        <v/>
      </c>
      <c r="CF85" s="36" t="str">
        <f t="array" ref="CF85">IFERROR(INDEX(TRAS1B2,SMALL(IF(FREQUENCY(IF(TRAS1B2&lt;&gt;"",MATCH(ROW(TRAS1B2),ROW(TRAS1B2)),""),MATCH(ROW(TRAS1B2),ROW(TRAS1B2)))&gt;0,MATCH(ROW(TRAS1B2),ROW(TRAS1B2)),""),ROW(BD69)),COLUMN(BD69)),"")</f>
        <v/>
      </c>
      <c r="CG85" s="36" t="str">
        <f t="array" ref="CG85">IFERROR(INDEX(TRAS1B3,SMALL(IF(FREQUENCY(IF(TRAS1B3&lt;&gt;"",MATCH(ROW(TRAS1B3),ROW(TRAS1B3)),""),MATCH(ROW(TRAS1B3),ROW(TRAS1B3)))&gt;0,MATCH(ROW(TRAS1B3),ROW(TRAS1B3)),""),ROW(BD69)),COLUMN(BD69)),"")</f>
        <v/>
      </c>
      <c r="CH85" s="36" t="str">
        <f t="array" ref="CH85">IFERROR(INDEX(TRAS1B4,SMALL(IF(FREQUENCY(IF(TRAS1B4&lt;&gt;"",MATCH(ROW(TRAS1B4),ROW(TRAS1B4)),""),MATCH(ROW(TRAS1B4),ROW(TRAS1B4)))&gt;0,MATCH(ROW(TRAS1B4),ROW(TRAS1B4)),""),ROW(BD69)),COLUMN(BD69)),"")</f>
        <v/>
      </c>
      <c r="CI85" s="36" t="str">
        <f t="array" ref="CI85">IFERROR(INDEX(TRAS1B5,SMALL(IF(FREQUENCY(IF(TRAS1B5&lt;&gt;"",MATCH(ROW(TRAS1B5),ROW(TRAS1B5)),""),MATCH(ROW(TRAS1B5),ROW(TRAS1B5)))&gt;0,MATCH(ROW(TRAS1B5),ROW(TRAS1B5)),""),ROW(BD69)),COLUMN(BD69)),"")</f>
        <v/>
      </c>
      <c r="CJ85" s="36" t="str">
        <f t="array" ref="CJ85">IFERROR(INDEX(TRAS1B6,SMALL(IF(FREQUENCY(IF(TRAS1B6&lt;&gt;"",MATCH(ROW(TRAS1B6),ROW(TRAS1B6)),""),MATCH(ROW(TRAS1B6),ROW(TRAS1B6)))&gt;0,MATCH(ROW(TRAS1B6),ROW(TRAS1B6)),""),ROW(BD69)),COLUMN(BD69)),"")</f>
        <v/>
      </c>
      <c r="CK85" s="36" t="str">
        <f t="array" ref="CK85">IFERROR(INDEX(TRAS1B7,SMALL(IF(FREQUENCY(IF(TRAS1B7&lt;&gt;"",MATCH(ROW(TRAS1B7),ROW(TRAS1B7)),""),MATCH(ROW(TRAS1B7),ROW(TRAS1B7)))&gt;0,MATCH(ROW(TRAS1B7),ROW(TRAS1B7)),""),ROW(BD69)),COLUMN(BD69)),"")</f>
        <v/>
      </c>
      <c r="CL85" s="36" t="str">
        <f t="array" ref="CL85">IFERROR(INDEX(TRAS1B8,SMALL(IF(FREQUENCY(IF(TRAS1B8&lt;&gt;"",MATCH(ROW(TRAS1B8),ROW(TRAS1B8)),""),MATCH(ROW(TRAS1B8),ROW(TRAS1B8)))&gt;0,MATCH(ROW(TRAS1B8),ROW(TRAS1B8)),""),ROW(BD69)),COLUMN(BD69)),"")</f>
        <v/>
      </c>
      <c r="CM85" s="36" t="str">
        <f t="array" ref="CM85">IFERROR(INDEX(TRAS1B9,SMALL(IF(FREQUENCY(IF(TRAS1B9&lt;&gt;"",MATCH(ROW(TRAS1B9),ROW(TRAS1B9)),""),MATCH(ROW(TRAS1B9),ROW(TRAS1B9)))&gt;0,MATCH(ROW(TRAS1B9),ROW(TRAS1B9)),""),ROW(BD69)),COLUMN(BD69)),"")</f>
        <v/>
      </c>
      <c r="CN85" s="36" t="str">
        <f t="array" ref="CN85">IFERROR(INDEX(TRAS1B10,SMALL(IF(FREQUENCY(IF(TRAS1B10&lt;&gt;"",MATCH(ROW(TRAS1B10),ROW(TRAS1B10)),""),MATCH(ROW(TRAS1B10),ROW(TRAS1B10)))&gt;0,MATCH(ROW(TRAS1B10),ROW(TRAS1B10)),""),ROW(BD69)),COLUMN(BD69)),"")</f>
        <v/>
      </c>
      <c r="CO85" s="36" t="str">
        <f t="array" ref="CO85">IFERROR(INDEX(TRAS1B11,SMALL(IF(FREQUENCY(IF(TRAS1B11&lt;&gt;"",MATCH(ROW(TRAS1B11),ROW(TRAS1B11)),""),MATCH(ROW(TRAS1B11),ROW(TRAS1B11)))&gt;0,MATCH(ROW(TRAS1B11),ROW(TRAS1B11)),""),ROW(BD69)),COLUMN(BD69)),"")</f>
        <v/>
      </c>
      <c r="CP85" s="27" t="str">
        <f t="array" ref="CP85">IFERROR(INDEX(TRAS1B12,SMALL(IF(FREQUENCY(IF(TRAS1B12&lt;&gt;"",MATCH(ROW(TRAS1B12),ROW(TRAS1B12)),""),MATCH(ROW(TRAS1B12),ROW(TRAS1B12)))&gt;0,MATCH(ROW(TRAS1B12),ROW(TRAS1B12)),""),ROW(BD69)),COLUMN(BD69)),"")</f>
        <v/>
      </c>
      <c r="CR85" s="3" t="str">
        <f t="shared" si="89"/>
        <v xml:space="preserve"> </v>
      </c>
      <c r="CS85" s="36" t="str">
        <f t="shared" si="64"/>
        <v xml:space="preserve"> </v>
      </c>
      <c r="CT85" s="36" t="str">
        <f t="shared" si="65"/>
        <v xml:space="preserve"> </v>
      </c>
      <c r="CU85" s="36" t="str">
        <f t="shared" si="66"/>
        <v xml:space="preserve"> </v>
      </c>
      <c r="CV85" s="36" t="str">
        <f t="shared" si="67"/>
        <v xml:space="preserve"> </v>
      </c>
      <c r="CW85" s="36" t="str">
        <f t="shared" si="68"/>
        <v xml:space="preserve"> </v>
      </c>
      <c r="CX85" s="36" t="str">
        <f t="shared" si="69"/>
        <v xml:space="preserve"> </v>
      </c>
      <c r="CY85" s="36" t="str">
        <f t="shared" si="70"/>
        <v xml:space="preserve"> </v>
      </c>
      <c r="CZ85" s="36" t="str">
        <f t="shared" si="71"/>
        <v xml:space="preserve"> </v>
      </c>
      <c r="DA85" s="36" t="str">
        <f t="shared" si="72"/>
        <v xml:space="preserve"> </v>
      </c>
      <c r="DB85" s="36" t="str">
        <f t="shared" si="73"/>
        <v xml:space="preserve"> </v>
      </c>
      <c r="DC85" s="27" t="str">
        <f t="shared" si="74"/>
        <v xml:space="preserve"> </v>
      </c>
    </row>
    <row r="86" spans="2:107" ht="13.5" customHeight="1" x14ac:dyDescent="0.35">
      <c r="B86" s="3" t="str">
        <v/>
      </c>
      <c r="C86" s="36" t="str">
        <v/>
      </c>
      <c r="D86" s="36" t="str">
        <v/>
      </c>
      <c r="E86" s="36" t="str">
        <v/>
      </c>
      <c r="F86" s="36" t="str">
        <v/>
      </c>
      <c r="G86" s="36" t="str">
        <v/>
      </c>
      <c r="H86" s="36" t="str">
        <v/>
      </c>
      <c r="I86" s="36" t="str">
        <v/>
      </c>
      <c r="J86" s="36" t="str">
        <v/>
      </c>
      <c r="K86" s="36" t="str">
        <v/>
      </c>
      <c r="L86" s="36" t="str">
        <v/>
      </c>
      <c r="M86" s="27" t="str">
        <v/>
      </c>
      <c r="O86" s="3" t="str">
        <f t="shared" si="75"/>
        <v/>
      </c>
      <c r="P86" s="36" t="str">
        <f t="shared" si="75"/>
        <v/>
      </c>
      <c r="Q86" s="36" t="str">
        <f t="shared" si="75"/>
        <v/>
      </c>
      <c r="R86" s="36" t="str">
        <f t="shared" si="75"/>
        <v/>
      </c>
      <c r="S86" s="36" t="str">
        <f t="shared" si="75"/>
        <v/>
      </c>
      <c r="T86" s="36" t="str">
        <f t="shared" si="75"/>
        <v/>
      </c>
      <c r="U86" s="36" t="str">
        <f t="shared" si="75"/>
        <v/>
      </c>
      <c r="V86" s="36" t="str">
        <f t="shared" si="75"/>
        <v/>
      </c>
      <c r="W86" s="36" t="str">
        <f t="shared" si="75"/>
        <v/>
      </c>
      <c r="X86" s="36" t="str">
        <f t="shared" si="75"/>
        <v/>
      </c>
      <c r="Y86" s="36" t="str">
        <f t="shared" si="75"/>
        <v/>
      </c>
      <c r="Z86" s="27" t="str">
        <f t="shared" si="75"/>
        <v/>
      </c>
      <c r="AB86" s="3" t="str">
        <f t="array" ref="AB86">IFERROR(INDEX(TRAS1B1,SMALL(IF(FREQUENCY(IF(TRAS1B1&lt;&gt;"",MATCH(ROW(TRAS1B1),ROW(TRAS1B1)),""),MATCH(ROW(TRAS1B1),ROW(TRAS1B1)))&gt;0,MATCH(ROW(TRAS1B1),ROW(TRAS1B1)),""),ROW(A23)),COLUMN(A23)),"")</f>
        <v/>
      </c>
      <c r="AC86" s="36" t="str">
        <f t="array" ref="AC86">IFERROR(INDEX(TRAS1B2,SMALL(IF(FREQUENCY(IF(TRAS1B2&lt;&gt;"",MATCH(ROW(TRAS1B2),ROW(TRAS1B2)),""),MATCH(ROW(TRAS1B2),ROW(TRAS1B2)))&gt;0,MATCH(ROW(TRAS1B2),ROW(TRAS1B2)),""),ROW(A23)),COLUMN(A23)),"")</f>
        <v/>
      </c>
      <c r="AD86" s="36" t="str">
        <f t="array" ref="AD86">IFERROR(INDEX(TRAS1B3,SMALL(IF(FREQUENCY(IF(TRAS1B3&lt;&gt;"",MATCH(ROW(TRAS1B3),ROW(TRAS1B3)),""),MATCH(ROW(TRAS1B3),ROW(TRAS1B3)))&gt;0,MATCH(ROW(TRAS1B3),ROW(TRAS1B3)),""),ROW(A23)),COLUMN(A23)),"")</f>
        <v/>
      </c>
      <c r="AE86" s="36" t="str">
        <f t="array" ref="AE86">IFERROR(INDEX(TRAS1B4,SMALL(IF(FREQUENCY(IF(TRAS1B4&lt;&gt;"",MATCH(ROW(TRAS1B4),ROW(TRAS1B4)),""),MATCH(ROW(TRAS1B4),ROW(TRAS1B4)))&gt;0,MATCH(ROW(TRAS1B4),ROW(TRAS1B4)),""),ROW(A23)),COLUMN(A23)),"")</f>
        <v/>
      </c>
      <c r="AF86" s="36" t="str">
        <f t="array" ref="AF86">IFERROR(INDEX(TRAS1B5,SMALL(IF(FREQUENCY(IF(TRAS1B5&lt;&gt;"",MATCH(ROW(TRAS1B5),ROW(TRAS1B5)),""),MATCH(ROW(TRAS1B5),ROW(TRAS1B5)))&gt;0,MATCH(ROW(TRAS1B5),ROW(TRAS1B5)),""),ROW(A23)),COLUMN(A23)),"")</f>
        <v/>
      </c>
      <c r="AG86" s="36" t="str">
        <f t="array" ref="AG86">IFERROR(INDEX(TRAS1B6,SMALL(IF(FREQUENCY(IF(TRAS1B6&lt;&gt;"",MATCH(ROW(TRAS1B6),ROW(TRAS1B6)),""),MATCH(ROW(TRAS1B6),ROW(TRAS1B6)))&gt;0,MATCH(ROW(TRAS1B6),ROW(TRAS1B6)),""),ROW(A23)),COLUMN(A23)),"")</f>
        <v/>
      </c>
      <c r="AH86" s="36" t="str">
        <f t="array" ref="AH86">IFERROR(INDEX(TRAS1B7,SMALL(IF(FREQUENCY(IF(TRAS1B7&lt;&gt;"",MATCH(ROW(TRAS1B7),ROW(TRAS1B7)),""),MATCH(ROW(TRAS1B7),ROW(TRAS1B7)))&gt;0,MATCH(ROW(TRAS1B7),ROW(TRAS1B7)),""),ROW(A23)),COLUMN(A23)),"")</f>
        <v/>
      </c>
      <c r="AI86" s="36" t="str">
        <f t="array" ref="AI86">IFERROR(INDEX(TRAS1B8,SMALL(IF(FREQUENCY(IF(TRAS1B8&lt;&gt;"",MATCH(ROW(TRAS1B8),ROW(TRAS1B8)),""),MATCH(ROW(TRAS1B8),ROW(TRAS1B8)))&gt;0,MATCH(ROW(TRAS1B8),ROW(TRAS1B8)),""),ROW(A23)),COLUMN(A23)),"")</f>
        <v/>
      </c>
      <c r="AJ86" s="36" t="str">
        <f t="array" ref="AJ86">IFERROR(INDEX(TRAS1B9,SMALL(IF(FREQUENCY(IF(TRAS1B9&lt;&gt;"",MATCH(ROW(TRAS1B9),ROW(TRAS1B9)),""),MATCH(ROW(TRAS1B9),ROW(TRAS1B9)))&gt;0,MATCH(ROW(TRAS1B9),ROW(TRAS1B9)),""),ROW(A23)),COLUMN(A23)),"")</f>
        <v/>
      </c>
      <c r="AK86" s="36" t="str">
        <f t="array" ref="AK86">IFERROR(INDEX(TRAS1B10,SMALL(IF(FREQUENCY(IF(TRAS1B10&lt;&gt;"",MATCH(ROW(TRAS1B10),ROW(TRAS1B10)),""),MATCH(ROW(TRAS1B10),ROW(TRAS1B10)))&gt;0,MATCH(ROW(TRAS1B10),ROW(TRAS1B10)),""),ROW(A23)),COLUMN(A23)),"")</f>
        <v/>
      </c>
      <c r="AL86" s="36" t="str">
        <f t="array" ref="AL86">IFERROR(INDEX(TRAS1B11,SMALL(IF(FREQUENCY(IF(TRAS1B11&lt;&gt;"",MATCH(ROW(TRAS1B11),ROW(TRAS1B11)),""),MATCH(ROW(TRAS1B11),ROW(TRAS1B11)))&gt;0,MATCH(ROW(TRAS1B11),ROW(TRAS1B11)),""),ROW(A23)),COLUMN(A23)),"")</f>
        <v/>
      </c>
      <c r="AM86" s="27" t="str">
        <f t="array" ref="AM86">IFERROR(INDEX(TRAS1B12,SMALL(IF(FREQUENCY(IF(TRAS1B12&lt;&gt;"",MATCH(ROW(TRAS1B12),ROW(TRAS1B12)),""),MATCH(ROW(TRAS1B12),ROW(TRAS1B12)))&gt;0,MATCH(ROW(TRAS1B12),ROW(TRAS1B12)),""),ROW(A23)),COLUMN(A23)),"")</f>
        <v/>
      </c>
      <c r="AO86" s="3" t="str">
        <f t="shared" si="76"/>
        <v xml:space="preserve"> </v>
      </c>
      <c r="AP86" s="36" t="str">
        <f t="shared" si="77"/>
        <v xml:space="preserve"> </v>
      </c>
      <c r="AQ86" s="36" t="str">
        <f t="shared" si="78"/>
        <v xml:space="preserve"> </v>
      </c>
      <c r="AR86" s="36" t="str">
        <f t="shared" si="79"/>
        <v xml:space="preserve"> </v>
      </c>
      <c r="AS86" s="36" t="str">
        <f t="shared" si="80"/>
        <v xml:space="preserve"> </v>
      </c>
      <c r="AT86" s="36" t="str">
        <f t="shared" si="81"/>
        <v xml:space="preserve"> </v>
      </c>
      <c r="AU86" s="36" t="str">
        <f t="shared" si="82"/>
        <v xml:space="preserve"> </v>
      </c>
      <c r="AV86" s="36" t="str">
        <f t="shared" si="83"/>
        <v xml:space="preserve"> </v>
      </c>
      <c r="AW86" s="36" t="str">
        <f t="shared" si="84"/>
        <v xml:space="preserve"> </v>
      </c>
      <c r="AX86" s="36" t="str">
        <f t="shared" si="85"/>
        <v xml:space="preserve"> </v>
      </c>
      <c r="AY86" s="36" t="str">
        <f t="shared" si="86"/>
        <v xml:space="preserve"> </v>
      </c>
      <c r="AZ86" s="27" t="str">
        <f t="shared" si="87"/>
        <v xml:space="preserve"> </v>
      </c>
      <c r="BE86" s="3" t="str">
        <v/>
      </c>
      <c r="BF86" s="36" t="str">
        <v/>
      </c>
      <c r="BG86" s="36" t="str">
        <v/>
      </c>
      <c r="BH86" s="36" t="str">
        <v/>
      </c>
      <c r="BI86" s="36" t="str">
        <v/>
      </c>
      <c r="BJ86" s="36" t="str">
        <v/>
      </c>
      <c r="BK86" s="36" t="str">
        <v/>
      </c>
      <c r="BL86" s="36" t="str">
        <v/>
      </c>
      <c r="BM86" s="36" t="str">
        <v/>
      </c>
      <c r="BN86" s="36" t="str">
        <v/>
      </c>
      <c r="BO86" s="36" t="str">
        <v/>
      </c>
      <c r="BP86" s="27" t="str">
        <v/>
      </c>
      <c r="BR86" s="3" t="str">
        <f t="shared" si="88"/>
        <v/>
      </c>
      <c r="BS86" s="36" t="str">
        <f t="shared" si="53"/>
        <v/>
      </c>
      <c r="BT86" s="36" t="str">
        <f t="shared" si="54"/>
        <v/>
      </c>
      <c r="BU86" s="36" t="str">
        <f t="shared" si="55"/>
        <v/>
      </c>
      <c r="BV86" s="36" t="str">
        <f t="shared" si="56"/>
        <v/>
      </c>
      <c r="BW86" s="36" t="str">
        <f t="shared" si="57"/>
        <v/>
      </c>
      <c r="BX86" s="36" t="str">
        <f t="shared" si="58"/>
        <v/>
      </c>
      <c r="BY86" s="36" t="str">
        <f t="shared" si="59"/>
        <v/>
      </c>
      <c r="BZ86" s="36" t="str">
        <f t="shared" si="60"/>
        <v/>
      </c>
      <c r="CA86" s="36" t="str">
        <f t="shared" si="61"/>
        <v/>
      </c>
      <c r="CB86" s="36" t="str">
        <f t="shared" si="62"/>
        <v/>
      </c>
      <c r="CC86" s="27" t="str">
        <f t="shared" si="63"/>
        <v/>
      </c>
      <c r="CE86" s="3" t="str">
        <f t="array" ref="CE86">IFERROR(INDEX(TRAS1B1,SMALL(IF(FREQUENCY(IF(TRAS1B1&lt;&gt;"",MATCH(ROW(TRAS1B1),ROW(TRAS1B1)),""),MATCH(ROW(TRAS1B1),ROW(TRAS1B1)))&gt;0,MATCH(ROW(TRAS1B1),ROW(TRAS1B1)),""),ROW(BD70)),COLUMN(BD70)),"")</f>
        <v/>
      </c>
      <c r="CF86" s="36" t="str">
        <f t="array" ref="CF86">IFERROR(INDEX(TRAS1B2,SMALL(IF(FREQUENCY(IF(TRAS1B2&lt;&gt;"",MATCH(ROW(TRAS1B2),ROW(TRAS1B2)),""),MATCH(ROW(TRAS1B2),ROW(TRAS1B2)))&gt;0,MATCH(ROW(TRAS1B2),ROW(TRAS1B2)),""),ROW(BD70)),COLUMN(BD70)),"")</f>
        <v/>
      </c>
      <c r="CG86" s="36" t="str">
        <f t="array" ref="CG86">IFERROR(INDEX(TRAS1B3,SMALL(IF(FREQUENCY(IF(TRAS1B3&lt;&gt;"",MATCH(ROW(TRAS1B3),ROW(TRAS1B3)),""),MATCH(ROW(TRAS1B3),ROW(TRAS1B3)))&gt;0,MATCH(ROW(TRAS1B3),ROW(TRAS1B3)),""),ROW(BD70)),COLUMN(BD70)),"")</f>
        <v/>
      </c>
      <c r="CH86" s="36" t="str">
        <f t="array" ref="CH86">IFERROR(INDEX(TRAS1B4,SMALL(IF(FREQUENCY(IF(TRAS1B4&lt;&gt;"",MATCH(ROW(TRAS1B4),ROW(TRAS1B4)),""),MATCH(ROW(TRAS1B4),ROW(TRAS1B4)))&gt;0,MATCH(ROW(TRAS1B4),ROW(TRAS1B4)),""),ROW(BD70)),COLUMN(BD70)),"")</f>
        <v/>
      </c>
      <c r="CI86" s="36" t="str">
        <f t="array" ref="CI86">IFERROR(INDEX(TRAS1B5,SMALL(IF(FREQUENCY(IF(TRAS1B5&lt;&gt;"",MATCH(ROW(TRAS1B5),ROW(TRAS1B5)),""),MATCH(ROW(TRAS1B5),ROW(TRAS1B5)))&gt;0,MATCH(ROW(TRAS1B5),ROW(TRAS1B5)),""),ROW(BD70)),COLUMN(BD70)),"")</f>
        <v/>
      </c>
      <c r="CJ86" s="36" t="str">
        <f t="array" ref="CJ86">IFERROR(INDEX(TRAS1B6,SMALL(IF(FREQUENCY(IF(TRAS1B6&lt;&gt;"",MATCH(ROW(TRAS1B6),ROW(TRAS1B6)),""),MATCH(ROW(TRAS1B6),ROW(TRAS1B6)))&gt;0,MATCH(ROW(TRAS1B6),ROW(TRAS1B6)),""),ROW(BD70)),COLUMN(BD70)),"")</f>
        <v/>
      </c>
      <c r="CK86" s="36" t="str">
        <f t="array" ref="CK86">IFERROR(INDEX(TRAS1B7,SMALL(IF(FREQUENCY(IF(TRAS1B7&lt;&gt;"",MATCH(ROW(TRAS1B7),ROW(TRAS1B7)),""),MATCH(ROW(TRAS1B7),ROW(TRAS1B7)))&gt;0,MATCH(ROW(TRAS1B7),ROW(TRAS1B7)),""),ROW(BD70)),COLUMN(BD70)),"")</f>
        <v/>
      </c>
      <c r="CL86" s="36" t="str">
        <f t="array" ref="CL86">IFERROR(INDEX(TRAS1B8,SMALL(IF(FREQUENCY(IF(TRAS1B8&lt;&gt;"",MATCH(ROW(TRAS1B8),ROW(TRAS1B8)),""),MATCH(ROW(TRAS1B8),ROW(TRAS1B8)))&gt;0,MATCH(ROW(TRAS1B8),ROW(TRAS1B8)),""),ROW(BD70)),COLUMN(BD70)),"")</f>
        <v/>
      </c>
      <c r="CM86" s="36" t="str">
        <f t="array" ref="CM86">IFERROR(INDEX(TRAS1B9,SMALL(IF(FREQUENCY(IF(TRAS1B9&lt;&gt;"",MATCH(ROW(TRAS1B9),ROW(TRAS1B9)),""),MATCH(ROW(TRAS1B9),ROW(TRAS1B9)))&gt;0,MATCH(ROW(TRAS1B9),ROW(TRAS1B9)),""),ROW(BD70)),COLUMN(BD70)),"")</f>
        <v/>
      </c>
      <c r="CN86" s="36" t="str">
        <f t="array" ref="CN86">IFERROR(INDEX(TRAS1B10,SMALL(IF(FREQUENCY(IF(TRAS1B10&lt;&gt;"",MATCH(ROW(TRAS1B10),ROW(TRAS1B10)),""),MATCH(ROW(TRAS1B10),ROW(TRAS1B10)))&gt;0,MATCH(ROW(TRAS1B10),ROW(TRAS1B10)),""),ROW(BD70)),COLUMN(BD70)),"")</f>
        <v/>
      </c>
      <c r="CO86" s="36" t="str">
        <f t="array" ref="CO86">IFERROR(INDEX(TRAS1B11,SMALL(IF(FREQUENCY(IF(TRAS1B11&lt;&gt;"",MATCH(ROW(TRAS1B11),ROW(TRAS1B11)),""),MATCH(ROW(TRAS1B11),ROW(TRAS1B11)))&gt;0,MATCH(ROW(TRAS1B11),ROW(TRAS1B11)),""),ROW(BD70)),COLUMN(BD70)),"")</f>
        <v/>
      </c>
      <c r="CP86" s="27" t="str">
        <f t="array" ref="CP86">IFERROR(INDEX(TRAS1B12,SMALL(IF(FREQUENCY(IF(TRAS1B12&lt;&gt;"",MATCH(ROW(TRAS1B12),ROW(TRAS1B12)),""),MATCH(ROW(TRAS1B12),ROW(TRAS1B12)))&gt;0,MATCH(ROW(TRAS1B12),ROW(TRAS1B12)),""),ROW(BD70)),COLUMN(BD70)),"")</f>
        <v/>
      </c>
      <c r="CR86" s="3" t="str">
        <f t="shared" si="89"/>
        <v xml:space="preserve"> </v>
      </c>
      <c r="CS86" s="36" t="str">
        <f t="shared" si="64"/>
        <v xml:space="preserve"> </v>
      </c>
      <c r="CT86" s="36" t="str">
        <f t="shared" si="65"/>
        <v xml:space="preserve"> </v>
      </c>
      <c r="CU86" s="36" t="str">
        <f t="shared" si="66"/>
        <v xml:space="preserve"> </v>
      </c>
      <c r="CV86" s="36" t="str">
        <f t="shared" si="67"/>
        <v xml:space="preserve"> </v>
      </c>
      <c r="CW86" s="36" t="str">
        <f t="shared" si="68"/>
        <v xml:space="preserve"> </v>
      </c>
      <c r="CX86" s="36" t="str">
        <f t="shared" si="69"/>
        <v xml:space="preserve"> </v>
      </c>
      <c r="CY86" s="36" t="str">
        <f t="shared" si="70"/>
        <v xml:space="preserve"> </v>
      </c>
      <c r="CZ86" s="36" t="str">
        <f t="shared" si="71"/>
        <v xml:space="preserve"> </v>
      </c>
      <c r="DA86" s="36" t="str">
        <f t="shared" si="72"/>
        <v xml:space="preserve"> </v>
      </c>
      <c r="DB86" s="36" t="str">
        <f t="shared" si="73"/>
        <v xml:space="preserve"> </v>
      </c>
      <c r="DC86" s="27" t="str">
        <f t="shared" si="74"/>
        <v xml:space="preserve"> </v>
      </c>
    </row>
    <row r="87" spans="2:107" ht="13.5" customHeight="1" x14ac:dyDescent="0.35">
      <c r="B87" s="3" t="str">
        <v/>
      </c>
      <c r="C87" s="36" t="str">
        <v/>
      </c>
      <c r="D87" s="36" t="str">
        <v/>
      </c>
      <c r="E87" s="36" t="str">
        <v/>
      </c>
      <c r="F87" s="36" t="str">
        <v/>
      </c>
      <c r="G87" s="36" t="str">
        <v/>
      </c>
      <c r="H87" s="36" t="str">
        <v/>
      </c>
      <c r="I87" s="36" t="str">
        <v/>
      </c>
      <c r="J87" s="36" t="str">
        <v/>
      </c>
      <c r="K87" s="36" t="str">
        <v/>
      </c>
      <c r="L87" s="36" t="str">
        <v/>
      </c>
      <c r="M87" s="27" t="str">
        <v/>
      </c>
      <c r="O87" s="3" t="str">
        <f t="shared" si="75"/>
        <v/>
      </c>
      <c r="P87" s="36" t="str">
        <f t="shared" si="75"/>
        <v/>
      </c>
      <c r="Q87" s="36" t="str">
        <f t="shared" si="75"/>
        <v/>
      </c>
      <c r="R87" s="36" t="str">
        <f t="shared" si="75"/>
        <v/>
      </c>
      <c r="S87" s="36" t="str">
        <f t="shared" si="75"/>
        <v/>
      </c>
      <c r="T87" s="36" t="str">
        <f t="shared" si="75"/>
        <v/>
      </c>
      <c r="U87" s="36" t="str">
        <f t="shared" si="75"/>
        <v/>
      </c>
      <c r="V87" s="36" t="str">
        <f t="shared" si="75"/>
        <v/>
      </c>
      <c r="W87" s="36" t="str">
        <f t="shared" si="75"/>
        <v/>
      </c>
      <c r="X87" s="36" t="str">
        <f t="shared" si="75"/>
        <v/>
      </c>
      <c r="Y87" s="36" t="str">
        <f t="shared" si="75"/>
        <v/>
      </c>
      <c r="Z87" s="27" t="str">
        <f t="shared" si="75"/>
        <v/>
      </c>
      <c r="AB87" s="3" t="str">
        <f t="array" ref="AB87">IFERROR(INDEX(TRAS1B1,SMALL(IF(FREQUENCY(IF(TRAS1B1&lt;&gt;"",MATCH(ROW(TRAS1B1),ROW(TRAS1B1)),""),MATCH(ROW(TRAS1B1),ROW(TRAS1B1)))&gt;0,MATCH(ROW(TRAS1B1),ROW(TRAS1B1)),""),ROW(A24)),COLUMN(A24)),"")</f>
        <v/>
      </c>
      <c r="AC87" s="36" t="str">
        <f t="array" ref="AC87">IFERROR(INDEX(TRAS1B2,SMALL(IF(FREQUENCY(IF(TRAS1B2&lt;&gt;"",MATCH(ROW(TRAS1B2),ROW(TRAS1B2)),""),MATCH(ROW(TRAS1B2),ROW(TRAS1B2)))&gt;0,MATCH(ROW(TRAS1B2),ROW(TRAS1B2)),""),ROW(A24)),COLUMN(A24)),"")</f>
        <v/>
      </c>
      <c r="AD87" s="36" t="str">
        <f t="array" ref="AD87">IFERROR(INDEX(TRAS1B3,SMALL(IF(FREQUENCY(IF(TRAS1B3&lt;&gt;"",MATCH(ROW(TRAS1B3),ROW(TRAS1B3)),""),MATCH(ROW(TRAS1B3),ROW(TRAS1B3)))&gt;0,MATCH(ROW(TRAS1B3),ROW(TRAS1B3)),""),ROW(A24)),COLUMN(A24)),"")</f>
        <v/>
      </c>
      <c r="AE87" s="36" t="str">
        <f t="array" ref="AE87">IFERROR(INDEX(TRAS1B4,SMALL(IF(FREQUENCY(IF(TRAS1B4&lt;&gt;"",MATCH(ROW(TRAS1B4),ROW(TRAS1B4)),""),MATCH(ROW(TRAS1B4),ROW(TRAS1B4)))&gt;0,MATCH(ROW(TRAS1B4),ROW(TRAS1B4)),""),ROW(A24)),COLUMN(A24)),"")</f>
        <v/>
      </c>
      <c r="AF87" s="36" t="str">
        <f t="array" ref="AF87">IFERROR(INDEX(TRAS1B5,SMALL(IF(FREQUENCY(IF(TRAS1B5&lt;&gt;"",MATCH(ROW(TRAS1B5),ROW(TRAS1B5)),""),MATCH(ROW(TRAS1B5),ROW(TRAS1B5)))&gt;0,MATCH(ROW(TRAS1B5),ROW(TRAS1B5)),""),ROW(A24)),COLUMN(A24)),"")</f>
        <v/>
      </c>
      <c r="AG87" s="36" t="str">
        <f t="array" ref="AG87">IFERROR(INDEX(TRAS1B6,SMALL(IF(FREQUENCY(IF(TRAS1B6&lt;&gt;"",MATCH(ROW(TRAS1B6),ROW(TRAS1B6)),""),MATCH(ROW(TRAS1B6),ROW(TRAS1B6)))&gt;0,MATCH(ROW(TRAS1B6),ROW(TRAS1B6)),""),ROW(A24)),COLUMN(A24)),"")</f>
        <v/>
      </c>
      <c r="AH87" s="36" t="str">
        <f t="array" ref="AH87">IFERROR(INDEX(TRAS1B7,SMALL(IF(FREQUENCY(IF(TRAS1B7&lt;&gt;"",MATCH(ROW(TRAS1B7),ROW(TRAS1B7)),""),MATCH(ROW(TRAS1B7),ROW(TRAS1B7)))&gt;0,MATCH(ROW(TRAS1B7),ROW(TRAS1B7)),""),ROW(A24)),COLUMN(A24)),"")</f>
        <v/>
      </c>
      <c r="AI87" s="36" t="str">
        <f t="array" ref="AI87">IFERROR(INDEX(TRAS1B8,SMALL(IF(FREQUENCY(IF(TRAS1B8&lt;&gt;"",MATCH(ROW(TRAS1B8),ROW(TRAS1B8)),""),MATCH(ROW(TRAS1B8),ROW(TRAS1B8)))&gt;0,MATCH(ROW(TRAS1B8),ROW(TRAS1B8)),""),ROW(A24)),COLUMN(A24)),"")</f>
        <v/>
      </c>
      <c r="AJ87" s="36" t="str">
        <f t="array" ref="AJ87">IFERROR(INDEX(TRAS1B9,SMALL(IF(FREQUENCY(IF(TRAS1B9&lt;&gt;"",MATCH(ROW(TRAS1B9),ROW(TRAS1B9)),""),MATCH(ROW(TRAS1B9),ROW(TRAS1B9)))&gt;0,MATCH(ROW(TRAS1B9),ROW(TRAS1B9)),""),ROW(A24)),COLUMN(A24)),"")</f>
        <v/>
      </c>
      <c r="AK87" s="36" t="str">
        <f t="array" ref="AK87">IFERROR(INDEX(TRAS1B10,SMALL(IF(FREQUENCY(IF(TRAS1B10&lt;&gt;"",MATCH(ROW(TRAS1B10),ROW(TRAS1B10)),""),MATCH(ROW(TRAS1B10),ROW(TRAS1B10)))&gt;0,MATCH(ROW(TRAS1B10),ROW(TRAS1B10)),""),ROW(A24)),COLUMN(A24)),"")</f>
        <v/>
      </c>
      <c r="AL87" s="36" t="str">
        <f t="array" ref="AL87">IFERROR(INDEX(TRAS1B11,SMALL(IF(FREQUENCY(IF(TRAS1B11&lt;&gt;"",MATCH(ROW(TRAS1B11),ROW(TRAS1B11)),""),MATCH(ROW(TRAS1B11),ROW(TRAS1B11)))&gt;0,MATCH(ROW(TRAS1B11),ROW(TRAS1B11)),""),ROW(A24)),COLUMN(A24)),"")</f>
        <v/>
      </c>
      <c r="AM87" s="27" t="str">
        <f t="array" ref="AM87">IFERROR(INDEX(TRAS1B12,SMALL(IF(FREQUENCY(IF(TRAS1B12&lt;&gt;"",MATCH(ROW(TRAS1B12),ROW(TRAS1B12)),""),MATCH(ROW(TRAS1B12),ROW(TRAS1B12)))&gt;0,MATCH(ROW(TRAS1B12),ROW(TRAS1B12)),""),ROW(A24)),COLUMN(A24)),"")</f>
        <v/>
      </c>
      <c r="AO87" s="3" t="str">
        <f t="shared" si="76"/>
        <v xml:space="preserve"> </v>
      </c>
      <c r="AP87" s="36" t="str">
        <f t="shared" si="77"/>
        <v xml:space="preserve"> </v>
      </c>
      <c r="AQ87" s="36" t="str">
        <f t="shared" si="78"/>
        <v xml:space="preserve"> </v>
      </c>
      <c r="AR87" s="36" t="str">
        <f t="shared" si="79"/>
        <v xml:space="preserve"> </v>
      </c>
      <c r="AS87" s="36" t="str">
        <f t="shared" si="80"/>
        <v xml:space="preserve"> </v>
      </c>
      <c r="AT87" s="36" t="str">
        <f t="shared" si="81"/>
        <v xml:space="preserve"> </v>
      </c>
      <c r="AU87" s="36" t="str">
        <f t="shared" si="82"/>
        <v xml:space="preserve"> </v>
      </c>
      <c r="AV87" s="36" t="str">
        <f t="shared" si="83"/>
        <v xml:space="preserve"> </v>
      </c>
      <c r="AW87" s="36" t="str">
        <f t="shared" si="84"/>
        <v xml:space="preserve"> </v>
      </c>
      <c r="AX87" s="36" t="str">
        <f t="shared" si="85"/>
        <v xml:space="preserve"> </v>
      </c>
      <c r="AY87" s="36" t="str">
        <f t="shared" si="86"/>
        <v xml:space="preserve"> </v>
      </c>
      <c r="AZ87" s="27" t="str">
        <f t="shared" si="87"/>
        <v xml:space="preserve"> </v>
      </c>
      <c r="BE87" s="3" t="str">
        <v/>
      </c>
      <c r="BF87" s="36" t="str">
        <v/>
      </c>
      <c r="BG87" s="36" t="str">
        <v/>
      </c>
      <c r="BH87" s="36" t="str">
        <v/>
      </c>
      <c r="BI87" s="36" t="str">
        <v/>
      </c>
      <c r="BJ87" s="36" t="str">
        <v/>
      </c>
      <c r="BK87" s="36" t="str">
        <v/>
      </c>
      <c r="BL87" s="36" t="str">
        <v/>
      </c>
      <c r="BM87" s="36" t="str">
        <v/>
      </c>
      <c r="BN87" s="36" t="str">
        <v/>
      </c>
      <c r="BO87" s="36" t="str">
        <v/>
      </c>
      <c r="BP87" s="27" t="str">
        <v/>
      </c>
      <c r="BR87" s="3" t="str">
        <f t="shared" si="88"/>
        <v/>
      </c>
      <c r="BS87" s="36" t="str">
        <f t="shared" si="53"/>
        <v/>
      </c>
      <c r="BT87" s="36" t="str">
        <f t="shared" si="54"/>
        <v/>
      </c>
      <c r="BU87" s="36" t="str">
        <f t="shared" si="55"/>
        <v/>
      </c>
      <c r="BV87" s="36" t="str">
        <f t="shared" si="56"/>
        <v/>
      </c>
      <c r="BW87" s="36" t="str">
        <f t="shared" si="57"/>
        <v/>
      </c>
      <c r="BX87" s="36" t="str">
        <f t="shared" si="58"/>
        <v/>
      </c>
      <c r="BY87" s="36" t="str">
        <f t="shared" si="59"/>
        <v/>
      </c>
      <c r="BZ87" s="36" t="str">
        <f t="shared" si="60"/>
        <v/>
      </c>
      <c r="CA87" s="36" t="str">
        <f t="shared" si="61"/>
        <v/>
      </c>
      <c r="CB87" s="36" t="str">
        <f t="shared" si="62"/>
        <v/>
      </c>
      <c r="CC87" s="27" t="str">
        <f t="shared" si="63"/>
        <v/>
      </c>
      <c r="CE87" s="3" t="str">
        <f t="array" ref="CE87">IFERROR(INDEX(TRAS1B1,SMALL(IF(FREQUENCY(IF(TRAS1B1&lt;&gt;"",MATCH(ROW(TRAS1B1),ROW(TRAS1B1)),""),MATCH(ROW(TRAS1B1),ROW(TRAS1B1)))&gt;0,MATCH(ROW(TRAS1B1),ROW(TRAS1B1)),""),ROW(BD71)),COLUMN(BD71)),"")</f>
        <v/>
      </c>
      <c r="CF87" s="36" t="str">
        <f t="array" ref="CF87">IFERROR(INDEX(TRAS1B2,SMALL(IF(FREQUENCY(IF(TRAS1B2&lt;&gt;"",MATCH(ROW(TRAS1B2),ROW(TRAS1B2)),""),MATCH(ROW(TRAS1B2),ROW(TRAS1B2)))&gt;0,MATCH(ROW(TRAS1B2),ROW(TRAS1B2)),""),ROW(BD71)),COLUMN(BD71)),"")</f>
        <v/>
      </c>
      <c r="CG87" s="36" t="str">
        <f t="array" ref="CG87">IFERROR(INDEX(TRAS1B3,SMALL(IF(FREQUENCY(IF(TRAS1B3&lt;&gt;"",MATCH(ROW(TRAS1B3),ROW(TRAS1B3)),""),MATCH(ROW(TRAS1B3),ROW(TRAS1B3)))&gt;0,MATCH(ROW(TRAS1B3),ROW(TRAS1B3)),""),ROW(BD71)),COLUMN(BD71)),"")</f>
        <v/>
      </c>
      <c r="CH87" s="36" t="str">
        <f t="array" ref="CH87">IFERROR(INDEX(TRAS1B4,SMALL(IF(FREQUENCY(IF(TRAS1B4&lt;&gt;"",MATCH(ROW(TRAS1B4),ROW(TRAS1B4)),""),MATCH(ROW(TRAS1B4),ROW(TRAS1B4)))&gt;0,MATCH(ROW(TRAS1B4),ROW(TRAS1B4)),""),ROW(BD71)),COLUMN(BD71)),"")</f>
        <v/>
      </c>
      <c r="CI87" s="36" t="str">
        <f t="array" ref="CI87">IFERROR(INDEX(TRAS1B5,SMALL(IF(FREQUENCY(IF(TRAS1B5&lt;&gt;"",MATCH(ROW(TRAS1B5),ROW(TRAS1B5)),""),MATCH(ROW(TRAS1B5),ROW(TRAS1B5)))&gt;0,MATCH(ROW(TRAS1B5),ROW(TRAS1B5)),""),ROW(BD71)),COLUMN(BD71)),"")</f>
        <v/>
      </c>
      <c r="CJ87" s="36" t="str">
        <f t="array" ref="CJ87">IFERROR(INDEX(TRAS1B6,SMALL(IF(FREQUENCY(IF(TRAS1B6&lt;&gt;"",MATCH(ROW(TRAS1B6),ROW(TRAS1B6)),""),MATCH(ROW(TRAS1B6),ROW(TRAS1B6)))&gt;0,MATCH(ROW(TRAS1B6),ROW(TRAS1B6)),""),ROW(BD71)),COLUMN(BD71)),"")</f>
        <v/>
      </c>
      <c r="CK87" s="36" t="str">
        <f t="array" ref="CK87">IFERROR(INDEX(TRAS1B7,SMALL(IF(FREQUENCY(IF(TRAS1B7&lt;&gt;"",MATCH(ROW(TRAS1B7),ROW(TRAS1B7)),""),MATCH(ROW(TRAS1B7),ROW(TRAS1B7)))&gt;0,MATCH(ROW(TRAS1B7),ROW(TRAS1B7)),""),ROW(BD71)),COLUMN(BD71)),"")</f>
        <v/>
      </c>
      <c r="CL87" s="36" t="str">
        <f t="array" ref="CL87">IFERROR(INDEX(TRAS1B8,SMALL(IF(FREQUENCY(IF(TRAS1B8&lt;&gt;"",MATCH(ROW(TRAS1B8),ROW(TRAS1B8)),""),MATCH(ROW(TRAS1B8),ROW(TRAS1B8)))&gt;0,MATCH(ROW(TRAS1B8),ROW(TRAS1B8)),""),ROW(BD71)),COLUMN(BD71)),"")</f>
        <v/>
      </c>
      <c r="CM87" s="36" t="str">
        <f t="array" ref="CM87">IFERROR(INDEX(TRAS1B9,SMALL(IF(FREQUENCY(IF(TRAS1B9&lt;&gt;"",MATCH(ROW(TRAS1B9),ROW(TRAS1B9)),""),MATCH(ROW(TRAS1B9),ROW(TRAS1B9)))&gt;0,MATCH(ROW(TRAS1B9),ROW(TRAS1B9)),""),ROW(BD71)),COLUMN(BD71)),"")</f>
        <v/>
      </c>
      <c r="CN87" s="36" t="str">
        <f t="array" ref="CN87">IFERROR(INDEX(TRAS1B10,SMALL(IF(FREQUENCY(IF(TRAS1B10&lt;&gt;"",MATCH(ROW(TRAS1B10),ROW(TRAS1B10)),""),MATCH(ROW(TRAS1B10),ROW(TRAS1B10)))&gt;0,MATCH(ROW(TRAS1B10),ROW(TRAS1B10)),""),ROW(BD71)),COLUMN(BD71)),"")</f>
        <v/>
      </c>
      <c r="CO87" s="36" t="str">
        <f t="array" ref="CO87">IFERROR(INDEX(TRAS1B11,SMALL(IF(FREQUENCY(IF(TRAS1B11&lt;&gt;"",MATCH(ROW(TRAS1B11),ROW(TRAS1B11)),""),MATCH(ROW(TRAS1B11),ROW(TRAS1B11)))&gt;0,MATCH(ROW(TRAS1B11),ROW(TRAS1B11)),""),ROW(BD71)),COLUMN(BD71)),"")</f>
        <v/>
      </c>
      <c r="CP87" s="27" t="str">
        <f t="array" ref="CP87">IFERROR(INDEX(TRAS1B12,SMALL(IF(FREQUENCY(IF(TRAS1B12&lt;&gt;"",MATCH(ROW(TRAS1B12),ROW(TRAS1B12)),""),MATCH(ROW(TRAS1B12),ROW(TRAS1B12)))&gt;0,MATCH(ROW(TRAS1B12),ROW(TRAS1B12)),""),ROW(BD71)),COLUMN(BD71)),"")</f>
        <v/>
      </c>
      <c r="CR87" s="3" t="str">
        <f t="shared" si="89"/>
        <v xml:space="preserve"> </v>
      </c>
      <c r="CS87" s="36" t="str">
        <f t="shared" si="64"/>
        <v xml:space="preserve"> </v>
      </c>
      <c r="CT87" s="36" t="str">
        <f t="shared" si="65"/>
        <v xml:space="preserve"> </v>
      </c>
      <c r="CU87" s="36" t="str">
        <f t="shared" si="66"/>
        <v xml:space="preserve"> </v>
      </c>
      <c r="CV87" s="36" t="str">
        <f t="shared" si="67"/>
        <v xml:space="preserve"> </v>
      </c>
      <c r="CW87" s="36" t="str">
        <f t="shared" si="68"/>
        <v xml:space="preserve"> </v>
      </c>
      <c r="CX87" s="36" t="str">
        <f t="shared" si="69"/>
        <v xml:space="preserve"> </v>
      </c>
      <c r="CY87" s="36" t="str">
        <f t="shared" si="70"/>
        <v xml:space="preserve"> </v>
      </c>
      <c r="CZ87" s="36" t="str">
        <f t="shared" si="71"/>
        <v xml:space="preserve"> </v>
      </c>
      <c r="DA87" s="36" t="str">
        <f t="shared" si="72"/>
        <v xml:space="preserve"> </v>
      </c>
      <c r="DB87" s="36" t="str">
        <f t="shared" si="73"/>
        <v xml:space="preserve"> </v>
      </c>
      <c r="DC87" s="27" t="str">
        <f t="shared" si="74"/>
        <v xml:space="preserve"> </v>
      </c>
    </row>
    <row r="88" spans="2:107" ht="13.5" customHeight="1" x14ac:dyDescent="0.35">
      <c r="B88" s="3" t="str">
        <v/>
      </c>
      <c r="C88" s="36" t="str">
        <v/>
      </c>
      <c r="D88" s="36" t="str">
        <v/>
      </c>
      <c r="E88" s="36" t="str">
        <v/>
      </c>
      <c r="F88" s="36" t="str">
        <v/>
      </c>
      <c r="G88" s="36" t="str">
        <v/>
      </c>
      <c r="H88" s="36" t="str">
        <v/>
      </c>
      <c r="I88" s="36" t="str">
        <v/>
      </c>
      <c r="J88" s="36" t="str">
        <v/>
      </c>
      <c r="K88" s="36" t="str">
        <v/>
      </c>
      <c r="L88" s="36" t="str">
        <v/>
      </c>
      <c r="M88" s="27" t="str">
        <v/>
      </c>
      <c r="O88" s="3" t="str">
        <f t="shared" si="75"/>
        <v/>
      </c>
      <c r="P88" s="36" t="str">
        <f t="shared" si="75"/>
        <v/>
      </c>
      <c r="Q88" s="36" t="str">
        <f t="shared" si="75"/>
        <v/>
      </c>
      <c r="R88" s="36" t="str">
        <f t="shared" si="75"/>
        <v/>
      </c>
      <c r="S88" s="36" t="str">
        <f t="shared" si="75"/>
        <v/>
      </c>
      <c r="T88" s="36" t="str">
        <f t="shared" si="75"/>
        <v/>
      </c>
      <c r="U88" s="36" t="str">
        <f t="shared" si="75"/>
        <v/>
      </c>
      <c r="V88" s="36" t="str">
        <f t="shared" si="75"/>
        <v/>
      </c>
      <c r="W88" s="36" t="str">
        <f t="shared" si="75"/>
        <v/>
      </c>
      <c r="X88" s="36" t="str">
        <f t="shared" si="75"/>
        <v/>
      </c>
      <c r="Y88" s="36" t="str">
        <f t="shared" si="75"/>
        <v/>
      </c>
      <c r="Z88" s="27" t="str">
        <f t="shared" si="75"/>
        <v/>
      </c>
      <c r="AB88" s="3" t="str">
        <f t="array" ref="AB88">IFERROR(INDEX(TRAS1B1,SMALL(IF(FREQUENCY(IF(TRAS1B1&lt;&gt;"",MATCH(ROW(TRAS1B1),ROW(TRAS1B1)),""),MATCH(ROW(TRAS1B1),ROW(TRAS1B1)))&gt;0,MATCH(ROW(TRAS1B1),ROW(TRAS1B1)),""),ROW(A25)),COLUMN(A25)),"")</f>
        <v/>
      </c>
      <c r="AC88" s="36" t="str">
        <f t="array" ref="AC88">IFERROR(INDEX(TRAS1B2,SMALL(IF(FREQUENCY(IF(TRAS1B2&lt;&gt;"",MATCH(ROW(TRAS1B2),ROW(TRAS1B2)),""),MATCH(ROW(TRAS1B2),ROW(TRAS1B2)))&gt;0,MATCH(ROW(TRAS1B2),ROW(TRAS1B2)),""),ROW(A25)),COLUMN(A25)),"")</f>
        <v/>
      </c>
      <c r="AD88" s="36" t="str">
        <f t="array" ref="AD88">IFERROR(INDEX(TRAS1B3,SMALL(IF(FREQUENCY(IF(TRAS1B3&lt;&gt;"",MATCH(ROW(TRAS1B3),ROW(TRAS1B3)),""),MATCH(ROW(TRAS1B3),ROW(TRAS1B3)))&gt;0,MATCH(ROW(TRAS1B3),ROW(TRAS1B3)),""),ROW(A25)),COLUMN(A25)),"")</f>
        <v/>
      </c>
      <c r="AE88" s="36" t="str">
        <f t="array" ref="AE88">IFERROR(INDEX(TRAS1B4,SMALL(IF(FREQUENCY(IF(TRAS1B4&lt;&gt;"",MATCH(ROW(TRAS1B4),ROW(TRAS1B4)),""),MATCH(ROW(TRAS1B4),ROW(TRAS1B4)))&gt;0,MATCH(ROW(TRAS1B4),ROW(TRAS1B4)),""),ROW(A25)),COLUMN(A25)),"")</f>
        <v/>
      </c>
      <c r="AF88" s="36" t="str">
        <f t="array" ref="AF88">IFERROR(INDEX(TRAS1B5,SMALL(IF(FREQUENCY(IF(TRAS1B5&lt;&gt;"",MATCH(ROW(TRAS1B5),ROW(TRAS1B5)),""),MATCH(ROW(TRAS1B5),ROW(TRAS1B5)))&gt;0,MATCH(ROW(TRAS1B5),ROW(TRAS1B5)),""),ROW(A25)),COLUMN(A25)),"")</f>
        <v/>
      </c>
      <c r="AG88" s="36" t="str">
        <f t="array" ref="AG88">IFERROR(INDEX(TRAS1B6,SMALL(IF(FREQUENCY(IF(TRAS1B6&lt;&gt;"",MATCH(ROW(TRAS1B6),ROW(TRAS1B6)),""),MATCH(ROW(TRAS1B6),ROW(TRAS1B6)))&gt;0,MATCH(ROW(TRAS1B6),ROW(TRAS1B6)),""),ROW(A25)),COLUMN(A25)),"")</f>
        <v/>
      </c>
      <c r="AH88" s="36" t="str">
        <f t="array" ref="AH88">IFERROR(INDEX(TRAS1B7,SMALL(IF(FREQUENCY(IF(TRAS1B7&lt;&gt;"",MATCH(ROW(TRAS1B7),ROW(TRAS1B7)),""),MATCH(ROW(TRAS1B7),ROW(TRAS1B7)))&gt;0,MATCH(ROW(TRAS1B7),ROW(TRAS1B7)),""),ROW(A25)),COLUMN(A25)),"")</f>
        <v/>
      </c>
      <c r="AI88" s="36" t="str">
        <f t="array" ref="AI88">IFERROR(INDEX(TRAS1B8,SMALL(IF(FREQUENCY(IF(TRAS1B8&lt;&gt;"",MATCH(ROW(TRAS1B8),ROW(TRAS1B8)),""),MATCH(ROW(TRAS1B8),ROW(TRAS1B8)))&gt;0,MATCH(ROW(TRAS1B8),ROW(TRAS1B8)),""),ROW(A25)),COLUMN(A25)),"")</f>
        <v/>
      </c>
      <c r="AJ88" s="36" t="str">
        <f t="array" ref="AJ88">IFERROR(INDEX(TRAS1B9,SMALL(IF(FREQUENCY(IF(TRAS1B9&lt;&gt;"",MATCH(ROW(TRAS1B9),ROW(TRAS1B9)),""),MATCH(ROW(TRAS1B9),ROW(TRAS1B9)))&gt;0,MATCH(ROW(TRAS1B9),ROW(TRAS1B9)),""),ROW(A25)),COLUMN(A25)),"")</f>
        <v/>
      </c>
      <c r="AK88" s="36" t="str">
        <f t="array" ref="AK88">IFERROR(INDEX(TRAS1B10,SMALL(IF(FREQUENCY(IF(TRAS1B10&lt;&gt;"",MATCH(ROW(TRAS1B10),ROW(TRAS1B10)),""),MATCH(ROW(TRAS1B10),ROW(TRAS1B10)))&gt;0,MATCH(ROW(TRAS1B10),ROW(TRAS1B10)),""),ROW(A25)),COLUMN(A25)),"")</f>
        <v/>
      </c>
      <c r="AL88" s="36" t="str">
        <f t="array" ref="AL88">IFERROR(INDEX(TRAS1B11,SMALL(IF(FREQUENCY(IF(TRAS1B11&lt;&gt;"",MATCH(ROW(TRAS1B11),ROW(TRAS1B11)),""),MATCH(ROW(TRAS1B11),ROW(TRAS1B11)))&gt;0,MATCH(ROW(TRAS1B11),ROW(TRAS1B11)),""),ROW(A25)),COLUMN(A25)),"")</f>
        <v/>
      </c>
      <c r="AM88" s="27" t="str">
        <f t="array" ref="AM88">IFERROR(INDEX(TRAS1B12,SMALL(IF(FREQUENCY(IF(TRAS1B12&lt;&gt;"",MATCH(ROW(TRAS1B12),ROW(TRAS1B12)),""),MATCH(ROW(TRAS1B12),ROW(TRAS1B12)))&gt;0,MATCH(ROW(TRAS1B12),ROW(TRAS1B12)),""),ROW(A25)),COLUMN(A25)),"")</f>
        <v/>
      </c>
      <c r="AO88" s="3" t="str">
        <f t="shared" si="76"/>
        <v xml:space="preserve"> </v>
      </c>
      <c r="AP88" s="36" t="str">
        <f t="shared" si="77"/>
        <v xml:space="preserve"> </v>
      </c>
      <c r="AQ88" s="36" t="str">
        <f t="shared" si="78"/>
        <v xml:space="preserve"> </v>
      </c>
      <c r="AR88" s="36" t="str">
        <f t="shared" si="79"/>
        <v xml:space="preserve"> </v>
      </c>
      <c r="AS88" s="36" t="str">
        <f t="shared" si="80"/>
        <v xml:space="preserve"> </v>
      </c>
      <c r="AT88" s="36" t="str">
        <f t="shared" si="81"/>
        <v xml:space="preserve"> </v>
      </c>
      <c r="AU88" s="36" t="str">
        <f t="shared" si="82"/>
        <v xml:space="preserve"> </v>
      </c>
      <c r="AV88" s="36" t="str">
        <f t="shared" si="83"/>
        <v xml:space="preserve"> </v>
      </c>
      <c r="AW88" s="36" t="str">
        <f t="shared" si="84"/>
        <v xml:space="preserve"> </v>
      </c>
      <c r="AX88" s="36" t="str">
        <f t="shared" si="85"/>
        <v xml:space="preserve"> </v>
      </c>
      <c r="AY88" s="36" t="str">
        <f t="shared" si="86"/>
        <v xml:space="preserve"> </v>
      </c>
      <c r="AZ88" s="27" t="str">
        <f t="shared" si="87"/>
        <v xml:space="preserve"> </v>
      </c>
      <c r="BE88" s="3" t="str">
        <v/>
      </c>
      <c r="BF88" s="36" t="str">
        <v/>
      </c>
      <c r="BG88" s="36" t="str">
        <v/>
      </c>
      <c r="BH88" s="36" t="str">
        <v/>
      </c>
      <c r="BI88" s="36" t="str">
        <v/>
      </c>
      <c r="BJ88" s="36" t="str">
        <v/>
      </c>
      <c r="BK88" s="36" t="str">
        <v/>
      </c>
      <c r="BL88" s="36" t="str">
        <v/>
      </c>
      <c r="BM88" s="36" t="str">
        <v/>
      </c>
      <c r="BN88" s="36" t="str">
        <v/>
      </c>
      <c r="BO88" s="36" t="str">
        <v/>
      </c>
      <c r="BP88" s="27" t="str">
        <v/>
      </c>
      <c r="BR88" s="3" t="str">
        <f t="shared" si="88"/>
        <v/>
      </c>
      <c r="BS88" s="36" t="str">
        <f t="shared" si="53"/>
        <v/>
      </c>
      <c r="BT88" s="36" t="str">
        <f t="shared" si="54"/>
        <v/>
      </c>
      <c r="BU88" s="36" t="str">
        <f t="shared" si="55"/>
        <v/>
      </c>
      <c r="BV88" s="36" t="str">
        <f t="shared" si="56"/>
        <v/>
      </c>
      <c r="BW88" s="36" t="str">
        <f t="shared" si="57"/>
        <v/>
      </c>
      <c r="BX88" s="36" t="str">
        <f t="shared" si="58"/>
        <v/>
      </c>
      <c r="BY88" s="36" t="str">
        <f t="shared" si="59"/>
        <v/>
      </c>
      <c r="BZ88" s="36" t="str">
        <f t="shared" si="60"/>
        <v/>
      </c>
      <c r="CA88" s="36" t="str">
        <f t="shared" si="61"/>
        <v/>
      </c>
      <c r="CB88" s="36" t="str">
        <f t="shared" si="62"/>
        <v/>
      </c>
      <c r="CC88" s="27" t="str">
        <f t="shared" si="63"/>
        <v/>
      </c>
      <c r="CE88" s="3" t="str">
        <f t="array" ref="CE88">IFERROR(INDEX(TRAS1B1,SMALL(IF(FREQUENCY(IF(TRAS1B1&lt;&gt;"",MATCH(ROW(TRAS1B1),ROW(TRAS1B1)),""),MATCH(ROW(TRAS1B1),ROW(TRAS1B1)))&gt;0,MATCH(ROW(TRAS1B1),ROW(TRAS1B1)),""),ROW(BD72)),COLUMN(BD72)),"")</f>
        <v/>
      </c>
      <c r="CF88" s="36" t="str">
        <f t="array" ref="CF88">IFERROR(INDEX(TRAS1B2,SMALL(IF(FREQUENCY(IF(TRAS1B2&lt;&gt;"",MATCH(ROW(TRAS1B2),ROW(TRAS1B2)),""),MATCH(ROW(TRAS1B2),ROW(TRAS1B2)))&gt;0,MATCH(ROW(TRAS1B2),ROW(TRAS1B2)),""),ROW(BD72)),COLUMN(BD72)),"")</f>
        <v/>
      </c>
      <c r="CG88" s="36" t="str">
        <f t="array" ref="CG88">IFERROR(INDEX(TRAS1B3,SMALL(IF(FREQUENCY(IF(TRAS1B3&lt;&gt;"",MATCH(ROW(TRAS1B3),ROW(TRAS1B3)),""),MATCH(ROW(TRAS1B3),ROW(TRAS1B3)))&gt;0,MATCH(ROW(TRAS1B3),ROW(TRAS1B3)),""),ROW(BD72)),COLUMN(BD72)),"")</f>
        <v/>
      </c>
      <c r="CH88" s="36" t="str">
        <f t="array" ref="CH88">IFERROR(INDEX(TRAS1B4,SMALL(IF(FREQUENCY(IF(TRAS1B4&lt;&gt;"",MATCH(ROW(TRAS1B4),ROW(TRAS1B4)),""),MATCH(ROW(TRAS1B4),ROW(TRAS1B4)))&gt;0,MATCH(ROW(TRAS1B4),ROW(TRAS1B4)),""),ROW(BD72)),COLUMN(BD72)),"")</f>
        <v/>
      </c>
      <c r="CI88" s="36" t="str">
        <f t="array" ref="CI88">IFERROR(INDEX(TRAS1B5,SMALL(IF(FREQUENCY(IF(TRAS1B5&lt;&gt;"",MATCH(ROW(TRAS1B5),ROW(TRAS1B5)),""),MATCH(ROW(TRAS1B5),ROW(TRAS1B5)))&gt;0,MATCH(ROW(TRAS1B5),ROW(TRAS1B5)),""),ROW(BD72)),COLUMN(BD72)),"")</f>
        <v/>
      </c>
      <c r="CJ88" s="36" t="str">
        <f t="array" ref="CJ88">IFERROR(INDEX(TRAS1B6,SMALL(IF(FREQUENCY(IF(TRAS1B6&lt;&gt;"",MATCH(ROW(TRAS1B6),ROW(TRAS1B6)),""),MATCH(ROW(TRAS1B6),ROW(TRAS1B6)))&gt;0,MATCH(ROW(TRAS1B6),ROW(TRAS1B6)),""),ROW(BD72)),COLUMN(BD72)),"")</f>
        <v/>
      </c>
      <c r="CK88" s="36" t="str">
        <f t="array" ref="CK88">IFERROR(INDEX(TRAS1B7,SMALL(IF(FREQUENCY(IF(TRAS1B7&lt;&gt;"",MATCH(ROW(TRAS1B7),ROW(TRAS1B7)),""),MATCH(ROW(TRAS1B7),ROW(TRAS1B7)))&gt;0,MATCH(ROW(TRAS1B7),ROW(TRAS1B7)),""),ROW(BD72)),COLUMN(BD72)),"")</f>
        <v/>
      </c>
      <c r="CL88" s="36" t="str">
        <f t="array" ref="CL88">IFERROR(INDEX(TRAS1B8,SMALL(IF(FREQUENCY(IF(TRAS1B8&lt;&gt;"",MATCH(ROW(TRAS1B8),ROW(TRAS1B8)),""),MATCH(ROW(TRAS1B8),ROW(TRAS1B8)))&gt;0,MATCH(ROW(TRAS1B8),ROW(TRAS1B8)),""),ROW(BD72)),COLUMN(BD72)),"")</f>
        <v/>
      </c>
      <c r="CM88" s="36" t="str">
        <f t="array" ref="CM88">IFERROR(INDEX(TRAS1B9,SMALL(IF(FREQUENCY(IF(TRAS1B9&lt;&gt;"",MATCH(ROW(TRAS1B9),ROW(TRAS1B9)),""),MATCH(ROW(TRAS1B9),ROW(TRAS1B9)))&gt;0,MATCH(ROW(TRAS1B9),ROW(TRAS1B9)),""),ROW(BD72)),COLUMN(BD72)),"")</f>
        <v/>
      </c>
      <c r="CN88" s="36" t="str">
        <f t="array" ref="CN88">IFERROR(INDEX(TRAS1B10,SMALL(IF(FREQUENCY(IF(TRAS1B10&lt;&gt;"",MATCH(ROW(TRAS1B10),ROW(TRAS1B10)),""),MATCH(ROW(TRAS1B10),ROW(TRAS1B10)))&gt;0,MATCH(ROW(TRAS1B10),ROW(TRAS1B10)),""),ROW(BD72)),COLUMN(BD72)),"")</f>
        <v/>
      </c>
      <c r="CO88" s="36" t="str">
        <f t="array" ref="CO88">IFERROR(INDEX(TRAS1B11,SMALL(IF(FREQUENCY(IF(TRAS1B11&lt;&gt;"",MATCH(ROW(TRAS1B11),ROW(TRAS1B11)),""),MATCH(ROW(TRAS1B11),ROW(TRAS1B11)))&gt;0,MATCH(ROW(TRAS1B11),ROW(TRAS1B11)),""),ROW(BD72)),COLUMN(BD72)),"")</f>
        <v/>
      </c>
      <c r="CP88" s="27" t="str">
        <f t="array" ref="CP88">IFERROR(INDEX(TRAS1B12,SMALL(IF(FREQUENCY(IF(TRAS1B12&lt;&gt;"",MATCH(ROW(TRAS1B12),ROW(TRAS1B12)),""),MATCH(ROW(TRAS1B12),ROW(TRAS1B12)))&gt;0,MATCH(ROW(TRAS1B12),ROW(TRAS1B12)),""),ROW(BD72)),COLUMN(BD72)),"")</f>
        <v/>
      </c>
      <c r="CR88" s="3" t="str">
        <f t="shared" si="89"/>
        <v xml:space="preserve"> </v>
      </c>
      <c r="CS88" s="36" t="str">
        <f t="shared" si="64"/>
        <v xml:space="preserve"> </v>
      </c>
      <c r="CT88" s="36" t="str">
        <f t="shared" si="65"/>
        <v xml:space="preserve"> </v>
      </c>
      <c r="CU88" s="36" t="str">
        <f t="shared" si="66"/>
        <v xml:space="preserve"> </v>
      </c>
      <c r="CV88" s="36" t="str">
        <f t="shared" si="67"/>
        <v xml:space="preserve"> </v>
      </c>
      <c r="CW88" s="36" t="str">
        <f t="shared" si="68"/>
        <v xml:space="preserve"> </v>
      </c>
      <c r="CX88" s="36" t="str">
        <f t="shared" si="69"/>
        <v xml:space="preserve"> </v>
      </c>
      <c r="CY88" s="36" t="str">
        <f t="shared" si="70"/>
        <v xml:space="preserve"> </v>
      </c>
      <c r="CZ88" s="36" t="str">
        <f t="shared" si="71"/>
        <v xml:space="preserve"> </v>
      </c>
      <c r="DA88" s="36" t="str">
        <f t="shared" si="72"/>
        <v xml:space="preserve"> </v>
      </c>
      <c r="DB88" s="36" t="str">
        <f t="shared" si="73"/>
        <v xml:space="preserve"> </v>
      </c>
      <c r="DC88" s="27" t="str">
        <f t="shared" si="74"/>
        <v xml:space="preserve"> </v>
      </c>
    </row>
    <row r="89" spans="2:107" ht="13.5" customHeight="1" x14ac:dyDescent="0.35">
      <c r="B89" s="3" t="str">
        <v/>
      </c>
      <c r="C89" s="36" t="str">
        <v/>
      </c>
      <c r="D89" s="36" t="str">
        <v/>
      </c>
      <c r="E89" s="36" t="str">
        <v/>
      </c>
      <c r="F89" s="36" t="str">
        <v/>
      </c>
      <c r="G89" s="36" t="str">
        <v/>
      </c>
      <c r="H89" s="36" t="str">
        <v/>
      </c>
      <c r="I89" s="36" t="str">
        <v/>
      </c>
      <c r="J89" s="36" t="str">
        <v/>
      </c>
      <c r="K89" s="36" t="str">
        <v/>
      </c>
      <c r="L89" s="36" t="str">
        <v/>
      </c>
      <c r="M89" s="27" t="str">
        <v/>
      </c>
      <c r="O89" s="3" t="str">
        <f t="shared" si="75"/>
        <v/>
      </c>
      <c r="P89" s="36" t="str">
        <f t="shared" si="75"/>
        <v/>
      </c>
      <c r="Q89" s="36" t="str">
        <f t="shared" si="75"/>
        <v/>
      </c>
      <c r="R89" s="36" t="str">
        <f t="shared" si="75"/>
        <v/>
      </c>
      <c r="S89" s="36" t="str">
        <f t="shared" si="75"/>
        <v/>
      </c>
      <c r="T89" s="36" t="str">
        <f t="shared" si="75"/>
        <v/>
      </c>
      <c r="U89" s="36" t="str">
        <f t="shared" si="75"/>
        <v/>
      </c>
      <c r="V89" s="36" t="str">
        <f t="shared" si="75"/>
        <v/>
      </c>
      <c r="W89" s="36" t="str">
        <f t="shared" si="75"/>
        <v/>
      </c>
      <c r="X89" s="36" t="str">
        <f t="shared" si="75"/>
        <v/>
      </c>
      <c r="Y89" s="36" t="str">
        <f t="shared" si="75"/>
        <v/>
      </c>
      <c r="Z89" s="27" t="str">
        <f t="shared" si="75"/>
        <v/>
      </c>
      <c r="AB89" s="3" t="str">
        <f t="array" ref="AB89">IFERROR(INDEX(TRAS1B1,SMALL(IF(FREQUENCY(IF(TRAS1B1&lt;&gt;"",MATCH(ROW(TRAS1B1),ROW(TRAS1B1)),""),MATCH(ROW(TRAS1B1),ROW(TRAS1B1)))&gt;0,MATCH(ROW(TRAS1B1),ROW(TRAS1B1)),""),ROW(A26)),COLUMN(A26)),"")</f>
        <v/>
      </c>
      <c r="AC89" s="36" t="str">
        <f t="array" ref="AC89">IFERROR(INDEX(TRAS1B2,SMALL(IF(FREQUENCY(IF(TRAS1B2&lt;&gt;"",MATCH(ROW(TRAS1B2),ROW(TRAS1B2)),""),MATCH(ROW(TRAS1B2),ROW(TRAS1B2)))&gt;0,MATCH(ROW(TRAS1B2),ROW(TRAS1B2)),""),ROW(A26)),COLUMN(A26)),"")</f>
        <v/>
      </c>
      <c r="AD89" s="36" t="str">
        <f t="array" ref="AD89">IFERROR(INDEX(TRAS1B3,SMALL(IF(FREQUENCY(IF(TRAS1B3&lt;&gt;"",MATCH(ROW(TRAS1B3),ROW(TRAS1B3)),""),MATCH(ROW(TRAS1B3),ROW(TRAS1B3)))&gt;0,MATCH(ROW(TRAS1B3),ROW(TRAS1B3)),""),ROW(A26)),COLUMN(A26)),"")</f>
        <v/>
      </c>
      <c r="AE89" s="36" t="str">
        <f t="array" ref="AE89">IFERROR(INDEX(TRAS1B4,SMALL(IF(FREQUENCY(IF(TRAS1B4&lt;&gt;"",MATCH(ROW(TRAS1B4),ROW(TRAS1B4)),""),MATCH(ROW(TRAS1B4),ROW(TRAS1B4)))&gt;0,MATCH(ROW(TRAS1B4),ROW(TRAS1B4)),""),ROW(A26)),COLUMN(A26)),"")</f>
        <v/>
      </c>
      <c r="AF89" s="36" t="str">
        <f t="array" ref="AF89">IFERROR(INDEX(TRAS1B5,SMALL(IF(FREQUENCY(IF(TRAS1B5&lt;&gt;"",MATCH(ROW(TRAS1B5),ROW(TRAS1B5)),""),MATCH(ROW(TRAS1B5),ROW(TRAS1B5)))&gt;0,MATCH(ROW(TRAS1B5),ROW(TRAS1B5)),""),ROW(A26)),COLUMN(A26)),"")</f>
        <v/>
      </c>
      <c r="AG89" s="36" t="str">
        <f t="array" ref="AG89">IFERROR(INDEX(TRAS1B6,SMALL(IF(FREQUENCY(IF(TRAS1B6&lt;&gt;"",MATCH(ROW(TRAS1B6),ROW(TRAS1B6)),""),MATCH(ROW(TRAS1B6),ROW(TRAS1B6)))&gt;0,MATCH(ROW(TRAS1B6),ROW(TRAS1B6)),""),ROW(A26)),COLUMN(A26)),"")</f>
        <v/>
      </c>
      <c r="AH89" s="36" t="str">
        <f t="array" ref="AH89">IFERROR(INDEX(TRAS1B7,SMALL(IF(FREQUENCY(IF(TRAS1B7&lt;&gt;"",MATCH(ROW(TRAS1B7),ROW(TRAS1B7)),""),MATCH(ROW(TRAS1B7),ROW(TRAS1B7)))&gt;0,MATCH(ROW(TRAS1B7),ROW(TRAS1B7)),""),ROW(A26)),COLUMN(A26)),"")</f>
        <v/>
      </c>
      <c r="AI89" s="36" t="str">
        <f t="array" ref="AI89">IFERROR(INDEX(TRAS1B8,SMALL(IF(FREQUENCY(IF(TRAS1B8&lt;&gt;"",MATCH(ROW(TRAS1B8),ROW(TRAS1B8)),""),MATCH(ROW(TRAS1B8),ROW(TRAS1B8)))&gt;0,MATCH(ROW(TRAS1B8),ROW(TRAS1B8)),""),ROW(A26)),COLUMN(A26)),"")</f>
        <v/>
      </c>
      <c r="AJ89" s="36" t="str">
        <f t="array" ref="AJ89">IFERROR(INDEX(TRAS1B9,SMALL(IF(FREQUENCY(IF(TRAS1B9&lt;&gt;"",MATCH(ROW(TRAS1B9),ROW(TRAS1B9)),""),MATCH(ROW(TRAS1B9),ROW(TRAS1B9)))&gt;0,MATCH(ROW(TRAS1B9),ROW(TRAS1B9)),""),ROW(A26)),COLUMN(A26)),"")</f>
        <v/>
      </c>
      <c r="AK89" s="36" t="str">
        <f t="array" ref="AK89">IFERROR(INDEX(TRAS1B10,SMALL(IF(FREQUENCY(IF(TRAS1B10&lt;&gt;"",MATCH(ROW(TRAS1B10),ROW(TRAS1B10)),""),MATCH(ROW(TRAS1B10),ROW(TRAS1B10)))&gt;0,MATCH(ROW(TRAS1B10),ROW(TRAS1B10)),""),ROW(A26)),COLUMN(A26)),"")</f>
        <v/>
      </c>
      <c r="AL89" s="36" t="str">
        <f t="array" ref="AL89">IFERROR(INDEX(TRAS1B11,SMALL(IF(FREQUENCY(IF(TRAS1B11&lt;&gt;"",MATCH(ROW(TRAS1B11),ROW(TRAS1B11)),""),MATCH(ROW(TRAS1B11),ROW(TRAS1B11)))&gt;0,MATCH(ROW(TRAS1B11),ROW(TRAS1B11)),""),ROW(A26)),COLUMN(A26)),"")</f>
        <v/>
      </c>
      <c r="AM89" s="27" t="str">
        <f t="array" ref="AM89">IFERROR(INDEX(TRAS1B12,SMALL(IF(FREQUENCY(IF(TRAS1B12&lt;&gt;"",MATCH(ROW(TRAS1B12),ROW(TRAS1B12)),""),MATCH(ROW(TRAS1B12),ROW(TRAS1B12)))&gt;0,MATCH(ROW(TRAS1B12),ROW(TRAS1B12)),""),ROW(A26)),COLUMN(A26)),"")</f>
        <v/>
      </c>
      <c r="AO89" s="3" t="str">
        <f t="shared" si="76"/>
        <v xml:space="preserve"> </v>
      </c>
      <c r="AP89" s="36" t="str">
        <f t="shared" si="77"/>
        <v xml:space="preserve"> </v>
      </c>
      <c r="AQ89" s="36" t="str">
        <f t="shared" si="78"/>
        <v xml:space="preserve"> </v>
      </c>
      <c r="AR89" s="36" t="str">
        <f t="shared" si="79"/>
        <v xml:space="preserve"> </v>
      </c>
      <c r="AS89" s="36" t="str">
        <f t="shared" si="80"/>
        <v xml:space="preserve"> </v>
      </c>
      <c r="AT89" s="36" t="str">
        <f t="shared" si="81"/>
        <v xml:space="preserve"> </v>
      </c>
      <c r="AU89" s="36" t="str">
        <f t="shared" si="82"/>
        <v xml:space="preserve"> </v>
      </c>
      <c r="AV89" s="36" t="str">
        <f t="shared" si="83"/>
        <v xml:space="preserve"> </v>
      </c>
      <c r="AW89" s="36" t="str">
        <f t="shared" si="84"/>
        <v xml:space="preserve"> </v>
      </c>
      <c r="AX89" s="36" t="str">
        <f t="shared" si="85"/>
        <v xml:space="preserve"> </v>
      </c>
      <c r="AY89" s="36" t="str">
        <f t="shared" si="86"/>
        <v xml:space="preserve"> </v>
      </c>
      <c r="AZ89" s="27" t="str">
        <f t="shared" si="87"/>
        <v xml:space="preserve"> </v>
      </c>
      <c r="BE89" s="3" t="str">
        <v/>
      </c>
      <c r="BF89" s="36" t="str">
        <v/>
      </c>
      <c r="BG89" s="36" t="str">
        <v/>
      </c>
      <c r="BH89" s="36" t="str">
        <v/>
      </c>
      <c r="BI89" s="36" t="str">
        <v/>
      </c>
      <c r="BJ89" s="36" t="str">
        <v/>
      </c>
      <c r="BK89" s="36" t="str">
        <v/>
      </c>
      <c r="BL89" s="36" t="str">
        <v/>
      </c>
      <c r="BM89" s="36" t="str">
        <v/>
      </c>
      <c r="BN89" s="36" t="str">
        <v/>
      </c>
      <c r="BO89" s="36" t="str">
        <v/>
      </c>
      <c r="BP89" s="27" t="str">
        <v/>
      </c>
      <c r="BR89" s="3" t="str">
        <f t="shared" si="88"/>
        <v/>
      </c>
      <c r="BS89" s="36" t="str">
        <f t="shared" si="53"/>
        <v/>
      </c>
      <c r="BT89" s="36" t="str">
        <f t="shared" si="54"/>
        <v/>
      </c>
      <c r="BU89" s="36" t="str">
        <f t="shared" si="55"/>
        <v/>
      </c>
      <c r="BV89" s="36" t="str">
        <f t="shared" si="56"/>
        <v/>
      </c>
      <c r="BW89" s="36" t="str">
        <f t="shared" si="57"/>
        <v/>
      </c>
      <c r="BX89" s="36" t="str">
        <f t="shared" si="58"/>
        <v/>
      </c>
      <c r="BY89" s="36" t="str">
        <f t="shared" si="59"/>
        <v/>
      </c>
      <c r="BZ89" s="36" t="str">
        <f t="shared" si="60"/>
        <v/>
      </c>
      <c r="CA89" s="36" t="str">
        <f t="shared" si="61"/>
        <v/>
      </c>
      <c r="CB89" s="36" t="str">
        <f t="shared" si="62"/>
        <v/>
      </c>
      <c r="CC89" s="27" t="str">
        <f t="shared" si="63"/>
        <v/>
      </c>
      <c r="CE89" s="3" t="str">
        <f t="array" ref="CE89">IFERROR(INDEX(TRAS1B1,SMALL(IF(FREQUENCY(IF(TRAS1B1&lt;&gt;"",MATCH(ROW(TRAS1B1),ROW(TRAS1B1)),""),MATCH(ROW(TRAS1B1),ROW(TRAS1B1)))&gt;0,MATCH(ROW(TRAS1B1),ROW(TRAS1B1)),""),ROW(BD73)),COLUMN(BD73)),"")</f>
        <v/>
      </c>
      <c r="CF89" s="36" t="str">
        <f t="array" ref="CF89">IFERROR(INDEX(TRAS1B2,SMALL(IF(FREQUENCY(IF(TRAS1B2&lt;&gt;"",MATCH(ROW(TRAS1B2),ROW(TRAS1B2)),""),MATCH(ROW(TRAS1B2),ROW(TRAS1B2)))&gt;0,MATCH(ROW(TRAS1B2),ROW(TRAS1B2)),""),ROW(BD73)),COLUMN(BD73)),"")</f>
        <v/>
      </c>
      <c r="CG89" s="36" t="str">
        <f t="array" ref="CG89">IFERROR(INDEX(TRAS1B3,SMALL(IF(FREQUENCY(IF(TRAS1B3&lt;&gt;"",MATCH(ROW(TRAS1B3),ROW(TRAS1B3)),""),MATCH(ROW(TRAS1B3),ROW(TRAS1B3)))&gt;0,MATCH(ROW(TRAS1B3),ROW(TRAS1B3)),""),ROW(BD73)),COLUMN(BD73)),"")</f>
        <v/>
      </c>
      <c r="CH89" s="36" t="str">
        <f t="array" ref="CH89">IFERROR(INDEX(TRAS1B4,SMALL(IF(FREQUENCY(IF(TRAS1B4&lt;&gt;"",MATCH(ROW(TRAS1B4),ROW(TRAS1B4)),""),MATCH(ROW(TRAS1B4),ROW(TRAS1B4)))&gt;0,MATCH(ROW(TRAS1B4),ROW(TRAS1B4)),""),ROW(BD73)),COLUMN(BD73)),"")</f>
        <v/>
      </c>
      <c r="CI89" s="36" t="str">
        <f t="array" ref="CI89">IFERROR(INDEX(TRAS1B5,SMALL(IF(FREQUENCY(IF(TRAS1B5&lt;&gt;"",MATCH(ROW(TRAS1B5),ROW(TRAS1B5)),""),MATCH(ROW(TRAS1B5),ROW(TRAS1B5)))&gt;0,MATCH(ROW(TRAS1B5),ROW(TRAS1B5)),""),ROW(BD73)),COLUMN(BD73)),"")</f>
        <v/>
      </c>
      <c r="CJ89" s="36" t="str">
        <f t="array" ref="CJ89">IFERROR(INDEX(TRAS1B6,SMALL(IF(FREQUENCY(IF(TRAS1B6&lt;&gt;"",MATCH(ROW(TRAS1B6),ROW(TRAS1B6)),""),MATCH(ROW(TRAS1B6),ROW(TRAS1B6)))&gt;0,MATCH(ROW(TRAS1B6),ROW(TRAS1B6)),""),ROW(BD73)),COLUMN(BD73)),"")</f>
        <v/>
      </c>
      <c r="CK89" s="36" t="str">
        <f t="array" ref="CK89">IFERROR(INDEX(TRAS1B7,SMALL(IF(FREQUENCY(IF(TRAS1B7&lt;&gt;"",MATCH(ROW(TRAS1B7),ROW(TRAS1B7)),""),MATCH(ROW(TRAS1B7),ROW(TRAS1B7)))&gt;0,MATCH(ROW(TRAS1B7),ROW(TRAS1B7)),""),ROW(BD73)),COLUMN(BD73)),"")</f>
        <v/>
      </c>
      <c r="CL89" s="36" t="str">
        <f t="array" ref="CL89">IFERROR(INDEX(TRAS1B8,SMALL(IF(FREQUENCY(IF(TRAS1B8&lt;&gt;"",MATCH(ROW(TRAS1B8),ROW(TRAS1B8)),""),MATCH(ROW(TRAS1B8),ROW(TRAS1B8)))&gt;0,MATCH(ROW(TRAS1B8),ROW(TRAS1B8)),""),ROW(BD73)),COLUMN(BD73)),"")</f>
        <v/>
      </c>
      <c r="CM89" s="36" t="str">
        <f t="array" ref="CM89">IFERROR(INDEX(TRAS1B9,SMALL(IF(FREQUENCY(IF(TRAS1B9&lt;&gt;"",MATCH(ROW(TRAS1B9),ROW(TRAS1B9)),""),MATCH(ROW(TRAS1B9),ROW(TRAS1B9)))&gt;0,MATCH(ROW(TRAS1B9),ROW(TRAS1B9)),""),ROW(BD73)),COLUMN(BD73)),"")</f>
        <v/>
      </c>
      <c r="CN89" s="36" t="str">
        <f t="array" ref="CN89">IFERROR(INDEX(TRAS1B10,SMALL(IF(FREQUENCY(IF(TRAS1B10&lt;&gt;"",MATCH(ROW(TRAS1B10),ROW(TRAS1B10)),""),MATCH(ROW(TRAS1B10),ROW(TRAS1B10)))&gt;0,MATCH(ROW(TRAS1B10),ROW(TRAS1B10)),""),ROW(BD73)),COLUMN(BD73)),"")</f>
        <v/>
      </c>
      <c r="CO89" s="36" t="str">
        <f t="array" ref="CO89">IFERROR(INDEX(TRAS1B11,SMALL(IF(FREQUENCY(IF(TRAS1B11&lt;&gt;"",MATCH(ROW(TRAS1B11),ROW(TRAS1B11)),""),MATCH(ROW(TRAS1B11),ROW(TRAS1B11)))&gt;0,MATCH(ROW(TRAS1B11),ROW(TRAS1B11)),""),ROW(BD73)),COLUMN(BD73)),"")</f>
        <v/>
      </c>
      <c r="CP89" s="27" t="str">
        <f t="array" ref="CP89">IFERROR(INDEX(TRAS1B12,SMALL(IF(FREQUENCY(IF(TRAS1B12&lt;&gt;"",MATCH(ROW(TRAS1B12),ROW(TRAS1B12)),""),MATCH(ROW(TRAS1B12),ROW(TRAS1B12)))&gt;0,MATCH(ROW(TRAS1B12),ROW(TRAS1B12)),""),ROW(BD73)),COLUMN(BD73)),"")</f>
        <v/>
      </c>
      <c r="CR89" s="3" t="str">
        <f t="shared" si="89"/>
        <v xml:space="preserve"> </v>
      </c>
      <c r="CS89" s="36" t="str">
        <f t="shared" si="64"/>
        <v xml:space="preserve"> </v>
      </c>
      <c r="CT89" s="36" t="str">
        <f t="shared" si="65"/>
        <v xml:space="preserve"> </v>
      </c>
      <c r="CU89" s="36" t="str">
        <f t="shared" si="66"/>
        <v xml:space="preserve"> </v>
      </c>
      <c r="CV89" s="36" t="str">
        <f t="shared" si="67"/>
        <v xml:space="preserve"> </v>
      </c>
      <c r="CW89" s="36" t="str">
        <f t="shared" si="68"/>
        <v xml:space="preserve"> </v>
      </c>
      <c r="CX89" s="36" t="str">
        <f t="shared" si="69"/>
        <v xml:space="preserve"> </v>
      </c>
      <c r="CY89" s="36" t="str">
        <f t="shared" si="70"/>
        <v xml:space="preserve"> </v>
      </c>
      <c r="CZ89" s="36" t="str">
        <f t="shared" si="71"/>
        <v xml:space="preserve"> </v>
      </c>
      <c r="DA89" s="36" t="str">
        <f t="shared" si="72"/>
        <v xml:space="preserve"> </v>
      </c>
      <c r="DB89" s="36" t="str">
        <f t="shared" si="73"/>
        <v xml:space="preserve"> </v>
      </c>
      <c r="DC89" s="27" t="str">
        <f t="shared" si="74"/>
        <v xml:space="preserve"> </v>
      </c>
    </row>
    <row r="90" spans="2:107" ht="13.5" customHeight="1" x14ac:dyDescent="0.35">
      <c r="B90" s="3" t="str">
        <v/>
      </c>
      <c r="C90" s="36" t="str">
        <v/>
      </c>
      <c r="D90" s="36" t="str">
        <v/>
      </c>
      <c r="E90" s="36" t="str">
        <v/>
      </c>
      <c r="F90" s="36" t="str">
        <v/>
      </c>
      <c r="G90" s="36" t="str">
        <v/>
      </c>
      <c r="H90" s="36" t="str">
        <v/>
      </c>
      <c r="I90" s="36" t="str">
        <v/>
      </c>
      <c r="J90" s="36" t="str">
        <v/>
      </c>
      <c r="K90" s="36" t="str">
        <v/>
      </c>
      <c r="L90" s="36" t="str">
        <v/>
      </c>
      <c r="M90" s="27" t="str">
        <v/>
      </c>
      <c r="O90" s="3" t="str">
        <f t="shared" si="75"/>
        <v/>
      </c>
      <c r="P90" s="36" t="str">
        <f t="shared" si="75"/>
        <v/>
      </c>
      <c r="Q90" s="36" t="str">
        <f t="shared" si="75"/>
        <v/>
      </c>
      <c r="R90" s="36" t="str">
        <f t="shared" si="75"/>
        <v/>
      </c>
      <c r="S90" s="36" t="str">
        <f t="shared" si="75"/>
        <v/>
      </c>
      <c r="T90" s="36" t="str">
        <f t="shared" si="75"/>
        <v/>
      </c>
      <c r="U90" s="36" t="str">
        <f t="shared" si="75"/>
        <v/>
      </c>
      <c r="V90" s="36" t="str">
        <f t="shared" si="75"/>
        <v/>
      </c>
      <c r="W90" s="36" t="str">
        <f t="shared" si="75"/>
        <v/>
      </c>
      <c r="X90" s="36" t="str">
        <f t="shared" si="75"/>
        <v/>
      </c>
      <c r="Y90" s="36" t="str">
        <f t="shared" si="75"/>
        <v/>
      </c>
      <c r="Z90" s="27" t="str">
        <f t="shared" si="75"/>
        <v/>
      </c>
      <c r="AB90" s="3" t="str">
        <f t="array" ref="AB90">IFERROR(INDEX(TRAS1B1,SMALL(IF(FREQUENCY(IF(TRAS1B1&lt;&gt;"",MATCH(ROW(TRAS1B1),ROW(TRAS1B1)),""),MATCH(ROW(TRAS1B1),ROW(TRAS1B1)))&gt;0,MATCH(ROW(TRAS1B1),ROW(TRAS1B1)),""),ROW(A27)),COLUMN(A27)),"")</f>
        <v/>
      </c>
      <c r="AC90" s="36" t="str">
        <f t="array" ref="AC90">IFERROR(INDEX(TRAS1B2,SMALL(IF(FREQUENCY(IF(TRAS1B2&lt;&gt;"",MATCH(ROW(TRAS1B2),ROW(TRAS1B2)),""),MATCH(ROW(TRAS1B2),ROW(TRAS1B2)))&gt;0,MATCH(ROW(TRAS1B2),ROW(TRAS1B2)),""),ROW(A27)),COLUMN(A27)),"")</f>
        <v/>
      </c>
      <c r="AD90" s="36" t="str">
        <f t="array" ref="AD90">IFERROR(INDEX(TRAS1B3,SMALL(IF(FREQUENCY(IF(TRAS1B3&lt;&gt;"",MATCH(ROW(TRAS1B3),ROW(TRAS1B3)),""),MATCH(ROW(TRAS1B3),ROW(TRAS1B3)))&gt;0,MATCH(ROW(TRAS1B3),ROW(TRAS1B3)),""),ROW(A27)),COLUMN(A27)),"")</f>
        <v/>
      </c>
      <c r="AE90" s="36" t="str">
        <f t="array" ref="AE90">IFERROR(INDEX(TRAS1B4,SMALL(IF(FREQUENCY(IF(TRAS1B4&lt;&gt;"",MATCH(ROW(TRAS1B4),ROW(TRAS1B4)),""),MATCH(ROW(TRAS1B4),ROW(TRAS1B4)))&gt;0,MATCH(ROW(TRAS1B4),ROW(TRAS1B4)),""),ROW(A27)),COLUMN(A27)),"")</f>
        <v/>
      </c>
      <c r="AF90" s="36" t="str">
        <f t="array" ref="AF90">IFERROR(INDEX(TRAS1B5,SMALL(IF(FREQUENCY(IF(TRAS1B5&lt;&gt;"",MATCH(ROW(TRAS1B5),ROW(TRAS1B5)),""),MATCH(ROW(TRAS1B5),ROW(TRAS1B5)))&gt;0,MATCH(ROW(TRAS1B5),ROW(TRAS1B5)),""),ROW(A27)),COLUMN(A27)),"")</f>
        <v/>
      </c>
      <c r="AG90" s="36" t="str">
        <f t="array" ref="AG90">IFERROR(INDEX(TRAS1B6,SMALL(IF(FREQUENCY(IF(TRAS1B6&lt;&gt;"",MATCH(ROW(TRAS1B6),ROW(TRAS1B6)),""),MATCH(ROW(TRAS1B6),ROW(TRAS1B6)))&gt;0,MATCH(ROW(TRAS1B6),ROW(TRAS1B6)),""),ROW(A27)),COLUMN(A27)),"")</f>
        <v/>
      </c>
      <c r="AH90" s="36" t="str">
        <f t="array" ref="AH90">IFERROR(INDEX(TRAS1B7,SMALL(IF(FREQUENCY(IF(TRAS1B7&lt;&gt;"",MATCH(ROW(TRAS1B7),ROW(TRAS1B7)),""),MATCH(ROW(TRAS1B7),ROW(TRAS1B7)))&gt;0,MATCH(ROW(TRAS1B7),ROW(TRAS1B7)),""),ROW(A27)),COLUMN(A27)),"")</f>
        <v/>
      </c>
      <c r="AI90" s="36" t="str">
        <f t="array" ref="AI90">IFERROR(INDEX(TRAS1B8,SMALL(IF(FREQUENCY(IF(TRAS1B8&lt;&gt;"",MATCH(ROW(TRAS1B8),ROW(TRAS1B8)),""),MATCH(ROW(TRAS1B8),ROW(TRAS1B8)))&gt;0,MATCH(ROW(TRAS1B8),ROW(TRAS1B8)),""),ROW(A27)),COLUMN(A27)),"")</f>
        <v/>
      </c>
      <c r="AJ90" s="36" t="str">
        <f t="array" ref="AJ90">IFERROR(INDEX(TRAS1B9,SMALL(IF(FREQUENCY(IF(TRAS1B9&lt;&gt;"",MATCH(ROW(TRAS1B9),ROW(TRAS1B9)),""),MATCH(ROW(TRAS1B9),ROW(TRAS1B9)))&gt;0,MATCH(ROW(TRAS1B9),ROW(TRAS1B9)),""),ROW(A27)),COLUMN(A27)),"")</f>
        <v/>
      </c>
      <c r="AK90" s="36" t="str">
        <f t="array" ref="AK90">IFERROR(INDEX(TRAS1B10,SMALL(IF(FREQUENCY(IF(TRAS1B10&lt;&gt;"",MATCH(ROW(TRAS1B10),ROW(TRAS1B10)),""),MATCH(ROW(TRAS1B10),ROW(TRAS1B10)))&gt;0,MATCH(ROW(TRAS1B10),ROW(TRAS1B10)),""),ROW(A27)),COLUMN(A27)),"")</f>
        <v/>
      </c>
      <c r="AL90" s="36" t="str">
        <f t="array" ref="AL90">IFERROR(INDEX(TRAS1B11,SMALL(IF(FREQUENCY(IF(TRAS1B11&lt;&gt;"",MATCH(ROW(TRAS1B11),ROW(TRAS1B11)),""),MATCH(ROW(TRAS1B11),ROW(TRAS1B11)))&gt;0,MATCH(ROW(TRAS1B11),ROW(TRAS1B11)),""),ROW(A27)),COLUMN(A27)),"")</f>
        <v/>
      </c>
      <c r="AM90" s="27" t="str">
        <f t="array" ref="AM90">IFERROR(INDEX(TRAS1B12,SMALL(IF(FREQUENCY(IF(TRAS1B12&lt;&gt;"",MATCH(ROW(TRAS1B12),ROW(TRAS1B12)),""),MATCH(ROW(TRAS1B12),ROW(TRAS1B12)))&gt;0,MATCH(ROW(TRAS1B12),ROW(TRAS1B12)),""),ROW(A27)),COLUMN(A27)),"")</f>
        <v/>
      </c>
      <c r="AO90" s="3" t="str">
        <f t="shared" si="76"/>
        <v xml:space="preserve"> </v>
      </c>
      <c r="AP90" s="36" t="str">
        <f t="shared" si="77"/>
        <v xml:space="preserve"> </v>
      </c>
      <c r="AQ90" s="36" t="str">
        <f t="shared" si="78"/>
        <v xml:space="preserve"> </v>
      </c>
      <c r="AR90" s="36" t="str">
        <f t="shared" si="79"/>
        <v xml:space="preserve"> </v>
      </c>
      <c r="AS90" s="36" t="str">
        <f t="shared" si="80"/>
        <v xml:space="preserve"> </v>
      </c>
      <c r="AT90" s="36" t="str">
        <f t="shared" si="81"/>
        <v xml:space="preserve"> </v>
      </c>
      <c r="AU90" s="36" t="str">
        <f t="shared" si="82"/>
        <v xml:space="preserve"> </v>
      </c>
      <c r="AV90" s="36" t="str">
        <f t="shared" si="83"/>
        <v xml:space="preserve"> </v>
      </c>
      <c r="AW90" s="36" t="str">
        <f t="shared" si="84"/>
        <v xml:space="preserve"> </v>
      </c>
      <c r="AX90" s="36" t="str">
        <f t="shared" si="85"/>
        <v xml:space="preserve"> </v>
      </c>
      <c r="AY90" s="36" t="str">
        <f t="shared" si="86"/>
        <v xml:space="preserve"> </v>
      </c>
      <c r="AZ90" s="27" t="str">
        <f t="shared" si="87"/>
        <v xml:space="preserve"> </v>
      </c>
      <c r="BE90" s="3" t="str">
        <v/>
      </c>
      <c r="BF90" s="36" t="str">
        <v/>
      </c>
      <c r="BG90" s="36" t="str">
        <v/>
      </c>
      <c r="BH90" s="36" t="str">
        <v/>
      </c>
      <c r="BI90" s="36" t="str">
        <v/>
      </c>
      <c r="BJ90" s="36" t="str">
        <v/>
      </c>
      <c r="BK90" s="36" t="str">
        <v/>
      </c>
      <c r="BL90" s="36" t="str">
        <v/>
      </c>
      <c r="BM90" s="36" t="str">
        <v/>
      </c>
      <c r="BN90" s="36" t="str">
        <v/>
      </c>
      <c r="BO90" s="36" t="str">
        <v/>
      </c>
      <c r="BP90" s="27" t="str">
        <v/>
      </c>
      <c r="BR90" s="3" t="str">
        <f t="shared" si="88"/>
        <v/>
      </c>
      <c r="BS90" s="36" t="str">
        <f t="shared" si="53"/>
        <v/>
      </c>
      <c r="BT90" s="36" t="str">
        <f t="shared" si="54"/>
        <v/>
      </c>
      <c r="BU90" s="36" t="str">
        <f t="shared" si="55"/>
        <v/>
      </c>
      <c r="BV90" s="36" t="str">
        <f t="shared" si="56"/>
        <v/>
      </c>
      <c r="BW90" s="36" t="str">
        <f t="shared" si="57"/>
        <v/>
      </c>
      <c r="BX90" s="36" t="str">
        <f t="shared" si="58"/>
        <v/>
      </c>
      <c r="BY90" s="36" t="str">
        <f t="shared" si="59"/>
        <v/>
      </c>
      <c r="BZ90" s="36" t="str">
        <f t="shared" si="60"/>
        <v/>
      </c>
      <c r="CA90" s="36" t="str">
        <f t="shared" si="61"/>
        <v/>
      </c>
      <c r="CB90" s="36" t="str">
        <f t="shared" si="62"/>
        <v/>
      </c>
      <c r="CC90" s="27" t="str">
        <f t="shared" si="63"/>
        <v/>
      </c>
      <c r="CE90" s="3" t="str">
        <f t="array" ref="CE90">IFERROR(INDEX(TRAS1B1,SMALL(IF(FREQUENCY(IF(TRAS1B1&lt;&gt;"",MATCH(ROW(TRAS1B1),ROW(TRAS1B1)),""),MATCH(ROW(TRAS1B1),ROW(TRAS1B1)))&gt;0,MATCH(ROW(TRAS1B1),ROW(TRAS1B1)),""),ROW(BD74)),COLUMN(BD74)),"")</f>
        <v/>
      </c>
      <c r="CF90" s="36" t="str">
        <f t="array" ref="CF90">IFERROR(INDEX(TRAS1B2,SMALL(IF(FREQUENCY(IF(TRAS1B2&lt;&gt;"",MATCH(ROW(TRAS1B2),ROW(TRAS1B2)),""),MATCH(ROW(TRAS1B2),ROW(TRAS1B2)))&gt;0,MATCH(ROW(TRAS1B2),ROW(TRAS1B2)),""),ROW(BD74)),COLUMN(BD74)),"")</f>
        <v/>
      </c>
      <c r="CG90" s="36" t="str">
        <f t="array" ref="CG90">IFERROR(INDEX(TRAS1B3,SMALL(IF(FREQUENCY(IF(TRAS1B3&lt;&gt;"",MATCH(ROW(TRAS1B3),ROW(TRAS1B3)),""),MATCH(ROW(TRAS1B3),ROW(TRAS1B3)))&gt;0,MATCH(ROW(TRAS1B3),ROW(TRAS1B3)),""),ROW(BD74)),COLUMN(BD74)),"")</f>
        <v/>
      </c>
      <c r="CH90" s="36" t="str">
        <f t="array" ref="CH90">IFERROR(INDEX(TRAS1B4,SMALL(IF(FREQUENCY(IF(TRAS1B4&lt;&gt;"",MATCH(ROW(TRAS1B4),ROW(TRAS1B4)),""),MATCH(ROW(TRAS1B4),ROW(TRAS1B4)))&gt;0,MATCH(ROW(TRAS1B4),ROW(TRAS1B4)),""),ROW(BD74)),COLUMN(BD74)),"")</f>
        <v/>
      </c>
      <c r="CI90" s="36" t="str">
        <f t="array" ref="CI90">IFERROR(INDEX(TRAS1B5,SMALL(IF(FREQUENCY(IF(TRAS1B5&lt;&gt;"",MATCH(ROW(TRAS1B5),ROW(TRAS1B5)),""),MATCH(ROW(TRAS1B5),ROW(TRAS1B5)))&gt;0,MATCH(ROW(TRAS1B5),ROW(TRAS1B5)),""),ROW(BD74)),COLUMN(BD74)),"")</f>
        <v/>
      </c>
      <c r="CJ90" s="36" t="str">
        <f t="array" ref="CJ90">IFERROR(INDEX(TRAS1B6,SMALL(IF(FREQUENCY(IF(TRAS1B6&lt;&gt;"",MATCH(ROW(TRAS1B6),ROW(TRAS1B6)),""),MATCH(ROW(TRAS1B6),ROW(TRAS1B6)))&gt;0,MATCH(ROW(TRAS1B6),ROW(TRAS1B6)),""),ROW(BD74)),COLUMN(BD74)),"")</f>
        <v/>
      </c>
      <c r="CK90" s="36" t="str">
        <f t="array" ref="CK90">IFERROR(INDEX(TRAS1B7,SMALL(IF(FREQUENCY(IF(TRAS1B7&lt;&gt;"",MATCH(ROW(TRAS1B7),ROW(TRAS1B7)),""),MATCH(ROW(TRAS1B7),ROW(TRAS1B7)))&gt;0,MATCH(ROW(TRAS1B7),ROW(TRAS1B7)),""),ROW(BD74)),COLUMN(BD74)),"")</f>
        <v/>
      </c>
      <c r="CL90" s="36" t="str">
        <f t="array" ref="CL90">IFERROR(INDEX(TRAS1B8,SMALL(IF(FREQUENCY(IF(TRAS1B8&lt;&gt;"",MATCH(ROW(TRAS1B8),ROW(TRAS1B8)),""),MATCH(ROW(TRAS1B8),ROW(TRAS1B8)))&gt;0,MATCH(ROW(TRAS1B8),ROW(TRAS1B8)),""),ROW(BD74)),COLUMN(BD74)),"")</f>
        <v/>
      </c>
      <c r="CM90" s="36" t="str">
        <f t="array" ref="CM90">IFERROR(INDEX(TRAS1B9,SMALL(IF(FREQUENCY(IF(TRAS1B9&lt;&gt;"",MATCH(ROW(TRAS1B9),ROW(TRAS1B9)),""),MATCH(ROW(TRAS1B9),ROW(TRAS1B9)))&gt;0,MATCH(ROW(TRAS1B9),ROW(TRAS1B9)),""),ROW(BD74)),COLUMN(BD74)),"")</f>
        <v/>
      </c>
      <c r="CN90" s="36" t="str">
        <f t="array" ref="CN90">IFERROR(INDEX(TRAS1B10,SMALL(IF(FREQUENCY(IF(TRAS1B10&lt;&gt;"",MATCH(ROW(TRAS1B10),ROW(TRAS1B10)),""),MATCH(ROW(TRAS1B10),ROW(TRAS1B10)))&gt;0,MATCH(ROW(TRAS1B10),ROW(TRAS1B10)),""),ROW(BD74)),COLUMN(BD74)),"")</f>
        <v/>
      </c>
      <c r="CO90" s="36" t="str">
        <f t="array" ref="CO90">IFERROR(INDEX(TRAS1B11,SMALL(IF(FREQUENCY(IF(TRAS1B11&lt;&gt;"",MATCH(ROW(TRAS1B11),ROW(TRAS1B11)),""),MATCH(ROW(TRAS1B11),ROW(TRAS1B11)))&gt;0,MATCH(ROW(TRAS1B11),ROW(TRAS1B11)),""),ROW(BD74)),COLUMN(BD74)),"")</f>
        <v/>
      </c>
      <c r="CP90" s="27" t="str">
        <f t="array" ref="CP90">IFERROR(INDEX(TRAS1B12,SMALL(IF(FREQUENCY(IF(TRAS1B12&lt;&gt;"",MATCH(ROW(TRAS1B12),ROW(TRAS1B12)),""),MATCH(ROW(TRAS1B12),ROW(TRAS1B12)))&gt;0,MATCH(ROW(TRAS1B12),ROW(TRAS1B12)),""),ROW(BD74)),COLUMN(BD74)),"")</f>
        <v/>
      </c>
      <c r="CR90" s="3" t="str">
        <f t="shared" si="89"/>
        <v xml:space="preserve"> </v>
      </c>
      <c r="CS90" s="36" t="str">
        <f t="shared" si="64"/>
        <v xml:space="preserve"> </v>
      </c>
      <c r="CT90" s="36" t="str">
        <f t="shared" si="65"/>
        <v xml:space="preserve"> </v>
      </c>
      <c r="CU90" s="36" t="str">
        <f t="shared" si="66"/>
        <v xml:space="preserve"> </v>
      </c>
      <c r="CV90" s="36" t="str">
        <f t="shared" si="67"/>
        <v xml:space="preserve"> </v>
      </c>
      <c r="CW90" s="36" t="str">
        <f t="shared" si="68"/>
        <v xml:space="preserve"> </v>
      </c>
      <c r="CX90" s="36" t="str">
        <f t="shared" si="69"/>
        <v xml:space="preserve"> </v>
      </c>
      <c r="CY90" s="36" t="str">
        <f t="shared" si="70"/>
        <v xml:space="preserve"> </v>
      </c>
      <c r="CZ90" s="36" t="str">
        <f t="shared" si="71"/>
        <v xml:space="preserve"> </v>
      </c>
      <c r="DA90" s="36" t="str">
        <f t="shared" si="72"/>
        <v xml:space="preserve"> </v>
      </c>
      <c r="DB90" s="36" t="str">
        <f t="shared" si="73"/>
        <v xml:space="preserve"> </v>
      </c>
      <c r="DC90" s="27" t="str">
        <f t="shared" si="74"/>
        <v xml:space="preserve"> </v>
      </c>
    </row>
    <row r="91" spans="2:107" ht="13.5" customHeight="1" x14ac:dyDescent="0.35">
      <c r="B91" s="3" t="str">
        <v/>
      </c>
      <c r="C91" s="36" t="str">
        <v/>
      </c>
      <c r="D91" s="36" t="str">
        <v/>
      </c>
      <c r="E91" s="36" t="str">
        <v/>
      </c>
      <c r="F91" s="36" t="str">
        <v/>
      </c>
      <c r="G91" s="36" t="str">
        <v/>
      </c>
      <c r="H91" s="36" t="str">
        <v/>
      </c>
      <c r="I91" s="36" t="str">
        <v/>
      </c>
      <c r="J91" s="36" t="str">
        <v/>
      </c>
      <c r="K91" s="36" t="str">
        <v/>
      </c>
      <c r="L91" s="36" t="str">
        <v/>
      </c>
      <c r="M91" s="27" t="str">
        <v/>
      </c>
      <c r="O91" s="3" t="str">
        <f t="shared" si="75"/>
        <v/>
      </c>
      <c r="P91" s="36" t="str">
        <f t="shared" si="75"/>
        <v/>
      </c>
      <c r="Q91" s="36" t="str">
        <f t="shared" si="75"/>
        <v/>
      </c>
      <c r="R91" s="36" t="str">
        <f t="shared" si="75"/>
        <v/>
      </c>
      <c r="S91" s="36" t="str">
        <f t="shared" si="75"/>
        <v/>
      </c>
      <c r="T91" s="36" t="str">
        <f t="shared" si="75"/>
        <v/>
      </c>
      <c r="U91" s="36" t="str">
        <f t="shared" si="75"/>
        <v/>
      </c>
      <c r="V91" s="36" t="str">
        <f t="shared" si="75"/>
        <v/>
      </c>
      <c r="W91" s="36" t="str">
        <f t="shared" si="75"/>
        <v/>
      </c>
      <c r="X91" s="36" t="str">
        <f t="shared" si="75"/>
        <v/>
      </c>
      <c r="Y91" s="36" t="str">
        <f t="shared" si="75"/>
        <v/>
      </c>
      <c r="Z91" s="27" t="str">
        <f t="shared" si="75"/>
        <v/>
      </c>
      <c r="AB91" s="3" t="str">
        <f t="array" ref="AB91">IFERROR(INDEX(TRAS1B1,SMALL(IF(FREQUENCY(IF(TRAS1B1&lt;&gt;"",MATCH(ROW(TRAS1B1),ROW(TRAS1B1)),""),MATCH(ROW(TRAS1B1),ROW(TRAS1B1)))&gt;0,MATCH(ROW(TRAS1B1),ROW(TRAS1B1)),""),ROW(A28)),COLUMN(A28)),"")</f>
        <v/>
      </c>
      <c r="AC91" s="36" t="str">
        <f t="array" ref="AC91">IFERROR(INDEX(TRAS1B2,SMALL(IF(FREQUENCY(IF(TRAS1B2&lt;&gt;"",MATCH(ROW(TRAS1B2),ROW(TRAS1B2)),""),MATCH(ROW(TRAS1B2),ROW(TRAS1B2)))&gt;0,MATCH(ROW(TRAS1B2),ROW(TRAS1B2)),""),ROW(A28)),COLUMN(A28)),"")</f>
        <v/>
      </c>
      <c r="AD91" s="36" t="str">
        <f t="array" ref="AD91">IFERROR(INDEX(TRAS1B3,SMALL(IF(FREQUENCY(IF(TRAS1B3&lt;&gt;"",MATCH(ROW(TRAS1B3),ROW(TRAS1B3)),""),MATCH(ROW(TRAS1B3),ROW(TRAS1B3)))&gt;0,MATCH(ROW(TRAS1B3),ROW(TRAS1B3)),""),ROW(A28)),COLUMN(A28)),"")</f>
        <v/>
      </c>
      <c r="AE91" s="36" t="str">
        <f t="array" ref="AE91">IFERROR(INDEX(TRAS1B4,SMALL(IF(FREQUENCY(IF(TRAS1B4&lt;&gt;"",MATCH(ROW(TRAS1B4),ROW(TRAS1B4)),""),MATCH(ROW(TRAS1B4),ROW(TRAS1B4)))&gt;0,MATCH(ROW(TRAS1B4),ROW(TRAS1B4)),""),ROW(A28)),COLUMN(A28)),"")</f>
        <v/>
      </c>
      <c r="AF91" s="36" t="str">
        <f t="array" ref="AF91">IFERROR(INDEX(TRAS1B5,SMALL(IF(FREQUENCY(IF(TRAS1B5&lt;&gt;"",MATCH(ROW(TRAS1B5),ROW(TRAS1B5)),""),MATCH(ROW(TRAS1B5),ROW(TRAS1B5)))&gt;0,MATCH(ROW(TRAS1B5),ROW(TRAS1B5)),""),ROW(A28)),COLUMN(A28)),"")</f>
        <v/>
      </c>
      <c r="AG91" s="36" t="str">
        <f t="array" ref="AG91">IFERROR(INDEX(TRAS1B6,SMALL(IF(FREQUENCY(IF(TRAS1B6&lt;&gt;"",MATCH(ROW(TRAS1B6),ROW(TRAS1B6)),""),MATCH(ROW(TRAS1B6),ROW(TRAS1B6)))&gt;0,MATCH(ROW(TRAS1B6),ROW(TRAS1B6)),""),ROW(A28)),COLUMN(A28)),"")</f>
        <v/>
      </c>
      <c r="AH91" s="36" t="str">
        <f t="array" ref="AH91">IFERROR(INDEX(TRAS1B7,SMALL(IF(FREQUENCY(IF(TRAS1B7&lt;&gt;"",MATCH(ROW(TRAS1B7),ROW(TRAS1B7)),""),MATCH(ROW(TRAS1B7),ROW(TRAS1B7)))&gt;0,MATCH(ROW(TRAS1B7),ROW(TRAS1B7)),""),ROW(A28)),COLUMN(A28)),"")</f>
        <v/>
      </c>
      <c r="AI91" s="36" t="str">
        <f t="array" ref="AI91">IFERROR(INDEX(TRAS1B8,SMALL(IF(FREQUENCY(IF(TRAS1B8&lt;&gt;"",MATCH(ROW(TRAS1B8),ROW(TRAS1B8)),""),MATCH(ROW(TRAS1B8),ROW(TRAS1B8)))&gt;0,MATCH(ROW(TRAS1B8),ROW(TRAS1B8)),""),ROW(A28)),COLUMN(A28)),"")</f>
        <v/>
      </c>
      <c r="AJ91" s="36" t="str">
        <f t="array" ref="AJ91">IFERROR(INDEX(TRAS1B9,SMALL(IF(FREQUENCY(IF(TRAS1B9&lt;&gt;"",MATCH(ROW(TRAS1B9),ROW(TRAS1B9)),""),MATCH(ROW(TRAS1B9),ROW(TRAS1B9)))&gt;0,MATCH(ROW(TRAS1B9),ROW(TRAS1B9)),""),ROW(A28)),COLUMN(A28)),"")</f>
        <v/>
      </c>
      <c r="AK91" s="36" t="str">
        <f t="array" ref="AK91">IFERROR(INDEX(TRAS1B10,SMALL(IF(FREQUENCY(IF(TRAS1B10&lt;&gt;"",MATCH(ROW(TRAS1B10),ROW(TRAS1B10)),""),MATCH(ROW(TRAS1B10),ROW(TRAS1B10)))&gt;0,MATCH(ROW(TRAS1B10),ROW(TRAS1B10)),""),ROW(A28)),COLUMN(A28)),"")</f>
        <v/>
      </c>
      <c r="AL91" s="36" t="str">
        <f t="array" ref="AL91">IFERROR(INDEX(TRAS1B11,SMALL(IF(FREQUENCY(IF(TRAS1B11&lt;&gt;"",MATCH(ROW(TRAS1B11),ROW(TRAS1B11)),""),MATCH(ROW(TRAS1B11),ROW(TRAS1B11)))&gt;0,MATCH(ROW(TRAS1B11),ROW(TRAS1B11)),""),ROW(A28)),COLUMN(A28)),"")</f>
        <v/>
      </c>
      <c r="AM91" s="27" t="str">
        <f t="array" ref="AM91">IFERROR(INDEX(TRAS1B12,SMALL(IF(FREQUENCY(IF(TRAS1B12&lt;&gt;"",MATCH(ROW(TRAS1B12),ROW(TRAS1B12)),""),MATCH(ROW(TRAS1B12),ROW(TRAS1B12)))&gt;0,MATCH(ROW(TRAS1B12),ROW(TRAS1B12)),""),ROW(A28)),COLUMN(A28)),"")</f>
        <v/>
      </c>
      <c r="AO91" s="3" t="str">
        <f t="shared" si="76"/>
        <v xml:space="preserve"> </v>
      </c>
      <c r="AP91" s="36" t="str">
        <f t="shared" si="77"/>
        <v xml:space="preserve"> </v>
      </c>
      <c r="AQ91" s="36" t="str">
        <f t="shared" si="78"/>
        <v xml:space="preserve"> </v>
      </c>
      <c r="AR91" s="36" t="str">
        <f t="shared" si="79"/>
        <v xml:space="preserve"> </v>
      </c>
      <c r="AS91" s="36" t="str">
        <f t="shared" si="80"/>
        <v xml:space="preserve"> </v>
      </c>
      <c r="AT91" s="36" t="str">
        <f t="shared" si="81"/>
        <v xml:space="preserve"> </v>
      </c>
      <c r="AU91" s="36" t="str">
        <f t="shared" si="82"/>
        <v xml:space="preserve"> </v>
      </c>
      <c r="AV91" s="36" t="str">
        <f t="shared" si="83"/>
        <v xml:space="preserve"> </v>
      </c>
      <c r="AW91" s="36" t="str">
        <f t="shared" si="84"/>
        <v xml:space="preserve"> </v>
      </c>
      <c r="AX91" s="36" t="str">
        <f t="shared" si="85"/>
        <v xml:space="preserve"> </v>
      </c>
      <c r="AY91" s="36" t="str">
        <f t="shared" si="86"/>
        <v xml:space="preserve"> </v>
      </c>
      <c r="AZ91" s="27" t="str">
        <f t="shared" si="87"/>
        <v xml:space="preserve"> </v>
      </c>
      <c r="BE91" s="3" t="str">
        <v/>
      </c>
      <c r="BF91" s="36" t="str">
        <v/>
      </c>
      <c r="BG91" s="36" t="str">
        <v/>
      </c>
      <c r="BH91" s="36" t="str">
        <v/>
      </c>
      <c r="BI91" s="36" t="str">
        <v/>
      </c>
      <c r="BJ91" s="36" t="str">
        <v/>
      </c>
      <c r="BK91" s="36" t="str">
        <v/>
      </c>
      <c r="BL91" s="36" t="str">
        <v/>
      </c>
      <c r="BM91" s="36" t="str">
        <v/>
      </c>
      <c r="BN91" s="36" t="str">
        <v/>
      </c>
      <c r="BO91" s="36" t="str">
        <v/>
      </c>
      <c r="BP91" s="27" t="str">
        <v/>
      </c>
      <c r="BR91" s="3" t="str">
        <f t="shared" si="88"/>
        <v/>
      </c>
      <c r="BS91" s="36" t="str">
        <f t="shared" si="53"/>
        <v/>
      </c>
      <c r="BT91" s="36" t="str">
        <f t="shared" si="54"/>
        <v/>
      </c>
      <c r="BU91" s="36" t="str">
        <f t="shared" si="55"/>
        <v/>
      </c>
      <c r="BV91" s="36" t="str">
        <f t="shared" si="56"/>
        <v/>
      </c>
      <c r="BW91" s="36" t="str">
        <f t="shared" si="57"/>
        <v/>
      </c>
      <c r="BX91" s="36" t="str">
        <f t="shared" si="58"/>
        <v/>
      </c>
      <c r="BY91" s="36" t="str">
        <f t="shared" si="59"/>
        <v/>
      </c>
      <c r="BZ91" s="36" t="str">
        <f t="shared" si="60"/>
        <v/>
      </c>
      <c r="CA91" s="36" t="str">
        <f t="shared" si="61"/>
        <v/>
      </c>
      <c r="CB91" s="36" t="str">
        <f t="shared" si="62"/>
        <v/>
      </c>
      <c r="CC91" s="27" t="str">
        <f t="shared" si="63"/>
        <v/>
      </c>
      <c r="CE91" s="3" t="str">
        <f t="array" ref="CE91">IFERROR(INDEX(TRAS1B1,SMALL(IF(FREQUENCY(IF(TRAS1B1&lt;&gt;"",MATCH(ROW(TRAS1B1),ROW(TRAS1B1)),""),MATCH(ROW(TRAS1B1),ROW(TRAS1B1)))&gt;0,MATCH(ROW(TRAS1B1),ROW(TRAS1B1)),""),ROW(BD75)),COLUMN(BD75)),"")</f>
        <v/>
      </c>
      <c r="CF91" s="36" t="str">
        <f t="array" ref="CF91">IFERROR(INDEX(TRAS1B2,SMALL(IF(FREQUENCY(IF(TRAS1B2&lt;&gt;"",MATCH(ROW(TRAS1B2),ROW(TRAS1B2)),""),MATCH(ROW(TRAS1B2),ROW(TRAS1B2)))&gt;0,MATCH(ROW(TRAS1B2),ROW(TRAS1B2)),""),ROW(BD75)),COLUMN(BD75)),"")</f>
        <v/>
      </c>
      <c r="CG91" s="36" t="str">
        <f t="array" ref="CG91">IFERROR(INDEX(TRAS1B3,SMALL(IF(FREQUENCY(IF(TRAS1B3&lt;&gt;"",MATCH(ROW(TRAS1B3),ROW(TRAS1B3)),""),MATCH(ROW(TRAS1B3),ROW(TRAS1B3)))&gt;0,MATCH(ROW(TRAS1B3),ROW(TRAS1B3)),""),ROW(BD75)),COLUMN(BD75)),"")</f>
        <v/>
      </c>
      <c r="CH91" s="36" t="str">
        <f t="array" ref="CH91">IFERROR(INDEX(TRAS1B4,SMALL(IF(FREQUENCY(IF(TRAS1B4&lt;&gt;"",MATCH(ROW(TRAS1B4),ROW(TRAS1B4)),""),MATCH(ROW(TRAS1B4),ROW(TRAS1B4)))&gt;0,MATCH(ROW(TRAS1B4),ROW(TRAS1B4)),""),ROW(BD75)),COLUMN(BD75)),"")</f>
        <v/>
      </c>
      <c r="CI91" s="36" t="str">
        <f t="array" ref="CI91">IFERROR(INDEX(TRAS1B5,SMALL(IF(FREQUENCY(IF(TRAS1B5&lt;&gt;"",MATCH(ROW(TRAS1B5),ROW(TRAS1B5)),""),MATCH(ROW(TRAS1B5),ROW(TRAS1B5)))&gt;0,MATCH(ROW(TRAS1B5),ROW(TRAS1B5)),""),ROW(BD75)),COLUMN(BD75)),"")</f>
        <v/>
      </c>
      <c r="CJ91" s="36" t="str">
        <f t="array" ref="CJ91">IFERROR(INDEX(TRAS1B6,SMALL(IF(FREQUENCY(IF(TRAS1B6&lt;&gt;"",MATCH(ROW(TRAS1B6),ROW(TRAS1B6)),""),MATCH(ROW(TRAS1B6),ROW(TRAS1B6)))&gt;0,MATCH(ROW(TRAS1B6),ROW(TRAS1B6)),""),ROW(BD75)),COLUMN(BD75)),"")</f>
        <v/>
      </c>
      <c r="CK91" s="36" t="str">
        <f t="array" ref="CK91">IFERROR(INDEX(TRAS1B7,SMALL(IF(FREQUENCY(IF(TRAS1B7&lt;&gt;"",MATCH(ROW(TRAS1B7),ROW(TRAS1B7)),""),MATCH(ROW(TRAS1B7),ROW(TRAS1B7)))&gt;0,MATCH(ROW(TRAS1B7),ROW(TRAS1B7)),""),ROW(BD75)),COLUMN(BD75)),"")</f>
        <v/>
      </c>
      <c r="CL91" s="36" t="str">
        <f t="array" ref="CL91">IFERROR(INDEX(TRAS1B8,SMALL(IF(FREQUENCY(IF(TRAS1B8&lt;&gt;"",MATCH(ROW(TRAS1B8),ROW(TRAS1B8)),""),MATCH(ROW(TRAS1B8),ROW(TRAS1B8)))&gt;0,MATCH(ROW(TRAS1B8),ROW(TRAS1B8)),""),ROW(BD75)),COLUMN(BD75)),"")</f>
        <v/>
      </c>
      <c r="CM91" s="36" t="str">
        <f t="array" ref="CM91">IFERROR(INDEX(TRAS1B9,SMALL(IF(FREQUENCY(IF(TRAS1B9&lt;&gt;"",MATCH(ROW(TRAS1B9),ROW(TRAS1B9)),""),MATCH(ROW(TRAS1B9),ROW(TRAS1B9)))&gt;0,MATCH(ROW(TRAS1B9),ROW(TRAS1B9)),""),ROW(BD75)),COLUMN(BD75)),"")</f>
        <v/>
      </c>
      <c r="CN91" s="36" t="str">
        <f t="array" ref="CN91">IFERROR(INDEX(TRAS1B10,SMALL(IF(FREQUENCY(IF(TRAS1B10&lt;&gt;"",MATCH(ROW(TRAS1B10),ROW(TRAS1B10)),""),MATCH(ROW(TRAS1B10),ROW(TRAS1B10)))&gt;0,MATCH(ROW(TRAS1B10),ROW(TRAS1B10)),""),ROW(BD75)),COLUMN(BD75)),"")</f>
        <v/>
      </c>
      <c r="CO91" s="36" t="str">
        <f t="array" ref="CO91">IFERROR(INDEX(TRAS1B11,SMALL(IF(FREQUENCY(IF(TRAS1B11&lt;&gt;"",MATCH(ROW(TRAS1B11),ROW(TRAS1B11)),""),MATCH(ROW(TRAS1B11),ROW(TRAS1B11)))&gt;0,MATCH(ROW(TRAS1B11),ROW(TRAS1B11)),""),ROW(BD75)),COLUMN(BD75)),"")</f>
        <v/>
      </c>
      <c r="CP91" s="27" t="str">
        <f t="array" ref="CP91">IFERROR(INDEX(TRAS1B12,SMALL(IF(FREQUENCY(IF(TRAS1B12&lt;&gt;"",MATCH(ROW(TRAS1B12),ROW(TRAS1B12)),""),MATCH(ROW(TRAS1B12),ROW(TRAS1B12)))&gt;0,MATCH(ROW(TRAS1B12),ROW(TRAS1B12)),""),ROW(BD75)),COLUMN(BD75)),"")</f>
        <v/>
      </c>
      <c r="CR91" s="3" t="str">
        <f t="shared" si="89"/>
        <v xml:space="preserve"> </v>
      </c>
      <c r="CS91" s="36" t="str">
        <f t="shared" si="64"/>
        <v xml:space="preserve"> </v>
      </c>
      <c r="CT91" s="36" t="str">
        <f t="shared" si="65"/>
        <v xml:space="preserve"> </v>
      </c>
      <c r="CU91" s="36" t="str">
        <f t="shared" si="66"/>
        <v xml:space="preserve"> </v>
      </c>
      <c r="CV91" s="36" t="str">
        <f t="shared" si="67"/>
        <v xml:space="preserve"> </v>
      </c>
      <c r="CW91" s="36" t="str">
        <f t="shared" si="68"/>
        <v xml:space="preserve"> </v>
      </c>
      <c r="CX91" s="36" t="str">
        <f t="shared" si="69"/>
        <v xml:space="preserve"> </v>
      </c>
      <c r="CY91" s="36" t="str">
        <f t="shared" si="70"/>
        <v xml:space="preserve"> </v>
      </c>
      <c r="CZ91" s="36" t="str">
        <f t="shared" si="71"/>
        <v xml:space="preserve"> </v>
      </c>
      <c r="DA91" s="36" t="str">
        <f t="shared" si="72"/>
        <v xml:space="preserve"> </v>
      </c>
      <c r="DB91" s="36" t="str">
        <f t="shared" si="73"/>
        <v xml:space="preserve"> </v>
      </c>
      <c r="DC91" s="27" t="str">
        <f t="shared" si="74"/>
        <v xml:space="preserve"> </v>
      </c>
    </row>
    <row r="92" spans="2:107" ht="13.5" customHeight="1" x14ac:dyDescent="0.35">
      <c r="B92" s="3" t="str">
        <v/>
      </c>
      <c r="C92" s="36" t="str">
        <v/>
      </c>
      <c r="D92" s="36" t="str">
        <v/>
      </c>
      <c r="E92" s="36" t="str">
        <v/>
      </c>
      <c r="F92" s="36" t="str">
        <v/>
      </c>
      <c r="G92" s="36" t="str">
        <v/>
      </c>
      <c r="H92" s="36" t="str">
        <v/>
      </c>
      <c r="I92" s="36" t="str">
        <v/>
      </c>
      <c r="J92" s="36" t="str">
        <v/>
      </c>
      <c r="K92" s="36" t="str">
        <v/>
      </c>
      <c r="L92" s="36" t="str">
        <v/>
      </c>
      <c r="M92" s="27" t="str">
        <v/>
      </c>
      <c r="O92" s="3" t="str">
        <f t="shared" si="75"/>
        <v/>
      </c>
      <c r="P92" s="36" t="str">
        <f t="shared" si="75"/>
        <v/>
      </c>
      <c r="Q92" s="36" t="str">
        <f t="shared" si="75"/>
        <v/>
      </c>
      <c r="R92" s="36" t="str">
        <f t="shared" si="75"/>
        <v/>
      </c>
      <c r="S92" s="36" t="str">
        <f t="shared" si="75"/>
        <v/>
      </c>
      <c r="T92" s="36" t="str">
        <f t="shared" si="75"/>
        <v/>
      </c>
      <c r="U92" s="36" t="str">
        <f t="shared" si="75"/>
        <v/>
      </c>
      <c r="V92" s="36" t="str">
        <f t="shared" si="75"/>
        <v/>
      </c>
      <c r="W92" s="36" t="str">
        <f t="shared" si="75"/>
        <v/>
      </c>
      <c r="X92" s="36" t="str">
        <f t="shared" si="75"/>
        <v/>
      </c>
      <c r="Y92" s="36" t="str">
        <f t="shared" si="75"/>
        <v/>
      </c>
      <c r="Z92" s="27" t="str">
        <f t="shared" si="75"/>
        <v/>
      </c>
      <c r="AB92" s="3" t="str">
        <f t="array" ref="AB92">IFERROR(INDEX(TRAS1B1,SMALL(IF(FREQUENCY(IF(TRAS1B1&lt;&gt;"",MATCH(ROW(TRAS1B1),ROW(TRAS1B1)),""),MATCH(ROW(TRAS1B1),ROW(TRAS1B1)))&gt;0,MATCH(ROW(TRAS1B1),ROW(TRAS1B1)),""),ROW(A29)),COLUMN(A29)),"")</f>
        <v/>
      </c>
      <c r="AC92" s="36" t="str">
        <f t="array" ref="AC92">IFERROR(INDEX(TRAS1B2,SMALL(IF(FREQUENCY(IF(TRAS1B2&lt;&gt;"",MATCH(ROW(TRAS1B2),ROW(TRAS1B2)),""),MATCH(ROW(TRAS1B2),ROW(TRAS1B2)))&gt;0,MATCH(ROW(TRAS1B2),ROW(TRAS1B2)),""),ROW(A29)),COLUMN(A29)),"")</f>
        <v/>
      </c>
      <c r="AD92" s="36" t="str">
        <f t="array" ref="AD92">IFERROR(INDEX(TRAS1B3,SMALL(IF(FREQUENCY(IF(TRAS1B3&lt;&gt;"",MATCH(ROW(TRAS1B3),ROW(TRAS1B3)),""),MATCH(ROW(TRAS1B3),ROW(TRAS1B3)))&gt;0,MATCH(ROW(TRAS1B3),ROW(TRAS1B3)),""),ROW(A29)),COLUMN(A29)),"")</f>
        <v/>
      </c>
      <c r="AE92" s="36" t="str">
        <f t="array" ref="AE92">IFERROR(INDEX(TRAS1B4,SMALL(IF(FREQUENCY(IF(TRAS1B4&lt;&gt;"",MATCH(ROW(TRAS1B4),ROW(TRAS1B4)),""),MATCH(ROW(TRAS1B4),ROW(TRAS1B4)))&gt;0,MATCH(ROW(TRAS1B4),ROW(TRAS1B4)),""),ROW(A29)),COLUMN(A29)),"")</f>
        <v/>
      </c>
      <c r="AF92" s="36" t="str">
        <f t="array" ref="AF92">IFERROR(INDEX(TRAS1B5,SMALL(IF(FREQUENCY(IF(TRAS1B5&lt;&gt;"",MATCH(ROW(TRAS1B5),ROW(TRAS1B5)),""),MATCH(ROW(TRAS1B5),ROW(TRAS1B5)))&gt;0,MATCH(ROW(TRAS1B5),ROW(TRAS1B5)),""),ROW(A29)),COLUMN(A29)),"")</f>
        <v/>
      </c>
      <c r="AG92" s="36" t="str">
        <f t="array" ref="AG92">IFERROR(INDEX(TRAS1B6,SMALL(IF(FREQUENCY(IF(TRAS1B6&lt;&gt;"",MATCH(ROW(TRAS1B6),ROW(TRAS1B6)),""),MATCH(ROW(TRAS1B6),ROW(TRAS1B6)))&gt;0,MATCH(ROW(TRAS1B6),ROW(TRAS1B6)),""),ROW(A29)),COLUMN(A29)),"")</f>
        <v/>
      </c>
      <c r="AH92" s="36" t="str">
        <f t="array" ref="AH92">IFERROR(INDEX(TRAS1B7,SMALL(IF(FREQUENCY(IF(TRAS1B7&lt;&gt;"",MATCH(ROW(TRAS1B7),ROW(TRAS1B7)),""),MATCH(ROW(TRAS1B7),ROW(TRAS1B7)))&gt;0,MATCH(ROW(TRAS1B7),ROW(TRAS1B7)),""),ROW(A29)),COLUMN(A29)),"")</f>
        <v/>
      </c>
      <c r="AI92" s="36" t="str">
        <f t="array" ref="AI92">IFERROR(INDEX(TRAS1B8,SMALL(IF(FREQUENCY(IF(TRAS1B8&lt;&gt;"",MATCH(ROW(TRAS1B8),ROW(TRAS1B8)),""),MATCH(ROW(TRAS1B8),ROW(TRAS1B8)))&gt;0,MATCH(ROW(TRAS1B8),ROW(TRAS1B8)),""),ROW(A29)),COLUMN(A29)),"")</f>
        <v/>
      </c>
      <c r="AJ92" s="36" t="str">
        <f t="array" ref="AJ92">IFERROR(INDEX(TRAS1B9,SMALL(IF(FREQUENCY(IF(TRAS1B9&lt;&gt;"",MATCH(ROW(TRAS1B9),ROW(TRAS1B9)),""),MATCH(ROW(TRAS1B9),ROW(TRAS1B9)))&gt;0,MATCH(ROW(TRAS1B9),ROW(TRAS1B9)),""),ROW(A29)),COLUMN(A29)),"")</f>
        <v/>
      </c>
      <c r="AK92" s="36" t="str">
        <f t="array" ref="AK92">IFERROR(INDEX(TRAS1B10,SMALL(IF(FREQUENCY(IF(TRAS1B10&lt;&gt;"",MATCH(ROW(TRAS1B10),ROW(TRAS1B10)),""),MATCH(ROW(TRAS1B10),ROW(TRAS1B10)))&gt;0,MATCH(ROW(TRAS1B10),ROW(TRAS1B10)),""),ROW(A29)),COLUMN(A29)),"")</f>
        <v/>
      </c>
      <c r="AL92" s="36" t="str">
        <f t="array" ref="AL92">IFERROR(INDEX(TRAS1B11,SMALL(IF(FREQUENCY(IF(TRAS1B11&lt;&gt;"",MATCH(ROW(TRAS1B11),ROW(TRAS1B11)),""),MATCH(ROW(TRAS1B11),ROW(TRAS1B11)))&gt;0,MATCH(ROW(TRAS1B11),ROW(TRAS1B11)),""),ROW(A29)),COLUMN(A29)),"")</f>
        <v/>
      </c>
      <c r="AM92" s="27" t="str">
        <f t="array" ref="AM92">IFERROR(INDEX(TRAS1B12,SMALL(IF(FREQUENCY(IF(TRAS1B12&lt;&gt;"",MATCH(ROW(TRAS1B12),ROW(TRAS1B12)),""),MATCH(ROW(TRAS1B12),ROW(TRAS1B12)))&gt;0,MATCH(ROW(TRAS1B12),ROW(TRAS1B12)),""),ROW(A29)),COLUMN(A29)),"")</f>
        <v/>
      </c>
      <c r="AO92" s="3" t="str">
        <f t="shared" si="76"/>
        <v xml:space="preserve"> </v>
      </c>
      <c r="AP92" s="36" t="str">
        <f t="shared" si="77"/>
        <v xml:space="preserve"> </v>
      </c>
      <c r="AQ92" s="36" t="str">
        <f t="shared" si="78"/>
        <v xml:space="preserve"> </v>
      </c>
      <c r="AR92" s="36" t="str">
        <f t="shared" si="79"/>
        <v xml:space="preserve"> </v>
      </c>
      <c r="AS92" s="36" t="str">
        <f t="shared" si="80"/>
        <v xml:space="preserve"> </v>
      </c>
      <c r="AT92" s="36" t="str">
        <f t="shared" si="81"/>
        <v xml:space="preserve"> </v>
      </c>
      <c r="AU92" s="36" t="str">
        <f t="shared" si="82"/>
        <v xml:space="preserve"> </v>
      </c>
      <c r="AV92" s="36" t="str">
        <f t="shared" si="83"/>
        <v xml:space="preserve"> </v>
      </c>
      <c r="AW92" s="36" t="str">
        <f t="shared" si="84"/>
        <v xml:space="preserve"> </v>
      </c>
      <c r="AX92" s="36" t="str">
        <f t="shared" si="85"/>
        <v xml:space="preserve"> </v>
      </c>
      <c r="AY92" s="36" t="str">
        <f t="shared" si="86"/>
        <v xml:space="preserve"> </v>
      </c>
      <c r="AZ92" s="27" t="str">
        <f t="shared" si="87"/>
        <v xml:space="preserve"> </v>
      </c>
      <c r="BE92" s="3" t="str">
        <v/>
      </c>
      <c r="BF92" s="36" t="str">
        <v/>
      </c>
      <c r="BG92" s="36" t="str">
        <v/>
      </c>
      <c r="BH92" s="36" t="str">
        <v/>
      </c>
      <c r="BI92" s="36" t="str">
        <v/>
      </c>
      <c r="BJ92" s="36" t="str">
        <v/>
      </c>
      <c r="BK92" s="36" t="str">
        <v/>
      </c>
      <c r="BL92" s="36" t="str">
        <v/>
      </c>
      <c r="BM92" s="36" t="str">
        <v/>
      </c>
      <c r="BN92" s="36" t="str">
        <v/>
      </c>
      <c r="BO92" s="36" t="str">
        <v/>
      </c>
      <c r="BP92" s="27" t="str">
        <v/>
      </c>
      <c r="BR92" s="3" t="str">
        <f t="shared" si="88"/>
        <v/>
      </c>
      <c r="BS92" s="36" t="str">
        <f t="shared" si="53"/>
        <v/>
      </c>
      <c r="BT92" s="36" t="str">
        <f t="shared" si="54"/>
        <v/>
      </c>
      <c r="BU92" s="36" t="str">
        <f t="shared" si="55"/>
        <v/>
      </c>
      <c r="BV92" s="36" t="str">
        <f t="shared" si="56"/>
        <v/>
      </c>
      <c r="BW92" s="36" t="str">
        <f t="shared" si="57"/>
        <v/>
      </c>
      <c r="BX92" s="36" t="str">
        <f t="shared" si="58"/>
        <v/>
      </c>
      <c r="BY92" s="36" t="str">
        <f t="shared" si="59"/>
        <v/>
      </c>
      <c r="BZ92" s="36" t="str">
        <f t="shared" si="60"/>
        <v/>
      </c>
      <c r="CA92" s="36" t="str">
        <f t="shared" si="61"/>
        <v/>
      </c>
      <c r="CB92" s="36" t="str">
        <f t="shared" si="62"/>
        <v/>
      </c>
      <c r="CC92" s="27" t="str">
        <f t="shared" si="63"/>
        <v/>
      </c>
      <c r="CE92" s="3" t="str">
        <f t="array" ref="CE92">IFERROR(INDEX(TRAS1B1,SMALL(IF(FREQUENCY(IF(TRAS1B1&lt;&gt;"",MATCH(ROW(TRAS1B1),ROW(TRAS1B1)),""),MATCH(ROW(TRAS1B1),ROW(TRAS1B1)))&gt;0,MATCH(ROW(TRAS1B1),ROW(TRAS1B1)),""),ROW(BD76)),COLUMN(BD76)),"")</f>
        <v/>
      </c>
      <c r="CF92" s="36" t="str">
        <f t="array" ref="CF92">IFERROR(INDEX(TRAS1B2,SMALL(IF(FREQUENCY(IF(TRAS1B2&lt;&gt;"",MATCH(ROW(TRAS1B2),ROW(TRAS1B2)),""),MATCH(ROW(TRAS1B2),ROW(TRAS1B2)))&gt;0,MATCH(ROW(TRAS1B2),ROW(TRAS1B2)),""),ROW(BD76)),COLUMN(BD76)),"")</f>
        <v/>
      </c>
      <c r="CG92" s="36" t="str">
        <f t="array" ref="CG92">IFERROR(INDEX(TRAS1B3,SMALL(IF(FREQUENCY(IF(TRAS1B3&lt;&gt;"",MATCH(ROW(TRAS1B3),ROW(TRAS1B3)),""),MATCH(ROW(TRAS1B3),ROW(TRAS1B3)))&gt;0,MATCH(ROW(TRAS1B3),ROW(TRAS1B3)),""),ROW(BD76)),COLUMN(BD76)),"")</f>
        <v/>
      </c>
      <c r="CH92" s="36" t="str">
        <f t="array" ref="CH92">IFERROR(INDEX(TRAS1B4,SMALL(IF(FREQUENCY(IF(TRAS1B4&lt;&gt;"",MATCH(ROW(TRAS1B4),ROW(TRAS1B4)),""),MATCH(ROW(TRAS1B4),ROW(TRAS1B4)))&gt;0,MATCH(ROW(TRAS1B4),ROW(TRAS1B4)),""),ROW(BD76)),COLUMN(BD76)),"")</f>
        <v/>
      </c>
      <c r="CI92" s="36" t="str">
        <f t="array" ref="CI92">IFERROR(INDEX(TRAS1B5,SMALL(IF(FREQUENCY(IF(TRAS1B5&lt;&gt;"",MATCH(ROW(TRAS1B5),ROW(TRAS1B5)),""),MATCH(ROW(TRAS1B5),ROW(TRAS1B5)))&gt;0,MATCH(ROW(TRAS1B5),ROW(TRAS1B5)),""),ROW(BD76)),COLUMN(BD76)),"")</f>
        <v/>
      </c>
      <c r="CJ92" s="36" t="str">
        <f t="array" ref="CJ92">IFERROR(INDEX(TRAS1B6,SMALL(IF(FREQUENCY(IF(TRAS1B6&lt;&gt;"",MATCH(ROW(TRAS1B6),ROW(TRAS1B6)),""),MATCH(ROW(TRAS1B6),ROW(TRAS1B6)))&gt;0,MATCH(ROW(TRAS1B6),ROW(TRAS1B6)),""),ROW(BD76)),COLUMN(BD76)),"")</f>
        <v/>
      </c>
      <c r="CK92" s="36" t="str">
        <f t="array" ref="CK92">IFERROR(INDEX(TRAS1B7,SMALL(IF(FREQUENCY(IF(TRAS1B7&lt;&gt;"",MATCH(ROW(TRAS1B7),ROW(TRAS1B7)),""),MATCH(ROW(TRAS1B7),ROW(TRAS1B7)))&gt;0,MATCH(ROW(TRAS1B7),ROW(TRAS1B7)),""),ROW(BD76)),COLUMN(BD76)),"")</f>
        <v/>
      </c>
      <c r="CL92" s="36" t="str">
        <f t="array" ref="CL92">IFERROR(INDEX(TRAS1B8,SMALL(IF(FREQUENCY(IF(TRAS1B8&lt;&gt;"",MATCH(ROW(TRAS1B8),ROW(TRAS1B8)),""),MATCH(ROW(TRAS1B8),ROW(TRAS1B8)))&gt;0,MATCH(ROW(TRAS1B8),ROW(TRAS1B8)),""),ROW(BD76)),COLUMN(BD76)),"")</f>
        <v/>
      </c>
      <c r="CM92" s="36" t="str">
        <f t="array" ref="CM92">IFERROR(INDEX(TRAS1B9,SMALL(IF(FREQUENCY(IF(TRAS1B9&lt;&gt;"",MATCH(ROW(TRAS1B9),ROW(TRAS1B9)),""),MATCH(ROW(TRAS1B9),ROW(TRAS1B9)))&gt;0,MATCH(ROW(TRAS1B9),ROW(TRAS1B9)),""),ROW(BD76)),COLUMN(BD76)),"")</f>
        <v/>
      </c>
      <c r="CN92" s="36" t="str">
        <f t="array" ref="CN92">IFERROR(INDEX(TRAS1B10,SMALL(IF(FREQUENCY(IF(TRAS1B10&lt;&gt;"",MATCH(ROW(TRAS1B10),ROW(TRAS1B10)),""),MATCH(ROW(TRAS1B10),ROW(TRAS1B10)))&gt;0,MATCH(ROW(TRAS1B10),ROW(TRAS1B10)),""),ROW(BD76)),COLUMN(BD76)),"")</f>
        <v/>
      </c>
      <c r="CO92" s="36" t="str">
        <f t="array" ref="CO92">IFERROR(INDEX(TRAS1B11,SMALL(IF(FREQUENCY(IF(TRAS1B11&lt;&gt;"",MATCH(ROW(TRAS1B11),ROW(TRAS1B11)),""),MATCH(ROW(TRAS1B11),ROW(TRAS1B11)))&gt;0,MATCH(ROW(TRAS1B11),ROW(TRAS1B11)),""),ROW(BD76)),COLUMN(BD76)),"")</f>
        <v/>
      </c>
      <c r="CP92" s="27" t="str">
        <f t="array" ref="CP92">IFERROR(INDEX(TRAS1B12,SMALL(IF(FREQUENCY(IF(TRAS1B12&lt;&gt;"",MATCH(ROW(TRAS1B12),ROW(TRAS1B12)),""),MATCH(ROW(TRAS1B12),ROW(TRAS1B12)))&gt;0,MATCH(ROW(TRAS1B12),ROW(TRAS1B12)),""),ROW(BD76)),COLUMN(BD76)),"")</f>
        <v/>
      </c>
      <c r="CR92" s="3" t="str">
        <f t="shared" si="89"/>
        <v xml:space="preserve"> </v>
      </c>
      <c r="CS92" s="36" t="str">
        <f t="shared" si="64"/>
        <v xml:space="preserve"> </v>
      </c>
      <c r="CT92" s="36" t="str">
        <f t="shared" si="65"/>
        <v xml:space="preserve"> </v>
      </c>
      <c r="CU92" s="36" t="str">
        <f t="shared" si="66"/>
        <v xml:space="preserve"> </v>
      </c>
      <c r="CV92" s="36" t="str">
        <f t="shared" si="67"/>
        <v xml:space="preserve"> </v>
      </c>
      <c r="CW92" s="36" t="str">
        <f t="shared" si="68"/>
        <v xml:space="preserve"> </v>
      </c>
      <c r="CX92" s="36" t="str">
        <f t="shared" si="69"/>
        <v xml:space="preserve"> </v>
      </c>
      <c r="CY92" s="36" t="str">
        <f t="shared" si="70"/>
        <v xml:space="preserve"> </v>
      </c>
      <c r="CZ92" s="36" t="str">
        <f t="shared" si="71"/>
        <v xml:space="preserve"> </v>
      </c>
      <c r="DA92" s="36" t="str">
        <f t="shared" si="72"/>
        <v xml:space="preserve"> </v>
      </c>
      <c r="DB92" s="36" t="str">
        <f t="shared" si="73"/>
        <v xml:space="preserve"> </v>
      </c>
      <c r="DC92" s="27" t="str">
        <f t="shared" si="74"/>
        <v xml:space="preserve"> </v>
      </c>
    </row>
    <row r="93" spans="2:107" ht="13.5" customHeight="1" x14ac:dyDescent="0.35">
      <c r="B93" s="3" t="str">
        <v/>
      </c>
      <c r="C93" s="36" t="str">
        <v/>
      </c>
      <c r="D93" s="36" t="str">
        <v/>
      </c>
      <c r="E93" s="36" t="str">
        <v/>
      </c>
      <c r="F93" s="36" t="str">
        <v/>
      </c>
      <c r="G93" s="36" t="str">
        <v/>
      </c>
      <c r="H93" s="36" t="str">
        <v/>
      </c>
      <c r="I93" s="36" t="str">
        <v/>
      </c>
      <c r="J93" s="36" t="str">
        <v/>
      </c>
      <c r="K93" s="36" t="str">
        <v/>
      </c>
      <c r="L93" s="36" t="str">
        <v/>
      </c>
      <c r="M93" s="27" t="str">
        <v/>
      </c>
      <c r="O93" s="3" t="str">
        <f t="shared" si="75"/>
        <v/>
      </c>
      <c r="P93" s="36" t="str">
        <f t="shared" si="75"/>
        <v/>
      </c>
      <c r="Q93" s="36" t="str">
        <f t="shared" si="75"/>
        <v/>
      </c>
      <c r="R93" s="36" t="str">
        <f t="shared" si="75"/>
        <v/>
      </c>
      <c r="S93" s="36" t="str">
        <f t="shared" si="75"/>
        <v/>
      </c>
      <c r="T93" s="36" t="str">
        <f t="shared" si="75"/>
        <v/>
      </c>
      <c r="U93" s="36" t="str">
        <f t="shared" si="75"/>
        <v/>
      </c>
      <c r="V93" s="36" t="str">
        <f t="shared" si="75"/>
        <v/>
      </c>
      <c r="W93" s="36" t="str">
        <f t="shared" si="75"/>
        <v/>
      </c>
      <c r="X93" s="36" t="str">
        <f t="shared" si="75"/>
        <v/>
      </c>
      <c r="Y93" s="36" t="str">
        <f t="shared" si="75"/>
        <v/>
      </c>
      <c r="Z93" s="27" t="str">
        <f t="shared" si="75"/>
        <v/>
      </c>
      <c r="AB93" s="3" t="str">
        <f t="array" ref="AB93">IFERROR(INDEX(TRAS1B1,SMALL(IF(FREQUENCY(IF(TRAS1B1&lt;&gt;"",MATCH(ROW(TRAS1B1),ROW(TRAS1B1)),""),MATCH(ROW(TRAS1B1),ROW(TRAS1B1)))&gt;0,MATCH(ROW(TRAS1B1),ROW(TRAS1B1)),""),ROW(A30)),COLUMN(A30)),"")</f>
        <v/>
      </c>
      <c r="AC93" s="36" t="str">
        <f t="array" ref="AC93">IFERROR(INDEX(TRAS1B2,SMALL(IF(FREQUENCY(IF(TRAS1B2&lt;&gt;"",MATCH(ROW(TRAS1B2),ROW(TRAS1B2)),""),MATCH(ROW(TRAS1B2),ROW(TRAS1B2)))&gt;0,MATCH(ROW(TRAS1B2),ROW(TRAS1B2)),""),ROW(A30)),COLUMN(A30)),"")</f>
        <v/>
      </c>
      <c r="AD93" s="36" t="str">
        <f t="array" ref="AD93">IFERROR(INDEX(TRAS1B3,SMALL(IF(FREQUENCY(IF(TRAS1B3&lt;&gt;"",MATCH(ROW(TRAS1B3),ROW(TRAS1B3)),""),MATCH(ROW(TRAS1B3),ROW(TRAS1B3)))&gt;0,MATCH(ROW(TRAS1B3),ROW(TRAS1B3)),""),ROW(A30)),COLUMN(A30)),"")</f>
        <v/>
      </c>
      <c r="AE93" s="36" t="str">
        <f t="array" ref="AE93">IFERROR(INDEX(TRAS1B4,SMALL(IF(FREQUENCY(IF(TRAS1B4&lt;&gt;"",MATCH(ROW(TRAS1B4),ROW(TRAS1B4)),""),MATCH(ROW(TRAS1B4),ROW(TRAS1B4)))&gt;0,MATCH(ROW(TRAS1B4),ROW(TRAS1B4)),""),ROW(A30)),COLUMN(A30)),"")</f>
        <v/>
      </c>
      <c r="AF93" s="36" t="str">
        <f t="array" ref="AF93">IFERROR(INDEX(TRAS1B5,SMALL(IF(FREQUENCY(IF(TRAS1B5&lt;&gt;"",MATCH(ROW(TRAS1B5),ROW(TRAS1B5)),""),MATCH(ROW(TRAS1B5),ROW(TRAS1B5)))&gt;0,MATCH(ROW(TRAS1B5),ROW(TRAS1B5)),""),ROW(A30)),COLUMN(A30)),"")</f>
        <v/>
      </c>
      <c r="AG93" s="36" t="str">
        <f t="array" ref="AG93">IFERROR(INDEX(TRAS1B6,SMALL(IF(FREQUENCY(IF(TRAS1B6&lt;&gt;"",MATCH(ROW(TRAS1B6),ROW(TRAS1B6)),""),MATCH(ROW(TRAS1B6),ROW(TRAS1B6)))&gt;0,MATCH(ROW(TRAS1B6),ROW(TRAS1B6)),""),ROW(A30)),COLUMN(A30)),"")</f>
        <v/>
      </c>
      <c r="AH93" s="36" t="str">
        <f t="array" ref="AH93">IFERROR(INDEX(TRAS1B7,SMALL(IF(FREQUENCY(IF(TRAS1B7&lt;&gt;"",MATCH(ROW(TRAS1B7),ROW(TRAS1B7)),""),MATCH(ROW(TRAS1B7),ROW(TRAS1B7)))&gt;0,MATCH(ROW(TRAS1B7),ROW(TRAS1B7)),""),ROW(A30)),COLUMN(A30)),"")</f>
        <v/>
      </c>
      <c r="AI93" s="36" t="str">
        <f t="array" ref="AI93">IFERROR(INDEX(TRAS1B8,SMALL(IF(FREQUENCY(IF(TRAS1B8&lt;&gt;"",MATCH(ROW(TRAS1B8),ROW(TRAS1B8)),""),MATCH(ROW(TRAS1B8),ROW(TRAS1B8)))&gt;0,MATCH(ROW(TRAS1B8),ROW(TRAS1B8)),""),ROW(A30)),COLUMN(A30)),"")</f>
        <v/>
      </c>
      <c r="AJ93" s="36" t="str">
        <f t="array" ref="AJ93">IFERROR(INDEX(TRAS1B9,SMALL(IF(FREQUENCY(IF(TRAS1B9&lt;&gt;"",MATCH(ROW(TRAS1B9),ROW(TRAS1B9)),""),MATCH(ROW(TRAS1B9),ROW(TRAS1B9)))&gt;0,MATCH(ROW(TRAS1B9),ROW(TRAS1B9)),""),ROW(A30)),COLUMN(A30)),"")</f>
        <v/>
      </c>
      <c r="AK93" s="36" t="str">
        <f t="array" ref="AK93">IFERROR(INDEX(TRAS1B10,SMALL(IF(FREQUENCY(IF(TRAS1B10&lt;&gt;"",MATCH(ROW(TRAS1B10),ROW(TRAS1B10)),""),MATCH(ROW(TRAS1B10),ROW(TRAS1B10)))&gt;0,MATCH(ROW(TRAS1B10),ROW(TRAS1B10)),""),ROW(A30)),COLUMN(A30)),"")</f>
        <v/>
      </c>
      <c r="AL93" s="36" t="str">
        <f t="array" ref="AL93">IFERROR(INDEX(TRAS1B11,SMALL(IF(FREQUENCY(IF(TRAS1B11&lt;&gt;"",MATCH(ROW(TRAS1B11),ROW(TRAS1B11)),""),MATCH(ROW(TRAS1B11),ROW(TRAS1B11)))&gt;0,MATCH(ROW(TRAS1B11),ROW(TRAS1B11)),""),ROW(A30)),COLUMN(A30)),"")</f>
        <v/>
      </c>
      <c r="AM93" s="27" t="str">
        <f t="array" ref="AM93">IFERROR(INDEX(TRAS1B12,SMALL(IF(FREQUENCY(IF(TRAS1B12&lt;&gt;"",MATCH(ROW(TRAS1B12),ROW(TRAS1B12)),""),MATCH(ROW(TRAS1B12),ROW(TRAS1B12)))&gt;0,MATCH(ROW(TRAS1B12),ROW(TRAS1B12)),""),ROW(A30)),COLUMN(A30)),"")</f>
        <v/>
      </c>
      <c r="AO93" s="3" t="str">
        <f t="shared" si="76"/>
        <v xml:space="preserve"> </v>
      </c>
      <c r="AP93" s="36" t="str">
        <f t="shared" si="77"/>
        <v xml:space="preserve"> </v>
      </c>
      <c r="AQ93" s="36" t="str">
        <f t="shared" si="78"/>
        <v xml:space="preserve"> </v>
      </c>
      <c r="AR93" s="36" t="str">
        <f t="shared" si="79"/>
        <v xml:space="preserve"> </v>
      </c>
      <c r="AS93" s="36" t="str">
        <f t="shared" si="80"/>
        <v xml:space="preserve"> </v>
      </c>
      <c r="AT93" s="36" t="str">
        <f t="shared" si="81"/>
        <v xml:space="preserve"> </v>
      </c>
      <c r="AU93" s="36" t="str">
        <f t="shared" si="82"/>
        <v xml:space="preserve"> </v>
      </c>
      <c r="AV93" s="36" t="str">
        <f t="shared" si="83"/>
        <v xml:space="preserve"> </v>
      </c>
      <c r="AW93" s="36" t="str">
        <f t="shared" si="84"/>
        <v xml:space="preserve"> </v>
      </c>
      <c r="AX93" s="36" t="str">
        <f t="shared" si="85"/>
        <v xml:space="preserve"> </v>
      </c>
      <c r="AY93" s="36" t="str">
        <f t="shared" si="86"/>
        <v xml:space="preserve"> </v>
      </c>
      <c r="AZ93" s="27" t="str">
        <f t="shared" si="87"/>
        <v xml:space="preserve"> </v>
      </c>
      <c r="BE93" s="3" t="str">
        <v/>
      </c>
      <c r="BF93" s="36" t="str">
        <v/>
      </c>
      <c r="BG93" s="36" t="str">
        <v/>
      </c>
      <c r="BH93" s="36" t="str">
        <v/>
      </c>
      <c r="BI93" s="36" t="str">
        <v/>
      </c>
      <c r="BJ93" s="36" t="str">
        <v/>
      </c>
      <c r="BK93" s="36" t="str">
        <v/>
      </c>
      <c r="BL93" s="36" t="str">
        <v/>
      </c>
      <c r="BM93" s="36" t="str">
        <v/>
      </c>
      <c r="BN93" s="36" t="str">
        <v/>
      </c>
      <c r="BO93" s="36" t="str">
        <v/>
      </c>
      <c r="BP93" s="27" t="str">
        <v/>
      </c>
      <c r="BR93" s="3" t="str">
        <f t="shared" si="88"/>
        <v/>
      </c>
      <c r="BS93" s="36" t="str">
        <f t="shared" si="53"/>
        <v/>
      </c>
      <c r="BT93" s="36" t="str">
        <f t="shared" si="54"/>
        <v/>
      </c>
      <c r="BU93" s="36" t="str">
        <f t="shared" si="55"/>
        <v/>
      </c>
      <c r="BV93" s="36" t="str">
        <f t="shared" si="56"/>
        <v/>
      </c>
      <c r="BW93" s="36" t="str">
        <f t="shared" si="57"/>
        <v/>
      </c>
      <c r="BX93" s="36" t="str">
        <f t="shared" si="58"/>
        <v/>
      </c>
      <c r="BY93" s="36" t="str">
        <f t="shared" si="59"/>
        <v/>
      </c>
      <c r="BZ93" s="36" t="str">
        <f t="shared" si="60"/>
        <v/>
      </c>
      <c r="CA93" s="36" t="str">
        <f t="shared" si="61"/>
        <v/>
      </c>
      <c r="CB93" s="36" t="str">
        <f t="shared" si="62"/>
        <v/>
      </c>
      <c r="CC93" s="27" t="str">
        <f t="shared" si="63"/>
        <v/>
      </c>
      <c r="CE93" s="3" t="str">
        <f t="array" ref="CE93">IFERROR(INDEX(TRAS1B1,SMALL(IF(FREQUENCY(IF(TRAS1B1&lt;&gt;"",MATCH(ROW(TRAS1B1),ROW(TRAS1B1)),""),MATCH(ROW(TRAS1B1),ROW(TRAS1B1)))&gt;0,MATCH(ROW(TRAS1B1),ROW(TRAS1B1)),""),ROW(BD77)),COLUMN(BD77)),"")</f>
        <v/>
      </c>
      <c r="CF93" s="36" t="str">
        <f t="array" ref="CF93">IFERROR(INDEX(TRAS1B2,SMALL(IF(FREQUENCY(IF(TRAS1B2&lt;&gt;"",MATCH(ROW(TRAS1B2),ROW(TRAS1B2)),""),MATCH(ROW(TRAS1B2),ROW(TRAS1B2)))&gt;0,MATCH(ROW(TRAS1B2),ROW(TRAS1B2)),""),ROW(BD77)),COLUMN(BD77)),"")</f>
        <v/>
      </c>
      <c r="CG93" s="36" t="str">
        <f t="array" ref="CG93">IFERROR(INDEX(TRAS1B3,SMALL(IF(FREQUENCY(IF(TRAS1B3&lt;&gt;"",MATCH(ROW(TRAS1B3),ROW(TRAS1B3)),""),MATCH(ROW(TRAS1B3),ROW(TRAS1B3)))&gt;0,MATCH(ROW(TRAS1B3),ROW(TRAS1B3)),""),ROW(BD77)),COLUMN(BD77)),"")</f>
        <v/>
      </c>
      <c r="CH93" s="36" t="str">
        <f t="array" ref="CH93">IFERROR(INDEX(TRAS1B4,SMALL(IF(FREQUENCY(IF(TRAS1B4&lt;&gt;"",MATCH(ROW(TRAS1B4),ROW(TRAS1B4)),""),MATCH(ROW(TRAS1B4),ROW(TRAS1B4)))&gt;0,MATCH(ROW(TRAS1B4),ROW(TRAS1B4)),""),ROW(BD77)),COLUMN(BD77)),"")</f>
        <v/>
      </c>
      <c r="CI93" s="36" t="str">
        <f t="array" ref="CI93">IFERROR(INDEX(TRAS1B5,SMALL(IF(FREQUENCY(IF(TRAS1B5&lt;&gt;"",MATCH(ROW(TRAS1B5),ROW(TRAS1B5)),""),MATCH(ROW(TRAS1B5),ROW(TRAS1B5)))&gt;0,MATCH(ROW(TRAS1B5),ROW(TRAS1B5)),""),ROW(BD77)),COLUMN(BD77)),"")</f>
        <v/>
      </c>
      <c r="CJ93" s="36" t="str">
        <f t="array" ref="CJ93">IFERROR(INDEX(TRAS1B6,SMALL(IF(FREQUENCY(IF(TRAS1B6&lt;&gt;"",MATCH(ROW(TRAS1B6),ROW(TRAS1B6)),""),MATCH(ROW(TRAS1B6),ROW(TRAS1B6)))&gt;0,MATCH(ROW(TRAS1B6),ROW(TRAS1B6)),""),ROW(BD77)),COLUMN(BD77)),"")</f>
        <v/>
      </c>
      <c r="CK93" s="36" t="str">
        <f t="array" ref="CK93">IFERROR(INDEX(TRAS1B7,SMALL(IF(FREQUENCY(IF(TRAS1B7&lt;&gt;"",MATCH(ROW(TRAS1B7),ROW(TRAS1B7)),""),MATCH(ROW(TRAS1B7),ROW(TRAS1B7)))&gt;0,MATCH(ROW(TRAS1B7),ROW(TRAS1B7)),""),ROW(BD77)),COLUMN(BD77)),"")</f>
        <v/>
      </c>
      <c r="CL93" s="36" t="str">
        <f t="array" ref="CL93">IFERROR(INDEX(TRAS1B8,SMALL(IF(FREQUENCY(IF(TRAS1B8&lt;&gt;"",MATCH(ROW(TRAS1B8),ROW(TRAS1B8)),""),MATCH(ROW(TRAS1B8),ROW(TRAS1B8)))&gt;0,MATCH(ROW(TRAS1B8),ROW(TRAS1B8)),""),ROW(BD77)),COLUMN(BD77)),"")</f>
        <v/>
      </c>
      <c r="CM93" s="36" t="str">
        <f t="array" ref="CM93">IFERROR(INDEX(TRAS1B9,SMALL(IF(FREQUENCY(IF(TRAS1B9&lt;&gt;"",MATCH(ROW(TRAS1B9),ROW(TRAS1B9)),""),MATCH(ROW(TRAS1B9),ROW(TRAS1B9)))&gt;0,MATCH(ROW(TRAS1B9),ROW(TRAS1B9)),""),ROW(BD77)),COLUMN(BD77)),"")</f>
        <v/>
      </c>
      <c r="CN93" s="36" t="str">
        <f t="array" ref="CN93">IFERROR(INDEX(TRAS1B10,SMALL(IF(FREQUENCY(IF(TRAS1B10&lt;&gt;"",MATCH(ROW(TRAS1B10),ROW(TRAS1B10)),""),MATCH(ROW(TRAS1B10),ROW(TRAS1B10)))&gt;0,MATCH(ROW(TRAS1B10),ROW(TRAS1B10)),""),ROW(BD77)),COLUMN(BD77)),"")</f>
        <v/>
      </c>
      <c r="CO93" s="36" t="str">
        <f t="array" ref="CO93">IFERROR(INDEX(TRAS1B11,SMALL(IF(FREQUENCY(IF(TRAS1B11&lt;&gt;"",MATCH(ROW(TRAS1B11),ROW(TRAS1B11)),""),MATCH(ROW(TRAS1B11),ROW(TRAS1B11)))&gt;0,MATCH(ROW(TRAS1B11),ROW(TRAS1B11)),""),ROW(BD77)),COLUMN(BD77)),"")</f>
        <v/>
      </c>
      <c r="CP93" s="27" t="str">
        <f t="array" ref="CP93">IFERROR(INDEX(TRAS1B12,SMALL(IF(FREQUENCY(IF(TRAS1B12&lt;&gt;"",MATCH(ROW(TRAS1B12),ROW(TRAS1B12)),""),MATCH(ROW(TRAS1B12),ROW(TRAS1B12)))&gt;0,MATCH(ROW(TRAS1B12),ROW(TRAS1B12)),""),ROW(BD77)),COLUMN(BD77)),"")</f>
        <v/>
      </c>
      <c r="CR93" s="3" t="str">
        <f t="shared" si="89"/>
        <v xml:space="preserve"> </v>
      </c>
      <c r="CS93" s="36" t="str">
        <f t="shared" si="64"/>
        <v xml:space="preserve"> </v>
      </c>
      <c r="CT93" s="36" t="str">
        <f t="shared" si="65"/>
        <v xml:space="preserve"> </v>
      </c>
      <c r="CU93" s="36" t="str">
        <f t="shared" si="66"/>
        <v xml:space="preserve"> </v>
      </c>
      <c r="CV93" s="36" t="str">
        <f t="shared" si="67"/>
        <v xml:space="preserve"> </v>
      </c>
      <c r="CW93" s="36" t="str">
        <f t="shared" si="68"/>
        <v xml:space="preserve"> </v>
      </c>
      <c r="CX93" s="36" t="str">
        <f t="shared" si="69"/>
        <v xml:space="preserve"> </v>
      </c>
      <c r="CY93" s="36" t="str">
        <f t="shared" si="70"/>
        <v xml:space="preserve"> </v>
      </c>
      <c r="CZ93" s="36" t="str">
        <f t="shared" si="71"/>
        <v xml:space="preserve"> </v>
      </c>
      <c r="DA93" s="36" t="str">
        <f t="shared" si="72"/>
        <v xml:space="preserve"> </v>
      </c>
      <c r="DB93" s="36" t="str">
        <f t="shared" si="73"/>
        <v xml:space="preserve"> </v>
      </c>
      <c r="DC93" s="27" t="str">
        <f t="shared" si="74"/>
        <v xml:space="preserve"> </v>
      </c>
    </row>
    <row r="94" spans="2:107" ht="13.5" customHeight="1" x14ac:dyDescent="0.35">
      <c r="B94" s="3" t="str">
        <v/>
      </c>
      <c r="C94" s="36" t="str">
        <v/>
      </c>
      <c r="D94" s="36" t="str">
        <v/>
      </c>
      <c r="E94" s="36" t="str">
        <v/>
      </c>
      <c r="F94" s="36" t="str">
        <v/>
      </c>
      <c r="G94" s="36" t="str">
        <v/>
      </c>
      <c r="H94" s="36" t="str">
        <v/>
      </c>
      <c r="I94" s="36" t="str">
        <v/>
      </c>
      <c r="J94" s="36" t="str">
        <v/>
      </c>
      <c r="K94" s="36" t="str">
        <v/>
      </c>
      <c r="L94" s="36" t="str">
        <v/>
      </c>
      <c r="M94" s="27" t="str">
        <v/>
      </c>
      <c r="O94" s="3" t="str">
        <f t="shared" si="75"/>
        <v/>
      </c>
      <c r="P94" s="36" t="str">
        <f t="shared" si="75"/>
        <v/>
      </c>
      <c r="Q94" s="36" t="str">
        <f t="shared" si="75"/>
        <v/>
      </c>
      <c r="R94" s="36" t="str">
        <f t="shared" si="75"/>
        <v/>
      </c>
      <c r="S94" s="36" t="str">
        <f t="shared" si="75"/>
        <v/>
      </c>
      <c r="T94" s="36" t="str">
        <f t="shared" si="75"/>
        <v/>
      </c>
      <c r="U94" s="36" t="str">
        <f t="shared" si="75"/>
        <v/>
      </c>
      <c r="V94" s="36" t="str">
        <f t="shared" si="75"/>
        <v/>
      </c>
      <c r="W94" s="36" t="str">
        <f t="shared" si="75"/>
        <v/>
      </c>
      <c r="X94" s="36" t="str">
        <f t="shared" si="75"/>
        <v/>
      </c>
      <c r="Y94" s="36" t="str">
        <f t="shared" si="75"/>
        <v/>
      </c>
      <c r="Z94" s="27" t="str">
        <f t="shared" si="75"/>
        <v/>
      </c>
      <c r="AB94" s="3" t="str">
        <f t="array" ref="AB94">IFERROR(INDEX(TRAS1B1,SMALL(IF(FREQUENCY(IF(TRAS1B1&lt;&gt;"",MATCH(ROW(TRAS1B1),ROW(TRAS1B1)),""),MATCH(ROW(TRAS1B1),ROW(TRAS1B1)))&gt;0,MATCH(ROW(TRAS1B1),ROW(TRAS1B1)),""),ROW(A31)),COLUMN(A31)),"")</f>
        <v/>
      </c>
      <c r="AC94" s="36" t="str">
        <f t="array" ref="AC94">IFERROR(INDEX(TRAS1B2,SMALL(IF(FREQUENCY(IF(TRAS1B2&lt;&gt;"",MATCH(ROW(TRAS1B2),ROW(TRAS1B2)),""),MATCH(ROW(TRAS1B2),ROW(TRAS1B2)))&gt;0,MATCH(ROW(TRAS1B2),ROW(TRAS1B2)),""),ROW(A31)),COLUMN(A31)),"")</f>
        <v/>
      </c>
      <c r="AD94" s="36" t="str">
        <f t="array" ref="AD94">IFERROR(INDEX(TRAS1B3,SMALL(IF(FREQUENCY(IF(TRAS1B3&lt;&gt;"",MATCH(ROW(TRAS1B3),ROW(TRAS1B3)),""),MATCH(ROW(TRAS1B3),ROW(TRAS1B3)))&gt;0,MATCH(ROW(TRAS1B3),ROW(TRAS1B3)),""),ROW(A31)),COLUMN(A31)),"")</f>
        <v/>
      </c>
      <c r="AE94" s="36" t="str">
        <f t="array" ref="AE94">IFERROR(INDEX(TRAS1B4,SMALL(IF(FREQUENCY(IF(TRAS1B4&lt;&gt;"",MATCH(ROW(TRAS1B4),ROW(TRAS1B4)),""),MATCH(ROW(TRAS1B4),ROW(TRAS1B4)))&gt;0,MATCH(ROW(TRAS1B4),ROW(TRAS1B4)),""),ROW(A31)),COLUMN(A31)),"")</f>
        <v/>
      </c>
      <c r="AF94" s="36" t="str">
        <f t="array" ref="AF94">IFERROR(INDEX(TRAS1B5,SMALL(IF(FREQUENCY(IF(TRAS1B5&lt;&gt;"",MATCH(ROW(TRAS1B5),ROW(TRAS1B5)),""),MATCH(ROW(TRAS1B5),ROW(TRAS1B5)))&gt;0,MATCH(ROW(TRAS1B5),ROW(TRAS1B5)),""),ROW(A31)),COLUMN(A31)),"")</f>
        <v/>
      </c>
      <c r="AG94" s="36" t="str">
        <f t="array" ref="AG94">IFERROR(INDEX(TRAS1B6,SMALL(IF(FREQUENCY(IF(TRAS1B6&lt;&gt;"",MATCH(ROW(TRAS1B6),ROW(TRAS1B6)),""),MATCH(ROW(TRAS1B6),ROW(TRAS1B6)))&gt;0,MATCH(ROW(TRAS1B6),ROW(TRAS1B6)),""),ROW(A31)),COLUMN(A31)),"")</f>
        <v/>
      </c>
      <c r="AH94" s="36" t="str">
        <f t="array" ref="AH94">IFERROR(INDEX(TRAS1B7,SMALL(IF(FREQUENCY(IF(TRAS1B7&lt;&gt;"",MATCH(ROW(TRAS1B7),ROW(TRAS1B7)),""),MATCH(ROW(TRAS1B7),ROW(TRAS1B7)))&gt;0,MATCH(ROW(TRAS1B7),ROW(TRAS1B7)),""),ROW(A31)),COLUMN(A31)),"")</f>
        <v/>
      </c>
      <c r="AI94" s="36" t="str">
        <f t="array" ref="AI94">IFERROR(INDEX(TRAS1B8,SMALL(IF(FREQUENCY(IF(TRAS1B8&lt;&gt;"",MATCH(ROW(TRAS1B8),ROW(TRAS1B8)),""),MATCH(ROW(TRAS1B8),ROW(TRAS1B8)))&gt;0,MATCH(ROW(TRAS1B8),ROW(TRAS1B8)),""),ROW(A31)),COLUMN(A31)),"")</f>
        <v/>
      </c>
      <c r="AJ94" s="36" t="str">
        <f t="array" ref="AJ94">IFERROR(INDEX(TRAS1B9,SMALL(IF(FREQUENCY(IF(TRAS1B9&lt;&gt;"",MATCH(ROW(TRAS1B9),ROW(TRAS1B9)),""),MATCH(ROW(TRAS1B9),ROW(TRAS1B9)))&gt;0,MATCH(ROW(TRAS1B9),ROW(TRAS1B9)),""),ROW(A31)),COLUMN(A31)),"")</f>
        <v/>
      </c>
      <c r="AK94" s="36" t="str">
        <f t="array" ref="AK94">IFERROR(INDEX(TRAS1B10,SMALL(IF(FREQUENCY(IF(TRAS1B10&lt;&gt;"",MATCH(ROW(TRAS1B10),ROW(TRAS1B10)),""),MATCH(ROW(TRAS1B10),ROW(TRAS1B10)))&gt;0,MATCH(ROW(TRAS1B10),ROW(TRAS1B10)),""),ROW(A31)),COLUMN(A31)),"")</f>
        <v/>
      </c>
      <c r="AL94" s="36" t="str">
        <f t="array" ref="AL94">IFERROR(INDEX(TRAS1B11,SMALL(IF(FREQUENCY(IF(TRAS1B11&lt;&gt;"",MATCH(ROW(TRAS1B11),ROW(TRAS1B11)),""),MATCH(ROW(TRAS1B11),ROW(TRAS1B11)))&gt;0,MATCH(ROW(TRAS1B11),ROW(TRAS1B11)),""),ROW(A31)),COLUMN(A31)),"")</f>
        <v/>
      </c>
      <c r="AM94" s="27" t="str">
        <f t="array" ref="AM94">IFERROR(INDEX(TRAS1B12,SMALL(IF(FREQUENCY(IF(TRAS1B12&lt;&gt;"",MATCH(ROW(TRAS1B12),ROW(TRAS1B12)),""),MATCH(ROW(TRAS1B12),ROW(TRAS1B12)))&gt;0,MATCH(ROW(TRAS1B12),ROW(TRAS1B12)),""),ROW(A31)),COLUMN(A31)),"")</f>
        <v/>
      </c>
      <c r="AO94" s="3" t="str">
        <f t="shared" si="76"/>
        <v xml:space="preserve"> </v>
      </c>
      <c r="AP94" s="36" t="str">
        <f t="shared" si="77"/>
        <v xml:space="preserve"> </v>
      </c>
      <c r="AQ94" s="36" t="str">
        <f t="shared" si="78"/>
        <v xml:space="preserve"> </v>
      </c>
      <c r="AR94" s="36" t="str">
        <f t="shared" si="79"/>
        <v xml:space="preserve"> </v>
      </c>
      <c r="AS94" s="36" t="str">
        <f t="shared" si="80"/>
        <v xml:space="preserve"> </v>
      </c>
      <c r="AT94" s="36" t="str">
        <f t="shared" si="81"/>
        <v xml:space="preserve"> </v>
      </c>
      <c r="AU94" s="36" t="str">
        <f t="shared" si="82"/>
        <v xml:space="preserve"> </v>
      </c>
      <c r="AV94" s="36" t="str">
        <f t="shared" si="83"/>
        <v xml:space="preserve"> </v>
      </c>
      <c r="AW94" s="36" t="str">
        <f t="shared" si="84"/>
        <v xml:space="preserve"> </v>
      </c>
      <c r="AX94" s="36" t="str">
        <f t="shared" si="85"/>
        <v xml:space="preserve"> </v>
      </c>
      <c r="AY94" s="36" t="str">
        <f t="shared" si="86"/>
        <v xml:space="preserve"> </v>
      </c>
      <c r="AZ94" s="27" t="str">
        <f t="shared" si="87"/>
        <v xml:space="preserve"> </v>
      </c>
      <c r="BE94" s="3" t="str">
        <v/>
      </c>
      <c r="BF94" s="36" t="str">
        <v/>
      </c>
      <c r="BG94" s="36" t="str">
        <v/>
      </c>
      <c r="BH94" s="36" t="str">
        <v/>
      </c>
      <c r="BI94" s="36" t="str">
        <v/>
      </c>
      <c r="BJ94" s="36" t="str">
        <v/>
      </c>
      <c r="BK94" s="36" t="str">
        <v/>
      </c>
      <c r="BL94" s="36" t="str">
        <v/>
      </c>
      <c r="BM94" s="36" t="str">
        <v/>
      </c>
      <c r="BN94" s="36" t="str">
        <v/>
      </c>
      <c r="BO94" s="36" t="str">
        <v/>
      </c>
      <c r="BP94" s="27" t="str">
        <v/>
      </c>
      <c r="BR94" s="3" t="str">
        <f t="shared" si="88"/>
        <v/>
      </c>
      <c r="BS94" s="36" t="str">
        <f t="shared" si="53"/>
        <v/>
      </c>
      <c r="BT94" s="36" t="str">
        <f t="shared" si="54"/>
        <v/>
      </c>
      <c r="BU94" s="36" t="str">
        <f t="shared" si="55"/>
        <v/>
      </c>
      <c r="BV94" s="36" t="str">
        <f t="shared" si="56"/>
        <v/>
      </c>
      <c r="BW94" s="36" t="str">
        <f t="shared" si="57"/>
        <v/>
      </c>
      <c r="BX94" s="36" t="str">
        <f t="shared" si="58"/>
        <v/>
      </c>
      <c r="BY94" s="36" t="str">
        <f t="shared" si="59"/>
        <v/>
      </c>
      <c r="BZ94" s="36" t="str">
        <f t="shared" si="60"/>
        <v/>
      </c>
      <c r="CA94" s="36" t="str">
        <f t="shared" si="61"/>
        <v/>
      </c>
      <c r="CB94" s="36" t="str">
        <f t="shared" si="62"/>
        <v/>
      </c>
      <c r="CC94" s="27" t="str">
        <f t="shared" si="63"/>
        <v/>
      </c>
      <c r="CE94" s="3" t="str">
        <f t="array" ref="CE94">IFERROR(INDEX(TRAS1B1,SMALL(IF(FREQUENCY(IF(TRAS1B1&lt;&gt;"",MATCH(ROW(TRAS1B1),ROW(TRAS1B1)),""),MATCH(ROW(TRAS1B1),ROW(TRAS1B1)))&gt;0,MATCH(ROW(TRAS1B1),ROW(TRAS1B1)),""),ROW(BD78)),COLUMN(BD78)),"")</f>
        <v/>
      </c>
      <c r="CF94" s="36" t="str">
        <f t="array" ref="CF94">IFERROR(INDEX(TRAS1B2,SMALL(IF(FREQUENCY(IF(TRAS1B2&lt;&gt;"",MATCH(ROW(TRAS1B2),ROW(TRAS1B2)),""),MATCH(ROW(TRAS1B2),ROW(TRAS1B2)))&gt;0,MATCH(ROW(TRAS1B2),ROW(TRAS1B2)),""),ROW(BD78)),COLUMN(BD78)),"")</f>
        <v/>
      </c>
      <c r="CG94" s="36" t="str">
        <f t="array" ref="CG94">IFERROR(INDEX(TRAS1B3,SMALL(IF(FREQUENCY(IF(TRAS1B3&lt;&gt;"",MATCH(ROW(TRAS1B3),ROW(TRAS1B3)),""),MATCH(ROW(TRAS1B3),ROW(TRAS1B3)))&gt;0,MATCH(ROW(TRAS1B3),ROW(TRAS1B3)),""),ROW(BD78)),COLUMN(BD78)),"")</f>
        <v/>
      </c>
      <c r="CH94" s="36" t="str">
        <f t="array" ref="CH94">IFERROR(INDEX(TRAS1B4,SMALL(IF(FREQUENCY(IF(TRAS1B4&lt;&gt;"",MATCH(ROW(TRAS1B4),ROW(TRAS1B4)),""),MATCH(ROW(TRAS1B4),ROW(TRAS1B4)))&gt;0,MATCH(ROW(TRAS1B4),ROW(TRAS1B4)),""),ROW(BD78)),COLUMN(BD78)),"")</f>
        <v/>
      </c>
      <c r="CI94" s="36" t="str">
        <f t="array" ref="CI94">IFERROR(INDEX(TRAS1B5,SMALL(IF(FREQUENCY(IF(TRAS1B5&lt;&gt;"",MATCH(ROW(TRAS1B5),ROW(TRAS1B5)),""),MATCH(ROW(TRAS1B5),ROW(TRAS1B5)))&gt;0,MATCH(ROW(TRAS1B5),ROW(TRAS1B5)),""),ROW(BD78)),COLUMN(BD78)),"")</f>
        <v/>
      </c>
      <c r="CJ94" s="36" t="str">
        <f t="array" ref="CJ94">IFERROR(INDEX(TRAS1B6,SMALL(IF(FREQUENCY(IF(TRAS1B6&lt;&gt;"",MATCH(ROW(TRAS1B6),ROW(TRAS1B6)),""),MATCH(ROW(TRAS1B6),ROW(TRAS1B6)))&gt;0,MATCH(ROW(TRAS1B6),ROW(TRAS1B6)),""),ROW(BD78)),COLUMN(BD78)),"")</f>
        <v/>
      </c>
      <c r="CK94" s="36" t="str">
        <f t="array" ref="CK94">IFERROR(INDEX(TRAS1B7,SMALL(IF(FREQUENCY(IF(TRAS1B7&lt;&gt;"",MATCH(ROW(TRAS1B7),ROW(TRAS1B7)),""),MATCH(ROW(TRAS1B7),ROW(TRAS1B7)))&gt;0,MATCH(ROW(TRAS1B7),ROW(TRAS1B7)),""),ROW(BD78)),COLUMN(BD78)),"")</f>
        <v/>
      </c>
      <c r="CL94" s="36" t="str">
        <f t="array" ref="CL94">IFERROR(INDEX(TRAS1B8,SMALL(IF(FREQUENCY(IF(TRAS1B8&lt;&gt;"",MATCH(ROW(TRAS1B8),ROW(TRAS1B8)),""),MATCH(ROW(TRAS1B8),ROW(TRAS1B8)))&gt;0,MATCH(ROW(TRAS1B8),ROW(TRAS1B8)),""),ROW(BD78)),COLUMN(BD78)),"")</f>
        <v/>
      </c>
      <c r="CM94" s="36" t="str">
        <f t="array" ref="CM94">IFERROR(INDEX(TRAS1B9,SMALL(IF(FREQUENCY(IF(TRAS1B9&lt;&gt;"",MATCH(ROW(TRAS1B9),ROW(TRAS1B9)),""),MATCH(ROW(TRAS1B9),ROW(TRAS1B9)))&gt;0,MATCH(ROW(TRAS1B9),ROW(TRAS1B9)),""),ROW(BD78)),COLUMN(BD78)),"")</f>
        <v/>
      </c>
      <c r="CN94" s="36" t="str">
        <f t="array" ref="CN94">IFERROR(INDEX(TRAS1B10,SMALL(IF(FREQUENCY(IF(TRAS1B10&lt;&gt;"",MATCH(ROW(TRAS1B10),ROW(TRAS1B10)),""),MATCH(ROW(TRAS1B10),ROW(TRAS1B10)))&gt;0,MATCH(ROW(TRAS1B10),ROW(TRAS1B10)),""),ROW(BD78)),COLUMN(BD78)),"")</f>
        <v/>
      </c>
      <c r="CO94" s="36" t="str">
        <f t="array" ref="CO94">IFERROR(INDEX(TRAS1B11,SMALL(IF(FREQUENCY(IF(TRAS1B11&lt;&gt;"",MATCH(ROW(TRAS1B11),ROW(TRAS1B11)),""),MATCH(ROW(TRAS1B11),ROW(TRAS1B11)))&gt;0,MATCH(ROW(TRAS1B11),ROW(TRAS1B11)),""),ROW(BD78)),COLUMN(BD78)),"")</f>
        <v/>
      </c>
      <c r="CP94" s="27" t="str">
        <f t="array" ref="CP94">IFERROR(INDEX(TRAS1B12,SMALL(IF(FREQUENCY(IF(TRAS1B12&lt;&gt;"",MATCH(ROW(TRAS1B12),ROW(TRAS1B12)),""),MATCH(ROW(TRAS1B12),ROW(TRAS1B12)))&gt;0,MATCH(ROW(TRAS1B12),ROW(TRAS1B12)),""),ROW(BD78)),COLUMN(BD78)),"")</f>
        <v/>
      </c>
      <c r="CR94" s="3" t="str">
        <f t="shared" si="89"/>
        <v xml:space="preserve"> </v>
      </c>
      <c r="CS94" s="36" t="str">
        <f t="shared" si="64"/>
        <v xml:space="preserve"> </v>
      </c>
      <c r="CT94" s="36" t="str">
        <f t="shared" si="65"/>
        <v xml:space="preserve"> </v>
      </c>
      <c r="CU94" s="36" t="str">
        <f t="shared" si="66"/>
        <v xml:space="preserve"> </v>
      </c>
      <c r="CV94" s="36" t="str">
        <f t="shared" si="67"/>
        <v xml:space="preserve"> </v>
      </c>
      <c r="CW94" s="36" t="str">
        <f t="shared" si="68"/>
        <v xml:space="preserve"> </v>
      </c>
      <c r="CX94" s="36" t="str">
        <f t="shared" si="69"/>
        <v xml:space="preserve"> </v>
      </c>
      <c r="CY94" s="36" t="str">
        <f t="shared" si="70"/>
        <v xml:space="preserve"> </v>
      </c>
      <c r="CZ94" s="36" t="str">
        <f t="shared" si="71"/>
        <v xml:space="preserve"> </v>
      </c>
      <c r="DA94" s="36" t="str">
        <f t="shared" si="72"/>
        <v xml:space="preserve"> </v>
      </c>
      <c r="DB94" s="36" t="str">
        <f t="shared" si="73"/>
        <v xml:space="preserve"> </v>
      </c>
      <c r="DC94" s="27" t="str">
        <f t="shared" si="74"/>
        <v xml:space="preserve"> </v>
      </c>
    </row>
    <row r="95" spans="2:107" ht="13.5" customHeight="1" x14ac:dyDescent="0.35">
      <c r="B95" s="3" t="str">
        <v/>
      </c>
      <c r="C95" s="36" t="str">
        <v/>
      </c>
      <c r="D95" s="36" t="str">
        <v/>
      </c>
      <c r="E95" s="36" t="str">
        <v/>
      </c>
      <c r="F95" s="36" t="str">
        <v/>
      </c>
      <c r="G95" s="36" t="str">
        <v/>
      </c>
      <c r="H95" s="36" t="str">
        <v/>
      </c>
      <c r="I95" s="36" t="str">
        <v/>
      </c>
      <c r="J95" s="36" t="str">
        <v/>
      </c>
      <c r="K95" s="36" t="str">
        <v/>
      </c>
      <c r="L95" s="36" t="str">
        <v/>
      </c>
      <c r="M95" s="27" t="str">
        <v/>
      </c>
      <c r="O95" s="3" t="str">
        <f t="shared" si="75"/>
        <v/>
      </c>
      <c r="P95" s="36" t="str">
        <f t="shared" si="75"/>
        <v/>
      </c>
      <c r="Q95" s="36" t="str">
        <f t="shared" si="75"/>
        <v/>
      </c>
      <c r="R95" s="36" t="str">
        <f t="shared" si="75"/>
        <v/>
      </c>
      <c r="S95" s="36" t="str">
        <f t="shared" si="75"/>
        <v/>
      </c>
      <c r="T95" s="36" t="str">
        <f t="shared" si="75"/>
        <v/>
      </c>
      <c r="U95" s="36" t="str">
        <f t="shared" si="75"/>
        <v/>
      </c>
      <c r="V95" s="36" t="str">
        <f t="shared" si="75"/>
        <v/>
      </c>
      <c r="W95" s="36" t="str">
        <f t="shared" si="75"/>
        <v/>
      </c>
      <c r="X95" s="36" t="str">
        <f t="shared" si="75"/>
        <v/>
      </c>
      <c r="Y95" s="36" t="str">
        <f t="shared" si="75"/>
        <v/>
      </c>
      <c r="Z95" s="27" t="str">
        <f t="shared" si="75"/>
        <v/>
      </c>
      <c r="AB95" s="3" t="str">
        <f t="array" ref="AB95">IFERROR(INDEX(TRAS1B1,SMALL(IF(FREQUENCY(IF(TRAS1B1&lt;&gt;"",MATCH(ROW(TRAS1B1),ROW(TRAS1B1)),""),MATCH(ROW(TRAS1B1),ROW(TRAS1B1)))&gt;0,MATCH(ROW(TRAS1B1),ROW(TRAS1B1)),""),ROW(A32)),COLUMN(A32)),"")</f>
        <v/>
      </c>
      <c r="AC95" s="36" t="str">
        <f t="array" ref="AC95">IFERROR(INDEX(TRAS1B2,SMALL(IF(FREQUENCY(IF(TRAS1B2&lt;&gt;"",MATCH(ROW(TRAS1B2),ROW(TRAS1B2)),""),MATCH(ROW(TRAS1B2),ROW(TRAS1B2)))&gt;0,MATCH(ROW(TRAS1B2),ROW(TRAS1B2)),""),ROW(A32)),COLUMN(A32)),"")</f>
        <v/>
      </c>
      <c r="AD95" s="36" t="str">
        <f t="array" ref="AD95">IFERROR(INDEX(TRAS1B3,SMALL(IF(FREQUENCY(IF(TRAS1B3&lt;&gt;"",MATCH(ROW(TRAS1B3),ROW(TRAS1B3)),""),MATCH(ROW(TRAS1B3),ROW(TRAS1B3)))&gt;0,MATCH(ROW(TRAS1B3),ROW(TRAS1B3)),""),ROW(A32)),COLUMN(A32)),"")</f>
        <v/>
      </c>
      <c r="AE95" s="36" t="str">
        <f t="array" ref="AE95">IFERROR(INDEX(TRAS1B4,SMALL(IF(FREQUENCY(IF(TRAS1B4&lt;&gt;"",MATCH(ROW(TRAS1B4),ROW(TRAS1B4)),""),MATCH(ROW(TRAS1B4),ROW(TRAS1B4)))&gt;0,MATCH(ROW(TRAS1B4),ROW(TRAS1B4)),""),ROW(A32)),COLUMN(A32)),"")</f>
        <v/>
      </c>
      <c r="AF95" s="36" t="str">
        <f t="array" ref="AF95">IFERROR(INDEX(TRAS1B5,SMALL(IF(FREQUENCY(IF(TRAS1B5&lt;&gt;"",MATCH(ROW(TRAS1B5),ROW(TRAS1B5)),""),MATCH(ROW(TRAS1B5),ROW(TRAS1B5)))&gt;0,MATCH(ROW(TRAS1B5),ROW(TRAS1B5)),""),ROW(A32)),COLUMN(A32)),"")</f>
        <v/>
      </c>
      <c r="AG95" s="36" t="str">
        <f t="array" ref="AG95">IFERROR(INDEX(TRAS1B6,SMALL(IF(FREQUENCY(IF(TRAS1B6&lt;&gt;"",MATCH(ROW(TRAS1B6),ROW(TRAS1B6)),""),MATCH(ROW(TRAS1B6),ROW(TRAS1B6)))&gt;0,MATCH(ROW(TRAS1B6),ROW(TRAS1B6)),""),ROW(A32)),COLUMN(A32)),"")</f>
        <v/>
      </c>
      <c r="AH95" s="36" t="str">
        <f t="array" ref="AH95">IFERROR(INDEX(TRAS1B7,SMALL(IF(FREQUENCY(IF(TRAS1B7&lt;&gt;"",MATCH(ROW(TRAS1B7),ROW(TRAS1B7)),""),MATCH(ROW(TRAS1B7),ROW(TRAS1B7)))&gt;0,MATCH(ROW(TRAS1B7),ROW(TRAS1B7)),""),ROW(A32)),COLUMN(A32)),"")</f>
        <v/>
      </c>
      <c r="AI95" s="36" t="str">
        <f t="array" ref="AI95">IFERROR(INDEX(TRAS1B8,SMALL(IF(FREQUENCY(IF(TRAS1B8&lt;&gt;"",MATCH(ROW(TRAS1B8),ROW(TRAS1B8)),""),MATCH(ROW(TRAS1B8),ROW(TRAS1B8)))&gt;0,MATCH(ROW(TRAS1B8),ROW(TRAS1B8)),""),ROW(A32)),COLUMN(A32)),"")</f>
        <v/>
      </c>
      <c r="AJ95" s="36" t="str">
        <f t="array" ref="AJ95">IFERROR(INDEX(TRAS1B9,SMALL(IF(FREQUENCY(IF(TRAS1B9&lt;&gt;"",MATCH(ROW(TRAS1B9),ROW(TRAS1B9)),""),MATCH(ROW(TRAS1B9),ROW(TRAS1B9)))&gt;0,MATCH(ROW(TRAS1B9),ROW(TRAS1B9)),""),ROW(A32)),COLUMN(A32)),"")</f>
        <v/>
      </c>
      <c r="AK95" s="36" t="str">
        <f t="array" ref="AK95">IFERROR(INDEX(TRAS1B10,SMALL(IF(FREQUENCY(IF(TRAS1B10&lt;&gt;"",MATCH(ROW(TRAS1B10),ROW(TRAS1B10)),""),MATCH(ROW(TRAS1B10),ROW(TRAS1B10)))&gt;0,MATCH(ROW(TRAS1B10),ROW(TRAS1B10)),""),ROW(A32)),COLUMN(A32)),"")</f>
        <v/>
      </c>
      <c r="AL95" s="36" t="str">
        <f t="array" ref="AL95">IFERROR(INDEX(TRAS1B11,SMALL(IF(FREQUENCY(IF(TRAS1B11&lt;&gt;"",MATCH(ROW(TRAS1B11),ROW(TRAS1B11)),""),MATCH(ROW(TRAS1B11),ROW(TRAS1B11)))&gt;0,MATCH(ROW(TRAS1B11),ROW(TRAS1B11)),""),ROW(A32)),COLUMN(A32)),"")</f>
        <v/>
      </c>
      <c r="AM95" s="27" t="str">
        <f t="array" ref="AM95">IFERROR(INDEX(TRAS1B12,SMALL(IF(FREQUENCY(IF(TRAS1B12&lt;&gt;"",MATCH(ROW(TRAS1B12),ROW(TRAS1B12)),""),MATCH(ROW(TRAS1B12),ROW(TRAS1B12)))&gt;0,MATCH(ROW(TRAS1B12),ROW(TRAS1B12)),""),ROW(A32)),COLUMN(A32)),"")</f>
        <v/>
      </c>
      <c r="AO95" s="3" t="str">
        <f t="shared" si="76"/>
        <v xml:space="preserve"> </v>
      </c>
      <c r="AP95" s="36" t="str">
        <f t="shared" si="77"/>
        <v xml:space="preserve"> </v>
      </c>
      <c r="AQ95" s="36" t="str">
        <f t="shared" si="78"/>
        <v xml:space="preserve"> </v>
      </c>
      <c r="AR95" s="36" t="str">
        <f t="shared" si="79"/>
        <v xml:space="preserve"> </v>
      </c>
      <c r="AS95" s="36" t="str">
        <f t="shared" si="80"/>
        <v xml:space="preserve"> </v>
      </c>
      <c r="AT95" s="36" t="str">
        <f t="shared" si="81"/>
        <v xml:space="preserve"> </v>
      </c>
      <c r="AU95" s="36" t="str">
        <f t="shared" si="82"/>
        <v xml:space="preserve"> </v>
      </c>
      <c r="AV95" s="36" t="str">
        <f t="shared" si="83"/>
        <v xml:space="preserve"> </v>
      </c>
      <c r="AW95" s="36" t="str">
        <f t="shared" si="84"/>
        <v xml:space="preserve"> </v>
      </c>
      <c r="AX95" s="36" t="str">
        <f t="shared" si="85"/>
        <v xml:space="preserve"> </v>
      </c>
      <c r="AY95" s="36" t="str">
        <f t="shared" si="86"/>
        <v xml:space="preserve"> </v>
      </c>
      <c r="AZ95" s="27" t="str">
        <f t="shared" si="87"/>
        <v xml:space="preserve"> </v>
      </c>
      <c r="BE95" s="3" t="str">
        <v/>
      </c>
      <c r="BF95" s="36" t="str">
        <v/>
      </c>
      <c r="BG95" s="36" t="str">
        <v/>
      </c>
      <c r="BH95" s="36" t="str">
        <v/>
      </c>
      <c r="BI95" s="36" t="str">
        <v/>
      </c>
      <c r="BJ95" s="36" t="str">
        <v/>
      </c>
      <c r="BK95" s="36" t="str">
        <v/>
      </c>
      <c r="BL95" s="36" t="str">
        <v/>
      </c>
      <c r="BM95" s="36" t="str">
        <v/>
      </c>
      <c r="BN95" s="36" t="str">
        <v/>
      </c>
      <c r="BO95" s="36" t="str">
        <v/>
      </c>
      <c r="BP95" s="27" t="str">
        <v/>
      </c>
      <c r="BR95" s="3" t="str">
        <f t="shared" si="88"/>
        <v/>
      </c>
      <c r="BS95" s="36" t="str">
        <f t="shared" si="53"/>
        <v/>
      </c>
      <c r="BT95" s="36" t="str">
        <f t="shared" si="54"/>
        <v/>
      </c>
      <c r="BU95" s="36" t="str">
        <f t="shared" si="55"/>
        <v/>
      </c>
      <c r="BV95" s="36" t="str">
        <f t="shared" si="56"/>
        <v/>
      </c>
      <c r="BW95" s="36" t="str">
        <f t="shared" si="57"/>
        <v/>
      </c>
      <c r="BX95" s="36" t="str">
        <f t="shared" si="58"/>
        <v/>
      </c>
      <c r="BY95" s="36" t="str">
        <f t="shared" si="59"/>
        <v/>
      </c>
      <c r="BZ95" s="36" t="str">
        <f t="shared" si="60"/>
        <v/>
      </c>
      <c r="CA95" s="36" t="str">
        <f t="shared" si="61"/>
        <v/>
      </c>
      <c r="CB95" s="36" t="str">
        <f t="shared" si="62"/>
        <v/>
      </c>
      <c r="CC95" s="27" t="str">
        <f t="shared" si="63"/>
        <v/>
      </c>
      <c r="CE95" s="3" t="str">
        <f t="array" ref="CE95">IFERROR(INDEX(TRAS1B1,SMALL(IF(FREQUENCY(IF(TRAS1B1&lt;&gt;"",MATCH(ROW(TRAS1B1),ROW(TRAS1B1)),""),MATCH(ROW(TRAS1B1),ROW(TRAS1B1)))&gt;0,MATCH(ROW(TRAS1B1),ROW(TRAS1B1)),""),ROW(BD79)),COLUMN(BD79)),"")</f>
        <v/>
      </c>
      <c r="CF95" s="36" t="str">
        <f t="array" ref="CF95">IFERROR(INDEX(TRAS1B2,SMALL(IF(FREQUENCY(IF(TRAS1B2&lt;&gt;"",MATCH(ROW(TRAS1B2),ROW(TRAS1B2)),""),MATCH(ROW(TRAS1B2),ROW(TRAS1B2)))&gt;0,MATCH(ROW(TRAS1B2),ROW(TRAS1B2)),""),ROW(BD79)),COLUMN(BD79)),"")</f>
        <v/>
      </c>
      <c r="CG95" s="36" t="str">
        <f t="array" ref="CG95">IFERROR(INDEX(TRAS1B3,SMALL(IF(FREQUENCY(IF(TRAS1B3&lt;&gt;"",MATCH(ROW(TRAS1B3),ROW(TRAS1B3)),""),MATCH(ROW(TRAS1B3),ROW(TRAS1B3)))&gt;0,MATCH(ROW(TRAS1B3),ROW(TRAS1B3)),""),ROW(BD79)),COLUMN(BD79)),"")</f>
        <v/>
      </c>
      <c r="CH95" s="36" t="str">
        <f t="array" ref="CH95">IFERROR(INDEX(TRAS1B4,SMALL(IF(FREQUENCY(IF(TRAS1B4&lt;&gt;"",MATCH(ROW(TRAS1B4),ROW(TRAS1B4)),""),MATCH(ROW(TRAS1B4),ROW(TRAS1B4)))&gt;0,MATCH(ROW(TRAS1B4),ROW(TRAS1B4)),""),ROW(BD79)),COLUMN(BD79)),"")</f>
        <v/>
      </c>
      <c r="CI95" s="36" t="str">
        <f t="array" ref="CI95">IFERROR(INDEX(TRAS1B5,SMALL(IF(FREQUENCY(IF(TRAS1B5&lt;&gt;"",MATCH(ROW(TRAS1B5),ROW(TRAS1B5)),""),MATCH(ROW(TRAS1B5),ROW(TRAS1B5)))&gt;0,MATCH(ROW(TRAS1B5),ROW(TRAS1B5)),""),ROW(BD79)),COLUMN(BD79)),"")</f>
        <v/>
      </c>
      <c r="CJ95" s="36" t="str">
        <f t="array" ref="CJ95">IFERROR(INDEX(TRAS1B6,SMALL(IF(FREQUENCY(IF(TRAS1B6&lt;&gt;"",MATCH(ROW(TRAS1B6),ROW(TRAS1B6)),""),MATCH(ROW(TRAS1B6),ROW(TRAS1B6)))&gt;0,MATCH(ROW(TRAS1B6),ROW(TRAS1B6)),""),ROW(BD79)),COLUMN(BD79)),"")</f>
        <v/>
      </c>
      <c r="CK95" s="36" t="str">
        <f t="array" ref="CK95">IFERROR(INDEX(TRAS1B7,SMALL(IF(FREQUENCY(IF(TRAS1B7&lt;&gt;"",MATCH(ROW(TRAS1B7),ROW(TRAS1B7)),""),MATCH(ROW(TRAS1B7),ROW(TRAS1B7)))&gt;0,MATCH(ROW(TRAS1B7),ROW(TRAS1B7)),""),ROW(BD79)),COLUMN(BD79)),"")</f>
        <v/>
      </c>
      <c r="CL95" s="36" t="str">
        <f t="array" ref="CL95">IFERROR(INDEX(TRAS1B8,SMALL(IF(FREQUENCY(IF(TRAS1B8&lt;&gt;"",MATCH(ROW(TRAS1B8),ROW(TRAS1B8)),""),MATCH(ROW(TRAS1B8),ROW(TRAS1B8)))&gt;0,MATCH(ROW(TRAS1B8),ROW(TRAS1B8)),""),ROW(BD79)),COLUMN(BD79)),"")</f>
        <v/>
      </c>
      <c r="CM95" s="36" t="str">
        <f t="array" ref="CM95">IFERROR(INDEX(TRAS1B9,SMALL(IF(FREQUENCY(IF(TRAS1B9&lt;&gt;"",MATCH(ROW(TRAS1B9),ROW(TRAS1B9)),""),MATCH(ROW(TRAS1B9),ROW(TRAS1B9)))&gt;0,MATCH(ROW(TRAS1B9),ROW(TRAS1B9)),""),ROW(BD79)),COLUMN(BD79)),"")</f>
        <v/>
      </c>
      <c r="CN95" s="36" t="str">
        <f t="array" ref="CN95">IFERROR(INDEX(TRAS1B10,SMALL(IF(FREQUENCY(IF(TRAS1B10&lt;&gt;"",MATCH(ROW(TRAS1B10),ROW(TRAS1B10)),""),MATCH(ROW(TRAS1B10),ROW(TRAS1B10)))&gt;0,MATCH(ROW(TRAS1B10),ROW(TRAS1B10)),""),ROW(BD79)),COLUMN(BD79)),"")</f>
        <v/>
      </c>
      <c r="CO95" s="36" t="str">
        <f t="array" ref="CO95">IFERROR(INDEX(TRAS1B11,SMALL(IF(FREQUENCY(IF(TRAS1B11&lt;&gt;"",MATCH(ROW(TRAS1B11),ROW(TRAS1B11)),""),MATCH(ROW(TRAS1B11),ROW(TRAS1B11)))&gt;0,MATCH(ROW(TRAS1B11),ROW(TRAS1B11)),""),ROW(BD79)),COLUMN(BD79)),"")</f>
        <v/>
      </c>
      <c r="CP95" s="27" t="str">
        <f t="array" ref="CP95">IFERROR(INDEX(TRAS1B12,SMALL(IF(FREQUENCY(IF(TRAS1B12&lt;&gt;"",MATCH(ROW(TRAS1B12),ROW(TRAS1B12)),""),MATCH(ROW(TRAS1B12),ROW(TRAS1B12)))&gt;0,MATCH(ROW(TRAS1B12),ROW(TRAS1B12)),""),ROW(BD79)),COLUMN(BD79)),"")</f>
        <v/>
      </c>
      <c r="CR95" s="3" t="str">
        <f t="shared" si="89"/>
        <v xml:space="preserve"> </v>
      </c>
      <c r="CS95" s="36" t="str">
        <f t="shared" si="64"/>
        <v xml:space="preserve"> </v>
      </c>
      <c r="CT95" s="36" t="str">
        <f t="shared" si="65"/>
        <v xml:space="preserve"> </v>
      </c>
      <c r="CU95" s="36" t="str">
        <f t="shared" si="66"/>
        <v xml:space="preserve"> </v>
      </c>
      <c r="CV95" s="36" t="str">
        <f t="shared" si="67"/>
        <v xml:space="preserve"> </v>
      </c>
      <c r="CW95" s="36" t="str">
        <f t="shared" si="68"/>
        <v xml:space="preserve"> </v>
      </c>
      <c r="CX95" s="36" t="str">
        <f t="shared" si="69"/>
        <v xml:space="preserve"> </v>
      </c>
      <c r="CY95" s="36" t="str">
        <f t="shared" si="70"/>
        <v xml:space="preserve"> </v>
      </c>
      <c r="CZ95" s="36" t="str">
        <f t="shared" si="71"/>
        <v xml:space="preserve"> </v>
      </c>
      <c r="DA95" s="36" t="str">
        <f t="shared" si="72"/>
        <v xml:space="preserve"> </v>
      </c>
      <c r="DB95" s="36" t="str">
        <f t="shared" si="73"/>
        <v xml:space="preserve"> </v>
      </c>
      <c r="DC95" s="27" t="str">
        <f t="shared" si="74"/>
        <v xml:space="preserve"> </v>
      </c>
    </row>
    <row r="96" spans="2:107" ht="13.5" customHeight="1" thickBot="1" x14ac:dyDescent="0.4">
      <c r="B96" s="3" t="str">
        <v/>
      </c>
      <c r="C96" s="36" t="str">
        <v/>
      </c>
      <c r="D96" s="36" t="str">
        <v/>
      </c>
      <c r="E96" s="36" t="str">
        <v/>
      </c>
      <c r="F96" s="36" t="str">
        <v/>
      </c>
      <c r="G96" s="36" t="str">
        <v/>
      </c>
      <c r="H96" s="36" t="str">
        <v/>
      </c>
      <c r="I96" s="36" t="str">
        <v/>
      </c>
      <c r="J96" s="36" t="str">
        <v/>
      </c>
      <c r="K96" s="36" t="str">
        <v/>
      </c>
      <c r="L96" s="36" t="str">
        <v/>
      </c>
      <c r="M96" s="27" t="str">
        <v/>
      </c>
      <c r="O96" s="3" t="str">
        <f t="shared" si="75"/>
        <v/>
      </c>
      <c r="P96" s="36" t="str">
        <f t="shared" si="75"/>
        <v/>
      </c>
      <c r="Q96" s="36" t="str">
        <f t="shared" si="75"/>
        <v/>
      </c>
      <c r="R96" s="36" t="str">
        <f t="shared" si="75"/>
        <v/>
      </c>
      <c r="S96" s="36" t="str">
        <f t="shared" si="75"/>
        <v/>
      </c>
      <c r="T96" s="36" t="str">
        <f t="shared" si="75"/>
        <v/>
      </c>
      <c r="U96" s="36" t="str">
        <f t="shared" si="75"/>
        <v/>
      </c>
      <c r="V96" s="36" t="str">
        <f t="shared" si="75"/>
        <v/>
      </c>
      <c r="W96" s="36" t="str">
        <f t="shared" si="75"/>
        <v/>
      </c>
      <c r="X96" s="36" t="str">
        <f t="shared" si="75"/>
        <v/>
      </c>
      <c r="Y96" s="36" t="str">
        <f t="shared" si="75"/>
        <v/>
      </c>
      <c r="Z96" s="27" t="str">
        <f t="shared" si="75"/>
        <v/>
      </c>
      <c r="AB96" s="3" t="str">
        <f t="array" ref="AB96">IFERROR(INDEX(TRAS1B1,SMALL(IF(FREQUENCY(IF(TRAS1B1&lt;&gt;"",MATCH(ROW(TRAS1B1),ROW(TRAS1B1)),""),MATCH(ROW(TRAS1B1),ROW(TRAS1B1)))&gt;0,MATCH(ROW(TRAS1B1),ROW(TRAS1B1)),""),ROW(A33)),COLUMN(A33)),"")</f>
        <v/>
      </c>
      <c r="AC96" s="36" t="str">
        <f t="array" ref="AC96">IFERROR(INDEX(TRAS1B2,SMALL(IF(FREQUENCY(IF(TRAS1B2&lt;&gt;"",MATCH(ROW(TRAS1B2),ROW(TRAS1B2)),""),MATCH(ROW(TRAS1B2),ROW(TRAS1B2)))&gt;0,MATCH(ROW(TRAS1B2),ROW(TRAS1B2)),""),ROW(A33)),COLUMN(A33)),"")</f>
        <v/>
      </c>
      <c r="AD96" s="36" t="str">
        <f t="array" ref="AD96">IFERROR(INDEX(TRAS1B3,SMALL(IF(FREQUENCY(IF(TRAS1B3&lt;&gt;"",MATCH(ROW(TRAS1B3),ROW(TRAS1B3)),""),MATCH(ROW(TRAS1B3),ROW(TRAS1B3)))&gt;0,MATCH(ROW(TRAS1B3),ROW(TRAS1B3)),""),ROW(A33)),COLUMN(A33)),"")</f>
        <v/>
      </c>
      <c r="AE96" s="36" t="str">
        <f t="array" ref="AE96">IFERROR(INDEX(TRAS1B4,SMALL(IF(FREQUENCY(IF(TRAS1B4&lt;&gt;"",MATCH(ROW(TRAS1B4),ROW(TRAS1B4)),""),MATCH(ROW(TRAS1B4),ROW(TRAS1B4)))&gt;0,MATCH(ROW(TRAS1B4),ROW(TRAS1B4)),""),ROW(A33)),COLUMN(A33)),"")</f>
        <v/>
      </c>
      <c r="AF96" s="36" t="str">
        <f t="array" ref="AF96">IFERROR(INDEX(TRAS1B5,SMALL(IF(FREQUENCY(IF(TRAS1B5&lt;&gt;"",MATCH(ROW(TRAS1B5),ROW(TRAS1B5)),""),MATCH(ROW(TRAS1B5),ROW(TRAS1B5)))&gt;0,MATCH(ROW(TRAS1B5),ROW(TRAS1B5)),""),ROW(A33)),COLUMN(A33)),"")</f>
        <v/>
      </c>
      <c r="AG96" s="36" t="str">
        <f t="array" ref="AG96">IFERROR(INDEX(TRAS1B6,SMALL(IF(FREQUENCY(IF(TRAS1B6&lt;&gt;"",MATCH(ROW(TRAS1B6),ROW(TRAS1B6)),""),MATCH(ROW(TRAS1B6),ROW(TRAS1B6)))&gt;0,MATCH(ROW(TRAS1B6),ROW(TRAS1B6)),""),ROW(A33)),COLUMN(A33)),"")</f>
        <v/>
      </c>
      <c r="AH96" s="36" t="str">
        <f t="array" ref="AH96">IFERROR(INDEX(TRAS1B7,SMALL(IF(FREQUENCY(IF(TRAS1B7&lt;&gt;"",MATCH(ROW(TRAS1B7),ROW(TRAS1B7)),""),MATCH(ROW(TRAS1B7),ROW(TRAS1B7)))&gt;0,MATCH(ROW(TRAS1B7),ROW(TRAS1B7)),""),ROW(A33)),COLUMN(A33)),"")</f>
        <v/>
      </c>
      <c r="AI96" s="36" t="str">
        <f t="array" ref="AI96">IFERROR(INDEX(TRAS1B8,SMALL(IF(FREQUENCY(IF(TRAS1B8&lt;&gt;"",MATCH(ROW(TRAS1B8),ROW(TRAS1B8)),""),MATCH(ROW(TRAS1B8),ROW(TRAS1B8)))&gt;0,MATCH(ROW(TRAS1B8),ROW(TRAS1B8)),""),ROW(A33)),COLUMN(A33)),"")</f>
        <v/>
      </c>
      <c r="AJ96" s="36" t="str">
        <f t="array" ref="AJ96">IFERROR(INDEX(TRAS1B9,SMALL(IF(FREQUENCY(IF(TRAS1B9&lt;&gt;"",MATCH(ROW(TRAS1B9),ROW(TRAS1B9)),""),MATCH(ROW(TRAS1B9),ROW(TRAS1B9)))&gt;0,MATCH(ROW(TRAS1B9),ROW(TRAS1B9)),""),ROW(A33)),COLUMN(A33)),"")</f>
        <v/>
      </c>
      <c r="AK96" s="36" t="str">
        <f t="array" ref="AK96">IFERROR(INDEX(TRAS1B10,SMALL(IF(FREQUENCY(IF(TRAS1B10&lt;&gt;"",MATCH(ROW(TRAS1B10),ROW(TRAS1B10)),""),MATCH(ROW(TRAS1B10),ROW(TRAS1B10)))&gt;0,MATCH(ROW(TRAS1B10),ROW(TRAS1B10)),""),ROW(A33)),COLUMN(A33)),"")</f>
        <v/>
      </c>
      <c r="AL96" s="36" t="str">
        <f t="array" ref="AL96">IFERROR(INDEX(TRAS1B11,SMALL(IF(FREQUENCY(IF(TRAS1B11&lt;&gt;"",MATCH(ROW(TRAS1B11),ROW(TRAS1B11)),""),MATCH(ROW(TRAS1B11),ROW(TRAS1B11)))&gt;0,MATCH(ROW(TRAS1B11),ROW(TRAS1B11)),""),ROW(A33)),COLUMN(A33)),"")</f>
        <v/>
      </c>
      <c r="AM96" s="27" t="str">
        <f t="array" ref="AM96">IFERROR(INDEX(TRAS1B12,SMALL(IF(FREQUENCY(IF(TRAS1B12&lt;&gt;"",MATCH(ROW(TRAS1B12),ROW(TRAS1B12)),""),MATCH(ROW(TRAS1B12),ROW(TRAS1B12)))&gt;0,MATCH(ROW(TRAS1B12),ROW(TRAS1B12)),""),ROW(A33)),COLUMN(A33)),"")</f>
        <v/>
      </c>
      <c r="AO96" s="3" t="str">
        <f t="shared" si="76"/>
        <v xml:space="preserve"> </v>
      </c>
      <c r="AP96" s="36" t="str">
        <f t="shared" si="77"/>
        <v xml:space="preserve"> </v>
      </c>
      <c r="AQ96" s="36" t="str">
        <f t="shared" si="78"/>
        <v xml:space="preserve"> </v>
      </c>
      <c r="AR96" s="36" t="str">
        <f t="shared" si="79"/>
        <v xml:space="preserve"> </v>
      </c>
      <c r="AS96" s="36" t="str">
        <f t="shared" si="80"/>
        <v xml:space="preserve"> </v>
      </c>
      <c r="AT96" s="36" t="str">
        <f t="shared" si="81"/>
        <v xml:space="preserve"> </v>
      </c>
      <c r="AU96" s="36" t="str">
        <f t="shared" si="82"/>
        <v xml:space="preserve"> </v>
      </c>
      <c r="AV96" s="36" t="str">
        <f t="shared" si="83"/>
        <v xml:space="preserve"> </v>
      </c>
      <c r="AW96" s="36" t="str">
        <f t="shared" si="84"/>
        <v xml:space="preserve"> </v>
      </c>
      <c r="AX96" s="36" t="str">
        <f t="shared" si="85"/>
        <v xml:space="preserve"> </v>
      </c>
      <c r="AY96" s="36" t="str">
        <f t="shared" si="86"/>
        <v xml:space="preserve"> </v>
      </c>
      <c r="AZ96" s="27" t="str">
        <f t="shared" si="87"/>
        <v xml:space="preserve"> </v>
      </c>
      <c r="BE96" s="76" t="str">
        <v/>
      </c>
      <c r="BF96" s="328" t="str">
        <v/>
      </c>
      <c r="BG96" s="328" t="str">
        <v/>
      </c>
      <c r="BH96" s="328" t="str">
        <v/>
      </c>
      <c r="BI96" s="328" t="str">
        <v/>
      </c>
      <c r="BJ96" s="328" t="str">
        <v/>
      </c>
      <c r="BK96" s="328" t="str">
        <v/>
      </c>
      <c r="BL96" s="328" t="str">
        <v/>
      </c>
      <c r="BM96" s="328" t="str">
        <v/>
      </c>
      <c r="BN96" s="328" t="str">
        <v/>
      </c>
      <c r="BO96" s="328" t="str">
        <v/>
      </c>
      <c r="BP96" s="31" t="str">
        <v/>
      </c>
      <c r="BR96" s="76" t="str">
        <f t="shared" si="88"/>
        <v/>
      </c>
      <c r="BS96" s="328" t="str">
        <f t="shared" si="53"/>
        <v/>
      </c>
      <c r="BT96" s="328" t="str">
        <f t="shared" si="54"/>
        <v/>
      </c>
      <c r="BU96" s="328" t="str">
        <f t="shared" si="55"/>
        <v/>
      </c>
      <c r="BV96" s="328" t="str">
        <f t="shared" si="56"/>
        <v/>
      </c>
      <c r="BW96" s="328" t="str">
        <f t="shared" si="57"/>
        <v/>
      </c>
      <c r="BX96" s="328" t="str">
        <f t="shared" si="58"/>
        <v/>
      </c>
      <c r="BY96" s="328" t="str">
        <f t="shared" si="59"/>
        <v/>
      </c>
      <c r="BZ96" s="328" t="str">
        <f t="shared" si="60"/>
        <v/>
      </c>
      <c r="CA96" s="328" t="str">
        <f t="shared" si="61"/>
        <v/>
      </c>
      <c r="CB96" s="328" t="str">
        <f t="shared" si="62"/>
        <v/>
      </c>
      <c r="CC96" s="31" t="str">
        <f t="shared" si="63"/>
        <v/>
      </c>
      <c r="CE96" s="76" t="str">
        <f t="array" ref="CE96">IFERROR(INDEX(TRAS1B1,SMALL(IF(FREQUENCY(IF(TRAS1B1&lt;&gt;"",MATCH(ROW(TRAS1B1),ROW(TRAS1B1)),""),MATCH(ROW(TRAS1B1),ROW(TRAS1B1)))&gt;0,MATCH(ROW(TRAS1B1),ROW(TRAS1B1)),""),ROW(BD80)),COLUMN(BD80)),"")</f>
        <v/>
      </c>
      <c r="CF96" s="328" t="str">
        <f t="array" ref="CF96">IFERROR(INDEX(TRAS1B2,SMALL(IF(FREQUENCY(IF(TRAS1B2&lt;&gt;"",MATCH(ROW(TRAS1B2),ROW(TRAS1B2)),""),MATCH(ROW(TRAS1B2),ROW(TRAS1B2)))&gt;0,MATCH(ROW(TRAS1B2),ROW(TRAS1B2)),""),ROW(BD80)),COLUMN(BD80)),"")</f>
        <v/>
      </c>
      <c r="CG96" s="328" t="str">
        <f t="array" ref="CG96">IFERROR(INDEX(TRAS1B3,SMALL(IF(FREQUENCY(IF(TRAS1B3&lt;&gt;"",MATCH(ROW(TRAS1B3),ROW(TRAS1B3)),""),MATCH(ROW(TRAS1B3),ROW(TRAS1B3)))&gt;0,MATCH(ROW(TRAS1B3),ROW(TRAS1B3)),""),ROW(BD80)),COLUMN(BD80)),"")</f>
        <v/>
      </c>
      <c r="CH96" s="328" t="str">
        <f t="array" ref="CH96">IFERROR(INDEX(TRAS1B4,SMALL(IF(FREQUENCY(IF(TRAS1B4&lt;&gt;"",MATCH(ROW(TRAS1B4),ROW(TRAS1B4)),""),MATCH(ROW(TRAS1B4),ROW(TRAS1B4)))&gt;0,MATCH(ROW(TRAS1B4),ROW(TRAS1B4)),""),ROW(BD80)),COLUMN(BD80)),"")</f>
        <v/>
      </c>
      <c r="CI96" s="328" t="str">
        <f t="array" ref="CI96">IFERROR(INDEX(TRAS1B5,SMALL(IF(FREQUENCY(IF(TRAS1B5&lt;&gt;"",MATCH(ROW(TRAS1B5),ROW(TRAS1B5)),""),MATCH(ROW(TRAS1B5),ROW(TRAS1B5)))&gt;0,MATCH(ROW(TRAS1B5),ROW(TRAS1B5)),""),ROW(BD80)),COLUMN(BD80)),"")</f>
        <v/>
      </c>
      <c r="CJ96" s="328" t="str">
        <f t="array" ref="CJ96">IFERROR(INDEX(TRAS1B6,SMALL(IF(FREQUENCY(IF(TRAS1B6&lt;&gt;"",MATCH(ROW(TRAS1B6),ROW(TRAS1B6)),""),MATCH(ROW(TRAS1B6),ROW(TRAS1B6)))&gt;0,MATCH(ROW(TRAS1B6),ROW(TRAS1B6)),""),ROW(BD80)),COLUMN(BD80)),"")</f>
        <v/>
      </c>
      <c r="CK96" s="328" t="str">
        <f t="array" ref="CK96">IFERROR(INDEX(TRAS1B7,SMALL(IF(FREQUENCY(IF(TRAS1B7&lt;&gt;"",MATCH(ROW(TRAS1B7),ROW(TRAS1B7)),""),MATCH(ROW(TRAS1B7),ROW(TRAS1B7)))&gt;0,MATCH(ROW(TRAS1B7),ROW(TRAS1B7)),""),ROW(BD80)),COLUMN(BD80)),"")</f>
        <v/>
      </c>
      <c r="CL96" s="328" t="str">
        <f t="array" ref="CL96">IFERROR(INDEX(TRAS1B8,SMALL(IF(FREQUENCY(IF(TRAS1B8&lt;&gt;"",MATCH(ROW(TRAS1B8),ROW(TRAS1B8)),""),MATCH(ROW(TRAS1B8),ROW(TRAS1B8)))&gt;0,MATCH(ROW(TRAS1B8),ROW(TRAS1B8)),""),ROW(BD80)),COLUMN(BD80)),"")</f>
        <v/>
      </c>
      <c r="CM96" s="328" t="str">
        <f t="array" ref="CM96">IFERROR(INDEX(TRAS1B9,SMALL(IF(FREQUENCY(IF(TRAS1B9&lt;&gt;"",MATCH(ROW(TRAS1B9),ROW(TRAS1B9)),""),MATCH(ROW(TRAS1B9),ROW(TRAS1B9)))&gt;0,MATCH(ROW(TRAS1B9),ROW(TRAS1B9)),""),ROW(BD80)),COLUMN(BD80)),"")</f>
        <v/>
      </c>
      <c r="CN96" s="328" t="str">
        <f t="array" ref="CN96">IFERROR(INDEX(TRAS1B10,SMALL(IF(FREQUENCY(IF(TRAS1B10&lt;&gt;"",MATCH(ROW(TRAS1B10),ROW(TRAS1B10)),""),MATCH(ROW(TRAS1B10),ROW(TRAS1B10)))&gt;0,MATCH(ROW(TRAS1B10),ROW(TRAS1B10)),""),ROW(BD80)),COLUMN(BD80)),"")</f>
        <v/>
      </c>
      <c r="CO96" s="328" t="str">
        <f t="array" ref="CO96">IFERROR(INDEX(TRAS1B11,SMALL(IF(FREQUENCY(IF(TRAS1B11&lt;&gt;"",MATCH(ROW(TRAS1B11),ROW(TRAS1B11)),""),MATCH(ROW(TRAS1B11),ROW(TRAS1B11)))&gt;0,MATCH(ROW(TRAS1B11),ROW(TRAS1B11)),""),ROW(BD80)),COLUMN(BD80)),"")</f>
        <v/>
      </c>
      <c r="CP96" s="31" t="str">
        <f t="array" ref="CP96">IFERROR(INDEX(TRAS1B12,SMALL(IF(FREQUENCY(IF(TRAS1B12&lt;&gt;"",MATCH(ROW(TRAS1B12),ROW(TRAS1B12)),""),MATCH(ROW(TRAS1B12),ROW(TRAS1B12)))&gt;0,MATCH(ROW(TRAS1B12),ROW(TRAS1B12)),""),ROW(BD80)),COLUMN(BD80)),"")</f>
        <v/>
      </c>
      <c r="CR96" s="76" t="str">
        <f t="shared" si="89"/>
        <v xml:space="preserve"> </v>
      </c>
      <c r="CS96" s="328" t="str">
        <f t="shared" si="64"/>
        <v xml:space="preserve"> </v>
      </c>
      <c r="CT96" s="328" t="str">
        <f t="shared" si="65"/>
        <v xml:space="preserve"> </v>
      </c>
      <c r="CU96" s="328" t="str">
        <f t="shared" si="66"/>
        <v xml:space="preserve"> </v>
      </c>
      <c r="CV96" s="328" t="str">
        <f t="shared" si="67"/>
        <v xml:space="preserve"> </v>
      </c>
      <c r="CW96" s="328" t="str">
        <f t="shared" si="68"/>
        <v xml:space="preserve"> </v>
      </c>
      <c r="CX96" s="328" t="str">
        <f t="shared" si="69"/>
        <v xml:space="preserve"> </v>
      </c>
      <c r="CY96" s="328" t="str">
        <f t="shared" si="70"/>
        <v xml:space="preserve"> </v>
      </c>
      <c r="CZ96" s="328" t="str">
        <f t="shared" si="71"/>
        <v xml:space="preserve"> </v>
      </c>
      <c r="DA96" s="328" t="str">
        <f t="shared" si="72"/>
        <v xml:space="preserve"> </v>
      </c>
      <c r="DB96" s="328" t="str">
        <f t="shared" si="73"/>
        <v xml:space="preserve"> </v>
      </c>
      <c r="DC96" s="31" t="str">
        <f t="shared" si="74"/>
        <v xml:space="preserve"> </v>
      </c>
    </row>
    <row r="97" spans="1:90" ht="13.5" customHeight="1" thickBot="1" x14ac:dyDescent="0.4">
      <c r="B97" s="76" t="str">
        <v/>
      </c>
      <c r="C97" s="328" t="str">
        <v/>
      </c>
      <c r="D97" s="328" t="str">
        <v/>
      </c>
      <c r="E97" s="328" t="str">
        <v/>
      </c>
      <c r="F97" s="328" t="str">
        <v/>
      </c>
      <c r="G97" s="328" t="str">
        <v/>
      </c>
      <c r="H97" s="328" t="str">
        <v/>
      </c>
      <c r="I97" s="328" t="str">
        <v/>
      </c>
      <c r="J97" s="328" t="str">
        <v/>
      </c>
      <c r="K97" s="328" t="str">
        <v/>
      </c>
      <c r="L97" s="328" t="str">
        <v/>
      </c>
      <c r="M97" s="31" t="str">
        <v/>
      </c>
      <c r="O97" s="76" t="str">
        <f t="shared" ref="O97:Z97" si="90">IF(B97=0,"",B97)</f>
        <v/>
      </c>
      <c r="P97" s="328" t="str">
        <f t="shared" si="90"/>
        <v/>
      </c>
      <c r="Q97" s="328" t="str">
        <f t="shared" si="90"/>
        <v/>
      </c>
      <c r="R97" s="328" t="str">
        <f t="shared" si="90"/>
        <v/>
      </c>
      <c r="S97" s="328" t="str">
        <f t="shared" si="90"/>
        <v/>
      </c>
      <c r="T97" s="328" t="str">
        <f t="shared" si="90"/>
        <v/>
      </c>
      <c r="U97" s="328" t="str">
        <f t="shared" si="90"/>
        <v/>
      </c>
      <c r="V97" s="328" t="str">
        <f t="shared" si="90"/>
        <v/>
      </c>
      <c r="W97" s="328" t="str">
        <f t="shared" si="90"/>
        <v/>
      </c>
      <c r="X97" s="328" t="str">
        <f t="shared" si="90"/>
        <v/>
      </c>
      <c r="Y97" s="328" t="str">
        <f t="shared" si="90"/>
        <v/>
      </c>
      <c r="Z97" s="31" t="str">
        <f t="shared" si="90"/>
        <v/>
      </c>
      <c r="AB97" s="76" t="str">
        <f t="array" ref="AB97">IFERROR(INDEX(TRAS1B1,SMALL(IF(FREQUENCY(IF(TRAS1B1&lt;&gt;"",MATCH(ROW(TRAS1B1),ROW(TRAS1B1)),""),MATCH(ROW(TRAS1B1),ROW(TRAS1B1)))&gt;0,MATCH(ROW(TRAS1B1),ROW(TRAS1B1)),""),ROW(A34)),COLUMN(A34)),"")</f>
        <v/>
      </c>
      <c r="AC97" s="328" t="str">
        <f t="array" ref="AC97">IFERROR(INDEX(TRAS1B2,SMALL(IF(FREQUENCY(IF(TRAS1B2&lt;&gt;"",MATCH(ROW(TRAS1B2),ROW(TRAS1B2)),""),MATCH(ROW(TRAS1B2),ROW(TRAS1B2)))&gt;0,MATCH(ROW(TRAS1B2),ROW(TRAS1B2)),""),ROW(A34)),COLUMN(A34)),"")</f>
        <v/>
      </c>
      <c r="AD97" s="328" t="str">
        <f t="array" ref="AD97">IFERROR(INDEX(TRAS1B3,SMALL(IF(FREQUENCY(IF(TRAS1B3&lt;&gt;"",MATCH(ROW(TRAS1B3),ROW(TRAS1B3)),""),MATCH(ROW(TRAS1B3),ROW(TRAS1B3)))&gt;0,MATCH(ROW(TRAS1B3),ROW(TRAS1B3)),""),ROW(A34)),COLUMN(A34)),"")</f>
        <v/>
      </c>
      <c r="AE97" s="328" t="str">
        <f t="array" ref="AE97">IFERROR(INDEX(TRAS1B4,SMALL(IF(FREQUENCY(IF(TRAS1B4&lt;&gt;"",MATCH(ROW(TRAS1B4),ROW(TRAS1B4)),""),MATCH(ROW(TRAS1B4),ROW(TRAS1B4)))&gt;0,MATCH(ROW(TRAS1B4),ROW(TRAS1B4)),""),ROW(A34)),COLUMN(A34)),"")</f>
        <v/>
      </c>
      <c r="AF97" s="328" t="str">
        <f t="array" ref="AF97">IFERROR(INDEX(TRAS1B5,SMALL(IF(FREQUENCY(IF(TRAS1B5&lt;&gt;"",MATCH(ROW(TRAS1B5),ROW(TRAS1B5)),""),MATCH(ROW(TRAS1B5),ROW(TRAS1B5)))&gt;0,MATCH(ROW(TRAS1B5),ROW(TRAS1B5)),""),ROW(A34)),COLUMN(A34)),"")</f>
        <v/>
      </c>
      <c r="AG97" s="328" t="str">
        <f t="array" ref="AG97">IFERROR(INDEX(TRAS1B6,SMALL(IF(FREQUENCY(IF(TRAS1B6&lt;&gt;"",MATCH(ROW(TRAS1B6),ROW(TRAS1B6)),""),MATCH(ROW(TRAS1B6),ROW(TRAS1B6)))&gt;0,MATCH(ROW(TRAS1B6),ROW(TRAS1B6)),""),ROW(A34)),COLUMN(A34)),"")</f>
        <v/>
      </c>
      <c r="AH97" s="328" t="str">
        <f t="array" ref="AH97">IFERROR(INDEX(TRAS1B7,SMALL(IF(FREQUENCY(IF(TRAS1B7&lt;&gt;"",MATCH(ROW(TRAS1B7),ROW(TRAS1B7)),""),MATCH(ROW(TRAS1B7),ROW(TRAS1B7)))&gt;0,MATCH(ROW(TRAS1B7),ROW(TRAS1B7)),""),ROW(A34)),COLUMN(A34)),"")</f>
        <v/>
      </c>
      <c r="AI97" s="328" t="str">
        <f t="array" ref="AI97">IFERROR(INDEX(TRAS1B8,SMALL(IF(FREQUENCY(IF(TRAS1B8&lt;&gt;"",MATCH(ROW(TRAS1B8),ROW(TRAS1B8)),""),MATCH(ROW(TRAS1B8),ROW(TRAS1B8)))&gt;0,MATCH(ROW(TRAS1B8),ROW(TRAS1B8)),""),ROW(A34)),COLUMN(A34)),"")</f>
        <v/>
      </c>
      <c r="AJ97" s="328" t="str">
        <f t="array" ref="AJ97">IFERROR(INDEX(TRAS1B9,SMALL(IF(FREQUENCY(IF(TRAS1B9&lt;&gt;"",MATCH(ROW(TRAS1B9),ROW(TRAS1B9)),""),MATCH(ROW(TRAS1B9),ROW(TRAS1B9)))&gt;0,MATCH(ROW(TRAS1B9),ROW(TRAS1B9)),""),ROW(A34)),COLUMN(A34)),"")</f>
        <v/>
      </c>
      <c r="AK97" s="328" t="str">
        <f t="array" ref="AK97">IFERROR(INDEX(TRAS1B10,SMALL(IF(FREQUENCY(IF(TRAS1B10&lt;&gt;"",MATCH(ROW(TRAS1B10),ROW(TRAS1B10)),""),MATCH(ROW(TRAS1B10),ROW(TRAS1B10)))&gt;0,MATCH(ROW(TRAS1B10),ROW(TRAS1B10)),""),ROW(A34)),COLUMN(A34)),"")</f>
        <v/>
      </c>
      <c r="AL97" s="328" t="str">
        <f t="array" ref="AL97">IFERROR(INDEX(TRAS1B11,SMALL(IF(FREQUENCY(IF(TRAS1B11&lt;&gt;"",MATCH(ROW(TRAS1B11),ROW(TRAS1B11)),""),MATCH(ROW(TRAS1B11),ROW(TRAS1B11)))&gt;0,MATCH(ROW(TRAS1B11),ROW(TRAS1B11)),""),ROW(A34)),COLUMN(A34)),"")</f>
        <v/>
      </c>
      <c r="AM97" s="31" t="str">
        <f t="array" ref="AM97">IFERROR(INDEX(TRAS1B12,SMALL(IF(FREQUENCY(IF(TRAS1B12&lt;&gt;"",MATCH(ROW(TRAS1B12),ROW(TRAS1B12)),""),MATCH(ROW(TRAS1B12),ROW(TRAS1B12)))&gt;0,MATCH(ROW(TRAS1B12),ROW(TRAS1B12)),""),ROW(A34)),COLUMN(A34)),"")</f>
        <v/>
      </c>
      <c r="AO97" s="76" t="str">
        <f t="shared" si="76"/>
        <v xml:space="preserve"> </v>
      </c>
      <c r="AP97" s="328" t="str">
        <f t="shared" si="77"/>
        <v xml:space="preserve"> </v>
      </c>
      <c r="AQ97" s="328" t="str">
        <f t="shared" si="78"/>
        <v xml:space="preserve"> </v>
      </c>
      <c r="AR97" s="328" t="str">
        <f t="shared" si="79"/>
        <v xml:space="preserve"> </v>
      </c>
      <c r="AS97" s="328" t="str">
        <f t="shared" si="80"/>
        <v xml:space="preserve"> </v>
      </c>
      <c r="AT97" s="328" t="str">
        <f t="shared" si="81"/>
        <v xml:space="preserve"> </v>
      </c>
      <c r="AU97" s="328" t="str">
        <f t="shared" si="82"/>
        <v xml:space="preserve"> </v>
      </c>
      <c r="AV97" s="328" t="str">
        <f t="shared" si="83"/>
        <v xml:space="preserve"> </v>
      </c>
      <c r="AW97" s="328" t="str">
        <f t="shared" si="84"/>
        <v xml:space="preserve"> </v>
      </c>
      <c r="AX97" s="328" t="str">
        <f t="shared" si="85"/>
        <v xml:space="preserve"> </v>
      </c>
      <c r="AY97" s="328" t="str">
        <f t="shared" si="86"/>
        <v xml:space="preserve"> </v>
      </c>
      <c r="AZ97" s="31" t="str">
        <f t="shared" si="87"/>
        <v xml:space="preserve"> </v>
      </c>
    </row>
    <row r="98" spans="1:90" ht="13.5" customHeight="1" x14ac:dyDescent="0.35"/>
    <row r="99" spans="1:90" ht="13.5" customHeight="1" thickBot="1" x14ac:dyDescent="0.4">
      <c r="A99" s="1190"/>
      <c r="B99" s="1190"/>
      <c r="C99" s="1190"/>
      <c r="D99" s="1190"/>
      <c r="E99" s="1190"/>
      <c r="F99" s="1190"/>
      <c r="G99" s="1190"/>
      <c r="H99" s="1190"/>
      <c r="I99" s="1190"/>
      <c r="J99" s="1190"/>
      <c r="K99" s="1190"/>
      <c r="L99" s="1190"/>
      <c r="M99" s="1190"/>
      <c r="N99" s="1190"/>
      <c r="O99" s="1190"/>
      <c r="P99" s="1190"/>
      <c r="Q99" s="1190"/>
      <c r="R99" s="1190"/>
      <c r="S99" s="1190"/>
      <c r="T99" s="1190"/>
      <c r="U99" s="1190"/>
      <c r="V99" s="1190"/>
      <c r="W99" s="1190"/>
      <c r="X99" s="1190"/>
      <c r="Y99" s="1190"/>
      <c r="Z99" s="1190"/>
      <c r="AA99" s="1190"/>
      <c r="AB99" s="1190"/>
      <c r="AC99" s="1190"/>
      <c r="AD99" s="1190"/>
      <c r="AE99" s="1190"/>
      <c r="AF99" s="1190"/>
      <c r="AG99" s="1190"/>
      <c r="AH99" s="1190"/>
      <c r="AI99" s="1190"/>
      <c r="AJ99" s="1190"/>
      <c r="BD99" s="690"/>
      <c r="BE99" s="690"/>
      <c r="BF99" s="690"/>
      <c r="BG99" s="690"/>
      <c r="BH99" s="690"/>
      <c r="BI99" s="690"/>
      <c r="BJ99" s="690"/>
      <c r="BK99" s="690"/>
      <c r="BL99" s="690"/>
      <c r="BM99" s="690"/>
      <c r="BN99" s="690"/>
      <c r="BO99" s="690"/>
      <c r="BP99" s="690"/>
      <c r="BQ99" s="690"/>
      <c r="BR99" s="690"/>
      <c r="BS99" s="690"/>
      <c r="BT99" s="690"/>
      <c r="BU99" s="690"/>
      <c r="BV99" s="690"/>
      <c r="BW99" s="690"/>
      <c r="BX99" s="690"/>
      <c r="BY99" s="690"/>
      <c r="BZ99" s="690"/>
      <c r="CA99" s="690"/>
      <c r="CB99" s="690"/>
      <c r="CC99" s="690"/>
      <c r="CD99" s="690"/>
      <c r="CE99" s="690"/>
      <c r="CF99" s="690"/>
      <c r="CG99" s="690"/>
      <c r="CH99" s="690"/>
      <c r="CI99" s="690"/>
      <c r="CJ99" s="690"/>
      <c r="CK99" s="690"/>
      <c r="CL99" s="690"/>
    </row>
    <row r="100" spans="1:90" ht="13.5" customHeight="1" thickBot="1" x14ac:dyDescent="0.4">
      <c r="A100" s="691"/>
      <c r="B100" s="692"/>
      <c r="C100" s="1187"/>
      <c r="D100" s="1188"/>
      <c r="E100" s="1188"/>
      <c r="F100" s="1188"/>
      <c r="G100" s="1188"/>
      <c r="H100" s="1188"/>
      <c r="I100" s="1188"/>
      <c r="J100" s="1188"/>
      <c r="K100" s="1188"/>
      <c r="L100" s="1188"/>
      <c r="M100" s="1188"/>
      <c r="N100" s="1188"/>
      <c r="O100" s="1188"/>
      <c r="P100" s="1188"/>
      <c r="Q100" s="1188"/>
      <c r="R100" s="1188"/>
      <c r="S100" s="1188"/>
      <c r="T100" s="1188"/>
      <c r="U100" s="1188"/>
      <c r="V100" s="1188"/>
      <c r="W100" s="1188"/>
      <c r="X100" s="1188"/>
      <c r="Y100" s="1188"/>
      <c r="Z100" s="1188"/>
      <c r="AA100" s="1188"/>
      <c r="AB100" s="1188"/>
      <c r="AC100" s="1188"/>
      <c r="AD100" s="1188"/>
      <c r="AE100" s="1188"/>
      <c r="AF100" s="1188"/>
      <c r="AG100" s="1188"/>
      <c r="AH100" s="1188"/>
      <c r="AI100" s="1188"/>
      <c r="AJ100" s="1189"/>
      <c r="BD100" s="691"/>
      <c r="BE100" s="692"/>
      <c r="BF100" s="693"/>
      <c r="BG100" s="694"/>
      <c r="BH100" s="694"/>
      <c r="BI100" s="694"/>
      <c r="BJ100" s="694"/>
      <c r="BK100" s="694"/>
      <c r="BL100" s="694"/>
      <c r="BM100" s="694"/>
      <c r="BN100" s="694"/>
      <c r="BO100" s="694"/>
      <c r="BP100" s="694"/>
      <c r="BQ100" s="694"/>
      <c r="BR100" s="694"/>
      <c r="BS100" s="694"/>
      <c r="BT100" s="694"/>
      <c r="BU100" s="694"/>
      <c r="BV100" s="694"/>
      <c r="BW100" s="694"/>
      <c r="BX100" s="694"/>
      <c r="BY100" s="695"/>
      <c r="BZ100" s="696"/>
      <c r="CA100" s="694"/>
      <c r="CB100" s="694"/>
      <c r="CC100" s="694"/>
      <c r="CD100" s="694"/>
      <c r="CE100" s="694"/>
      <c r="CF100" s="694"/>
      <c r="CG100" s="694"/>
      <c r="CH100" s="694"/>
      <c r="CI100" s="694"/>
      <c r="CJ100" s="694"/>
      <c r="CK100" s="694"/>
      <c r="CL100" s="695"/>
    </row>
    <row r="101" spans="1:90" ht="15" thickBot="1" x14ac:dyDescent="0.4">
      <c r="A101" s="697"/>
      <c r="B101" s="837"/>
      <c r="C101" s="699"/>
      <c r="D101" s="700"/>
      <c r="E101" s="700"/>
      <c r="F101" s="700"/>
      <c r="G101" s="700"/>
      <c r="H101" s="700"/>
      <c r="I101" s="700"/>
      <c r="J101" s="700"/>
      <c r="K101" s="700"/>
      <c r="L101" s="700"/>
      <c r="M101" s="700"/>
      <c r="N101" s="700"/>
      <c r="O101" s="700"/>
      <c r="P101" s="700"/>
      <c r="Q101" s="700"/>
      <c r="R101" s="700"/>
      <c r="S101" s="700"/>
      <c r="T101" s="700"/>
      <c r="U101" s="700"/>
      <c r="V101" s="700"/>
      <c r="W101" s="700"/>
      <c r="X101" s="700"/>
      <c r="Y101" s="700"/>
      <c r="Z101" s="700"/>
      <c r="AA101" s="700"/>
      <c r="AB101" s="700"/>
      <c r="AC101" s="700"/>
      <c r="AD101" s="700"/>
      <c r="AE101" s="700"/>
      <c r="AF101" s="700"/>
      <c r="AG101" s="700"/>
      <c r="AH101" s="700"/>
      <c r="AI101" s="700"/>
      <c r="AJ101" s="579"/>
      <c r="BD101" s="697"/>
      <c r="BE101" s="698"/>
      <c r="BF101" s="699"/>
      <c r="BG101" s="700"/>
      <c r="BH101" s="700"/>
      <c r="BI101" s="700"/>
      <c r="BJ101" s="700"/>
      <c r="BK101" s="700"/>
      <c r="BL101" s="700"/>
      <c r="BM101" s="700"/>
      <c r="BN101" s="700"/>
      <c r="BO101" s="700"/>
      <c r="BP101" s="700"/>
      <c r="BQ101" s="700"/>
      <c r="BR101" s="700"/>
      <c r="BS101" s="700"/>
      <c r="BT101" s="700"/>
      <c r="BU101" s="700"/>
      <c r="BV101" s="700"/>
      <c r="BW101" s="700"/>
      <c r="BX101" s="700"/>
      <c r="BY101" s="700"/>
      <c r="BZ101" s="700"/>
      <c r="CA101" s="700"/>
      <c r="CB101" s="700"/>
      <c r="CC101" s="700"/>
      <c r="CD101" s="700"/>
      <c r="CE101" s="700"/>
      <c r="CF101" s="700"/>
      <c r="CG101" s="700"/>
      <c r="CH101" s="700"/>
      <c r="CI101" s="700"/>
      <c r="CJ101" s="700"/>
      <c r="CK101" s="700"/>
      <c r="CL101" s="701"/>
    </row>
    <row r="102" spans="1:90" ht="15.5" x14ac:dyDescent="0.35">
      <c r="A102" s="702"/>
      <c r="B102" s="724"/>
      <c r="C102" s="747" t="str">
        <f t="array" ref="C102:AJ102">TRANSPOSE(TRANS2B1)</f>
        <v>R</v>
      </c>
      <c r="D102" s="748" t="str">
        <v>R</v>
      </c>
      <c r="E102" s="748" t="str">
        <v>X</v>
      </c>
      <c r="F102" s="748" t="str">
        <v>X</v>
      </c>
      <c r="G102" s="748" t="str">
        <v>X</v>
      </c>
      <c r="H102" s="748" t="str">
        <v>X</v>
      </c>
      <c r="I102" s="748" t="str">
        <v>R</v>
      </c>
      <c r="J102" s="748" t="str">
        <v>X</v>
      </c>
      <c r="K102" s="748" t="str">
        <v>S</v>
      </c>
      <c r="L102" s="748" t="str">
        <v>X</v>
      </c>
      <c r="M102" s="748" t="str">
        <v>X</v>
      </c>
      <c r="N102" s="748" t="str">
        <v>R</v>
      </c>
      <c r="O102" s="748" t="str">
        <v xml:space="preserve"> </v>
      </c>
      <c r="P102" s="748" t="str">
        <v xml:space="preserve"> </v>
      </c>
      <c r="Q102" s="748" t="str">
        <v xml:space="preserve"> </v>
      </c>
      <c r="R102" s="748" t="str">
        <v xml:space="preserve"> </v>
      </c>
      <c r="S102" s="748" t="str">
        <v xml:space="preserve"> </v>
      </c>
      <c r="T102" s="748" t="str">
        <v xml:space="preserve"> </v>
      </c>
      <c r="U102" s="748" t="str">
        <v xml:space="preserve"> </v>
      </c>
      <c r="V102" s="748" t="str">
        <v xml:space="preserve"> </v>
      </c>
      <c r="W102" s="748" t="str">
        <v xml:space="preserve"> </v>
      </c>
      <c r="X102" s="748" t="str">
        <v xml:space="preserve"> </v>
      </c>
      <c r="Y102" s="748" t="str">
        <v xml:space="preserve"> </v>
      </c>
      <c r="Z102" s="748" t="str">
        <v xml:space="preserve"> </v>
      </c>
      <c r="AA102" s="748" t="str">
        <v xml:space="preserve"> </v>
      </c>
      <c r="AB102" s="748" t="str">
        <v xml:space="preserve"> </v>
      </c>
      <c r="AC102" s="748" t="str">
        <v xml:space="preserve"> </v>
      </c>
      <c r="AD102" s="748" t="str">
        <v xml:space="preserve"> </v>
      </c>
      <c r="AE102" s="748" t="str">
        <v xml:space="preserve"> </v>
      </c>
      <c r="AF102" s="748" t="str">
        <v xml:space="preserve"> </v>
      </c>
      <c r="AG102" s="748" t="str">
        <v xml:space="preserve"> </v>
      </c>
      <c r="AH102" s="748" t="str">
        <v xml:space="preserve"> </v>
      </c>
      <c r="AI102" s="748" t="str">
        <v xml:space="preserve"> </v>
      </c>
      <c r="AJ102" s="838" t="str">
        <v xml:space="preserve"> </v>
      </c>
      <c r="BD102" s="702"/>
      <c r="BE102" s="703"/>
      <c r="BF102" s="704" t="str">
        <f t="array" ref="BF102:CL102">TRANSPOSE(TRANS2B1)</f>
        <v>R</v>
      </c>
      <c r="BG102" s="705" t="str">
        <v>R</v>
      </c>
      <c r="BH102" s="705" t="str">
        <v>X</v>
      </c>
      <c r="BI102" s="705" t="str">
        <v>X</v>
      </c>
      <c r="BJ102" s="705" t="str">
        <v>X</v>
      </c>
      <c r="BK102" s="705" t="str">
        <v>X</v>
      </c>
      <c r="BL102" s="705" t="str">
        <v>R</v>
      </c>
      <c r="BM102" s="705" t="str">
        <v>X</v>
      </c>
      <c r="BN102" s="705" t="str">
        <v>S</v>
      </c>
      <c r="BO102" s="705" t="str">
        <v>X</v>
      </c>
      <c r="BP102" s="705" t="str">
        <v>X</v>
      </c>
      <c r="BQ102" s="705" t="str">
        <v>R</v>
      </c>
      <c r="BR102" s="705" t="str">
        <v xml:space="preserve"> </v>
      </c>
      <c r="BS102" s="705" t="str">
        <v xml:space="preserve"> </v>
      </c>
      <c r="BT102" s="705" t="str">
        <v xml:space="preserve"> </v>
      </c>
      <c r="BU102" s="705" t="str">
        <v xml:space="preserve"> </v>
      </c>
      <c r="BV102" s="705" t="str">
        <v xml:space="preserve"> </v>
      </c>
      <c r="BW102" s="705" t="str">
        <v xml:space="preserve"> </v>
      </c>
      <c r="BX102" s="705" t="str">
        <v xml:space="preserve"> </v>
      </c>
      <c r="BY102" s="705" t="str">
        <v xml:space="preserve"> </v>
      </c>
      <c r="BZ102" s="705" t="str">
        <v xml:space="preserve"> </v>
      </c>
      <c r="CA102" s="705" t="str">
        <v xml:space="preserve"> </v>
      </c>
      <c r="CB102" s="705" t="str">
        <v xml:space="preserve"> </v>
      </c>
      <c r="CC102" s="705" t="str">
        <v xml:space="preserve"> </v>
      </c>
      <c r="CD102" s="705" t="str">
        <v xml:space="preserve"> </v>
      </c>
      <c r="CE102" s="705" t="str">
        <v xml:space="preserve"> </v>
      </c>
      <c r="CF102" s="705" t="str">
        <v xml:space="preserve"> </v>
      </c>
      <c r="CG102" s="705" t="str">
        <v xml:space="preserve"> </v>
      </c>
      <c r="CH102" s="705" t="str">
        <v xml:space="preserve"> </v>
      </c>
      <c r="CI102" s="705" t="str">
        <v xml:space="preserve"> </v>
      </c>
      <c r="CJ102" s="705" t="str">
        <v xml:space="preserve"> </v>
      </c>
      <c r="CK102" s="705" t="str">
        <v xml:space="preserve"> </v>
      </c>
      <c r="CL102" s="706" t="str">
        <v xml:space="preserve"> </v>
      </c>
    </row>
    <row r="103" spans="1:90" ht="15.5" x14ac:dyDescent="0.35">
      <c r="A103" s="707"/>
      <c r="B103" s="726"/>
      <c r="C103" s="727" t="str">
        <f t="array" ref="C103:AJ103">TRANSPOSE(TRANS2B2)</f>
        <v>X</v>
      </c>
      <c r="D103" s="166" t="str">
        <v>X</v>
      </c>
      <c r="E103" s="166" t="str">
        <v>X</v>
      </c>
      <c r="F103" s="166" t="str">
        <v>R</v>
      </c>
      <c r="G103" s="166" t="str">
        <v>X</v>
      </c>
      <c r="H103" s="166" t="str">
        <v>S</v>
      </c>
      <c r="I103" s="166" t="str">
        <v>R</v>
      </c>
      <c r="J103" s="166" t="str">
        <v>X</v>
      </c>
      <c r="K103" s="166" t="str">
        <v>R</v>
      </c>
      <c r="L103" s="166" t="str">
        <v xml:space="preserve"> </v>
      </c>
      <c r="M103" s="166" t="str">
        <v xml:space="preserve"> </v>
      </c>
      <c r="N103" s="166" t="str">
        <v xml:space="preserve"> </v>
      </c>
      <c r="O103" s="166" t="str">
        <v xml:space="preserve"> </v>
      </c>
      <c r="P103" s="166" t="str">
        <v xml:space="preserve"> </v>
      </c>
      <c r="Q103" s="166" t="str">
        <v xml:space="preserve"> </v>
      </c>
      <c r="R103" s="166" t="str">
        <v xml:space="preserve"> </v>
      </c>
      <c r="S103" s="166" t="str">
        <v xml:space="preserve"> </v>
      </c>
      <c r="T103" s="166" t="str">
        <v xml:space="preserve"> </v>
      </c>
      <c r="U103" s="166" t="str">
        <v xml:space="preserve"> </v>
      </c>
      <c r="V103" s="166" t="str">
        <v xml:space="preserve"> </v>
      </c>
      <c r="W103" s="166" t="str">
        <v xml:space="preserve"> </v>
      </c>
      <c r="X103" s="166" t="str">
        <v xml:space="preserve"> </v>
      </c>
      <c r="Y103" s="166" t="str">
        <v xml:space="preserve"> </v>
      </c>
      <c r="Z103" s="166" t="str">
        <v xml:space="preserve"> </v>
      </c>
      <c r="AA103" s="166" t="str">
        <v xml:space="preserve"> </v>
      </c>
      <c r="AB103" s="166" t="str">
        <v xml:space="preserve"> </v>
      </c>
      <c r="AC103" s="166" t="str">
        <v xml:space="preserve"> </v>
      </c>
      <c r="AD103" s="166" t="str">
        <v xml:space="preserve"> </v>
      </c>
      <c r="AE103" s="166" t="str">
        <v xml:space="preserve"> </v>
      </c>
      <c r="AF103" s="166" t="str">
        <v xml:space="preserve"> </v>
      </c>
      <c r="AG103" s="166" t="str">
        <v xml:space="preserve"> </v>
      </c>
      <c r="AH103" s="166" t="str">
        <v xml:space="preserve"> </v>
      </c>
      <c r="AI103" s="166" t="str">
        <v xml:space="preserve"> </v>
      </c>
      <c r="AJ103" s="27" t="str">
        <v xml:space="preserve"> </v>
      </c>
      <c r="BD103" s="707"/>
      <c r="BE103" s="708"/>
      <c r="BF103" s="709" t="str">
        <f t="array" ref="BF103:CL103">TRANSPOSE(TRANS2B2)</f>
        <v>X</v>
      </c>
      <c r="BG103" s="166" t="str">
        <v>X</v>
      </c>
      <c r="BH103" s="166" t="str">
        <v>X</v>
      </c>
      <c r="BI103" s="166" t="str">
        <v>R</v>
      </c>
      <c r="BJ103" s="166" t="str">
        <v>X</v>
      </c>
      <c r="BK103" s="166" t="str">
        <v>S</v>
      </c>
      <c r="BL103" s="166" t="str">
        <v>R</v>
      </c>
      <c r="BM103" s="166" t="str">
        <v>X</v>
      </c>
      <c r="BN103" s="166" t="str">
        <v>R</v>
      </c>
      <c r="BO103" s="166" t="str">
        <v xml:space="preserve"> </v>
      </c>
      <c r="BP103" s="166" t="str">
        <v xml:space="preserve"> </v>
      </c>
      <c r="BQ103" s="166" t="str">
        <v xml:space="preserve"> </v>
      </c>
      <c r="BR103" s="166" t="str">
        <v xml:space="preserve"> </v>
      </c>
      <c r="BS103" s="166" t="str">
        <v xml:space="preserve"> </v>
      </c>
      <c r="BT103" s="166" t="str">
        <v xml:space="preserve"> </v>
      </c>
      <c r="BU103" s="166" t="str">
        <v xml:space="preserve"> </v>
      </c>
      <c r="BV103" s="166" t="str">
        <v xml:space="preserve"> </v>
      </c>
      <c r="BW103" s="166" t="str">
        <v xml:space="preserve"> </v>
      </c>
      <c r="BX103" s="166" t="str">
        <v xml:space="preserve"> </v>
      </c>
      <c r="BY103" s="166" t="str">
        <v xml:space="preserve"> </v>
      </c>
      <c r="BZ103" s="166" t="str">
        <v xml:space="preserve"> </v>
      </c>
      <c r="CA103" s="166" t="str">
        <v xml:space="preserve"> </v>
      </c>
      <c r="CB103" s="166" t="str">
        <v xml:space="preserve"> </v>
      </c>
      <c r="CC103" s="166" t="str">
        <v xml:space="preserve"> </v>
      </c>
      <c r="CD103" s="166" t="str">
        <v xml:space="preserve"> </v>
      </c>
      <c r="CE103" s="166" t="str">
        <v xml:space="preserve"> </v>
      </c>
      <c r="CF103" s="166" t="str">
        <v xml:space="preserve"> </v>
      </c>
      <c r="CG103" s="166" t="str">
        <v xml:space="preserve"> </v>
      </c>
      <c r="CH103" s="166" t="str">
        <v xml:space="preserve"> </v>
      </c>
      <c r="CI103" s="166" t="str">
        <v xml:space="preserve"> </v>
      </c>
      <c r="CJ103" s="166" t="str">
        <v xml:space="preserve"> </v>
      </c>
      <c r="CK103" s="166" t="str">
        <v xml:space="preserve"> </v>
      </c>
      <c r="CL103" s="710" t="str">
        <v xml:space="preserve"> </v>
      </c>
    </row>
    <row r="104" spans="1:90" ht="15.5" x14ac:dyDescent="0.35">
      <c r="A104" s="707"/>
      <c r="B104" s="726"/>
      <c r="C104" s="727" t="str">
        <f t="array" ref="C104:AJ104">TRANSPOSE(TRANS2B3)</f>
        <v>R</v>
      </c>
      <c r="D104" s="166" t="str">
        <v>R</v>
      </c>
      <c r="E104" s="166" t="str">
        <v>R</v>
      </c>
      <c r="F104" s="166" t="str">
        <v>X</v>
      </c>
      <c r="G104" s="166" t="str">
        <v>X</v>
      </c>
      <c r="H104" s="166" t="str">
        <v>X</v>
      </c>
      <c r="I104" s="166" t="str">
        <v>X</v>
      </c>
      <c r="J104" s="166" t="str">
        <v>R</v>
      </c>
      <c r="K104" s="166" t="str">
        <v>X</v>
      </c>
      <c r="L104" s="166" t="str">
        <v>X</v>
      </c>
      <c r="M104" s="166" t="str">
        <v xml:space="preserve"> </v>
      </c>
      <c r="N104" s="166" t="str">
        <v xml:space="preserve"> </v>
      </c>
      <c r="O104" s="166" t="str">
        <v xml:space="preserve"> </v>
      </c>
      <c r="P104" s="166" t="str">
        <v xml:space="preserve"> </v>
      </c>
      <c r="Q104" s="166" t="str">
        <v xml:space="preserve"> </v>
      </c>
      <c r="R104" s="166" t="str">
        <v xml:space="preserve"> </v>
      </c>
      <c r="S104" s="166" t="str">
        <v xml:space="preserve"> </v>
      </c>
      <c r="T104" s="166" t="str">
        <v xml:space="preserve"> </v>
      </c>
      <c r="U104" s="166" t="str">
        <v xml:space="preserve"> </v>
      </c>
      <c r="V104" s="166" t="str">
        <v xml:space="preserve"> </v>
      </c>
      <c r="W104" s="166" t="str">
        <v xml:space="preserve"> </v>
      </c>
      <c r="X104" s="166" t="str">
        <v xml:space="preserve"> </v>
      </c>
      <c r="Y104" s="166" t="str">
        <v xml:space="preserve"> </v>
      </c>
      <c r="Z104" s="166" t="str">
        <v xml:space="preserve"> </v>
      </c>
      <c r="AA104" s="166" t="str">
        <v xml:space="preserve"> </v>
      </c>
      <c r="AB104" s="166" t="str">
        <v xml:space="preserve"> </v>
      </c>
      <c r="AC104" s="166" t="str">
        <v xml:space="preserve"> </v>
      </c>
      <c r="AD104" s="166" t="str">
        <v xml:space="preserve"> </v>
      </c>
      <c r="AE104" s="166" t="str">
        <v xml:space="preserve"> </v>
      </c>
      <c r="AF104" s="166" t="str">
        <v xml:space="preserve"> </v>
      </c>
      <c r="AG104" s="166" t="str">
        <v xml:space="preserve"> </v>
      </c>
      <c r="AH104" s="166" t="str">
        <v xml:space="preserve"> </v>
      </c>
      <c r="AI104" s="166" t="str">
        <v xml:space="preserve"> </v>
      </c>
      <c r="AJ104" s="27" t="str">
        <v xml:space="preserve"> </v>
      </c>
      <c r="BD104" s="707"/>
      <c r="BE104" s="708"/>
      <c r="BF104" s="709" t="str">
        <f t="array" ref="BF104:CL104">TRANSPOSE(TRANS2B3)</f>
        <v>R</v>
      </c>
      <c r="BG104" s="166" t="str">
        <v>R</v>
      </c>
      <c r="BH104" s="166" t="str">
        <v>R</v>
      </c>
      <c r="BI104" s="166" t="str">
        <v>X</v>
      </c>
      <c r="BJ104" s="166" t="str">
        <v>X</v>
      </c>
      <c r="BK104" s="166" t="str">
        <v>X</v>
      </c>
      <c r="BL104" s="166" t="str">
        <v>X</v>
      </c>
      <c r="BM104" s="166" t="str">
        <v>R</v>
      </c>
      <c r="BN104" s="166" t="str">
        <v>X</v>
      </c>
      <c r="BO104" s="166" t="str">
        <v>X</v>
      </c>
      <c r="BP104" s="166" t="str">
        <v xml:space="preserve"> </v>
      </c>
      <c r="BQ104" s="166" t="str">
        <v xml:space="preserve"> </v>
      </c>
      <c r="BR104" s="166" t="str">
        <v xml:space="preserve"> </v>
      </c>
      <c r="BS104" s="166" t="str">
        <v xml:space="preserve"> </v>
      </c>
      <c r="BT104" s="166" t="str">
        <v xml:space="preserve"> </v>
      </c>
      <c r="BU104" s="166" t="str">
        <v xml:space="preserve"> </v>
      </c>
      <c r="BV104" s="166" t="str">
        <v xml:space="preserve"> </v>
      </c>
      <c r="BW104" s="166" t="str">
        <v xml:space="preserve"> </v>
      </c>
      <c r="BX104" s="166" t="str">
        <v xml:space="preserve"> </v>
      </c>
      <c r="BY104" s="166" t="str">
        <v xml:space="preserve"> </v>
      </c>
      <c r="BZ104" s="166" t="str">
        <v xml:space="preserve"> </v>
      </c>
      <c r="CA104" s="166" t="str">
        <v xml:space="preserve"> </v>
      </c>
      <c r="CB104" s="166" t="str">
        <v xml:space="preserve"> </v>
      </c>
      <c r="CC104" s="166" t="str">
        <v xml:space="preserve"> </v>
      </c>
      <c r="CD104" s="166" t="str">
        <v xml:space="preserve"> </v>
      </c>
      <c r="CE104" s="166" t="str">
        <v xml:space="preserve"> </v>
      </c>
      <c r="CF104" s="166" t="str">
        <v xml:space="preserve"> </v>
      </c>
      <c r="CG104" s="166" t="str">
        <v xml:space="preserve"> </v>
      </c>
      <c r="CH104" s="166" t="str">
        <v xml:space="preserve"> </v>
      </c>
      <c r="CI104" s="166" t="str">
        <v xml:space="preserve"> </v>
      </c>
      <c r="CJ104" s="166" t="str">
        <v xml:space="preserve"> </v>
      </c>
      <c r="CK104" s="166" t="str">
        <v xml:space="preserve"> </v>
      </c>
      <c r="CL104" s="710" t="str">
        <v xml:space="preserve"> </v>
      </c>
    </row>
    <row r="105" spans="1:90" ht="15.5" x14ac:dyDescent="0.35">
      <c r="A105" s="707"/>
      <c r="B105" s="726"/>
      <c r="C105" s="727" t="str">
        <f t="array" ref="C105:AJ105">TRANSPOSE(TRANS2B4)</f>
        <v>X</v>
      </c>
      <c r="D105" s="166" t="str">
        <v>X</v>
      </c>
      <c r="E105" s="166" t="str">
        <v>X</v>
      </c>
      <c r="F105" s="166" t="str">
        <v>X</v>
      </c>
      <c r="G105" s="166" t="str">
        <v>R</v>
      </c>
      <c r="H105" s="166" t="str">
        <v>X</v>
      </c>
      <c r="I105" s="166" t="str">
        <v>R</v>
      </c>
      <c r="J105" s="166" t="str">
        <v>R</v>
      </c>
      <c r="K105" s="166" t="str">
        <v>R</v>
      </c>
      <c r="L105" s="166" t="str">
        <v>S</v>
      </c>
      <c r="M105" s="166" t="str">
        <v xml:space="preserve"> </v>
      </c>
      <c r="N105" s="166" t="str">
        <v xml:space="preserve"> </v>
      </c>
      <c r="O105" s="166" t="str">
        <v xml:space="preserve"> </v>
      </c>
      <c r="P105" s="166" t="str">
        <v xml:space="preserve"> </v>
      </c>
      <c r="Q105" s="166" t="str">
        <v xml:space="preserve"> </v>
      </c>
      <c r="R105" s="166" t="str">
        <v xml:space="preserve"> </v>
      </c>
      <c r="S105" s="166" t="str">
        <v xml:space="preserve"> </v>
      </c>
      <c r="T105" s="166" t="str">
        <v xml:space="preserve"> </v>
      </c>
      <c r="U105" s="166" t="str">
        <v xml:space="preserve"> </v>
      </c>
      <c r="V105" s="166" t="str">
        <v xml:space="preserve"> </v>
      </c>
      <c r="W105" s="166" t="str">
        <v xml:space="preserve"> </v>
      </c>
      <c r="X105" s="166" t="str">
        <v xml:space="preserve"> </v>
      </c>
      <c r="Y105" s="166" t="str">
        <v xml:space="preserve"> </v>
      </c>
      <c r="Z105" s="166" t="str">
        <v xml:space="preserve"> </v>
      </c>
      <c r="AA105" s="166" t="str">
        <v xml:space="preserve"> </v>
      </c>
      <c r="AB105" s="166" t="str">
        <v xml:space="preserve"> </v>
      </c>
      <c r="AC105" s="166" t="str">
        <v xml:space="preserve"> </v>
      </c>
      <c r="AD105" s="166" t="str">
        <v xml:space="preserve"> </v>
      </c>
      <c r="AE105" s="166" t="str">
        <v xml:space="preserve"> </v>
      </c>
      <c r="AF105" s="166" t="str">
        <v xml:space="preserve"> </v>
      </c>
      <c r="AG105" s="166" t="str">
        <v xml:space="preserve"> </v>
      </c>
      <c r="AH105" s="166" t="str">
        <v xml:space="preserve"> </v>
      </c>
      <c r="AI105" s="166" t="str">
        <v xml:space="preserve"> </v>
      </c>
      <c r="AJ105" s="27" t="str">
        <v xml:space="preserve"> </v>
      </c>
      <c r="BD105" s="707"/>
      <c r="BE105" s="708"/>
      <c r="BF105" s="709" t="str">
        <f t="array" ref="BF105:CL105">TRANSPOSE(TRANS2B4)</f>
        <v>X</v>
      </c>
      <c r="BG105" s="166" t="str">
        <v>X</v>
      </c>
      <c r="BH105" s="166" t="str">
        <v>X</v>
      </c>
      <c r="BI105" s="166" t="str">
        <v>X</v>
      </c>
      <c r="BJ105" s="166" t="str">
        <v>R</v>
      </c>
      <c r="BK105" s="166" t="str">
        <v>X</v>
      </c>
      <c r="BL105" s="166" t="str">
        <v>R</v>
      </c>
      <c r="BM105" s="166" t="str">
        <v>R</v>
      </c>
      <c r="BN105" s="166" t="str">
        <v>R</v>
      </c>
      <c r="BO105" s="166" t="str">
        <v>S</v>
      </c>
      <c r="BP105" s="166" t="str">
        <v xml:space="preserve"> </v>
      </c>
      <c r="BQ105" s="166" t="str">
        <v xml:space="preserve"> </v>
      </c>
      <c r="BR105" s="166" t="str">
        <v xml:space="preserve"> </v>
      </c>
      <c r="BS105" s="166" t="str">
        <v xml:space="preserve"> </v>
      </c>
      <c r="BT105" s="166" t="str">
        <v xml:space="preserve"> </v>
      </c>
      <c r="BU105" s="166" t="str">
        <v xml:space="preserve"> </v>
      </c>
      <c r="BV105" s="166" t="str">
        <v xml:space="preserve"> </v>
      </c>
      <c r="BW105" s="166" t="str">
        <v xml:space="preserve"> </v>
      </c>
      <c r="BX105" s="166" t="str">
        <v xml:space="preserve"> </v>
      </c>
      <c r="BY105" s="166" t="str">
        <v xml:space="preserve"> </v>
      </c>
      <c r="BZ105" s="166" t="str">
        <v xml:space="preserve"> </v>
      </c>
      <c r="CA105" s="166" t="str">
        <v xml:space="preserve"> </v>
      </c>
      <c r="CB105" s="166" t="str">
        <v xml:space="preserve"> </v>
      </c>
      <c r="CC105" s="166" t="str">
        <v xml:space="preserve"> </v>
      </c>
      <c r="CD105" s="166" t="str">
        <v xml:space="preserve"> </v>
      </c>
      <c r="CE105" s="166" t="str">
        <v xml:space="preserve"> </v>
      </c>
      <c r="CF105" s="166" t="str">
        <v xml:space="preserve"> </v>
      </c>
      <c r="CG105" s="166" t="str">
        <v xml:space="preserve"> </v>
      </c>
      <c r="CH105" s="166" t="str">
        <v xml:space="preserve"> </v>
      </c>
      <c r="CI105" s="166" t="str">
        <v xml:space="preserve"> </v>
      </c>
      <c r="CJ105" s="166" t="str">
        <v xml:space="preserve"> </v>
      </c>
      <c r="CK105" s="166" t="str">
        <v xml:space="preserve"> </v>
      </c>
      <c r="CL105" s="710" t="str">
        <v xml:space="preserve"> </v>
      </c>
    </row>
    <row r="106" spans="1:90" ht="15.5" x14ac:dyDescent="0.35">
      <c r="A106" s="707"/>
      <c r="B106" s="726"/>
      <c r="C106" s="727" t="str">
        <f t="array" ref="C106:AJ106">TRANSPOSE(TRANS2B5)</f>
        <v>R</v>
      </c>
      <c r="D106" s="166" t="str">
        <v>R</v>
      </c>
      <c r="E106" s="166" t="str">
        <v>X</v>
      </c>
      <c r="F106" s="166" t="str">
        <v>X</v>
      </c>
      <c r="G106" s="166" t="str">
        <v>X</v>
      </c>
      <c r="H106" s="166" t="str">
        <v>X</v>
      </c>
      <c r="I106" s="166" t="str">
        <v>R</v>
      </c>
      <c r="J106" s="166" t="str">
        <v>X</v>
      </c>
      <c r="K106" s="166" t="str">
        <v>R</v>
      </c>
      <c r="L106" s="166" t="str">
        <v>X</v>
      </c>
      <c r="M106" s="166" t="str">
        <v>R</v>
      </c>
      <c r="N106" s="166" t="str">
        <v>R</v>
      </c>
      <c r="O106" s="166" t="str">
        <v xml:space="preserve"> </v>
      </c>
      <c r="P106" s="166" t="str">
        <v xml:space="preserve"> </v>
      </c>
      <c r="Q106" s="166" t="str">
        <v xml:space="preserve"> </v>
      </c>
      <c r="R106" s="166" t="str">
        <v xml:space="preserve"> </v>
      </c>
      <c r="S106" s="166" t="str">
        <v xml:space="preserve"> </v>
      </c>
      <c r="T106" s="166" t="str">
        <v xml:space="preserve"> </v>
      </c>
      <c r="U106" s="166" t="str">
        <v xml:space="preserve"> </v>
      </c>
      <c r="V106" s="166" t="str">
        <v xml:space="preserve"> </v>
      </c>
      <c r="W106" s="166" t="str">
        <v xml:space="preserve"> </v>
      </c>
      <c r="X106" s="166" t="str">
        <v xml:space="preserve"> </v>
      </c>
      <c r="Y106" s="166" t="str">
        <v xml:space="preserve"> </v>
      </c>
      <c r="Z106" s="166" t="str">
        <v xml:space="preserve"> </v>
      </c>
      <c r="AA106" s="166" t="str">
        <v xml:space="preserve"> </v>
      </c>
      <c r="AB106" s="166" t="str">
        <v xml:space="preserve"> </v>
      </c>
      <c r="AC106" s="166" t="str">
        <v xml:space="preserve"> </v>
      </c>
      <c r="AD106" s="166" t="str">
        <v xml:space="preserve"> </v>
      </c>
      <c r="AE106" s="166" t="str">
        <v xml:space="preserve"> </v>
      </c>
      <c r="AF106" s="166" t="str">
        <v xml:space="preserve"> </v>
      </c>
      <c r="AG106" s="166" t="str">
        <v xml:space="preserve"> </v>
      </c>
      <c r="AH106" s="166" t="str">
        <v xml:space="preserve"> </v>
      </c>
      <c r="AI106" s="166" t="str">
        <v xml:space="preserve"> </v>
      </c>
      <c r="AJ106" s="27" t="str">
        <v xml:space="preserve"> </v>
      </c>
      <c r="BD106" s="707"/>
      <c r="BE106" s="708"/>
      <c r="BF106" s="709" t="str">
        <f t="array" ref="BF106:CL106">TRANSPOSE(TRANS2B5)</f>
        <v>R</v>
      </c>
      <c r="BG106" s="166" t="str">
        <v>R</v>
      </c>
      <c r="BH106" s="166" t="str">
        <v>X</v>
      </c>
      <c r="BI106" s="166" t="str">
        <v>X</v>
      </c>
      <c r="BJ106" s="166" t="str">
        <v>X</v>
      </c>
      <c r="BK106" s="166" t="str">
        <v>X</v>
      </c>
      <c r="BL106" s="166" t="str">
        <v>R</v>
      </c>
      <c r="BM106" s="166" t="str">
        <v>X</v>
      </c>
      <c r="BN106" s="166" t="str">
        <v>R</v>
      </c>
      <c r="BO106" s="166" t="str">
        <v>X</v>
      </c>
      <c r="BP106" s="166" t="str">
        <v>R</v>
      </c>
      <c r="BQ106" s="166" t="str">
        <v>R</v>
      </c>
      <c r="BR106" s="166" t="str">
        <v xml:space="preserve"> </v>
      </c>
      <c r="BS106" s="166" t="str">
        <v xml:space="preserve"> </v>
      </c>
      <c r="BT106" s="166" t="str">
        <v xml:space="preserve"> </v>
      </c>
      <c r="BU106" s="166" t="str">
        <v xml:space="preserve"> </v>
      </c>
      <c r="BV106" s="166" t="str">
        <v xml:space="preserve"> </v>
      </c>
      <c r="BW106" s="166" t="str">
        <v xml:space="preserve"> </v>
      </c>
      <c r="BX106" s="166" t="str">
        <v xml:space="preserve"> </v>
      </c>
      <c r="BY106" s="166" t="str">
        <v xml:space="preserve"> </v>
      </c>
      <c r="BZ106" s="166" t="str">
        <v xml:space="preserve"> </v>
      </c>
      <c r="CA106" s="166" t="str">
        <v xml:space="preserve"> </v>
      </c>
      <c r="CB106" s="166" t="str">
        <v xml:space="preserve"> </v>
      </c>
      <c r="CC106" s="166" t="str">
        <v xml:space="preserve"> </v>
      </c>
      <c r="CD106" s="166" t="str">
        <v xml:space="preserve"> </v>
      </c>
      <c r="CE106" s="166" t="str">
        <v xml:space="preserve"> </v>
      </c>
      <c r="CF106" s="166" t="str">
        <v xml:space="preserve"> </v>
      </c>
      <c r="CG106" s="166" t="str">
        <v xml:space="preserve"> </v>
      </c>
      <c r="CH106" s="166" t="str">
        <v xml:space="preserve"> </v>
      </c>
      <c r="CI106" s="166" t="str">
        <v xml:space="preserve"> </v>
      </c>
      <c r="CJ106" s="166" t="str">
        <v xml:space="preserve"> </v>
      </c>
      <c r="CK106" s="166" t="str">
        <v xml:space="preserve"> </v>
      </c>
      <c r="CL106" s="710" t="str">
        <v xml:space="preserve"> </v>
      </c>
    </row>
    <row r="107" spans="1:90" ht="15.5" x14ac:dyDescent="0.35">
      <c r="A107" s="707"/>
      <c r="B107" s="726"/>
      <c r="C107" s="727" t="str">
        <f t="array" ref="C107:AJ107">TRANSPOSE(TRANS2B6)</f>
        <v>X</v>
      </c>
      <c r="D107" s="166" t="str">
        <v>X</v>
      </c>
      <c r="E107" s="166" t="str">
        <v>X</v>
      </c>
      <c r="F107" s="166" t="str">
        <v>R</v>
      </c>
      <c r="G107" s="166" t="str">
        <v>X</v>
      </c>
      <c r="H107" s="166" t="str">
        <v>S</v>
      </c>
      <c r="I107" s="166" t="str">
        <v>R</v>
      </c>
      <c r="J107" s="166" t="str">
        <v>R</v>
      </c>
      <c r="K107" s="166" t="str">
        <v>R</v>
      </c>
      <c r="L107" s="166" t="str">
        <v xml:space="preserve"> </v>
      </c>
      <c r="M107" s="166" t="str">
        <v xml:space="preserve"> </v>
      </c>
      <c r="N107" s="166" t="str">
        <v xml:space="preserve"> </v>
      </c>
      <c r="O107" s="166" t="str">
        <v xml:space="preserve"> </v>
      </c>
      <c r="P107" s="166" t="str">
        <v xml:space="preserve"> </v>
      </c>
      <c r="Q107" s="166" t="str">
        <v xml:space="preserve"> </v>
      </c>
      <c r="R107" s="166" t="str">
        <v xml:space="preserve"> </v>
      </c>
      <c r="S107" s="166" t="str">
        <v xml:space="preserve"> </v>
      </c>
      <c r="T107" s="166" t="str">
        <v xml:space="preserve"> </v>
      </c>
      <c r="U107" s="166" t="str">
        <v xml:space="preserve"> </v>
      </c>
      <c r="V107" s="166" t="str">
        <v xml:space="preserve"> </v>
      </c>
      <c r="W107" s="166" t="str">
        <v xml:space="preserve"> </v>
      </c>
      <c r="X107" s="166" t="str">
        <v xml:space="preserve"> </v>
      </c>
      <c r="Y107" s="166" t="str">
        <v xml:space="preserve"> </v>
      </c>
      <c r="Z107" s="166" t="str">
        <v xml:space="preserve"> </v>
      </c>
      <c r="AA107" s="166" t="str">
        <v xml:space="preserve"> </v>
      </c>
      <c r="AB107" s="166" t="str">
        <v xml:space="preserve"> </v>
      </c>
      <c r="AC107" s="166" t="str">
        <v xml:space="preserve"> </v>
      </c>
      <c r="AD107" s="166" t="str">
        <v xml:space="preserve"> </v>
      </c>
      <c r="AE107" s="166" t="str">
        <v xml:space="preserve"> </v>
      </c>
      <c r="AF107" s="166" t="str">
        <v xml:space="preserve"> </v>
      </c>
      <c r="AG107" s="166" t="str">
        <v xml:space="preserve"> </v>
      </c>
      <c r="AH107" s="166" t="str">
        <v xml:space="preserve"> </v>
      </c>
      <c r="AI107" s="166" t="str">
        <v xml:space="preserve"> </v>
      </c>
      <c r="AJ107" s="27" t="str">
        <v xml:space="preserve"> </v>
      </c>
      <c r="BD107" s="707"/>
      <c r="BE107" s="708"/>
      <c r="BF107" s="709" t="str">
        <f t="array" ref="BF107:CL107">TRANSPOSE(TRANS2B6)</f>
        <v>X</v>
      </c>
      <c r="BG107" s="166" t="str">
        <v>X</v>
      </c>
      <c r="BH107" s="166" t="str">
        <v>X</v>
      </c>
      <c r="BI107" s="166" t="str">
        <v>R</v>
      </c>
      <c r="BJ107" s="166" t="str">
        <v>X</v>
      </c>
      <c r="BK107" s="166" t="str">
        <v>S</v>
      </c>
      <c r="BL107" s="166" t="str">
        <v>R</v>
      </c>
      <c r="BM107" s="166" t="str">
        <v>R</v>
      </c>
      <c r="BN107" s="166" t="str">
        <v>R</v>
      </c>
      <c r="BO107" s="166" t="str">
        <v xml:space="preserve"> </v>
      </c>
      <c r="BP107" s="166" t="str">
        <v xml:space="preserve"> </v>
      </c>
      <c r="BQ107" s="166" t="str">
        <v xml:space="preserve"> </v>
      </c>
      <c r="BR107" s="166" t="str">
        <v xml:space="preserve"> </v>
      </c>
      <c r="BS107" s="166" t="str">
        <v xml:space="preserve"> </v>
      </c>
      <c r="BT107" s="166" t="str">
        <v xml:space="preserve"> </v>
      </c>
      <c r="BU107" s="166" t="str">
        <v xml:space="preserve"> </v>
      </c>
      <c r="BV107" s="166" t="str">
        <v xml:space="preserve"> </v>
      </c>
      <c r="BW107" s="166" t="str">
        <v xml:space="preserve"> </v>
      </c>
      <c r="BX107" s="166" t="str">
        <v xml:space="preserve"> </v>
      </c>
      <c r="BY107" s="166" t="str">
        <v xml:space="preserve"> </v>
      </c>
      <c r="BZ107" s="166" t="str">
        <v xml:space="preserve"> </v>
      </c>
      <c r="CA107" s="166" t="str">
        <v xml:space="preserve"> </v>
      </c>
      <c r="CB107" s="166" t="str">
        <v xml:space="preserve"> </v>
      </c>
      <c r="CC107" s="166" t="str">
        <v xml:space="preserve"> </v>
      </c>
      <c r="CD107" s="166" t="str">
        <v xml:space="preserve"> </v>
      </c>
      <c r="CE107" s="166" t="str">
        <v xml:space="preserve"> </v>
      </c>
      <c r="CF107" s="166" t="str">
        <v xml:space="preserve"> </v>
      </c>
      <c r="CG107" s="166" t="str">
        <v xml:space="preserve"> </v>
      </c>
      <c r="CH107" s="166" t="str">
        <v xml:space="preserve"> </v>
      </c>
      <c r="CI107" s="166" t="str">
        <v xml:space="preserve"> </v>
      </c>
      <c r="CJ107" s="166" t="str">
        <v xml:space="preserve"> </v>
      </c>
      <c r="CK107" s="166" t="str">
        <v xml:space="preserve"> </v>
      </c>
      <c r="CL107" s="710" t="str">
        <v xml:space="preserve"> </v>
      </c>
    </row>
    <row r="108" spans="1:90" ht="15.5" x14ac:dyDescent="0.35">
      <c r="A108" s="707"/>
      <c r="B108" s="726"/>
      <c r="C108" s="727" t="str">
        <f t="array" ref="C108:AJ108">TRANSPOSE(TRANS2B7)</f>
        <v xml:space="preserve"> </v>
      </c>
      <c r="D108" s="166" t="str">
        <v xml:space="preserve"> </v>
      </c>
      <c r="E108" s="166" t="str">
        <v xml:space="preserve"> </v>
      </c>
      <c r="F108" s="166" t="str">
        <v xml:space="preserve"> </v>
      </c>
      <c r="G108" s="166" t="str">
        <v xml:space="preserve"> </v>
      </c>
      <c r="H108" s="166" t="str">
        <v xml:space="preserve"> </v>
      </c>
      <c r="I108" s="166" t="str">
        <v xml:space="preserve"> </v>
      </c>
      <c r="J108" s="166" t="str">
        <v xml:space="preserve"> </v>
      </c>
      <c r="K108" s="166" t="str">
        <v xml:space="preserve"> </v>
      </c>
      <c r="L108" s="166" t="str">
        <v xml:space="preserve"> </v>
      </c>
      <c r="M108" s="166" t="str">
        <v xml:space="preserve"> </v>
      </c>
      <c r="N108" s="166" t="str">
        <v xml:space="preserve"> </v>
      </c>
      <c r="O108" s="166" t="str">
        <v xml:space="preserve"> </v>
      </c>
      <c r="P108" s="166" t="str">
        <v xml:space="preserve"> </v>
      </c>
      <c r="Q108" s="166" t="str">
        <v xml:space="preserve"> </v>
      </c>
      <c r="R108" s="166" t="str">
        <v xml:space="preserve"> </v>
      </c>
      <c r="S108" s="166" t="str">
        <v xml:space="preserve"> </v>
      </c>
      <c r="T108" s="166" t="str">
        <v xml:space="preserve"> </v>
      </c>
      <c r="U108" s="166" t="str">
        <v xml:space="preserve"> </v>
      </c>
      <c r="V108" s="166" t="str">
        <v xml:space="preserve"> </v>
      </c>
      <c r="W108" s="166" t="str">
        <v xml:space="preserve"> </v>
      </c>
      <c r="X108" s="166" t="str">
        <v xml:space="preserve"> </v>
      </c>
      <c r="Y108" s="166" t="str">
        <v xml:space="preserve"> </v>
      </c>
      <c r="Z108" s="166" t="str">
        <v xml:space="preserve"> </v>
      </c>
      <c r="AA108" s="166" t="str">
        <v xml:space="preserve"> </v>
      </c>
      <c r="AB108" s="166" t="str">
        <v xml:space="preserve"> </v>
      </c>
      <c r="AC108" s="166" t="str">
        <v xml:space="preserve"> </v>
      </c>
      <c r="AD108" s="166" t="str">
        <v xml:space="preserve"> </v>
      </c>
      <c r="AE108" s="166" t="str">
        <v xml:space="preserve"> </v>
      </c>
      <c r="AF108" s="166" t="str">
        <v xml:space="preserve"> </v>
      </c>
      <c r="AG108" s="166" t="str">
        <v xml:space="preserve"> </v>
      </c>
      <c r="AH108" s="166" t="str">
        <v xml:space="preserve"> </v>
      </c>
      <c r="AI108" s="166" t="str">
        <v xml:space="preserve"> </v>
      </c>
      <c r="AJ108" s="27" t="str">
        <v xml:space="preserve"> </v>
      </c>
      <c r="BD108" s="707"/>
      <c r="BE108" s="708"/>
      <c r="BF108" s="709" t="str">
        <f t="array" ref="BF108:CL108">TRANSPOSE(TRANS2B7)</f>
        <v xml:space="preserve"> </v>
      </c>
      <c r="BG108" s="166" t="str">
        <v xml:space="preserve"> </v>
      </c>
      <c r="BH108" s="166" t="str">
        <v xml:space="preserve"> </v>
      </c>
      <c r="BI108" s="166" t="str">
        <v xml:space="preserve"> </v>
      </c>
      <c r="BJ108" s="166" t="str">
        <v xml:space="preserve"> </v>
      </c>
      <c r="BK108" s="166" t="str">
        <v xml:space="preserve"> </v>
      </c>
      <c r="BL108" s="166" t="str">
        <v xml:space="preserve"> </v>
      </c>
      <c r="BM108" s="166" t="str">
        <v xml:space="preserve"> </v>
      </c>
      <c r="BN108" s="166" t="str">
        <v xml:space="preserve"> </v>
      </c>
      <c r="BO108" s="166" t="str">
        <v xml:space="preserve"> </v>
      </c>
      <c r="BP108" s="166" t="str">
        <v xml:space="preserve"> </v>
      </c>
      <c r="BQ108" s="166" t="str">
        <v xml:space="preserve"> </v>
      </c>
      <c r="BR108" s="166" t="str">
        <v xml:space="preserve"> </v>
      </c>
      <c r="BS108" s="166" t="str">
        <v xml:space="preserve"> </v>
      </c>
      <c r="BT108" s="166" t="str">
        <v xml:space="preserve"> </v>
      </c>
      <c r="BU108" s="166" t="str">
        <v xml:space="preserve"> </v>
      </c>
      <c r="BV108" s="166" t="str">
        <v xml:space="preserve"> </v>
      </c>
      <c r="BW108" s="166" t="str">
        <v xml:space="preserve"> </v>
      </c>
      <c r="BX108" s="166" t="str">
        <v xml:space="preserve"> </v>
      </c>
      <c r="BY108" s="166" t="str">
        <v xml:space="preserve"> </v>
      </c>
      <c r="BZ108" s="166" t="str">
        <v xml:space="preserve"> </v>
      </c>
      <c r="CA108" s="166" t="str">
        <v xml:space="preserve"> </v>
      </c>
      <c r="CB108" s="166" t="str">
        <v xml:space="preserve"> </v>
      </c>
      <c r="CC108" s="166" t="str">
        <v xml:space="preserve"> </v>
      </c>
      <c r="CD108" s="166" t="str">
        <v xml:space="preserve"> </v>
      </c>
      <c r="CE108" s="166" t="str">
        <v xml:space="preserve"> </v>
      </c>
      <c r="CF108" s="166" t="str">
        <v xml:space="preserve"> </v>
      </c>
      <c r="CG108" s="166" t="str">
        <v xml:space="preserve"> </v>
      </c>
      <c r="CH108" s="166" t="str">
        <v xml:space="preserve"> </v>
      </c>
      <c r="CI108" s="166" t="str">
        <v xml:space="preserve"> </v>
      </c>
      <c r="CJ108" s="166" t="str">
        <v xml:space="preserve"> </v>
      </c>
      <c r="CK108" s="166" t="str">
        <v xml:space="preserve"> </v>
      </c>
      <c r="CL108" s="710" t="str">
        <v xml:space="preserve"> </v>
      </c>
    </row>
    <row r="109" spans="1:90" ht="15.5" x14ac:dyDescent="0.35">
      <c r="A109" s="707"/>
      <c r="B109" s="726"/>
      <c r="C109" s="727" t="str">
        <f t="array" ref="C109:AJ109">TRANSPOSE(TRANS2B8)</f>
        <v xml:space="preserve"> </v>
      </c>
      <c r="D109" s="166" t="str">
        <v xml:space="preserve"> </v>
      </c>
      <c r="E109" s="166" t="str">
        <v xml:space="preserve"> </v>
      </c>
      <c r="F109" s="166" t="str">
        <v xml:space="preserve"> </v>
      </c>
      <c r="G109" s="166" t="str">
        <v xml:space="preserve"> </v>
      </c>
      <c r="H109" s="166" t="str">
        <v xml:space="preserve"> </v>
      </c>
      <c r="I109" s="166" t="str">
        <v xml:space="preserve"> </v>
      </c>
      <c r="J109" s="166" t="str">
        <v xml:space="preserve"> </v>
      </c>
      <c r="K109" s="166" t="str">
        <v xml:space="preserve"> </v>
      </c>
      <c r="L109" s="166" t="str">
        <v xml:space="preserve"> </v>
      </c>
      <c r="M109" s="166" t="str">
        <v xml:space="preserve"> </v>
      </c>
      <c r="N109" s="166" t="str">
        <v xml:space="preserve"> </v>
      </c>
      <c r="O109" s="166" t="str">
        <v xml:space="preserve"> </v>
      </c>
      <c r="P109" s="166" t="str">
        <v xml:space="preserve"> </v>
      </c>
      <c r="Q109" s="166" t="str">
        <v xml:space="preserve"> </v>
      </c>
      <c r="R109" s="166" t="str">
        <v xml:space="preserve"> </v>
      </c>
      <c r="S109" s="166" t="str">
        <v xml:space="preserve"> </v>
      </c>
      <c r="T109" s="166" t="str">
        <v xml:space="preserve"> </v>
      </c>
      <c r="U109" s="166" t="str">
        <v xml:space="preserve"> </v>
      </c>
      <c r="V109" s="166" t="str">
        <v xml:space="preserve"> </v>
      </c>
      <c r="W109" s="166" t="str">
        <v xml:space="preserve"> </v>
      </c>
      <c r="X109" s="166" t="str">
        <v xml:space="preserve"> </v>
      </c>
      <c r="Y109" s="166" t="str">
        <v xml:space="preserve"> </v>
      </c>
      <c r="Z109" s="166" t="str">
        <v xml:space="preserve"> </v>
      </c>
      <c r="AA109" s="166" t="str">
        <v xml:space="preserve"> </v>
      </c>
      <c r="AB109" s="166" t="str">
        <v xml:space="preserve"> </v>
      </c>
      <c r="AC109" s="166" t="str">
        <v xml:space="preserve"> </v>
      </c>
      <c r="AD109" s="166" t="str">
        <v xml:space="preserve"> </v>
      </c>
      <c r="AE109" s="166" t="str">
        <v xml:space="preserve"> </v>
      </c>
      <c r="AF109" s="166" t="str">
        <v xml:space="preserve"> </v>
      </c>
      <c r="AG109" s="166" t="str">
        <v xml:space="preserve"> </v>
      </c>
      <c r="AH109" s="166" t="str">
        <v xml:space="preserve"> </v>
      </c>
      <c r="AI109" s="166" t="str">
        <v xml:space="preserve"> </v>
      </c>
      <c r="AJ109" s="27" t="str">
        <v xml:space="preserve"> </v>
      </c>
      <c r="BD109" s="707"/>
      <c r="BE109" s="708"/>
      <c r="BF109" s="709" t="str">
        <f t="array" ref="BF109:CL109">TRANSPOSE(TRANS2B8)</f>
        <v xml:space="preserve"> </v>
      </c>
      <c r="BG109" s="166" t="str">
        <v xml:space="preserve"> </v>
      </c>
      <c r="BH109" s="166" t="str">
        <v xml:space="preserve"> </v>
      </c>
      <c r="BI109" s="166" t="str">
        <v xml:space="preserve"> </v>
      </c>
      <c r="BJ109" s="166" t="str">
        <v xml:space="preserve"> </v>
      </c>
      <c r="BK109" s="166" t="str">
        <v xml:space="preserve"> </v>
      </c>
      <c r="BL109" s="166" t="str">
        <v xml:space="preserve"> </v>
      </c>
      <c r="BM109" s="166" t="str">
        <v xml:space="preserve"> </v>
      </c>
      <c r="BN109" s="166" t="str">
        <v xml:space="preserve"> </v>
      </c>
      <c r="BO109" s="166" t="str">
        <v xml:space="preserve"> </v>
      </c>
      <c r="BP109" s="166" t="str">
        <v xml:space="preserve"> </v>
      </c>
      <c r="BQ109" s="166" t="str">
        <v xml:space="preserve"> </v>
      </c>
      <c r="BR109" s="166" t="str">
        <v xml:space="preserve"> </v>
      </c>
      <c r="BS109" s="166" t="str">
        <v xml:space="preserve"> </v>
      </c>
      <c r="BT109" s="166" t="str">
        <v xml:space="preserve"> </v>
      </c>
      <c r="BU109" s="166" t="str">
        <v xml:space="preserve"> </v>
      </c>
      <c r="BV109" s="166" t="str">
        <v xml:space="preserve"> </v>
      </c>
      <c r="BW109" s="166" t="str">
        <v xml:space="preserve"> </v>
      </c>
      <c r="BX109" s="166" t="str">
        <v xml:space="preserve"> </v>
      </c>
      <c r="BY109" s="166" t="str">
        <v xml:space="preserve"> </v>
      </c>
      <c r="BZ109" s="166" t="str">
        <v xml:space="preserve"> </v>
      </c>
      <c r="CA109" s="166" t="str">
        <v xml:space="preserve"> </v>
      </c>
      <c r="CB109" s="166" t="str">
        <v xml:space="preserve"> </v>
      </c>
      <c r="CC109" s="166" t="str">
        <v xml:space="preserve"> </v>
      </c>
      <c r="CD109" s="166" t="str">
        <v xml:space="preserve"> </v>
      </c>
      <c r="CE109" s="166" t="str">
        <v xml:space="preserve"> </v>
      </c>
      <c r="CF109" s="166" t="str">
        <v xml:space="preserve"> </v>
      </c>
      <c r="CG109" s="166" t="str">
        <v xml:space="preserve"> </v>
      </c>
      <c r="CH109" s="166" t="str">
        <v xml:space="preserve"> </v>
      </c>
      <c r="CI109" s="166" t="str">
        <v xml:space="preserve"> </v>
      </c>
      <c r="CJ109" s="166" t="str">
        <v xml:space="preserve"> </v>
      </c>
      <c r="CK109" s="166" t="str">
        <v xml:space="preserve"> </v>
      </c>
      <c r="CL109" s="710" t="str">
        <v xml:space="preserve"> </v>
      </c>
    </row>
    <row r="110" spans="1:90" ht="15.5" x14ac:dyDescent="0.35">
      <c r="A110" s="707"/>
      <c r="B110" s="726"/>
      <c r="C110" s="727" t="str">
        <f t="array" ref="C110:AJ110">TRANSPOSE(TRANS2B9)</f>
        <v xml:space="preserve"> </v>
      </c>
      <c r="D110" s="166" t="str">
        <v xml:space="preserve"> </v>
      </c>
      <c r="E110" s="166" t="str">
        <v xml:space="preserve"> </v>
      </c>
      <c r="F110" s="166" t="str">
        <v xml:space="preserve"> </v>
      </c>
      <c r="G110" s="166" t="str">
        <v xml:space="preserve"> </v>
      </c>
      <c r="H110" s="166" t="str">
        <v xml:space="preserve"> </v>
      </c>
      <c r="I110" s="166" t="str">
        <v xml:space="preserve"> </v>
      </c>
      <c r="J110" s="166" t="str">
        <v xml:space="preserve"> </v>
      </c>
      <c r="K110" s="166" t="str">
        <v xml:space="preserve"> </v>
      </c>
      <c r="L110" s="166" t="str">
        <v xml:space="preserve"> </v>
      </c>
      <c r="M110" s="166" t="str">
        <v xml:space="preserve"> </v>
      </c>
      <c r="N110" s="166" t="str">
        <v xml:space="preserve"> </v>
      </c>
      <c r="O110" s="166" t="str">
        <v xml:space="preserve"> </v>
      </c>
      <c r="P110" s="166" t="str">
        <v xml:space="preserve"> </v>
      </c>
      <c r="Q110" s="166" t="str">
        <v xml:space="preserve"> </v>
      </c>
      <c r="R110" s="166" t="str">
        <v xml:space="preserve"> </v>
      </c>
      <c r="S110" s="166" t="str">
        <v xml:space="preserve"> </v>
      </c>
      <c r="T110" s="166" t="str">
        <v xml:space="preserve"> </v>
      </c>
      <c r="U110" s="166" t="str">
        <v xml:space="preserve"> </v>
      </c>
      <c r="V110" s="166" t="str">
        <v xml:space="preserve"> </v>
      </c>
      <c r="W110" s="166" t="str">
        <v xml:space="preserve"> </v>
      </c>
      <c r="X110" s="166" t="str">
        <v xml:space="preserve"> </v>
      </c>
      <c r="Y110" s="166" t="str">
        <v xml:space="preserve"> </v>
      </c>
      <c r="Z110" s="166" t="str">
        <v xml:space="preserve"> </v>
      </c>
      <c r="AA110" s="166" t="str">
        <v xml:space="preserve"> </v>
      </c>
      <c r="AB110" s="166" t="str">
        <v xml:space="preserve"> </v>
      </c>
      <c r="AC110" s="166" t="str">
        <v xml:space="preserve"> </v>
      </c>
      <c r="AD110" s="166" t="str">
        <v xml:space="preserve"> </v>
      </c>
      <c r="AE110" s="166" t="str">
        <v xml:space="preserve"> </v>
      </c>
      <c r="AF110" s="166" t="str">
        <v xml:space="preserve"> </v>
      </c>
      <c r="AG110" s="166" t="str">
        <v xml:space="preserve"> </v>
      </c>
      <c r="AH110" s="166" t="str">
        <v xml:space="preserve"> </v>
      </c>
      <c r="AI110" s="166" t="str">
        <v xml:space="preserve"> </v>
      </c>
      <c r="AJ110" s="27" t="str">
        <v xml:space="preserve"> </v>
      </c>
      <c r="BD110" s="707"/>
      <c r="BE110" s="708"/>
      <c r="BF110" s="709" t="str">
        <f t="array" ref="BF110:CL110">TRANSPOSE(TRANS2B9)</f>
        <v xml:space="preserve"> </v>
      </c>
      <c r="BG110" s="166" t="str">
        <v xml:space="preserve"> </v>
      </c>
      <c r="BH110" s="166" t="str">
        <v xml:space="preserve"> </v>
      </c>
      <c r="BI110" s="166" t="str">
        <v xml:space="preserve"> </v>
      </c>
      <c r="BJ110" s="166" t="str">
        <v xml:space="preserve"> </v>
      </c>
      <c r="BK110" s="166" t="str">
        <v xml:space="preserve"> </v>
      </c>
      <c r="BL110" s="166" t="str">
        <v xml:space="preserve"> </v>
      </c>
      <c r="BM110" s="166" t="str">
        <v xml:space="preserve"> </v>
      </c>
      <c r="BN110" s="166" t="str">
        <v xml:space="preserve"> </v>
      </c>
      <c r="BO110" s="166" t="str">
        <v xml:space="preserve"> </v>
      </c>
      <c r="BP110" s="166" t="str">
        <v xml:space="preserve"> </v>
      </c>
      <c r="BQ110" s="166" t="str">
        <v xml:space="preserve"> </v>
      </c>
      <c r="BR110" s="166" t="str">
        <v xml:space="preserve"> </v>
      </c>
      <c r="BS110" s="166" t="str">
        <v xml:space="preserve"> </v>
      </c>
      <c r="BT110" s="166" t="str">
        <v xml:space="preserve"> </v>
      </c>
      <c r="BU110" s="166" t="str">
        <v xml:space="preserve"> </v>
      </c>
      <c r="BV110" s="166" t="str">
        <v xml:space="preserve"> </v>
      </c>
      <c r="BW110" s="166" t="str">
        <v xml:space="preserve"> </v>
      </c>
      <c r="BX110" s="166" t="str">
        <v xml:space="preserve"> </v>
      </c>
      <c r="BY110" s="166" t="str">
        <v xml:space="preserve"> </v>
      </c>
      <c r="BZ110" s="166" t="str">
        <v xml:space="preserve"> </v>
      </c>
      <c r="CA110" s="166" t="str">
        <v xml:space="preserve"> </v>
      </c>
      <c r="CB110" s="166" t="str">
        <v xml:space="preserve"> </v>
      </c>
      <c r="CC110" s="166" t="str">
        <v xml:space="preserve"> </v>
      </c>
      <c r="CD110" s="166" t="str">
        <v xml:space="preserve"> </v>
      </c>
      <c r="CE110" s="166" t="str">
        <v xml:space="preserve"> </v>
      </c>
      <c r="CF110" s="166" t="str">
        <v xml:space="preserve"> </v>
      </c>
      <c r="CG110" s="166" t="str">
        <v xml:space="preserve"> </v>
      </c>
      <c r="CH110" s="166" t="str">
        <v xml:space="preserve"> </v>
      </c>
      <c r="CI110" s="166" t="str">
        <v xml:space="preserve"> </v>
      </c>
      <c r="CJ110" s="166" t="str">
        <v xml:space="preserve"> </v>
      </c>
      <c r="CK110" s="166" t="str">
        <v xml:space="preserve"> </v>
      </c>
      <c r="CL110" s="710" t="str">
        <v xml:space="preserve"> </v>
      </c>
    </row>
    <row r="111" spans="1:90" ht="15.5" x14ac:dyDescent="0.35">
      <c r="A111" s="707"/>
      <c r="B111" s="726"/>
      <c r="C111" s="727" t="str">
        <f t="array" ref="C111:AJ111">TRANSPOSE(TRANS2B10)</f>
        <v xml:space="preserve"> </v>
      </c>
      <c r="D111" s="166" t="str">
        <v xml:space="preserve"> </v>
      </c>
      <c r="E111" s="166" t="str">
        <v xml:space="preserve"> </v>
      </c>
      <c r="F111" s="166" t="str">
        <v xml:space="preserve"> </v>
      </c>
      <c r="G111" s="166" t="str">
        <v xml:space="preserve"> </v>
      </c>
      <c r="H111" s="166" t="str">
        <v xml:space="preserve"> </v>
      </c>
      <c r="I111" s="166" t="str">
        <v xml:space="preserve"> </v>
      </c>
      <c r="J111" s="166" t="str">
        <v xml:space="preserve"> </v>
      </c>
      <c r="K111" s="166" t="str">
        <v xml:space="preserve"> </v>
      </c>
      <c r="L111" s="166" t="str">
        <v xml:space="preserve"> </v>
      </c>
      <c r="M111" s="166" t="str">
        <v xml:space="preserve"> </v>
      </c>
      <c r="N111" s="166" t="str">
        <v xml:space="preserve"> </v>
      </c>
      <c r="O111" s="166" t="str">
        <v xml:space="preserve"> </v>
      </c>
      <c r="P111" s="166" t="str">
        <v xml:space="preserve"> </v>
      </c>
      <c r="Q111" s="166" t="str">
        <v xml:space="preserve"> </v>
      </c>
      <c r="R111" s="166" t="str">
        <v xml:space="preserve"> </v>
      </c>
      <c r="S111" s="166" t="str">
        <v xml:space="preserve"> </v>
      </c>
      <c r="T111" s="166" t="str">
        <v xml:space="preserve"> </v>
      </c>
      <c r="U111" s="166" t="str">
        <v xml:space="preserve"> </v>
      </c>
      <c r="V111" s="166" t="str">
        <v xml:space="preserve"> </v>
      </c>
      <c r="W111" s="166" t="str">
        <v xml:space="preserve"> </v>
      </c>
      <c r="X111" s="166" t="str">
        <v xml:space="preserve"> </v>
      </c>
      <c r="Y111" s="166" t="str">
        <v xml:space="preserve"> </v>
      </c>
      <c r="Z111" s="166" t="str">
        <v xml:space="preserve"> </v>
      </c>
      <c r="AA111" s="166" t="str">
        <v xml:space="preserve"> </v>
      </c>
      <c r="AB111" s="166" t="str">
        <v xml:space="preserve"> </v>
      </c>
      <c r="AC111" s="166" t="str">
        <v xml:space="preserve"> </v>
      </c>
      <c r="AD111" s="166" t="str">
        <v xml:space="preserve"> </v>
      </c>
      <c r="AE111" s="166" t="str">
        <v xml:space="preserve"> </v>
      </c>
      <c r="AF111" s="166" t="str">
        <v xml:space="preserve"> </v>
      </c>
      <c r="AG111" s="166" t="str">
        <v xml:space="preserve"> </v>
      </c>
      <c r="AH111" s="166" t="str">
        <v xml:space="preserve"> </v>
      </c>
      <c r="AI111" s="166" t="str">
        <v xml:space="preserve"> </v>
      </c>
      <c r="AJ111" s="27" t="str">
        <v xml:space="preserve"> </v>
      </c>
      <c r="BD111" s="707"/>
      <c r="BE111" s="708"/>
      <c r="BF111" s="709" t="str">
        <f t="array" ref="BF111:CL111">TRANSPOSE(TRANS2B10)</f>
        <v xml:space="preserve"> </v>
      </c>
      <c r="BG111" s="166" t="str">
        <v xml:space="preserve"> </v>
      </c>
      <c r="BH111" s="166" t="str">
        <v xml:space="preserve"> </v>
      </c>
      <c r="BI111" s="166" t="str">
        <v xml:space="preserve"> </v>
      </c>
      <c r="BJ111" s="166" t="str">
        <v xml:space="preserve"> </v>
      </c>
      <c r="BK111" s="166" t="str">
        <v xml:space="preserve"> </v>
      </c>
      <c r="BL111" s="166" t="str">
        <v xml:space="preserve"> </v>
      </c>
      <c r="BM111" s="166" t="str">
        <v xml:space="preserve"> </v>
      </c>
      <c r="BN111" s="166" t="str">
        <v xml:space="preserve"> </v>
      </c>
      <c r="BO111" s="166" t="str">
        <v xml:space="preserve"> </v>
      </c>
      <c r="BP111" s="166" t="str">
        <v xml:space="preserve"> </v>
      </c>
      <c r="BQ111" s="166" t="str">
        <v xml:space="preserve"> </v>
      </c>
      <c r="BR111" s="166" t="str">
        <v xml:space="preserve"> </v>
      </c>
      <c r="BS111" s="166" t="str">
        <v xml:space="preserve"> </v>
      </c>
      <c r="BT111" s="166" t="str">
        <v xml:space="preserve"> </v>
      </c>
      <c r="BU111" s="166" t="str">
        <v xml:space="preserve"> </v>
      </c>
      <c r="BV111" s="166" t="str">
        <v xml:space="preserve"> </v>
      </c>
      <c r="BW111" s="166" t="str">
        <v xml:space="preserve"> </v>
      </c>
      <c r="BX111" s="166" t="str">
        <v xml:space="preserve"> </v>
      </c>
      <c r="BY111" s="166" t="str">
        <v xml:space="preserve"> </v>
      </c>
      <c r="BZ111" s="166" t="str">
        <v xml:space="preserve"> </v>
      </c>
      <c r="CA111" s="166" t="str">
        <v xml:space="preserve"> </v>
      </c>
      <c r="CB111" s="166" t="str">
        <v xml:space="preserve"> </v>
      </c>
      <c r="CC111" s="166" t="str">
        <v xml:space="preserve"> </v>
      </c>
      <c r="CD111" s="166" t="str">
        <v xml:space="preserve"> </v>
      </c>
      <c r="CE111" s="166" t="str">
        <v xml:space="preserve"> </v>
      </c>
      <c r="CF111" s="166" t="str">
        <v xml:space="preserve"> </v>
      </c>
      <c r="CG111" s="166" t="str">
        <v xml:space="preserve"> </v>
      </c>
      <c r="CH111" s="166" t="str">
        <v xml:space="preserve"> </v>
      </c>
      <c r="CI111" s="166" t="str">
        <v xml:space="preserve"> </v>
      </c>
      <c r="CJ111" s="166" t="str">
        <v xml:space="preserve"> </v>
      </c>
      <c r="CK111" s="166" t="str">
        <v xml:space="preserve"> </v>
      </c>
      <c r="CL111" s="710" t="str">
        <v xml:space="preserve"> </v>
      </c>
    </row>
    <row r="112" spans="1:90" ht="15.5" x14ac:dyDescent="0.35">
      <c r="A112" s="707"/>
      <c r="B112" s="726"/>
      <c r="C112" s="727" t="str">
        <f t="array" ref="C112:AJ112">TRANSPOSE(TRANS2B11)</f>
        <v xml:space="preserve"> </v>
      </c>
      <c r="D112" s="166" t="str">
        <v xml:space="preserve"> </v>
      </c>
      <c r="E112" s="166" t="str">
        <v xml:space="preserve"> </v>
      </c>
      <c r="F112" s="166" t="str">
        <v xml:space="preserve"> </v>
      </c>
      <c r="G112" s="166" t="str">
        <v xml:space="preserve"> </v>
      </c>
      <c r="H112" s="166" t="str">
        <v xml:space="preserve"> </v>
      </c>
      <c r="I112" s="166" t="str">
        <v xml:space="preserve"> </v>
      </c>
      <c r="J112" s="166" t="str">
        <v xml:space="preserve"> </v>
      </c>
      <c r="K112" s="166" t="str">
        <v xml:space="preserve"> </v>
      </c>
      <c r="L112" s="166" t="str">
        <v xml:space="preserve"> </v>
      </c>
      <c r="M112" s="166" t="str">
        <v xml:space="preserve"> </v>
      </c>
      <c r="N112" s="166" t="str">
        <v xml:space="preserve"> </v>
      </c>
      <c r="O112" s="166" t="str">
        <v xml:space="preserve"> </v>
      </c>
      <c r="P112" s="166" t="str">
        <v xml:space="preserve"> </v>
      </c>
      <c r="Q112" s="166" t="str">
        <v xml:space="preserve"> </v>
      </c>
      <c r="R112" s="166" t="str">
        <v xml:space="preserve"> </v>
      </c>
      <c r="S112" s="166" t="str">
        <v xml:space="preserve"> </v>
      </c>
      <c r="T112" s="166" t="str">
        <v xml:space="preserve"> </v>
      </c>
      <c r="U112" s="166" t="str">
        <v xml:space="preserve"> </v>
      </c>
      <c r="V112" s="166" t="str">
        <v xml:space="preserve"> </v>
      </c>
      <c r="W112" s="166" t="str">
        <v xml:space="preserve"> </v>
      </c>
      <c r="X112" s="166" t="str">
        <v xml:space="preserve"> </v>
      </c>
      <c r="Y112" s="166" t="str">
        <v xml:space="preserve"> </v>
      </c>
      <c r="Z112" s="166" t="str">
        <v xml:space="preserve"> </v>
      </c>
      <c r="AA112" s="166" t="str">
        <v xml:space="preserve"> </v>
      </c>
      <c r="AB112" s="166" t="str">
        <v xml:space="preserve"> </v>
      </c>
      <c r="AC112" s="166" t="str">
        <v xml:space="preserve"> </v>
      </c>
      <c r="AD112" s="166" t="str">
        <v xml:space="preserve"> </v>
      </c>
      <c r="AE112" s="166" t="str">
        <v xml:space="preserve"> </v>
      </c>
      <c r="AF112" s="166" t="str">
        <v xml:space="preserve"> </v>
      </c>
      <c r="AG112" s="166" t="str">
        <v xml:space="preserve"> </v>
      </c>
      <c r="AH112" s="166" t="str">
        <v xml:space="preserve"> </v>
      </c>
      <c r="AI112" s="166" t="str">
        <v xml:space="preserve"> </v>
      </c>
      <c r="AJ112" s="27" t="str">
        <v xml:space="preserve"> </v>
      </c>
      <c r="BD112" s="707"/>
      <c r="BE112" s="708"/>
      <c r="BF112" s="709" t="str">
        <f t="array" ref="BF112:CL112">TRANSPOSE(TRANS2B11)</f>
        <v xml:space="preserve"> </v>
      </c>
      <c r="BG112" s="166" t="str">
        <v xml:space="preserve"> </v>
      </c>
      <c r="BH112" s="166" t="str">
        <v xml:space="preserve"> </v>
      </c>
      <c r="BI112" s="166" t="str">
        <v xml:space="preserve"> </v>
      </c>
      <c r="BJ112" s="166" t="str">
        <v xml:space="preserve"> </v>
      </c>
      <c r="BK112" s="166" t="str">
        <v xml:space="preserve"> </v>
      </c>
      <c r="BL112" s="166" t="str">
        <v xml:space="preserve"> </v>
      </c>
      <c r="BM112" s="166" t="str">
        <v xml:space="preserve"> </v>
      </c>
      <c r="BN112" s="166" t="str">
        <v xml:space="preserve"> </v>
      </c>
      <c r="BO112" s="166" t="str">
        <v xml:space="preserve"> </v>
      </c>
      <c r="BP112" s="166" t="str">
        <v xml:space="preserve"> </v>
      </c>
      <c r="BQ112" s="166" t="str">
        <v xml:space="preserve"> </v>
      </c>
      <c r="BR112" s="166" t="str">
        <v xml:space="preserve"> </v>
      </c>
      <c r="BS112" s="166" t="str">
        <v xml:space="preserve"> </v>
      </c>
      <c r="BT112" s="166" t="str">
        <v xml:space="preserve"> </v>
      </c>
      <c r="BU112" s="166" t="str">
        <v xml:space="preserve"> </v>
      </c>
      <c r="BV112" s="166" t="str">
        <v xml:space="preserve"> </v>
      </c>
      <c r="BW112" s="166" t="str">
        <v xml:space="preserve"> </v>
      </c>
      <c r="BX112" s="166" t="str">
        <v xml:space="preserve"> </v>
      </c>
      <c r="BY112" s="166" t="str">
        <v xml:space="preserve"> </v>
      </c>
      <c r="BZ112" s="166" t="str">
        <v xml:space="preserve"> </v>
      </c>
      <c r="CA112" s="166" t="str">
        <v xml:space="preserve"> </v>
      </c>
      <c r="CB112" s="166" t="str">
        <v xml:space="preserve"> </v>
      </c>
      <c r="CC112" s="166" t="str">
        <v xml:space="preserve"> </v>
      </c>
      <c r="CD112" s="166" t="str">
        <v xml:space="preserve"> </v>
      </c>
      <c r="CE112" s="166" t="str">
        <v xml:space="preserve"> </v>
      </c>
      <c r="CF112" s="166" t="str">
        <v xml:space="preserve"> </v>
      </c>
      <c r="CG112" s="166" t="str">
        <v xml:space="preserve"> </v>
      </c>
      <c r="CH112" s="166" t="str">
        <v xml:space="preserve"> </v>
      </c>
      <c r="CI112" s="166" t="str">
        <v xml:space="preserve"> </v>
      </c>
      <c r="CJ112" s="166" t="str">
        <v xml:space="preserve"> </v>
      </c>
      <c r="CK112" s="166" t="str">
        <v xml:space="preserve"> </v>
      </c>
      <c r="CL112" s="710" t="str">
        <v xml:space="preserve"> </v>
      </c>
    </row>
    <row r="113" spans="1:90" ht="16" thickBot="1" x14ac:dyDescent="0.4">
      <c r="A113" s="711"/>
      <c r="B113" s="728"/>
      <c r="C113" s="729" t="str">
        <f t="array" ref="C113:AJ113">TRANSPOSE(TRANS2B12)</f>
        <v xml:space="preserve"> </v>
      </c>
      <c r="D113" s="714" t="str">
        <v xml:space="preserve"> </v>
      </c>
      <c r="E113" s="714" t="str">
        <v xml:space="preserve"> </v>
      </c>
      <c r="F113" s="714" t="str">
        <v xml:space="preserve"> </v>
      </c>
      <c r="G113" s="714" t="str">
        <v xml:space="preserve"> </v>
      </c>
      <c r="H113" s="714" t="str">
        <v xml:space="preserve"> </v>
      </c>
      <c r="I113" s="714" t="str">
        <v xml:space="preserve"> </v>
      </c>
      <c r="J113" s="714" t="str">
        <v xml:space="preserve"> </v>
      </c>
      <c r="K113" s="714" t="str">
        <v xml:space="preserve"> </v>
      </c>
      <c r="L113" s="714" t="str">
        <v xml:space="preserve"> </v>
      </c>
      <c r="M113" s="714" t="str">
        <v xml:space="preserve"> </v>
      </c>
      <c r="N113" s="714" t="str">
        <v xml:space="preserve"> </v>
      </c>
      <c r="O113" s="714" t="str">
        <v xml:space="preserve"> </v>
      </c>
      <c r="P113" s="714" t="str">
        <v xml:space="preserve"> </v>
      </c>
      <c r="Q113" s="714" t="str">
        <v xml:space="preserve"> </v>
      </c>
      <c r="R113" s="714" t="str">
        <v xml:space="preserve"> </v>
      </c>
      <c r="S113" s="714" t="str">
        <v xml:space="preserve"> </v>
      </c>
      <c r="T113" s="714" t="str">
        <v xml:space="preserve"> </v>
      </c>
      <c r="U113" s="714" t="str">
        <v xml:space="preserve"> </v>
      </c>
      <c r="V113" s="714" t="str">
        <v xml:space="preserve"> </v>
      </c>
      <c r="W113" s="714" t="str">
        <v xml:space="preserve"> </v>
      </c>
      <c r="X113" s="714" t="str">
        <v xml:space="preserve"> </v>
      </c>
      <c r="Y113" s="714" t="str">
        <v xml:space="preserve"> </v>
      </c>
      <c r="Z113" s="714" t="str">
        <v xml:space="preserve"> </v>
      </c>
      <c r="AA113" s="714" t="str">
        <v xml:space="preserve"> </v>
      </c>
      <c r="AB113" s="714" t="str">
        <v xml:space="preserve"> </v>
      </c>
      <c r="AC113" s="714" t="str">
        <v xml:space="preserve"> </v>
      </c>
      <c r="AD113" s="714" t="str">
        <v xml:space="preserve"> </v>
      </c>
      <c r="AE113" s="714" t="str">
        <v xml:space="preserve"> </v>
      </c>
      <c r="AF113" s="714" t="str">
        <v xml:space="preserve"> </v>
      </c>
      <c r="AG113" s="714" t="str">
        <v xml:space="preserve"> </v>
      </c>
      <c r="AH113" s="714" t="str">
        <v xml:space="preserve"> </v>
      </c>
      <c r="AI113" s="714" t="str">
        <v xml:space="preserve"> </v>
      </c>
      <c r="AJ113" s="31" t="str">
        <v xml:space="preserve"> </v>
      </c>
      <c r="BD113" s="711"/>
      <c r="BE113" s="712"/>
      <c r="BF113" s="713" t="str">
        <f t="array" ref="BF113:CL113">TRANSPOSE(TRANS2B12)</f>
        <v xml:space="preserve"> </v>
      </c>
      <c r="BG113" s="714" t="str">
        <v xml:space="preserve"> </v>
      </c>
      <c r="BH113" s="714" t="str">
        <v xml:space="preserve"> </v>
      </c>
      <c r="BI113" s="714" t="str">
        <v xml:space="preserve"> </v>
      </c>
      <c r="BJ113" s="714" t="str">
        <v xml:space="preserve"> </v>
      </c>
      <c r="BK113" s="714" t="str">
        <v xml:space="preserve"> </v>
      </c>
      <c r="BL113" s="714" t="str">
        <v xml:space="preserve"> </v>
      </c>
      <c r="BM113" s="714" t="str">
        <v xml:space="preserve"> </v>
      </c>
      <c r="BN113" s="714" t="str">
        <v xml:space="preserve"> </v>
      </c>
      <c r="BO113" s="714" t="str">
        <v xml:space="preserve"> </v>
      </c>
      <c r="BP113" s="714" t="str">
        <v xml:space="preserve"> </v>
      </c>
      <c r="BQ113" s="714" t="str">
        <v xml:space="preserve"> </v>
      </c>
      <c r="BR113" s="714" t="str">
        <v xml:space="preserve"> </v>
      </c>
      <c r="BS113" s="714" t="str">
        <v xml:space="preserve"> </v>
      </c>
      <c r="BT113" s="714" t="str">
        <v xml:space="preserve"> </v>
      </c>
      <c r="BU113" s="714" t="str">
        <v xml:space="preserve"> </v>
      </c>
      <c r="BV113" s="714" t="str">
        <v xml:space="preserve"> </v>
      </c>
      <c r="BW113" s="714" t="str">
        <v xml:space="preserve"> </v>
      </c>
      <c r="BX113" s="714" t="str">
        <v xml:space="preserve"> </v>
      </c>
      <c r="BY113" s="714" t="str">
        <v xml:space="preserve"> </v>
      </c>
      <c r="BZ113" s="714" t="str">
        <v xml:space="preserve"> </v>
      </c>
      <c r="CA113" s="714" t="str">
        <v xml:space="preserve"> </v>
      </c>
      <c r="CB113" s="714" t="str">
        <v xml:space="preserve"> </v>
      </c>
      <c r="CC113" s="714" t="str">
        <v xml:space="preserve"> </v>
      </c>
      <c r="CD113" s="714" t="str">
        <v xml:space="preserve"> </v>
      </c>
      <c r="CE113" s="714" t="str">
        <v xml:space="preserve"> </v>
      </c>
      <c r="CF113" s="714" t="str">
        <v xml:space="preserve"> </v>
      </c>
      <c r="CG113" s="714" t="str">
        <v xml:space="preserve"> </v>
      </c>
      <c r="CH113" s="714" t="str">
        <v xml:space="preserve"> </v>
      </c>
      <c r="CI113" s="714" t="str">
        <v xml:space="preserve"> </v>
      </c>
      <c r="CJ113" s="714" t="str">
        <v xml:space="preserve"> </v>
      </c>
      <c r="CK113" s="714" t="str">
        <v xml:space="preserve"> </v>
      </c>
      <c r="CL113" s="715" t="str">
        <v xml:space="preserve"> </v>
      </c>
    </row>
    <row r="114" spans="1:90" x14ac:dyDescent="0.35">
      <c r="B114" s="716"/>
      <c r="C114" s="716"/>
      <c r="D114" s="716"/>
      <c r="E114" s="716"/>
      <c r="F114" s="716"/>
      <c r="G114" s="716"/>
      <c r="H114" s="716"/>
      <c r="I114" s="716"/>
      <c r="J114" s="716"/>
      <c r="K114" s="716"/>
      <c r="L114" s="716"/>
      <c r="M114" s="716"/>
      <c r="N114" s="716"/>
      <c r="O114" s="716"/>
      <c r="P114" s="716"/>
      <c r="Q114" s="716"/>
      <c r="R114" s="716"/>
      <c r="S114" s="716"/>
      <c r="T114" s="716"/>
      <c r="U114" s="716"/>
      <c r="V114" s="716"/>
      <c r="W114" s="716"/>
      <c r="X114" s="716"/>
      <c r="Y114" s="716"/>
      <c r="Z114" s="716"/>
      <c r="AA114" s="716"/>
      <c r="AB114" s="716"/>
      <c r="AC114" s="716"/>
      <c r="AD114" s="716"/>
      <c r="AE114" s="716"/>
      <c r="AF114" s="716"/>
      <c r="AG114" s="716"/>
      <c r="AH114" s="716"/>
      <c r="AI114" s="716"/>
      <c r="BE114" s="716"/>
      <c r="BF114" s="716"/>
      <c r="BG114" s="716"/>
      <c r="BH114" s="716"/>
      <c r="BI114" s="716"/>
      <c r="BJ114" s="716"/>
      <c r="BK114" s="716"/>
      <c r="BL114" s="716"/>
      <c r="BM114" s="716"/>
      <c r="BN114" s="716"/>
      <c r="BO114" s="716"/>
      <c r="BP114" s="716"/>
      <c r="BQ114" s="716"/>
      <c r="BR114" s="716"/>
      <c r="BS114" s="716"/>
      <c r="BT114" s="716"/>
      <c r="BU114" s="716"/>
      <c r="BV114" s="716"/>
      <c r="BW114" s="716"/>
      <c r="BX114" s="716"/>
      <c r="BY114" s="716"/>
      <c r="BZ114" s="716"/>
      <c r="CA114" s="716"/>
      <c r="CB114" s="716"/>
      <c r="CC114" s="716"/>
      <c r="CD114" s="716"/>
      <c r="CE114" s="716"/>
      <c r="CF114" s="716"/>
      <c r="CG114" s="716"/>
      <c r="CH114" s="716"/>
      <c r="CI114" s="716"/>
      <c r="CJ114" s="716"/>
      <c r="CK114" s="716"/>
      <c r="CL114" s="716"/>
    </row>
    <row r="163" spans="2:90" x14ac:dyDescent="0.35">
      <c r="B163" s="716"/>
      <c r="C163" s="716"/>
      <c r="D163" s="716"/>
      <c r="E163" s="716"/>
      <c r="F163" s="716"/>
      <c r="G163" s="716"/>
      <c r="H163" s="716"/>
      <c r="I163" s="716"/>
      <c r="J163" s="716"/>
      <c r="K163" s="716"/>
      <c r="L163" s="716"/>
      <c r="M163" s="716"/>
      <c r="N163" s="716"/>
      <c r="O163" s="716"/>
      <c r="P163" s="716"/>
      <c r="Q163" s="716"/>
      <c r="R163" s="716"/>
      <c r="S163" s="716"/>
      <c r="T163" s="716"/>
      <c r="U163" s="716"/>
      <c r="V163" s="716"/>
      <c r="W163" s="716"/>
      <c r="X163" s="716"/>
      <c r="Y163" s="716"/>
      <c r="Z163" s="716"/>
      <c r="AA163" s="716"/>
      <c r="AB163" s="716"/>
      <c r="AC163" s="716"/>
      <c r="AD163" s="716"/>
      <c r="AE163" s="716"/>
      <c r="AF163" s="716"/>
      <c r="AG163" s="716"/>
      <c r="AH163" s="716"/>
      <c r="AI163" s="716"/>
      <c r="BE163" s="716"/>
      <c r="BF163" s="716"/>
      <c r="BG163" s="716"/>
      <c r="BH163" s="716"/>
      <c r="BI163" s="716"/>
      <c r="BJ163" s="716"/>
      <c r="BK163" s="716"/>
      <c r="BL163" s="716"/>
      <c r="BM163" s="716"/>
      <c r="BN163" s="716"/>
      <c r="BO163" s="716"/>
      <c r="BP163" s="716"/>
      <c r="BQ163" s="716"/>
      <c r="BR163" s="716"/>
      <c r="BS163" s="716"/>
      <c r="BT163" s="716"/>
      <c r="BU163" s="716"/>
      <c r="BV163" s="716"/>
      <c r="BW163" s="716"/>
      <c r="BX163" s="716"/>
      <c r="BY163" s="716"/>
      <c r="BZ163" s="716"/>
      <c r="CA163" s="716"/>
      <c r="CB163" s="716"/>
      <c r="CC163" s="716"/>
      <c r="CD163" s="716"/>
      <c r="CE163" s="716"/>
      <c r="CF163" s="716"/>
      <c r="CG163" s="716"/>
      <c r="CH163" s="716"/>
      <c r="CI163" s="716"/>
      <c r="CJ163" s="716"/>
      <c r="CK163" s="716"/>
      <c r="CL163" s="716"/>
    </row>
    <row r="164" spans="2:90" x14ac:dyDescent="0.35">
      <c r="B164" s="716"/>
      <c r="C164" s="716"/>
      <c r="D164" s="716"/>
      <c r="E164" s="716"/>
      <c r="F164" s="716"/>
      <c r="G164" s="716"/>
      <c r="H164" s="716"/>
      <c r="I164" s="716"/>
      <c r="J164" s="716"/>
      <c r="K164" s="716"/>
      <c r="L164" s="716"/>
      <c r="M164" s="716"/>
      <c r="N164" s="716"/>
      <c r="O164" s="716"/>
      <c r="P164" s="716"/>
      <c r="Q164" s="716"/>
      <c r="R164" s="716"/>
      <c r="S164" s="716"/>
      <c r="T164" s="716"/>
      <c r="U164" s="716"/>
      <c r="V164" s="716"/>
      <c r="W164" s="716"/>
      <c r="X164" s="716"/>
      <c r="Y164" s="716"/>
      <c r="Z164" s="716"/>
      <c r="AA164" s="716"/>
      <c r="AB164" s="716"/>
      <c r="AC164" s="716"/>
      <c r="AD164" s="716"/>
      <c r="AE164" s="716"/>
      <c r="AF164" s="716"/>
      <c r="AG164" s="716"/>
      <c r="AH164" s="716"/>
      <c r="AI164" s="716"/>
      <c r="BE164" s="716"/>
      <c r="BF164" s="716"/>
      <c r="BG164" s="716"/>
      <c r="BH164" s="716"/>
      <c r="BI164" s="716"/>
      <c r="BJ164" s="716"/>
      <c r="BK164" s="716"/>
      <c r="BL164" s="716"/>
      <c r="BM164" s="716"/>
      <c r="BN164" s="716"/>
      <c r="BO164" s="716"/>
      <c r="BP164" s="716"/>
      <c r="BQ164" s="716"/>
      <c r="BR164" s="716"/>
      <c r="BS164" s="716"/>
      <c r="BT164" s="716"/>
      <c r="BU164" s="716"/>
      <c r="BV164" s="716"/>
      <c r="BW164" s="716"/>
      <c r="BX164" s="716"/>
      <c r="BY164" s="716"/>
      <c r="BZ164" s="716"/>
      <c r="CA164" s="716"/>
      <c r="CB164" s="716"/>
      <c r="CC164" s="716"/>
      <c r="CD164" s="716"/>
      <c r="CE164" s="716"/>
      <c r="CF164" s="716"/>
      <c r="CG164" s="716"/>
      <c r="CH164" s="716"/>
      <c r="CI164" s="716"/>
      <c r="CJ164" s="716"/>
      <c r="CK164" s="716"/>
      <c r="CL164" s="716"/>
    </row>
  </sheetData>
  <mergeCells count="7">
    <mergeCell ref="A1:AJ1"/>
    <mergeCell ref="C2:AJ2"/>
    <mergeCell ref="C100:AJ100"/>
    <mergeCell ref="A99:AJ99"/>
    <mergeCell ref="C21:AJ21"/>
    <mergeCell ref="A20:AJ20"/>
    <mergeCell ref="C40:AJ40"/>
  </mergeCells>
  <conditionalFormatting sqref="C101:AI101">
    <cfRule type="expression" dxfId="639" priority="136">
      <formula>COUNTIF(C101,"0a")</formula>
    </cfRule>
  </conditionalFormatting>
  <conditionalFormatting sqref="C102:AI113">
    <cfRule type="expression" dxfId="638" priority="128">
      <formula>AND(COUNTIF(C102,"*V*"),AND(NOT(COUNTIF(B102,"*V*")),NOT(COUNTIF(D102,"*V*"))))</formula>
    </cfRule>
    <cfRule type="expression" dxfId="637" priority="127">
      <formula>COUNTIF(C102,"*8*")</formula>
    </cfRule>
    <cfRule type="expression" dxfId="636" priority="126">
      <formula>COUNTIF(C102,"*9*")</formula>
    </cfRule>
    <cfRule type="expression" dxfId="635" priority="125">
      <formula>COUNTIF(C102,"*10*")</formula>
    </cfRule>
    <cfRule type="expression" dxfId="634" priority="131">
      <formula>COUNTIF(C102,"*5*")</formula>
    </cfRule>
    <cfRule type="expression" dxfId="633" priority="135">
      <formula>COUNTIF(C102,"*1*")</formula>
    </cfRule>
    <cfRule type="expression" dxfId="632" priority="134">
      <formula>COUNTIF(C102,"*2*")</formula>
    </cfRule>
    <cfRule type="expression" dxfId="631" priority="133">
      <formula>COUNTIF(C102,"*3*")</formula>
    </cfRule>
    <cfRule type="expression" dxfId="630" priority="132">
      <formula>COUNTIF(C102,"*4*")</formula>
    </cfRule>
    <cfRule type="expression" dxfId="629" priority="130">
      <formula>COUNTIF(C102,"*6*")</formula>
    </cfRule>
    <cfRule type="expression" dxfId="628" priority="129">
      <formula>COUNTIF(C102,"*7*")</formula>
    </cfRule>
  </conditionalFormatting>
  <conditionalFormatting sqref="C3:AJ3">
    <cfRule type="expression" dxfId="627" priority="204">
      <formula>COUNTIF(C3,"0a")</formula>
    </cfRule>
  </conditionalFormatting>
  <conditionalFormatting sqref="C4:AJ15 C23:AJ34">
    <cfRule type="expression" dxfId="626" priority="169">
      <formula>COUNTIF(C4,"*7*")</formula>
    </cfRule>
    <cfRule type="expression" dxfId="625" priority="168">
      <formula>AND(COUNTIF(C4,"*V*"),AND(NOT(COUNTIF(B4,"*V*")),NOT(COUNTIF(D4,"*V*"))))</formula>
    </cfRule>
    <cfRule type="expression" dxfId="624" priority="167">
      <formula>COUNTIF(C4,"*8*")</formula>
    </cfRule>
    <cfRule type="expression" dxfId="623" priority="166">
      <formula>COUNTIF(C4,"*9*")</formula>
    </cfRule>
    <cfRule type="expression" dxfId="622" priority="170">
      <formula>COUNTIF(C4,"*6*")</formula>
    </cfRule>
    <cfRule type="expression" dxfId="621" priority="174">
      <formula>COUNTIF(C4,"*2*")</formula>
    </cfRule>
    <cfRule type="expression" dxfId="620" priority="175">
      <formula>COUNTIF(C4,"*1*")</formula>
    </cfRule>
    <cfRule type="expression" dxfId="619" priority="165">
      <formula>COUNTIF(C4,"*10*")</formula>
    </cfRule>
    <cfRule type="expression" dxfId="618" priority="171">
      <formula>COUNTIF(C4,"*5*")</formula>
    </cfRule>
    <cfRule type="expression" dxfId="617" priority="172">
      <formula>COUNTIF(C4,"*4*")</formula>
    </cfRule>
    <cfRule type="expression" dxfId="616" priority="173">
      <formula>COUNTIF(C4,"*3*")</formula>
    </cfRule>
  </conditionalFormatting>
  <conditionalFormatting sqref="C22:AJ22">
    <cfRule type="expression" dxfId="615" priority="124">
      <formula>COUNTIF(C22,"0a")</formula>
    </cfRule>
    <cfRule type="cellIs" dxfId="614" priority="107" operator="equal">
      <formula>0</formula>
    </cfRule>
  </conditionalFormatting>
  <conditionalFormatting sqref="C41:AJ41">
    <cfRule type="cellIs" dxfId="613" priority="82" operator="equal">
      <formula>0</formula>
    </cfRule>
    <cfRule type="expression" dxfId="612" priority="84">
      <formula>COUNTIF(C41,"0a")</formula>
    </cfRule>
  </conditionalFormatting>
  <conditionalFormatting sqref="C42:AJ53">
    <cfRule type="expression" dxfId="611" priority="89">
      <formula>COUNTIF(C42,"*7*")</formula>
    </cfRule>
    <cfRule type="expression" dxfId="610" priority="88">
      <formula>AND(COUNTIF(C42,"*V*"),AND(NOT(COUNTIF(B42,"*V*")),NOT(COUNTIF(D42,"*V*"))))</formula>
    </cfRule>
    <cfRule type="expression" dxfId="609" priority="87">
      <formula>COUNTIF(C42,"*8*")</formula>
    </cfRule>
    <cfRule type="expression" dxfId="608" priority="95">
      <formula>COUNTIF(C42,"*1*")</formula>
    </cfRule>
    <cfRule type="expression" dxfId="607" priority="90">
      <formula>COUNTIF(C42,"*6*")</formula>
    </cfRule>
    <cfRule type="expression" dxfId="606" priority="85">
      <formula>COUNTIF(C42,"*10*")</formula>
    </cfRule>
    <cfRule type="expression" dxfId="605" priority="94">
      <formula>COUNTIF(C42,"*2*")</formula>
    </cfRule>
    <cfRule type="expression" dxfId="604" priority="93">
      <formula>COUNTIF(C42,"*3*")</formula>
    </cfRule>
    <cfRule type="expression" dxfId="603" priority="92">
      <formula>COUNTIF(C42,"*4*")</formula>
    </cfRule>
    <cfRule type="expression" dxfId="602" priority="91">
      <formula>COUNTIF(C42,"*5*")</formula>
    </cfRule>
    <cfRule type="expression" dxfId="601" priority="86">
      <formula>COUNTIF(C42,"*9*")</formula>
    </cfRule>
  </conditionalFormatting>
  <conditionalFormatting sqref="BF3:CL3">
    <cfRule type="expression" dxfId="598" priority="70">
      <formula>COUNTIF(BF3,"0a")</formula>
    </cfRule>
  </conditionalFormatting>
  <conditionalFormatting sqref="BF4:CL15 BF23:CK34">
    <cfRule type="expression" dxfId="597" priority="69">
      <formula>COUNTIF(BF4,"*1*")</formula>
    </cfRule>
    <cfRule type="expression" dxfId="596" priority="65">
      <formula>COUNTIF(BF4,"*5*")</formula>
    </cfRule>
    <cfRule type="expression" dxfId="595" priority="62">
      <formula>AND(COUNTIF(BF4,"*V*"),AND(NOT(COUNTIF(BE4,"*V*")),NOT(COUNTIF(BG4,"*V*"))))</formula>
    </cfRule>
    <cfRule type="expression" dxfId="594" priority="63">
      <formula>COUNTIF(BF4,"*7*")</formula>
    </cfRule>
    <cfRule type="expression" dxfId="593" priority="64">
      <formula>COUNTIF(BF4,"*6*")</formula>
    </cfRule>
    <cfRule type="expression" dxfId="592" priority="66">
      <formula>COUNTIF(BF4,"*4*")</formula>
    </cfRule>
    <cfRule type="expression" dxfId="591" priority="67">
      <formula>COUNTIF(BF4,"*3*")</formula>
    </cfRule>
    <cfRule type="expression" dxfId="590" priority="68">
      <formula>COUNTIF(BF4,"*2*")</formula>
    </cfRule>
  </conditionalFormatting>
  <conditionalFormatting sqref="BF4:CL15 BF23:CL34">
    <cfRule type="expression" dxfId="589" priority="61">
      <formula>COUNTIF(BF4,"*8*")</formula>
    </cfRule>
    <cfRule type="expression" dxfId="588" priority="60">
      <formula>COUNTIF(BF4,"*9*")</formula>
    </cfRule>
    <cfRule type="expression" dxfId="587" priority="59">
      <formula>COUNTIF(BF4,"*10*")</formula>
    </cfRule>
  </conditionalFormatting>
  <conditionalFormatting sqref="BF22:CL22">
    <cfRule type="cellIs" dxfId="586" priority="15" operator="equal">
      <formula>0</formula>
    </cfRule>
    <cfRule type="expression" dxfId="585" priority="18">
      <formula>COUNTIF(BF22,"0a")</formula>
    </cfRule>
  </conditionalFormatting>
  <conditionalFormatting sqref="BF41:CL41">
    <cfRule type="expression" dxfId="584" priority="3">
      <formula>COUNTIF(BF41,"0a")</formula>
    </cfRule>
    <cfRule type="cellIs" dxfId="583" priority="1" operator="equal">
      <formula>0</formula>
    </cfRule>
  </conditionalFormatting>
  <conditionalFormatting sqref="BF42:CL53">
    <cfRule type="expression" dxfId="582" priority="14">
      <formula>COUNTIF(BF42,"*1*")</formula>
    </cfRule>
    <cfRule type="expression" dxfId="581" priority="12">
      <formula>COUNTIF(BF42,"*3*")</formula>
    </cfRule>
    <cfRule type="expression" dxfId="580" priority="11">
      <formula>COUNTIF(BF42,"*4*")</formula>
    </cfRule>
    <cfRule type="expression" dxfId="579" priority="10">
      <formula>COUNTIF(BF42,"*5*")</formula>
    </cfRule>
    <cfRule type="expression" dxfId="578" priority="9">
      <formula>COUNTIF(BF42,"*6*")</formula>
    </cfRule>
    <cfRule type="expression" dxfId="577" priority="8">
      <formula>COUNTIF(BF42,"*7*")</formula>
    </cfRule>
    <cfRule type="expression" dxfId="576" priority="7">
      <formula>AND(COUNTIF(BF42,"*V*"),AND(NOT(COUNTIF(BE42,"*V*")),NOT(COUNTIF(BG42,"*V*"))))</formula>
    </cfRule>
    <cfRule type="expression" dxfId="575" priority="13">
      <formula>COUNTIF(BF42,"*2*")</formula>
    </cfRule>
    <cfRule type="expression" dxfId="574" priority="6">
      <formula>COUNTIF(BF42,"*8*")</formula>
    </cfRule>
    <cfRule type="expression" dxfId="573" priority="5">
      <formula>COUNTIF(BF42,"*9*")</formula>
    </cfRule>
    <cfRule type="expression" dxfId="572" priority="4">
      <formula>COUNTIF(BF42,"*10*")</formula>
    </cfRule>
  </conditionalFormatting>
  <conditionalFormatting sqref="BF101:CL101">
    <cfRule type="expression" dxfId="571" priority="30">
      <formula>COUNTIF(BF101,"0a")</formula>
    </cfRule>
  </conditionalFormatting>
  <conditionalFormatting sqref="BF102:CL113">
    <cfRule type="expression" dxfId="570" priority="29">
      <formula>COUNTIF(BF102,"*1*")</formula>
    </cfRule>
    <cfRule type="expression" dxfId="569" priority="28">
      <formula>COUNTIF(BF102,"*2*")</formula>
    </cfRule>
    <cfRule type="expression" dxfId="568" priority="27">
      <formula>COUNTIF(BF102,"*3*")</formula>
    </cfRule>
    <cfRule type="expression" dxfId="567" priority="26">
      <formula>COUNTIF(BF102,"*4*")</formula>
    </cfRule>
    <cfRule type="expression" dxfId="566" priority="25">
      <formula>COUNTIF(BF102,"*5*")</formula>
    </cfRule>
    <cfRule type="expression" dxfId="565" priority="24">
      <formula>COUNTIF(BF102,"*6*")</formula>
    </cfRule>
    <cfRule type="expression" dxfId="564" priority="23">
      <formula>COUNTIF(BF102,"*7*")</formula>
    </cfRule>
    <cfRule type="expression" dxfId="563" priority="22">
      <formula>AND(COUNTIF(BF102,"*V*"),AND(NOT(COUNTIF(BE102,"*V*")),NOT(COUNTIF(BG102,"*V*"))))</formula>
    </cfRule>
    <cfRule type="expression" dxfId="562" priority="21">
      <formula>COUNTIF(BF102,"*8*")</formula>
    </cfRule>
    <cfRule type="expression" dxfId="561" priority="20">
      <formula>COUNTIF(BF102,"*9*")</formula>
    </cfRule>
    <cfRule type="expression" dxfId="560" priority="19">
      <formula>COUNTIF(BF102,"*10*")</formula>
    </cfRule>
  </conditionalFormatting>
  <conditionalFormatting sqref="CL23:CL34">
    <cfRule type="expression" dxfId="559" priority="79">
      <formula>COUNTIF(CL23,"*3*")</formula>
    </cfRule>
    <cfRule type="expression" dxfId="558" priority="74">
      <formula>AND(COUNTIF(CL23,"*V*"),AND(NOT(COUNTIF(CK23,"*V*")),NOT(COUNTIF(#REF!,"*V*"))))</formula>
    </cfRule>
    <cfRule type="expression" dxfId="557" priority="80">
      <formula>COUNTIF(CL23,"*2*")</formula>
    </cfRule>
    <cfRule type="expression" dxfId="556" priority="81">
      <formula>COUNTIF(CL23,"*1*")</formula>
    </cfRule>
    <cfRule type="expression" dxfId="555" priority="78">
      <formula>COUNTIF(CL23,"*4*")</formula>
    </cfRule>
    <cfRule type="expression" dxfId="554" priority="77">
      <formula>COUNTIF(CL23,"*5*")</formula>
    </cfRule>
    <cfRule type="expression" dxfId="553" priority="76">
      <formula>COUNTIF(CL23,"*6*")</formula>
    </cfRule>
    <cfRule type="expression" dxfId="552" priority="75">
      <formula>COUNTIF(CL23,"*7*")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9" id="{EE9DA8CE-EC63-4B24-AC0F-A007F8F6803F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108" id="{CEE52D7B-7DBC-489A-8A66-4D843FF26DDD}">
            <xm:f>SUM(Data!$BR46:$CV46)=0</xm:f>
            <x14:dxf>
              <font>
                <color theme="0"/>
              </font>
            </x14:dxf>
          </x14:cfRule>
          <xm:sqref>B23:B34</xm:sqref>
        </x14:conditionalFormatting>
        <x14:conditionalFormatting xmlns:xm="http://schemas.microsoft.com/office/excel/2006/main">
          <x14:cfRule type="expression" priority="17" id="{262D027B-3DB9-43EB-8CE7-BF7BE716BED9}">
            <xm:f>SUM(Data!$BR46:$CV46)=0</xm:f>
            <x14:dxf>
              <font>
                <color theme="0"/>
              </font>
            </x14:dxf>
          </x14:cfRule>
          <xm:sqref>BE4:BE15</xm:sqref>
        </x14:conditionalFormatting>
        <x14:conditionalFormatting xmlns:xm="http://schemas.microsoft.com/office/excel/2006/main">
          <x14:cfRule type="expression" priority="83" id="{C56C9924-77B4-4476-B21A-330018865324}">
            <xm:f>SUM(Data!$BR46:$CV46)=0</xm:f>
            <x14:dxf>
              <font>
                <color theme="0"/>
              </font>
            </x14:dxf>
          </x14:cfRule>
          <xm:sqref>BE23:BE34 B42:B53 BE42:BE53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00B050"/>
    <pageSetUpPr fitToPage="1"/>
  </sheetPr>
  <dimension ref="A1:BQ479"/>
  <sheetViews>
    <sheetView zoomScale="90" zoomScaleNormal="90" workbookViewId="0">
      <selection activeCell="G11" sqref="G11"/>
    </sheetView>
  </sheetViews>
  <sheetFormatPr defaultColWidth="9.1796875" defaultRowHeight="14.5" x14ac:dyDescent="0.35"/>
  <cols>
    <col min="1" max="2" width="4.7265625" customWidth="1"/>
    <col min="3" max="27" width="6.453125" customWidth="1"/>
    <col min="28" max="31" width="7.54296875" bestFit="1" customWidth="1"/>
    <col min="32" max="34" width="2.54296875" bestFit="1" customWidth="1"/>
    <col min="35" max="35" width="7.7265625" bestFit="1" customWidth="1"/>
    <col min="36" max="36" width="17.81640625" bestFit="1" customWidth="1"/>
    <col min="37" max="37" width="28.453125" customWidth="1"/>
    <col min="38" max="38" width="6.81640625" customWidth="1"/>
    <col min="39" max="39" width="8.7265625" customWidth="1"/>
    <col min="40" max="40" width="53.453125" style="13" customWidth="1"/>
    <col min="41" max="42" width="6.26953125" style="13" customWidth="1"/>
    <col min="43" max="43" width="12.26953125" style="13" customWidth="1"/>
    <col min="44" max="44" width="21.54296875" style="13" customWidth="1"/>
    <col min="45" max="45" width="22" style="13" customWidth="1"/>
    <col min="46" max="47" width="15.54296875" style="13" customWidth="1"/>
    <col min="48" max="49" width="6.26953125" style="13" customWidth="1"/>
    <col min="50" max="50" width="8.453125" style="13" bestFit="1" customWidth="1"/>
    <col min="51" max="52" width="12.54296875" style="13" bestFit="1" customWidth="1"/>
    <col min="53" max="54" width="8.453125" style="13" customWidth="1"/>
    <col min="55" max="104" width="9.1796875" customWidth="1"/>
  </cols>
  <sheetData>
    <row r="1" spans="1:68" ht="21" customHeight="1" thickBot="1" x14ac:dyDescent="0.4">
      <c r="A1" s="1194" t="s">
        <v>939</v>
      </c>
      <c r="B1" s="1194"/>
      <c r="C1" s="1194"/>
      <c r="D1" s="1194"/>
      <c r="E1" s="1194"/>
      <c r="F1" s="1194"/>
      <c r="G1" s="1194"/>
      <c r="H1" s="1194"/>
      <c r="I1" s="1194"/>
      <c r="J1" s="1194"/>
      <c r="K1" s="1194"/>
      <c r="L1" s="1194"/>
      <c r="M1" s="1194"/>
      <c r="N1" s="1194"/>
      <c r="O1" s="1194"/>
      <c r="P1" s="1194"/>
      <c r="Q1" s="1194"/>
      <c r="R1" s="1194"/>
      <c r="S1" s="1194"/>
      <c r="T1" s="1194"/>
      <c r="U1" s="1194"/>
      <c r="V1" s="1194"/>
      <c r="W1" s="1194"/>
      <c r="X1" s="1194"/>
      <c r="Y1" s="1194"/>
      <c r="Z1" s="1194"/>
      <c r="AA1" s="1194"/>
      <c r="AB1" s="1194"/>
      <c r="AC1" s="1194"/>
      <c r="AD1" s="1194"/>
      <c r="AE1" s="1194"/>
      <c r="AF1" s="1194"/>
      <c r="AG1" s="1194"/>
      <c r="AH1" s="1194"/>
      <c r="AI1" s="1194"/>
      <c r="AJ1" s="1200"/>
      <c r="AK1" s="368" t="s">
        <v>3</v>
      </c>
      <c r="AL1" s="369" t="s">
        <v>4</v>
      </c>
      <c r="AN1" s="83"/>
      <c r="AO1" s="83" t="s">
        <v>110</v>
      </c>
      <c r="AP1" s="83" t="s">
        <v>145</v>
      </c>
      <c r="AQ1" s="83" t="s">
        <v>136</v>
      </c>
      <c r="AR1" s="83" t="s">
        <v>137</v>
      </c>
      <c r="AS1" s="83" t="s">
        <v>138</v>
      </c>
      <c r="AT1" s="83" t="s">
        <v>139</v>
      </c>
      <c r="AU1" s="83" t="s">
        <v>140</v>
      </c>
      <c r="AV1" s="83" t="s">
        <v>299</v>
      </c>
      <c r="AW1" s="83" t="s">
        <v>300</v>
      </c>
      <c r="AX1" s="83" t="s">
        <v>301</v>
      </c>
      <c r="AY1" s="83" t="s">
        <v>302</v>
      </c>
      <c r="AZ1" s="83" t="s">
        <v>303</v>
      </c>
      <c r="BA1" s="83" t="s">
        <v>2491</v>
      </c>
      <c r="BB1" s="83" t="s">
        <v>2492</v>
      </c>
      <c r="BC1" s="83" t="s">
        <v>2493</v>
      </c>
      <c r="BD1" s="83" t="s">
        <v>2494</v>
      </c>
      <c r="BE1" s="83" t="s">
        <v>2495</v>
      </c>
      <c r="BF1" s="83" t="s">
        <v>2496</v>
      </c>
      <c r="BG1" s="83" t="s">
        <v>2497</v>
      </c>
      <c r="BH1" s="93"/>
      <c r="BI1" s="83" t="s">
        <v>21</v>
      </c>
    </row>
    <row r="2" spans="1:68" ht="17.25" customHeight="1" x14ac:dyDescent="0.35">
      <c r="A2" s="1219"/>
      <c r="B2" s="1220"/>
      <c r="C2" s="1223" t="s">
        <v>17</v>
      </c>
      <c r="D2" s="1223"/>
      <c r="E2" s="1223"/>
      <c r="F2" s="1223"/>
      <c r="G2" s="1223"/>
      <c r="H2" s="1223"/>
      <c r="I2" s="1223"/>
      <c r="J2" s="1223"/>
      <c r="K2" s="1223"/>
      <c r="L2" s="1223"/>
      <c r="M2" s="1223"/>
      <c r="N2" s="1223"/>
      <c r="O2" s="1223"/>
      <c r="P2" s="1223"/>
      <c r="Q2" s="1223"/>
      <c r="R2" s="1223"/>
      <c r="S2" s="1223"/>
      <c r="T2" s="1223"/>
      <c r="U2" s="1223"/>
      <c r="V2" s="1224"/>
      <c r="W2" s="824"/>
      <c r="X2" s="825"/>
      <c r="Y2" s="825"/>
      <c r="Z2" s="825"/>
      <c r="AA2" s="825"/>
      <c r="AB2" s="825"/>
      <c r="AC2" s="825"/>
      <c r="AD2" s="825"/>
      <c r="AE2" s="825"/>
      <c r="AF2" s="825"/>
      <c r="AG2" s="825"/>
      <c r="AH2" s="825"/>
      <c r="AI2" s="825"/>
      <c r="AJ2" s="826"/>
      <c r="AK2" s="370" t="s">
        <v>306</v>
      </c>
      <c r="AL2" s="367">
        <f>COUNTIF($C$26:$AJ$37,"*P*")</f>
        <v>0</v>
      </c>
      <c r="AN2" s="60" t="s">
        <v>717</v>
      </c>
      <c r="AO2" s="93">
        <f>IF(COUNTIF($C$43:$AJ$54,"X"),COUNTIF($C$43:$AJ$54,"X"),0)</f>
        <v>0</v>
      </c>
      <c r="AP2" s="93">
        <f>IF(COUNTIF($C$43:$AJ$54,"X0"),COUNTIF($C$43:$AJ$54,"X0"),0)</f>
        <v>0</v>
      </c>
      <c r="AQ2" s="93">
        <f>IF(COUNTIF($C$43:$AJ$54,"X1"),COUNTIF($C$43:$AJ$54,"X1"),0)</f>
        <v>0</v>
      </c>
      <c r="AR2" s="93">
        <f>IF(COUNTIF($C$43:$AJ$54,"X2"),COUNTIF($C$43:$AJ$54,"X2"),0)</f>
        <v>0</v>
      </c>
      <c r="AS2" s="93">
        <f>IF(COUNTIF($C$43:$AJ$54,"X3"),COUNTIF($C$43:$AJ$54,"X3"),0)</f>
        <v>6</v>
      </c>
      <c r="AT2" s="93">
        <f>IF(COUNTIF($C$43:$AJ$54,"X4"),COUNTIF($C$43:$AJ$54,"X4"),0)</f>
        <v>6</v>
      </c>
      <c r="AU2" s="93">
        <f>IF(COUNTIF($C$43:$AJ$54,"X5"),COUNTIF($C$43:$AJ$54,"X5"),0)</f>
        <v>21</v>
      </c>
      <c r="AV2" s="93">
        <f>IF(COUNTIF($C$43:$AJ$54,"X6"),COUNTIF($C$43:$AJ$54,"X6"),0)</f>
        <v>0</v>
      </c>
      <c r="AW2" s="93">
        <f>IF(COUNTIF($C$43:$AJ$54,"X7"),COUNTIF($C$43:$AJ$54,"X7"),0)</f>
        <v>0</v>
      </c>
      <c r="AX2" s="93">
        <f>IF(COUNTIF($C$43:$AJ$54,"X8"),COUNTIF($C$43:$AJ$54,"X8"),0)</f>
        <v>0</v>
      </c>
      <c r="AY2" s="93">
        <f>IF(COUNTIF($C$43:$AJ$54,"X9"),COUNTIF($C$43:$AJ$54,"X9"),0)</f>
        <v>0</v>
      </c>
      <c r="AZ2" s="93">
        <f>IF(COUNTIF($C$43:$AJ$54,"X10"),COUNTIF($C$43:$AJ$54,"X10"),0)</f>
        <v>0</v>
      </c>
      <c r="BA2" s="93">
        <f>IF(COUNTIF($C$43:$AJ$54,"X11"),COUNTIF($C$43:$AJ$54,"X11"),0)</f>
        <v>0</v>
      </c>
      <c r="BB2" s="93">
        <f>IF(COUNTIF($C$43:$AJ$54,"X12"),COUNTIF($C$43:$AJ$54,"X12"),0)</f>
        <v>0</v>
      </c>
      <c r="BC2" s="93">
        <f>IF(COUNTIF($C$43:$AJ$54,"X13"),COUNTIF($C$43:$AJ$54,"X13"),0)</f>
        <v>0</v>
      </c>
      <c r="BD2" s="93">
        <f>IF(COUNTIF($C$43:$AJ$54,"X14"),COUNTIF($C$43:$AJ$54,"X14"),0)</f>
        <v>0</v>
      </c>
      <c r="BE2" s="93">
        <f>IF(COUNTIF($C$43:$AJ$54,"X15"),COUNTIF($C$43:$AJ$54,"X15"),0)</f>
        <v>0</v>
      </c>
      <c r="BF2" s="93">
        <f>IF(COUNTIF($C$43:$AJ$54,"X16"),COUNTIF($C$43:$AJ$54,"X16"),0)</f>
        <v>0</v>
      </c>
      <c r="BG2" s="93">
        <f>IF(COUNTIF($C$43:$AJ$54,"X17"),COUNTIF($C$43:$AJ$54,"X17"),0)</f>
        <v>0</v>
      </c>
      <c r="BH2" s="93"/>
      <c r="BI2" s="93">
        <f>SUM(AO2:BH2)</f>
        <v>33</v>
      </c>
    </row>
    <row r="3" spans="1:68" ht="15.75" customHeight="1" thickBot="1" x14ac:dyDescent="0.4">
      <c r="A3" s="1221"/>
      <c r="B3" s="1222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6a</v>
      </c>
      <c r="I3" s="35" t="str">
        <f>IF(Data!BX42&lt;&gt;"",Data!BX42,"")</f>
        <v>7a</v>
      </c>
      <c r="J3" s="35" t="str">
        <f>IF(Data!BY42&lt;&gt;"",Data!BY42,"")</f>
        <v>8a</v>
      </c>
      <c r="K3" s="35" t="str">
        <f>IF(Data!BZ42&lt;&gt;"",Data!BZ42,"")</f>
        <v>0a</v>
      </c>
      <c r="L3" s="35" t="str">
        <f>IF(Data!CA42&lt;&gt;"",Data!CA42,"")</f>
        <v>1b</v>
      </c>
      <c r="M3" s="35" t="str">
        <f>IF(Data!CB42&lt;&gt;"",Data!CB42,"")</f>
        <v>2b</v>
      </c>
      <c r="N3" s="35" t="str">
        <f>IF(Data!CC42&lt;&gt;"",Data!CC42,"")</f>
        <v>3b</v>
      </c>
      <c r="O3" s="35" t="str">
        <f>IF(Data!CD42&lt;&gt;"",Data!CD42,"")</f>
        <v>4b</v>
      </c>
      <c r="P3" s="35" t="str">
        <f>IF(Data!CE42&lt;&gt;"",Data!CE42,"")</f>
        <v>0a</v>
      </c>
      <c r="Q3" s="35" t="str">
        <f>IF(Data!CF42&lt;&gt;"",Data!CF42,"")</f>
        <v>0a</v>
      </c>
      <c r="R3" s="35" t="str">
        <f>IF(Data!CG42&lt;&gt;"",Data!CG42,"")</f>
        <v>0a</v>
      </c>
      <c r="S3" s="35" t="str">
        <f>IF(Data!CH42&lt;&gt;"",Data!CH42,"")</f>
        <v>0a</v>
      </c>
      <c r="T3" s="35" t="str">
        <f>IF(Data!CI42&lt;&gt;"",Data!CI42,"")</f>
        <v>0a</v>
      </c>
      <c r="U3" s="35" t="str">
        <f>IF(Data!CJ42&lt;&gt;"",Data!CJ42,"")</f>
        <v>0a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  <c r="AK3" s="371" t="s">
        <v>307</v>
      </c>
      <c r="AL3" s="334">
        <f>COUNTIF($C$26:$AJ$37,"*I*")</f>
        <v>0</v>
      </c>
      <c r="AN3" s="60" t="s">
        <v>718</v>
      </c>
      <c r="AO3" s="93">
        <f>COUNTIF($C$43:$AJ$54,"X~*")-COUNTIF($C$43:$AJ$54,"X")</f>
        <v>0</v>
      </c>
      <c r="AP3" s="93">
        <f>COUNTIF($C$43:$AJ$54,"X~*0")-COUNTIF($C$43:$AJ$54,"X~*10")</f>
        <v>0</v>
      </c>
      <c r="AQ3" s="93" cm="1">
        <f t="array" ref="AQ3">SUMPRODUCT(--(RIGHT($C$43:$AJ$54,1)="1"), --(RIGHT($C$43:$AJ$54,2)&lt;&gt;"11"), --(LEFT($C$43:$AJ$54,1)="X"))-COUNTIF($C$43:$AJ$54,"X1")</f>
        <v>0</v>
      </c>
      <c r="AR3" s="93" cm="1">
        <f t="array" ref="AR3">SUMPRODUCT(--(RIGHT($C$43:$AJ$54,1)="2"), --(RIGHT($C$43:$AJ$54,2)&lt;&gt;"12"), --(LEFT($C$43:$AJ$54,1)="X"))-COUNTIF($C$43:$AJ$54,"X2")</f>
        <v>0</v>
      </c>
      <c r="AS3" s="93" cm="1">
        <f t="array" ref="AS3">SUMPRODUCT(--(RIGHT($C$43:$AJ$54,1)="3"), --(RIGHT($C$43:$AJ$54,2)&lt;&gt;"13"), --(LEFT($C$43:$AJ$54,1)="X"))-COUNTIF($C$43:$AJ$54,"X3")</f>
        <v>0</v>
      </c>
      <c r="AT3" s="93" cm="1">
        <f t="array" ref="AT3">SUMPRODUCT(--(RIGHT($C$43:$AJ$54,1)="4"), --(RIGHT($C$43:$AJ$54,2)&lt;&gt;"14"), --(LEFT($C$43:$AJ$54,1)="X"))-COUNTIF($C$43:$AJ$54,"X4")</f>
        <v>0</v>
      </c>
      <c r="AU3" s="93" cm="1">
        <f t="array" ref="AU3">SUMPRODUCT(--(RIGHT($C$43:$AJ$54,1)="5"), --(RIGHT($C$43:$AJ$54,2)&lt;&gt;"15"), --(LEFT($C$43:$AJ$54,1)="X"))-COUNTIF($C$43:$AJ$54,"X5")</f>
        <v>0</v>
      </c>
      <c r="AV3" s="93" cm="1">
        <f t="array" ref="AV3">SUMPRODUCT(--(RIGHT($C$43:$AJ$54,1)="6"), --(RIGHT($C$43:$AJ$54,2)&lt;&gt;"16"), --(LEFT($C$43:$AJ$54,1)="X"))-COUNTIF($C$43:$AJ$54,"X6")</f>
        <v>0</v>
      </c>
      <c r="AW3" s="93" cm="1">
        <f t="array" ref="AW3">SUMPRODUCT(--(RIGHT($C$43:$AJ$54,1)="7"), --(RIGHT($C$43:$AJ$54,2)&lt;&gt;"17"), --(LEFT($C$43:$AJ$54,1)="X"))-COUNTIF($C$43:$AJ$54,"X7")</f>
        <v>0</v>
      </c>
      <c r="AX3" s="93">
        <f>COUNTIF($C$43:$AJ$54,"X*8")-COUNTIF($C$43:$AJ$54,"X8")</f>
        <v>0</v>
      </c>
      <c r="AY3" s="93">
        <f>COUNTIF($C$43:$AJ$54,"X*9")-COUNTIF($C$43:$AJ$54,"X9")</f>
        <v>0</v>
      </c>
      <c r="AZ3" s="93">
        <f>COUNTIF($C$43:$AJ$54,"X*10")-COUNTIF($C$43:$AJ$54,"X10")</f>
        <v>0</v>
      </c>
      <c r="BA3" s="93">
        <f>COUNTIF($C$43:$AJ$54,"X*11")-COUNTIF($C$43:$AJ$54,"X11")</f>
        <v>0</v>
      </c>
      <c r="BB3" s="93">
        <f>COUNTIF($C$43:$AJ$54,"X*12")-COUNTIF($C$43:$AJ$54,"X12")</f>
        <v>0</v>
      </c>
      <c r="BC3" s="93">
        <f>COUNTIF($C$43:$AJ$54,"X*13")-COUNTIF($C$43:$AJ$54,"X13")</f>
        <v>0</v>
      </c>
      <c r="BD3" s="93">
        <f>COUNTIF($C$43:$AJ$54,"X*14")-COUNTIF($C$43:$AJ$54,"X14")</f>
        <v>0</v>
      </c>
      <c r="BE3" s="93">
        <f>COUNTIF($C$43:$AJ$54,"X*15")-COUNTIF($C$43:$AJ$54,"X15")</f>
        <v>0</v>
      </c>
      <c r="BF3" s="93">
        <f>COUNTIF($C$43:$AJ$54,"X*16")-COUNTIF($C$43:$AJ$54,"X16")</f>
        <v>0</v>
      </c>
      <c r="BG3" s="93">
        <f>COUNTIF($C$43:$AJ$54,"X*17")-COUNTIF($C$43:$AJ$54,"X17")</f>
        <v>0</v>
      </c>
      <c r="BH3" s="93"/>
      <c r="BI3" s="93">
        <f t="shared" ref="BI3:BI12" si="0">SUM(AO3:BH3)</f>
        <v>0</v>
      </c>
      <c r="BM3" s="69" t="s">
        <v>310</v>
      </c>
      <c r="BN3" s="70">
        <f>IF(MAX(Data!$BI$46:$BI$62)&lt;&gt;0,MAX(Data!$BI$46:$BI$62)+1,"")</f>
        <v>4</v>
      </c>
      <c r="BO3" s="36">
        <f>IF(Data!E4&lt;&gt;"",Data!E4,0)</f>
        <v>6</v>
      </c>
      <c r="BP3" s="36">
        <f>IF(Data!F4&lt;&gt;"",Data!F4,0)</f>
        <v>643738</v>
      </c>
    </row>
    <row r="4" spans="1:68" ht="23.25" customHeight="1" x14ac:dyDescent="0.35">
      <c r="A4" s="1225" t="s">
        <v>18</v>
      </c>
      <c r="B4" s="6">
        <v>1</v>
      </c>
      <c r="C4" s="344" t="s">
        <v>2533</v>
      </c>
      <c r="D4" s="345" t="s">
        <v>2533</v>
      </c>
      <c r="E4" s="345" t="s">
        <v>140</v>
      </c>
      <c r="F4" s="345" t="s">
        <v>140</v>
      </c>
      <c r="G4" s="345" t="s">
        <v>140</v>
      </c>
      <c r="H4" s="345" t="s">
        <v>140</v>
      </c>
      <c r="I4" s="345" t="s">
        <v>2533</v>
      </c>
      <c r="J4" s="345" t="s">
        <v>110</v>
      </c>
      <c r="K4" s="345"/>
      <c r="L4" s="345" t="s">
        <v>49</v>
      </c>
      <c r="M4" s="345" t="s">
        <v>139</v>
      </c>
      <c r="N4" s="345" t="s">
        <v>139</v>
      </c>
      <c r="O4" s="345" t="s">
        <v>2533</v>
      </c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6"/>
      <c r="AK4" s="827" t="s">
        <v>309</v>
      </c>
      <c r="AL4" s="334">
        <f>SUM(C369:AJ380)</f>
        <v>0</v>
      </c>
      <c r="AN4" s="60" t="s">
        <v>719</v>
      </c>
      <c r="AO4" s="93" t="str">
        <f>IF(COUNTIF($C$43:$AJ$54,"L"),COUNTIF($C$43:$AJ$54,"L")," ")</f>
        <v xml:space="preserve"> </v>
      </c>
      <c r="AP4" s="93">
        <f>IF(COUNTIF($C$43:$AJ$54,"L0"),COUNTIF($C$43:$AJ$54,"L0"),0)</f>
        <v>0</v>
      </c>
      <c r="AQ4" s="93">
        <f>IF(COUNTIF($C$43:$AJ$54,"L1"),COUNTIF($C$43:$AJ$54,"L1"),0)</f>
        <v>0</v>
      </c>
      <c r="AR4" s="93">
        <f>IF(COUNTIF($C$43:$AJ$54,"L2"),COUNTIF($C$43:$AJ$54,"L2"),0)</f>
        <v>0</v>
      </c>
      <c r="AS4" s="93">
        <f>IF(COUNTIF($C$43:$AJ$54,"L3"),COUNTIF($C$43:$AJ$54,"L3"),0)</f>
        <v>0</v>
      </c>
      <c r="AT4" s="93">
        <f>IF(COUNTIF($C$43:$AJ$54,"L4"),COUNTIF($C$43:$AJ$54,"L4"),0)</f>
        <v>0</v>
      </c>
      <c r="AU4" s="93">
        <f>IF(COUNTIF($C$43:$AJ$54,"L5"),COUNTIF($C$43:$AJ$54,"L5"),0)</f>
        <v>0</v>
      </c>
      <c r="AV4" s="93">
        <f>IF(COUNTIF($C$43:$AJ$54,"L6"),COUNTIF($C$43:$AJ$54,"L6"),0)</f>
        <v>0</v>
      </c>
      <c r="AW4" s="93">
        <f>IF(COUNTIF($C$43:$AJ$54,"L7"),COUNTIF($C$43:$AJ$54,"L7"),0)</f>
        <v>0</v>
      </c>
      <c r="AX4" s="93">
        <f>IF(COUNTIF($C$43:$AJ$54,"L8"),COUNTIF($C$43:$AJ$54,"L8"),0)</f>
        <v>0</v>
      </c>
      <c r="AY4" s="93">
        <f>IF(COUNTIF($C$43:$AJ$54,"L9"),COUNTIF($C$43:$AJ$54,"L9"),0)</f>
        <v>0</v>
      </c>
      <c r="AZ4" s="93">
        <f>IF(COUNTIF($C$43:$AJ$54,"L10"),COUNTIF($C$43:$AJ$54,"L10"),0)</f>
        <v>0</v>
      </c>
      <c r="BA4" s="93">
        <f>IF(COUNTIF($C$43:$AJ$54,"L11"),COUNTIF($C$43:$AJ$54,"L11"),0)</f>
        <v>0</v>
      </c>
      <c r="BB4" s="93">
        <f>IF(COUNTIF($C$43:$AJ$54,"L12"),COUNTIF($C$43:$AJ$54,"L12"),0)</f>
        <v>0</v>
      </c>
      <c r="BC4" s="93">
        <f>IF(COUNTIF($C$43:$AJ$54,"L13"),COUNTIF($C$43:$AJ$54,"L13"),0)</f>
        <v>0</v>
      </c>
      <c r="BD4" s="93">
        <f>IF(COUNTIF($C$43:$AJ$54,"L14"),COUNTIF($C$43:$AJ$54,"L14"),0)</f>
        <v>0</v>
      </c>
      <c r="BE4" s="93">
        <f>IF(COUNTIF($C$43:$AJ$54,"L15"),COUNTIF($C$43:$AJ$54,"L15"),0)</f>
        <v>0</v>
      </c>
      <c r="BF4" s="93">
        <f>IF(COUNTIF($C$43:$AJ$54,"L16"),COUNTIF($C$43:$AJ$54,"L16"),0)</f>
        <v>0</v>
      </c>
      <c r="BG4" s="93">
        <f>IF(COUNTIF($C$43:$AJ$54,"L17"),COUNTIF($C$43:$AJ$54,"L17"),0)</f>
        <v>0</v>
      </c>
      <c r="BH4" s="94"/>
      <c r="BI4" s="93">
        <f t="shared" si="0"/>
        <v>0</v>
      </c>
      <c r="BM4" s="69" t="s">
        <v>311</v>
      </c>
      <c r="BN4" s="70">
        <f>IFERROR(BN3+1,"")</f>
        <v>5</v>
      </c>
      <c r="BO4" s="36">
        <f>IF(Data!E5&lt;&gt;"",Data!E5,0)</f>
        <v>21</v>
      </c>
      <c r="BP4" s="36">
        <f>IF(Data!F5&lt;&gt;"",Data!F5,0)</f>
        <v>1126402</v>
      </c>
    </row>
    <row r="5" spans="1:68" ht="20.5" thickBot="1" x14ac:dyDescent="0.4">
      <c r="A5" s="1226"/>
      <c r="B5" s="35">
        <v>2</v>
      </c>
      <c r="C5" s="347" t="s">
        <v>140</v>
      </c>
      <c r="D5" s="348" t="s">
        <v>140</v>
      </c>
      <c r="E5" s="348" t="s">
        <v>140</v>
      </c>
      <c r="F5" s="348" t="s">
        <v>2533</v>
      </c>
      <c r="G5" s="348" t="s">
        <v>110</v>
      </c>
      <c r="H5" s="348"/>
      <c r="I5" s="348"/>
      <c r="J5" s="348"/>
      <c r="K5" s="348"/>
      <c r="L5" s="348" t="s">
        <v>49</v>
      </c>
      <c r="M5" s="348" t="s">
        <v>2533</v>
      </c>
      <c r="N5" s="348" t="s">
        <v>139</v>
      </c>
      <c r="O5" s="348" t="s">
        <v>2533</v>
      </c>
      <c r="P5" s="348"/>
      <c r="Q5" s="348"/>
      <c r="R5" s="348"/>
      <c r="S5" s="348"/>
      <c r="T5" s="348"/>
      <c r="U5" s="348"/>
      <c r="V5" s="348"/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8"/>
      <c r="AJ5" s="349"/>
      <c r="AK5" s="828" t="s">
        <v>308</v>
      </c>
      <c r="AL5" s="335">
        <f>COUNTIF($C$26:$AJ$37,"*B*")</f>
        <v>0</v>
      </c>
      <c r="AN5" s="60" t="s">
        <v>720</v>
      </c>
      <c r="AO5" s="93">
        <f>COUNTIF($C$43:$AJ$54,"L~*")-COUNTIF($C$43:$AJ$54,"L")</f>
        <v>0</v>
      </c>
      <c r="AP5" s="93">
        <f>COUNTIF($C$43:$AJ$54,"L*0")-COUNTIF($C$43:$AJ$54,"L0")</f>
        <v>0</v>
      </c>
      <c r="AQ5" s="93">
        <f>COUNTIF($C$43:$AJ$54,"L*1")-COUNTIF($C$43:$AJ$54,"L1")</f>
        <v>0</v>
      </c>
      <c r="AR5" s="93">
        <f>COUNTIF($C$43:$AJ$54,"L*2")-COUNTIF($C$43:$AJ$54,"L2")</f>
        <v>0</v>
      </c>
      <c r="AS5" s="93">
        <f>COUNTIF($C$43:$AJ$54,"L*3")-COUNTIF($C$43:$AJ$54,"L3")</f>
        <v>0</v>
      </c>
      <c r="AT5" s="93">
        <f>COUNTIF($C$43:$AJ$54,"L*4")-COUNTIF($C$43:$AJ$54,"L4")</f>
        <v>0</v>
      </c>
      <c r="AU5" s="93">
        <f>COUNTIF($C$43:$AJ$54,"L*5")-COUNTIF($C$43:$AJ$54,"L5")</f>
        <v>0</v>
      </c>
      <c r="AV5" s="93">
        <f>COUNTIF($C$43:$AJ$54,"L*6")-COUNTIF($C$43:$AJ$54,"L6")</f>
        <v>0</v>
      </c>
      <c r="AW5" s="93">
        <f>COUNTIF($C$43:$AJ$54,"L*7")-COUNTIF($C$43:$AJ$54,"L7")</f>
        <v>0</v>
      </c>
      <c r="AX5" s="93">
        <f>COUNTIF($C$43:$AJ$54,"L*8")-COUNTIF($C$43:$AJ$54,"L8")</f>
        <v>0</v>
      </c>
      <c r="AY5" s="93">
        <f>COUNTIF($C$43:$AJ$54,"L*9")-COUNTIF($C$43:$AJ$54,"L9")</f>
        <v>0</v>
      </c>
      <c r="AZ5" s="93">
        <f>COUNTIF($C$43:$AJ$54,"L*10")-COUNTIF($C$43:$AJ$54,"L10")</f>
        <v>0</v>
      </c>
      <c r="BA5" s="93">
        <f>COUNTIF($C$43:$AJ$54,"L*11")-COUNTIF($C$43:$AJ$54,"L11")</f>
        <v>0</v>
      </c>
      <c r="BB5" s="93">
        <f>COUNTIF($C$43:$AJ$54,"L*12")-COUNTIF($C$43:$AJ$54,"L12")</f>
        <v>0</v>
      </c>
      <c r="BC5" s="93">
        <f>COUNTIF($C$43:$AJ$54,"L*13")-COUNTIF($C$43:$AJ$54,"L13")</f>
        <v>0</v>
      </c>
      <c r="BD5" s="93">
        <f>COUNTIF($C$43:$AJ$54,"L*14")-COUNTIF($C$43:$AJ$54,"L14")</f>
        <v>0</v>
      </c>
      <c r="BE5" s="93">
        <f>COUNTIF($C$43:$AJ$54,"L*15")-COUNTIF($C$43:$AJ$54,"L15")</f>
        <v>0</v>
      </c>
      <c r="BF5" s="93">
        <f>COUNTIF($C$43:$AJ$54,"L*16")-COUNTIF($C$43:$AJ$54,"L16")</f>
        <v>0</v>
      </c>
      <c r="BG5" s="93">
        <f>COUNTIF($C$43:$AJ$54,"L*17")-COUNTIF($C$43:$AJ$54,"L17")</f>
        <v>0</v>
      </c>
      <c r="BH5" s="94"/>
      <c r="BI5" s="93">
        <f t="shared" si="0"/>
        <v>0</v>
      </c>
      <c r="BM5" s="69" t="s">
        <v>312</v>
      </c>
      <c r="BN5" s="70">
        <f>IFERROR(BN4+1,"")</f>
        <v>6</v>
      </c>
      <c r="BO5" s="36">
        <f>IF(Data!E6&lt;&gt;"",Data!E6,0)</f>
        <v>0</v>
      </c>
      <c r="BP5" s="36">
        <f>IF(Data!F6&lt;&gt;"",Data!F6,0)</f>
        <v>0</v>
      </c>
    </row>
    <row r="6" spans="1:68" ht="20" x14ac:dyDescent="0.35">
      <c r="A6" s="1226"/>
      <c r="B6" s="35">
        <v>3</v>
      </c>
      <c r="C6" s="347" t="s">
        <v>2533</v>
      </c>
      <c r="D6" s="348" t="s">
        <v>2533</v>
      </c>
      <c r="E6" s="348" t="s">
        <v>2533</v>
      </c>
      <c r="F6" s="348" t="s">
        <v>140</v>
      </c>
      <c r="G6" s="348" t="s">
        <v>140</v>
      </c>
      <c r="H6" s="348" t="s">
        <v>140</v>
      </c>
      <c r="I6" s="348" t="s">
        <v>110</v>
      </c>
      <c r="J6" s="348"/>
      <c r="K6" s="348"/>
      <c r="L6" s="348" t="s">
        <v>2533</v>
      </c>
      <c r="M6" s="348" t="s">
        <v>139</v>
      </c>
      <c r="N6" s="348" t="s">
        <v>139</v>
      </c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  <c r="AN6" s="60" t="s">
        <v>141</v>
      </c>
      <c r="AO6" s="93">
        <f>IF(COUNTIF($C$26:$AJ$37,"*R*"),COUNTIF($C$26:$AJ$37,"*R*"),0)-SUM(AP6:AZ6)</f>
        <v>0</v>
      </c>
      <c r="AP6" s="93" t="str">
        <f>IF(COUNTIF($C$26:$AJ$37,"*R*0*"),COUNTIF($C$26:$AJ$37,"*R*0*")," ")</f>
        <v xml:space="preserve"> </v>
      </c>
      <c r="AQ6" s="93">
        <f>IF(COUNTIF($C$26:$AJ$37,"*R*1*"),COUNTIF($C$26:$AJ$37,"*R*1*")," ")</f>
        <v>12</v>
      </c>
      <c r="AR6" s="93">
        <f>IF(COUNTIF($C$26:$AJ$37,"*R*2*"),COUNTIF($C$26:$AJ$37,"*R*2*")," ")</f>
        <v>13</v>
      </c>
      <c r="AS6" s="93" t="str">
        <f>IF(COUNTIF($C$26:$AJ$37,"*R*3*"),COUNTIF($C$26:$AJ$37,"*R*3*")," ")</f>
        <v xml:space="preserve"> </v>
      </c>
      <c r="AT6" s="93" t="str">
        <f>IF(COUNTIF($C$26:$AJ$37,"*R*4*"),COUNTIF($C$26:$AJ$37,"*R*4*")," ")</f>
        <v xml:space="preserve"> </v>
      </c>
      <c r="AU6" s="93" t="str">
        <f>IF(COUNTIF($C$26:$AJ$37,"*R*5*"),COUNTIF($C$26:$AJ$37,"*R*5*")," ")</f>
        <v xml:space="preserve"> </v>
      </c>
      <c r="AV6" s="93" t="str">
        <f>IF(COUNTIF($C$26:$AJ$37,"*R*6*"),COUNTIF($C$26:$AJ$37,"*R*6*")," ")</f>
        <v xml:space="preserve"> </v>
      </c>
      <c r="AW6" s="93" t="str">
        <f>IF(COUNTIF($C$26:$AJ$37,"*R*7*"),COUNTIF($C$26:$AJ$37,"*R*7*")," ")</f>
        <v xml:space="preserve"> </v>
      </c>
      <c r="AX6" s="93" t="str">
        <f>IF(COUNTIF($C$26:$AJ$37,"*R*8*"),COUNTIF($C$26:$AJ$37,"*R*8*")," ")</f>
        <v xml:space="preserve"> </v>
      </c>
      <c r="AY6" s="93" t="str">
        <f>IF(COUNTIF($C$26:$AJ$37,"*R*9*"),COUNTIF($C$26:$AJ$37,"*R*9*")," ")</f>
        <v xml:space="preserve"> </v>
      </c>
      <c r="AZ6" s="93" t="str">
        <f>IF(COUNTIF($C$26:$AJ$37,"*R*10*"),COUNTIF($C$26:$AJ$37,"*R*10*")," ")</f>
        <v xml:space="preserve"> </v>
      </c>
      <c r="BA6" s="93" t="str">
        <f>IF(COUNTIF($C$26:$AJ$37,"*R*11*"),COUNTIF($C$26:$AJ$37,"*R*11*")," ")</f>
        <v xml:space="preserve"> </v>
      </c>
      <c r="BB6" s="93" t="str">
        <f>IF(COUNTIF($C$26:$AJ$37,"*R*12*"),COUNTIF($C$26:$AJ$37,"*R*12*")," ")</f>
        <v xml:space="preserve"> </v>
      </c>
      <c r="BC6" s="93" t="str">
        <f>IF(COUNTIF($C$26:$AJ$37,"*R*13*"),COUNTIF($C$26:$AJ$37,"*R*13*")," ")</f>
        <v xml:space="preserve"> </v>
      </c>
      <c r="BD6" s="93" t="str">
        <f>IF(COUNTIF($C$26:$AJ$37,"*R*14*"),COUNTIF($C$26:$AJ$37,"*R*14*")," ")</f>
        <v xml:space="preserve"> </v>
      </c>
      <c r="BE6" s="93" t="str">
        <f>IF(COUNTIF($C$26:$AJ$37,"*R*15*"),COUNTIF($C$26:$AJ$37,"*R*15*")," ")</f>
        <v xml:space="preserve"> </v>
      </c>
      <c r="BF6" s="93" t="str">
        <f>IF(COUNTIF($C$26:$AJ$37,"*R*16*"),COUNTIF($C$26:$AJ$37,"*R*16*")," ")</f>
        <v xml:space="preserve"> </v>
      </c>
      <c r="BG6" s="93" t="str">
        <f>IF(COUNTIF($C$26:$AJ$37,"*R*17*"),COUNTIF($C$26:$AJ$37,"*R*17*")," ")</f>
        <v xml:space="preserve"> </v>
      </c>
      <c r="BH6" s="94"/>
      <c r="BI6" s="93">
        <f t="shared" si="0"/>
        <v>25</v>
      </c>
      <c r="BM6" s="69" t="s">
        <v>1261</v>
      </c>
      <c r="BN6" s="70">
        <f>IFERROR(BN5+1,"")</f>
        <v>7</v>
      </c>
      <c r="BO6" s="36">
        <f>IF(Data!E7&lt;&gt;"",Data!E7,0)</f>
        <v>0</v>
      </c>
      <c r="BP6" s="36">
        <f>IF(Data!F7&lt;&gt;"",Data!F7,0)</f>
        <v>0</v>
      </c>
    </row>
    <row r="7" spans="1:68" ht="20" x14ac:dyDescent="0.35">
      <c r="A7" s="1226"/>
      <c r="B7" s="35">
        <v>4</v>
      </c>
      <c r="C7" s="347" t="s">
        <v>140</v>
      </c>
      <c r="D7" s="348" t="s">
        <v>140</v>
      </c>
      <c r="E7" s="348" t="s">
        <v>140</v>
      </c>
      <c r="F7" s="348" t="s">
        <v>140</v>
      </c>
      <c r="G7" s="348" t="s">
        <v>2533</v>
      </c>
      <c r="H7" s="348" t="s">
        <v>110</v>
      </c>
      <c r="I7" s="348"/>
      <c r="J7" s="348"/>
      <c r="K7" s="348"/>
      <c r="L7" s="348" t="s">
        <v>2533</v>
      </c>
      <c r="M7" s="348" t="s">
        <v>2533</v>
      </c>
      <c r="N7" s="348" t="s">
        <v>2533</v>
      </c>
      <c r="O7" s="348" t="s">
        <v>49</v>
      </c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  <c r="AN7" s="60" t="s">
        <v>143</v>
      </c>
      <c r="AO7" s="93">
        <f>IF(COUNTIF($C$26:$AJ$37,"*S*"),COUNTIF($C$26:$AJ$37,"*S*"),0)-SUM(AP7:AZ7)</f>
        <v>0</v>
      </c>
      <c r="AP7" s="93" t="str">
        <f>IF(COUNTIF($C$26:$AJ$37,"*S*0*"),COUNTIF($C$26:$AJ$37,"*S*0*")," ")</f>
        <v xml:space="preserve"> </v>
      </c>
      <c r="AQ7" s="93" t="str">
        <f>IF(COUNTIF($C$26:$AJ$37,"*S*1*"),COUNTIF($C$26:$AJ$37,"*S*1*")," ")</f>
        <v xml:space="preserve"> </v>
      </c>
      <c r="AR7" s="93">
        <f>IF(COUNTIF($C$26:$AJ$37,"*S*2*"),COUNTIF($C$26:$AJ$37,"*S*2*")," ")</f>
        <v>4</v>
      </c>
      <c r="AS7" s="93" t="str">
        <f>IF(COUNTIF($C$26:$AJ$37,"*S*3*"),COUNTIF($C$26:$AJ$37,"*S*3*")," ")</f>
        <v xml:space="preserve"> </v>
      </c>
      <c r="AT7" s="93" t="str">
        <f>IF(COUNTIF($C$26:$AJ$37,"*S*4*"),COUNTIF($C$26:$AJ$37,"*S*4*")," ")</f>
        <v xml:space="preserve"> </v>
      </c>
      <c r="AU7" s="93" t="str">
        <f>IF(COUNTIF($C$26:$AJ$37,"*S*5*"),COUNTIF($C$26:$AJ$37,"*S*5*")," ")</f>
        <v xml:space="preserve"> </v>
      </c>
      <c r="AV7" s="93" t="str">
        <f>IF(COUNTIF($C$26:$AJ$37,"*S*6*"),COUNTIF($C$26:$AJ$37,"*S*6*")," ")</f>
        <v xml:space="preserve"> </v>
      </c>
      <c r="AW7" s="93" t="str">
        <f>IF(COUNTIF($C$26:$AJ$37,"*S*7*"),COUNTIF($C$26:$AJ$37,"*S*7*")," ")</f>
        <v xml:space="preserve"> </v>
      </c>
      <c r="AX7" s="93" t="str">
        <f>IF(COUNTIF($C$26:$AJ$37,"*S*8*"),COUNTIF($C$26:$AJ$37,"*S*8*")," ")</f>
        <v xml:space="preserve"> </v>
      </c>
      <c r="AY7" s="93" t="str">
        <f>IF(COUNTIF($C$26:$AJ$37,"*S*9*"),COUNTIF($C$26:$AJ$37,"*S*9*")," ")</f>
        <v xml:space="preserve"> </v>
      </c>
      <c r="AZ7" s="93" t="str">
        <f>IF(COUNTIF($C$26:$AJ$37,"*S*10*"),COUNTIF($C$26:$AJ$37,"*S*10*")," ")</f>
        <v xml:space="preserve"> </v>
      </c>
      <c r="BA7" s="93" t="str">
        <f>IF(COUNTIF($C$26:$AJ$37,"*S*11*"),COUNTIF($C$26:$AJ$37,"*S*11*")," ")</f>
        <v xml:space="preserve"> </v>
      </c>
      <c r="BB7" s="93" t="str">
        <f>IF(COUNTIF($C$26:$AJ$37,"*S*12*"),COUNTIF($C$26:$AJ$37,"*S*12*")," ")</f>
        <v xml:space="preserve"> </v>
      </c>
      <c r="BC7" s="93" t="str">
        <f>IF(COUNTIF($C$26:$AJ$37,"*S*13*"),COUNTIF($C$26:$AJ$37,"*S*13*")," ")</f>
        <v xml:space="preserve"> </v>
      </c>
      <c r="BD7" s="93" t="str">
        <f>IF(COUNTIF($C$26:$AJ$37,"*S*14*"),COUNTIF($C$26:$AJ$37,"*S*14*")," ")</f>
        <v xml:space="preserve"> </v>
      </c>
      <c r="BE7" s="93" t="str">
        <f>IF(COUNTIF($C$26:$AJ$37,"*S*15*"),COUNTIF($C$26:$AJ$37,"*S*15*")," ")</f>
        <v xml:space="preserve"> </v>
      </c>
      <c r="BF7" s="93" t="str">
        <f>IF(COUNTIF($C$26:$AJ$37,"*S*16*"),COUNTIF($C$26:$AJ$37,"*S*16*")," ")</f>
        <v xml:space="preserve"> </v>
      </c>
      <c r="BG7" s="93" t="str">
        <f>IF(COUNTIF($C$26:$AJ$37,"*S*17*"),COUNTIF($C$26:$AJ$37,"*S*17*")," ")</f>
        <v xml:space="preserve"> </v>
      </c>
      <c r="BH7" s="93"/>
      <c r="BI7" s="93">
        <f t="shared" si="0"/>
        <v>4</v>
      </c>
      <c r="BM7" s="69" t="s">
        <v>1262</v>
      </c>
      <c r="BN7" s="70">
        <f>IFERROR(BN6+1,"")</f>
        <v>8</v>
      </c>
      <c r="BO7" s="36">
        <f>IF(Data!E8&lt;&gt;"",Data!E8,0)</f>
        <v>0</v>
      </c>
      <c r="BP7" s="36">
        <f>IF(Data!F8&lt;&gt;"",Data!F8,0)</f>
        <v>0</v>
      </c>
    </row>
    <row r="8" spans="1:68" ht="20" x14ac:dyDescent="0.35">
      <c r="A8" s="1226"/>
      <c r="B8" s="35">
        <v>5</v>
      </c>
      <c r="C8" s="347" t="s">
        <v>2533</v>
      </c>
      <c r="D8" s="348" t="s">
        <v>2533</v>
      </c>
      <c r="E8" s="348" t="s">
        <v>140</v>
      </c>
      <c r="F8" s="348" t="s">
        <v>140</v>
      </c>
      <c r="G8" s="348" t="s">
        <v>140</v>
      </c>
      <c r="H8" s="348" t="s">
        <v>140</v>
      </c>
      <c r="I8" s="348" t="s">
        <v>2533</v>
      </c>
      <c r="J8" s="348" t="s">
        <v>110</v>
      </c>
      <c r="K8" s="348"/>
      <c r="L8" s="348" t="s">
        <v>2533</v>
      </c>
      <c r="M8" s="348" t="s">
        <v>139</v>
      </c>
      <c r="N8" s="348" t="s">
        <v>2533</v>
      </c>
      <c r="O8" s="348" t="s">
        <v>2533</v>
      </c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  <c r="AN8" s="60" t="s">
        <v>144</v>
      </c>
      <c r="AO8" s="93" t="str">
        <f>IF(COUNTIF($C$43:$AJ$54,"F"),COUNTIF($C$43:$AJ$54,"F")," ")</f>
        <v xml:space="preserve"> </v>
      </c>
      <c r="AP8" s="93" t="str">
        <f>IF(COUNTIF($C$43:$AJ$54,"F*0"),COUNTIF($C$43:$AJ$54,"F*0")," ")</f>
        <v xml:space="preserve"> </v>
      </c>
      <c r="AQ8" s="93" t="str">
        <f>IF(COUNTIF($C$43:$AJ$54,"F*1"),COUNTIF($C$43:$AJ$54,"F*1")," ")</f>
        <v xml:space="preserve"> </v>
      </c>
      <c r="AR8" s="93" t="str">
        <f>IF(COUNTIF($C$43:$AJ$54,"F*2"),COUNTIF($C$43:$AJ$54,"F*2")," ")</f>
        <v xml:space="preserve"> </v>
      </c>
      <c r="AS8" s="93" t="str">
        <f>IF(COUNTIF($C$43:$AJ$54,"F*3"),COUNTIF($C$43:$AJ$54,"F*3")," ")</f>
        <v xml:space="preserve"> </v>
      </c>
      <c r="AT8" s="93" t="str">
        <f>IF(COUNTIF($C$43:$AJ$54,"F*4"),COUNTIF($C$43:$AJ$54,"F*4")," ")</f>
        <v xml:space="preserve"> </v>
      </c>
      <c r="AU8" s="93" t="str">
        <f>IF(COUNTIF($C$43:$AJ$54,"F*5"),COUNTIF($C$43:$AJ$54,"F*5")," ")</f>
        <v xml:space="preserve"> </v>
      </c>
      <c r="AV8" s="93" t="str">
        <f>IF(COUNTIF($C$43:$AJ$54,"F*6"),COUNTIF($C$43:$AJ$54,"F*6")," ")</f>
        <v xml:space="preserve"> </v>
      </c>
      <c r="AW8" s="93" t="str">
        <f>IF(COUNTIF($C$43:$AJ$54,"F*7"),COUNTIF($C$43:$AJ$54,"F*7")," ")</f>
        <v xml:space="preserve"> </v>
      </c>
      <c r="AX8" s="93" t="str">
        <f>IF(COUNTIF($C$43:$AJ$54,"F*8"),COUNTIF($C$43:$AJ$54,"F*8")," ")</f>
        <v xml:space="preserve"> </v>
      </c>
      <c r="AY8" s="93" t="str">
        <f>IF(COUNTIF($C$43:$AJ$54,"F*9"),COUNTIF($C$43:$AJ$54,"F*9")," ")</f>
        <v xml:space="preserve"> </v>
      </c>
      <c r="AZ8" s="93" t="str">
        <f>IF(COUNTIF($C$43:$AJ$54,"F*10"),COUNTIF($C$43:$AJ$54,"F*10")," ")</f>
        <v xml:space="preserve"> </v>
      </c>
      <c r="BA8" s="93" t="str">
        <f>IF(COUNTIF($C$43:$AJ$54,"F*11"),COUNTIF($C$43:$AJ$54,"F*11")," ")</f>
        <v xml:space="preserve"> </v>
      </c>
      <c r="BB8" s="93" t="str">
        <f>IF(COUNTIF($C$43:$AJ$54,"F*12"),COUNTIF($C$43:$AJ$54,"F*12")," ")</f>
        <v xml:space="preserve"> </v>
      </c>
      <c r="BC8" s="93" t="str">
        <f>IF(COUNTIF($C$43:$AJ$54,"F*13"),COUNTIF($C$43:$AJ$54,"F*13")," ")</f>
        <v xml:space="preserve"> </v>
      </c>
      <c r="BD8" s="93" t="str">
        <f>IF(COUNTIF($C$43:$AJ$54,"F*14"),COUNTIF($C$43:$AJ$54,"F*14")," ")</f>
        <v xml:space="preserve"> </v>
      </c>
      <c r="BE8" s="93" t="str">
        <f>IF(COUNTIF($C$43:$AJ$54,"F*15"),COUNTIF($C$43:$AJ$54,"F*15")," ")</f>
        <v xml:space="preserve"> </v>
      </c>
      <c r="BF8" s="93" t="str">
        <f>IF(COUNTIF($C$43:$AJ$54,"F*16"),COUNTIF($C$43:$AJ$54,"F*16")," ")</f>
        <v xml:space="preserve"> </v>
      </c>
      <c r="BG8" s="93" t="str">
        <f>IF(COUNTIF($C$43:$AJ$54,"F*17"),COUNTIF($C$43:$AJ$54,"F*17")," ")</f>
        <v xml:space="preserve"> </v>
      </c>
      <c r="BH8" s="93"/>
      <c r="BI8" s="93">
        <f t="shared" si="0"/>
        <v>0</v>
      </c>
    </row>
    <row r="9" spans="1:68" ht="20" x14ac:dyDescent="0.35">
      <c r="A9" s="1226"/>
      <c r="B9" s="35">
        <v>6</v>
      </c>
      <c r="C9" s="347" t="s">
        <v>140</v>
      </c>
      <c r="D9" s="348" t="s">
        <v>140</v>
      </c>
      <c r="E9" s="348" t="s">
        <v>140</v>
      </c>
      <c r="F9" s="348" t="s">
        <v>2533</v>
      </c>
      <c r="G9" s="348" t="s">
        <v>110</v>
      </c>
      <c r="H9" s="348"/>
      <c r="I9" s="348"/>
      <c r="J9" s="348"/>
      <c r="K9" s="348"/>
      <c r="L9" s="348" t="s">
        <v>49</v>
      </c>
      <c r="M9" s="348" t="s">
        <v>2533</v>
      </c>
      <c r="N9" s="348" t="s">
        <v>2533</v>
      </c>
      <c r="O9" s="348" t="s">
        <v>2533</v>
      </c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  <c r="AK9" s="332" t="s">
        <v>138</v>
      </c>
      <c r="AL9" s="10"/>
      <c r="AN9" s="60" t="s">
        <v>46</v>
      </c>
      <c r="AO9" s="93" t="str">
        <f>IF(COUNTIF($C$43:$AJ$54,"O"),COUNTIF($C$43:$AJ$54,"O")," ")</f>
        <v xml:space="preserve"> </v>
      </c>
      <c r="AP9" s="93" t="str">
        <f>IF(COUNTIF($C$43:$AJ$54,"O*0"),COUNTIF($C$43:$AJ$54,"O*0")," ")</f>
        <v xml:space="preserve"> </v>
      </c>
      <c r="AQ9" s="93" t="str">
        <f>IF(COUNTIF($C$43:$AJ$54,"O*1"),COUNTIF($C$43:$AJ$54,"O*1")," ")</f>
        <v xml:space="preserve"> </v>
      </c>
      <c r="AR9" s="93" t="str">
        <f>IF(COUNTIF($C$43:$AJ$54,"O*2"),COUNTIF($C$43:$AJ$54,"O*2")," ")</f>
        <v xml:space="preserve"> </v>
      </c>
      <c r="AS9" s="93" t="str">
        <f>IF(COUNTIF($C$43:$AJ$54,"O*3"),COUNTIF($C$43:$AJ$54,"O*3")," ")</f>
        <v xml:space="preserve"> </v>
      </c>
      <c r="AT9" s="93" t="str">
        <f>IF(COUNTIF($C$43:$AJ$54,"O*4"),COUNTIF($C$43:$AJ$54,"O*4")," ")</f>
        <v xml:space="preserve"> </v>
      </c>
      <c r="AU9" s="93" t="str">
        <f>IF(COUNTIF($C$43:$AJ$54,"O*5"),COUNTIF($C$43:$AJ$54,"O*5")," ")</f>
        <v xml:space="preserve"> </v>
      </c>
      <c r="AV9" s="93" t="str">
        <f>IF(COUNTIF($C$43:$AJ$54,"O*6"),COUNTIF($C$43:$AJ$54,"O*6")," ")</f>
        <v xml:space="preserve"> </v>
      </c>
      <c r="AW9" s="93" t="str">
        <f>IF(COUNTIF($C$43:$AJ$54,"O*7"),COUNTIF($C$43:$AJ$54,"O*7")," ")</f>
        <v xml:space="preserve"> </v>
      </c>
      <c r="AX9" s="93" t="str">
        <f>IF(COUNTIF($C$43:$AJ$54,"O*8"),COUNTIF($C$43:$AJ$54,"O*8")," ")</f>
        <v xml:space="preserve"> </v>
      </c>
      <c r="AY9" s="93" t="str">
        <f>IF(COUNTIF($C$43:$AJ$54,"O*9"),COUNTIF($C$43:$AJ$54,"O*9")," ")</f>
        <v xml:space="preserve"> </v>
      </c>
      <c r="AZ9" s="93" t="str">
        <f>IF(COUNTIF($C$43:$AJ$54,"O*10"),COUNTIF($C$43:$AJ$54,"O*10")," ")</f>
        <v xml:space="preserve"> </v>
      </c>
      <c r="BA9" s="93" t="str">
        <f>IF(COUNTIF($C$43:$AJ$54,"O*11"),COUNTIF($C$43:$AJ$54,"O*11")," ")</f>
        <v xml:space="preserve"> </v>
      </c>
      <c r="BB9" s="93" t="str">
        <f>IF(COUNTIF($C$43:$AJ$54,"O*12"),COUNTIF($C$43:$AJ$54,"O*12")," ")</f>
        <v xml:space="preserve"> </v>
      </c>
      <c r="BC9" s="93" t="str">
        <f>IF(COUNTIF($C$43:$AJ$54,"O*13"),COUNTIF($C$43:$AJ$54,"O*13")," ")</f>
        <v xml:space="preserve"> </v>
      </c>
      <c r="BD9" s="93" t="str">
        <f>IF(COUNTIF($C$43:$AJ$54,"O*14"),COUNTIF($C$43:$AJ$54,"O*14")," ")</f>
        <v xml:space="preserve"> </v>
      </c>
      <c r="BE9" s="93" t="str">
        <f>IF(COUNTIF($C$43:$AJ$54,"O*15"),COUNTIF($C$43:$AJ$54,"O*15")," ")</f>
        <v xml:space="preserve"> </v>
      </c>
      <c r="BF9" s="93" t="str">
        <f>IF(COUNTIF($C$43:$AJ$54,"O*16"),COUNTIF($C$43:$AJ$54,"O*16")," ")</f>
        <v xml:space="preserve"> </v>
      </c>
      <c r="BG9" s="93" t="str">
        <f>IF(COUNTIF($C$43:$AJ$54,"O*17"),COUNTIF($C$43:$AJ$54,"O*17")," ")</f>
        <v xml:space="preserve"> </v>
      </c>
      <c r="BH9" s="93"/>
      <c r="BI9" s="93">
        <f t="shared" si="0"/>
        <v>0</v>
      </c>
    </row>
    <row r="10" spans="1:68" ht="20" x14ac:dyDescent="0.35">
      <c r="A10" s="1226"/>
      <c r="B10" s="35">
        <v>7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  <c r="AK10" s="332" t="b">
        <f>OR(Data!BR46&lt;&gt;Data!$G$4,NOT(COUNTIF(C4,"*"&amp;Data!$D$4&amp;"*")))</f>
        <v>1</v>
      </c>
      <c r="AL10" s="10"/>
      <c r="AN10" s="60" t="s">
        <v>732</v>
      </c>
      <c r="AO10" s="93"/>
      <c r="AP10" s="93"/>
      <c r="AQ10" s="93">
        <f>IF(COUNTIF($C$26:$AJ$37,"*P*1"),COUNTIF($C$26:$AJ$37,"*P*1"),0)</f>
        <v>0</v>
      </c>
      <c r="AR10" s="93">
        <f>IF(COUNTIF($C$26:$AJ$37,"*P*2"),COUNTIF($C$26:$AJ$37,"*P*2"),0)</f>
        <v>0</v>
      </c>
      <c r="AS10" s="93">
        <f>IF(COUNTIF($C$26:$AJ$37,"*P*3"),COUNTIF($C$26:$AJ$37,"*P*3"),0)</f>
        <v>0</v>
      </c>
      <c r="AT10" s="93">
        <f>IF(COUNTIF($C$26:$AJ$37,"*P*4"),COUNTIF($C$26:$AJ$37,"*P*4"),0)</f>
        <v>0</v>
      </c>
      <c r="AU10" s="93">
        <f>IF(COUNTIF($C$26:$AJ$37,"*P*5"),COUNTIF($C$26:$AJ$37,"*P*5"),0)</f>
        <v>0</v>
      </c>
      <c r="AV10" s="93">
        <f>IF(COUNTIF($C$26:$AJ$37,"*P*6"),COUNTIF($C$26:$AJ$37,"*P*6"),0)</f>
        <v>0</v>
      </c>
      <c r="AW10" s="93">
        <f>IF(COUNTIF($C$26:$AJ$37,"*P*7"),COUNTIF($C$26:$AJ$37,"*P*7"),0)</f>
        <v>0</v>
      </c>
      <c r="AX10" s="93">
        <f>IF(COUNTIF($C$26:$AJ$37,"*P*8"),COUNTIF($C$26:$AJ$37,"*P*8"),0)</f>
        <v>0</v>
      </c>
      <c r="AY10" s="93">
        <f>IF(COUNTIF($C$26:$AJ$37,"*P*9"),COUNTIF($C$26:$AJ$37,"*P*9"),0)</f>
        <v>0</v>
      </c>
      <c r="AZ10" s="93">
        <f>IF(COUNTIF($C$26:$AJ$37,"*P*10"),COUNTIF($C$26:$AJ$37,"*P*10"),0)</f>
        <v>0</v>
      </c>
      <c r="BA10" s="93">
        <f>IF(COUNTIF($C$26:$AJ$37,"*P*11"),COUNTIF($C$26:$AJ$37,"*P*11"),0)</f>
        <v>0</v>
      </c>
      <c r="BB10" s="93">
        <f>IF(COUNTIF($C$26:$AJ$37,"*P*12"),COUNTIF($C$26:$AJ$37,"*P*12"),0)</f>
        <v>0</v>
      </c>
      <c r="BC10" s="93">
        <f>IF(COUNTIF($C$26:$AJ$37,"*P*13"),COUNTIF($C$26:$AJ$37,"*P*13"),0)</f>
        <v>0</v>
      </c>
      <c r="BD10" s="93">
        <f>IF(COUNTIF($C$26:$AJ$37,"*P*14"),COUNTIF($C$26:$AJ$37,"*P*14"),0)</f>
        <v>0</v>
      </c>
      <c r="BE10" s="93">
        <f>IF(COUNTIF($C$26:$AJ$37,"*P*15"),COUNTIF($C$26:$AJ$37,"*P*15"),0)</f>
        <v>0</v>
      </c>
      <c r="BF10" s="93">
        <f>IF(COUNTIF($C$26:$AJ$37,"*P*16"),COUNTIF($C$26:$AJ$37,"*P*16"),0)</f>
        <v>0</v>
      </c>
      <c r="BG10" s="93">
        <f>IF(COUNTIF($C$26:$AJ$37,"*P*17"),COUNTIF($C$26:$AJ$37,"*P*17"),0)</f>
        <v>0</v>
      </c>
      <c r="BH10" s="93"/>
      <c r="BI10" s="93">
        <f t="shared" si="0"/>
        <v>0</v>
      </c>
    </row>
    <row r="11" spans="1:68" ht="20" x14ac:dyDescent="0.35">
      <c r="A11" s="1226"/>
      <c r="B11" s="35">
        <v>8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  <c r="AK11" t="b">
        <f>OR(COUNTIF(Data!BR46,Data!$G$4),COUNTIF(C4,Data!$D$4))</f>
        <v>0</v>
      </c>
      <c r="AN11" s="60" t="s">
        <v>271</v>
      </c>
      <c r="AO11" s="93"/>
      <c r="AP11" s="93"/>
      <c r="AQ11" s="93">
        <f>IF(COUNTIF($C$26:$AJ$37,"*V*1"),COUNTIF($C$26:$AJ$37,"*V*1"),0)</f>
        <v>0</v>
      </c>
      <c r="AR11" s="93">
        <f>IF(COUNTIF($C$26:$AJ$37,"*V*2"),COUNTIF($C$26:$AJ$37,"*V*2"),0)</f>
        <v>0</v>
      </c>
      <c r="AS11" s="93">
        <f>IF(COUNTIF($C$26:$AJ$37,"*V*3"),COUNTIF($C$26:$AJ$37,"*V*3"),0)</f>
        <v>0</v>
      </c>
      <c r="AT11" s="93">
        <f>IF(COUNTIF($C$26:$AJ$37,"*V*4"),COUNTIF($C$26:$AJ$37,"*V*4"),0)</f>
        <v>0</v>
      </c>
      <c r="AU11" s="93">
        <f>IF(COUNTIF($C$26:$AJ$37,"*V*5"),COUNTIF($C$26:$AJ$37,"*V*5"),0)</f>
        <v>0</v>
      </c>
      <c r="AV11" s="93">
        <f>IF(COUNTIF($C$26:$AJ$37,"*V*6"),COUNTIF($C$26:$AJ$37,"*V*6"),0)</f>
        <v>0</v>
      </c>
      <c r="AW11" s="93">
        <f>IF(COUNTIF($C$26:$AJ$37,"*V*7"),COUNTIF($C$26:$AJ$37,"*V*7"),0)</f>
        <v>0</v>
      </c>
      <c r="AX11" s="93">
        <f>IF(COUNTIF($C$26:$AJ$37,"*V*8"),COUNTIF($C$26:$AJ$37,"*V*8"),0)</f>
        <v>0</v>
      </c>
      <c r="AY11" s="93">
        <f>IF(COUNTIF($C$26:$AJ$37,"*V*9"),COUNTIF($C$26:$AJ$37,"*V*9"),0)</f>
        <v>0</v>
      </c>
      <c r="AZ11" s="93">
        <f>IF(COUNTIF($C$26:$AJ$37,"*V*10"),COUNTIF($C$26:$AJ$37,"*V*10"),0)</f>
        <v>0</v>
      </c>
      <c r="BA11" s="93">
        <f>IF(COUNTIF($C$26:$AJ$37,"*V*11"),COUNTIF($C$26:$AJ$37,"*V*11"),0)</f>
        <v>0</v>
      </c>
      <c r="BB11" s="93">
        <f>IF(COUNTIF($C$26:$AJ$37,"*V*12"),COUNTIF($C$26:$AJ$37,"*V*12"),0)</f>
        <v>0</v>
      </c>
      <c r="BC11" s="93">
        <f>IF(COUNTIF($C$26:$AJ$37,"*V*13"),COUNTIF($C$26:$AJ$37,"*V*13"),0)</f>
        <v>0</v>
      </c>
      <c r="BD11" s="93">
        <f>IF(COUNTIF($C$26:$AJ$37,"*V*14"),COUNTIF($C$26:$AJ$37,"*V*14"),0)</f>
        <v>0</v>
      </c>
      <c r="BE11" s="93">
        <f>IF(COUNTIF($C$26:$AJ$37,"*V*15"),COUNTIF($C$26:$AJ$37,"*V*15"),0)</f>
        <v>0</v>
      </c>
      <c r="BF11" s="93">
        <f>IF(COUNTIF($C$26:$AJ$37,"*V*16"),COUNTIF($C$26:$AJ$37,"*V*16"),0)</f>
        <v>0</v>
      </c>
      <c r="BG11" s="93">
        <f>IF(COUNTIF($C$26:$AJ$37,"*V*17"),COUNTIF($C$26:$AJ$37,"*V*17"),0)</f>
        <v>0</v>
      </c>
      <c r="BH11" s="93"/>
      <c r="BI11" s="93">
        <f t="shared" si="0"/>
        <v>0</v>
      </c>
    </row>
    <row r="12" spans="1:68" ht="20" x14ac:dyDescent="0.35">
      <c r="A12" s="1226"/>
      <c r="B12" s="35">
        <v>9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  <c r="AK12" t="b">
        <f>NOT(COUNTIF(Data!BR46,Data!$G$4))</f>
        <v>1</v>
      </c>
      <c r="AN12" s="60" t="s">
        <v>146</v>
      </c>
      <c r="AO12" s="93"/>
      <c r="AP12" s="93"/>
      <c r="AQ12" s="93">
        <f>IF(COUNTIF($C$26:$AJ$37,"*B*1"),COUNTIF($C$26:$AJ$37,"*B*1"),0)</f>
        <v>0</v>
      </c>
      <c r="AR12" s="93">
        <f>IF(COUNTIF($C$26:$AJ$37,"*B*2"),COUNTIF($C$26:$AJ$37,"*B*2"),0)</f>
        <v>0</v>
      </c>
      <c r="AS12" s="93">
        <f>IF(COUNTIF($C$26:$AJ$37,"*B*3"),COUNTIF($C$26:$AJ$37,"*B*3"),0)</f>
        <v>0</v>
      </c>
      <c r="AT12" s="93">
        <f>IF(COUNTIF($C$26:$AJ$37,"*B*4"),COUNTIF($C$26:$AJ$37,"*B*4"),0)</f>
        <v>0</v>
      </c>
      <c r="AU12" s="93">
        <f>IF(COUNTIF($C$26:$AJ$37,"*B*5"),COUNTIF($C$26:$AJ$37,"*B*5"),0)</f>
        <v>0</v>
      </c>
      <c r="AV12" s="93">
        <f>IF(COUNTIF($C$26:$AJ$37,"*B*6"),COUNTIF($C$26:$AJ$37,"*B*6"),0)</f>
        <v>0</v>
      </c>
      <c r="AW12" s="93">
        <f>IF(COUNTIF($C$26:$AJ$37,"*B*7"),COUNTIF($C$26:$AJ$37,"*B*7"),0)</f>
        <v>0</v>
      </c>
      <c r="AX12" s="93">
        <f>IF(COUNTIF($C$26:$AJ$37,"*B*8"),COUNTIF($C$26:$AJ$37,"*B*8"),0)</f>
        <v>0</v>
      </c>
      <c r="AY12" s="93">
        <f>IF(COUNTIF($C$26:$AJ$37,"*B*9"),COUNTIF($C$26:$AJ$37,"*B*9"),0)</f>
        <v>0</v>
      </c>
      <c r="AZ12" s="93">
        <f>IF(COUNTIF($C$26:$AJ$37,"*B*10"),COUNTIF($C$26:$AJ$37,"*B*10"),0)</f>
        <v>0</v>
      </c>
      <c r="BA12" s="93">
        <f>IF(COUNTIF($C$26:$AJ$37,"*B*11"),COUNTIF($C$26:$AJ$37,"*B*11"),0)</f>
        <v>0</v>
      </c>
      <c r="BB12" s="93">
        <f>IF(COUNTIF($C$26:$AJ$37,"*B*12"),COUNTIF($C$26:$AJ$37,"*B*12"),0)</f>
        <v>0</v>
      </c>
      <c r="BC12" s="93">
        <f>IF(COUNTIF($C$26:$AJ$37,"*B*13"),COUNTIF($C$26:$AJ$37,"*B*13"),0)</f>
        <v>0</v>
      </c>
      <c r="BD12" s="93">
        <f>IF(COUNTIF($C$26:$AJ$37,"*B*14"),COUNTIF($C$26:$AJ$37,"*B*14"),0)</f>
        <v>0</v>
      </c>
      <c r="BE12" s="93">
        <f>IF(COUNTIF($C$26:$AJ$37,"*B*15"),COUNTIF($C$26:$AJ$37,"*B*15"),0)</f>
        <v>0</v>
      </c>
      <c r="BF12" s="93">
        <f>IF(COUNTIF($C$26:$AJ$37,"*B*16"),COUNTIF($C$26:$AJ$37,"*B*16"),0)</f>
        <v>0</v>
      </c>
      <c r="BG12" s="93">
        <f>IF(COUNTIF($C$26:$AJ$37,"*B*17"),COUNTIF($C$26:$AJ$37,"*B*17"),0)</f>
        <v>0</v>
      </c>
      <c r="BH12" s="93"/>
      <c r="BI12" s="93">
        <f t="shared" si="0"/>
        <v>0</v>
      </c>
    </row>
    <row r="13" spans="1:68" ht="20" x14ac:dyDescent="0.35">
      <c r="A13" s="1226"/>
      <c r="B13" s="35">
        <v>10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  <c r="AK13" t="b">
        <f>OR(Data!BR46&lt;&gt;Data!$G$4,C4&lt;&gt;Data!$D$4)</f>
        <v>1</v>
      </c>
      <c r="AN13" s="93"/>
      <c r="AO13" s="93">
        <f t="shared" ref="AO13:AZ13" si="1">SUM(AO2:AO9)</f>
        <v>0</v>
      </c>
      <c r="AP13" s="93">
        <f t="shared" si="1"/>
        <v>0</v>
      </c>
      <c r="AQ13" s="93">
        <f t="shared" si="1"/>
        <v>12</v>
      </c>
      <c r="AR13" s="93">
        <f t="shared" si="1"/>
        <v>17</v>
      </c>
      <c r="AS13" s="93">
        <f t="shared" si="1"/>
        <v>6</v>
      </c>
      <c r="AT13" s="93">
        <f t="shared" si="1"/>
        <v>6</v>
      </c>
      <c r="AU13" s="93">
        <f t="shared" si="1"/>
        <v>21</v>
      </c>
      <c r="AV13" s="93">
        <f t="shared" si="1"/>
        <v>0</v>
      </c>
      <c r="AW13" s="93">
        <f t="shared" si="1"/>
        <v>0</v>
      </c>
      <c r="AX13" s="93">
        <f t="shared" si="1"/>
        <v>0</v>
      </c>
      <c r="AY13" s="93">
        <f t="shared" si="1"/>
        <v>0</v>
      </c>
      <c r="AZ13" s="93">
        <f t="shared" si="1"/>
        <v>0</v>
      </c>
      <c r="BA13" s="93">
        <f t="shared" ref="BA13:BG13" si="2">SUM(BA2:BA9)</f>
        <v>0</v>
      </c>
      <c r="BB13" s="93">
        <f t="shared" si="2"/>
        <v>0</v>
      </c>
      <c r="BC13" s="93">
        <f t="shared" si="2"/>
        <v>0</v>
      </c>
      <c r="BD13" s="93">
        <f t="shared" si="2"/>
        <v>0</v>
      </c>
      <c r="BE13" s="93">
        <f t="shared" si="2"/>
        <v>0</v>
      </c>
      <c r="BF13" s="93">
        <f t="shared" si="2"/>
        <v>0</v>
      </c>
      <c r="BG13" s="93">
        <f t="shared" si="2"/>
        <v>0</v>
      </c>
      <c r="BH13" s="93"/>
      <c r="BI13" s="93">
        <f>SUM(BI2:BI9)</f>
        <v>62</v>
      </c>
    </row>
    <row r="14" spans="1:68" ht="20" x14ac:dyDescent="0.35">
      <c r="A14" s="1226"/>
      <c r="B14" s="35">
        <v>11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  <c r="AK14" t="b">
        <f>OR(Data!BR46=Data!$G$4,COUNTIF(C4,"*"&amp;Data!$D$4&amp;"*"))</f>
        <v>0</v>
      </c>
      <c r="AN14" s="93"/>
      <c r="AO14" s="93">
        <v>0</v>
      </c>
      <c r="AP14" s="93">
        <v>0</v>
      </c>
      <c r="AQ14" s="93">
        <f>IF(1=$BN$3,$BO$3,
IF(1=$BN$4,$BO$4,
IF(1=$BN$5,$BO$5,
IF(1=$BN$6,$BO$6,
IF(1=$BN$7,$BO$7,
IF(Data!$BK$46=0,0,
Data!$BK$46
-(COUNTIF($C$26:$AJ$37,"X*"&amp;$BN$3&amp;"*1")
+COUNTIF($C$26:$AJ$37,"X*"&amp;$BN$4&amp;"*1")
+COUNTIF($C$26:$AJ$37,"X*"&amp;$BN$5&amp;"*1")
+COUNTIF($C$26:$AJ$37,"X*"&amp;$BN$6&amp;"*1")
+COUNTIF($C$26:$AJ$37,"X*"&amp;$BN$7&amp;"*1"))
-(COUNTIF($C$26:$AJ$37,"L*"&amp;$BN$3&amp;"*1")
+COUNTIF($C$26:$AJ$37,"L*"&amp;$BN$4&amp;"*1")
+COUNTIF($C$26:$AJ$37,"L*"&amp;$BN$5&amp;"*1")
+COUNTIF($C$26:$AJ$37,"L*"&amp;$BN$6&amp;"*1")
+COUNTIF($C$26:$AJ$37,"L*"&amp;$BN$7&amp;"*1"))
))))))</f>
        <v>33</v>
      </c>
      <c r="AR14" s="93">
        <f>IF(2=$BN$3,$BO$3,
IF(2=$BN$4,$BO$4,
IF(2=$BN$5,$BO$5,
IF(2=$BN$6,$BO$6,
IF(2=$BN$7,$BO$7,
IF(Data!$BK$47=0,0,
Data!$BK$47
-(COUNTIF($C$26:$AJ$37,"X*"&amp;$BN$3&amp;"*2")
+COUNTIF($C$26:$AJ$37,"X*"&amp;$BN$4&amp;"*2")
+COUNTIF($C$26:$AJ$37,"X*"&amp;$BN$5&amp;"*2")
+COUNTIF($C$26:$AJ$37,"X*"&amp;$BN$6&amp;"*2")
+COUNTIF($C$26:$AJ$37,"X*"&amp;$BN$7&amp;"*2"))
-(COUNTIF($C$26:$AJ$37,"L*"&amp;$BN$3&amp;"*2")
+COUNTIF($C$26:$AJ$37,"L*"&amp;$BN$4&amp;"*2")
+COUNTIF($C$26:$AJ$37,"L*"&amp;$BN$5&amp;"*2")
+COUNTIF($C$26:$AJ$37,"L*"&amp;$BN$6&amp;"*2")
+COUNTIF($C$26:$AJ$37,"L*"&amp;$BN$7&amp;"*2"))
))))))</f>
        <v>23</v>
      </c>
      <c r="AS14" s="93">
        <f>IF(3=$BN$3,$BO$3,IF(3=$BN$4,$BO$4,IF(3=$BN$5,$BO$5,IF(3=$BN$6,$BO$6,IF(3=$BN$7,$BO$7,IF(Data!$BK$48=0,0,Data!$BK$48-(COUNTIF($C$26:$AJ$37,"X*"&amp;$BN$3&amp;"*3")+COUNTIF($C$26:$AJ$37,"X*"&amp;$BN$4&amp;"*3")+COUNTIF($C$26:$AJ$37,"X*"&amp;$BN$5&amp;"*3")+COUNTIF($C$26:$AJ$37,"X*"&amp;$BN$6&amp;"*3")+COUNTIF($C$26:$AJ$37,"X*"&amp;$BN$7&amp;"*3"))-(COUNTIF($C$26:$AJ$37,"L*"&amp;$BN$3&amp;"*3")+COUNTIF($C$26:$AJ$37,"L*"&amp;$BN$4&amp;"*3")+COUNTIF($C$26:$AJ$37,"L*"&amp;$BN$5&amp;"*3")+COUNTIF($C$26:$AJ$37,"L*"&amp;$BN$6&amp;"*3")+COUNTIF($C$26:$AJ$37,"L*"&amp;$BN$7&amp;"*3"))))))))</f>
        <v>6</v>
      </c>
      <c r="AT14" s="93">
        <f>IF(4=$BN$3,$BO$3,IF(4=$BN$4,$BO$4,IF(4=$BN$5,$BO$5,IF(4=$BN$6,$BO$6,IF(4=$BN$7,$BO$7,IF(Data!$BK$49=0,0,Data!$BK$49-(COUNTIF($C$26:$AJ$37,"X*"&amp;$BN$3&amp;"*4")+COUNTIF($C$26:$AJ$37,"X*"&amp;$BN$4&amp;"*4")+COUNTIF($C$26:$AJ$37,"X*"&amp;$BN$5&amp;"*4")+COUNTIF($C$26:$AJ$37,"X*"&amp;$BN$6&amp;"*4")+COUNTIF($C$26:$AJ$37,"X*"&amp;$BN$7&amp;"*4"))-(COUNTIF($C$26:$AJ$37,"L*"&amp;$BN$3&amp;"*4")+COUNTIF($C$26:$AJ$37,"L*"&amp;$BN$4&amp;"*4")+COUNTIF($C$26:$AJ$37,"L*"&amp;$BN$5&amp;"*4")+COUNTIF($C$26:$AJ$37,"L*"&amp;$BN$6&amp;"*4")+COUNTIF($C$26:$AJ$37,"L*"&amp;$BN$7&amp;"*4"))))))))</f>
        <v>6</v>
      </c>
      <c r="AU14" s="93">
        <f>IF(5=$BN$3,$BO$3,IF(5=$BN$4,$BO$4,IF(5=$BN$5,$BO$5,IF(5=$BN$6,$BO$6,IF(5=$BN$7,$BO$7,IF(Data!$BK$50=0,0,Data!$BK$50-(COUNTIF($C$26:$AJ$37,"X*"&amp;$BN$3&amp;"*5")+COUNTIF($C$26:$AJ$37,"X*"&amp;$BN$4&amp;"*5")+COUNTIF($C$26:$AJ$37,"X*"&amp;$BN$5&amp;"*5")+COUNTIF($C$26:$AJ$37,"X*"&amp;$BN$6&amp;"*5")+COUNTIF($C$26:$AJ$37,"X*"&amp;$BN$7&amp;"*5"))-(COUNTIF($C$26:$AJ$37,"L*"&amp;$BN$3&amp;"*5")+COUNTIF($C$26:$AJ$37,"L*"&amp;$BN$4&amp;"*5")+COUNTIF($C$26:$AJ$37,"L*"&amp;$BN$5&amp;"*5")+COUNTIF($C$26:$AJ$37,"L*"&amp;$BN$6&amp;"*5")+COUNTIF($C$26:$AJ$37,"L*"&amp;$BN$7&amp;"*5"))))))))</f>
        <v>21</v>
      </c>
      <c r="AV14" s="93">
        <f>IF(6=$BN$3,$BO$3,IF(6=$BN$4,$BO$4,IF(6=$BN$5,$BO$5,IF(6=$BN$6,$BO$6,IF(6=$BN$7,$BO$7,IF(Data!$BK$51=0,0,Data!$BK$51-(COUNTIF($C$26:$AJ$37,"X*"&amp;$BN$3&amp;"*6")+COUNTIF($C$26:$AJ$37,"X*"&amp;$BN$4&amp;"*6")+COUNTIF($C$26:$AJ$37,"X*"&amp;$BN$5&amp;"*6")+COUNTIF($C$26:$AJ$37,"X*"&amp;$BN$6&amp;"*6")+COUNTIF($C$26:$AJ$37,"X*"&amp;$BN$7&amp;"*6"))-(COUNTIF($C$26:$AJ$37,"L*"&amp;$BN$3&amp;"*6")+COUNTIF($C$26:$AJ$37,"L*"&amp;$BN$4&amp;"*6")+COUNTIF($C$26:$AJ$37,"L*"&amp;$BN$5&amp;"*6")+COUNTIF($C$26:$AJ$37,"L*"&amp;$BN$6&amp;"*6")+COUNTIF($C$26:$AJ$37,"L*"&amp;$BN$7&amp;"*6"))))))))</f>
        <v>0</v>
      </c>
      <c r="AW14" s="93">
        <f>IF(7=$BN$3,$BO$3,IF(7=$BN$4,$BO$4,IF(7=$BN$5,$BO$5,IF(7=$BN$6,$BO$6,IF(7=$BN$7,$BO$7,IF(Data!$BK$52=0,0,Data!$BK$52-(COUNTIF($C$26:$AJ$37,"X*"&amp;$BN$3&amp;"*7")+COUNTIF($C$26:$AJ$37,"X*"&amp;$BN$4&amp;"*7")+COUNTIF($C$26:$AJ$37,"X*"&amp;$BN$5&amp;"*7")+COUNTIF($C$26:$AJ$37,"X*"&amp;$BN$6&amp;"*7")+COUNTIF($C$26:$AJ$37,"X*"&amp;$BN$7&amp;"*7"))-(COUNTIF($C$26:$AJ$37,"L*"&amp;$BN$3&amp;"*7")+COUNTIF($C$26:$AJ$37,"L*"&amp;$BN$4&amp;"*7")+COUNTIF($C$26:$AJ$37,"L*"&amp;$BN$5&amp;"*7")+COUNTIF($C$26:$AJ$37,"L*"&amp;$BN$6&amp;"*7")+COUNTIF($C$26:$AJ$37,"L*"&amp;$BN$7&amp;"*7"))))))))</f>
        <v>0</v>
      </c>
      <c r="AX14" s="93">
        <f>IF(8=$BN$3,$BO$3,IF(8=$BN$4,$BO$4,IF(8=$BN$5,$BO$5,IF(8=$BN$6,$BO$6,IF(8=$BN$7,$BO$7,IF(Data!$BK$53=0,0,Data!$BK$53-(COUNTIF($C$26:$AJ$37,"X*"&amp;$BN$3&amp;"*8")+COUNTIF($C$26:$AJ$37,"X*"&amp;$BN$4&amp;"*8")+COUNTIF($C$26:$AJ$37,"X*"&amp;$BN$5&amp;"*8")+COUNTIF($C$26:$AJ$37,"X*"&amp;$BN$6&amp;"*8")+COUNTIF($C$26:$AJ$37,"X*"&amp;$BN$7&amp;"*8"))-(COUNTIF($C$26:$AJ$37,"L*"&amp;$BN$3&amp;"*8")+COUNTIF($C$26:$AJ$37,"L*"&amp;$BN$4&amp;"*8")+COUNTIF($C$26:$AJ$37,"L*"&amp;$BN$5&amp;"*8")+COUNTIF($C$26:$AJ$37,"L*"&amp;$BN$6&amp;"*8")+COUNTIF($C$26:$AJ$37,"L*"&amp;$BN$7&amp;"*8"))))))))</f>
        <v>0</v>
      </c>
      <c r="AY14" s="93">
        <f>IF(9=$BN$3,$BO$3,IF(9=$BN$4,$BO$4,IF(9=$BN$5,$BO$5,IF(9=$BN$6,$BO$6,IF(9=$BN$7,$BO$7,IF(Data!$BK$54=0,0,Data!$BK$54-(COUNTIF($C$26:$AJ$37,"X*"&amp;$BN$3&amp;"*9")+COUNTIF($C$26:$AJ$37,"X*"&amp;$BN$4&amp;"*9")+COUNTIF($C$26:$AJ$37,"X*"&amp;$BN$5&amp;"*9")+COUNTIF($C$26:$AJ$37,"X*"&amp;$BN$6&amp;"*9")+COUNTIF($C$26:$AJ$37,"X*"&amp;$BN$7&amp;"*9"))-(COUNTIF($C$26:$AJ$37,"L*"&amp;$BN$3&amp;"*9")+COUNTIF($C$26:$AJ$37,"L*"&amp;$BN$4&amp;"*9")+COUNTIF($C$26:$AJ$37,"L*"&amp;$BN$5&amp;"*9")+COUNTIF($C$26:$AJ$37,"L*"&amp;$BN$6&amp;"*9")+COUNTIF($C$26:$AJ$37,"L*"&amp;$BN$7&amp;"*9"))))))))</f>
        <v>0</v>
      </c>
      <c r="AZ14" s="93">
        <f>IF(10=$BN$3,$BO$3,IF(10=$BN$4,$BO$4,IF(10=$BN$5,$BO$5,IF(10=$BN$6,$BO$6,IF(10=$BN$7,$BO$7,IF(Data!$BK$55=0,0,Data!$BK$55-(COUNTIF($C$26:$AJ$37,"X*"&amp;$BN$3&amp;"*10")+COUNTIF($C$26:$AJ$37,"X*"&amp;$BN$4&amp;"*10")+COUNTIF($C$26:$AJ$37,"X*"&amp;$BN$5&amp;"*10")+COUNTIF($C$26:$AJ$37,"X*"&amp;$BN$6&amp;"*10")+COUNTIF($C$26:$AJ$37,"X*"&amp;$BN$7&amp;"*10"))-(COUNTIF($C$26:$AJ$37,"L*"&amp;$BN$3&amp;"*10")+COUNTIF($C$26:$AJ$37,"L*"&amp;$BN$4&amp;"*10")+COUNTIF($C$26:$AJ$37,"L*"&amp;$BN$5&amp;"*10")+COUNTIF($C$26:$AJ$37,"L*"&amp;$BN$6&amp;"*10")+COUNTIF($C$26:$AJ$37,"L*"&amp;$BN$7&amp;"*10"))))))))</f>
        <v>0</v>
      </c>
      <c r="BA14" s="93">
        <f>IF(11=$BN$3,$BO$3,IF(11=$BN$4,$BO$4,IF(11=$BN$5,$BO$5,IF(11=$BN$6,$BO$6,IF(11=$BN$7,$BO$7,IF(Data!$BK$56=0,0,Data!$BK$56-(COUNTIF($C$26:$AJ$37,"X*"&amp;$BN$3&amp;"*11")+COUNTIF($C$26:$AJ$37,"X*"&amp;$BN$4&amp;"*11")+COUNTIF($C$26:$AJ$37,"X*"&amp;$BN$5&amp;"*11")+COUNTIF($C$26:$AJ$37,"X*"&amp;$BN$6&amp;"*11")+COUNTIF($C$26:$AJ$37,"X*"&amp;$BN$7&amp;"*11"))-(COUNTIF($C$26:$AJ$37,"L*"&amp;$BN$3&amp;"*11")+COUNTIF($C$26:$AJ$37,"L*"&amp;$BN$4&amp;"*11")+COUNTIF($C$26:$AJ$37,"L*"&amp;$BN$5&amp;"*11")+COUNTIF($C$26:$AJ$37,"L*"&amp;$BN$6&amp;"*11")+COUNTIF($C$26:$AJ$37,"L*"&amp;$BN$7&amp;"*11"))))))))</f>
        <v>0</v>
      </c>
      <c r="BB14" s="93">
        <f>IF(12=$BN$3,$BO$3,
IF(12=$BN$4,$BO$4,
IF(12=$BN$5,$BO$5,
IF(12=$BN$6,$BO$6,
IF(12=$BN$7,$BO$7,
IF(Data!$BK$55=0,0,
Data!$BK$55
-(COUNTIF($C$26:$AJ$37,"X*"&amp;$BN$3&amp;"*12")
+COUNTIF($C$26:$AJ$37,"X*"&amp;$BN$4&amp;"*12")
+COUNTIF($C$26:$AJ$37,"X*"&amp;$BN$5&amp;"*12")
+COUNTIF($C$26:$AJ$37,"X*"&amp;$BN$6&amp;"*12")
+COUNTIF($C$26:$AJ$37,"X*"&amp;$BN$7&amp;"*12"))
-(COUNTIF($C$26:$AJ$37,"L*"&amp;$BN$3&amp;"*12")
+COUNTIF($C$26:$AJ$37,"L*"&amp;$BN$4&amp;"*12")
+COUNTIF($C$26:$AJ$37,"L*"&amp;$BN$5&amp;"*12")
+COUNTIF($C$26:$AJ$37,"L*"&amp;$BN$6&amp;"*12")
+COUNTIF($C$26:$AJ$37,"L*"&amp;$BN$7&amp;"*12"))
))))))</f>
        <v>0</v>
      </c>
      <c r="BC14" s="93">
        <f>IF(13=$BN$3,$BO$3,IF(13=$BN$4,$BO$4,IF(13=$BN$5,$BO$5,IF(13=$BN$6,$BO$6,IF(13=$BN$7,$BO$7,IF(Data!$BK$58=0,0,Data!$BK$58-(COUNTIF($C$26:$AJ$37,"X*"&amp;$BN$3&amp;"*13")+COUNTIF($C$26:$AJ$37,"X*"&amp;$BN$4&amp;"*13")+COUNTIF($C$26:$AJ$37,"X*"&amp;$BN$5&amp;"*13")+COUNTIF($C$26:$AJ$37,"X*"&amp;$BN$6&amp;"*13")+COUNTIF($C$26:$AJ$37,"X*"&amp;$BN$7&amp;"*13"))-(COUNTIF($C$26:$AJ$37,"L*"&amp;$BN$3&amp;"*13")+COUNTIF($C$26:$AJ$37,"L*"&amp;$BN$4&amp;"*13")+COUNTIF($C$26:$AJ$37,"L*"&amp;$BN$5&amp;"*13")+COUNTIF($C$26:$AJ$37,"L*"&amp;$BN$6&amp;"*13")+COUNTIF($C$26:$AJ$37,"L*"&amp;$BN$7&amp;"*13"))))))))</f>
        <v>0</v>
      </c>
      <c r="BD14" s="93">
        <f>IF(14=$BN$3,$BO$3,IF(14=$BN$4,$BO$4,IF(14=$BN$5,$BO$5,IF(14=$BN$6,$BO$6,IF(14=$BN$7,$BO$7,IF(Data!$BK$59=0,0,Data!$BK$59-(COUNTIF($C$26:$AJ$37,"X*"&amp;$BN$3&amp;"*14")+COUNTIF($C$26:$AJ$37,"X*"&amp;$BN$4&amp;"*14")+COUNTIF($C$26:$AJ$37,"X*"&amp;$BN$5&amp;"*14")+COUNTIF($C$26:$AJ$37,"X*"&amp;$BN$6&amp;"*14")+COUNTIF($C$26:$AJ$37,"X*"&amp;$BN$7&amp;"*14"))-(COUNTIF($C$26:$AJ$37,"L*"&amp;$BN$3&amp;"*14")+COUNTIF($C$26:$AJ$37,"L*"&amp;$BN$4&amp;"*14")+COUNTIF($C$26:$AJ$37,"L*"&amp;$BN$5&amp;"*14")+COUNTIF($C$26:$AJ$37,"L*"&amp;$BN$6&amp;"*14")+COUNTIF($C$26:$AJ$37,"L*"&amp;$BN$7&amp;"*14"))))))))</f>
        <v>0</v>
      </c>
      <c r="BE14" s="93">
        <f>IF(15=$BN$3,$BO$3,IF(15=$BN$4,$BO$4,IF(15=$BN$5,$BO$5,IF(15=$BN$6,$BO$6,IF(15=$BN$7,$BO$7,IF(Data!$BK$60=0,0,Data!$BK$60-(COUNTIF($C$26:$AJ$37,"X*"&amp;$BN$3&amp;"*15")+COUNTIF($C$26:$AJ$37,"X*"&amp;$BN$4&amp;"*15")+COUNTIF($C$26:$AJ$37,"X*"&amp;$BN$5&amp;"*15")+COUNTIF($C$26:$AJ$37,"X*"&amp;$BN$6&amp;"*15")+COUNTIF($C$26:$AJ$37,"X*"&amp;$BN$7&amp;"*15"))-(COUNTIF($C$26:$AJ$37,"L*"&amp;$BN$3&amp;"*15")+COUNTIF($C$26:$AJ$37,"L*"&amp;$BN$4&amp;"*15")+COUNTIF($C$26:$AJ$37,"L*"&amp;$BN$5&amp;"*15")+COUNTIF($C$26:$AJ$37,"L*"&amp;$BN$6&amp;"*15")+COUNTIF($C$26:$AJ$37,"L*"&amp;$BN$7&amp;"*15"))))))))</f>
        <v>0</v>
      </c>
      <c r="BF14" s="93">
        <f>IF(16=$BN$3,$BO$3,IF(16=$BN$4,$BO$4,IF(16=$BN$5,$BO$5,IF(16=$BN$6,$BO$6,IF(16=$BN$7,$BO$7,IF(Data!$BK$61=0,0,Data!$BK$61-(COUNTIF($C$26:$AJ$37,"X*"&amp;$BN$3&amp;"*16")+COUNTIF($C$26:$AJ$37,"X*"&amp;$BN$4&amp;"*16")+COUNTIF($C$26:$AJ$37,"X*"&amp;$BN$5&amp;"*16")+COUNTIF($C$26:$AJ$37,"X*"&amp;$BN$6&amp;"*16")+COUNTIF($C$26:$AJ$37,"X*"&amp;$BN$7&amp;"*16"))-(COUNTIF($C$26:$AJ$37,"L*"&amp;$BN$3&amp;"*16")+COUNTIF($C$26:$AJ$37,"L*"&amp;$BN$4&amp;"*16")+COUNTIF($C$26:$AJ$37,"L*"&amp;$BN$5&amp;"*16")+COUNTIF($C$26:$AJ$37,"L*"&amp;$BN$6&amp;"*16")+COUNTIF($C$26:$AJ$37,"L*"&amp;$BN$7&amp;"*16"))))))))</f>
        <v>0</v>
      </c>
      <c r="BG14" s="93">
        <f>IF(17=$BN$3,$BO$3,IF(17=$BN$4,$BO$4,IF(17=$BN$5,$BO$5,IF(17=$BN$6,$BO$6,IF(17=$BN$7,$BO$7,IF(Data!$BK$62=0,0,Data!$BK$62-(COUNTIF($C$26:$AJ$37,"X*"&amp;$BN$3&amp;"*17")+COUNTIF($C$26:$AJ$37,"X*"&amp;$BN$4&amp;"*17")+COUNTIF($C$26:$AJ$37,"X*"&amp;$BN$5&amp;"*17")+COUNTIF($C$26:$AJ$37,"X*"&amp;$BN$6&amp;"*17")+COUNTIF($C$26:$AJ$37,"X*"&amp;$BN$7&amp;"*17"))-(COUNTIF($C$26:$AJ$37,"L*"&amp;$BN$3&amp;"*17")+COUNTIF($C$26:$AJ$37,"L*"&amp;$BN$4&amp;"*17")+COUNTIF($C$26:$AJ$37,"L*"&amp;$BN$5&amp;"*17")+COUNTIF($C$26:$AJ$37,"L*"&amp;$BN$6&amp;"*17")+COUNTIF($C$26:$AJ$37,"L*"&amp;$BN$7&amp;"*17"))))))))</f>
        <v>0</v>
      </c>
      <c r="BH14" s="83" t="s">
        <v>21</v>
      </c>
      <c r="BI14" s="83">
        <f>Data!BO63</f>
        <v>62</v>
      </c>
    </row>
    <row r="15" spans="1:68" ht="20.5" thickBot="1" x14ac:dyDescent="0.4">
      <c r="A15" s="1227"/>
      <c r="B15" s="355">
        <v>12</v>
      </c>
      <c r="C15" s="350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2"/>
      <c r="AK15">
        <f>COUNTIF(AK9,"*"&amp;Data!$D$4&amp;"*")</f>
        <v>0</v>
      </c>
      <c r="AN15" s="93"/>
      <c r="AO15" s="93" t="str">
        <f>IF(AO13=AO14,"True","Excessive Cutters")</f>
        <v>True</v>
      </c>
      <c r="AP15" s="93" t="str">
        <f>IF(AP13=AP14,"True","Excessive Cutters")</f>
        <v>True</v>
      </c>
      <c r="AQ15" s="93" t="str">
        <f>IF(AQ13=AQ14,"True","Imperfection")</f>
        <v>Imperfection</v>
      </c>
      <c r="AR15" s="93" t="str">
        <f>IF(AR13=AR14,"True","Imperfection")</f>
        <v>Imperfection</v>
      </c>
      <c r="AS15" s="93" t="str">
        <f>IF(AS13=AS14,"True","Imperfection")</f>
        <v>True</v>
      </c>
      <c r="AT15" s="93" t="str">
        <f>IF(AT13=AT14,"True","Imperfection")</f>
        <v>True</v>
      </c>
      <c r="AU15" s="93" t="str">
        <f>IF(AU13=AU14,"True","Imperfection")</f>
        <v>True</v>
      </c>
      <c r="AV15" s="93" t="str">
        <f>IF(AV13=AV14,"True","Excessive Cutters")</f>
        <v>True</v>
      </c>
      <c r="AW15" s="93" t="str">
        <f>IF(AW13=AW14,"True","Excessive Cutters")</f>
        <v>True</v>
      </c>
      <c r="AX15" s="93" t="str">
        <f>IF(AX13=AX14,"True","Imperfection")</f>
        <v>True</v>
      </c>
      <c r="AY15" s="93" t="str">
        <f>IF(AY13=AY14,"True","Imperfection")</f>
        <v>True</v>
      </c>
      <c r="AZ15" s="93" t="str">
        <f>IF(AZ13=AZ14,"True","Imperfection")</f>
        <v>True</v>
      </c>
      <c r="BA15" s="93" t="str">
        <f t="shared" ref="BA15:BG15" si="3">IF(BA13=BA14,"True","Imperfection")</f>
        <v>True</v>
      </c>
      <c r="BB15" s="93" t="str">
        <f t="shared" si="3"/>
        <v>True</v>
      </c>
      <c r="BC15" s="93" t="str">
        <f t="shared" si="3"/>
        <v>True</v>
      </c>
      <c r="BD15" s="93" t="str">
        <f t="shared" si="3"/>
        <v>True</v>
      </c>
      <c r="BE15" s="93" t="str">
        <f t="shared" si="3"/>
        <v>True</v>
      </c>
      <c r="BF15" s="93" t="str">
        <f t="shared" si="3"/>
        <v>True</v>
      </c>
      <c r="BG15" s="93" t="str">
        <f t="shared" si="3"/>
        <v>True</v>
      </c>
      <c r="BH15" s="93"/>
      <c r="BI15" s="93" t="str">
        <f>IF(BI13=BI14,"True","Quantity False")</f>
        <v>True</v>
      </c>
    </row>
    <row r="16" spans="1:68" ht="7.5" customHeight="1" thickBot="1" x14ac:dyDescent="0.4">
      <c r="A16" s="1196"/>
      <c r="B16" s="1234"/>
      <c r="C16" s="1234"/>
      <c r="D16" s="1234"/>
      <c r="E16" s="1234"/>
      <c r="F16" s="1234"/>
      <c r="G16" s="1234"/>
      <c r="H16" s="1234"/>
      <c r="I16" s="1234"/>
      <c r="J16" s="1234"/>
      <c r="K16" s="1234"/>
      <c r="L16" s="1234"/>
      <c r="M16" s="1234"/>
      <c r="N16" s="1234"/>
      <c r="O16" s="1234"/>
      <c r="P16" s="1234"/>
      <c r="Q16" s="1234"/>
      <c r="R16" s="1234"/>
      <c r="S16" s="1234"/>
      <c r="T16" s="1234"/>
      <c r="U16" s="1234"/>
      <c r="V16" s="1234"/>
      <c r="W16" s="1234"/>
      <c r="X16" s="1234"/>
      <c r="Y16" s="1234"/>
      <c r="Z16" s="1234"/>
      <c r="AA16" s="1234"/>
      <c r="AB16" s="1234"/>
      <c r="AC16" s="1234"/>
      <c r="AD16" s="1234"/>
      <c r="AE16" s="1234"/>
      <c r="AF16" s="1234"/>
      <c r="AG16" s="1234"/>
      <c r="AH16" s="1234"/>
      <c r="AI16" s="1234"/>
    </row>
    <row r="17" spans="1:43" ht="61.5" customHeight="1" thickBot="1" x14ac:dyDescent="0.4">
      <c r="A17" s="1231" t="s">
        <v>797</v>
      </c>
      <c r="B17" s="1232"/>
      <c r="C17" s="1233"/>
      <c r="D17" s="1228" t="s">
        <v>2534</v>
      </c>
      <c r="E17" s="1229"/>
      <c r="F17" s="1229"/>
      <c r="G17" s="1229"/>
      <c r="H17" s="1229"/>
      <c r="I17" s="1229"/>
      <c r="J17" s="1229"/>
      <c r="K17" s="1229"/>
      <c r="L17" s="1229"/>
      <c r="M17" s="1229"/>
      <c r="N17" s="1229"/>
      <c r="O17" s="1229"/>
      <c r="P17" s="1229"/>
      <c r="Q17" s="1229"/>
      <c r="R17" s="1229"/>
      <c r="S17" s="1229"/>
      <c r="T17" s="1229"/>
      <c r="U17" s="1229"/>
      <c r="V17" s="1229"/>
      <c r="W17" s="1229"/>
      <c r="X17" s="1229"/>
      <c r="Y17" s="1229"/>
      <c r="Z17" s="1229"/>
      <c r="AA17" s="1229"/>
      <c r="AB17" s="1229"/>
      <c r="AC17" s="1229"/>
      <c r="AD17" s="1229"/>
      <c r="AE17" s="1229"/>
      <c r="AF17" s="1229"/>
      <c r="AG17" s="1229"/>
      <c r="AH17" s="1229"/>
      <c r="AI17" s="1230"/>
      <c r="AK17" t="b">
        <f>AND(COUNTIF(C4,"O"),'Die Check Entry'!C4&lt;&gt;"",'Die Check Entry'!$W$1=1)</f>
        <v>0</v>
      </c>
    </row>
    <row r="18" spans="1:43" ht="23" thickBot="1" x14ac:dyDescent="0.4">
      <c r="A18" s="110"/>
      <c r="B18" s="35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Q18" s="13">
        <f>COUNTIF($C$43:$AJ$54,"X*1")</f>
        <v>0</v>
      </c>
    </row>
    <row r="19" spans="1:43" ht="39" customHeight="1" thickBot="1" x14ac:dyDescent="0.4">
      <c r="A19" s="1241" t="s">
        <v>817</v>
      </c>
      <c r="B19" s="1241"/>
      <c r="C19" s="1242"/>
      <c r="D19" s="1238" t="str">
        <f>IF(Data!L4=1,IF(COUNTIF(D17,"*scrap*"),D17,CONCATENATE("Recomended to scrap the bit. ",D17)),IF(Data!L2=1,IF(OR(COUNTIF(D17,"*rerun*"),COUNTIF(D17,"*re run*"),COUNTIF(D17,"*re-run*")),D17,CONCATENATE("Rerun the bit. ",D17)),CONCATENATE(D17," ",IF(AND(C74&lt;&gt;"",C74&lt;&gt;"Build up the following: "),C74," "))))</f>
        <v xml:space="preserve">Shank need clean. Pinface and mud seal need buffing.  </v>
      </c>
      <c r="E19" s="1239"/>
      <c r="F19" s="1239"/>
      <c r="G19" s="1239"/>
      <c r="H19" s="1239"/>
      <c r="I19" s="1239"/>
      <c r="J19" s="1239"/>
      <c r="K19" s="1239"/>
      <c r="L19" s="1239"/>
      <c r="M19" s="1239"/>
      <c r="N19" s="1239"/>
      <c r="O19" s="1239"/>
      <c r="P19" s="1239"/>
      <c r="Q19" s="1239"/>
      <c r="R19" s="1239"/>
      <c r="S19" s="1239"/>
      <c r="T19" s="1239"/>
      <c r="U19" s="1239"/>
      <c r="V19" s="1239"/>
      <c r="W19" s="1239"/>
      <c r="X19" s="1239"/>
      <c r="Y19" s="1239"/>
      <c r="Z19" s="1239"/>
      <c r="AA19" s="1239"/>
      <c r="AB19" s="1239"/>
      <c r="AC19" s="1239"/>
      <c r="AD19" s="1239"/>
      <c r="AE19" s="1239"/>
      <c r="AF19" s="1239"/>
      <c r="AG19" s="1239"/>
      <c r="AH19" s="1239"/>
      <c r="AI19" s="1240"/>
      <c r="AQ19" s="13">
        <f>COUNTIF($C$43:$AJ$54,"X1")</f>
        <v>0</v>
      </c>
    </row>
    <row r="20" spans="1:43" ht="10" customHeight="1" thickBot="1" x14ac:dyDescent="0.4">
      <c r="A20" s="110"/>
      <c r="B20" s="110"/>
      <c r="C20" s="110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</row>
    <row r="21" spans="1:43" ht="35.25" customHeight="1" thickBot="1" x14ac:dyDescent="0.4">
      <c r="A21" s="1241" t="s">
        <v>818</v>
      </c>
      <c r="B21" s="1241"/>
      <c r="C21" s="1242"/>
      <c r="D21" s="1238" t="str">
        <f>IF(Data!L4=1,IF(COUNTIF('Eng. Cutter Entry'!D17,"*scrap*"),'Eng. Cutter Entry'!D17,CONCATENATE("Minimum initial charge, damage beyond repair. ",'Eng. Cutter Entry'!D17)),IF(Data!L3=1,IF(OR(COUNTIF('Eng. Cutter Entry'!D17,"*rerun*"),COUNTIF('Eng. Cutter Entry'!D17,"*re run*"),COUNTIF('Eng. Cutter Entry'!D17,"*re-run*")),'Eng. Cutter Entry'!D17,CONCATENATE("Accepted to rerun the bit as it is by Engineer. ",'Eng. Cutter Entry'!D17)),CONCATENATE(IF('Eng. Cutter Entry'!C39&lt;&gt;0,"Re-evaluated by Engineer. "&amp;IF('Eng. Cutter Entry'!D17&lt;&gt;"",'Eng. Cutter Entry'!D17,D17),""),IF(COUNTBLANK('Eng. Cutter Entry'!$C$4:$AJ$15)&lt;&gt;408,C79,IF(AND(D19&lt;&gt;"",D19&lt;&gt;"Build up the following: "),D19,"")))))</f>
        <v xml:space="preserve">Shank need clean. Pinface and mud seal need buffing.  </v>
      </c>
      <c r="E21" s="1239"/>
      <c r="F21" s="1239"/>
      <c r="G21" s="1239"/>
      <c r="H21" s="1239"/>
      <c r="I21" s="1239"/>
      <c r="J21" s="1239"/>
      <c r="K21" s="1239"/>
      <c r="L21" s="1239"/>
      <c r="M21" s="1239"/>
      <c r="N21" s="1239"/>
      <c r="O21" s="1239"/>
      <c r="P21" s="1239"/>
      <c r="Q21" s="1239"/>
      <c r="R21" s="1239"/>
      <c r="S21" s="1239"/>
      <c r="T21" s="1239"/>
      <c r="U21" s="1239"/>
      <c r="V21" s="1239"/>
      <c r="W21" s="1239"/>
      <c r="X21" s="1239"/>
      <c r="Y21" s="1239"/>
      <c r="Z21" s="1239"/>
      <c r="AA21" s="1239"/>
      <c r="AB21" s="1239"/>
      <c r="AC21" s="1239"/>
      <c r="AD21" s="1239"/>
      <c r="AE21" s="1239"/>
      <c r="AF21" s="1239"/>
      <c r="AG21" s="1239"/>
      <c r="AH21" s="1239"/>
      <c r="AI21" s="1240"/>
    </row>
    <row r="22" spans="1:43" ht="23.25" customHeight="1" x14ac:dyDescent="0.35">
      <c r="A22" s="110"/>
      <c r="B22" s="35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</row>
    <row r="23" spans="1:43" ht="10" customHeight="1" thickBot="1" x14ac:dyDescent="0.4">
      <c r="A23" s="1243" t="s">
        <v>305</v>
      </c>
      <c r="B23" s="1243"/>
      <c r="C23" s="1243"/>
      <c r="D23" s="1243"/>
      <c r="E23" s="1243"/>
      <c r="F23" s="1243"/>
      <c r="G23" s="1243"/>
      <c r="H23" s="1243"/>
      <c r="I23" s="1243"/>
      <c r="J23" s="1243"/>
      <c r="K23" s="1243"/>
      <c r="L23" s="1243"/>
      <c r="M23" s="1243"/>
      <c r="N23" s="1243"/>
      <c r="O23" s="1243"/>
      <c r="P23" s="1243"/>
      <c r="Q23" s="1243"/>
      <c r="R23" s="1243"/>
      <c r="S23" s="1243"/>
      <c r="T23" s="1243"/>
      <c r="U23" s="1243"/>
      <c r="V23" s="1243"/>
      <c r="W23" s="1243"/>
      <c r="X23" s="1243"/>
      <c r="Y23" s="1243"/>
      <c r="Z23" s="1243"/>
      <c r="AA23" s="1243"/>
      <c r="AB23" s="1243"/>
      <c r="AC23" s="1243"/>
      <c r="AD23" s="1243"/>
      <c r="AE23" s="1243"/>
      <c r="AF23" s="1243"/>
      <c r="AG23" s="1243"/>
      <c r="AH23" s="1243"/>
      <c r="AI23" s="1243"/>
    </row>
    <row r="24" spans="1:43" ht="15" customHeight="1" x14ac:dyDescent="0.35">
      <c r="A24" s="1202"/>
      <c r="B24" s="1203"/>
      <c r="C24" s="1207" t="s">
        <v>17</v>
      </c>
      <c r="D24" s="1207"/>
      <c r="E24" s="1207"/>
      <c r="F24" s="1207"/>
      <c r="G24" s="1207"/>
      <c r="H24" s="1207"/>
      <c r="I24" s="1207"/>
      <c r="J24" s="1207"/>
      <c r="K24" s="1207"/>
      <c r="L24" s="1207"/>
      <c r="M24" s="1207"/>
      <c r="N24" s="1207"/>
      <c r="O24" s="1207"/>
      <c r="P24" s="1207"/>
      <c r="Q24" s="1207"/>
      <c r="R24" s="1207"/>
      <c r="S24" s="1207"/>
      <c r="T24" s="1207"/>
      <c r="U24" s="1207"/>
      <c r="V24" s="1208"/>
      <c r="W24" s="6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8"/>
    </row>
    <row r="25" spans="1:43" ht="15.75" customHeight="1" thickBot="1" x14ac:dyDescent="0.4">
      <c r="A25" s="1204"/>
      <c r="B25" s="1205"/>
      <c r="C25" s="16">
        <v>1</v>
      </c>
      <c r="D25" s="17">
        <v>2</v>
      </c>
      <c r="E25" s="17">
        <v>3</v>
      </c>
      <c r="F25" s="17">
        <v>4</v>
      </c>
      <c r="G25" s="17">
        <v>5</v>
      </c>
      <c r="H25" s="17">
        <v>6</v>
      </c>
      <c r="I25" s="17">
        <v>7</v>
      </c>
      <c r="J25" s="17">
        <v>8</v>
      </c>
      <c r="K25" s="17">
        <v>9</v>
      </c>
      <c r="L25" s="17">
        <v>10</v>
      </c>
      <c r="M25" s="17">
        <v>11</v>
      </c>
      <c r="N25" s="17">
        <v>12</v>
      </c>
      <c r="O25" s="17">
        <v>13</v>
      </c>
      <c r="P25" s="17">
        <v>14</v>
      </c>
      <c r="Q25" s="17">
        <v>15</v>
      </c>
      <c r="R25" s="17">
        <v>16</v>
      </c>
      <c r="S25" s="17">
        <v>17</v>
      </c>
      <c r="T25" s="17">
        <v>18</v>
      </c>
      <c r="U25" s="17">
        <v>19</v>
      </c>
      <c r="V25" s="18">
        <v>20</v>
      </c>
      <c r="W25" s="17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20"/>
    </row>
    <row r="26" spans="1:43" ht="24.75" customHeight="1" x14ac:dyDescent="0.35">
      <c r="A26" s="1196" t="s">
        <v>18</v>
      </c>
      <c r="B26" s="21">
        <v>1</v>
      </c>
      <c r="C26" s="41" t="str" cm="1">
        <f t="array" ref="C26">IF(C4&lt;&gt;"",
   _xlfn.LET(
     _xlpm.txt,
     IF(OR(COUNTIF(C4,"L*"), COUNTIF(C4, "X*")),
        IF(AND(COUNTIF(C4,"*P*"), COUNTIF(C4,"*V*")),
           IF(COUNTIF(C4,"*R*"),
              SUBSTITUTE(SUBSTITUTE(C4,"P",""),"R","S"),
              SUBSTITUTE(C4,"P","")),
           IF(AND(COUNTIF(C4,"*P*"), COUNTIF(C4,"*R*")),
              SUBSTITUTE(C4,"R","S"),
              IF(AND(COUNTIF(C4,"*V*"), COUNTIF(C4,"*R*")),
                 SUBSTITUTE(C4,"R","S"),
                 C4))),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IF(AND(COUNTIF(C4,"*P*"), COUNTIF(C4,"*V*")),
                               IF(COUNTIF(C4,"*R*"),
                                  SUBSTITUTE(SUBSTITUTE(C4,"P",""),"R","S"),
                                  SUBSTITUTE(C4,"P","")),
                               IF(AND(COUNTIF(C4,"*P*"), COUNTIF(C4,"*R*")),
                                  SUBSTITUTE(C4,"R","S"),
                                  IF(AND(COUNTIF(C4,"*V*"), COUNTIF(C4,"*R*")),
                                     SUBSTITUTE(C4,"R","S"),
                                     C4))),
                          "0",""),"1",""),"2",""),"3",""),"4",""),
                      "5",""),"6",""),"7",""),"8",""),"9","")
     ),
     IF(SUM(--ISNUMBER(FIND({0,1,2,3,4,5,6,7,8,9}, _xlpm.txt)))=0,
        _xlpm.txt &amp; Data!BR46,
        _xlpm.txt
     )
   ),
   ""
)</f>
        <v>R1</v>
      </c>
      <c r="D26" s="41" t="str" cm="1">
        <f t="array" ref="D26">IF(D4&lt;&gt;"",
   _xlfn.LET(
     _xlpm.txt,
     IF(OR(COUNTIF(D4,"L*"), COUNTIF(D4, "X*")),
        IF(AND(COUNTIF(D4,"*P*"), COUNTIF(D4,"*V*")),
           IF(COUNTIF(D4,"*R*"),
              SUBSTITUTE(SUBSTITUTE(D4,"P",""),"R","S"),
              SUBSTITUTE(D4,"P","")),
           IF(AND(COUNTIF(D4,"*P*"), COUNTIF(D4,"*R*")),
              SUBSTITUTE(D4,"R","S"),
              IF(AND(COUNTIF(D4,"*V*"), COUNTIF(D4,"*R*")),
                 SUBSTITUTE(D4,"R","S"),
                 D4))),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IF(AND(COUNTIF(D4,"*P*"), COUNTIF(D4,"*V*")),
                               IF(COUNTIF(D4,"*R*"),
                                  SUBSTITUTE(SUBSTITUTE(D4,"P",""),"R","S"),
                                  SUBSTITUTE(D4,"P","")),
                               IF(AND(COUNTIF(D4,"*P*"), COUNTIF(D4,"*R*")),
                                  SUBSTITUTE(D4,"R","S"),
                                  IF(AND(COUNTIF(D4,"*V*"), COUNTIF(D4,"*R*")),
                                     SUBSTITUTE(D4,"R","S"),
                                     D4))),
                          "0",""),"1",""),"2",""),"3",""),"4",""),
                      "5",""),"6",""),"7",""),"8",""),"9","")
     ),
     IF(SUM(--ISNUMBER(FIND({0,1,2,3,4,5,6,7,8,9}, _xlpm.txt)))=0,
        _xlpm.txt &amp; Data!BS46,
        _xlpm.txt
     )
   ),
   ""
)</f>
        <v>R1</v>
      </c>
      <c r="E26" s="41" t="str" cm="1">
        <f t="array" ref="E26">IF(E4&lt;&gt;"",
   _xlfn.LET(
     _xlpm.txt,
     IF(OR(COUNTIF(E4,"L*"), COUNTIF(E4, "X*")),
        IF(AND(COUNTIF(E4,"*P*"), COUNTIF(E4,"*V*")),
           IF(COUNTIF(E4,"*R*"),
              SUBSTITUTE(SUBSTITUTE(E4,"P",""),"R","S"),
              SUBSTITUTE(E4,"P","")),
           IF(AND(COUNTIF(E4,"*P*"), COUNTIF(E4,"*R*")),
              SUBSTITUTE(E4,"R","S"),
              IF(AND(COUNTIF(E4,"*V*"), COUNTIF(E4,"*R*")),
                 SUBSTITUTE(E4,"R","S"),
                 E4))),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IF(AND(COUNTIF(E4,"*P*"), COUNTIF(E4,"*V*")),
                               IF(COUNTIF(E4,"*R*"),
                                  SUBSTITUTE(SUBSTITUTE(E4,"P",""),"R","S"),
                                  SUBSTITUTE(E4,"P","")),
                               IF(AND(COUNTIF(E4,"*P*"), COUNTIF(E4,"*R*")),
                                  SUBSTITUTE(E4,"R","S"),
                                  IF(AND(COUNTIF(E4,"*V*"), COUNTIF(E4,"*R*")),
                                     SUBSTITUTE(E4,"R","S"),
                                     E4))),
                          "0",""),"1",""),"2",""),"3",""),"4",""),
                      "5",""),"6",""),"7",""),"8",""),"9","")
     ),
     IF(SUM(--ISNUMBER(FIND({0,1,2,3,4,5,6,7,8,9}, _xlpm.txt)))=0,
        _xlpm.txt &amp; Data!BT46,
        _xlpm.txt
     )
   ),
   ""
)</f>
        <v>X5</v>
      </c>
      <c r="F26" s="41" t="str" cm="1">
        <f t="array" ref="F26">IF(F4&lt;&gt;"",
   _xlfn.LET(
     _xlpm.txt,
     IF(OR(COUNTIF(F4,"L*"), COUNTIF(F4, "X*")),
        IF(AND(COUNTIF(F4,"*P*"), COUNTIF(F4,"*V*")),
           IF(COUNTIF(F4,"*R*"),
              SUBSTITUTE(SUBSTITUTE(F4,"P",""),"R","S"),
              SUBSTITUTE(F4,"P","")),
           IF(AND(COUNTIF(F4,"*P*"), COUNTIF(F4,"*R*")),
              SUBSTITUTE(F4,"R","S"),
              IF(AND(COUNTIF(F4,"*V*"), COUNTIF(F4,"*R*")),
                 SUBSTITUTE(F4,"R","S"),
                 F4))),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IF(AND(COUNTIF(F4,"*P*"), COUNTIF(F4,"*V*")),
                               IF(COUNTIF(F4,"*R*"),
                                  SUBSTITUTE(SUBSTITUTE(F4,"P",""),"R","S"),
                                  SUBSTITUTE(F4,"P","")),
                               IF(AND(COUNTIF(F4,"*P*"), COUNTIF(F4,"*R*")),
                                  SUBSTITUTE(F4,"R","S"),
                                  IF(AND(COUNTIF(F4,"*V*"), COUNTIF(F4,"*R*")),
                                     SUBSTITUTE(F4,"R","S"),
                                     F4))),
                          "0",""),"1",""),"2",""),"3",""),"4",""),
                      "5",""),"6",""),"7",""),"8",""),"9","")
     ),
     IF(SUM(--ISNUMBER(FIND({0,1,2,3,4,5,6,7,8,9}, _xlpm.txt)))=0,
        _xlpm.txt &amp; Data!BU46,
        _xlpm.txt
     )
   ),
   ""
)</f>
        <v>X5</v>
      </c>
      <c r="G26" s="41" t="str" cm="1">
        <f t="array" ref="G26">IF(G4&lt;&gt;"",
   _xlfn.LET(
     _xlpm.txt,
     IF(OR(COUNTIF(G4,"L*"), COUNTIF(G4, "X*")),
        IF(AND(COUNTIF(G4,"*P*"), COUNTIF(G4,"*V*")),
           IF(COUNTIF(G4,"*R*"),
              SUBSTITUTE(SUBSTITUTE(G4,"P",""),"R","S"),
              SUBSTITUTE(G4,"P","")),
           IF(AND(COUNTIF(G4,"*P*"), COUNTIF(G4,"*R*")),
              SUBSTITUTE(G4,"R","S"),
              IF(AND(COUNTIF(G4,"*V*"), COUNTIF(G4,"*R*")),
                 SUBSTITUTE(G4,"R","S"),
                 G4))),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IF(AND(COUNTIF(G4,"*P*"), COUNTIF(G4,"*V*")),
                               IF(COUNTIF(G4,"*R*"),
                                  SUBSTITUTE(SUBSTITUTE(G4,"P",""),"R","S"),
                                  SUBSTITUTE(G4,"P","")),
                               IF(AND(COUNTIF(G4,"*P*"), COUNTIF(G4,"*R*")),
                                  SUBSTITUTE(G4,"R","S"),
                                  IF(AND(COUNTIF(G4,"*V*"), COUNTIF(G4,"*R*")),
                                     SUBSTITUTE(G4,"R","S"),
                                     G4))),
                          "0",""),"1",""),"2",""),"3",""),"4",""),
                      "5",""),"6",""),"7",""),"8",""),"9","")
     ),
     IF(SUM(--ISNUMBER(FIND({0,1,2,3,4,5,6,7,8,9}, _xlpm.txt)))=0,
        _xlpm.txt &amp; Data!BV46,
        _xlpm.txt
     )
   ),
   ""
)</f>
        <v>X5</v>
      </c>
      <c r="H26" s="41" t="str" cm="1">
        <f t="array" ref="H26">IF(H4&lt;&gt;"",
   _xlfn.LET(
     _xlpm.txt,
     IF(OR(COUNTIF(H4,"L*"), COUNTIF(H4, "X*")),
        IF(AND(COUNTIF(H4,"*P*"), COUNTIF(H4,"*V*")),
           IF(COUNTIF(H4,"*R*"),
              SUBSTITUTE(SUBSTITUTE(H4,"P",""),"R","S"),
              SUBSTITUTE(H4,"P","")),
           IF(AND(COUNTIF(H4,"*P*"), COUNTIF(H4,"*R*")),
              SUBSTITUTE(H4,"R","S"),
              IF(AND(COUNTIF(H4,"*V*"), COUNTIF(H4,"*R*")),
                 SUBSTITUTE(H4,"R","S"),
                 H4))),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IF(AND(COUNTIF(H4,"*P*"), COUNTIF(H4,"*V*")),
                               IF(COUNTIF(H4,"*R*"),
                                  SUBSTITUTE(SUBSTITUTE(H4,"P",""),"R","S"),
                                  SUBSTITUTE(H4,"P","")),
                               IF(AND(COUNTIF(H4,"*P*"), COUNTIF(H4,"*R*")),
                                  SUBSTITUTE(H4,"R","S"),
                                  IF(AND(COUNTIF(H4,"*V*"), COUNTIF(H4,"*R*")),
                                     SUBSTITUTE(H4,"R","S"),
                                     H4))),
                          "0",""),"1",""),"2",""),"3",""),"4",""),
                      "5",""),"6",""),"7",""),"8",""),"9","")
     ),
     IF(SUM(--ISNUMBER(FIND({0,1,2,3,4,5,6,7,8,9}, _xlpm.txt)))=0,
        _xlpm.txt &amp; Data!BW46,
        _xlpm.txt
     )
   ),
   ""
)</f>
        <v>X5</v>
      </c>
      <c r="I26" s="41" t="str" cm="1">
        <f t="array" ref="I26">IF(I4&lt;&gt;"",
   _xlfn.LET(
     _xlpm.txt,
     IF(OR(COUNTIF(I4,"L*"), COUNTIF(I4, "X*")),
        IF(AND(COUNTIF(I4,"*P*"), COUNTIF(I4,"*V*")),
           IF(COUNTIF(I4,"*R*"),
              SUBSTITUTE(SUBSTITUTE(I4,"P",""),"R","S"),
              SUBSTITUTE(I4,"P","")),
           IF(AND(COUNTIF(I4,"*P*"), COUNTIF(I4,"*R*")),
              SUBSTITUTE(I4,"R","S"),
              IF(AND(COUNTIF(I4,"*V*"), COUNTIF(I4,"*R*")),
                 SUBSTITUTE(I4,"R","S"),
                 I4))),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IF(AND(COUNTIF(I4,"*P*"), COUNTIF(I4,"*V*")),
                               IF(COUNTIF(I4,"*R*"),
                                  SUBSTITUTE(SUBSTITUTE(I4,"P",""),"R","S"),
                                  SUBSTITUTE(I4,"P","")),
                               IF(AND(COUNTIF(I4,"*P*"), COUNTIF(I4,"*R*")),
                                  SUBSTITUTE(I4,"R","S"),
                                  IF(AND(COUNTIF(I4,"*V*"), COUNTIF(I4,"*R*")),
                                     SUBSTITUTE(I4,"R","S"),
                                     I4))),
                          "0",""),"1",""),"2",""),"3",""),"4",""),
                      "5",""),"6",""),"7",""),"8",""),"9","")
     ),
     IF(SUM(--ISNUMBER(FIND({0,1,2,3,4,5,6,7,8,9}, _xlpm.txt)))=0,
        _xlpm.txt &amp; Data!BX46,
        _xlpm.txt
     )
   ),
   ""
)</f>
        <v>R1</v>
      </c>
      <c r="J26" s="41" t="str" cm="1">
        <f t="array" ref="J26">IF(J4&lt;&gt;"",
   _xlfn.LET(
     _xlpm.txt,
     IF(OR(COUNTIF(J4,"L*"), COUNTIF(J4, "X*")),
        IF(AND(COUNTIF(J4,"*P*"), COUNTIF(J4,"*V*")),
           IF(COUNTIF(J4,"*R*"),
              SUBSTITUTE(SUBSTITUTE(J4,"P",""),"R","S"),
              SUBSTITUTE(J4,"P","")),
           IF(AND(COUNTIF(J4,"*P*"), COUNTIF(J4,"*R*")),
              SUBSTITUTE(J4,"R","S"),
              IF(AND(COUNTIF(J4,"*V*"), COUNTIF(J4,"*R*")),
                 SUBSTITUTE(J4,"R","S"),
                 J4))),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IF(AND(COUNTIF(J4,"*P*"), COUNTIF(J4,"*V*")),
                               IF(COUNTIF(J4,"*R*"),
                                  SUBSTITUTE(SUBSTITUTE(J4,"P",""),"R","S"),
                                  SUBSTITUTE(J4,"P","")),
                               IF(AND(COUNTIF(J4,"*P*"), COUNTIF(J4,"*R*")),
                                  SUBSTITUTE(J4,"R","S"),
                                  IF(AND(COUNTIF(J4,"*V*"), COUNTIF(J4,"*R*")),
                                     SUBSTITUTE(J4,"R","S"),
                                     J4))),
                          "0",""),"1",""),"2",""),"3",""),"4",""),
                      "5",""),"6",""),"7",""),"8",""),"9","")
     ),
     IF(SUM(--ISNUMBER(FIND({0,1,2,3,4,5,6,7,8,9}, _xlpm.txt)))=0,
        _xlpm.txt &amp; Data!BY46,
        _xlpm.txt
     )
   ),
   ""
)</f>
        <v>X3</v>
      </c>
      <c r="K26" s="41" t="str" cm="1">
        <f t="array" ref="K26">IF(K4&lt;&gt;"",
   _xlfn.LET(
     _xlpm.txt,
     IF(OR(COUNTIF(K4,"L*"), COUNTIF(K4, "X*")),
        IF(AND(COUNTIF(K4,"*P*"), COUNTIF(K4,"*V*")),
           IF(COUNTIF(K4,"*R*"),
              SUBSTITUTE(SUBSTITUTE(K4,"P",""),"R","S"),
              SUBSTITUTE(K4,"P","")),
           IF(AND(COUNTIF(K4,"*P*"), COUNTIF(K4,"*R*")),
              SUBSTITUTE(K4,"R","S"),
              IF(AND(COUNTIF(K4,"*V*"), COUNTIF(K4,"*R*")),
                 SUBSTITUTE(K4,"R","S"),
                 K4))),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IF(AND(COUNTIF(K4,"*P*"), COUNTIF(K4,"*V*")),
                               IF(COUNTIF(K4,"*R*"),
                                  SUBSTITUTE(SUBSTITUTE(K4,"P",""),"R","S"),
                                  SUBSTITUTE(K4,"P","")),
                               IF(AND(COUNTIF(K4,"*P*"), COUNTIF(K4,"*R*")),
                                  SUBSTITUTE(K4,"R","S"),
                                  IF(AND(COUNTIF(K4,"*V*"), COUNTIF(K4,"*R*")),
                                     SUBSTITUTE(K4,"R","S"),
                                     K4))),
                          "0",""),"1",""),"2",""),"3",""),"4",""),
                      "5",""),"6",""),"7",""),"8",""),"9","")
     ),
     IF(SUM(--ISNUMBER(FIND({0,1,2,3,4,5,6,7,8,9}, _xlpm.txt)))=0,
        _xlpm.txt &amp; Data!BZ46,
        _xlpm.txt
     )
   ),
   ""
)</f>
        <v/>
      </c>
      <c r="L26" s="41" t="str" cm="1">
        <f t="array" ref="L26">IF(L4&lt;&gt;"",
   _xlfn.LET(
     _xlpm.txt,
     IF(OR(COUNTIF(L4,"L*"), COUNTIF(L4, "X*")),
        IF(AND(COUNTIF(L4,"*P*"), COUNTIF(L4,"*V*")),
           IF(COUNTIF(L4,"*R*"),
              SUBSTITUTE(SUBSTITUTE(L4,"P",""),"R","S"),
              SUBSTITUTE(L4,"P","")),
           IF(AND(COUNTIF(L4,"*P*"), COUNTIF(L4,"*R*")),
              SUBSTITUTE(L4,"R","S"),
              IF(AND(COUNTIF(L4,"*V*"), COUNTIF(L4,"*R*")),
                 SUBSTITUTE(L4,"R","S"),
                 L4))),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IF(AND(COUNTIF(L4,"*P*"), COUNTIF(L4,"*V*")),
                               IF(COUNTIF(L4,"*R*"),
                                  SUBSTITUTE(SUBSTITUTE(L4,"P",""),"R","S"),
                                  SUBSTITUTE(L4,"P","")),
                               IF(AND(COUNTIF(L4,"*P*"), COUNTIF(L4,"*R*")),
                                  SUBSTITUTE(L4,"R","S"),
                                  IF(AND(COUNTIF(L4,"*V*"), COUNTIF(L4,"*R*")),
                                     SUBSTITUTE(L4,"R","S"),
                                     L4))),
                          "0",""),"1",""),"2",""),"3",""),"4",""),
                      "5",""),"6",""),"7",""),"8",""),"9","")
     ),
     IF(SUM(--ISNUMBER(FIND({0,1,2,3,4,5,6,7,8,9}, _xlpm.txt)))=0,
        _xlpm.txt &amp; Data!CA46,
        _xlpm.txt
     )
   ),
   ""
)</f>
        <v>S2</v>
      </c>
      <c r="M26" s="41" t="str" cm="1">
        <f t="array" ref="M26">IF(M4&lt;&gt;"",
   _xlfn.LET(
     _xlpm.txt,
     IF(OR(COUNTIF(M4,"L*"), COUNTIF(M4, "X*")),
        IF(AND(COUNTIF(M4,"*P*"), COUNTIF(M4,"*V*")),
           IF(COUNTIF(M4,"*R*"),
              SUBSTITUTE(SUBSTITUTE(M4,"P",""),"R","S"),
              SUBSTITUTE(M4,"P","")),
           IF(AND(COUNTIF(M4,"*P*"), COUNTIF(M4,"*R*")),
              SUBSTITUTE(M4,"R","S"),
              IF(AND(COUNTIF(M4,"*V*"), COUNTIF(M4,"*R*")),
                 SUBSTITUTE(M4,"R","S"),
                 M4))),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IF(AND(COUNTIF(M4,"*P*"), COUNTIF(M4,"*V*")),
                               IF(COUNTIF(M4,"*R*"),
                                  SUBSTITUTE(SUBSTITUTE(M4,"P",""),"R","S"),
                                  SUBSTITUTE(M4,"P","")),
                               IF(AND(COUNTIF(M4,"*P*"), COUNTIF(M4,"*R*")),
                                  SUBSTITUTE(M4,"R","S"),
                                  IF(AND(COUNTIF(M4,"*V*"), COUNTIF(M4,"*R*")),
                                     SUBSTITUTE(M4,"R","S"),
                                     M4))),
                          "0",""),"1",""),"2",""),"3",""),"4",""),
                      "5",""),"6",""),"7",""),"8",""),"9","")
     ),
     IF(SUM(--ISNUMBER(FIND({0,1,2,3,4,5,6,7,8,9}, _xlpm.txt)))=0,
        _xlpm.txt &amp; Data!CB46,
        _xlpm.txt
     )
   ),
   ""
)</f>
        <v>X4</v>
      </c>
      <c r="N26" s="41" t="str" cm="1">
        <f t="array" ref="N26">IF(N4&lt;&gt;"",
   _xlfn.LET(
     _xlpm.txt,
     IF(OR(COUNTIF(N4,"L*"), COUNTIF(N4, "X*")),
        IF(AND(COUNTIF(N4,"*P*"), COUNTIF(N4,"*V*")),
           IF(COUNTIF(N4,"*R*"),
              SUBSTITUTE(SUBSTITUTE(N4,"P",""),"R","S"),
              SUBSTITUTE(N4,"P","")),
           IF(AND(COUNTIF(N4,"*P*"), COUNTIF(N4,"*R*")),
              SUBSTITUTE(N4,"R","S"),
              IF(AND(COUNTIF(N4,"*V*"), COUNTIF(N4,"*R*")),
                 SUBSTITUTE(N4,"R","S"),
                 N4))),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IF(AND(COUNTIF(N4,"*P*"), COUNTIF(N4,"*V*")),
                               IF(COUNTIF(N4,"*R*"),
                                  SUBSTITUTE(SUBSTITUTE(N4,"P",""),"R","S"),
                                  SUBSTITUTE(N4,"P","")),
                               IF(AND(COUNTIF(N4,"*P*"), COUNTIF(N4,"*R*")),
                                  SUBSTITUTE(N4,"R","S"),
                                  IF(AND(COUNTIF(N4,"*V*"), COUNTIF(N4,"*R*")),
                                     SUBSTITUTE(N4,"R","S"),
                                     N4))),
                          "0",""),"1",""),"2",""),"3",""),"4",""),
                      "5",""),"6",""),"7",""),"8",""),"9","")
     ),
     IF(SUM(--ISNUMBER(FIND({0,1,2,3,4,5,6,7,8,9}, _xlpm.txt)))=0,
        _xlpm.txt &amp; Data!CC46,
        _xlpm.txt
     )
   ),
   ""
)</f>
        <v>X4</v>
      </c>
      <c r="O26" s="41" t="str" cm="1">
        <f t="array" ref="O26">IF(O4&lt;&gt;"",
   _xlfn.LET(
     _xlpm.txt,
     IF(OR(COUNTIF(O4,"L*"), COUNTIF(O4, "X*")),
        IF(AND(COUNTIF(O4,"*P*"), COUNTIF(O4,"*V*")),
           IF(COUNTIF(O4,"*R*"),
              SUBSTITUTE(SUBSTITUTE(O4,"P",""),"R","S"),
              SUBSTITUTE(O4,"P","")),
           IF(AND(COUNTIF(O4,"*P*"), COUNTIF(O4,"*R*")),
              SUBSTITUTE(O4,"R","S"),
              IF(AND(COUNTIF(O4,"*V*"), COUNTIF(O4,"*R*")),
                 SUBSTITUTE(O4,"R","S"),
                 O4))),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IF(AND(COUNTIF(O4,"*P*"), COUNTIF(O4,"*V*")),
                               IF(COUNTIF(O4,"*R*"),
                                  SUBSTITUTE(SUBSTITUTE(O4,"P",""),"R","S"),
                                  SUBSTITUTE(O4,"P","")),
                               IF(AND(COUNTIF(O4,"*P*"), COUNTIF(O4,"*R*")),
                                  SUBSTITUTE(O4,"R","S"),
                                  IF(AND(COUNTIF(O4,"*V*"), COUNTIF(O4,"*R*")),
                                     SUBSTITUTE(O4,"R","S"),
                                     O4))),
                          "0",""),"1",""),"2",""),"3",""),"4",""),
                      "5",""),"6",""),"7",""),"8",""),"9","")
     ),
     IF(SUM(--ISNUMBER(FIND({0,1,2,3,4,5,6,7,8,9}, _xlpm.txt)))=0,
        _xlpm.txt &amp; Data!CD46,
        _xlpm.txt
     )
   ),
   ""
)</f>
        <v>R2</v>
      </c>
      <c r="P26" s="41" t="str" cm="1">
        <f t="array" ref="P26">IF(P4&lt;&gt;"",
   _xlfn.LET(
     _xlpm.txt,
     IF(OR(COUNTIF(P4,"L*"), COUNTIF(P4, "X*")),
        IF(AND(COUNTIF(P4,"*P*"), COUNTIF(P4,"*V*")),
           IF(COUNTIF(P4,"*R*"),
              SUBSTITUTE(SUBSTITUTE(P4,"P",""),"R","S"),
              SUBSTITUTE(P4,"P","")),
           IF(AND(COUNTIF(P4,"*P*"), COUNTIF(P4,"*R*")),
              SUBSTITUTE(P4,"R","S"),
              IF(AND(COUNTIF(P4,"*V*"), COUNTIF(P4,"*R*")),
                 SUBSTITUTE(P4,"R","S"),
                 P4))),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IF(AND(COUNTIF(P4,"*P*"), COUNTIF(P4,"*V*")),
                               IF(COUNTIF(P4,"*R*"),
                                  SUBSTITUTE(SUBSTITUTE(P4,"P",""),"R","S"),
                                  SUBSTITUTE(P4,"P","")),
                               IF(AND(COUNTIF(P4,"*P*"), COUNTIF(P4,"*R*")),
                                  SUBSTITUTE(P4,"R","S"),
                                  IF(AND(COUNTIF(P4,"*V*"), COUNTIF(P4,"*R*")),
                                     SUBSTITUTE(P4,"R","S"),
                                     P4))),
                          "0",""),"1",""),"2",""),"3",""),"4",""),
                      "5",""),"6",""),"7",""),"8",""),"9","")
     ),
     IF(SUM(--ISNUMBER(FIND({0,1,2,3,4,5,6,7,8,9}, _xlpm.txt)))=0,
        _xlpm.txt &amp; Data!CE46,
        _xlpm.txt
     )
   ),
   ""
)</f>
        <v/>
      </c>
      <c r="Q26" s="41" t="str" cm="1">
        <f t="array" ref="Q26">IF(Q4&lt;&gt;"",
   _xlfn.LET(
     _xlpm.txt,
     IF(OR(COUNTIF(Q4,"L*"), COUNTIF(Q4, "X*")),
        IF(AND(COUNTIF(Q4,"*P*"), COUNTIF(Q4,"*V*")),
           IF(COUNTIF(Q4,"*R*"),
              SUBSTITUTE(SUBSTITUTE(Q4,"P",""),"R","S"),
              SUBSTITUTE(Q4,"P","")),
           IF(AND(COUNTIF(Q4,"*P*"), COUNTIF(Q4,"*R*")),
              SUBSTITUTE(Q4,"R","S"),
              IF(AND(COUNTIF(Q4,"*V*"), COUNTIF(Q4,"*R*")),
                 SUBSTITUTE(Q4,"R","S"),
                 Q4))),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IF(AND(COUNTIF(Q4,"*P*"), COUNTIF(Q4,"*V*")),
                               IF(COUNTIF(Q4,"*R*"),
                                  SUBSTITUTE(SUBSTITUTE(Q4,"P",""),"R","S"),
                                  SUBSTITUTE(Q4,"P","")),
                               IF(AND(COUNTIF(Q4,"*P*"), COUNTIF(Q4,"*R*")),
                                  SUBSTITUTE(Q4,"R","S"),
                                  IF(AND(COUNTIF(Q4,"*V*"), COUNTIF(Q4,"*R*")),
                                     SUBSTITUTE(Q4,"R","S"),
                                     Q4))),
                          "0",""),"1",""),"2",""),"3",""),"4",""),
                      "5",""),"6",""),"7",""),"8",""),"9","")
     ),
     IF(SUM(--ISNUMBER(FIND({0,1,2,3,4,5,6,7,8,9}, _xlpm.txt)))=0,
        _xlpm.txt &amp; Data!CF46,
        _xlpm.txt
     )
   ),
   ""
)</f>
        <v/>
      </c>
      <c r="R26" s="41" t="str" cm="1">
        <f t="array" ref="R26">IF(R4&lt;&gt;"",
   _xlfn.LET(
     _xlpm.txt,
     IF(OR(COUNTIF(R4,"L*"), COUNTIF(R4, "X*")),
        IF(AND(COUNTIF(R4,"*P*"), COUNTIF(R4,"*V*")),
           IF(COUNTIF(R4,"*R*"),
              SUBSTITUTE(SUBSTITUTE(R4,"P",""),"R","S"),
              SUBSTITUTE(R4,"P","")),
           IF(AND(COUNTIF(R4,"*P*"), COUNTIF(R4,"*R*")),
              SUBSTITUTE(R4,"R","S"),
              IF(AND(COUNTIF(R4,"*V*"), COUNTIF(R4,"*R*")),
                 SUBSTITUTE(R4,"R","S"),
                 R4))),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IF(AND(COUNTIF(R4,"*P*"), COUNTIF(R4,"*V*")),
                               IF(COUNTIF(R4,"*R*"),
                                  SUBSTITUTE(SUBSTITUTE(R4,"P",""),"R","S"),
                                  SUBSTITUTE(R4,"P","")),
                               IF(AND(COUNTIF(R4,"*P*"), COUNTIF(R4,"*R*")),
                                  SUBSTITUTE(R4,"R","S"),
                                  IF(AND(COUNTIF(R4,"*V*"), COUNTIF(R4,"*R*")),
                                     SUBSTITUTE(R4,"R","S"),
                                     R4))),
                          "0",""),"1",""),"2",""),"3",""),"4",""),
                      "5",""),"6",""),"7",""),"8",""),"9","")
     ),
     IF(SUM(--ISNUMBER(FIND({0,1,2,3,4,5,6,7,8,9}, _xlpm.txt)))=0,
        _xlpm.txt &amp; Data!CG46,
        _xlpm.txt
     )
   ),
   ""
)</f>
        <v/>
      </c>
      <c r="S26" s="41" t="str" cm="1">
        <f t="array" ref="S26">IF(S4&lt;&gt;"",
   _xlfn.LET(
     _xlpm.txt,
     IF(OR(COUNTIF(S4,"L*"), COUNTIF(S4, "X*")),
        IF(AND(COUNTIF(S4,"*P*"), COUNTIF(S4,"*V*")),
           IF(COUNTIF(S4,"*R*"),
              SUBSTITUTE(SUBSTITUTE(S4,"P",""),"R","S"),
              SUBSTITUTE(S4,"P","")),
           IF(AND(COUNTIF(S4,"*P*"), COUNTIF(S4,"*R*")),
              SUBSTITUTE(S4,"R","S"),
              IF(AND(COUNTIF(S4,"*V*"), COUNTIF(S4,"*R*")),
                 SUBSTITUTE(S4,"R","S"),
                 S4))),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IF(AND(COUNTIF(S4,"*P*"), COUNTIF(S4,"*V*")),
                               IF(COUNTIF(S4,"*R*"),
                                  SUBSTITUTE(SUBSTITUTE(S4,"P",""),"R","S"),
                                  SUBSTITUTE(S4,"P","")),
                               IF(AND(COUNTIF(S4,"*P*"), COUNTIF(S4,"*R*")),
                                  SUBSTITUTE(S4,"R","S"),
                                  IF(AND(COUNTIF(S4,"*V*"), COUNTIF(S4,"*R*")),
                                     SUBSTITUTE(S4,"R","S"),
                                     S4))),
                          "0",""),"1",""),"2",""),"3",""),"4",""),
                      "5",""),"6",""),"7",""),"8",""),"9","")
     ),
     IF(SUM(--ISNUMBER(FIND({0,1,2,3,4,5,6,7,8,9}, _xlpm.txt)))=0,
        _xlpm.txt &amp; Data!CH46,
        _xlpm.txt
     )
   ),
   ""
)</f>
        <v/>
      </c>
      <c r="T26" s="41" t="str" cm="1">
        <f t="array" ref="T26">IF(T4&lt;&gt;"",
   _xlfn.LET(
     _xlpm.txt,
     IF(OR(COUNTIF(T4,"L*"), COUNTIF(T4, "X*")),
        IF(AND(COUNTIF(T4,"*P*"), COUNTIF(T4,"*V*")),
           IF(COUNTIF(T4,"*R*"),
              SUBSTITUTE(SUBSTITUTE(T4,"P",""),"R","S"),
              SUBSTITUTE(T4,"P","")),
           IF(AND(COUNTIF(T4,"*P*"), COUNTIF(T4,"*R*")),
              SUBSTITUTE(T4,"R","S"),
              IF(AND(COUNTIF(T4,"*V*"), COUNTIF(T4,"*R*")),
                 SUBSTITUTE(T4,"R","S"),
                 T4))),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IF(AND(COUNTIF(T4,"*P*"), COUNTIF(T4,"*V*")),
                               IF(COUNTIF(T4,"*R*"),
                                  SUBSTITUTE(SUBSTITUTE(T4,"P",""),"R","S"),
                                  SUBSTITUTE(T4,"P","")),
                               IF(AND(COUNTIF(T4,"*P*"), COUNTIF(T4,"*R*")),
                                  SUBSTITUTE(T4,"R","S"),
                                  IF(AND(COUNTIF(T4,"*V*"), COUNTIF(T4,"*R*")),
                                     SUBSTITUTE(T4,"R","S"),
                                     T4))),
                          "0",""),"1",""),"2",""),"3",""),"4",""),
                      "5",""),"6",""),"7",""),"8",""),"9","")
     ),
     IF(SUM(--ISNUMBER(FIND({0,1,2,3,4,5,6,7,8,9}, _xlpm.txt)))=0,
        _xlpm.txt &amp; Data!CI46,
        _xlpm.txt
     )
   ),
   ""
)</f>
        <v/>
      </c>
      <c r="U26" s="41" t="str" cm="1">
        <f t="array" ref="U26">IF(U4&lt;&gt;"",
   _xlfn.LET(
     _xlpm.txt,
     IF(OR(COUNTIF(U4,"L*"), COUNTIF(U4, "X*")),
        IF(AND(COUNTIF(U4,"*P*"), COUNTIF(U4,"*V*")),
           IF(COUNTIF(U4,"*R*"),
              SUBSTITUTE(SUBSTITUTE(U4,"P",""),"R","S"),
              SUBSTITUTE(U4,"P","")),
           IF(AND(COUNTIF(U4,"*P*"), COUNTIF(U4,"*R*")),
              SUBSTITUTE(U4,"R","S"),
              IF(AND(COUNTIF(U4,"*V*"), COUNTIF(U4,"*R*")),
                 SUBSTITUTE(U4,"R","S"),
                 U4))),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IF(AND(COUNTIF(U4,"*P*"), COUNTIF(U4,"*V*")),
                               IF(COUNTIF(U4,"*R*"),
                                  SUBSTITUTE(SUBSTITUTE(U4,"P",""),"R","S"),
                                  SUBSTITUTE(U4,"P","")),
                               IF(AND(COUNTIF(U4,"*P*"), COUNTIF(U4,"*R*")),
                                  SUBSTITUTE(U4,"R","S"),
                                  IF(AND(COUNTIF(U4,"*V*"), COUNTIF(U4,"*R*")),
                                     SUBSTITUTE(U4,"R","S"),
                                     U4))),
                          "0",""),"1",""),"2",""),"3",""),"4",""),
                      "5",""),"6",""),"7",""),"8",""),"9","")
     ),
     IF(SUM(--ISNUMBER(FIND({0,1,2,3,4,5,6,7,8,9}, _xlpm.txt)))=0,
        _xlpm.txt &amp; Data!CJ46,
        _xlpm.txt
     )
   ),
   ""
)</f>
        <v/>
      </c>
      <c r="V26" s="41" t="str" cm="1">
        <f t="array" ref="V26">IF(V4&lt;&gt;"",
   _xlfn.LET(
     _xlpm.txt,
     IF(OR(COUNTIF(V4,"L*"), COUNTIF(V4, "X*")),
        IF(AND(COUNTIF(V4,"*P*"), COUNTIF(V4,"*V*")),
           IF(COUNTIF(V4,"*R*"),
              SUBSTITUTE(SUBSTITUTE(V4,"P",""),"R","S"),
              SUBSTITUTE(V4,"P","")),
           IF(AND(COUNTIF(V4,"*P*"), COUNTIF(V4,"*R*")),
              SUBSTITUTE(V4,"R","S"),
              IF(AND(COUNTIF(V4,"*V*"), COUNTIF(V4,"*R*")),
                 SUBSTITUTE(V4,"R","S"),
                 V4))),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IF(AND(COUNTIF(V4,"*P*"), COUNTIF(V4,"*V*")),
                               IF(COUNTIF(V4,"*R*"),
                                  SUBSTITUTE(SUBSTITUTE(V4,"P",""),"R","S"),
                                  SUBSTITUTE(V4,"P","")),
                               IF(AND(COUNTIF(V4,"*P*"), COUNTIF(V4,"*R*")),
                                  SUBSTITUTE(V4,"R","S"),
                                  IF(AND(COUNTIF(V4,"*V*"), COUNTIF(V4,"*R*")),
                                     SUBSTITUTE(V4,"R","S"),
                                     V4))),
                          "0",""),"1",""),"2",""),"3",""),"4",""),
                      "5",""),"6",""),"7",""),"8",""),"9","")
     ),
     IF(SUM(--ISNUMBER(FIND({0,1,2,3,4,5,6,7,8,9}, _xlpm.txt)))=0,
        _xlpm.txt &amp; Data!CK46,
        _xlpm.txt
     )
   ),
   ""
)</f>
        <v/>
      </c>
      <c r="W26" s="41" t="str" cm="1">
        <f t="array" ref="W26">IF(W4&lt;&gt;"",
   _xlfn.LET(
     _xlpm.txt,
     IF(OR(COUNTIF(W4,"L*"), COUNTIF(W4, "X*")),
        IF(AND(COUNTIF(W4,"*P*"), COUNTIF(W4,"*V*")),
           IF(COUNTIF(W4,"*R*"),
              SUBSTITUTE(SUBSTITUTE(W4,"P",""),"R","S"),
              SUBSTITUTE(W4,"P","")),
           IF(AND(COUNTIF(W4,"*P*"), COUNTIF(W4,"*R*")),
              SUBSTITUTE(W4,"R","S"),
              IF(AND(COUNTIF(W4,"*V*"), COUNTIF(W4,"*R*")),
                 SUBSTITUTE(W4,"R","S"),
                 W4))),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IF(AND(COUNTIF(W4,"*P*"), COUNTIF(W4,"*V*")),
                               IF(COUNTIF(W4,"*R*"),
                                  SUBSTITUTE(SUBSTITUTE(W4,"P",""),"R","S"),
                                  SUBSTITUTE(W4,"P","")),
                               IF(AND(COUNTIF(W4,"*P*"), COUNTIF(W4,"*R*")),
                                  SUBSTITUTE(W4,"R","S"),
                                  IF(AND(COUNTIF(W4,"*V*"), COUNTIF(W4,"*R*")),
                                     SUBSTITUTE(W4,"R","S"),
                                     W4))),
                          "0",""),"1",""),"2",""),"3",""),"4",""),
                      "5",""),"6",""),"7",""),"8",""),"9","")
     ),
     IF(SUM(--ISNUMBER(FIND({0,1,2,3,4,5,6,7,8,9}, _xlpm.txt)))=0,
        _xlpm.txt &amp; Data!CL46,
        _xlpm.txt
     )
   ),
   ""
)</f>
        <v/>
      </c>
      <c r="X26" s="41" t="str" cm="1">
        <f t="array" ref="X26">IF(X4&lt;&gt;"",
   _xlfn.LET(
     _xlpm.txt,
     IF(OR(COUNTIF(X4,"L*"), COUNTIF(X4, "X*")),
        IF(AND(COUNTIF(X4,"*P*"), COUNTIF(X4,"*V*")),
           IF(COUNTIF(X4,"*R*"),
              SUBSTITUTE(SUBSTITUTE(X4,"P",""),"R","S"),
              SUBSTITUTE(X4,"P","")),
           IF(AND(COUNTIF(X4,"*P*"), COUNTIF(X4,"*R*")),
              SUBSTITUTE(X4,"R","S"),
              IF(AND(COUNTIF(X4,"*V*"), COUNTIF(X4,"*R*")),
                 SUBSTITUTE(X4,"R","S"),
                 X4))),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IF(AND(COUNTIF(X4,"*P*"), COUNTIF(X4,"*V*")),
                               IF(COUNTIF(X4,"*R*"),
                                  SUBSTITUTE(SUBSTITUTE(X4,"P",""),"R","S"),
                                  SUBSTITUTE(X4,"P","")),
                               IF(AND(COUNTIF(X4,"*P*"), COUNTIF(X4,"*R*")),
                                  SUBSTITUTE(X4,"R","S"),
                                  IF(AND(COUNTIF(X4,"*V*"), COUNTIF(X4,"*R*")),
                                     SUBSTITUTE(X4,"R","S"),
                                     X4))),
                          "0",""),"1",""),"2",""),"3",""),"4",""),
                      "5",""),"6",""),"7",""),"8",""),"9","")
     ),
     IF(SUM(--ISNUMBER(FIND({0,1,2,3,4,5,6,7,8,9}, _xlpm.txt)))=0,
        _xlpm.txt &amp; Data!CM46,
        _xlpm.txt
     )
   ),
   ""
)</f>
        <v/>
      </c>
      <c r="Y26" s="41" t="str" cm="1">
        <f t="array" ref="Y26">IF(Y4&lt;&gt;"",
   _xlfn.LET(
     _xlpm.txt,
     IF(OR(COUNTIF(Y4,"L*"), COUNTIF(Y4, "X*")),
        IF(AND(COUNTIF(Y4,"*P*"), COUNTIF(Y4,"*V*")),
           IF(COUNTIF(Y4,"*R*"),
              SUBSTITUTE(SUBSTITUTE(Y4,"P",""),"R","S"),
              SUBSTITUTE(Y4,"P","")),
           IF(AND(COUNTIF(Y4,"*P*"), COUNTIF(Y4,"*R*")),
              SUBSTITUTE(Y4,"R","S"),
              IF(AND(COUNTIF(Y4,"*V*"), COUNTIF(Y4,"*R*")),
                 SUBSTITUTE(Y4,"R","S"),
                 Y4))),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IF(AND(COUNTIF(Y4,"*P*"), COUNTIF(Y4,"*V*")),
                               IF(COUNTIF(Y4,"*R*"),
                                  SUBSTITUTE(SUBSTITUTE(Y4,"P",""),"R","S"),
                                  SUBSTITUTE(Y4,"P","")),
                               IF(AND(COUNTIF(Y4,"*P*"), COUNTIF(Y4,"*R*")),
                                  SUBSTITUTE(Y4,"R","S"),
                                  IF(AND(COUNTIF(Y4,"*V*"), COUNTIF(Y4,"*R*")),
                                     SUBSTITUTE(Y4,"R","S"),
                                     Y4))),
                          "0",""),"1",""),"2",""),"3",""),"4",""),
                      "5",""),"6",""),"7",""),"8",""),"9","")
     ),
     IF(SUM(--ISNUMBER(FIND({0,1,2,3,4,5,6,7,8,9}, _xlpm.txt)))=0,
        _xlpm.txt &amp; Data!CN46,
        _xlpm.txt
     )
   ),
   ""
)</f>
        <v/>
      </c>
      <c r="Z26" s="41" t="str" cm="1">
        <f t="array" ref="Z26">IF(Z4&lt;&gt;"",
   _xlfn.LET(
     _xlpm.txt,
     IF(OR(COUNTIF(Z4,"L*"), COUNTIF(Z4, "X*")),
        IF(AND(COUNTIF(Z4,"*P*"), COUNTIF(Z4,"*V*")),
           IF(COUNTIF(Z4,"*R*"),
              SUBSTITUTE(SUBSTITUTE(Z4,"P",""),"R","S"),
              SUBSTITUTE(Z4,"P","")),
           IF(AND(COUNTIF(Z4,"*P*"), COUNTIF(Z4,"*R*")),
              SUBSTITUTE(Z4,"R","S"),
              IF(AND(COUNTIF(Z4,"*V*"), COUNTIF(Z4,"*R*")),
                 SUBSTITUTE(Z4,"R","S"),
                 Z4))),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IF(AND(COUNTIF(Z4,"*P*"), COUNTIF(Z4,"*V*")),
                               IF(COUNTIF(Z4,"*R*"),
                                  SUBSTITUTE(SUBSTITUTE(Z4,"P",""),"R","S"),
                                  SUBSTITUTE(Z4,"P","")),
                               IF(AND(COUNTIF(Z4,"*P*"), COUNTIF(Z4,"*R*")),
                                  SUBSTITUTE(Z4,"R","S"),
                                  IF(AND(COUNTIF(Z4,"*V*"), COUNTIF(Z4,"*R*")),
                                     SUBSTITUTE(Z4,"R","S"),
                                     Z4))),
                          "0",""),"1",""),"2",""),"3",""),"4",""),
                      "5",""),"6",""),"7",""),"8",""),"9","")
     ),
     IF(SUM(--ISNUMBER(FIND({0,1,2,3,4,5,6,7,8,9}, _xlpm.txt)))=0,
        _xlpm.txt &amp; Data!CO46,
        _xlpm.txt
     )
   ),
   ""
)</f>
        <v/>
      </c>
      <c r="AA26" s="41" t="str" cm="1">
        <f t="array" ref="AA26">IF(AA4&lt;&gt;"",
   _xlfn.LET(
     _xlpm.txt,
     IF(OR(COUNTIF(AA4,"L*"), COUNTIF(AA4, "X*")),
        IF(AND(COUNTIF(AA4,"*P*"), COUNTIF(AA4,"*V*")),
           IF(COUNTIF(AA4,"*R*"),
              SUBSTITUTE(SUBSTITUTE(AA4,"P",""),"R","S"),
              SUBSTITUTE(AA4,"P","")),
           IF(AND(COUNTIF(AA4,"*P*"), COUNTIF(AA4,"*R*")),
              SUBSTITUTE(AA4,"R","S"),
              IF(AND(COUNTIF(AA4,"*V*"), COUNTIF(AA4,"*R*")),
                 SUBSTITUTE(AA4,"R","S"),
                 AA4))),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IF(AND(COUNTIF(AA4,"*P*"), COUNTIF(AA4,"*V*")),
                               IF(COUNTIF(AA4,"*R*"),
                                  SUBSTITUTE(SUBSTITUTE(AA4,"P",""),"R","S"),
                                  SUBSTITUTE(AA4,"P","")),
                               IF(AND(COUNTIF(AA4,"*P*"), COUNTIF(AA4,"*R*")),
                                  SUBSTITUTE(AA4,"R","S"),
                                  IF(AND(COUNTIF(AA4,"*V*"), COUNTIF(AA4,"*R*")),
                                     SUBSTITUTE(AA4,"R","S"),
                                     AA4))),
                          "0",""),"1",""),"2",""),"3",""),"4",""),
                      "5",""),"6",""),"7",""),"8",""),"9","")
     ),
     IF(SUM(--ISNUMBER(FIND({0,1,2,3,4,5,6,7,8,9}, _xlpm.txt)))=0,
        _xlpm.txt &amp; Data!CP46,
        _xlpm.txt
     )
   ),
   ""
)</f>
        <v/>
      </c>
      <c r="AB26" s="41" t="str" cm="1">
        <f t="array" ref="AB26">IF(AB4&lt;&gt;"",
   _xlfn.LET(
     _xlpm.txt,
     IF(OR(COUNTIF(AB4,"L*"), COUNTIF(AB4, "X*")),
        IF(AND(COUNTIF(AB4,"*P*"), COUNTIF(AB4,"*V*")),
           IF(COUNTIF(AB4,"*R*"),
              SUBSTITUTE(SUBSTITUTE(AB4,"P",""),"R","S"),
              SUBSTITUTE(AB4,"P","")),
           IF(AND(COUNTIF(AB4,"*P*"), COUNTIF(AB4,"*R*")),
              SUBSTITUTE(AB4,"R","S"),
              IF(AND(COUNTIF(AB4,"*V*"), COUNTIF(AB4,"*R*")),
                 SUBSTITUTE(AB4,"R","S"),
                 AB4))),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IF(AND(COUNTIF(AB4,"*P*"), COUNTIF(AB4,"*V*")),
                               IF(COUNTIF(AB4,"*R*"),
                                  SUBSTITUTE(SUBSTITUTE(AB4,"P",""),"R","S"),
                                  SUBSTITUTE(AB4,"P","")),
                               IF(AND(COUNTIF(AB4,"*P*"), COUNTIF(AB4,"*R*")),
                                  SUBSTITUTE(AB4,"R","S"),
                                  IF(AND(COUNTIF(AB4,"*V*"), COUNTIF(AB4,"*R*")),
                                     SUBSTITUTE(AB4,"R","S"),
                                     AB4))),
                          "0",""),"1",""),"2",""),"3",""),"4",""),
                      "5",""),"6",""),"7",""),"8",""),"9","")
     ),
     IF(SUM(--ISNUMBER(FIND({0,1,2,3,4,5,6,7,8,9}, _xlpm.txt)))=0,
        _xlpm.txt &amp; Data!CQ46,
        _xlpm.txt
     )
   ),
   ""
)</f>
        <v/>
      </c>
      <c r="AC26" s="41" t="str" cm="1">
        <f t="array" ref="AC26">IF(AC4&lt;&gt;"",
   _xlfn.LET(
     _xlpm.txt,
     IF(OR(COUNTIF(AC4,"L*"), COUNTIF(AC4, "X*")),
        IF(AND(COUNTIF(AC4,"*P*"), COUNTIF(AC4,"*V*")),
           IF(COUNTIF(AC4,"*R*"),
              SUBSTITUTE(SUBSTITUTE(AC4,"P",""),"R","S"),
              SUBSTITUTE(AC4,"P","")),
           IF(AND(COUNTIF(AC4,"*P*"), COUNTIF(AC4,"*R*")),
              SUBSTITUTE(AC4,"R","S"),
              IF(AND(COUNTIF(AC4,"*V*"), COUNTIF(AC4,"*R*")),
                 SUBSTITUTE(AC4,"R","S"),
                 AC4))),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IF(AND(COUNTIF(AC4,"*P*"), COUNTIF(AC4,"*V*")),
                               IF(COUNTIF(AC4,"*R*"),
                                  SUBSTITUTE(SUBSTITUTE(AC4,"P",""),"R","S"),
                                  SUBSTITUTE(AC4,"P","")),
                               IF(AND(COUNTIF(AC4,"*P*"), COUNTIF(AC4,"*R*")),
                                  SUBSTITUTE(AC4,"R","S"),
                                  IF(AND(COUNTIF(AC4,"*V*"), COUNTIF(AC4,"*R*")),
                                     SUBSTITUTE(AC4,"R","S"),
                                     AC4))),
                          "0",""),"1",""),"2",""),"3",""),"4",""),
                      "5",""),"6",""),"7",""),"8",""),"9","")
     ),
     IF(SUM(--ISNUMBER(FIND({0,1,2,3,4,5,6,7,8,9}, _xlpm.txt)))=0,
        _xlpm.txt &amp; Data!CR46,
        _xlpm.txt
     )
   ),
   ""
)</f>
        <v/>
      </c>
      <c r="AD26" s="41" t="str" cm="1">
        <f t="array" ref="AD26">IF(AD4&lt;&gt;"",
   _xlfn.LET(
     _xlpm.txt,
     IF(OR(COUNTIF(AD4,"L*"), COUNTIF(AD4, "X*")),
        IF(AND(COUNTIF(AD4,"*P*"), COUNTIF(AD4,"*V*")),
           IF(COUNTIF(AD4,"*R*"),
              SUBSTITUTE(SUBSTITUTE(AD4,"P",""),"R","S"),
              SUBSTITUTE(AD4,"P","")),
           IF(AND(COUNTIF(AD4,"*P*"), COUNTIF(AD4,"*R*")),
              SUBSTITUTE(AD4,"R","S"),
              IF(AND(COUNTIF(AD4,"*V*"), COUNTIF(AD4,"*R*")),
                 SUBSTITUTE(AD4,"R","S"),
                 AD4))),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IF(AND(COUNTIF(AD4,"*P*"), COUNTIF(AD4,"*V*")),
                               IF(COUNTIF(AD4,"*R*"),
                                  SUBSTITUTE(SUBSTITUTE(AD4,"P",""),"R","S"),
                                  SUBSTITUTE(AD4,"P","")),
                               IF(AND(COUNTIF(AD4,"*P*"), COUNTIF(AD4,"*R*")),
                                  SUBSTITUTE(AD4,"R","S"),
                                  IF(AND(COUNTIF(AD4,"*V*"), COUNTIF(AD4,"*R*")),
                                     SUBSTITUTE(AD4,"R","S"),
                                     AD4))),
                          "0",""),"1",""),"2",""),"3",""),"4",""),
                      "5",""),"6",""),"7",""),"8",""),"9","")
     ),
     IF(SUM(--ISNUMBER(FIND({0,1,2,3,4,5,6,7,8,9}, _xlpm.txt)))=0,
        _xlpm.txt &amp; Data!CS46,
        _xlpm.txt
     )
   ),
   ""
)</f>
        <v/>
      </c>
      <c r="AE26" s="41" t="str" cm="1">
        <f t="array" ref="AE26">IF(AE4&lt;&gt;"",
   _xlfn.LET(
     _xlpm.txt,
     IF(OR(COUNTIF(AE4,"L*"), COUNTIF(AE4, "X*")),
        IF(AND(COUNTIF(AE4,"*P*"), COUNTIF(AE4,"*V*")),
           IF(COUNTIF(AE4,"*R*"),
              SUBSTITUTE(SUBSTITUTE(AE4,"P",""),"R","S"),
              SUBSTITUTE(AE4,"P","")),
           IF(AND(COUNTIF(AE4,"*P*"), COUNTIF(AE4,"*R*")),
              SUBSTITUTE(AE4,"R","S"),
              IF(AND(COUNTIF(AE4,"*V*"), COUNTIF(AE4,"*R*")),
                 SUBSTITUTE(AE4,"R","S"),
                 AE4))),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IF(AND(COUNTIF(AE4,"*P*"), COUNTIF(AE4,"*V*")),
                               IF(COUNTIF(AE4,"*R*"),
                                  SUBSTITUTE(SUBSTITUTE(AE4,"P",""),"R","S"),
                                  SUBSTITUTE(AE4,"P","")),
                               IF(AND(COUNTIF(AE4,"*P*"), COUNTIF(AE4,"*R*")),
                                  SUBSTITUTE(AE4,"R","S"),
                                  IF(AND(COUNTIF(AE4,"*V*"), COUNTIF(AE4,"*R*")),
                                     SUBSTITUTE(AE4,"R","S"),
                                     AE4))),
                          "0",""),"1",""),"2",""),"3",""),"4",""),
                      "5",""),"6",""),"7",""),"8",""),"9","")
     ),
     IF(SUM(--ISNUMBER(FIND({0,1,2,3,4,5,6,7,8,9}, _xlpm.txt)))=0,
        _xlpm.txt &amp; Data!CT46,
        _xlpm.txt
     )
   ),
   ""
)</f>
        <v/>
      </c>
      <c r="AF26" s="41" t="str" cm="1">
        <f t="array" ref="AF26">IF(AF4&lt;&gt;"",
   _xlfn.LET(
     _xlpm.txt,
     IF(OR(COUNTIF(AF4,"L*"), COUNTIF(AF4, "X*")),
        IF(AND(COUNTIF(AF4,"*P*"), COUNTIF(AF4,"*V*")),
           IF(COUNTIF(AF4,"*R*"),
              SUBSTITUTE(SUBSTITUTE(AF4,"P",""),"R","S"),
              SUBSTITUTE(AF4,"P","")),
           IF(AND(COUNTIF(AF4,"*P*"), COUNTIF(AF4,"*R*")),
              SUBSTITUTE(AF4,"R","S"),
              IF(AND(COUNTIF(AF4,"*V*"), COUNTIF(AF4,"*R*")),
                 SUBSTITUTE(AF4,"R","S"),
                 AF4))),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IF(AND(COUNTIF(AF4,"*P*"), COUNTIF(AF4,"*V*")),
                               IF(COUNTIF(AF4,"*R*"),
                                  SUBSTITUTE(SUBSTITUTE(AF4,"P",""),"R","S"),
                                  SUBSTITUTE(AF4,"P","")),
                               IF(AND(COUNTIF(AF4,"*P*"), COUNTIF(AF4,"*R*")),
                                  SUBSTITUTE(AF4,"R","S"),
                                  IF(AND(COUNTIF(AF4,"*V*"), COUNTIF(AF4,"*R*")),
                                     SUBSTITUTE(AF4,"R","S"),
                                     AF4))),
                          "0",""),"1",""),"2",""),"3",""),"4",""),
                      "5",""),"6",""),"7",""),"8",""),"9","")
     ),
     IF(SUM(--ISNUMBER(FIND({0,1,2,3,4,5,6,7,8,9}, _xlpm.txt)))=0,
        _xlpm.txt &amp; Data!CU46,
        _xlpm.txt
     )
   ),
   ""
)</f>
        <v/>
      </c>
      <c r="AG26" s="41" t="str" cm="1">
        <f t="array" ref="AG26">IF(AG4&lt;&gt;"",
   _xlfn.LET(
     _xlpm.txt,
     IF(OR(COUNTIF(AG4,"L*"), COUNTIF(AG4, "X*")),
        IF(AND(COUNTIF(AG4,"*P*"), COUNTIF(AG4,"*V*")),
           IF(COUNTIF(AG4,"*R*"),
              SUBSTITUTE(SUBSTITUTE(AG4,"P",""),"R","S"),
              SUBSTITUTE(AG4,"P","")),
           IF(AND(COUNTIF(AG4,"*P*"), COUNTIF(AG4,"*R*")),
              SUBSTITUTE(AG4,"R","S"),
              IF(AND(COUNTIF(AG4,"*V*"), COUNTIF(AG4,"*R*")),
                 SUBSTITUTE(AG4,"R","S"),
                 AG4))),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IF(AND(COUNTIF(AG4,"*P*"), COUNTIF(AG4,"*V*")),
                               IF(COUNTIF(AG4,"*R*"),
                                  SUBSTITUTE(SUBSTITUTE(AG4,"P",""),"R","S"),
                                  SUBSTITUTE(AG4,"P","")),
                               IF(AND(COUNTIF(AG4,"*P*"), COUNTIF(AG4,"*R*")),
                                  SUBSTITUTE(AG4,"R","S"),
                                  IF(AND(COUNTIF(AG4,"*V*"), COUNTIF(AG4,"*R*")),
                                     SUBSTITUTE(AG4,"R","S"),
                                     AG4))),
                          "0",""),"1",""),"2",""),"3",""),"4",""),
                      "5",""),"6",""),"7",""),"8",""),"9","")
     ),
     IF(SUM(--ISNUMBER(FIND({0,1,2,3,4,5,6,7,8,9}, _xlpm.txt)))=0,
        _xlpm.txt &amp; Data!CV46,
        _xlpm.txt
     )
   ),
   ""
)</f>
        <v/>
      </c>
      <c r="AH26" s="41" t="str" cm="1">
        <f t="array" ref="AH26">IF(AH4&lt;&gt;"",
   _xlfn.LET(
     _xlpm.txt,
     IF(OR(COUNTIF(AH4,"L*"), COUNTIF(AH4, "X*")),
        IF(AND(COUNTIF(AH4,"*P*"), COUNTIF(AH4,"*V*")),
           IF(COUNTIF(AH4,"*R*"),
              SUBSTITUTE(SUBSTITUTE(AH4,"P",""),"R","S"),
              SUBSTITUTE(AH4,"P","")),
           IF(AND(COUNTIF(AH4,"*P*"), COUNTIF(AH4,"*R*")),
              SUBSTITUTE(AH4,"R","S"),
              IF(AND(COUNTIF(AH4,"*V*"), COUNTIF(AH4,"*R*")),
                 SUBSTITUTE(AH4,"R","S"),
                 AH4))),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IF(AND(COUNTIF(AH4,"*P*"), COUNTIF(AH4,"*V*")),
                               IF(COUNTIF(AH4,"*R*"),
                                  SUBSTITUTE(SUBSTITUTE(AH4,"P",""),"R","S"),
                                  SUBSTITUTE(AH4,"P","")),
                               IF(AND(COUNTIF(AH4,"*P*"), COUNTIF(AH4,"*R*")),
                                  SUBSTITUTE(AH4,"R","S"),
                                  IF(AND(COUNTIF(AH4,"*V*"), COUNTIF(AH4,"*R*")),
                                     SUBSTITUTE(AH4,"R","S"),
                                     AH4))),
                          "0",""),"1",""),"2",""),"3",""),"4",""),
                      "5",""),"6",""),"7",""),"8",""),"9","")
     ),
     IF(SUM(--ISNUMBER(FIND({0,1,2,3,4,5,6,7,8,9}, _xlpm.txt)))=0,
        _xlpm.txt &amp; Data!CW46,
        _xlpm.txt
     )
   ),
   ""
)</f>
        <v/>
      </c>
      <c r="AI26" s="41" t="str" cm="1">
        <f t="array" ref="AI26">IF(AI4&lt;&gt;"",
   _xlfn.LET(
     _xlpm.txt,
     IF(OR(COUNTIF(AI4,"L*"), COUNTIF(AI4, "X*")),
        IF(AND(COUNTIF(AI4,"*P*"), COUNTIF(AI4,"*V*")),
           IF(COUNTIF(AI4,"*R*"),
              SUBSTITUTE(SUBSTITUTE(AI4,"P",""),"R","S"),
              SUBSTITUTE(AI4,"P","")),
           IF(AND(COUNTIF(AI4,"*P*"), COUNTIF(AI4,"*R*")),
              SUBSTITUTE(AI4,"R","S"),
              IF(AND(COUNTIF(AI4,"*V*"), COUNTIF(AI4,"*R*")),
                 SUBSTITUTE(AI4,"R","S"),
                 AI4))),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IF(AND(COUNTIF(AI4,"*P*"), COUNTIF(AI4,"*V*")),
                               IF(COUNTIF(AI4,"*R*"),
                                  SUBSTITUTE(SUBSTITUTE(AI4,"P",""),"R","S"),
                                  SUBSTITUTE(AI4,"P","")),
                               IF(AND(COUNTIF(AI4,"*P*"), COUNTIF(AI4,"*R*")),
                                  SUBSTITUTE(AI4,"R","S"),
                                  IF(AND(COUNTIF(AI4,"*V*"), COUNTIF(AI4,"*R*")),
                                     SUBSTITUTE(AI4,"R","S"),
                                     AI4))),
                          "0",""),"1",""),"2",""),"3",""),"4",""),
                      "5",""),"6",""),"7",""),"8",""),"9","")
     ),
     IF(SUM(--ISNUMBER(FIND({0,1,2,3,4,5,6,7,8,9}, _xlpm.txt)))=0,
        _xlpm.txt &amp; Data!CX46,
        _xlpm.txt
     )
   ),
   ""
)</f>
        <v/>
      </c>
      <c r="AJ26" s="41" t="str" cm="1">
        <f t="array" ref="AJ26">IF(AJ4&lt;&gt;"",
   _xlfn.LET(
     _xlpm.txt,
     IF(OR(COUNTIF(AJ4,"L*"), COUNTIF(AJ4, "X*")),
        IF(AND(COUNTIF(AJ4,"*P*"), COUNTIF(AJ4,"*V*")),
           IF(COUNTIF(AJ4,"*R*"),
              SUBSTITUTE(SUBSTITUTE(AJ4,"P",""),"R","S"),
              SUBSTITUTE(AJ4,"P","")),
           IF(AND(COUNTIF(AJ4,"*P*"), COUNTIF(AJ4,"*R*")),
              SUBSTITUTE(AJ4,"R","S"),
              IF(AND(COUNTIF(AJ4,"*V*"), COUNTIF(AJ4,"*R*")),
                 SUBSTITUTE(AJ4,"R","S"),
                 AJ4))),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IF(AND(COUNTIF(AJ4,"*P*"), COUNTIF(AJ4,"*V*")),
                               IF(COUNTIF(AJ4,"*R*"),
                                  SUBSTITUTE(SUBSTITUTE(AJ4,"P",""),"R","S"),
                                  SUBSTITUTE(AJ4,"P","")),
                               IF(AND(COUNTIF(AJ4,"*P*"), COUNTIF(AJ4,"*R*")),
                                  SUBSTITUTE(AJ4,"R","S"),
                                  IF(AND(COUNTIF(AJ4,"*V*"), COUNTIF(AJ4,"*R*")),
                                     SUBSTITUTE(AJ4,"R","S"),
                                     AJ4))),
                          "0",""),"1",""),"2",""),"3",""),"4",""),
                      "5",""),"6",""),"7",""),"8",""),"9","")
     ),
     IF(SUM(--ISNUMBER(FIND({0,1,2,3,4,5,6,7,8,9}, _xlpm.txt)))=0,
        _xlpm.txt &amp; Data!CY46,
        _xlpm.txt
     )
   ),
   ""
)</f>
        <v/>
      </c>
      <c r="AK26" t="str">
        <f>IF(C4&lt;&gt;"",IF(OR(COUNTIF(C4,"L*"),COUNTIF(C4, "X*")),IF(AND(COUNTIF(C4,"*P*"),COUNTIF(C4,"*V*")),IF(COUNTIF(C4,"*R*"),SUBSTITUTE(SUBSTITUTE(C4,"P",""),"R","S")&amp; LOWER(Data!BR46),SUBSTITUTE(C4,"P","")&amp; LOWER(Data!BR46)),IF(AND(COUNTIF(C4,"*P*"),COUNTIF(C4,"*R*")),SUBSTITUTE(C4,"R","S")&amp; LOWER(Data!BR46),IF(AND(COUNTIF(C4,"*V*"),COUNTIF(C4,"*R*")),SUBSTITUTE(C4,"R","S")&amp; LOWER(Data!BR46),C4 &amp; LOWER(Data!BR46)))),SUBSTITUTE(SUBSTITUTE(SUBSTITUTE(SUBSTITUTE(SUBSTITUTE(SUBSTITUTE(SUBSTITUTE(SUBSTITUTE(SUBSTITUTE(SUBSTITUTE(IF(AND(COUNTIF(C4,"*P*"),COUNTIF(C4,"*V*")),IF(COUNTIF(C4,"*R*"),SUBSTITUTE(SUBSTITUTE(C4,"P",""),"R","S"),SUBSTITUTE(C4,"P","")),IF(AND(COUNTIF(C4,"*P*"),COUNTIF(C4,"*R*")),SUBSTITUTE(C4,"R","S"),IF(AND(COUNTIF(C4,"*V*"),COUNTIF(C4,"*R*")),SUBSTITUTE(C4,"R","S"),C4))),"0",""),"1",""),"2",""),"3",""),"4",""),"5",""),"6",""),"7",""),"8",""),"9","")&amp; LOWER(Data!BR46)),"")</f>
        <v>R1</v>
      </c>
    </row>
    <row r="27" spans="1:43" ht="23.25" customHeight="1" x14ac:dyDescent="0.35">
      <c r="A27" s="1196"/>
      <c r="B27" s="22">
        <v>2</v>
      </c>
      <c r="C27" s="41" t="str" cm="1">
        <f t="array" ref="C27">IF(C5&lt;&gt;"",
   _xlfn.LET(
     _xlpm.txt,
     IF(OR(COUNTIF(C5,"L*"), COUNTIF(C5, "X*")),
        IF(AND(COUNTIF(C5,"*P*"), COUNTIF(C5,"*V*")),
           IF(COUNTIF(C5,"*R*"),
              SUBSTITUTE(SUBSTITUTE(C5,"P",""),"R","S"),
              SUBSTITUTE(C5,"P","")),
           IF(AND(COUNTIF(C5,"*P*"), COUNTIF(C5,"*R*")),
              SUBSTITUTE(C5,"R","S"),
              IF(AND(COUNTIF(C5,"*V*"), COUNTIF(C5,"*R*")),
                 SUBSTITUTE(C5,"R","S"),
                 C5))),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IF(AND(COUNTIF(C5,"*P*"), COUNTIF(C5,"*V*")),
                               IF(COUNTIF(C5,"*R*"),
                                  SUBSTITUTE(SUBSTITUTE(C5,"P",""),"R","S"),
                                  SUBSTITUTE(C5,"P","")),
                               IF(AND(COUNTIF(C5,"*P*"), COUNTIF(C5,"*R*")),
                                  SUBSTITUTE(C5,"R","S"),
                                  IF(AND(COUNTIF(C5,"*V*"), COUNTIF(C5,"*R*")),
                                     SUBSTITUTE(C5,"R","S"),
                                     C5))),
                          "0",""),"1",""),"2",""),"3",""),"4",""),
                      "5",""),"6",""),"7",""),"8",""),"9","")
     ),
     IF(SUM(--ISNUMBER(FIND({0,1,2,3,4,5,6,7,8,9}, _xlpm.txt)))=0,
        _xlpm.txt &amp; Data!BR47,
        _xlpm.txt
     )
   ),
   ""
)</f>
        <v>X5</v>
      </c>
      <c r="D27" s="41" t="str" cm="1">
        <f t="array" ref="D27">IF(D5&lt;&gt;"",
   _xlfn.LET(
     _xlpm.txt,
     IF(OR(COUNTIF(D5,"L*"), COUNTIF(D5, "X*")),
        IF(AND(COUNTIF(D5,"*P*"), COUNTIF(D5,"*V*")),
           IF(COUNTIF(D5,"*R*"),
              SUBSTITUTE(SUBSTITUTE(D5,"P",""),"R","S"),
              SUBSTITUTE(D5,"P","")),
           IF(AND(COUNTIF(D5,"*P*"), COUNTIF(D5,"*R*")),
              SUBSTITUTE(D5,"R","S"),
              IF(AND(COUNTIF(D5,"*V*"), COUNTIF(D5,"*R*")),
                 SUBSTITUTE(D5,"R","S"),
                 D5))),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IF(AND(COUNTIF(D5,"*P*"), COUNTIF(D5,"*V*")),
                               IF(COUNTIF(D5,"*R*"),
                                  SUBSTITUTE(SUBSTITUTE(D5,"P",""),"R","S"),
                                  SUBSTITUTE(D5,"P","")),
                               IF(AND(COUNTIF(D5,"*P*"), COUNTIF(D5,"*R*")),
                                  SUBSTITUTE(D5,"R","S"),
                                  IF(AND(COUNTIF(D5,"*V*"), COUNTIF(D5,"*R*")),
                                     SUBSTITUTE(D5,"R","S"),
                                     D5))),
                          "0",""),"1",""),"2",""),"3",""),"4",""),
                      "5",""),"6",""),"7",""),"8",""),"9","")
     ),
     IF(SUM(--ISNUMBER(FIND({0,1,2,3,4,5,6,7,8,9}, _xlpm.txt)))=0,
        _xlpm.txt &amp; Data!BS47,
        _xlpm.txt
     )
   ),
   ""
)</f>
        <v>X5</v>
      </c>
      <c r="E27" s="41" t="str" cm="1">
        <f t="array" ref="E27">IF(E5&lt;&gt;"",
   _xlfn.LET(
     _xlpm.txt,
     IF(OR(COUNTIF(E5,"L*"), COUNTIF(E5, "X*")),
        IF(AND(COUNTIF(E5,"*P*"), COUNTIF(E5,"*V*")),
           IF(COUNTIF(E5,"*R*"),
              SUBSTITUTE(SUBSTITUTE(E5,"P",""),"R","S"),
              SUBSTITUTE(E5,"P","")),
           IF(AND(COUNTIF(E5,"*P*"), COUNTIF(E5,"*R*")),
              SUBSTITUTE(E5,"R","S"),
              IF(AND(COUNTIF(E5,"*V*"), COUNTIF(E5,"*R*")),
                 SUBSTITUTE(E5,"R","S"),
                 E5))),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IF(AND(COUNTIF(E5,"*P*"), COUNTIF(E5,"*V*")),
                               IF(COUNTIF(E5,"*R*"),
                                  SUBSTITUTE(SUBSTITUTE(E5,"P",""),"R","S"),
                                  SUBSTITUTE(E5,"P","")),
                               IF(AND(COUNTIF(E5,"*P*"), COUNTIF(E5,"*R*")),
                                  SUBSTITUTE(E5,"R","S"),
                                  IF(AND(COUNTIF(E5,"*V*"), COUNTIF(E5,"*R*")),
                                     SUBSTITUTE(E5,"R","S"),
                                     E5))),
                          "0",""),"1",""),"2",""),"3",""),"4",""),
                      "5",""),"6",""),"7",""),"8",""),"9","")
     ),
     IF(SUM(--ISNUMBER(FIND({0,1,2,3,4,5,6,7,8,9}, _xlpm.txt)))=0,
        _xlpm.txt &amp; Data!BT47,
        _xlpm.txt
     )
   ),
   ""
)</f>
        <v>X5</v>
      </c>
      <c r="F27" s="41" t="str" cm="1">
        <f t="array" ref="F27">IF(F5&lt;&gt;"",
   _xlfn.LET(
     _xlpm.txt,
     IF(OR(COUNTIF(F5,"L*"), COUNTIF(F5, "X*")),
        IF(AND(COUNTIF(F5,"*P*"), COUNTIF(F5,"*V*")),
           IF(COUNTIF(F5,"*R*"),
              SUBSTITUTE(SUBSTITUTE(F5,"P",""),"R","S"),
              SUBSTITUTE(F5,"P","")),
           IF(AND(COUNTIF(F5,"*P*"), COUNTIF(F5,"*R*")),
              SUBSTITUTE(F5,"R","S"),
              IF(AND(COUNTIF(F5,"*V*"), COUNTIF(F5,"*R*")),
                 SUBSTITUTE(F5,"R","S"),
                 F5))),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IF(AND(COUNTIF(F5,"*P*"), COUNTIF(F5,"*V*")),
                               IF(COUNTIF(F5,"*R*"),
                                  SUBSTITUTE(SUBSTITUTE(F5,"P",""),"R","S"),
                                  SUBSTITUTE(F5,"P","")),
                               IF(AND(COUNTIF(F5,"*P*"), COUNTIF(F5,"*R*")),
                                  SUBSTITUTE(F5,"R","S"),
                                  IF(AND(COUNTIF(F5,"*V*"), COUNTIF(F5,"*R*")),
                                     SUBSTITUTE(F5,"R","S"),
                                     F5))),
                          "0",""),"1",""),"2",""),"3",""),"4",""),
                      "5",""),"6",""),"7",""),"8",""),"9","")
     ),
     IF(SUM(--ISNUMBER(FIND({0,1,2,3,4,5,6,7,8,9}, _xlpm.txt)))=0,
        _xlpm.txt &amp; Data!BU47,
        _xlpm.txt
     )
   ),
   ""
)</f>
        <v>R1</v>
      </c>
      <c r="G27" s="41" t="str" cm="1">
        <f t="array" ref="G27">IF(G5&lt;&gt;"",
   _xlfn.LET(
     _xlpm.txt,
     IF(OR(COUNTIF(G5,"L*"), COUNTIF(G5, "X*")),
        IF(AND(COUNTIF(G5,"*P*"), COUNTIF(G5,"*V*")),
           IF(COUNTIF(G5,"*R*"),
              SUBSTITUTE(SUBSTITUTE(G5,"P",""),"R","S"),
              SUBSTITUTE(G5,"P","")),
           IF(AND(COUNTIF(G5,"*P*"), COUNTIF(G5,"*R*")),
              SUBSTITUTE(G5,"R","S"),
              IF(AND(COUNTIF(G5,"*V*"), COUNTIF(G5,"*R*")),
                 SUBSTITUTE(G5,"R","S"),
                 G5))),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IF(AND(COUNTIF(G5,"*P*"), COUNTIF(G5,"*V*")),
                               IF(COUNTIF(G5,"*R*"),
                                  SUBSTITUTE(SUBSTITUTE(G5,"P",""),"R","S"),
                                  SUBSTITUTE(G5,"P","")),
                               IF(AND(COUNTIF(G5,"*P*"), COUNTIF(G5,"*R*")),
                                  SUBSTITUTE(G5,"R","S"),
                                  IF(AND(COUNTIF(G5,"*V*"), COUNTIF(G5,"*R*")),
                                     SUBSTITUTE(G5,"R","S"),
                                     G5))),
                          "0",""),"1",""),"2",""),"3",""),"4",""),
                      "5",""),"6",""),"7",""),"8",""),"9","")
     ),
     IF(SUM(--ISNUMBER(FIND({0,1,2,3,4,5,6,7,8,9}, _xlpm.txt)))=0,
        _xlpm.txt &amp; Data!BV47,
        _xlpm.txt
     )
   ),
   ""
)</f>
        <v>X3</v>
      </c>
      <c r="H27" s="41" t="str" cm="1">
        <f t="array" ref="H27">IF(H5&lt;&gt;"",
   _xlfn.LET(
     _xlpm.txt,
     IF(OR(COUNTIF(H5,"L*"), COUNTIF(H5, "X*")),
        IF(AND(COUNTIF(H5,"*P*"), COUNTIF(H5,"*V*")),
           IF(COUNTIF(H5,"*R*"),
              SUBSTITUTE(SUBSTITUTE(H5,"P",""),"R","S"),
              SUBSTITUTE(H5,"P","")),
           IF(AND(COUNTIF(H5,"*P*"), COUNTIF(H5,"*R*")),
              SUBSTITUTE(H5,"R","S"),
              IF(AND(COUNTIF(H5,"*V*"), COUNTIF(H5,"*R*")),
                 SUBSTITUTE(H5,"R","S"),
                 H5))),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IF(AND(COUNTIF(H5,"*P*"), COUNTIF(H5,"*V*")),
                               IF(COUNTIF(H5,"*R*"),
                                  SUBSTITUTE(SUBSTITUTE(H5,"P",""),"R","S"),
                                  SUBSTITUTE(H5,"P","")),
                               IF(AND(COUNTIF(H5,"*P*"), COUNTIF(H5,"*R*")),
                                  SUBSTITUTE(H5,"R","S"),
                                  IF(AND(COUNTIF(H5,"*V*"), COUNTIF(H5,"*R*")),
                                     SUBSTITUTE(H5,"R","S"),
                                     H5))),
                          "0",""),"1",""),"2",""),"3",""),"4",""),
                      "5",""),"6",""),"7",""),"8",""),"9","")
     ),
     IF(SUM(--ISNUMBER(FIND({0,1,2,3,4,5,6,7,8,9}, _xlpm.txt)))=0,
        _xlpm.txt &amp; Data!BW47,
        _xlpm.txt
     )
   ),
   ""
)</f>
        <v/>
      </c>
      <c r="I27" s="41" t="str" cm="1">
        <f t="array" ref="I27">IF(I5&lt;&gt;"",
   _xlfn.LET(
     _xlpm.txt,
     IF(OR(COUNTIF(I5,"L*"), COUNTIF(I5, "X*")),
        IF(AND(COUNTIF(I5,"*P*"), COUNTIF(I5,"*V*")),
           IF(COUNTIF(I5,"*R*"),
              SUBSTITUTE(SUBSTITUTE(I5,"P",""),"R","S"),
              SUBSTITUTE(I5,"P","")),
           IF(AND(COUNTIF(I5,"*P*"), COUNTIF(I5,"*R*")),
              SUBSTITUTE(I5,"R","S"),
              IF(AND(COUNTIF(I5,"*V*"), COUNTIF(I5,"*R*")),
                 SUBSTITUTE(I5,"R","S"),
                 I5))),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IF(AND(COUNTIF(I5,"*P*"), COUNTIF(I5,"*V*")),
                               IF(COUNTIF(I5,"*R*"),
                                  SUBSTITUTE(SUBSTITUTE(I5,"P",""),"R","S"),
                                  SUBSTITUTE(I5,"P","")),
                               IF(AND(COUNTIF(I5,"*P*"), COUNTIF(I5,"*R*")),
                                  SUBSTITUTE(I5,"R","S"),
                                  IF(AND(COUNTIF(I5,"*V*"), COUNTIF(I5,"*R*")),
                                     SUBSTITUTE(I5,"R","S"),
                                     I5))),
                          "0",""),"1",""),"2",""),"3",""),"4",""),
                      "5",""),"6",""),"7",""),"8",""),"9","")
     ),
     IF(SUM(--ISNUMBER(FIND({0,1,2,3,4,5,6,7,8,9}, _xlpm.txt)))=0,
        _xlpm.txt &amp; Data!BX47,
        _xlpm.txt
     )
   ),
   ""
)</f>
        <v/>
      </c>
      <c r="J27" s="41" t="str" cm="1">
        <f t="array" ref="J27">IF(J5&lt;&gt;"",
   _xlfn.LET(
     _xlpm.txt,
     IF(OR(COUNTIF(J5,"L*"), COUNTIF(J5, "X*")),
        IF(AND(COUNTIF(J5,"*P*"), COUNTIF(J5,"*V*")),
           IF(COUNTIF(J5,"*R*"),
              SUBSTITUTE(SUBSTITUTE(J5,"P",""),"R","S"),
              SUBSTITUTE(J5,"P","")),
           IF(AND(COUNTIF(J5,"*P*"), COUNTIF(J5,"*R*")),
              SUBSTITUTE(J5,"R","S"),
              IF(AND(COUNTIF(J5,"*V*"), COUNTIF(J5,"*R*")),
                 SUBSTITUTE(J5,"R","S"),
                 J5))),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IF(AND(COUNTIF(J5,"*P*"), COUNTIF(J5,"*V*")),
                               IF(COUNTIF(J5,"*R*"),
                                  SUBSTITUTE(SUBSTITUTE(J5,"P",""),"R","S"),
                                  SUBSTITUTE(J5,"P","")),
                               IF(AND(COUNTIF(J5,"*P*"), COUNTIF(J5,"*R*")),
                                  SUBSTITUTE(J5,"R","S"),
                                  IF(AND(COUNTIF(J5,"*V*"), COUNTIF(J5,"*R*")),
                                     SUBSTITUTE(J5,"R","S"),
                                     J5))),
                          "0",""),"1",""),"2",""),"3",""),"4",""),
                      "5",""),"6",""),"7",""),"8",""),"9","")
     ),
     IF(SUM(--ISNUMBER(FIND({0,1,2,3,4,5,6,7,8,9}, _xlpm.txt)))=0,
        _xlpm.txt &amp; Data!BY47,
        _xlpm.txt
     )
   ),
   ""
)</f>
        <v/>
      </c>
      <c r="K27" s="41" t="str" cm="1">
        <f t="array" ref="K27">IF(K5&lt;&gt;"",
   _xlfn.LET(
     _xlpm.txt,
     IF(OR(COUNTIF(K5,"L*"), COUNTIF(K5, "X*")),
        IF(AND(COUNTIF(K5,"*P*"), COUNTIF(K5,"*V*")),
           IF(COUNTIF(K5,"*R*"),
              SUBSTITUTE(SUBSTITUTE(K5,"P",""),"R","S"),
              SUBSTITUTE(K5,"P","")),
           IF(AND(COUNTIF(K5,"*P*"), COUNTIF(K5,"*R*")),
              SUBSTITUTE(K5,"R","S"),
              IF(AND(COUNTIF(K5,"*V*"), COUNTIF(K5,"*R*")),
                 SUBSTITUTE(K5,"R","S"),
                 K5))),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IF(AND(COUNTIF(K5,"*P*"), COUNTIF(K5,"*V*")),
                               IF(COUNTIF(K5,"*R*"),
                                  SUBSTITUTE(SUBSTITUTE(K5,"P",""),"R","S"),
                                  SUBSTITUTE(K5,"P","")),
                               IF(AND(COUNTIF(K5,"*P*"), COUNTIF(K5,"*R*")),
                                  SUBSTITUTE(K5,"R","S"),
                                  IF(AND(COUNTIF(K5,"*V*"), COUNTIF(K5,"*R*")),
                                     SUBSTITUTE(K5,"R","S"),
                                     K5))),
                          "0",""),"1",""),"2",""),"3",""),"4",""),
                      "5",""),"6",""),"7",""),"8",""),"9","")
     ),
     IF(SUM(--ISNUMBER(FIND({0,1,2,3,4,5,6,7,8,9}, _xlpm.txt)))=0,
        _xlpm.txt &amp; Data!BZ47,
        _xlpm.txt
     )
   ),
   ""
)</f>
        <v/>
      </c>
      <c r="L27" s="41" t="str" cm="1">
        <f t="array" ref="L27">IF(L5&lt;&gt;"",
   _xlfn.LET(
     _xlpm.txt,
     IF(OR(COUNTIF(L5,"L*"), COUNTIF(L5, "X*")),
        IF(AND(COUNTIF(L5,"*P*"), COUNTIF(L5,"*V*")),
           IF(COUNTIF(L5,"*R*"),
              SUBSTITUTE(SUBSTITUTE(L5,"P",""),"R","S"),
              SUBSTITUTE(L5,"P","")),
           IF(AND(COUNTIF(L5,"*P*"), COUNTIF(L5,"*R*")),
              SUBSTITUTE(L5,"R","S"),
              IF(AND(COUNTIF(L5,"*V*"), COUNTIF(L5,"*R*")),
                 SUBSTITUTE(L5,"R","S"),
                 L5))),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IF(AND(COUNTIF(L5,"*P*"), COUNTIF(L5,"*V*")),
                               IF(COUNTIF(L5,"*R*"),
                                  SUBSTITUTE(SUBSTITUTE(L5,"P",""),"R","S"),
                                  SUBSTITUTE(L5,"P","")),
                               IF(AND(COUNTIF(L5,"*P*"), COUNTIF(L5,"*R*")),
                                  SUBSTITUTE(L5,"R","S"),
                                  IF(AND(COUNTIF(L5,"*V*"), COUNTIF(L5,"*R*")),
                                     SUBSTITUTE(L5,"R","S"),
                                     L5))),
                          "0",""),"1",""),"2",""),"3",""),"4",""),
                      "5",""),"6",""),"7",""),"8",""),"9","")
     ),
     IF(SUM(--ISNUMBER(FIND({0,1,2,3,4,5,6,7,8,9}, _xlpm.txt)))=0,
        _xlpm.txt &amp; Data!CA47,
        _xlpm.txt
     )
   ),
   ""
)</f>
        <v>S2</v>
      </c>
      <c r="M27" s="41" t="str" cm="1">
        <f t="array" ref="M27">IF(M5&lt;&gt;"",
   _xlfn.LET(
     _xlpm.txt,
     IF(OR(COUNTIF(M5,"L*"), COUNTIF(M5, "X*")),
        IF(AND(COUNTIF(M5,"*P*"), COUNTIF(M5,"*V*")),
           IF(COUNTIF(M5,"*R*"),
              SUBSTITUTE(SUBSTITUTE(M5,"P",""),"R","S"),
              SUBSTITUTE(M5,"P","")),
           IF(AND(COUNTIF(M5,"*P*"), COUNTIF(M5,"*R*")),
              SUBSTITUTE(M5,"R","S"),
              IF(AND(COUNTIF(M5,"*V*"), COUNTIF(M5,"*R*")),
                 SUBSTITUTE(M5,"R","S"),
                 M5))),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IF(AND(COUNTIF(M5,"*P*"), COUNTIF(M5,"*V*")),
                               IF(COUNTIF(M5,"*R*"),
                                  SUBSTITUTE(SUBSTITUTE(M5,"P",""),"R","S"),
                                  SUBSTITUTE(M5,"P","")),
                               IF(AND(COUNTIF(M5,"*P*"), COUNTIF(M5,"*R*")),
                                  SUBSTITUTE(M5,"R","S"),
                                  IF(AND(COUNTIF(M5,"*V*"), COUNTIF(M5,"*R*")),
                                     SUBSTITUTE(M5,"R","S"),
                                     M5))),
                          "0",""),"1",""),"2",""),"3",""),"4",""),
                      "5",""),"6",""),"7",""),"8",""),"9","")
     ),
     IF(SUM(--ISNUMBER(FIND({0,1,2,3,4,5,6,7,8,9}, _xlpm.txt)))=0,
        _xlpm.txt &amp; Data!CB47,
        _xlpm.txt
     )
   ),
   ""
)</f>
        <v>R2</v>
      </c>
      <c r="N27" s="41" t="str" cm="1">
        <f t="array" ref="N27">IF(N5&lt;&gt;"",
   _xlfn.LET(
     _xlpm.txt,
     IF(OR(COUNTIF(N5,"L*"), COUNTIF(N5, "X*")),
        IF(AND(COUNTIF(N5,"*P*"), COUNTIF(N5,"*V*")),
           IF(COUNTIF(N5,"*R*"),
              SUBSTITUTE(SUBSTITUTE(N5,"P",""),"R","S"),
              SUBSTITUTE(N5,"P","")),
           IF(AND(COUNTIF(N5,"*P*"), COUNTIF(N5,"*R*")),
              SUBSTITUTE(N5,"R","S"),
              IF(AND(COUNTIF(N5,"*V*"), COUNTIF(N5,"*R*")),
                 SUBSTITUTE(N5,"R","S"),
                 N5))),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IF(AND(COUNTIF(N5,"*P*"), COUNTIF(N5,"*V*")),
                               IF(COUNTIF(N5,"*R*"),
                                  SUBSTITUTE(SUBSTITUTE(N5,"P",""),"R","S"),
                                  SUBSTITUTE(N5,"P","")),
                               IF(AND(COUNTIF(N5,"*P*"), COUNTIF(N5,"*R*")),
                                  SUBSTITUTE(N5,"R","S"),
                                  IF(AND(COUNTIF(N5,"*V*"), COUNTIF(N5,"*R*")),
                                     SUBSTITUTE(N5,"R","S"),
                                     N5))),
                          "0",""),"1",""),"2",""),"3",""),"4",""),
                      "5",""),"6",""),"7",""),"8",""),"9","")
     ),
     IF(SUM(--ISNUMBER(FIND({0,1,2,3,4,5,6,7,8,9}, _xlpm.txt)))=0,
        _xlpm.txt &amp; Data!CC47,
        _xlpm.txt
     )
   ),
   ""
)</f>
        <v>X4</v>
      </c>
      <c r="O27" s="41" t="str" cm="1">
        <f t="array" ref="O27">IF(O5&lt;&gt;"",
   _xlfn.LET(
     _xlpm.txt,
     IF(OR(COUNTIF(O5,"L*"), COUNTIF(O5, "X*")),
        IF(AND(COUNTIF(O5,"*P*"), COUNTIF(O5,"*V*")),
           IF(COUNTIF(O5,"*R*"),
              SUBSTITUTE(SUBSTITUTE(O5,"P",""),"R","S"),
              SUBSTITUTE(O5,"P","")),
           IF(AND(COUNTIF(O5,"*P*"), COUNTIF(O5,"*R*")),
              SUBSTITUTE(O5,"R","S"),
              IF(AND(COUNTIF(O5,"*V*"), COUNTIF(O5,"*R*")),
                 SUBSTITUTE(O5,"R","S"),
                 O5))),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IF(AND(COUNTIF(O5,"*P*"), COUNTIF(O5,"*V*")),
                               IF(COUNTIF(O5,"*R*"),
                                  SUBSTITUTE(SUBSTITUTE(O5,"P",""),"R","S"),
                                  SUBSTITUTE(O5,"P","")),
                               IF(AND(COUNTIF(O5,"*P*"), COUNTIF(O5,"*R*")),
                                  SUBSTITUTE(O5,"R","S"),
                                  IF(AND(COUNTIF(O5,"*V*"), COUNTIF(O5,"*R*")),
                                     SUBSTITUTE(O5,"R","S"),
                                     O5))),
                          "0",""),"1",""),"2",""),"3",""),"4",""),
                      "5",""),"6",""),"7",""),"8",""),"9","")
     ),
     IF(SUM(--ISNUMBER(FIND({0,1,2,3,4,5,6,7,8,9}, _xlpm.txt)))=0,
        _xlpm.txt &amp; Data!CD47,
        _xlpm.txt
     )
   ),
   ""
)</f>
        <v>R2</v>
      </c>
      <c r="P27" s="41" t="str" cm="1">
        <f t="array" ref="P27">IF(P5&lt;&gt;"",
   _xlfn.LET(
     _xlpm.txt,
     IF(OR(COUNTIF(P5,"L*"), COUNTIF(P5, "X*")),
        IF(AND(COUNTIF(P5,"*P*"), COUNTIF(P5,"*V*")),
           IF(COUNTIF(P5,"*R*"),
              SUBSTITUTE(SUBSTITUTE(P5,"P",""),"R","S"),
              SUBSTITUTE(P5,"P","")),
           IF(AND(COUNTIF(P5,"*P*"), COUNTIF(P5,"*R*")),
              SUBSTITUTE(P5,"R","S"),
              IF(AND(COUNTIF(P5,"*V*"), COUNTIF(P5,"*R*")),
                 SUBSTITUTE(P5,"R","S"),
                 P5))),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IF(AND(COUNTIF(P5,"*P*"), COUNTIF(P5,"*V*")),
                               IF(COUNTIF(P5,"*R*"),
                                  SUBSTITUTE(SUBSTITUTE(P5,"P",""),"R","S"),
                                  SUBSTITUTE(P5,"P","")),
                               IF(AND(COUNTIF(P5,"*P*"), COUNTIF(P5,"*R*")),
                                  SUBSTITUTE(P5,"R","S"),
                                  IF(AND(COUNTIF(P5,"*V*"), COUNTIF(P5,"*R*")),
                                     SUBSTITUTE(P5,"R","S"),
                                     P5))),
                          "0",""),"1",""),"2",""),"3",""),"4",""),
                      "5",""),"6",""),"7",""),"8",""),"9","")
     ),
     IF(SUM(--ISNUMBER(FIND({0,1,2,3,4,5,6,7,8,9}, _xlpm.txt)))=0,
        _xlpm.txt &amp; Data!CE47,
        _xlpm.txt
     )
   ),
   ""
)</f>
        <v/>
      </c>
      <c r="Q27" s="41" t="str" cm="1">
        <f t="array" ref="Q27">IF(Q5&lt;&gt;"",
   _xlfn.LET(
     _xlpm.txt,
     IF(OR(COUNTIF(Q5,"L*"), COUNTIF(Q5, "X*")),
        IF(AND(COUNTIF(Q5,"*P*"), COUNTIF(Q5,"*V*")),
           IF(COUNTIF(Q5,"*R*"),
              SUBSTITUTE(SUBSTITUTE(Q5,"P",""),"R","S"),
              SUBSTITUTE(Q5,"P","")),
           IF(AND(COUNTIF(Q5,"*P*"), COUNTIF(Q5,"*R*")),
              SUBSTITUTE(Q5,"R","S"),
              IF(AND(COUNTIF(Q5,"*V*"), COUNTIF(Q5,"*R*")),
                 SUBSTITUTE(Q5,"R","S"),
                 Q5))),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IF(AND(COUNTIF(Q5,"*P*"), COUNTIF(Q5,"*V*")),
                               IF(COUNTIF(Q5,"*R*"),
                                  SUBSTITUTE(SUBSTITUTE(Q5,"P",""),"R","S"),
                                  SUBSTITUTE(Q5,"P","")),
                               IF(AND(COUNTIF(Q5,"*P*"), COUNTIF(Q5,"*R*")),
                                  SUBSTITUTE(Q5,"R","S"),
                                  IF(AND(COUNTIF(Q5,"*V*"), COUNTIF(Q5,"*R*")),
                                     SUBSTITUTE(Q5,"R","S"),
                                     Q5))),
                          "0",""),"1",""),"2",""),"3",""),"4",""),
                      "5",""),"6",""),"7",""),"8",""),"9","")
     ),
     IF(SUM(--ISNUMBER(FIND({0,1,2,3,4,5,6,7,8,9}, _xlpm.txt)))=0,
        _xlpm.txt &amp; Data!CF47,
        _xlpm.txt
     )
   ),
   ""
)</f>
        <v/>
      </c>
      <c r="R27" s="41" t="str" cm="1">
        <f t="array" ref="R27">IF(R5&lt;&gt;"",
   _xlfn.LET(
     _xlpm.txt,
     IF(OR(COUNTIF(R5,"L*"), COUNTIF(R5, "X*")),
        IF(AND(COUNTIF(R5,"*P*"), COUNTIF(R5,"*V*")),
           IF(COUNTIF(R5,"*R*"),
              SUBSTITUTE(SUBSTITUTE(R5,"P",""),"R","S"),
              SUBSTITUTE(R5,"P","")),
           IF(AND(COUNTIF(R5,"*P*"), COUNTIF(R5,"*R*")),
              SUBSTITUTE(R5,"R","S"),
              IF(AND(COUNTIF(R5,"*V*"), COUNTIF(R5,"*R*")),
                 SUBSTITUTE(R5,"R","S"),
                 R5))),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IF(AND(COUNTIF(R5,"*P*"), COUNTIF(R5,"*V*")),
                               IF(COUNTIF(R5,"*R*"),
                                  SUBSTITUTE(SUBSTITUTE(R5,"P",""),"R","S"),
                                  SUBSTITUTE(R5,"P","")),
                               IF(AND(COUNTIF(R5,"*P*"), COUNTIF(R5,"*R*")),
                                  SUBSTITUTE(R5,"R","S"),
                                  IF(AND(COUNTIF(R5,"*V*"), COUNTIF(R5,"*R*")),
                                     SUBSTITUTE(R5,"R","S"),
                                     R5))),
                          "0",""),"1",""),"2",""),"3",""),"4",""),
                      "5",""),"6",""),"7",""),"8",""),"9","")
     ),
     IF(SUM(--ISNUMBER(FIND({0,1,2,3,4,5,6,7,8,9}, _xlpm.txt)))=0,
        _xlpm.txt &amp; Data!CG47,
        _xlpm.txt
     )
   ),
   ""
)</f>
        <v/>
      </c>
      <c r="S27" s="41" t="str" cm="1">
        <f t="array" ref="S27">IF(S5&lt;&gt;"",
   _xlfn.LET(
     _xlpm.txt,
     IF(OR(COUNTIF(S5,"L*"), COUNTIF(S5, "X*")),
        IF(AND(COUNTIF(S5,"*P*"), COUNTIF(S5,"*V*")),
           IF(COUNTIF(S5,"*R*"),
              SUBSTITUTE(SUBSTITUTE(S5,"P",""),"R","S"),
              SUBSTITUTE(S5,"P","")),
           IF(AND(COUNTIF(S5,"*P*"), COUNTIF(S5,"*R*")),
              SUBSTITUTE(S5,"R","S"),
              IF(AND(COUNTIF(S5,"*V*"), COUNTIF(S5,"*R*")),
                 SUBSTITUTE(S5,"R","S"),
                 S5))),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IF(AND(COUNTIF(S5,"*P*"), COUNTIF(S5,"*V*")),
                               IF(COUNTIF(S5,"*R*"),
                                  SUBSTITUTE(SUBSTITUTE(S5,"P",""),"R","S"),
                                  SUBSTITUTE(S5,"P","")),
                               IF(AND(COUNTIF(S5,"*P*"), COUNTIF(S5,"*R*")),
                                  SUBSTITUTE(S5,"R","S"),
                                  IF(AND(COUNTIF(S5,"*V*"), COUNTIF(S5,"*R*")),
                                     SUBSTITUTE(S5,"R","S"),
                                     S5))),
                          "0",""),"1",""),"2",""),"3",""),"4",""),
                      "5",""),"6",""),"7",""),"8",""),"9","")
     ),
     IF(SUM(--ISNUMBER(FIND({0,1,2,3,4,5,6,7,8,9}, _xlpm.txt)))=0,
        _xlpm.txt &amp; Data!CH47,
        _xlpm.txt
     )
   ),
   ""
)</f>
        <v/>
      </c>
      <c r="T27" s="41" t="str" cm="1">
        <f t="array" ref="T27">IF(T5&lt;&gt;"",
   _xlfn.LET(
     _xlpm.txt,
     IF(OR(COUNTIF(T5,"L*"), COUNTIF(T5, "X*")),
        IF(AND(COUNTIF(T5,"*P*"), COUNTIF(T5,"*V*")),
           IF(COUNTIF(T5,"*R*"),
              SUBSTITUTE(SUBSTITUTE(T5,"P",""),"R","S"),
              SUBSTITUTE(T5,"P","")),
           IF(AND(COUNTIF(T5,"*P*"), COUNTIF(T5,"*R*")),
              SUBSTITUTE(T5,"R","S"),
              IF(AND(COUNTIF(T5,"*V*"), COUNTIF(T5,"*R*")),
                 SUBSTITUTE(T5,"R","S"),
                 T5))),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IF(AND(COUNTIF(T5,"*P*"), COUNTIF(T5,"*V*")),
                               IF(COUNTIF(T5,"*R*"),
                                  SUBSTITUTE(SUBSTITUTE(T5,"P",""),"R","S"),
                                  SUBSTITUTE(T5,"P","")),
                               IF(AND(COUNTIF(T5,"*P*"), COUNTIF(T5,"*R*")),
                                  SUBSTITUTE(T5,"R","S"),
                                  IF(AND(COUNTIF(T5,"*V*"), COUNTIF(T5,"*R*")),
                                     SUBSTITUTE(T5,"R","S"),
                                     T5))),
                          "0",""),"1",""),"2",""),"3",""),"4",""),
                      "5",""),"6",""),"7",""),"8",""),"9","")
     ),
     IF(SUM(--ISNUMBER(FIND({0,1,2,3,4,5,6,7,8,9}, _xlpm.txt)))=0,
        _xlpm.txt &amp; Data!CI47,
        _xlpm.txt
     )
   ),
   ""
)</f>
        <v/>
      </c>
      <c r="U27" s="41" t="str" cm="1">
        <f t="array" ref="U27">IF(U5&lt;&gt;"",
   _xlfn.LET(
     _xlpm.txt,
     IF(OR(COUNTIF(U5,"L*"), COUNTIF(U5, "X*")),
        IF(AND(COUNTIF(U5,"*P*"), COUNTIF(U5,"*V*")),
           IF(COUNTIF(U5,"*R*"),
              SUBSTITUTE(SUBSTITUTE(U5,"P",""),"R","S"),
              SUBSTITUTE(U5,"P","")),
           IF(AND(COUNTIF(U5,"*P*"), COUNTIF(U5,"*R*")),
              SUBSTITUTE(U5,"R","S"),
              IF(AND(COUNTIF(U5,"*V*"), COUNTIF(U5,"*R*")),
                 SUBSTITUTE(U5,"R","S"),
                 U5))),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IF(AND(COUNTIF(U5,"*P*"), COUNTIF(U5,"*V*")),
                               IF(COUNTIF(U5,"*R*"),
                                  SUBSTITUTE(SUBSTITUTE(U5,"P",""),"R","S"),
                                  SUBSTITUTE(U5,"P","")),
                               IF(AND(COUNTIF(U5,"*P*"), COUNTIF(U5,"*R*")),
                                  SUBSTITUTE(U5,"R","S"),
                                  IF(AND(COUNTIF(U5,"*V*"), COUNTIF(U5,"*R*")),
                                     SUBSTITUTE(U5,"R","S"),
                                     U5))),
                          "0",""),"1",""),"2",""),"3",""),"4",""),
                      "5",""),"6",""),"7",""),"8",""),"9","")
     ),
     IF(SUM(--ISNUMBER(FIND({0,1,2,3,4,5,6,7,8,9}, _xlpm.txt)))=0,
        _xlpm.txt &amp; Data!CJ47,
        _xlpm.txt
     )
   ),
   ""
)</f>
        <v/>
      </c>
      <c r="V27" s="41" t="str" cm="1">
        <f t="array" ref="V27">IF(V5&lt;&gt;"",
   _xlfn.LET(
     _xlpm.txt,
     IF(OR(COUNTIF(V5,"L*"), COUNTIF(V5, "X*")),
        IF(AND(COUNTIF(V5,"*P*"), COUNTIF(V5,"*V*")),
           IF(COUNTIF(V5,"*R*"),
              SUBSTITUTE(SUBSTITUTE(V5,"P",""),"R","S"),
              SUBSTITUTE(V5,"P","")),
           IF(AND(COUNTIF(V5,"*P*"), COUNTIF(V5,"*R*")),
              SUBSTITUTE(V5,"R","S"),
              IF(AND(COUNTIF(V5,"*V*"), COUNTIF(V5,"*R*")),
                 SUBSTITUTE(V5,"R","S"),
                 V5))),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IF(AND(COUNTIF(V5,"*P*"), COUNTIF(V5,"*V*")),
                               IF(COUNTIF(V5,"*R*"),
                                  SUBSTITUTE(SUBSTITUTE(V5,"P",""),"R","S"),
                                  SUBSTITUTE(V5,"P","")),
                               IF(AND(COUNTIF(V5,"*P*"), COUNTIF(V5,"*R*")),
                                  SUBSTITUTE(V5,"R","S"),
                                  IF(AND(COUNTIF(V5,"*V*"), COUNTIF(V5,"*R*")),
                                     SUBSTITUTE(V5,"R","S"),
                                     V5))),
                          "0",""),"1",""),"2",""),"3",""),"4",""),
                      "5",""),"6",""),"7",""),"8",""),"9","")
     ),
     IF(SUM(--ISNUMBER(FIND({0,1,2,3,4,5,6,7,8,9}, _xlpm.txt)))=0,
        _xlpm.txt &amp; Data!CK47,
        _xlpm.txt
     )
   ),
   ""
)</f>
        <v/>
      </c>
      <c r="W27" s="41" t="str" cm="1">
        <f t="array" ref="W27">IF(W5&lt;&gt;"",
   _xlfn.LET(
     _xlpm.txt,
     IF(OR(COUNTIF(W5,"L*"), COUNTIF(W5, "X*")),
        IF(AND(COUNTIF(W5,"*P*"), COUNTIF(W5,"*V*")),
           IF(COUNTIF(W5,"*R*"),
              SUBSTITUTE(SUBSTITUTE(W5,"P",""),"R","S"),
              SUBSTITUTE(W5,"P","")),
           IF(AND(COUNTIF(W5,"*P*"), COUNTIF(W5,"*R*")),
              SUBSTITUTE(W5,"R","S"),
              IF(AND(COUNTIF(W5,"*V*"), COUNTIF(W5,"*R*")),
                 SUBSTITUTE(W5,"R","S"),
                 W5))),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IF(AND(COUNTIF(W5,"*P*"), COUNTIF(W5,"*V*")),
                               IF(COUNTIF(W5,"*R*"),
                                  SUBSTITUTE(SUBSTITUTE(W5,"P",""),"R","S"),
                                  SUBSTITUTE(W5,"P","")),
                               IF(AND(COUNTIF(W5,"*P*"), COUNTIF(W5,"*R*")),
                                  SUBSTITUTE(W5,"R","S"),
                                  IF(AND(COUNTIF(W5,"*V*"), COUNTIF(W5,"*R*")),
                                     SUBSTITUTE(W5,"R","S"),
                                     W5))),
                          "0",""),"1",""),"2",""),"3",""),"4",""),
                      "5",""),"6",""),"7",""),"8",""),"9","")
     ),
     IF(SUM(--ISNUMBER(FIND({0,1,2,3,4,5,6,7,8,9}, _xlpm.txt)))=0,
        _xlpm.txt &amp; Data!CL47,
        _xlpm.txt
     )
   ),
   ""
)</f>
        <v/>
      </c>
      <c r="X27" s="41" t="str" cm="1">
        <f t="array" ref="X27">IF(X5&lt;&gt;"",
   _xlfn.LET(
     _xlpm.txt,
     IF(OR(COUNTIF(X5,"L*"), COUNTIF(X5, "X*")),
        IF(AND(COUNTIF(X5,"*P*"), COUNTIF(X5,"*V*")),
           IF(COUNTIF(X5,"*R*"),
              SUBSTITUTE(SUBSTITUTE(X5,"P",""),"R","S"),
              SUBSTITUTE(X5,"P","")),
           IF(AND(COUNTIF(X5,"*P*"), COUNTIF(X5,"*R*")),
              SUBSTITUTE(X5,"R","S"),
              IF(AND(COUNTIF(X5,"*V*"), COUNTIF(X5,"*R*")),
                 SUBSTITUTE(X5,"R","S"),
                 X5))),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IF(AND(COUNTIF(X5,"*P*"), COUNTIF(X5,"*V*")),
                               IF(COUNTIF(X5,"*R*"),
                                  SUBSTITUTE(SUBSTITUTE(X5,"P",""),"R","S"),
                                  SUBSTITUTE(X5,"P","")),
                               IF(AND(COUNTIF(X5,"*P*"), COUNTIF(X5,"*R*")),
                                  SUBSTITUTE(X5,"R","S"),
                                  IF(AND(COUNTIF(X5,"*V*"), COUNTIF(X5,"*R*")),
                                     SUBSTITUTE(X5,"R","S"),
                                     X5))),
                          "0",""),"1",""),"2",""),"3",""),"4",""),
                      "5",""),"6",""),"7",""),"8",""),"9","")
     ),
     IF(SUM(--ISNUMBER(FIND({0,1,2,3,4,5,6,7,8,9}, _xlpm.txt)))=0,
        _xlpm.txt &amp; Data!CM47,
        _xlpm.txt
     )
   ),
   ""
)</f>
        <v/>
      </c>
      <c r="Y27" s="41" t="str" cm="1">
        <f t="array" ref="Y27">IF(Y5&lt;&gt;"",
   _xlfn.LET(
     _xlpm.txt,
     IF(OR(COUNTIF(Y5,"L*"), COUNTIF(Y5, "X*")),
        IF(AND(COUNTIF(Y5,"*P*"), COUNTIF(Y5,"*V*")),
           IF(COUNTIF(Y5,"*R*"),
              SUBSTITUTE(SUBSTITUTE(Y5,"P",""),"R","S"),
              SUBSTITUTE(Y5,"P","")),
           IF(AND(COUNTIF(Y5,"*P*"), COUNTIF(Y5,"*R*")),
              SUBSTITUTE(Y5,"R","S"),
              IF(AND(COUNTIF(Y5,"*V*"), COUNTIF(Y5,"*R*")),
                 SUBSTITUTE(Y5,"R","S"),
                 Y5))),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IF(AND(COUNTIF(Y5,"*P*"), COUNTIF(Y5,"*V*")),
                               IF(COUNTIF(Y5,"*R*"),
                                  SUBSTITUTE(SUBSTITUTE(Y5,"P",""),"R","S"),
                                  SUBSTITUTE(Y5,"P","")),
                               IF(AND(COUNTIF(Y5,"*P*"), COUNTIF(Y5,"*R*")),
                                  SUBSTITUTE(Y5,"R","S"),
                                  IF(AND(COUNTIF(Y5,"*V*"), COUNTIF(Y5,"*R*")),
                                     SUBSTITUTE(Y5,"R","S"),
                                     Y5))),
                          "0",""),"1",""),"2",""),"3",""),"4",""),
                      "5",""),"6",""),"7",""),"8",""),"9","")
     ),
     IF(SUM(--ISNUMBER(FIND({0,1,2,3,4,5,6,7,8,9}, _xlpm.txt)))=0,
        _xlpm.txt &amp; Data!CN47,
        _xlpm.txt
     )
   ),
   ""
)</f>
        <v/>
      </c>
      <c r="Z27" s="41" t="str" cm="1">
        <f t="array" ref="Z27">IF(Z5&lt;&gt;"",
   _xlfn.LET(
     _xlpm.txt,
     IF(OR(COUNTIF(Z5,"L*"), COUNTIF(Z5, "X*")),
        IF(AND(COUNTIF(Z5,"*P*"), COUNTIF(Z5,"*V*")),
           IF(COUNTIF(Z5,"*R*"),
              SUBSTITUTE(SUBSTITUTE(Z5,"P",""),"R","S"),
              SUBSTITUTE(Z5,"P","")),
           IF(AND(COUNTIF(Z5,"*P*"), COUNTIF(Z5,"*R*")),
              SUBSTITUTE(Z5,"R","S"),
              IF(AND(COUNTIF(Z5,"*V*"), COUNTIF(Z5,"*R*")),
                 SUBSTITUTE(Z5,"R","S"),
                 Z5))),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IF(AND(COUNTIF(Z5,"*P*"), COUNTIF(Z5,"*V*")),
                               IF(COUNTIF(Z5,"*R*"),
                                  SUBSTITUTE(SUBSTITUTE(Z5,"P",""),"R","S"),
                                  SUBSTITUTE(Z5,"P","")),
                               IF(AND(COUNTIF(Z5,"*P*"), COUNTIF(Z5,"*R*")),
                                  SUBSTITUTE(Z5,"R","S"),
                                  IF(AND(COUNTIF(Z5,"*V*"), COUNTIF(Z5,"*R*")),
                                     SUBSTITUTE(Z5,"R","S"),
                                     Z5))),
                          "0",""),"1",""),"2",""),"3",""),"4",""),
                      "5",""),"6",""),"7",""),"8",""),"9","")
     ),
     IF(SUM(--ISNUMBER(FIND({0,1,2,3,4,5,6,7,8,9}, _xlpm.txt)))=0,
        _xlpm.txt &amp; Data!CO47,
        _xlpm.txt
     )
   ),
   ""
)</f>
        <v/>
      </c>
      <c r="AA27" s="41" t="str" cm="1">
        <f t="array" ref="AA27">IF(AA5&lt;&gt;"",
   _xlfn.LET(
     _xlpm.txt,
     IF(OR(COUNTIF(AA5,"L*"), COUNTIF(AA5, "X*")),
        IF(AND(COUNTIF(AA5,"*P*"), COUNTIF(AA5,"*V*")),
           IF(COUNTIF(AA5,"*R*"),
              SUBSTITUTE(SUBSTITUTE(AA5,"P",""),"R","S"),
              SUBSTITUTE(AA5,"P","")),
           IF(AND(COUNTIF(AA5,"*P*"), COUNTIF(AA5,"*R*")),
              SUBSTITUTE(AA5,"R","S"),
              IF(AND(COUNTIF(AA5,"*V*"), COUNTIF(AA5,"*R*")),
                 SUBSTITUTE(AA5,"R","S"),
                 AA5))),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IF(AND(COUNTIF(AA5,"*P*"), COUNTIF(AA5,"*V*")),
                               IF(COUNTIF(AA5,"*R*"),
                                  SUBSTITUTE(SUBSTITUTE(AA5,"P",""),"R","S"),
                                  SUBSTITUTE(AA5,"P","")),
                               IF(AND(COUNTIF(AA5,"*P*"), COUNTIF(AA5,"*R*")),
                                  SUBSTITUTE(AA5,"R","S"),
                                  IF(AND(COUNTIF(AA5,"*V*"), COUNTIF(AA5,"*R*")),
                                     SUBSTITUTE(AA5,"R","S"),
                                     AA5))),
                          "0",""),"1",""),"2",""),"3",""),"4",""),
                      "5",""),"6",""),"7",""),"8",""),"9","")
     ),
     IF(SUM(--ISNUMBER(FIND({0,1,2,3,4,5,6,7,8,9}, _xlpm.txt)))=0,
        _xlpm.txt &amp; Data!CP47,
        _xlpm.txt
     )
   ),
   ""
)</f>
        <v/>
      </c>
      <c r="AB27" s="41" t="str" cm="1">
        <f t="array" ref="AB27">IF(AB5&lt;&gt;"",
   _xlfn.LET(
     _xlpm.txt,
     IF(OR(COUNTIF(AB5,"L*"), COUNTIF(AB5, "X*")),
        IF(AND(COUNTIF(AB5,"*P*"), COUNTIF(AB5,"*V*")),
           IF(COUNTIF(AB5,"*R*"),
              SUBSTITUTE(SUBSTITUTE(AB5,"P",""),"R","S"),
              SUBSTITUTE(AB5,"P","")),
           IF(AND(COUNTIF(AB5,"*P*"), COUNTIF(AB5,"*R*")),
              SUBSTITUTE(AB5,"R","S"),
              IF(AND(COUNTIF(AB5,"*V*"), COUNTIF(AB5,"*R*")),
                 SUBSTITUTE(AB5,"R","S"),
                 AB5))),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IF(AND(COUNTIF(AB5,"*P*"), COUNTIF(AB5,"*V*")),
                               IF(COUNTIF(AB5,"*R*"),
                                  SUBSTITUTE(SUBSTITUTE(AB5,"P",""),"R","S"),
                                  SUBSTITUTE(AB5,"P","")),
                               IF(AND(COUNTIF(AB5,"*P*"), COUNTIF(AB5,"*R*")),
                                  SUBSTITUTE(AB5,"R","S"),
                                  IF(AND(COUNTIF(AB5,"*V*"), COUNTIF(AB5,"*R*")),
                                     SUBSTITUTE(AB5,"R","S"),
                                     AB5))),
                          "0",""),"1",""),"2",""),"3",""),"4",""),
                      "5",""),"6",""),"7",""),"8",""),"9","")
     ),
     IF(SUM(--ISNUMBER(FIND({0,1,2,3,4,5,6,7,8,9}, _xlpm.txt)))=0,
        _xlpm.txt &amp; Data!CQ47,
        _xlpm.txt
     )
   ),
   ""
)</f>
        <v/>
      </c>
      <c r="AC27" s="41" t="str" cm="1">
        <f t="array" ref="AC27">IF(AC5&lt;&gt;"",
   _xlfn.LET(
     _xlpm.txt,
     IF(OR(COUNTIF(AC5,"L*"), COUNTIF(AC5, "X*")),
        IF(AND(COUNTIF(AC5,"*P*"), COUNTIF(AC5,"*V*")),
           IF(COUNTIF(AC5,"*R*"),
              SUBSTITUTE(SUBSTITUTE(AC5,"P",""),"R","S"),
              SUBSTITUTE(AC5,"P","")),
           IF(AND(COUNTIF(AC5,"*P*"), COUNTIF(AC5,"*R*")),
              SUBSTITUTE(AC5,"R","S"),
              IF(AND(COUNTIF(AC5,"*V*"), COUNTIF(AC5,"*R*")),
                 SUBSTITUTE(AC5,"R","S"),
                 AC5))),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IF(AND(COUNTIF(AC5,"*P*"), COUNTIF(AC5,"*V*")),
                               IF(COUNTIF(AC5,"*R*"),
                                  SUBSTITUTE(SUBSTITUTE(AC5,"P",""),"R","S"),
                                  SUBSTITUTE(AC5,"P","")),
                               IF(AND(COUNTIF(AC5,"*P*"), COUNTIF(AC5,"*R*")),
                                  SUBSTITUTE(AC5,"R","S"),
                                  IF(AND(COUNTIF(AC5,"*V*"), COUNTIF(AC5,"*R*")),
                                     SUBSTITUTE(AC5,"R","S"),
                                     AC5))),
                          "0",""),"1",""),"2",""),"3",""),"4",""),
                      "5",""),"6",""),"7",""),"8",""),"9","")
     ),
     IF(SUM(--ISNUMBER(FIND({0,1,2,3,4,5,6,7,8,9}, _xlpm.txt)))=0,
        _xlpm.txt &amp; Data!CR47,
        _xlpm.txt
     )
   ),
   ""
)</f>
        <v/>
      </c>
      <c r="AD27" s="41" t="str" cm="1">
        <f t="array" ref="AD27">IF(AD5&lt;&gt;"",
   _xlfn.LET(
     _xlpm.txt,
     IF(OR(COUNTIF(AD5,"L*"), COUNTIF(AD5, "X*")),
        IF(AND(COUNTIF(AD5,"*P*"), COUNTIF(AD5,"*V*")),
           IF(COUNTIF(AD5,"*R*"),
              SUBSTITUTE(SUBSTITUTE(AD5,"P",""),"R","S"),
              SUBSTITUTE(AD5,"P","")),
           IF(AND(COUNTIF(AD5,"*P*"), COUNTIF(AD5,"*R*")),
              SUBSTITUTE(AD5,"R","S"),
              IF(AND(COUNTIF(AD5,"*V*"), COUNTIF(AD5,"*R*")),
                 SUBSTITUTE(AD5,"R","S"),
                 AD5))),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IF(AND(COUNTIF(AD5,"*P*"), COUNTIF(AD5,"*V*")),
                               IF(COUNTIF(AD5,"*R*"),
                                  SUBSTITUTE(SUBSTITUTE(AD5,"P",""),"R","S"),
                                  SUBSTITUTE(AD5,"P","")),
                               IF(AND(COUNTIF(AD5,"*P*"), COUNTIF(AD5,"*R*")),
                                  SUBSTITUTE(AD5,"R","S"),
                                  IF(AND(COUNTIF(AD5,"*V*"), COUNTIF(AD5,"*R*")),
                                     SUBSTITUTE(AD5,"R","S"),
                                     AD5))),
                          "0",""),"1",""),"2",""),"3",""),"4",""),
                      "5",""),"6",""),"7",""),"8",""),"9","")
     ),
     IF(SUM(--ISNUMBER(FIND({0,1,2,3,4,5,6,7,8,9}, _xlpm.txt)))=0,
        _xlpm.txt &amp; Data!CS47,
        _xlpm.txt
     )
   ),
   ""
)</f>
        <v/>
      </c>
      <c r="AE27" s="41" t="str" cm="1">
        <f t="array" ref="AE27">IF(AE5&lt;&gt;"",
   _xlfn.LET(
     _xlpm.txt,
     IF(OR(COUNTIF(AE5,"L*"), COUNTIF(AE5, "X*")),
        IF(AND(COUNTIF(AE5,"*P*"), COUNTIF(AE5,"*V*")),
           IF(COUNTIF(AE5,"*R*"),
              SUBSTITUTE(SUBSTITUTE(AE5,"P",""),"R","S"),
              SUBSTITUTE(AE5,"P","")),
           IF(AND(COUNTIF(AE5,"*P*"), COUNTIF(AE5,"*R*")),
              SUBSTITUTE(AE5,"R","S"),
              IF(AND(COUNTIF(AE5,"*V*"), COUNTIF(AE5,"*R*")),
                 SUBSTITUTE(AE5,"R","S"),
                 AE5))),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IF(AND(COUNTIF(AE5,"*P*"), COUNTIF(AE5,"*V*")),
                               IF(COUNTIF(AE5,"*R*"),
                                  SUBSTITUTE(SUBSTITUTE(AE5,"P",""),"R","S"),
                                  SUBSTITUTE(AE5,"P","")),
                               IF(AND(COUNTIF(AE5,"*P*"), COUNTIF(AE5,"*R*")),
                                  SUBSTITUTE(AE5,"R","S"),
                                  IF(AND(COUNTIF(AE5,"*V*"), COUNTIF(AE5,"*R*")),
                                     SUBSTITUTE(AE5,"R","S"),
                                     AE5))),
                          "0",""),"1",""),"2",""),"3",""),"4",""),
                      "5",""),"6",""),"7",""),"8",""),"9","")
     ),
     IF(SUM(--ISNUMBER(FIND({0,1,2,3,4,5,6,7,8,9}, _xlpm.txt)))=0,
        _xlpm.txt &amp; Data!CT47,
        _xlpm.txt
     )
   ),
   ""
)</f>
        <v/>
      </c>
      <c r="AF27" s="41" t="str" cm="1">
        <f t="array" ref="AF27">IF(AF5&lt;&gt;"",
   _xlfn.LET(
     _xlpm.txt,
     IF(OR(COUNTIF(AF5,"L*"), COUNTIF(AF5, "X*")),
        IF(AND(COUNTIF(AF5,"*P*"), COUNTIF(AF5,"*V*")),
           IF(COUNTIF(AF5,"*R*"),
              SUBSTITUTE(SUBSTITUTE(AF5,"P",""),"R","S"),
              SUBSTITUTE(AF5,"P","")),
           IF(AND(COUNTIF(AF5,"*P*"), COUNTIF(AF5,"*R*")),
              SUBSTITUTE(AF5,"R","S"),
              IF(AND(COUNTIF(AF5,"*V*"), COUNTIF(AF5,"*R*")),
                 SUBSTITUTE(AF5,"R","S"),
                 AF5))),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IF(AND(COUNTIF(AF5,"*P*"), COUNTIF(AF5,"*V*")),
                               IF(COUNTIF(AF5,"*R*"),
                                  SUBSTITUTE(SUBSTITUTE(AF5,"P",""),"R","S"),
                                  SUBSTITUTE(AF5,"P","")),
                               IF(AND(COUNTIF(AF5,"*P*"), COUNTIF(AF5,"*R*")),
                                  SUBSTITUTE(AF5,"R","S"),
                                  IF(AND(COUNTIF(AF5,"*V*"), COUNTIF(AF5,"*R*")),
                                     SUBSTITUTE(AF5,"R","S"),
                                     AF5))),
                          "0",""),"1",""),"2",""),"3",""),"4",""),
                      "5",""),"6",""),"7",""),"8",""),"9","")
     ),
     IF(SUM(--ISNUMBER(FIND({0,1,2,3,4,5,6,7,8,9}, _xlpm.txt)))=0,
        _xlpm.txt &amp; Data!CU47,
        _xlpm.txt
     )
   ),
   ""
)</f>
        <v/>
      </c>
      <c r="AG27" s="41" t="str" cm="1">
        <f t="array" ref="AG27">IF(AG5&lt;&gt;"",
   _xlfn.LET(
     _xlpm.txt,
     IF(OR(COUNTIF(AG5,"L*"), COUNTIF(AG5, "X*")),
        IF(AND(COUNTIF(AG5,"*P*"), COUNTIF(AG5,"*V*")),
           IF(COUNTIF(AG5,"*R*"),
              SUBSTITUTE(SUBSTITUTE(AG5,"P",""),"R","S"),
              SUBSTITUTE(AG5,"P","")),
           IF(AND(COUNTIF(AG5,"*P*"), COUNTIF(AG5,"*R*")),
              SUBSTITUTE(AG5,"R","S"),
              IF(AND(COUNTIF(AG5,"*V*"), COUNTIF(AG5,"*R*")),
                 SUBSTITUTE(AG5,"R","S"),
                 AG5))),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IF(AND(COUNTIF(AG5,"*P*"), COUNTIF(AG5,"*V*")),
                               IF(COUNTIF(AG5,"*R*"),
                                  SUBSTITUTE(SUBSTITUTE(AG5,"P",""),"R","S"),
                                  SUBSTITUTE(AG5,"P","")),
                               IF(AND(COUNTIF(AG5,"*P*"), COUNTIF(AG5,"*R*")),
                                  SUBSTITUTE(AG5,"R","S"),
                                  IF(AND(COUNTIF(AG5,"*V*"), COUNTIF(AG5,"*R*")),
                                     SUBSTITUTE(AG5,"R","S"),
                                     AG5))),
                          "0",""),"1",""),"2",""),"3",""),"4",""),
                      "5",""),"6",""),"7",""),"8",""),"9","")
     ),
     IF(SUM(--ISNUMBER(FIND({0,1,2,3,4,5,6,7,8,9}, _xlpm.txt)))=0,
        _xlpm.txt &amp; Data!CV47,
        _xlpm.txt
     )
   ),
   ""
)</f>
        <v/>
      </c>
      <c r="AH27" s="41" t="str" cm="1">
        <f t="array" ref="AH27">IF(AH5&lt;&gt;"",
   _xlfn.LET(
     _xlpm.txt,
     IF(OR(COUNTIF(AH5,"L*"), COUNTIF(AH5, "X*")),
        IF(AND(COUNTIF(AH5,"*P*"), COUNTIF(AH5,"*V*")),
           IF(COUNTIF(AH5,"*R*"),
              SUBSTITUTE(SUBSTITUTE(AH5,"P",""),"R","S"),
              SUBSTITUTE(AH5,"P","")),
           IF(AND(COUNTIF(AH5,"*P*"), COUNTIF(AH5,"*R*")),
              SUBSTITUTE(AH5,"R","S"),
              IF(AND(COUNTIF(AH5,"*V*"), COUNTIF(AH5,"*R*")),
                 SUBSTITUTE(AH5,"R","S"),
                 AH5))),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IF(AND(COUNTIF(AH5,"*P*"), COUNTIF(AH5,"*V*")),
                               IF(COUNTIF(AH5,"*R*"),
                                  SUBSTITUTE(SUBSTITUTE(AH5,"P",""),"R","S"),
                                  SUBSTITUTE(AH5,"P","")),
                               IF(AND(COUNTIF(AH5,"*P*"), COUNTIF(AH5,"*R*")),
                                  SUBSTITUTE(AH5,"R","S"),
                                  IF(AND(COUNTIF(AH5,"*V*"), COUNTIF(AH5,"*R*")),
                                     SUBSTITUTE(AH5,"R","S"),
                                     AH5))),
                          "0",""),"1",""),"2",""),"3",""),"4",""),
                      "5",""),"6",""),"7",""),"8",""),"9","")
     ),
     IF(SUM(--ISNUMBER(FIND({0,1,2,3,4,5,6,7,8,9}, _xlpm.txt)))=0,
        _xlpm.txt &amp; Data!CW47,
        _xlpm.txt
     )
   ),
   ""
)</f>
        <v/>
      </c>
      <c r="AI27" s="41" t="str" cm="1">
        <f t="array" ref="AI27">IF(AI5&lt;&gt;"",
   _xlfn.LET(
     _xlpm.txt,
     IF(OR(COUNTIF(AI5,"L*"), COUNTIF(AI5, "X*")),
        IF(AND(COUNTIF(AI5,"*P*"), COUNTIF(AI5,"*V*")),
           IF(COUNTIF(AI5,"*R*"),
              SUBSTITUTE(SUBSTITUTE(AI5,"P",""),"R","S"),
              SUBSTITUTE(AI5,"P","")),
           IF(AND(COUNTIF(AI5,"*P*"), COUNTIF(AI5,"*R*")),
              SUBSTITUTE(AI5,"R","S"),
              IF(AND(COUNTIF(AI5,"*V*"), COUNTIF(AI5,"*R*")),
                 SUBSTITUTE(AI5,"R","S"),
                 AI5))),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IF(AND(COUNTIF(AI5,"*P*"), COUNTIF(AI5,"*V*")),
                               IF(COUNTIF(AI5,"*R*"),
                                  SUBSTITUTE(SUBSTITUTE(AI5,"P",""),"R","S"),
                                  SUBSTITUTE(AI5,"P","")),
                               IF(AND(COUNTIF(AI5,"*P*"), COUNTIF(AI5,"*R*")),
                                  SUBSTITUTE(AI5,"R","S"),
                                  IF(AND(COUNTIF(AI5,"*V*"), COUNTIF(AI5,"*R*")),
                                     SUBSTITUTE(AI5,"R","S"),
                                     AI5))),
                          "0",""),"1",""),"2",""),"3",""),"4",""),
                      "5",""),"6",""),"7",""),"8",""),"9","")
     ),
     IF(SUM(--ISNUMBER(FIND({0,1,2,3,4,5,6,7,8,9}, _xlpm.txt)))=0,
        _xlpm.txt &amp; Data!CX47,
        _xlpm.txt
     )
   ),
   ""
)</f>
        <v/>
      </c>
      <c r="AJ27" s="41" t="str" cm="1">
        <f t="array" ref="AJ27">IF(AJ5&lt;&gt;"",
   _xlfn.LET(
     _xlpm.txt,
     IF(OR(COUNTIF(AJ5,"L*"), COUNTIF(AJ5, "X*")),
        IF(AND(COUNTIF(AJ5,"*P*"), COUNTIF(AJ5,"*V*")),
           IF(COUNTIF(AJ5,"*R*"),
              SUBSTITUTE(SUBSTITUTE(AJ5,"P",""),"R","S"),
              SUBSTITUTE(AJ5,"P","")),
           IF(AND(COUNTIF(AJ5,"*P*"), COUNTIF(AJ5,"*R*")),
              SUBSTITUTE(AJ5,"R","S"),
              IF(AND(COUNTIF(AJ5,"*V*"), COUNTIF(AJ5,"*R*")),
                 SUBSTITUTE(AJ5,"R","S"),
                 AJ5))),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IF(AND(COUNTIF(AJ5,"*P*"), COUNTIF(AJ5,"*V*")),
                               IF(COUNTIF(AJ5,"*R*"),
                                  SUBSTITUTE(SUBSTITUTE(AJ5,"P",""),"R","S"),
                                  SUBSTITUTE(AJ5,"P","")),
                               IF(AND(COUNTIF(AJ5,"*P*"), COUNTIF(AJ5,"*R*")),
                                  SUBSTITUTE(AJ5,"R","S"),
                                  IF(AND(COUNTIF(AJ5,"*V*"), COUNTIF(AJ5,"*R*")),
                                     SUBSTITUTE(AJ5,"R","S"),
                                     AJ5))),
                          "0",""),"1",""),"2",""),"3",""),"4",""),
                      "5",""),"6",""),"7",""),"8",""),"9","")
     ),
     IF(SUM(--ISNUMBER(FIND({0,1,2,3,4,5,6,7,8,9}, _xlpm.txt)))=0,
        _xlpm.txt &amp; Data!CY47,
        _xlpm.txt
     )
   ),
   ""
)</f>
        <v/>
      </c>
    </row>
    <row r="28" spans="1:43" ht="23.25" customHeight="1" x14ac:dyDescent="0.35">
      <c r="A28" s="1196"/>
      <c r="B28" s="22">
        <v>3</v>
      </c>
      <c r="C28" s="41" t="str" cm="1">
        <f t="array" ref="C28">IF(C6&lt;&gt;"",
   _xlfn.LET(
     _xlpm.txt,
     IF(OR(COUNTIF(C6,"L*"), COUNTIF(C6, "X*")),
        IF(AND(COUNTIF(C6,"*P*"), COUNTIF(C6,"*V*")),
           IF(COUNTIF(C6,"*R*"),
              SUBSTITUTE(SUBSTITUTE(C6,"P",""),"R","S"),
              SUBSTITUTE(C6,"P","")),
           IF(AND(COUNTIF(C6,"*P*"), COUNTIF(C6,"*R*")),
              SUBSTITUTE(C6,"R","S"),
              IF(AND(COUNTIF(C6,"*V*"), COUNTIF(C6,"*R*")),
                 SUBSTITUTE(C6,"R","S"),
                 C6))),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IF(AND(COUNTIF(C6,"*P*"), COUNTIF(C6,"*V*")),
                               IF(COUNTIF(C6,"*R*"),
                                  SUBSTITUTE(SUBSTITUTE(C6,"P",""),"R","S"),
                                  SUBSTITUTE(C6,"P","")),
                               IF(AND(COUNTIF(C6,"*P*"), COUNTIF(C6,"*R*")),
                                  SUBSTITUTE(C6,"R","S"),
                                  IF(AND(COUNTIF(C6,"*V*"), COUNTIF(C6,"*R*")),
                                     SUBSTITUTE(C6,"R","S"),
                                     C6))),
                          "0",""),"1",""),"2",""),"3",""),"4",""),
                      "5",""),"6",""),"7",""),"8",""),"9","")
     ),
     IF(SUM(--ISNUMBER(FIND({0,1,2,3,4,5,6,7,8,9}, _xlpm.txt)))=0,
        _xlpm.txt &amp; Data!BR48,
        _xlpm.txt
     )
   ),
   ""
)</f>
        <v>R1</v>
      </c>
      <c r="D28" s="41" t="str" cm="1">
        <f t="array" ref="D28">IF(D6&lt;&gt;"",
   _xlfn.LET(
     _xlpm.txt,
     IF(OR(COUNTIF(D6,"L*"), COUNTIF(D6, "X*")),
        IF(AND(COUNTIF(D6,"*P*"), COUNTIF(D6,"*V*")),
           IF(COUNTIF(D6,"*R*"),
              SUBSTITUTE(SUBSTITUTE(D6,"P",""),"R","S"),
              SUBSTITUTE(D6,"P","")),
           IF(AND(COUNTIF(D6,"*P*"), COUNTIF(D6,"*R*")),
              SUBSTITUTE(D6,"R","S"),
              IF(AND(COUNTIF(D6,"*V*"), COUNTIF(D6,"*R*")),
                 SUBSTITUTE(D6,"R","S"),
                 D6))),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IF(AND(COUNTIF(D6,"*P*"), COUNTIF(D6,"*V*")),
                               IF(COUNTIF(D6,"*R*"),
                                  SUBSTITUTE(SUBSTITUTE(D6,"P",""),"R","S"),
                                  SUBSTITUTE(D6,"P","")),
                               IF(AND(COUNTIF(D6,"*P*"), COUNTIF(D6,"*R*")),
                                  SUBSTITUTE(D6,"R","S"),
                                  IF(AND(COUNTIF(D6,"*V*"), COUNTIF(D6,"*R*")),
                                     SUBSTITUTE(D6,"R","S"),
                                     D6))),
                          "0",""),"1",""),"2",""),"3",""),"4",""),
                      "5",""),"6",""),"7",""),"8",""),"9","")
     ),
     IF(SUM(--ISNUMBER(FIND({0,1,2,3,4,5,6,7,8,9}, _xlpm.txt)))=0,
        _xlpm.txt &amp; Data!BS48,
        _xlpm.txt
     )
   ),
   ""
)</f>
        <v>R1</v>
      </c>
      <c r="E28" s="41" t="str" cm="1">
        <f t="array" ref="E28">IF(E6&lt;&gt;"",
   _xlfn.LET(
     _xlpm.txt,
     IF(OR(COUNTIF(E6,"L*"), COUNTIF(E6, "X*")),
        IF(AND(COUNTIF(E6,"*P*"), COUNTIF(E6,"*V*")),
           IF(COUNTIF(E6,"*R*"),
              SUBSTITUTE(SUBSTITUTE(E6,"P",""),"R","S"),
              SUBSTITUTE(E6,"P","")),
           IF(AND(COUNTIF(E6,"*P*"), COUNTIF(E6,"*R*")),
              SUBSTITUTE(E6,"R","S"),
              IF(AND(COUNTIF(E6,"*V*"), COUNTIF(E6,"*R*")),
                 SUBSTITUTE(E6,"R","S"),
                 E6))),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IF(AND(COUNTIF(E6,"*P*"), COUNTIF(E6,"*V*")),
                               IF(COUNTIF(E6,"*R*"),
                                  SUBSTITUTE(SUBSTITUTE(E6,"P",""),"R","S"),
                                  SUBSTITUTE(E6,"P","")),
                               IF(AND(COUNTIF(E6,"*P*"), COUNTIF(E6,"*R*")),
                                  SUBSTITUTE(E6,"R","S"),
                                  IF(AND(COUNTIF(E6,"*V*"), COUNTIF(E6,"*R*")),
                                     SUBSTITUTE(E6,"R","S"),
                                     E6))),
                          "0",""),"1",""),"2",""),"3",""),"4",""),
                      "5",""),"6",""),"7",""),"8",""),"9","")
     ),
     IF(SUM(--ISNUMBER(FIND({0,1,2,3,4,5,6,7,8,9}, _xlpm.txt)))=0,
        _xlpm.txt &amp; Data!BT48,
        _xlpm.txt
     )
   ),
   ""
)</f>
        <v>R1</v>
      </c>
      <c r="F28" s="41" t="str" cm="1">
        <f t="array" ref="F28">IF(F6&lt;&gt;"",
   _xlfn.LET(
     _xlpm.txt,
     IF(OR(COUNTIF(F6,"L*"), COUNTIF(F6, "X*")),
        IF(AND(COUNTIF(F6,"*P*"), COUNTIF(F6,"*V*")),
           IF(COUNTIF(F6,"*R*"),
              SUBSTITUTE(SUBSTITUTE(F6,"P",""),"R","S"),
              SUBSTITUTE(F6,"P","")),
           IF(AND(COUNTIF(F6,"*P*"), COUNTIF(F6,"*R*")),
              SUBSTITUTE(F6,"R","S"),
              IF(AND(COUNTIF(F6,"*V*"), COUNTIF(F6,"*R*")),
                 SUBSTITUTE(F6,"R","S"),
                 F6))),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IF(AND(COUNTIF(F6,"*P*"), COUNTIF(F6,"*V*")),
                               IF(COUNTIF(F6,"*R*"),
                                  SUBSTITUTE(SUBSTITUTE(F6,"P",""),"R","S"),
                                  SUBSTITUTE(F6,"P","")),
                               IF(AND(COUNTIF(F6,"*P*"), COUNTIF(F6,"*R*")),
                                  SUBSTITUTE(F6,"R","S"),
                                  IF(AND(COUNTIF(F6,"*V*"), COUNTIF(F6,"*R*")),
                                     SUBSTITUTE(F6,"R","S"),
                                     F6))),
                          "0",""),"1",""),"2",""),"3",""),"4",""),
                      "5",""),"6",""),"7",""),"8",""),"9","")
     ),
     IF(SUM(--ISNUMBER(FIND({0,1,2,3,4,5,6,7,8,9}, _xlpm.txt)))=0,
        _xlpm.txt &amp; Data!BU48,
        _xlpm.txt
     )
   ),
   ""
)</f>
        <v>X5</v>
      </c>
      <c r="G28" s="41" t="str" cm="1">
        <f t="array" ref="G28">IF(G6&lt;&gt;"",
   _xlfn.LET(
     _xlpm.txt,
     IF(OR(COUNTIF(G6,"L*"), COUNTIF(G6, "X*")),
        IF(AND(COUNTIF(G6,"*P*"), COUNTIF(G6,"*V*")),
           IF(COUNTIF(G6,"*R*"),
              SUBSTITUTE(SUBSTITUTE(G6,"P",""),"R","S"),
              SUBSTITUTE(G6,"P","")),
           IF(AND(COUNTIF(G6,"*P*"), COUNTIF(G6,"*R*")),
              SUBSTITUTE(G6,"R","S"),
              IF(AND(COUNTIF(G6,"*V*"), COUNTIF(G6,"*R*")),
                 SUBSTITUTE(G6,"R","S"),
                 G6))),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IF(AND(COUNTIF(G6,"*P*"), COUNTIF(G6,"*V*")),
                               IF(COUNTIF(G6,"*R*"),
                                  SUBSTITUTE(SUBSTITUTE(G6,"P",""),"R","S"),
                                  SUBSTITUTE(G6,"P","")),
                               IF(AND(COUNTIF(G6,"*P*"), COUNTIF(G6,"*R*")),
                                  SUBSTITUTE(G6,"R","S"),
                                  IF(AND(COUNTIF(G6,"*V*"), COUNTIF(G6,"*R*")),
                                     SUBSTITUTE(G6,"R","S"),
                                     G6))),
                          "0",""),"1",""),"2",""),"3",""),"4",""),
                      "5",""),"6",""),"7",""),"8",""),"9","")
     ),
     IF(SUM(--ISNUMBER(FIND({0,1,2,3,4,5,6,7,8,9}, _xlpm.txt)))=0,
        _xlpm.txt &amp; Data!BV48,
        _xlpm.txt
     )
   ),
   ""
)</f>
        <v>X5</v>
      </c>
      <c r="H28" s="41" t="str" cm="1">
        <f t="array" ref="H28">IF(H6&lt;&gt;"",
   _xlfn.LET(
     _xlpm.txt,
     IF(OR(COUNTIF(H6,"L*"), COUNTIF(H6, "X*")),
        IF(AND(COUNTIF(H6,"*P*"), COUNTIF(H6,"*V*")),
           IF(COUNTIF(H6,"*R*"),
              SUBSTITUTE(SUBSTITUTE(H6,"P",""),"R","S"),
              SUBSTITUTE(H6,"P","")),
           IF(AND(COUNTIF(H6,"*P*"), COUNTIF(H6,"*R*")),
              SUBSTITUTE(H6,"R","S"),
              IF(AND(COUNTIF(H6,"*V*"), COUNTIF(H6,"*R*")),
                 SUBSTITUTE(H6,"R","S"),
                 H6))),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IF(AND(COUNTIF(H6,"*P*"), COUNTIF(H6,"*V*")),
                               IF(COUNTIF(H6,"*R*"),
                                  SUBSTITUTE(SUBSTITUTE(H6,"P",""),"R","S"),
                                  SUBSTITUTE(H6,"P","")),
                               IF(AND(COUNTIF(H6,"*P*"), COUNTIF(H6,"*R*")),
                                  SUBSTITUTE(H6,"R","S"),
                                  IF(AND(COUNTIF(H6,"*V*"), COUNTIF(H6,"*R*")),
                                     SUBSTITUTE(H6,"R","S"),
                                     H6))),
                          "0",""),"1",""),"2",""),"3",""),"4",""),
                      "5",""),"6",""),"7",""),"8",""),"9","")
     ),
     IF(SUM(--ISNUMBER(FIND({0,1,2,3,4,5,6,7,8,9}, _xlpm.txt)))=0,
        _xlpm.txt &amp; Data!BW48,
        _xlpm.txt
     )
   ),
   ""
)</f>
        <v>X5</v>
      </c>
      <c r="I28" s="41" t="str" cm="1">
        <f t="array" ref="I28">IF(I6&lt;&gt;"",
   _xlfn.LET(
     _xlpm.txt,
     IF(OR(COUNTIF(I6,"L*"), COUNTIF(I6, "X*")),
        IF(AND(COUNTIF(I6,"*P*"), COUNTIF(I6,"*V*")),
           IF(COUNTIF(I6,"*R*"),
              SUBSTITUTE(SUBSTITUTE(I6,"P",""),"R","S"),
              SUBSTITUTE(I6,"P","")),
           IF(AND(COUNTIF(I6,"*P*"), COUNTIF(I6,"*R*")),
              SUBSTITUTE(I6,"R","S"),
              IF(AND(COUNTIF(I6,"*V*"), COUNTIF(I6,"*R*")),
                 SUBSTITUTE(I6,"R","S"),
                 I6))),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IF(AND(COUNTIF(I6,"*P*"), COUNTIF(I6,"*V*")),
                               IF(COUNTIF(I6,"*R*"),
                                  SUBSTITUTE(SUBSTITUTE(I6,"P",""),"R","S"),
                                  SUBSTITUTE(I6,"P","")),
                               IF(AND(COUNTIF(I6,"*P*"), COUNTIF(I6,"*R*")),
                                  SUBSTITUTE(I6,"R","S"),
                                  IF(AND(COUNTIF(I6,"*V*"), COUNTIF(I6,"*R*")),
                                     SUBSTITUTE(I6,"R","S"),
                                     I6))),
                          "0",""),"1",""),"2",""),"3",""),"4",""),
                      "5",""),"6",""),"7",""),"8",""),"9","")
     ),
     IF(SUM(--ISNUMBER(FIND({0,1,2,3,4,5,6,7,8,9}, _xlpm.txt)))=0,
        _xlpm.txt &amp; Data!BX48,
        _xlpm.txt
     )
   ),
   ""
)</f>
        <v>X3</v>
      </c>
      <c r="J28" s="41" t="str" cm="1">
        <f t="array" ref="J28">IF(J6&lt;&gt;"",
   _xlfn.LET(
     _xlpm.txt,
     IF(OR(COUNTIF(J6,"L*"), COUNTIF(J6, "X*")),
        IF(AND(COUNTIF(J6,"*P*"), COUNTIF(J6,"*V*")),
           IF(COUNTIF(J6,"*R*"),
              SUBSTITUTE(SUBSTITUTE(J6,"P",""),"R","S"),
              SUBSTITUTE(J6,"P","")),
           IF(AND(COUNTIF(J6,"*P*"), COUNTIF(J6,"*R*")),
              SUBSTITUTE(J6,"R","S"),
              IF(AND(COUNTIF(J6,"*V*"), COUNTIF(J6,"*R*")),
                 SUBSTITUTE(J6,"R","S"),
                 J6))),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IF(AND(COUNTIF(J6,"*P*"), COUNTIF(J6,"*V*")),
                               IF(COUNTIF(J6,"*R*"),
                                  SUBSTITUTE(SUBSTITUTE(J6,"P",""),"R","S"),
                                  SUBSTITUTE(J6,"P","")),
                               IF(AND(COUNTIF(J6,"*P*"), COUNTIF(J6,"*R*")),
                                  SUBSTITUTE(J6,"R","S"),
                                  IF(AND(COUNTIF(J6,"*V*"), COUNTIF(J6,"*R*")),
                                     SUBSTITUTE(J6,"R","S"),
                                     J6))),
                          "0",""),"1",""),"2",""),"3",""),"4",""),
                      "5",""),"6",""),"7",""),"8",""),"9","")
     ),
     IF(SUM(--ISNUMBER(FIND({0,1,2,3,4,5,6,7,8,9}, _xlpm.txt)))=0,
        _xlpm.txt &amp; Data!BY48,
        _xlpm.txt
     )
   ),
   ""
)</f>
        <v/>
      </c>
      <c r="K28" s="41" t="str" cm="1">
        <f t="array" ref="K28">IF(K6&lt;&gt;"",
   _xlfn.LET(
     _xlpm.txt,
     IF(OR(COUNTIF(K6,"L*"), COUNTIF(K6, "X*")),
        IF(AND(COUNTIF(K6,"*P*"), COUNTIF(K6,"*V*")),
           IF(COUNTIF(K6,"*R*"),
              SUBSTITUTE(SUBSTITUTE(K6,"P",""),"R","S"),
              SUBSTITUTE(K6,"P","")),
           IF(AND(COUNTIF(K6,"*P*"), COUNTIF(K6,"*R*")),
              SUBSTITUTE(K6,"R","S"),
              IF(AND(COUNTIF(K6,"*V*"), COUNTIF(K6,"*R*")),
                 SUBSTITUTE(K6,"R","S"),
                 K6))),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IF(AND(COUNTIF(K6,"*P*"), COUNTIF(K6,"*V*")),
                               IF(COUNTIF(K6,"*R*"),
                                  SUBSTITUTE(SUBSTITUTE(K6,"P",""),"R","S"),
                                  SUBSTITUTE(K6,"P","")),
                               IF(AND(COUNTIF(K6,"*P*"), COUNTIF(K6,"*R*")),
                                  SUBSTITUTE(K6,"R","S"),
                                  IF(AND(COUNTIF(K6,"*V*"), COUNTIF(K6,"*R*")),
                                     SUBSTITUTE(K6,"R","S"),
                                     K6))),
                          "0",""),"1",""),"2",""),"3",""),"4",""),
                      "5",""),"6",""),"7",""),"8",""),"9","")
     ),
     IF(SUM(--ISNUMBER(FIND({0,1,2,3,4,5,6,7,8,9}, _xlpm.txt)))=0,
        _xlpm.txt &amp; Data!BZ48,
        _xlpm.txt
     )
   ),
   ""
)</f>
        <v/>
      </c>
      <c r="L28" s="41" t="str" cm="1">
        <f t="array" ref="L28">IF(L6&lt;&gt;"",
   _xlfn.LET(
     _xlpm.txt,
     IF(OR(COUNTIF(L6,"L*"), COUNTIF(L6, "X*")),
        IF(AND(COUNTIF(L6,"*P*"), COUNTIF(L6,"*V*")),
           IF(COUNTIF(L6,"*R*"),
              SUBSTITUTE(SUBSTITUTE(L6,"P",""),"R","S"),
              SUBSTITUTE(L6,"P","")),
           IF(AND(COUNTIF(L6,"*P*"), COUNTIF(L6,"*R*")),
              SUBSTITUTE(L6,"R","S"),
              IF(AND(COUNTIF(L6,"*V*"), COUNTIF(L6,"*R*")),
                 SUBSTITUTE(L6,"R","S"),
                 L6))),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IF(AND(COUNTIF(L6,"*P*"), COUNTIF(L6,"*V*")),
                               IF(COUNTIF(L6,"*R*"),
                                  SUBSTITUTE(SUBSTITUTE(L6,"P",""),"R","S"),
                                  SUBSTITUTE(L6,"P","")),
                               IF(AND(COUNTIF(L6,"*P*"), COUNTIF(L6,"*R*")),
                                  SUBSTITUTE(L6,"R","S"),
                                  IF(AND(COUNTIF(L6,"*V*"), COUNTIF(L6,"*R*")),
                                     SUBSTITUTE(L6,"R","S"),
                                     L6))),
                          "0",""),"1",""),"2",""),"3",""),"4",""),
                      "5",""),"6",""),"7",""),"8",""),"9","")
     ),
     IF(SUM(--ISNUMBER(FIND({0,1,2,3,4,5,6,7,8,9}, _xlpm.txt)))=0,
        _xlpm.txt &amp; Data!CA48,
        _xlpm.txt
     )
   ),
   ""
)</f>
        <v>R2</v>
      </c>
      <c r="M28" s="41" t="str" cm="1">
        <f t="array" ref="M28">IF(M6&lt;&gt;"",
   _xlfn.LET(
     _xlpm.txt,
     IF(OR(COUNTIF(M6,"L*"), COUNTIF(M6, "X*")),
        IF(AND(COUNTIF(M6,"*P*"), COUNTIF(M6,"*V*")),
           IF(COUNTIF(M6,"*R*"),
              SUBSTITUTE(SUBSTITUTE(M6,"P",""),"R","S"),
              SUBSTITUTE(M6,"P","")),
           IF(AND(COUNTIF(M6,"*P*"), COUNTIF(M6,"*R*")),
              SUBSTITUTE(M6,"R","S"),
              IF(AND(COUNTIF(M6,"*V*"), COUNTIF(M6,"*R*")),
                 SUBSTITUTE(M6,"R","S"),
                 M6))),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IF(AND(COUNTIF(M6,"*P*"), COUNTIF(M6,"*V*")),
                               IF(COUNTIF(M6,"*R*"),
                                  SUBSTITUTE(SUBSTITUTE(M6,"P",""),"R","S"),
                                  SUBSTITUTE(M6,"P","")),
                               IF(AND(COUNTIF(M6,"*P*"), COUNTIF(M6,"*R*")),
                                  SUBSTITUTE(M6,"R","S"),
                                  IF(AND(COUNTIF(M6,"*V*"), COUNTIF(M6,"*R*")),
                                     SUBSTITUTE(M6,"R","S"),
                                     M6))),
                          "0",""),"1",""),"2",""),"3",""),"4",""),
                      "5",""),"6",""),"7",""),"8",""),"9","")
     ),
     IF(SUM(--ISNUMBER(FIND({0,1,2,3,4,5,6,7,8,9}, _xlpm.txt)))=0,
        _xlpm.txt &amp; Data!CB48,
        _xlpm.txt
     )
   ),
   ""
)</f>
        <v>X4</v>
      </c>
      <c r="N28" s="41" t="str" cm="1">
        <f t="array" ref="N28">IF(N6&lt;&gt;"",
   _xlfn.LET(
     _xlpm.txt,
     IF(OR(COUNTIF(N6,"L*"), COUNTIF(N6, "X*")),
        IF(AND(COUNTIF(N6,"*P*"), COUNTIF(N6,"*V*")),
           IF(COUNTIF(N6,"*R*"),
              SUBSTITUTE(SUBSTITUTE(N6,"P",""),"R","S"),
              SUBSTITUTE(N6,"P","")),
           IF(AND(COUNTIF(N6,"*P*"), COUNTIF(N6,"*R*")),
              SUBSTITUTE(N6,"R","S"),
              IF(AND(COUNTIF(N6,"*V*"), COUNTIF(N6,"*R*")),
                 SUBSTITUTE(N6,"R","S"),
                 N6))),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IF(AND(COUNTIF(N6,"*P*"), COUNTIF(N6,"*V*")),
                               IF(COUNTIF(N6,"*R*"),
                                  SUBSTITUTE(SUBSTITUTE(N6,"P",""),"R","S"),
                                  SUBSTITUTE(N6,"P","")),
                               IF(AND(COUNTIF(N6,"*P*"), COUNTIF(N6,"*R*")),
                                  SUBSTITUTE(N6,"R","S"),
                                  IF(AND(COUNTIF(N6,"*V*"), COUNTIF(N6,"*R*")),
                                     SUBSTITUTE(N6,"R","S"),
                                     N6))),
                          "0",""),"1",""),"2",""),"3",""),"4",""),
                      "5",""),"6",""),"7",""),"8",""),"9","")
     ),
     IF(SUM(--ISNUMBER(FIND({0,1,2,3,4,5,6,7,8,9}, _xlpm.txt)))=0,
        _xlpm.txt &amp; Data!CC48,
        _xlpm.txt
     )
   ),
   ""
)</f>
        <v>X4</v>
      </c>
      <c r="O28" s="41" t="str" cm="1">
        <f t="array" ref="O28">IF(O6&lt;&gt;"",
   _xlfn.LET(
     _xlpm.txt,
     IF(OR(COUNTIF(O6,"L*"), COUNTIF(O6, "X*")),
        IF(AND(COUNTIF(O6,"*P*"), COUNTIF(O6,"*V*")),
           IF(COUNTIF(O6,"*R*"),
              SUBSTITUTE(SUBSTITUTE(O6,"P",""),"R","S"),
              SUBSTITUTE(O6,"P","")),
           IF(AND(COUNTIF(O6,"*P*"), COUNTIF(O6,"*R*")),
              SUBSTITUTE(O6,"R","S"),
              IF(AND(COUNTIF(O6,"*V*"), COUNTIF(O6,"*R*")),
                 SUBSTITUTE(O6,"R","S"),
                 O6))),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IF(AND(COUNTIF(O6,"*P*"), COUNTIF(O6,"*V*")),
                               IF(COUNTIF(O6,"*R*"),
                                  SUBSTITUTE(SUBSTITUTE(O6,"P",""),"R","S"),
                                  SUBSTITUTE(O6,"P","")),
                               IF(AND(COUNTIF(O6,"*P*"), COUNTIF(O6,"*R*")),
                                  SUBSTITUTE(O6,"R","S"),
                                  IF(AND(COUNTIF(O6,"*V*"), COUNTIF(O6,"*R*")),
                                     SUBSTITUTE(O6,"R","S"),
                                     O6))),
                          "0",""),"1",""),"2",""),"3",""),"4",""),
                      "5",""),"6",""),"7",""),"8",""),"9","")
     ),
     IF(SUM(--ISNUMBER(FIND({0,1,2,3,4,5,6,7,8,9}, _xlpm.txt)))=0,
        _xlpm.txt &amp; Data!CD48,
        _xlpm.txt
     )
   ),
   ""
)</f>
        <v/>
      </c>
      <c r="P28" s="41" t="str" cm="1">
        <f t="array" ref="P28">IF(P6&lt;&gt;"",
   _xlfn.LET(
     _xlpm.txt,
     IF(OR(COUNTIF(P6,"L*"), COUNTIF(P6, "X*")),
        IF(AND(COUNTIF(P6,"*P*"), COUNTIF(P6,"*V*")),
           IF(COUNTIF(P6,"*R*"),
              SUBSTITUTE(SUBSTITUTE(P6,"P",""),"R","S"),
              SUBSTITUTE(P6,"P","")),
           IF(AND(COUNTIF(P6,"*P*"), COUNTIF(P6,"*R*")),
              SUBSTITUTE(P6,"R","S"),
              IF(AND(COUNTIF(P6,"*V*"), COUNTIF(P6,"*R*")),
                 SUBSTITUTE(P6,"R","S"),
                 P6))),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IF(AND(COUNTIF(P6,"*P*"), COUNTIF(P6,"*V*")),
                               IF(COUNTIF(P6,"*R*"),
                                  SUBSTITUTE(SUBSTITUTE(P6,"P",""),"R","S"),
                                  SUBSTITUTE(P6,"P","")),
                               IF(AND(COUNTIF(P6,"*P*"), COUNTIF(P6,"*R*")),
                                  SUBSTITUTE(P6,"R","S"),
                                  IF(AND(COUNTIF(P6,"*V*"), COUNTIF(P6,"*R*")),
                                     SUBSTITUTE(P6,"R","S"),
                                     P6))),
                          "0",""),"1",""),"2",""),"3",""),"4",""),
                      "5",""),"6",""),"7",""),"8",""),"9","")
     ),
     IF(SUM(--ISNUMBER(FIND({0,1,2,3,4,5,6,7,8,9}, _xlpm.txt)))=0,
        _xlpm.txt &amp; Data!CE48,
        _xlpm.txt
     )
   ),
   ""
)</f>
        <v/>
      </c>
      <c r="Q28" s="41" t="str" cm="1">
        <f t="array" ref="Q28">IF(Q6&lt;&gt;"",
   _xlfn.LET(
     _xlpm.txt,
     IF(OR(COUNTIF(Q6,"L*"), COUNTIF(Q6, "X*")),
        IF(AND(COUNTIF(Q6,"*P*"), COUNTIF(Q6,"*V*")),
           IF(COUNTIF(Q6,"*R*"),
              SUBSTITUTE(SUBSTITUTE(Q6,"P",""),"R","S"),
              SUBSTITUTE(Q6,"P","")),
           IF(AND(COUNTIF(Q6,"*P*"), COUNTIF(Q6,"*R*")),
              SUBSTITUTE(Q6,"R","S"),
              IF(AND(COUNTIF(Q6,"*V*"), COUNTIF(Q6,"*R*")),
                 SUBSTITUTE(Q6,"R","S"),
                 Q6))),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IF(AND(COUNTIF(Q6,"*P*"), COUNTIF(Q6,"*V*")),
                               IF(COUNTIF(Q6,"*R*"),
                                  SUBSTITUTE(SUBSTITUTE(Q6,"P",""),"R","S"),
                                  SUBSTITUTE(Q6,"P","")),
                               IF(AND(COUNTIF(Q6,"*P*"), COUNTIF(Q6,"*R*")),
                                  SUBSTITUTE(Q6,"R","S"),
                                  IF(AND(COUNTIF(Q6,"*V*"), COUNTIF(Q6,"*R*")),
                                     SUBSTITUTE(Q6,"R","S"),
                                     Q6))),
                          "0",""),"1",""),"2",""),"3",""),"4",""),
                      "5",""),"6",""),"7",""),"8",""),"9","")
     ),
     IF(SUM(--ISNUMBER(FIND({0,1,2,3,4,5,6,7,8,9}, _xlpm.txt)))=0,
        _xlpm.txt &amp; Data!CF48,
        _xlpm.txt
     )
   ),
   ""
)</f>
        <v/>
      </c>
      <c r="R28" s="41" t="str" cm="1">
        <f t="array" ref="R28">IF(R6&lt;&gt;"",
   _xlfn.LET(
     _xlpm.txt,
     IF(OR(COUNTIF(R6,"L*"), COUNTIF(R6, "X*")),
        IF(AND(COUNTIF(R6,"*P*"), COUNTIF(R6,"*V*")),
           IF(COUNTIF(R6,"*R*"),
              SUBSTITUTE(SUBSTITUTE(R6,"P",""),"R","S"),
              SUBSTITUTE(R6,"P","")),
           IF(AND(COUNTIF(R6,"*P*"), COUNTIF(R6,"*R*")),
              SUBSTITUTE(R6,"R","S"),
              IF(AND(COUNTIF(R6,"*V*"), COUNTIF(R6,"*R*")),
                 SUBSTITUTE(R6,"R","S"),
                 R6))),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IF(AND(COUNTIF(R6,"*P*"), COUNTIF(R6,"*V*")),
                               IF(COUNTIF(R6,"*R*"),
                                  SUBSTITUTE(SUBSTITUTE(R6,"P",""),"R","S"),
                                  SUBSTITUTE(R6,"P","")),
                               IF(AND(COUNTIF(R6,"*P*"), COUNTIF(R6,"*R*")),
                                  SUBSTITUTE(R6,"R","S"),
                                  IF(AND(COUNTIF(R6,"*V*"), COUNTIF(R6,"*R*")),
                                     SUBSTITUTE(R6,"R","S"),
                                     R6))),
                          "0",""),"1",""),"2",""),"3",""),"4",""),
                      "5",""),"6",""),"7",""),"8",""),"9","")
     ),
     IF(SUM(--ISNUMBER(FIND({0,1,2,3,4,5,6,7,8,9}, _xlpm.txt)))=0,
        _xlpm.txt &amp; Data!CG48,
        _xlpm.txt
     )
   ),
   ""
)</f>
        <v/>
      </c>
      <c r="S28" s="41" t="str" cm="1">
        <f t="array" ref="S28">IF(S6&lt;&gt;"",
   _xlfn.LET(
     _xlpm.txt,
     IF(OR(COUNTIF(S6,"L*"), COUNTIF(S6, "X*")),
        IF(AND(COUNTIF(S6,"*P*"), COUNTIF(S6,"*V*")),
           IF(COUNTIF(S6,"*R*"),
              SUBSTITUTE(SUBSTITUTE(S6,"P",""),"R","S"),
              SUBSTITUTE(S6,"P","")),
           IF(AND(COUNTIF(S6,"*P*"), COUNTIF(S6,"*R*")),
              SUBSTITUTE(S6,"R","S"),
              IF(AND(COUNTIF(S6,"*V*"), COUNTIF(S6,"*R*")),
                 SUBSTITUTE(S6,"R","S"),
                 S6))),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IF(AND(COUNTIF(S6,"*P*"), COUNTIF(S6,"*V*")),
                               IF(COUNTIF(S6,"*R*"),
                                  SUBSTITUTE(SUBSTITUTE(S6,"P",""),"R","S"),
                                  SUBSTITUTE(S6,"P","")),
                               IF(AND(COUNTIF(S6,"*P*"), COUNTIF(S6,"*R*")),
                                  SUBSTITUTE(S6,"R","S"),
                                  IF(AND(COUNTIF(S6,"*V*"), COUNTIF(S6,"*R*")),
                                     SUBSTITUTE(S6,"R","S"),
                                     S6))),
                          "0",""),"1",""),"2",""),"3",""),"4",""),
                      "5",""),"6",""),"7",""),"8",""),"9","")
     ),
     IF(SUM(--ISNUMBER(FIND({0,1,2,3,4,5,6,7,8,9}, _xlpm.txt)))=0,
        _xlpm.txt &amp; Data!CH48,
        _xlpm.txt
     )
   ),
   ""
)</f>
        <v/>
      </c>
      <c r="T28" s="41" t="str" cm="1">
        <f t="array" ref="T28">IF(T6&lt;&gt;"",
   _xlfn.LET(
     _xlpm.txt,
     IF(OR(COUNTIF(T6,"L*"), COUNTIF(T6, "X*")),
        IF(AND(COUNTIF(T6,"*P*"), COUNTIF(T6,"*V*")),
           IF(COUNTIF(T6,"*R*"),
              SUBSTITUTE(SUBSTITUTE(T6,"P",""),"R","S"),
              SUBSTITUTE(T6,"P","")),
           IF(AND(COUNTIF(T6,"*P*"), COUNTIF(T6,"*R*")),
              SUBSTITUTE(T6,"R","S"),
              IF(AND(COUNTIF(T6,"*V*"), COUNTIF(T6,"*R*")),
                 SUBSTITUTE(T6,"R","S"),
                 T6))),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IF(AND(COUNTIF(T6,"*P*"), COUNTIF(T6,"*V*")),
                               IF(COUNTIF(T6,"*R*"),
                                  SUBSTITUTE(SUBSTITUTE(T6,"P",""),"R","S"),
                                  SUBSTITUTE(T6,"P","")),
                               IF(AND(COUNTIF(T6,"*P*"), COUNTIF(T6,"*R*")),
                                  SUBSTITUTE(T6,"R","S"),
                                  IF(AND(COUNTIF(T6,"*V*"), COUNTIF(T6,"*R*")),
                                     SUBSTITUTE(T6,"R","S"),
                                     T6))),
                          "0",""),"1",""),"2",""),"3",""),"4",""),
                      "5",""),"6",""),"7",""),"8",""),"9","")
     ),
     IF(SUM(--ISNUMBER(FIND({0,1,2,3,4,5,6,7,8,9}, _xlpm.txt)))=0,
        _xlpm.txt &amp; Data!CI48,
        _xlpm.txt
     )
   ),
   ""
)</f>
        <v/>
      </c>
      <c r="U28" s="41" t="str" cm="1">
        <f t="array" ref="U28">IF(U6&lt;&gt;"",
   _xlfn.LET(
     _xlpm.txt,
     IF(OR(COUNTIF(U6,"L*"), COUNTIF(U6, "X*")),
        IF(AND(COUNTIF(U6,"*P*"), COUNTIF(U6,"*V*")),
           IF(COUNTIF(U6,"*R*"),
              SUBSTITUTE(SUBSTITUTE(U6,"P",""),"R","S"),
              SUBSTITUTE(U6,"P","")),
           IF(AND(COUNTIF(U6,"*P*"), COUNTIF(U6,"*R*")),
              SUBSTITUTE(U6,"R","S"),
              IF(AND(COUNTIF(U6,"*V*"), COUNTIF(U6,"*R*")),
                 SUBSTITUTE(U6,"R","S"),
                 U6))),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IF(AND(COUNTIF(U6,"*P*"), COUNTIF(U6,"*V*")),
                               IF(COUNTIF(U6,"*R*"),
                                  SUBSTITUTE(SUBSTITUTE(U6,"P",""),"R","S"),
                                  SUBSTITUTE(U6,"P","")),
                               IF(AND(COUNTIF(U6,"*P*"), COUNTIF(U6,"*R*")),
                                  SUBSTITUTE(U6,"R","S"),
                                  IF(AND(COUNTIF(U6,"*V*"), COUNTIF(U6,"*R*")),
                                     SUBSTITUTE(U6,"R","S"),
                                     U6))),
                          "0",""),"1",""),"2",""),"3",""),"4",""),
                      "5",""),"6",""),"7",""),"8",""),"9","")
     ),
     IF(SUM(--ISNUMBER(FIND({0,1,2,3,4,5,6,7,8,9}, _xlpm.txt)))=0,
        _xlpm.txt &amp; Data!CJ48,
        _xlpm.txt
     )
   ),
   ""
)</f>
        <v/>
      </c>
      <c r="V28" s="41" t="str" cm="1">
        <f t="array" ref="V28">IF(V6&lt;&gt;"",
   _xlfn.LET(
     _xlpm.txt,
     IF(OR(COUNTIF(V6,"L*"), COUNTIF(V6, "X*")),
        IF(AND(COUNTIF(V6,"*P*"), COUNTIF(V6,"*V*")),
           IF(COUNTIF(V6,"*R*"),
              SUBSTITUTE(SUBSTITUTE(V6,"P",""),"R","S"),
              SUBSTITUTE(V6,"P","")),
           IF(AND(COUNTIF(V6,"*P*"), COUNTIF(V6,"*R*")),
              SUBSTITUTE(V6,"R","S"),
              IF(AND(COUNTIF(V6,"*V*"), COUNTIF(V6,"*R*")),
                 SUBSTITUTE(V6,"R","S"),
                 V6))),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IF(AND(COUNTIF(V6,"*P*"), COUNTIF(V6,"*V*")),
                               IF(COUNTIF(V6,"*R*"),
                                  SUBSTITUTE(SUBSTITUTE(V6,"P",""),"R","S"),
                                  SUBSTITUTE(V6,"P","")),
                               IF(AND(COUNTIF(V6,"*P*"), COUNTIF(V6,"*R*")),
                                  SUBSTITUTE(V6,"R","S"),
                                  IF(AND(COUNTIF(V6,"*V*"), COUNTIF(V6,"*R*")),
                                     SUBSTITUTE(V6,"R","S"),
                                     V6))),
                          "0",""),"1",""),"2",""),"3",""),"4",""),
                      "5",""),"6",""),"7",""),"8",""),"9","")
     ),
     IF(SUM(--ISNUMBER(FIND({0,1,2,3,4,5,6,7,8,9}, _xlpm.txt)))=0,
        _xlpm.txt &amp; Data!CK48,
        _xlpm.txt
     )
   ),
   ""
)</f>
        <v/>
      </c>
      <c r="W28" s="41" t="str" cm="1">
        <f t="array" ref="W28">IF(W6&lt;&gt;"",
   _xlfn.LET(
     _xlpm.txt,
     IF(OR(COUNTIF(W6,"L*"), COUNTIF(W6, "X*")),
        IF(AND(COUNTIF(W6,"*P*"), COUNTIF(W6,"*V*")),
           IF(COUNTIF(W6,"*R*"),
              SUBSTITUTE(SUBSTITUTE(W6,"P",""),"R","S"),
              SUBSTITUTE(W6,"P","")),
           IF(AND(COUNTIF(W6,"*P*"), COUNTIF(W6,"*R*")),
              SUBSTITUTE(W6,"R","S"),
              IF(AND(COUNTIF(W6,"*V*"), COUNTIF(W6,"*R*")),
                 SUBSTITUTE(W6,"R","S"),
                 W6))),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IF(AND(COUNTIF(W6,"*P*"), COUNTIF(W6,"*V*")),
                               IF(COUNTIF(W6,"*R*"),
                                  SUBSTITUTE(SUBSTITUTE(W6,"P",""),"R","S"),
                                  SUBSTITUTE(W6,"P","")),
                               IF(AND(COUNTIF(W6,"*P*"), COUNTIF(W6,"*R*")),
                                  SUBSTITUTE(W6,"R","S"),
                                  IF(AND(COUNTIF(W6,"*V*"), COUNTIF(W6,"*R*")),
                                     SUBSTITUTE(W6,"R","S"),
                                     W6))),
                          "0",""),"1",""),"2",""),"3",""),"4",""),
                      "5",""),"6",""),"7",""),"8",""),"9","")
     ),
     IF(SUM(--ISNUMBER(FIND({0,1,2,3,4,5,6,7,8,9}, _xlpm.txt)))=0,
        _xlpm.txt &amp; Data!CL48,
        _xlpm.txt
     )
   ),
   ""
)</f>
        <v/>
      </c>
      <c r="X28" s="41" t="str" cm="1">
        <f t="array" ref="X28">IF(X6&lt;&gt;"",
   _xlfn.LET(
     _xlpm.txt,
     IF(OR(COUNTIF(X6,"L*"), COUNTIF(X6, "X*")),
        IF(AND(COUNTIF(X6,"*P*"), COUNTIF(X6,"*V*")),
           IF(COUNTIF(X6,"*R*"),
              SUBSTITUTE(SUBSTITUTE(X6,"P",""),"R","S"),
              SUBSTITUTE(X6,"P","")),
           IF(AND(COUNTIF(X6,"*P*"), COUNTIF(X6,"*R*")),
              SUBSTITUTE(X6,"R","S"),
              IF(AND(COUNTIF(X6,"*V*"), COUNTIF(X6,"*R*")),
                 SUBSTITUTE(X6,"R","S"),
                 X6))),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IF(AND(COUNTIF(X6,"*P*"), COUNTIF(X6,"*V*")),
                               IF(COUNTIF(X6,"*R*"),
                                  SUBSTITUTE(SUBSTITUTE(X6,"P",""),"R","S"),
                                  SUBSTITUTE(X6,"P","")),
                               IF(AND(COUNTIF(X6,"*P*"), COUNTIF(X6,"*R*")),
                                  SUBSTITUTE(X6,"R","S"),
                                  IF(AND(COUNTIF(X6,"*V*"), COUNTIF(X6,"*R*")),
                                     SUBSTITUTE(X6,"R","S"),
                                     X6))),
                          "0",""),"1",""),"2",""),"3",""),"4",""),
                      "5",""),"6",""),"7",""),"8",""),"9","")
     ),
     IF(SUM(--ISNUMBER(FIND({0,1,2,3,4,5,6,7,8,9}, _xlpm.txt)))=0,
        _xlpm.txt &amp; Data!CM48,
        _xlpm.txt
     )
   ),
   ""
)</f>
        <v/>
      </c>
      <c r="Y28" s="41" t="str" cm="1">
        <f t="array" ref="Y28">IF(Y6&lt;&gt;"",
   _xlfn.LET(
     _xlpm.txt,
     IF(OR(COUNTIF(Y6,"L*"), COUNTIF(Y6, "X*")),
        IF(AND(COUNTIF(Y6,"*P*"), COUNTIF(Y6,"*V*")),
           IF(COUNTIF(Y6,"*R*"),
              SUBSTITUTE(SUBSTITUTE(Y6,"P",""),"R","S"),
              SUBSTITUTE(Y6,"P","")),
           IF(AND(COUNTIF(Y6,"*P*"), COUNTIF(Y6,"*R*")),
              SUBSTITUTE(Y6,"R","S"),
              IF(AND(COUNTIF(Y6,"*V*"), COUNTIF(Y6,"*R*")),
                 SUBSTITUTE(Y6,"R","S"),
                 Y6))),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IF(AND(COUNTIF(Y6,"*P*"), COUNTIF(Y6,"*V*")),
                               IF(COUNTIF(Y6,"*R*"),
                                  SUBSTITUTE(SUBSTITUTE(Y6,"P",""),"R","S"),
                                  SUBSTITUTE(Y6,"P","")),
                               IF(AND(COUNTIF(Y6,"*P*"), COUNTIF(Y6,"*R*")),
                                  SUBSTITUTE(Y6,"R","S"),
                                  IF(AND(COUNTIF(Y6,"*V*"), COUNTIF(Y6,"*R*")),
                                     SUBSTITUTE(Y6,"R","S"),
                                     Y6))),
                          "0",""),"1",""),"2",""),"3",""),"4",""),
                      "5",""),"6",""),"7",""),"8",""),"9","")
     ),
     IF(SUM(--ISNUMBER(FIND({0,1,2,3,4,5,6,7,8,9}, _xlpm.txt)))=0,
        _xlpm.txt &amp; Data!CN48,
        _xlpm.txt
     )
   ),
   ""
)</f>
        <v/>
      </c>
      <c r="Z28" s="41" t="str" cm="1">
        <f t="array" ref="Z28">IF(Z6&lt;&gt;"",
   _xlfn.LET(
     _xlpm.txt,
     IF(OR(COUNTIF(Z6,"L*"), COUNTIF(Z6, "X*")),
        IF(AND(COUNTIF(Z6,"*P*"), COUNTIF(Z6,"*V*")),
           IF(COUNTIF(Z6,"*R*"),
              SUBSTITUTE(SUBSTITUTE(Z6,"P",""),"R","S"),
              SUBSTITUTE(Z6,"P","")),
           IF(AND(COUNTIF(Z6,"*P*"), COUNTIF(Z6,"*R*")),
              SUBSTITUTE(Z6,"R","S"),
              IF(AND(COUNTIF(Z6,"*V*"), COUNTIF(Z6,"*R*")),
                 SUBSTITUTE(Z6,"R","S"),
                 Z6))),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IF(AND(COUNTIF(Z6,"*P*"), COUNTIF(Z6,"*V*")),
                               IF(COUNTIF(Z6,"*R*"),
                                  SUBSTITUTE(SUBSTITUTE(Z6,"P",""),"R","S"),
                                  SUBSTITUTE(Z6,"P","")),
                               IF(AND(COUNTIF(Z6,"*P*"), COUNTIF(Z6,"*R*")),
                                  SUBSTITUTE(Z6,"R","S"),
                                  IF(AND(COUNTIF(Z6,"*V*"), COUNTIF(Z6,"*R*")),
                                     SUBSTITUTE(Z6,"R","S"),
                                     Z6))),
                          "0",""),"1",""),"2",""),"3",""),"4",""),
                      "5",""),"6",""),"7",""),"8",""),"9","")
     ),
     IF(SUM(--ISNUMBER(FIND({0,1,2,3,4,5,6,7,8,9}, _xlpm.txt)))=0,
        _xlpm.txt &amp; Data!CO48,
        _xlpm.txt
     )
   ),
   ""
)</f>
        <v/>
      </c>
      <c r="AA28" s="41" t="str" cm="1">
        <f t="array" ref="AA28">IF(AA6&lt;&gt;"",
   _xlfn.LET(
     _xlpm.txt,
     IF(OR(COUNTIF(AA6,"L*"), COUNTIF(AA6, "X*")),
        IF(AND(COUNTIF(AA6,"*P*"), COUNTIF(AA6,"*V*")),
           IF(COUNTIF(AA6,"*R*"),
              SUBSTITUTE(SUBSTITUTE(AA6,"P",""),"R","S"),
              SUBSTITUTE(AA6,"P","")),
           IF(AND(COUNTIF(AA6,"*P*"), COUNTIF(AA6,"*R*")),
              SUBSTITUTE(AA6,"R","S"),
              IF(AND(COUNTIF(AA6,"*V*"), COUNTIF(AA6,"*R*")),
                 SUBSTITUTE(AA6,"R","S"),
                 AA6))),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IF(AND(COUNTIF(AA6,"*P*"), COUNTIF(AA6,"*V*")),
                               IF(COUNTIF(AA6,"*R*"),
                                  SUBSTITUTE(SUBSTITUTE(AA6,"P",""),"R","S"),
                                  SUBSTITUTE(AA6,"P","")),
                               IF(AND(COUNTIF(AA6,"*P*"), COUNTIF(AA6,"*R*")),
                                  SUBSTITUTE(AA6,"R","S"),
                                  IF(AND(COUNTIF(AA6,"*V*"), COUNTIF(AA6,"*R*")),
                                     SUBSTITUTE(AA6,"R","S"),
                                     AA6))),
                          "0",""),"1",""),"2",""),"3",""),"4",""),
                      "5",""),"6",""),"7",""),"8",""),"9","")
     ),
     IF(SUM(--ISNUMBER(FIND({0,1,2,3,4,5,6,7,8,9}, _xlpm.txt)))=0,
        _xlpm.txt &amp; Data!CP48,
        _xlpm.txt
     )
   ),
   ""
)</f>
        <v/>
      </c>
      <c r="AB28" s="41" t="str" cm="1">
        <f t="array" ref="AB28">IF(AB6&lt;&gt;"",
   _xlfn.LET(
     _xlpm.txt,
     IF(OR(COUNTIF(AB6,"L*"), COUNTIF(AB6, "X*")),
        IF(AND(COUNTIF(AB6,"*P*"), COUNTIF(AB6,"*V*")),
           IF(COUNTIF(AB6,"*R*"),
              SUBSTITUTE(SUBSTITUTE(AB6,"P",""),"R","S"),
              SUBSTITUTE(AB6,"P","")),
           IF(AND(COUNTIF(AB6,"*P*"), COUNTIF(AB6,"*R*")),
              SUBSTITUTE(AB6,"R","S"),
              IF(AND(COUNTIF(AB6,"*V*"), COUNTIF(AB6,"*R*")),
                 SUBSTITUTE(AB6,"R","S"),
                 AB6))),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IF(AND(COUNTIF(AB6,"*P*"), COUNTIF(AB6,"*V*")),
                               IF(COUNTIF(AB6,"*R*"),
                                  SUBSTITUTE(SUBSTITUTE(AB6,"P",""),"R","S"),
                                  SUBSTITUTE(AB6,"P","")),
                               IF(AND(COUNTIF(AB6,"*P*"), COUNTIF(AB6,"*R*")),
                                  SUBSTITUTE(AB6,"R","S"),
                                  IF(AND(COUNTIF(AB6,"*V*"), COUNTIF(AB6,"*R*")),
                                     SUBSTITUTE(AB6,"R","S"),
                                     AB6))),
                          "0",""),"1",""),"2",""),"3",""),"4",""),
                      "5",""),"6",""),"7",""),"8",""),"9","")
     ),
     IF(SUM(--ISNUMBER(FIND({0,1,2,3,4,5,6,7,8,9}, _xlpm.txt)))=0,
        _xlpm.txt &amp; Data!CQ48,
        _xlpm.txt
     )
   ),
   ""
)</f>
        <v/>
      </c>
      <c r="AC28" s="41" t="str" cm="1">
        <f t="array" ref="AC28">IF(AC6&lt;&gt;"",
   _xlfn.LET(
     _xlpm.txt,
     IF(OR(COUNTIF(AC6,"L*"), COUNTIF(AC6, "X*")),
        IF(AND(COUNTIF(AC6,"*P*"), COUNTIF(AC6,"*V*")),
           IF(COUNTIF(AC6,"*R*"),
              SUBSTITUTE(SUBSTITUTE(AC6,"P",""),"R","S"),
              SUBSTITUTE(AC6,"P","")),
           IF(AND(COUNTIF(AC6,"*P*"), COUNTIF(AC6,"*R*")),
              SUBSTITUTE(AC6,"R","S"),
              IF(AND(COUNTIF(AC6,"*V*"), COUNTIF(AC6,"*R*")),
                 SUBSTITUTE(AC6,"R","S"),
                 AC6))),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IF(AND(COUNTIF(AC6,"*P*"), COUNTIF(AC6,"*V*")),
                               IF(COUNTIF(AC6,"*R*"),
                                  SUBSTITUTE(SUBSTITUTE(AC6,"P",""),"R","S"),
                                  SUBSTITUTE(AC6,"P","")),
                               IF(AND(COUNTIF(AC6,"*P*"), COUNTIF(AC6,"*R*")),
                                  SUBSTITUTE(AC6,"R","S"),
                                  IF(AND(COUNTIF(AC6,"*V*"), COUNTIF(AC6,"*R*")),
                                     SUBSTITUTE(AC6,"R","S"),
                                     AC6))),
                          "0",""),"1",""),"2",""),"3",""),"4",""),
                      "5",""),"6",""),"7",""),"8",""),"9","")
     ),
     IF(SUM(--ISNUMBER(FIND({0,1,2,3,4,5,6,7,8,9}, _xlpm.txt)))=0,
        _xlpm.txt &amp; Data!CR48,
        _xlpm.txt
     )
   ),
   ""
)</f>
        <v/>
      </c>
      <c r="AD28" s="41" t="str" cm="1">
        <f t="array" ref="AD28">IF(AD6&lt;&gt;"",
   _xlfn.LET(
     _xlpm.txt,
     IF(OR(COUNTIF(AD6,"L*"), COUNTIF(AD6, "X*")),
        IF(AND(COUNTIF(AD6,"*P*"), COUNTIF(AD6,"*V*")),
           IF(COUNTIF(AD6,"*R*"),
              SUBSTITUTE(SUBSTITUTE(AD6,"P",""),"R","S"),
              SUBSTITUTE(AD6,"P","")),
           IF(AND(COUNTIF(AD6,"*P*"), COUNTIF(AD6,"*R*")),
              SUBSTITUTE(AD6,"R","S"),
              IF(AND(COUNTIF(AD6,"*V*"), COUNTIF(AD6,"*R*")),
                 SUBSTITUTE(AD6,"R","S"),
                 AD6))),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IF(AND(COUNTIF(AD6,"*P*"), COUNTIF(AD6,"*V*")),
                               IF(COUNTIF(AD6,"*R*"),
                                  SUBSTITUTE(SUBSTITUTE(AD6,"P",""),"R","S"),
                                  SUBSTITUTE(AD6,"P","")),
                               IF(AND(COUNTIF(AD6,"*P*"), COUNTIF(AD6,"*R*")),
                                  SUBSTITUTE(AD6,"R","S"),
                                  IF(AND(COUNTIF(AD6,"*V*"), COUNTIF(AD6,"*R*")),
                                     SUBSTITUTE(AD6,"R","S"),
                                     AD6))),
                          "0",""),"1",""),"2",""),"3",""),"4",""),
                      "5",""),"6",""),"7",""),"8",""),"9","")
     ),
     IF(SUM(--ISNUMBER(FIND({0,1,2,3,4,5,6,7,8,9}, _xlpm.txt)))=0,
        _xlpm.txt &amp; Data!CS48,
        _xlpm.txt
     )
   ),
   ""
)</f>
        <v/>
      </c>
      <c r="AE28" s="41" t="str" cm="1">
        <f t="array" ref="AE28">IF(AE6&lt;&gt;"",
   _xlfn.LET(
     _xlpm.txt,
     IF(OR(COUNTIF(AE6,"L*"), COUNTIF(AE6, "X*")),
        IF(AND(COUNTIF(AE6,"*P*"), COUNTIF(AE6,"*V*")),
           IF(COUNTIF(AE6,"*R*"),
              SUBSTITUTE(SUBSTITUTE(AE6,"P",""),"R","S"),
              SUBSTITUTE(AE6,"P","")),
           IF(AND(COUNTIF(AE6,"*P*"), COUNTIF(AE6,"*R*")),
              SUBSTITUTE(AE6,"R","S"),
              IF(AND(COUNTIF(AE6,"*V*"), COUNTIF(AE6,"*R*")),
                 SUBSTITUTE(AE6,"R","S"),
                 AE6))),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IF(AND(COUNTIF(AE6,"*P*"), COUNTIF(AE6,"*V*")),
                               IF(COUNTIF(AE6,"*R*"),
                                  SUBSTITUTE(SUBSTITUTE(AE6,"P",""),"R","S"),
                                  SUBSTITUTE(AE6,"P","")),
                               IF(AND(COUNTIF(AE6,"*P*"), COUNTIF(AE6,"*R*")),
                                  SUBSTITUTE(AE6,"R","S"),
                                  IF(AND(COUNTIF(AE6,"*V*"), COUNTIF(AE6,"*R*")),
                                     SUBSTITUTE(AE6,"R","S"),
                                     AE6))),
                          "0",""),"1",""),"2",""),"3",""),"4",""),
                      "5",""),"6",""),"7",""),"8",""),"9","")
     ),
     IF(SUM(--ISNUMBER(FIND({0,1,2,3,4,5,6,7,8,9}, _xlpm.txt)))=0,
        _xlpm.txt &amp; Data!CT48,
        _xlpm.txt
     )
   ),
   ""
)</f>
        <v/>
      </c>
      <c r="AF28" s="41" t="str" cm="1">
        <f t="array" ref="AF28">IF(AF6&lt;&gt;"",
   _xlfn.LET(
     _xlpm.txt,
     IF(OR(COUNTIF(AF6,"L*"), COUNTIF(AF6, "X*")),
        IF(AND(COUNTIF(AF6,"*P*"), COUNTIF(AF6,"*V*")),
           IF(COUNTIF(AF6,"*R*"),
              SUBSTITUTE(SUBSTITUTE(AF6,"P",""),"R","S"),
              SUBSTITUTE(AF6,"P","")),
           IF(AND(COUNTIF(AF6,"*P*"), COUNTIF(AF6,"*R*")),
              SUBSTITUTE(AF6,"R","S"),
              IF(AND(COUNTIF(AF6,"*V*"), COUNTIF(AF6,"*R*")),
                 SUBSTITUTE(AF6,"R","S"),
                 AF6))),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IF(AND(COUNTIF(AF6,"*P*"), COUNTIF(AF6,"*V*")),
                               IF(COUNTIF(AF6,"*R*"),
                                  SUBSTITUTE(SUBSTITUTE(AF6,"P",""),"R","S"),
                                  SUBSTITUTE(AF6,"P","")),
                               IF(AND(COUNTIF(AF6,"*P*"), COUNTIF(AF6,"*R*")),
                                  SUBSTITUTE(AF6,"R","S"),
                                  IF(AND(COUNTIF(AF6,"*V*"), COUNTIF(AF6,"*R*")),
                                     SUBSTITUTE(AF6,"R","S"),
                                     AF6))),
                          "0",""),"1",""),"2",""),"3",""),"4",""),
                      "5",""),"6",""),"7",""),"8",""),"9","")
     ),
     IF(SUM(--ISNUMBER(FIND({0,1,2,3,4,5,6,7,8,9}, _xlpm.txt)))=0,
        _xlpm.txt &amp; Data!CU48,
        _xlpm.txt
     )
   ),
   ""
)</f>
        <v/>
      </c>
      <c r="AG28" s="41" t="str" cm="1">
        <f t="array" ref="AG28">IF(AG6&lt;&gt;"",
   _xlfn.LET(
     _xlpm.txt,
     IF(OR(COUNTIF(AG6,"L*"), COUNTIF(AG6, "X*")),
        IF(AND(COUNTIF(AG6,"*P*"), COUNTIF(AG6,"*V*")),
           IF(COUNTIF(AG6,"*R*"),
              SUBSTITUTE(SUBSTITUTE(AG6,"P",""),"R","S"),
              SUBSTITUTE(AG6,"P","")),
           IF(AND(COUNTIF(AG6,"*P*"), COUNTIF(AG6,"*R*")),
              SUBSTITUTE(AG6,"R","S"),
              IF(AND(COUNTIF(AG6,"*V*"), COUNTIF(AG6,"*R*")),
                 SUBSTITUTE(AG6,"R","S"),
                 AG6))),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IF(AND(COUNTIF(AG6,"*P*"), COUNTIF(AG6,"*V*")),
                               IF(COUNTIF(AG6,"*R*"),
                                  SUBSTITUTE(SUBSTITUTE(AG6,"P",""),"R","S"),
                                  SUBSTITUTE(AG6,"P","")),
                               IF(AND(COUNTIF(AG6,"*P*"), COUNTIF(AG6,"*R*")),
                                  SUBSTITUTE(AG6,"R","S"),
                                  IF(AND(COUNTIF(AG6,"*V*"), COUNTIF(AG6,"*R*")),
                                     SUBSTITUTE(AG6,"R","S"),
                                     AG6))),
                          "0",""),"1",""),"2",""),"3",""),"4",""),
                      "5",""),"6",""),"7",""),"8",""),"9","")
     ),
     IF(SUM(--ISNUMBER(FIND({0,1,2,3,4,5,6,7,8,9}, _xlpm.txt)))=0,
        _xlpm.txt &amp; Data!CV48,
        _xlpm.txt
     )
   ),
   ""
)</f>
        <v/>
      </c>
      <c r="AH28" s="41" t="str" cm="1">
        <f t="array" ref="AH28">IF(AH6&lt;&gt;"",
   _xlfn.LET(
     _xlpm.txt,
     IF(OR(COUNTIF(AH6,"L*"), COUNTIF(AH6, "X*")),
        IF(AND(COUNTIF(AH6,"*P*"), COUNTIF(AH6,"*V*")),
           IF(COUNTIF(AH6,"*R*"),
              SUBSTITUTE(SUBSTITUTE(AH6,"P",""),"R","S"),
              SUBSTITUTE(AH6,"P","")),
           IF(AND(COUNTIF(AH6,"*P*"), COUNTIF(AH6,"*R*")),
              SUBSTITUTE(AH6,"R","S"),
              IF(AND(COUNTIF(AH6,"*V*"), COUNTIF(AH6,"*R*")),
                 SUBSTITUTE(AH6,"R","S"),
                 AH6))),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IF(AND(COUNTIF(AH6,"*P*"), COUNTIF(AH6,"*V*")),
                               IF(COUNTIF(AH6,"*R*"),
                                  SUBSTITUTE(SUBSTITUTE(AH6,"P",""),"R","S"),
                                  SUBSTITUTE(AH6,"P","")),
                               IF(AND(COUNTIF(AH6,"*P*"), COUNTIF(AH6,"*R*")),
                                  SUBSTITUTE(AH6,"R","S"),
                                  IF(AND(COUNTIF(AH6,"*V*"), COUNTIF(AH6,"*R*")),
                                     SUBSTITUTE(AH6,"R","S"),
                                     AH6))),
                          "0",""),"1",""),"2",""),"3",""),"4",""),
                      "5",""),"6",""),"7",""),"8",""),"9","")
     ),
     IF(SUM(--ISNUMBER(FIND({0,1,2,3,4,5,6,7,8,9}, _xlpm.txt)))=0,
        _xlpm.txt &amp; Data!CW48,
        _xlpm.txt
     )
   ),
   ""
)</f>
        <v/>
      </c>
      <c r="AI28" s="41" t="str" cm="1">
        <f t="array" ref="AI28">IF(AI6&lt;&gt;"",
   _xlfn.LET(
     _xlpm.txt,
     IF(OR(COUNTIF(AI6,"L*"), COUNTIF(AI6, "X*")),
        IF(AND(COUNTIF(AI6,"*P*"), COUNTIF(AI6,"*V*")),
           IF(COUNTIF(AI6,"*R*"),
              SUBSTITUTE(SUBSTITUTE(AI6,"P",""),"R","S"),
              SUBSTITUTE(AI6,"P","")),
           IF(AND(COUNTIF(AI6,"*P*"), COUNTIF(AI6,"*R*")),
              SUBSTITUTE(AI6,"R","S"),
              IF(AND(COUNTIF(AI6,"*V*"), COUNTIF(AI6,"*R*")),
                 SUBSTITUTE(AI6,"R","S"),
                 AI6))),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IF(AND(COUNTIF(AI6,"*P*"), COUNTIF(AI6,"*V*")),
                               IF(COUNTIF(AI6,"*R*"),
                                  SUBSTITUTE(SUBSTITUTE(AI6,"P",""),"R","S"),
                                  SUBSTITUTE(AI6,"P","")),
                               IF(AND(COUNTIF(AI6,"*P*"), COUNTIF(AI6,"*R*")),
                                  SUBSTITUTE(AI6,"R","S"),
                                  IF(AND(COUNTIF(AI6,"*V*"), COUNTIF(AI6,"*R*")),
                                     SUBSTITUTE(AI6,"R","S"),
                                     AI6))),
                          "0",""),"1",""),"2",""),"3",""),"4",""),
                      "5",""),"6",""),"7",""),"8",""),"9","")
     ),
     IF(SUM(--ISNUMBER(FIND({0,1,2,3,4,5,6,7,8,9}, _xlpm.txt)))=0,
        _xlpm.txt &amp; Data!CX48,
        _xlpm.txt
     )
   ),
   ""
)</f>
        <v/>
      </c>
      <c r="AJ28" s="41" t="str" cm="1">
        <f t="array" ref="AJ28">IF(AJ6&lt;&gt;"",
   _xlfn.LET(
     _xlpm.txt,
     IF(OR(COUNTIF(AJ6,"L*"), COUNTIF(AJ6, "X*")),
        IF(AND(COUNTIF(AJ6,"*P*"), COUNTIF(AJ6,"*V*")),
           IF(COUNTIF(AJ6,"*R*"),
              SUBSTITUTE(SUBSTITUTE(AJ6,"P",""),"R","S"),
              SUBSTITUTE(AJ6,"P","")),
           IF(AND(COUNTIF(AJ6,"*P*"), COUNTIF(AJ6,"*R*")),
              SUBSTITUTE(AJ6,"R","S"),
              IF(AND(COUNTIF(AJ6,"*V*"), COUNTIF(AJ6,"*R*")),
                 SUBSTITUTE(AJ6,"R","S"),
                 AJ6))),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IF(AND(COUNTIF(AJ6,"*P*"), COUNTIF(AJ6,"*V*")),
                               IF(COUNTIF(AJ6,"*R*"),
                                  SUBSTITUTE(SUBSTITUTE(AJ6,"P",""),"R","S"),
                                  SUBSTITUTE(AJ6,"P","")),
                               IF(AND(COUNTIF(AJ6,"*P*"), COUNTIF(AJ6,"*R*")),
                                  SUBSTITUTE(AJ6,"R","S"),
                                  IF(AND(COUNTIF(AJ6,"*V*"), COUNTIF(AJ6,"*R*")),
                                     SUBSTITUTE(AJ6,"R","S"),
                                     AJ6))),
                          "0",""),"1",""),"2",""),"3",""),"4",""),
                      "5",""),"6",""),"7",""),"8",""),"9","")
     ),
     IF(SUM(--ISNUMBER(FIND({0,1,2,3,4,5,6,7,8,9}, _xlpm.txt)))=0,
        _xlpm.txt &amp; Data!CY48,
        _xlpm.txt
     )
   ),
   ""
)</f>
        <v/>
      </c>
    </row>
    <row r="29" spans="1:43" ht="23.25" customHeight="1" x14ac:dyDescent="0.35">
      <c r="A29" s="1196"/>
      <c r="B29" s="22">
        <v>4</v>
      </c>
      <c r="C29" s="41" t="str" cm="1">
        <f t="array" ref="C29">IF(C7&lt;&gt;"",
   _xlfn.LET(
     _xlpm.txt,
     IF(OR(COUNTIF(C7,"L*"), COUNTIF(C7, "X*")),
        IF(AND(COUNTIF(C7,"*P*"), COUNTIF(C7,"*V*")),
           IF(COUNTIF(C7,"*R*"),
              SUBSTITUTE(SUBSTITUTE(C7,"P",""),"R","S"),
              SUBSTITUTE(C7,"P","")),
           IF(AND(COUNTIF(C7,"*P*"), COUNTIF(C7,"*R*")),
              SUBSTITUTE(C7,"R","S"),
              IF(AND(COUNTIF(C7,"*V*"), COUNTIF(C7,"*R*")),
                 SUBSTITUTE(C7,"R","S"),
                 C7))),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IF(AND(COUNTIF(C7,"*P*"), COUNTIF(C7,"*V*")),
                               IF(COUNTIF(C7,"*R*"),
                                  SUBSTITUTE(SUBSTITUTE(C7,"P",""),"R","S"),
                                  SUBSTITUTE(C7,"P","")),
                               IF(AND(COUNTIF(C7,"*P*"), COUNTIF(C7,"*R*")),
                                  SUBSTITUTE(C7,"R","S"),
                                  IF(AND(COUNTIF(C7,"*V*"), COUNTIF(C7,"*R*")),
                                     SUBSTITUTE(C7,"R","S"),
                                     C7))),
                          "0",""),"1",""),"2",""),"3",""),"4",""),
                      "5",""),"6",""),"7",""),"8",""),"9","")
     ),
     IF(SUM(--ISNUMBER(FIND({0,1,2,3,4,5,6,7,8,9}, _xlpm.txt)))=0,
        _xlpm.txt &amp; Data!BR49,
        _xlpm.txt
     )
   ),
   ""
)</f>
        <v>X5</v>
      </c>
      <c r="D29" s="41" t="str" cm="1">
        <f t="array" ref="D29">IF(D7&lt;&gt;"",
   _xlfn.LET(
     _xlpm.txt,
     IF(OR(COUNTIF(D7,"L*"), COUNTIF(D7, "X*")),
        IF(AND(COUNTIF(D7,"*P*"), COUNTIF(D7,"*V*")),
           IF(COUNTIF(D7,"*R*"),
              SUBSTITUTE(SUBSTITUTE(D7,"P",""),"R","S"),
              SUBSTITUTE(D7,"P","")),
           IF(AND(COUNTIF(D7,"*P*"), COUNTIF(D7,"*R*")),
              SUBSTITUTE(D7,"R","S"),
              IF(AND(COUNTIF(D7,"*V*"), COUNTIF(D7,"*R*")),
                 SUBSTITUTE(D7,"R","S"),
                 D7))),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IF(AND(COUNTIF(D7,"*P*"), COUNTIF(D7,"*V*")),
                               IF(COUNTIF(D7,"*R*"),
                                  SUBSTITUTE(SUBSTITUTE(D7,"P",""),"R","S"),
                                  SUBSTITUTE(D7,"P","")),
                               IF(AND(COUNTIF(D7,"*P*"), COUNTIF(D7,"*R*")),
                                  SUBSTITUTE(D7,"R","S"),
                                  IF(AND(COUNTIF(D7,"*V*"), COUNTIF(D7,"*R*")),
                                     SUBSTITUTE(D7,"R","S"),
                                     D7))),
                          "0",""),"1",""),"2",""),"3",""),"4",""),
                      "5",""),"6",""),"7",""),"8",""),"9","")
     ),
     IF(SUM(--ISNUMBER(FIND({0,1,2,3,4,5,6,7,8,9}, _xlpm.txt)))=0,
        _xlpm.txt &amp; Data!BS49,
        _xlpm.txt
     )
   ),
   ""
)</f>
        <v>X5</v>
      </c>
      <c r="E29" s="41" t="str" cm="1">
        <f t="array" ref="E29">IF(E7&lt;&gt;"",
   _xlfn.LET(
     _xlpm.txt,
     IF(OR(COUNTIF(E7,"L*"), COUNTIF(E7, "X*")),
        IF(AND(COUNTIF(E7,"*P*"), COUNTIF(E7,"*V*")),
           IF(COUNTIF(E7,"*R*"),
              SUBSTITUTE(SUBSTITUTE(E7,"P",""),"R","S"),
              SUBSTITUTE(E7,"P","")),
           IF(AND(COUNTIF(E7,"*P*"), COUNTIF(E7,"*R*")),
              SUBSTITUTE(E7,"R","S"),
              IF(AND(COUNTIF(E7,"*V*"), COUNTIF(E7,"*R*")),
                 SUBSTITUTE(E7,"R","S"),
                 E7))),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IF(AND(COUNTIF(E7,"*P*"), COUNTIF(E7,"*V*")),
                               IF(COUNTIF(E7,"*R*"),
                                  SUBSTITUTE(SUBSTITUTE(E7,"P",""),"R","S"),
                                  SUBSTITUTE(E7,"P","")),
                               IF(AND(COUNTIF(E7,"*P*"), COUNTIF(E7,"*R*")),
                                  SUBSTITUTE(E7,"R","S"),
                                  IF(AND(COUNTIF(E7,"*V*"), COUNTIF(E7,"*R*")),
                                     SUBSTITUTE(E7,"R","S"),
                                     E7))),
                          "0",""),"1",""),"2",""),"3",""),"4",""),
                      "5",""),"6",""),"7",""),"8",""),"9","")
     ),
     IF(SUM(--ISNUMBER(FIND({0,1,2,3,4,5,6,7,8,9}, _xlpm.txt)))=0,
        _xlpm.txt &amp; Data!BT49,
        _xlpm.txt
     )
   ),
   ""
)</f>
        <v>X5</v>
      </c>
      <c r="F29" s="41" t="str" cm="1">
        <f t="array" ref="F29">IF(F7&lt;&gt;"",
   _xlfn.LET(
     _xlpm.txt,
     IF(OR(COUNTIF(F7,"L*"), COUNTIF(F7, "X*")),
        IF(AND(COUNTIF(F7,"*P*"), COUNTIF(F7,"*V*")),
           IF(COUNTIF(F7,"*R*"),
              SUBSTITUTE(SUBSTITUTE(F7,"P",""),"R","S"),
              SUBSTITUTE(F7,"P","")),
           IF(AND(COUNTIF(F7,"*P*"), COUNTIF(F7,"*R*")),
              SUBSTITUTE(F7,"R","S"),
              IF(AND(COUNTIF(F7,"*V*"), COUNTIF(F7,"*R*")),
                 SUBSTITUTE(F7,"R","S"),
                 F7))),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IF(AND(COUNTIF(F7,"*P*"), COUNTIF(F7,"*V*")),
                               IF(COUNTIF(F7,"*R*"),
                                  SUBSTITUTE(SUBSTITUTE(F7,"P",""),"R","S"),
                                  SUBSTITUTE(F7,"P","")),
                               IF(AND(COUNTIF(F7,"*P*"), COUNTIF(F7,"*R*")),
                                  SUBSTITUTE(F7,"R","S"),
                                  IF(AND(COUNTIF(F7,"*V*"), COUNTIF(F7,"*R*")),
                                     SUBSTITUTE(F7,"R","S"),
                                     F7))),
                          "0",""),"1",""),"2",""),"3",""),"4",""),
                      "5",""),"6",""),"7",""),"8",""),"9","")
     ),
     IF(SUM(--ISNUMBER(FIND({0,1,2,3,4,5,6,7,8,9}, _xlpm.txt)))=0,
        _xlpm.txt &amp; Data!BU49,
        _xlpm.txt
     )
   ),
   ""
)</f>
        <v>X5</v>
      </c>
      <c r="G29" s="41" t="str" cm="1">
        <f t="array" ref="G29">IF(G7&lt;&gt;"",
   _xlfn.LET(
     _xlpm.txt,
     IF(OR(COUNTIF(G7,"L*"), COUNTIF(G7, "X*")),
        IF(AND(COUNTIF(G7,"*P*"), COUNTIF(G7,"*V*")),
           IF(COUNTIF(G7,"*R*"),
              SUBSTITUTE(SUBSTITUTE(G7,"P",""),"R","S"),
              SUBSTITUTE(G7,"P","")),
           IF(AND(COUNTIF(G7,"*P*"), COUNTIF(G7,"*R*")),
              SUBSTITUTE(G7,"R","S"),
              IF(AND(COUNTIF(G7,"*V*"), COUNTIF(G7,"*R*")),
                 SUBSTITUTE(G7,"R","S"),
                 G7))),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IF(AND(COUNTIF(G7,"*P*"), COUNTIF(G7,"*V*")),
                               IF(COUNTIF(G7,"*R*"),
                                  SUBSTITUTE(SUBSTITUTE(G7,"P",""),"R","S"),
                                  SUBSTITUTE(G7,"P","")),
                               IF(AND(COUNTIF(G7,"*P*"), COUNTIF(G7,"*R*")),
                                  SUBSTITUTE(G7,"R","S"),
                                  IF(AND(COUNTIF(G7,"*V*"), COUNTIF(G7,"*R*")),
                                     SUBSTITUTE(G7,"R","S"),
                                     G7))),
                          "0",""),"1",""),"2",""),"3",""),"4",""),
                      "5",""),"6",""),"7",""),"8",""),"9","")
     ),
     IF(SUM(--ISNUMBER(FIND({0,1,2,3,4,5,6,7,8,9}, _xlpm.txt)))=0,
        _xlpm.txt &amp; Data!BV49,
        _xlpm.txt
     )
   ),
   ""
)</f>
        <v>R1</v>
      </c>
      <c r="H29" s="41" t="str" cm="1">
        <f t="array" ref="H29">IF(H7&lt;&gt;"",
   _xlfn.LET(
     _xlpm.txt,
     IF(OR(COUNTIF(H7,"L*"), COUNTIF(H7, "X*")),
        IF(AND(COUNTIF(H7,"*P*"), COUNTIF(H7,"*V*")),
           IF(COUNTIF(H7,"*R*"),
              SUBSTITUTE(SUBSTITUTE(H7,"P",""),"R","S"),
              SUBSTITUTE(H7,"P","")),
           IF(AND(COUNTIF(H7,"*P*"), COUNTIF(H7,"*R*")),
              SUBSTITUTE(H7,"R","S"),
              IF(AND(COUNTIF(H7,"*V*"), COUNTIF(H7,"*R*")),
                 SUBSTITUTE(H7,"R","S"),
                 H7))),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IF(AND(COUNTIF(H7,"*P*"), COUNTIF(H7,"*V*")),
                               IF(COUNTIF(H7,"*R*"),
                                  SUBSTITUTE(SUBSTITUTE(H7,"P",""),"R","S"),
                                  SUBSTITUTE(H7,"P","")),
                               IF(AND(COUNTIF(H7,"*P*"), COUNTIF(H7,"*R*")),
                                  SUBSTITUTE(H7,"R","S"),
                                  IF(AND(COUNTIF(H7,"*V*"), COUNTIF(H7,"*R*")),
                                     SUBSTITUTE(H7,"R","S"),
                                     H7))),
                          "0",""),"1",""),"2",""),"3",""),"4",""),
                      "5",""),"6",""),"7",""),"8",""),"9","")
     ),
     IF(SUM(--ISNUMBER(FIND({0,1,2,3,4,5,6,7,8,9}, _xlpm.txt)))=0,
        _xlpm.txt &amp; Data!BW49,
        _xlpm.txt
     )
   ),
   ""
)</f>
        <v>X3</v>
      </c>
      <c r="I29" s="41" t="str" cm="1">
        <f t="array" ref="I29">IF(I7&lt;&gt;"",
   _xlfn.LET(
     _xlpm.txt,
     IF(OR(COUNTIF(I7,"L*"), COUNTIF(I7, "X*")),
        IF(AND(COUNTIF(I7,"*P*"), COUNTIF(I7,"*V*")),
           IF(COUNTIF(I7,"*R*"),
              SUBSTITUTE(SUBSTITUTE(I7,"P",""),"R","S"),
              SUBSTITUTE(I7,"P","")),
           IF(AND(COUNTIF(I7,"*P*"), COUNTIF(I7,"*R*")),
              SUBSTITUTE(I7,"R","S"),
              IF(AND(COUNTIF(I7,"*V*"), COUNTIF(I7,"*R*")),
                 SUBSTITUTE(I7,"R","S"),
                 I7))),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IF(AND(COUNTIF(I7,"*P*"), COUNTIF(I7,"*V*")),
                               IF(COUNTIF(I7,"*R*"),
                                  SUBSTITUTE(SUBSTITUTE(I7,"P",""),"R","S"),
                                  SUBSTITUTE(I7,"P","")),
                               IF(AND(COUNTIF(I7,"*P*"), COUNTIF(I7,"*R*")),
                                  SUBSTITUTE(I7,"R","S"),
                                  IF(AND(COUNTIF(I7,"*V*"), COUNTIF(I7,"*R*")),
                                     SUBSTITUTE(I7,"R","S"),
                                     I7))),
                          "0",""),"1",""),"2",""),"3",""),"4",""),
                      "5",""),"6",""),"7",""),"8",""),"9","")
     ),
     IF(SUM(--ISNUMBER(FIND({0,1,2,3,4,5,6,7,8,9}, _xlpm.txt)))=0,
        _xlpm.txt &amp; Data!BX49,
        _xlpm.txt
     )
   ),
   ""
)</f>
        <v/>
      </c>
      <c r="J29" s="41" t="str" cm="1">
        <f t="array" ref="J29">IF(J7&lt;&gt;"",
   _xlfn.LET(
     _xlpm.txt,
     IF(OR(COUNTIF(J7,"L*"), COUNTIF(J7, "X*")),
        IF(AND(COUNTIF(J7,"*P*"), COUNTIF(J7,"*V*")),
           IF(COUNTIF(J7,"*R*"),
              SUBSTITUTE(SUBSTITUTE(J7,"P",""),"R","S"),
              SUBSTITUTE(J7,"P","")),
           IF(AND(COUNTIF(J7,"*P*"), COUNTIF(J7,"*R*")),
              SUBSTITUTE(J7,"R","S"),
              IF(AND(COUNTIF(J7,"*V*"), COUNTIF(J7,"*R*")),
                 SUBSTITUTE(J7,"R","S"),
                 J7))),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IF(AND(COUNTIF(J7,"*P*"), COUNTIF(J7,"*V*")),
                               IF(COUNTIF(J7,"*R*"),
                                  SUBSTITUTE(SUBSTITUTE(J7,"P",""),"R","S"),
                                  SUBSTITUTE(J7,"P","")),
                               IF(AND(COUNTIF(J7,"*P*"), COUNTIF(J7,"*R*")),
                                  SUBSTITUTE(J7,"R","S"),
                                  IF(AND(COUNTIF(J7,"*V*"), COUNTIF(J7,"*R*")),
                                     SUBSTITUTE(J7,"R","S"),
                                     J7))),
                          "0",""),"1",""),"2",""),"3",""),"4",""),
                      "5",""),"6",""),"7",""),"8",""),"9","")
     ),
     IF(SUM(--ISNUMBER(FIND({0,1,2,3,4,5,6,7,8,9}, _xlpm.txt)))=0,
        _xlpm.txt &amp; Data!BY49,
        _xlpm.txt
     )
   ),
   ""
)</f>
        <v/>
      </c>
      <c r="K29" s="41" t="str" cm="1">
        <f t="array" ref="K29">IF(K7&lt;&gt;"",
   _xlfn.LET(
     _xlpm.txt,
     IF(OR(COUNTIF(K7,"L*"), COUNTIF(K7, "X*")),
        IF(AND(COUNTIF(K7,"*P*"), COUNTIF(K7,"*V*")),
           IF(COUNTIF(K7,"*R*"),
              SUBSTITUTE(SUBSTITUTE(K7,"P",""),"R","S"),
              SUBSTITUTE(K7,"P","")),
           IF(AND(COUNTIF(K7,"*P*"), COUNTIF(K7,"*R*")),
              SUBSTITUTE(K7,"R","S"),
              IF(AND(COUNTIF(K7,"*V*"), COUNTIF(K7,"*R*")),
                 SUBSTITUTE(K7,"R","S"),
                 K7))),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IF(AND(COUNTIF(K7,"*P*"), COUNTIF(K7,"*V*")),
                               IF(COUNTIF(K7,"*R*"),
                                  SUBSTITUTE(SUBSTITUTE(K7,"P",""),"R","S"),
                                  SUBSTITUTE(K7,"P","")),
                               IF(AND(COUNTIF(K7,"*P*"), COUNTIF(K7,"*R*")),
                                  SUBSTITUTE(K7,"R","S"),
                                  IF(AND(COUNTIF(K7,"*V*"), COUNTIF(K7,"*R*")),
                                     SUBSTITUTE(K7,"R","S"),
                                     K7))),
                          "0",""),"1",""),"2",""),"3",""),"4",""),
                      "5",""),"6",""),"7",""),"8",""),"9","")
     ),
     IF(SUM(--ISNUMBER(FIND({0,1,2,3,4,5,6,7,8,9}, _xlpm.txt)))=0,
        _xlpm.txt &amp; Data!BZ49,
        _xlpm.txt
     )
   ),
   ""
)</f>
        <v/>
      </c>
      <c r="L29" s="41" t="str" cm="1">
        <f t="array" ref="L29">IF(L7&lt;&gt;"",
   _xlfn.LET(
     _xlpm.txt,
     IF(OR(COUNTIF(L7,"L*"), COUNTIF(L7, "X*")),
        IF(AND(COUNTIF(L7,"*P*"), COUNTIF(L7,"*V*")),
           IF(COUNTIF(L7,"*R*"),
              SUBSTITUTE(SUBSTITUTE(L7,"P",""),"R","S"),
              SUBSTITUTE(L7,"P","")),
           IF(AND(COUNTIF(L7,"*P*"), COUNTIF(L7,"*R*")),
              SUBSTITUTE(L7,"R","S"),
              IF(AND(COUNTIF(L7,"*V*"), COUNTIF(L7,"*R*")),
                 SUBSTITUTE(L7,"R","S"),
                 L7))),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IF(AND(COUNTIF(L7,"*P*"), COUNTIF(L7,"*V*")),
                               IF(COUNTIF(L7,"*R*"),
                                  SUBSTITUTE(SUBSTITUTE(L7,"P",""),"R","S"),
                                  SUBSTITUTE(L7,"P","")),
                               IF(AND(COUNTIF(L7,"*P*"), COUNTIF(L7,"*R*")),
                                  SUBSTITUTE(L7,"R","S"),
                                  IF(AND(COUNTIF(L7,"*V*"), COUNTIF(L7,"*R*")),
                                     SUBSTITUTE(L7,"R","S"),
                                     L7))),
                          "0",""),"1",""),"2",""),"3",""),"4",""),
                      "5",""),"6",""),"7",""),"8",""),"9","")
     ),
     IF(SUM(--ISNUMBER(FIND({0,1,2,3,4,5,6,7,8,9}, _xlpm.txt)))=0,
        _xlpm.txt &amp; Data!CA49,
        _xlpm.txt
     )
   ),
   ""
)</f>
        <v>R2</v>
      </c>
      <c r="M29" s="41" t="str" cm="1">
        <f t="array" ref="M29">IF(M7&lt;&gt;"",
   _xlfn.LET(
     _xlpm.txt,
     IF(OR(COUNTIF(M7,"L*"), COUNTIF(M7, "X*")),
        IF(AND(COUNTIF(M7,"*P*"), COUNTIF(M7,"*V*")),
           IF(COUNTIF(M7,"*R*"),
              SUBSTITUTE(SUBSTITUTE(M7,"P",""),"R","S"),
              SUBSTITUTE(M7,"P","")),
           IF(AND(COUNTIF(M7,"*P*"), COUNTIF(M7,"*R*")),
              SUBSTITUTE(M7,"R","S"),
              IF(AND(COUNTIF(M7,"*V*"), COUNTIF(M7,"*R*")),
                 SUBSTITUTE(M7,"R","S"),
                 M7))),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IF(AND(COUNTIF(M7,"*P*"), COUNTIF(M7,"*V*")),
                               IF(COUNTIF(M7,"*R*"),
                                  SUBSTITUTE(SUBSTITUTE(M7,"P",""),"R","S"),
                                  SUBSTITUTE(M7,"P","")),
                               IF(AND(COUNTIF(M7,"*P*"), COUNTIF(M7,"*R*")),
                                  SUBSTITUTE(M7,"R","S"),
                                  IF(AND(COUNTIF(M7,"*V*"), COUNTIF(M7,"*R*")),
                                     SUBSTITUTE(M7,"R","S"),
                                     M7))),
                          "0",""),"1",""),"2",""),"3",""),"4",""),
                      "5",""),"6",""),"7",""),"8",""),"9","")
     ),
     IF(SUM(--ISNUMBER(FIND({0,1,2,3,4,5,6,7,8,9}, _xlpm.txt)))=0,
        _xlpm.txt &amp; Data!CB49,
        _xlpm.txt
     )
   ),
   ""
)</f>
        <v>R2</v>
      </c>
      <c r="N29" s="41" t="str" cm="1">
        <f t="array" ref="N29">IF(N7&lt;&gt;"",
   _xlfn.LET(
     _xlpm.txt,
     IF(OR(COUNTIF(N7,"L*"), COUNTIF(N7, "X*")),
        IF(AND(COUNTIF(N7,"*P*"), COUNTIF(N7,"*V*")),
           IF(COUNTIF(N7,"*R*"),
              SUBSTITUTE(SUBSTITUTE(N7,"P",""),"R","S"),
              SUBSTITUTE(N7,"P","")),
           IF(AND(COUNTIF(N7,"*P*"), COUNTIF(N7,"*R*")),
              SUBSTITUTE(N7,"R","S"),
              IF(AND(COUNTIF(N7,"*V*"), COUNTIF(N7,"*R*")),
                 SUBSTITUTE(N7,"R","S"),
                 N7))),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IF(AND(COUNTIF(N7,"*P*"), COUNTIF(N7,"*V*")),
                               IF(COUNTIF(N7,"*R*"),
                                  SUBSTITUTE(SUBSTITUTE(N7,"P",""),"R","S"),
                                  SUBSTITUTE(N7,"P","")),
                               IF(AND(COUNTIF(N7,"*P*"), COUNTIF(N7,"*R*")),
                                  SUBSTITUTE(N7,"R","S"),
                                  IF(AND(COUNTIF(N7,"*V*"), COUNTIF(N7,"*R*")),
                                     SUBSTITUTE(N7,"R","S"),
                                     N7))),
                          "0",""),"1",""),"2",""),"3",""),"4",""),
                      "5",""),"6",""),"7",""),"8",""),"9","")
     ),
     IF(SUM(--ISNUMBER(FIND({0,1,2,3,4,5,6,7,8,9}, _xlpm.txt)))=0,
        _xlpm.txt &amp; Data!CC49,
        _xlpm.txt
     )
   ),
   ""
)</f>
        <v>R2</v>
      </c>
      <c r="O29" s="41" t="str" cm="1">
        <f t="array" ref="O29">IF(O7&lt;&gt;"",
   _xlfn.LET(
     _xlpm.txt,
     IF(OR(COUNTIF(O7,"L*"), COUNTIF(O7, "X*")),
        IF(AND(COUNTIF(O7,"*P*"), COUNTIF(O7,"*V*")),
           IF(COUNTIF(O7,"*R*"),
              SUBSTITUTE(SUBSTITUTE(O7,"P",""),"R","S"),
              SUBSTITUTE(O7,"P","")),
           IF(AND(COUNTIF(O7,"*P*"), COUNTIF(O7,"*R*")),
              SUBSTITUTE(O7,"R","S"),
              IF(AND(COUNTIF(O7,"*V*"), COUNTIF(O7,"*R*")),
                 SUBSTITUTE(O7,"R","S"),
                 O7))),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IF(AND(COUNTIF(O7,"*P*"), COUNTIF(O7,"*V*")),
                               IF(COUNTIF(O7,"*R*"),
                                  SUBSTITUTE(SUBSTITUTE(O7,"P",""),"R","S"),
                                  SUBSTITUTE(O7,"P","")),
                               IF(AND(COUNTIF(O7,"*P*"), COUNTIF(O7,"*R*")),
                                  SUBSTITUTE(O7,"R","S"),
                                  IF(AND(COUNTIF(O7,"*V*"), COUNTIF(O7,"*R*")),
                                     SUBSTITUTE(O7,"R","S"),
                                     O7))),
                          "0",""),"1",""),"2",""),"3",""),"4",""),
                      "5",""),"6",""),"7",""),"8",""),"9","")
     ),
     IF(SUM(--ISNUMBER(FIND({0,1,2,3,4,5,6,7,8,9}, _xlpm.txt)))=0,
        _xlpm.txt &amp; Data!CD49,
        _xlpm.txt
     )
   ),
   ""
)</f>
        <v>S2</v>
      </c>
      <c r="P29" s="41" t="str" cm="1">
        <f t="array" ref="P29">IF(P7&lt;&gt;"",
   _xlfn.LET(
     _xlpm.txt,
     IF(OR(COUNTIF(P7,"L*"), COUNTIF(P7, "X*")),
        IF(AND(COUNTIF(P7,"*P*"), COUNTIF(P7,"*V*")),
           IF(COUNTIF(P7,"*R*"),
              SUBSTITUTE(SUBSTITUTE(P7,"P",""),"R","S"),
              SUBSTITUTE(P7,"P","")),
           IF(AND(COUNTIF(P7,"*P*"), COUNTIF(P7,"*R*")),
              SUBSTITUTE(P7,"R","S"),
              IF(AND(COUNTIF(P7,"*V*"), COUNTIF(P7,"*R*")),
                 SUBSTITUTE(P7,"R","S"),
                 P7))),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IF(AND(COUNTIF(P7,"*P*"), COUNTIF(P7,"*V*")),
                               IF(COUNTIF(P7,"*R*"),
                                  SUBSTITUTE(SUBSTITUTE(P7,"P",""),"R","S"),
                                  SUBSTITUTE(P7,"P","")),
                               IF(AND(COUNTIF(P7,"*P*"), COUNTIF(P7,"*R*")),
                                  SUBSTITUTE(P7,"R","S"),
                                  IF(AND(COUNTIF(P7,"*V*"), COUNTIF(P7,"*R*")),
                                     SUBSTITUTE(P7,"R","S"),
                                     P7))),
                          "0",""),"1",""),"2",""),"3",""),"4",""),
                      "5",""),"6",""),"7",""),"8",""),"9","")
     ),
     IF(SUM(--ISNUMBER(FIND({0,1,2,3,4,5,6,7,8,9}, _xlpm.txt)))=0,
        _xlpm.txt &amp; Data!CE49,
        _xlpm.txt
     )
   ),
   ""
)</f>
        <v/>
      </c>
      <c r="Q29" s="41" t="str" cm="1">
        <f t="array" ref="Q29">IF(Q7&lt;&gt;"",
   _xlfn.LET(
     _xlpm.txt,
     IF(OR(COUNTIF(Q7,"L*"), COUNTIF(Q7, "X*")),
        IF(AND(COUNTIF(Q7,"*P*"), COUNTIF(Q7,"*V*")),
           IF(COUNTIF(Q7,"*R*"),
              SUBSTITUTE(SUBSTITUTE(Q7,"P",""),"R","S"),
              SUBSTITUTE(Q7,"P","")),
           IF(AND(COUNTIF(Q7,"*P*"), COUNTIF(Q7,"*R*")),
              SUBSTITUTE(Q7,"R","S"),
              IF(AND(COUNTIF(Q7,"*V*"), COUNTIF(Q7,"*R*")),
                 SUBSTITUTE(Q7,"R","S"),
                 Q7))),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IF(AND(COUNTIF(Q7,"*P*"), COUNTIF(Q7,"*V*")),
                               IF(COUNTIF(Q7,"*R*"),
                                  SUBSTITUTE(SUBSTITUTE(Q7,"P",""),"R","S"),
                                  SUBSTITUTE(Q7,"P","")),
                               IF(AND(COUNTIF(Q7,"*P*"), COUNTIF(Q7,"*R*")),
                                  SUBSTITUTE(Q7,"R","S"),
                                  IF(AND(COUNTIF(Q7,"*V*"), COUNTIF(Q7,"*R*")),
                                     SUBSTITUTE(Q7,"R","S"),
                                     Q7))),
                          "0",""),"1",""),"2",""),"3",""),"4",""),
                      "5",""),"6",""),"7",""),"8",""),"9","")
     ),
     IF(SUM(--ISNUMBER(FIND({0,1,2,3,4,5,6,7,8,9}, _xlpm.txt)))=0,
        _xlpm.txt &amp; Data!CF49,
        _xlpm.txt
     )
   ),
   ""
)</f>
        <v/>
      </c>
      <c r="R29" s="41" t="str" cm="1">
        <f t="array" ref="R29">IF(R7&lt;&gt;"",
   _xlfn.LET(
     _xlpm.txt,
     IF(OR(COUNTIF(R7,"L*"), COUNTIF(R7, "X*")),
        IF(AND(COUNTIF(R7,"*P*"), COUNTIF(R7,"*V*")),
           IF(COUNTIF(R7,"*R*"),
              SUBSTITUTE(SUBSTITUTE(R7,"P",""),"R","S"),
              SUBSTITUTE(R7,"P","")),
           IF(AND(COUNTIF(R7,"*P*"), COUNTIF(R7,"*R*")),
              SUBSTITUTE(R7,"R","S"),
              IF(AND(COUNTIF(R7,"*V*"), COUNTIF(R7,"*R*")),
                 SUBSTITUTE(R7,"R","S"),
                 R7))),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IF(AND(COUNTIF(R7,"*P*"), COUNTIF(R7,"*V*")),
                               IF(COUNTIF(R7,"*R*"),
                                  SUBSTITUTE(SUBSTITUTE(R7,"P",""),"R","S"),
                                  SUBSTITUTE(R7,"P","")),
                               IF(AND(COUNTIF(R7,"*P*"), COUNTIF(R7,"*R*")),
                                  SUBSTITUTE(R7,"R","S"),
                                  IF(AND(COUNTIF(R7,"*V*"), COUNTIF(R7,"*R*")),
                                     SUBSTITUTE(R7,"R","S"),
                                     R7))),
                          "0",""),"1",""),"2",""),"3",""),"4",""),
                      "5",""),"6",""),"7",""),"8",""),"9","")
     ),
     IF(SUM(--ISNUMBER(FIND({0,1,2,3,4,5,6,7,8,9}, _xlpm.txt)))=0,
        _xlpm.txt &amp; Data!CG49,
        _xlpm.txt
     )
   ),
   ""
)</f>
        <v/>
      </c>
      <c r="S29" s="41" t="str" cm="1">
        <f t="array" ref="S29">IF(S7&lt;&gt;"",
   _xlfn.LET(
     _xlpm.txt,
     IF(OR(COUNTIF(S7,"L*"), COUNTIF(S7, "X*")),
        IF(AND(COUNTIF(S7,"*P*"), COUNTIF(S7,"*V*")),
           IF(COUNTIF(S7,"*R*"),
              SUBSTITUTE(SUBSTITUTE(S7,"P",""),"R","S"),
              SUBSTITUTE(S7,"P","")),
           IF(AND(COUNTIF(S7,"*P*"), COUNTIF(S7,"*R*")),
              SUBSTITUTE(S7,"R","S"),
              IF(AND(COUNTIF(S7,"*V*"), COUNTIF(S7,"*R*")),
                 SUBSTITUTE(S7,"R","S"),
                 S7))),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IF(AND(COUNTIF(S7,"*P*"), COUNTIF(S7,"*V*")),
                               IF(COUNTIF(S7,"*R*"),
                                  SUBSTITUTE(SUBSTITUTE(S7,"P",""),"R","S"),
                                  SUBSTITUTE(S7,"P","")),
                               IF(AND(COUNTIF(S7,"*P*"), COUNTIF(S7,"*R*")),
                                  SUBSTITUTE(S7,"R","S"),
                                  IF(AND(COUNTIF(S7,"*V*"), COUNTIF(S7,"*R*")),
                                     SUBSTITUTE(S7,"R","S"),
                                     S7))),
                          "0",""),"1",""),"2",""),"3",""),"4",""),
                      "5",""),"6",""),"7",""),"8",""),"9","")
     ),
     IF(SUM(--ISNUMBER(FIND({0,1,2,3,4,5,6,7,8,9}, _xlpm.txt)))=0,
        _xlpm.txt &amp; Data!CH49,
        _xlpm.txt
     )
   ),
   ""
)</f>
        <v/>
      </c>
      <c r="T29" s="41" t="str" cm="1">
        <f t="array" ref="T29">IF(T7&lt;&gt;"",
   _xlfn.LET(
     _xlpm.txt,
     IF(OR(COUNTIF(T7,"L*"), COUNTIF(T7, "X*")),
        IF(AND(COUNTIF(T7,"*P*"), COUNTIF(T7,"*V*")),
           IF(COUNTIF(T7,"*R*"),
              SUBSTITUTE(SUBSTITUTE(T7,"P",""),"R","S"),
              SUBSTITUTE(T7,"P","")),
           IF(AND(COUNTIF(T7,"*P*"), COUNTIF(T7,"*R*")),
              SUBSTITUTE(T7,"R","S"),
              IF(AND(COUNTIF(T7,"*V*"), COUNTIF(T7,"*R*")),
                 SUBSTITUTE(T7,"R","S"),
                 T7))),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IF(AND(COUNTIF(T7,"*P*"), COUNTIF(T7,"*V*")),
                               IF(COUNTIF(T7,"*R*"),
                                  SUBSTITUTE(SUBSTITUTE(T7,"P",""),"R","S"),
                                  SUBSTITUTE(T7,"P","")),
                               IF(AND(COUNTIF(T7,"*P*"), COUNTIF(T7,"*R*")),
                                  SUBSTITUTE(T7,"R","S"),
                                  IF(AND(COUNTIF(T7,"*V*"), COUNTIF(T7,"*R*")),
                                     SUBSTITUTE(T7,"R","S"),
                                     T7))),
                          "0",""),"1",""),"2",""),"3",""),"4",""),
                      "5",""),"6",""),"7",""),"8",""),"9","")
     ),
     IF(SUM(--ISNUMBER(FIND({0,1,2,3,4,5,6,7,8,9}, _xlpm.txt)))=0,
        _xlpm.txt &amp; Data!CI49,
        _xlpm.txt
     )
   ),
   ""
)</f>
        <v/>
      </c>
      <c r="U29" s="41" t="str" cm="1">
        <f t="array" ref="U29">IF(U7&lt;&gt;"",
   _xlfn.LET(
     _xlpm.txt,
     IF(OR(COUNTIF(U7,"L*"), COUNTIF(U7, "X*")),
        IF(AND(COUNTIF(U7,"*P*"), COUNTIF(U7,"*V*")),
           IF(COUNTIF(U7,"*R*"),
              SUBSTITUTE(SUBSTITUTE(U7,"P",""),"R","S"),
              SUBSTITUTE(U7,"P","")),
           IF(AND(COUNTIF(U7,"*P*"), COUNTIF(U7,"*R*")),
              SUBSTITUTE(U7,"R","S"),
              IF(AND(COUNTIF(U7,"*V*"), COUNTIF(U7,"*R*")),
                 SUBSTITUTE(U7,"R","S"),
                 U7))),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IF(AND(COUNTIF(U7,"*P*"), COUNTIF(U7,"*V*")),
                               IF(COUNTIF(U7,"*R*"),
                                  SUBSTITUTE(SUBSTITUTE(U7,"P",""),"R","S"),
                                  SUBSTITUTE(U7,"P","")),
                               IF(AND(COUNTIF(U7,"*P*"), COUNTIF(U7,"*R*")),
                                  SUBSTITUTE(U7,"R","S"),
                                  IF(AND(COUNTIF(U7,"*V*"), COUNTIF(U7,"*R*")),
                                     SUBSTITUTE(U7,"R","S"),
                                     U7))),
                          "0",""),"1",""),"2",""),"3",""),"4",""),
                      "5",""),"6",""),"7",""),"8",""),"9","")
     ),
     IF(SUM(--ISNUMBER(FIND({0,1,2,3,4,5,6,7,8,9}, _xlpm.txt)))=0,
        _xlpm.txt &amp; Data!CJ49,
        _xlpm.txt
     )
   ),
   ""
)</f>
        <v/>
      </c>
      <c r="V29" s="41" t="str" cm="1">
        <f t="array" ref="V29">IF(V7&lt;&gt;"",
   _xlfn.LET(
     _xlpm.txt,
     IF(OR(COUNTIF(V7,"L*"), COUNTIF(V7, "X*")),
        IF(AND(COUNTIF(V7,"*P*"), COUNTIF(V7,"*V*")),
           IF(COUNTIF(V7,"*R*"),
              SUBSTITUTE(SUBSTITUTE(V7,"P",""),"R","S"),
              SUBSTITUTE(V7,"P","")),
           IF(AND(COUNTIF(V7,"*P*"), COUNTIF(V7,"*R*")),
              SUBSTITUTE(V7,"R","S"),
              IF(AND(COUNTIF(V7,"*V*"), COUNTIF(V7,"*R*")),
                 SUBSTITUTE(V7,"R","S"),
                 V7))),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IF(AND(COUNTIF(V7,"*P*"), COUNTIF(V7,"*V*")),
                               IF(COUNTIF(V7,"*R*"),
                                  SUBSTITUTE(SUBSTITUTE(V7,"P",""),"R","S"),
                                  SUBSTITUTE(V7,"P","")),
                               IF(AND(COUNTIF(V7,"*P*"), COUNTIF(V7,"*R*")),
                                  SUBSTITUTE(V7,"R","S"),
                                  IF(AND(COUNTIF(V7,"*V*"), COUNTIF(V7,"*R*")),
                                     SUBSTITUTE(V7,"R","S"),
                                     V7))),
                          "0",""),"1",""),"2",""),"3",""),"4",""),
                      "5",""),"6",""),"7",""),"8",""),"9","")
     ),
     IF(SUM(--ISNUMBER(FIND({0,1,2,3,4,5,6,7,8,9}, _xlpm.txt)))=0,
        _xlpm.txt &amp; Data!CK49,
        _xlpm.txt
     )
   ),
   ""
)</f>
        <v/>
      </c>
      <c r="W29" s="41" t="str" cm="1">
        <f t="array" ref="W29">IF(W7&lt;&gt;"",
   _xlfn.LET(
     _xlpm.txt,
     IF(OR(COUNTIF(W7,"L*"), COUNTIF(W7, "X*")),
        IF(AND(COUNTIF(W7,"*P*"), COUNTIF(W7,"*V*")),
           IF(COUNTIF(W7,"*R*"),
              SUBSTITUTE(SUBSTITUTE(W7,"P",""),"R","S"),
              SUBSTITUTE(W7,"P","")),
           IF(AND(COUNTIF(W7,"*P*"), COUNTIF(W7,"*R*")),
              SUBSTITUTE(W7,"R","S"),
              IF(AND(COUNTIF(W7,"*V*"), COUNTIF(W7,"*R*")),
                 SUBSTITUTE(W7,"R","S"),
                 W7))),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IF(AND(COUNTIF(W7,"*P*"), COUNTIF(W7,"*V*")),
                               IF(COUNTIF(W7,"*R*"),
                                  SUBSTITUTE(SUBSTITUTE(W7,"P",""),"R","S"),
                                  SUBSTITUTE(W7,"P","")),
                               IF(AND(COUNTIF(W7,"*P*"), COUNTIF(W7,"*R*")),
                                  SUBSTITUTE(W7,"R","S"),
                                  IF(AND(COUNTIF(W7,"*V*"), COUNTIF(W7,"*R*")),
                                     SUBSTITUTE(W7,"R","S"),
                                     W7))),
                          "0",""),"1",""),"2",""),"3",""),"4",""),
                      "5",""),"6",""),"7",""),"8",""),"9","")
     ),
     IF(SUM(--ISNUMBER(FIND({0,1,2,3,4,5,6,7,8,9}, _xlpm.txt)))=0,
        _xlpm.txt &amp; Data!CL49,
        _xlpm.txt
     )
   ),
   ""
)</f>
        <v/>
      </c>
      <c r="X29" s="41" t="str" cm="1">
        <f t="array" ref="X29">IF(X7&lt;&gt;"",
   _xlfn.LET(
     _xlpm.txt,
     IF(OR(COUNTIF(X7,"L*"), COUNTIF(X7, "X*")),
        IF(AND(COUNTIF(X7,"*P*"), COUNTIF(X7,"*V*")),
           IF(COUNTIF(X7,"*R*"),
              SUBSTITUTE(SUBSTITUTE(X7,"P",""),"R","S"),
              SUBSTITUTE(X7,"P","")),
           IF(AND(COUNTIF(X7,"*P*"), COUNTIF(X7,"*R*")),
              SUBSTITUTE(X7,"R","S"),
              IF(AND(COUNTIF(X7,"*V*"), COUNTIF(X7,"*R*")),
                 SUBSTITUTE(X7,"R","S"),
                 X7))),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IF(AND(COUNTIF(X7,"*P*"), COUNTIF(X7,"*V*")),
                               IF(COUNTIF(X7,"*R*"),
                                  SUBSTITUTE(SUBSTITUTE(X7,"P",""),"R","S"),
                                  SUBSTITUTE(X7,"P","")),
                               IF(AND(COUNTIF(X7,"*P*"), COUNTIF(X7,"*R*")),
                                  SUBSTITUTE(X7,"R","S"),
                                  IF(AND(COUNTIF(X7,"*V*"), COUNTIF(X7,"*R*")),
                                     SUBSTITUTE(X7,"R","S"),
                                     X7))),
                          "0",""),"1",""),"2",""),"3",""),"4",""),
                      "5",""),"6",""),"7",""),"8",""),"9","")
     ),
     IF(SUM(--ISNUMBER(FIND({0,1,2,3,4,5,6,7,8,9}, _xlpm.txt)))=0,
        _xlpm.txt &amp; Data!CM49,
        _xlpm.txt
     )
   ),
   ""
)</f>
        <v/>
      </c>
      <c r="Y29" s="41" t="str" cm="1">
        <f t="array" ref="Y29">IF(Y7&lt;&gt;"",
   _xlfn.LET(
     _xlpm.txt,
     IF(OR(COUNTIF(Y7,"L*"), COUNTIF(Y7, "X*")),
        IF(AND(COUNTIF(Y7,"*P*"), COUNTIF(Y7,"*V*")),
           IF(COUNTIF(Y7,"*R*"),
              SUBSTITUTE(SUBSTITUTE(Y7,"P",""),"R","S"),
              SUBSTITUTE(Y7,"P","")),
           IF(AND(COUNTIF(Y7,"*P*"), COUNTIF(Y7,"*R*")),
              SUBSTITUTE(Y7,"R","S"),
              IF(AND(COUNTIF(Y7,"*V*"), COUNTIF(Y7,"*R*")),
                 SUBSTITUTE(Y7,"R","S"),
                 Y7))),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IF(AND(COUNTIF(Y7,"*P*"), COUNTIF(Y7,"*V*")),
                               IF(COUNTIF(Y7,"*R*"),
                                  SUBSTITUTE(SUBSTITUTE(Y7,"P",""),"R","S"),
                                  SUBSTITUTE(Y7,"P","")),
                               IF(AND(COUNTIF(Y7,"*P*"), COUNTIF(Y7,"*R*")),
                                  SUBSTITUTE(Y7,"R","S"),
                                  IF(AND(COUNTIF(Y7,"*V*"), COUNTIF(Y7,"*R*")),
                                     SUBSTITUTE(Y7,"R","S"),
                                     Y7))),
                          "0",""),"1",""),"2",""),"3",""),"4",""),
                      "5",""),"6",""),"7",""),"8",""),"9","")
     ),
     IF(SUM(--ISNUMBER(FIND({0,1,2,3,4,5,6,7,8,9}, _xlpm.txt)))=0,
        _xlpm.txt &amp; Data!CN49,
        _xlpm.txt
     )
   ),
   ""
)</f>
        <v/>
      </c>
      <c r="Z29" s="41" t="str" cm="1">
        <f t="array" ref="Z29">IF(Z7&lt;&gt;"",
   _xlfn.LET(
     _xlpm.txt,
     IF(OR(COUNTIF(Z7,"L*"), COUNTIF(Z7, "X*")),
        IF(AND(COUNTIF(Z7,"*P*"), COUNTIF(Z7,"*V*")),
           IF(COUNTIF(Z7,"*R*"),
              SUBSTITUTE(SUBSTITUTE(Z7,"P",""),"R","S"),
              SUBSTITUTE(Z7,"P","")),
           IF(AND(COUNTIF(Z7,"*P*"), COUNTIF(Z7,"*R*")),
              SUBSTITUTE(Z7,"R","S"),
              IF(AND(COUNTIF(Z7,"*V*"), COUNTIF(Z7,"*R*")),
                 SUBSTITUTE(Z7,"R","S"),
                 Z7))),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IF(AND(COUNTIF(Z7,"*P*"), COUNTIF(Z7,"*V*")),
                               IF(COUNTIF(Z7,"*R*"),
                                  SUBSTITUTE(SUBSTITUTE(Z7,"P",""),"R","S"),
                                  SUBSTITUTE(Z7,"P","")),
                               IF(AND(COUNTIF(Z7,"*P*"), COUNTIF(Z7,"*R*")),
                                  SUBSTITUTE(Z7,"R","S"),
                                  IF(AND(COUNTIF(Z7,"*V*"), COUNTIF(Z7,"*R*")),
                                     SUBSTITUTE(Z7,"R","S"),
                                     Z7))),
                          "0",""),"1",""),"2",""),"3",""),"4",""),
                      "5",""),"6",""),"7",""),"8",""),"9","")
     ),
     IF(SUM(--ISNUMBER(FIND({0,1,2,3,4,5,6,7,8,9}, _xlpm.txt)))=0,
        _xlpm.txt &amp; Data!CO49,
        _xlpm.txt
     )
   ),
   ""
)</f>
        <v/>
      </c>
      <c r="AA29" s="41" t="str" cm="1">
        <f t="array" ref="AA29">IF(AA7&lt;&gt;"",
   _xlfn.LET(
     _xlpm.txt,
     IF(OR(COUNTIF(AA7,"L*"), COUNTIF(AA7, "X*")),
        IF(AND(COUNTIF(AA7,"*P*"), COUNTIF(AA7,"*V*")),
           IF(COUNTIF(AA7,"*R*"),
              SUBSTITUTE(SUBSTITUTE(AA7,"P",""),"R","S"),
              SUBSTITUTE(AA7,"P","")),
           IF(AND(COUNTIF(AA7,"*P*"), COUNTIF(AA7,"*R*")),
              SUBSTITUTE(AA7,"R","S"),
              IF(AND(COUNTIF(AA7,"*V*"), COUNTIF(AA7,"*R*")),
                 SUBSTITUTE(AA7,"R","S"),
                 AA7))),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IF(AND(COUNTIF(AA7,"*P*"), COUNTIF(AA7,"*V*")),
                               IF(COUNTIF(AA7,"*R*"),
                                  SUBSTITUTE(SUBSTITUTE(AA7,"P",""),"R","S"),
                                  SUBSTITUTE(AA7,"P","")),
                               IF(AND(COUNTIF(AA7,"*P*"), COUNTIF(AA7,"*R*")),
                                  SUBSTITUTE(AA7,"R","S"),
                                  IF(AND(COUNTIF(AA7,"*V*"), COUNTIF(AA7,"*R*")),
                                     SUBSTITUTE(AA7,"R","S"),
                                     AA7))),
                          "0",""),"1",""),"2",""),"3",""),"4",""),
                      "5",""),"6",""),"7",""),"8",""),"9","")
     ),
     IF(SUM(--ISNUMBER(FIND({0,1,2,3,4,5,6,7,8,9}, _xlpm.txt)))=0,
        _xlpm.txt &amp; Data!CP49,
        _xlpm.txt
     )
   ),
   ""
)</f>
        <v/>
      </c>
      <c r="AB29" s="41" t="str" cm="1">
        <f t="array" ref="AB29">IF(AB7&lt;&gt;"",
   _xlfn.LET(
     _xlpm.txt,
     IF(OR(COUNTIF(AB7,"L*"), COUNTIF(AB7, "X*")),
        IF(AND(COUNTIF(AB7,"*P*"), COUNTIF(AB7,"*V*")),
           IF(COUNTIF(AB7,"*R*"),
              SUBSTITUTE(SUBSTITUTE(AB7,"P",""),"R","S"),
              SUBSTITUTE(AB7,"P","")),
           IF(AND(COUNTIF(AB7,"*P*"), COUNTIF(AB7,"*R*")),
              SUBSTITUTE(AB7,"R","S"),
              IF(AND(COUNTIF(AB7,"*V*"), COUNTIF(AB7,"*R*")),
                 SUBSTITUTE(AB7,"R","S"),
                 AB7))),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IF(AND(COUNTIF(AB7,"*P*"), COUNTIF(AB7,"*V*")),
                               IF(COUNTIF(AB7,"*R*"),
                                  SUBSTITUTE(SUBSTITUTE(AB7,"P",""),"R","S"),
                                  SUBSTITUTE(AB7,"P","")),
                               IF(AND(COUNTIF(AB7,"*P*"), COUNTIF(AB7,"*R*")),
                                  SUBSTITUTE(AB7,"R","S"),
                                  IF(AND(COUNTIF(AB7,"*V*"), COUNTIF(AB7,"*R*")),
                                     SUBSTITUTE(AB7,"R","S"),
                                     AB7))),
                          "0",""),"1",""),"2",""),"3",""),"4",""),
                      "5",""),"6",""),"7",""),"8",""),"9","")
     ),
     IF(SUM(--ISNUMBER(FIND({0,1,2,3,4,5,6,7,8,9}, _xlpm.txt)))=0,
        _xlpm.txt &amp; Data!CQ49,
        _xlpm.txt
     )
   ),
   ""
)</f>
        <v/>
      </c>
      <c r="AC29" s="41" t="str" cm="1">
        <f t="array" ref="AC29">IF(AC7&lt;&gt;"",
   _xlfn.LET(
     _xlpm.txt,
     IF(OR(COUNTIF(AC7,"L*"), COUNTIF(AC7, "X*")),
        IF(AND(COUNTIF(AC7,"*P*"), COUNTIF(AC7,"*V*")),
           IF(COUNTIF(AC7,"*R*"),
              SUBSTITUTE(SUBSTITUTE(AC7,"P",""),"R","S"),
              SUBSTITUTE(AC7,"P","")),
           IF(AND(COUNTIF(AC7,"*P*"), COUNTIF(AC7,"*R*")),
              SUBSTITUTE(AC7,"R","S"),
              IF(AND(COUNTIF(AC7,"*V*"), COUNTIF(AC7,"*R*")),
                 SUBSTITUTE(AC7,"R","S"),
                 AC7))),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IF(AND(COUNTIF(AC7,"*P*"), COUNTIF(AC7,"*V*")),
                               IF(COUNTIF(AC7,"*R*"),
                                  SUBSTITUTE(SUBSTITUTE(AC7,"P",""),"R","S"),
                                  SUBSTITUTE(AC7,"P","")),
                               IF(AND(COUNTIF(AC7,"*P*"), COUNTIF(AC7,"*R*")),
                                  SUBSTITUTE(AC7,"R","S"),
                                  IF(AND(COUNTIF(AC7,"*V*"), COUNTIF(AC7,"*R*")),
                                     SUBSTITUTE(AC7,"R","S"),
                                     AC7))),
                          "0",""),"1",""),"2",""),"3",""),"4",""),
                      "5",""),"6",""),"7",""),"8",""),"9","")
     ),
     IF(SUM(--ISNUMBER(FIND({0,1,2,3,4,5,6,7,8,9}, _xlpm.txt)))=0,
        _xlpm.txt &amp; Data!CR49,
        _xlpm.txt
     )
   ),
   ""
)</f>
        <v/>
      </c>
      <c r="AD29" s="41" t="str" cm="1">
        <f t="array" ref="AD29">IF(AD7&lt;&gt;"",
   _xlfn.LET(
     _xlpm.txt,
     IF(OR(COUNTIF(AD7,"L*"), COUNTIF(AD7, "X*")),
        IF(AND(COUNTIF(AD7,"*P*"), COUNTIF(AD7,"*V*")),
           IF(COUNTIF(AD7,"*R*"),
              SUBSTITUTE(SUBSTITUTE(AD7,"P",""),"R","S"),
              SUBSTITUTE(AD7,"P","")),
           IF(AND(COUNTIF(AD7,"*P*"), COUNTIF(AD7,"*R*")),
              SUBSTITUTE(AD7,"R","S"),
              IF(AND(COUNTIF(AD7,"*V*"), COUNTIF(AD7,"*R*")),
                 SUBSTITUTE(AD7,"R","S"),
                 AD7))),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IF(AND(COUNTIF(AD7,"*P*"), COUNTIF(AD7,"*V*")),
                               IF(COUNTIF(AD7,"*R*"),
                                  SUBSTITUTE(SUBSTITUTE(AD7,"P",""),"R","S"),
                                  SUBSTITUTE(AD7,"P","")),
                               IF(AND(COUNTIF(AD7,"*P*"), COUNTIF(AD7,"*R*")),
                                  SUBSTITUTE(AD7,"R","S"),
                                  IF(AND(COUNTIF(AD7,"*V*"), COUNTIF(AD7,"*R*")),
                                     SUBSTITUTE(AD7,"R","S"),
                                     AD7))),
                          "0",""),"1",""),"2",""),"3",""),"4",""),
                      "5",""),"6",""),"7",""),"8",""),"9","")
     ),
     IF(SUM(--ISNUMBER(FIND({0,1,2,3,4,5,6,7,8,9}, _xlpm.txt)))=0,
        _xlpm.txt &amp; Data!CS49,
        _xlpm.txt
     )
   ),
   ""
)</f>
        <v/>
      </c>
      <c r="AE29" s="41" t="str" cm="1">
        <f t="array" ref="AE29">IF(AE7&lt;&gt;"",
   _xlfn.LET(
     _xlpm.txt,
     IF(OR(COUNTIF(AE7,"L*"), COUNTIF(AE7, "X*")),
        IF(AND(COUNTIF(AE7,"*P*"), COUNTIF(AE7,"*V*")),
           IF(COUNTIF(AE7,"*R*"),
              SUBSTITUTE(SUBSTITUTE(AE7,"P",""),"R","S"),
              SUBSTITUTE(AE7,"P","")),
           IF(AND(COUNTIF(AE7,"*P*"), COUNTIF(AE7,"*R*")),
              SUBSTITUTE(AE7,"R","S"),
              IF(AND(COUNTIF(AE7,"*V*"), COUNTIF(AE7,"*R*")),
                 SUBSTITUTE(AE7,"R","S"),
                 AE7))),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IF(AND(COUNTIF(AE7,"*P*"), COUNTIF(AE7,"*V*")),
                               IF(COUNTIF(AE7,"*R*"),
                                  SUBSTITUTE(SUBSTITUTE(AE7,"P",""),"R","S"),
                                  SUBSTITUTE(AE7,"P","")),
                               IF(AND(COUNTIF(AE7,"*P*"), COUNTIF(AE7,"*R*")),
                                  SUBSTITUTE(AE7,"R","S"),
                                  IF(AND(COUNTIF(AE7,"*V*"), COUNTIF(AE7,"*R*")),
                                     SUBSTITUTE(AE7,"R","S"),
                                     AE7))),
                          "0",""),"1",""),"2",""),"3",""),"4",""),
                      "5",""),"6",""),"7",""),"8",""),"9","")
     ),
     IF(SUM(--ISNUMBER(FIND({0,1,2,3,4,5,6,7,8,9}, _xlpm.txt)))=0,
        _xlpm.txt &amp; Data!CT49,
        _xlpm.txt
     )
   ),
   ""
)</f>
        <v/>
      </c>
      <c r="AF29" s="41" t="str" cm="1">
        <f t="array" ref="AF29">IF(AF7&lt;&gt;"",
   _xlfn.LET(
     _xlpm.txt,
     IF(OR(COUNTIF(AF7,"L*"), COUNTIF(AF7, "X*")),
        IF(AND(COUNTIF(AF7,"*P*"), COUNTIF(AF7,"*V*")),
           IF(COUNTIF(AF7,"*R*"),
              SUBSTITUTE(SUBSTITUTE(AF7,"P",""),"R","S"),
              SUBSTITUTE(AF7,"P","")),
           IF(AND(COUNTIF(AF7,"*P*"), COUNTIF(AF7,"*R*")),
              SUBSTITUTE(AF7,"R","S"),
              IF(AND(COUNTIF(AF7,"*V*"), COUNTIF(AF7,"*R*")),
                 SUBSTITUTE(AF7,"R","S"),
                 AF7))),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IF(AND(COUNTIF(AF7,"*P*"), COUNTIF(AF7,"*V*")),
                               IF(COUNTIF(AF7,"*R*"),
                                  SUBSTITUTE(SUBSTITUTE(AF7,"P",""),"R","S"),
                                  SUBSTITUTE(AF7,"P","")),
                               IF(AND(COUNTIF(AF7,"*P*"), COUNTIF(AF7,"*R*")),
                                  SUBSTITUTE(AF7,"R","S"),
                                  IF(AND(COUNTIF(AF7,"*V*"), COUNTIF(AF7,"*R*")),
                                     SUBSTITUTE(AF7,"R","S"),
                                     AF7))),
                          "0",""),"1",""),"2",""),"3",""),"4",""),
                      "5",""),"6",""),"7",""),"8",""),"9","")
     ),
     IF(SUM(--ISNUMBER(FIND({0,1,2,3,4,5,6,7,8,9}, _xlpm.txt)))=0,
        _xlpm.txt &amp; Data!CU49,
        _xlpm.txt
     )
   ),
   ""
)</f>
        <v/>
      </c>
      <c r="AG29" s="41" t="str" cm="1">
        <f t="array" ref="AG29">IF(AG7&lt;&gt;"",
   _xlfn.LET(
     _xlpm.txt,
     IF(OR(COUNTIF(AG7,"L*"), COUNTIF(AG7, "X*")),
        IF(AND(COUNTIF(AG7,"*P*"), COUNTIF(AG7,"*V*")),
           IF(COUNTIF(AG7,"*R*"),
              SUBSTITUTE(SUBSTITUTE(AG7,"P",""),"R","S"),
              SUBSTITUTE(AG7,"P","")),
           IF(AND(COUNTIF(AG7,"*P*"), COUNTIF(AG7,"*R*")),
              SUBSTITUTE(AG7,"R","S"),
              IF(AND(COUNTIF(AG7,"*V*"), COUNTIF(AG7,"*R*")),
                 SUBSTITUTE(AG7,"R","S"),
                 AG7))),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IF(AND(COUNTIF(AG7,"*P*"), COUNTIF(AG7,"*V*")),
                               IF(COUNTIF(AG7,"*R*"),
                                  SUBSTITUTE(SUBSTITUTE(AG7,"P",""),"R","S"),
                                  SUBSTITUTE(AG7,"P","")),
                               IF(AND(COUNTIF(AG7,"*P*"), COUNTIF(AG7,"*R*")),
                                  SUBSTITUTE(AG7,"R","S"),
                                  IF(AND(COUNTIF(AG7,"*V*"), COUNTIF(AG7,"*R*")),
                                     SUBSTITUTE(AG7,"R","S"),
                                     AG7))),
                          "0",""),"1",""),"2",""),"3",""),"4",""),
                      "5",""),"6",""),"7",""),"8",""),"9","")
     ),
     IF(SUM(--ISNUMBER(FIND({0,1,2,3,4,5,6,7,8,9}, _xlpm.txt)))=0,
        _xlpm.txt &amp; Data!CV49,
        _xlpm.txt
     )
   ),
   ""
)</f>
        <v/>
      </c>
      <c r="AH29" s="41" t="str" cm="1">
        <f t="array" ref="AH29">IF(AH7&lt;&gt;"",
   _xlfn.LET(
     _xlpm.txt,
     IF(OR(COUNTIF(AH7,"L*"), COUNTIF(AH7, "X*")),
        IF(AND(COUNTIF(AH7,"*P*"), COUNTIF(AH7,"*V*")),
           IF(COUNTIF(AH7,"*R*"),
              SUBSTITUTE(SUBSTITUTE(AH7,"P",""),"R","S"),
              SUBSTITUTE(AH7,"P","")),
           IF(AND(COUNTIF(AH7,"*P*"), COUNTIF(AH7,"*R*")),
              SUBSTITUTE(AH7,"R","S"),
              IF(AND(COUNTIF(AH7,"*V*"), COUNTIF(AH7,"*R*")),
                 SUBSTITUTE(AH7,"R","S"),
                 AH7))),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IF(AND(COUNTIF(AH7,"*P*"), COUNTIF(AH7,"*V*")),
                               IF(COUNTIF(AH7,"*R*"),
                                  SUBSTITUTE(SUBSTITUTE(AH7,"P",""),"R","S"),
                                  SUBSTITUTE(AH7,"P","")),
                               IF(AND(COUNTIF(AH7,"*P*"), COUNTIF(AH7,"*R*")),
                                  SUBSTITUTE(AH7,"R","S"),
                                  IF(AND(COUNTIF(AH7,"*V*"), COUNTIF(AH7,"*R*")),
                                     SUBSTITUTE(AH7,"R","S"),
                                     AH7))),
                          "0",""),"1",""),"2",""),"3",""),"4",""),
                      "5",""),"6",""),"7",""),"8",""),"9","")
     ),
     IF(SUM(--ISNUMBER(FIND({0,1,2,3,4,5,6,7,8,9}, _xlpm.txt)))=0,
        _xlpm.txt &amp; Data!CW49,
        _xlpm.txt
     )
   ),
   ""
)</f>
        <v/>
      </c>
      <c r="AI29" s="41" t="str" cm="1">
        <f t="array" ref="AI29">IF(AI7&lt;&gt;"",
   _xlfn.LET(
     _xlpm.txt,
     IF(OR(COUNTIF(AI7,"L*"), COUNTIF(AI7, "X*")),
        IF(AND(COUNTIF(AI7,"*P*"), COUNTIF(AI7,"*V*")),
           IF(COUNTIF(AI7,"*R*"),
              SUBSTITUTE(SUBSTITUTE(AI7,"P",""),"R","S"),
              SUBSTITUTE(AI7,"P","")),
           IF(AND(COUNTIF(AI7,"*P*"), COUNTIF(AI7,"*R*")),
              SUBSTITUTE(AI7,"R","S"),
              IF(AND(COUNTIF(AI7,"*V*"), COUNTIF(AI7,"*R*")),
                 SUBSTITUTE(AI7,"R","S"),
                 AI7))),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IF(AND(COUNTIF(AI7,"*P*"), COUNTIF(AI7,"*V*")),
                               IF(COUNTIF(AI7,"*R*"),
                                  SUBSTITUTE(SUBSTITUTE(AI7,"P",""),"R","S"),
                                  SUBSTITUTE(AI7,"P","")),
                               IF(AND(COUNTIF(AI7,"*P*"), COUNTIF(AI7,"*R*")),
                                  SUBSTITUTE(AI7,"R","S"),
                                  IF(AND(COUNTIF(AI7,"*V*"), COUNTIF(AI7,"*R*")),
                                     SUBSTITUTE(AI7,"R","S"),
                                     AI7))),
                          "0",""),"1",""),"2",""),"3",""),"4",""),
                      "5",""),"6",""),"7",""),"8",""),"9","")
     ),
     IF(SUM(--ISNUMBER(FIND({0,1,2,3,4,5,6,7,8,9}, _xlpm.txt)))=0,
        _xlpm.txt &amp; Data!CX49,
        _xlpm.txt
     )
   ),
   ""
)</f>
        <v/>
      </c>
      <c r="AJ29" s="41" t="str" cm="1">
        <f t="array" ref="AJ29">IF(AJ7&lt;&gt;"",
   _xlfn.LET(
     _xlpm.txt,
     IF(OR(COUNTIF(AJ7,"L*"), COUNTIF(AJ7, "X*")),
        IF(AND(COUNTIF(AJ7,"*P*"), COUNTIF(AJ7,"*V*")),
           IF(COUNTIF(AJ7,"*R*"),
              SUBSTITUTE(SUBSTITUTE(AJ7,"P",""),"R","S"),
              SUBSTITUTE(AJ7,"P","")),
           IF(AND(COUNTIF(AJ7,"*P*"), COUNTIF(AJ7,"*R*")),
              SUBSTITUTE(AJ7,"R","S"),
              IF(AND(COUNTIF(AJ7,"*V*"), COUNTIF(AJ7,"*R*")),
                 SUBSTITUTE(AJ7,"R","S"),
                 AJ7))),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IF(AND(COUNTIF(AJ7,"*P*"), COUNTIF(AJ7,"*V*")),
                               IF(COUNTIF(AJ7,"*R*"),
                                  SUBSTITUTE(SUBSTITUTE(AJ7,"P",""),"R","S"),
                                  SUBSTITUTE(AJ7,"P","")),
                               IF(AND(COUNTIF(AJ7,"*P*"), COUNTIF(AJ7,"*R*")),
                                  SUBSTITUTE(AJ7,"R","S"),
                                  IF(AND(COUNTIF(AJ7,"*V*"), COUNTIF(AJ7,"*R*")),
                                     SUBSTITUTE(AJ7,"R","S"),
                                     AJ7))),
                          "0",""),"1",""),"2",""),"3",""),"4",""),
                      "5",""),"6",""),"7",""),"8",""),"9","")
     ),
     IF(SUM(--ISNUMBER(FIND({0,1,2,3,4,5,6,7,8,9}, _xlpm.txt)))=0,
        _xlpm.txt &amp; Data!CY49,
        _xlpm.txt
     )
   ),
   ""
)</f>
        <v/>
      </c>
    </row>
    <row r="30" spans="1:43" ht="23.25" customHeight="1" x14ac:dyDescent="0.35">
      <c r="A30" s="1196"/>
      <c r="B30" s="22">
        <v>5</v>
      </c>
      <c r="C30" s="41" t="str" cm="1">
        <f t="array" ref="C30">IF(C8&lt;&gt;"",
   _xlfn.LET(
     _xlpm.txt,
     IF(OR(COUNTIF(C8,"L*"), COUNTIF(C8, "X*")),
        IF(AND(COUNTIF(C8,"*P*"), COUNTIF(C8,"*V*")),
           IF(COUNTIF(C8,"*R*"),
              SUBSTITUTE(SUBSTITUTE(C8,"P",""),"R","S"),
              SUBSTITUTE(C8,"P","")),
           IF(AND(COUNTIF(C8,"*P*"), COUNTIF(C8,"*R*")),
              SUBSTITUTE(C8,"R","S"),
              IF(AND(COUNTIF(C8,"*V*"), COUNTIF(C8,"*R*")),
                 SUBSTITUTE(C8,"R","S"),
                 C8))),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IF(AND(COUNTIF(C8,"*P*"), COUNTIF(C8,"*V*")),
                               IF(COUNTIF(C8,"*R*"),
                                  SUBSTITUTE(SUBSTITUTE(C8,"P",""),"R","S"),
                                  SUBSTITUTE(C8,"P","")),
                               IF(AND(COUNTIF(C8,"*P*"), COUNTIF(C8,"*R*")),
                                  SUBSTITUTE(C8,"R","S"),
                                  IF(AND(COUNTIF(C8,"*V*"), COUNTIF(C8,"*R*")),
                                     SUBSTITUTE(C8,"R","S"),
                                     C8))),
                          "0",""),"1",""),"2",""),"3",""),"4",""),
                      "5",""),"6",""),"7",""),"8",""),"9","")
     ),
     IF(SUM(--ISNUMBER(FIND({0,1,2,3,4,5,6,7,8,9}, _xlpm.txt)))=0,
        _xlpm.txt &amp; Data!BR50,
        _xlpm.txt
     )
   ),
   ""
)</f>
        <v>R1</v>
      </c>
      <c r="D30" s="41" t="str" cm="1">
        <f t="array" ref="D30">IF(D8&lt;&gt;"",
   _xlfn.LET(
     _xlpm.txt,
     IF(OR(COUNTIF(D8,"L*"), COUNTIF(D8, "X*")),
        IF(AND(COUNTIF(D8,"*P*"), COUNTIF(D8,"*V*")),
           IF(COUNTIF(D8,"*R*"),
              SUBSTITUTE(SUBSTITUTE(D8,"P",""),"R","S"),
              SUBSTITUTE(D8,"P","")),
           IF(AND(COUNTIF(D8,"*P*"), COUNTIF(D8,"*R*")),
              SUBSTITUTE(D8,"R","S"),
              IF(AND(COUNTIF(D8,"*V*"), COUNTIF(D8,"*R*")),
                 SUBSTITUTE(D8,"R","S"),
                 D8))),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IF(AND(COUNTIF(D8,"*P*"), COUNTIF(D8,"*V*")),
                               IF(COUNTIF(D8,"*R*"),
                                  SUBSTITUTE(SUBSTITUTE(D8,"P",""),"R","S"),
                                  SUBSTITUTE(D8,"P","")),
                               IF(AND(COUNTIF(D8,"*P*"), COUNTIF(D8,"*R*")),
                                  SUBSTITUTE(D8,"R","S"),
                                  IF(AND(COUNTIF(D8,"*V*"), COUNTIF(D8,"*R*")),
                                     SUBSTITUTE(D8,"R","S"),
                                     D8))),
                          "0",""),"1",""),"2",""),"3",""),"4",""),
                      "5",""),"6",""),"7",""),"8",""),"9","")
     ),
     IF(SUM(--ISNUMBER(FIND({0,1,2,3,4,5,6,7,8,9}, _xlpm.txt)))=0,
        _xlpm.txt &amp; Data!BS50,
        _xlpm.txt
     )
   ),
   ""
)</f>
        <v>R1</v>
      </c>
      <c r="E30" s="41" t="str" cm="1">
        <f t="array" ref="E30">IF(E8&lt;&gt;"",
   _xlfn.LET(
     _xlpm.txt,
     IF(OR(COUNTIF(E8,"L*"), COUNTIF(E8, "X*")),
        IF(AND(COUNTIF(E8,"*P*"), COUNTIF(E8,"*V*")),
           IF(COUNTIF(E8,"*R*"),
              SUBSTITUTE(SUBSTITUTE(E8,"P",""),"R","S"),
              SUBSTITUTE(E8,"P","")),
           IF(AND(COUNTIF(E8,"*P*"), COUNTIF(E8,"*R*")),
              SUBSTITUTE(E8,"R","S"),
              IF(AND(COUNTIF(E8,"*V*"), COUNTIF(E8,"*R*")),
                 SUBSTITUTE(E8,"R","S"),
                 E8))),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IF(AND(COUNTIF(E8,"*P*"), COUNTIF(E8,"*V*")),
                               IF(COUNTIF(E8,"*R*"),
                                  SUBSTITUTE(SUBSTITUTE(E8,"P",""),"R","S"),
                                  SUBSTITUTE(E8,"P","")),
                               IF(AND(COUNTIF(E8,"*P*"), COUNTIF(E8,"*R*")),
                                  SUBSTITUTE(E8,"R","S"),
                                  IF(AND(COUNTIF(E8,"*V*"), COUNTIF(E8,"*R*")),
                                     SUBSTITUTE(E8,"R","S"),
                                     E8))),
                          "0",""),"1",""),"2",""),"3",""),"4",""),
                      "5",""),"6",""),"7",""),"8",""),"9","")
     ),
     IF(SUM(--ISNUMBER(FIND({0,1,2,3,4,5,6,7,8,9}, _xlpm.txt)))=0,
        _xlpm.txt &amp; Data!BT50,
        _xlpm.txt
     )
   ),
   ""
)</f>
        <v>X5</v>
      </c>
      <c r="F30" s="41" t="str" cm="1">
        <f t="array" ref="F30">IF(F8&lt;&gt;"",
   _xlfn.LET(
     _xlpm.txt,
     IF(OR(COUNTIF(F8,"L*"), COUNTIF(F8, "X*")),
        IF(AND(COUNTIF(F8,"*P*"), COUNTIF(F8,"*V*")),
           IF(COUNTIF(F8,"*R*"),
              SUBSTITUTE(SUBSTITUTE(F8,"P",""),"R","S"),
              SUBSTITUTE(F8,"P","")),
           IF(AND(COUNTIF(F8,"*P*"), COUNTIF(F8,"*R*")),
              SUBSTITUTE(F8,"R","S"),
              IF(AND(COUNTIF(F8,"*V*"), COUNTIF(F8,"*R*")),
                 SUBSTITUTE(F8,"R","S"),
                 F8))),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IF(AND(COUNTIF(F8,"*P*"), COUNTIF(F8,"*V*")),
                               IF(COUNTIF(F8,"*R*"),
                                  SUBSTITUTE(SUBSTITUTE(F8,"P",""),"R","S"),
                                  SUBSTITUTE(F8,"P","")),
                               IF(AND(COUNTIF(F8,"*P*"), COUNTIF(F8,"*R*")),
                                  SUBSTITUTE(F8,"R","S"),
                                  IF(AND(COUNTIF(F8,"*V*"), COUNTIF(F8,"*R*")),
                                     SUBSTITUTE(F8,"R","S"),
                                     F8))),
                          "0",""),"1",""),"2",""),"3",""),"4",""),
                      "5",""),"6",""),"7",""),"8",""),"9","")
     ),
     IF(SUM(--ISNUMBER(FIND({0,1,2,3,4,5,6,7,8,9}, _xlpm.txt)))=0,
        _xlpm.txt &amp; Data!BU50,
        _xlpm.txt
     )
   ),
   ""
)</f>
        <v>X5</v>
      </c>
      <c r="G30" s="41" t="str" cm="1">
        <f t="array" ref="G30">IF(G8&lt;&gt;"",
   _xlfn.LET(
     _xlpm.txt,
     IF(OR(COUNTIF(G8,"L*"), COUNTIF(G8, "X*")),
        IF(AND(COUNTIF(G8,"*P*"), COUNTIF(G8,"*V*")),
           IF(COUNTIF(G8,"*R*"),
              SUBSTITUTE(SUBSTITUTE(G8,"P",""),"R","S"),
              SUBSTITUTE(G8,"P","")),
           IF(AND(COUNTIF(G8,"*P*"), COUNTIF(G8,"*R*")),
              SUBSTITUTE(G8,"R","S"),
              IF(AND(COUNTIF(G8,"*V*"), COUNTIF(G8,"*R*")),
                 SUBSTITUTE(G8,"R","S"),
                 G8))),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IF(AND(COUNTIF(G8,"*P*"), COUNTIF(G8,"*V*")),
                               IF(COUNTIF(G8,"*R*"),
                                  SUBSTITUTE(SUBSTITUTE(G8,"P",""),"R","S"),
                                  SUBSTITUTE(G8,"P","")),
                               IF(AND(COUNTIF(G8,"*P*"), COUNTIF(G8,"*R*")),
                                  SUBSTITUTE(G8,"R","S"),
                                  IF(AND(COUNTIF(G8,"*V*"), COUNTIF(G8,"*R*")),
                                     SUBSTITUTE(G8,"R","S"),
                                     G8))),
                          "0",""),"1",""),"2",""),"3",""),"4",""),
                      "5",""),"6",""),"7",""),"8",""),"9","")
     ),
     IF(SUM(--ISNUMBER(FIND({0,1,2,3,4,5,6,7,8,9}, _xlpm.txt)))=0,
        _xlpm.txt &amp; Data!BV50,
        _xlpm.txt
     )
   ),
   ""
)</f>
        <v>X5</v>
      </c>
      <c r="H30" s="41" t="str" cm="1">
        <f t="array" ref="H30">IF(H8&lt;&gt;"",
   _xlfn.LET(
     _xlpm.txt,
     IF(OR(COUNTIF(H8,"L*"), COUNTIF(H8, "X*")),
        IF(AND(COUNTIF(H8,"*P*"), COUNTIF(H8,"*V*")),
           IF(COUNTIF(H8,"*R*"),
              SUBSTITUTE(SUBSTITUTE(H8,"P",""),"R","S"),
              SUBSTITUTE(H8,"P","")),
           IF(AND(COUNTIF(H8,"*P*"), COUNTIF(H8,"*R*")),
              SUBSTITUTE(H8,"R","S"),
              IF(AND(COUNTIF(H8,"*V*"), COUNTIF(H8,"*R*")),
                 SUBSTITUTE(H8,"R","S"),
                 H8))),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IF(AND(COUNTIF(H8,"*P*"), COUNTIF(H8,"*V*")),
                               IF(COUNTIF(H8,"*R*"),
                                  SUBSTITUTE(SUBSTITUTE(H8,"P",""),"R","S"),
                                  SUBSTITUTE(H8,"P","")),
                               IF(AND(COUNTIF(H8,"*P*"), COUNTIF(H8,"*R*")),
                                  SUBSTITUTE(H8,"R","S"),
                                  IF(AND(COUNTIF(H8,"*V*"), COUNTIF(H8,"*R*")),
                                     SUBSTITUTE(H8,"R","S"),
                                     H8))),
                          "0",""),"1",""),"2",""),"3",""),"4",""),
                      "5",""),"6",""),"7",""),"8",""),"9","")
     ),
     IF(SUM(--ISNUMBER(FIND({0,1,2,3,4,5,6,7,8,9}, _xlpm.txt)))=0,
        _xlpm.txt &amp; Data!BW50,
        _xlpm.txt
     )
   ),
   ""
)</f>
        <v>X5</v>
      </c>
      <c r="I30" s="41" t="str" cm="1">
        <f t="array" ref="I30">IF(I8&lt;&gt;"",
   _xlfn.LET(
     _xlpm.txt,
     IF(OR(COUNTIF(I8,"L*"), COUNTIF(I8, "X*")),
        IF(AND(COUNTIF(I8,"*P*"), COUNTIF(I8,"*V*")),
           IF(COUNTIF(I8,"*R*"),
              SUBSTITUTE(SUBSTITUTE(I8,"P",""),"R","S"),
              SUBSTITUTE(I8,"P","")),
           IF(AND(COUNTIF(I8,"*P*"), COUNTIF(I8,"*R*")),
              SUBSTITUTE(I8,"R","S"),
              IF(AND(COUNTIF(I8,"*V*"), COUNTIF(I8,"*R*")),
                 SUBSTITUTE(I8,"R","S"),
                 I8))),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IF(AND(COUNTIF(I8,"*P*"), COUNTIF(I8,"*V*")),
                               IF(COUNTIF(I8,"*R*"),
                                  SUBSTITUTE(SUBSTITUTE(I8,"P",""),"R","S"),
                                  SUBSTITUTE(I8,"P","")),
                               IF(AND(COUNTIF(I8,"*P*"), COUNTIF(I8,"*R*")),
                                  SUBSTITUTE(I8,"R","S"),
                                  IF(AND(COUNTIF(I8,"*V*"), COUNTIF(I8,"*R*")),
                                     SUBSTITUTE(I8,"R","S"),
                                     I8))),
                          "0",""),"1",""),"2",""),"3",""),"4",""),
                      "5",""),"6",""),"7",""),"8",""),"9","")
     ),
     IF(SUM(--ISNUMBER(FIND({0,1,2,3,4,5,6,7,8,9}, _xlpm.txt)))=0,
        _xlpm.txt &amp; Data!BX50,
        _xlpm.txt
     )
   ),
   ""
)</f>
        <v>R1</v>
      </c>
      <c r="J30" s="41" t="str" cm="1">
        <f t="array" ref="J30">IF(J8&lt;&gt;"",
   _xlfn.LET(
     _xlpm.txt,
     IF(OR(COUNTIF(J8,"L*"), COUNTIF(J8, "X*")),
        IF(AND(COUNTIF(J8,"*P*"), COUNTIF(J8,"*V*")),
           IF(COUNTIF(J8,"*R*"),
              SUBSTITUTE(SUBSTITUTE(J8,"P",""),"R","S"),
              SUBSTITUTE(J8,"P","")),
           IF(AND(COUNTIF(J8,"*P*"), COUNTIF(J8,"*R*")),
              SUBSTITUTE(J8,"R","S"),
              IF(AND(COUNTIF(J8,"*V*"), COUNTIF(J8,"*R*")),
                 SUBSTITUTE(J8,"R","S"),
                 J8))),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IF(AND(COUNTIF(J8,"*P*"), COUNTIF(J8,"*V*")),
                               IF(COUNTIF(J8,"*R*"),
                                  SUBSTITUTE(SUBSTITUTE(J8,"P",""),"R","S"),
                                  SUBSTITUTE(J8,"P","")),
                               IF(AND(COUNTIF(J8,"*P*"), COUNTIF(J8,"*R*")),
                                  SUBSTITUTE(J8,"R","S"),
                                  IF(AND(COUNTIF(J8,"*V*"), COUNTIF(J8,"*R*")),
                                     SUBSTITUTE(J8,"R","S"),
                                     J8))),
                          "0",""),"1",""),"2",""),"3",""),"4",""),
                      "5",""),"6",""),"7",""),"8",""),"9","")
     ),
     IF(SUM(--ISNUMBER(FIND({0,1,2,3,4,5,6,7,8,9}, _xlpm.txt)))=0,
        _xlpm.txt &amp; Data!BY50,
        _xlpm.txt
     )
   ),
   ""
)</f>
        <v>X3</v>
      </c>
      <c r="K30" s="41" t="str" cm="1">
        <f t="array" ref="K30">IF(K8&lt;&gt;"",
   _xlfn.LET(
     _xlpm.txt,
     IF(OR(COUNTIF(K8,"L*"), COUNTIF(K8, "X*")),
        IF(AND(COUNTIF(K8,"*P*"), COUNTIF(K8,"*V*")),
           IF(COUNTIF(K8,"*R*"),
              SUBSTITUTE(SUBSTITUTE(K8,"P",""),"R","S"),
              SUBSTITUTE(K8,"P","")),
           IF(AND(COUNTIF(K8,"*P*"), COUNTIF(K8,"*R*")),
              SUBSTITUTE(K8,"R","S"),
              IF(AND(COUNTIF(K8,"*V*"), COUNTIF(K8,"*R*")),
                 SUBSTITUTE(K8,"R","S"),
                 K8))),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IF(AND(COUNTIF(K8,"*P*"), COUNTIF(K8,"*V*")),
                               IF(COUNTIF(K8,"*R*"),
                                  SUBSTITUTE(SUBSTITUTE(K8,"P",""),"R","S"),
                                  SUBSTITUTE(K8,"P","")),
                               IF(AND(COUNTIF(K8,"*P*"), COUNTIF(K8,"*R*")),
                                  SUBSTITUTE(K8,"R","S"),
                                  IF(AND(COUNTIF(K8,"*V*"), COUNTIF(K8,"*R*")),
                                     SUBSTITUTE(K8,"R","S"),
                                     K8))),
                          "0",""),"1",""),"2",""),"3",""),"4",""),
                      "5",""),"6",""),"7",""),"8",""),"9","")
     ),
     IF(SUM(--ISNUMBER(FIND({0,1,2,3,4,5,6,7,8,9}, _xlpm.txt)))=0,
        _xlpm.txt &amp; Data!BZ50,
        _xlpm.txt
     )
   ),
   ""
)</f>
        <v/>
      </c>
      <c r="L30" s="41" t="str" cm="1">
        <f t="array" ref="L30">IF(L8&lt;&gt;"",
   _xlfn.LET(
     _xlpm.txt,
     IF(OR(COUNTIF(L8,"L*"), COUNTIF(L8, "X*")),
        IF(AND(COUNTIF(L8,"*P*"), COUNTIF(L8,"*V*")),
           IF(COUNTIF(L8,"*R*"),
              SUBSTITUTE(SUBSTITUTE(L8,"P",""),"R","S"),
              SUBSTITUTE(L8,"P","")),
           IF(AND(COUNTIF(L8,"*P*"), COUNTIF(L8,"*R*")),
              SUBSTITUTE(L8,"R","S"),
              IF(AND(COUNTIF(L8,"*V*"), COUNTIF(L8,"*R*")),
                 SUBSTITUTE(L8,"R","S"),
                 L8))),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IF(AND(COUNTIF(L8,"*P*"), COUNTIF(L8,"*V*")),
                               IF(COUNTIF(L8,"*R*"),
                                  SUBSTITUTE(SUBSTITUTE(L8,"P",""),"R","S"),
                                  SUBSTITUTE(L8,"P","")),
                               IF(AND(COUNTIF(L8,"*P*"), COUNTIF(L8,"*R*")),
                                  SUBSTITUTE(L8,"R","S"),
                                  IF(AND(COUNTIF(L8,"*V*"), COUNTIF(L8,"*R*")),
                                     SUBSTITUTE(L8,"R","S"),
                                     L8))),
                          "0",""),"1",""),"2",""),"3",""),"4",""),
                      "5",""),"6",""),"7",""),"8",""),"9","")
     ),
     IF(SUM(--ISNUMBER(FIND({0,1,2,3,4,5,6,7,8,9}, _xlpm.txt)))=0,
        _xlpm.txt &amp; Data!CA50,
        _xlpm.txt
     )
   ),
   ""
)</f>
        <v>R2</v>
      </c>
      <c r="M30" s="41" t="str" cm="1">
        <f t="array" ref="M30">IF(M8&lt;&gt;"",
   _xlfn.LET(
     _xlpm.txt,
     IF(OR(COUNTIF(M8,"L*"), COUNTIF(M8, "X*")),
        IF(AND(COUNTIF(M8,"*P*"), COUNTIF(M8,"*V*")),
           IF(COUNTIF(M8,"*R*"),
              SUBSTITUTE(SUBSTITUTE(M8,"P",""),"R","S"),
              SUBSTITUTE(M8,"P","")),
           IF(AND(COUNTIF(M8,"*P*"), COUNTIF(M8,"*R*")),
              SUBSTITUTE(M8,"R","S"),
              IF(AND(COUNTIF(M8,"*V*"), COUNTIF(M8,"*R*")),
                 SUBSTITUTE(M8,"R","S"),
                 M8))),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IF(AND(COUNTIF(M8,"*P*"), COUNTIF(M8,"*V*")),
                               IF(COUNTIF(M8,"*R*"),
                                  SUBSTITUTE(SUBSTITUTE(M8,"P",""),"R","S"),
                                  SUBSTITUTE(M8,"P","")),
                               IF(AND(COUNTIF(M8,"*P*"), COUNTIF(M8,"*R*")),
                                  SUBSTITUTE(M8,"R","S"),
                                  IF(AND(COUNTIF(M8,"*V*"), COUNTIF(M8,"*R*")),
                                     SUBSTITUTE(M8,"R","S"),
                                     M8))),
                          "0",""),"1",""),"2",""),"3",""),"4",""),
                      "5",""),"6",""),"7",""),"8",""),"9","")
     ),
     IF(SUM(--ISNUMBER(FIND({0,1,2,3,4,5,6,7,8,9}, _xlpm.txt)))=0,
        _xlpm.txt &amp; Data!CB50,
        _xlpm.txt
     )
   ),
   ""
)</f>
        <v>X4</v>
      </c>
      <c r="N30" s="41" t="str" cm="1">
        <f t="array" ref="N30">IF(N8&lt;&gt;"",
   _xlfn.LET(
     _xlpm.txt,
     IF(OR(COUNTIF(N8,"L*"), COUNTIF(N8, "X*")),
        IF(AND(COUNTIF(N8,"*P*"), COUNTIF(N8,"*V*")),
           IF(COUNTIF(N8,"*R*"),
              SUBSTITUTE(SUBSTITUTE(N8,"P",""),"R","S"),
              SUBSTITUTE(N8,"P","")),
           IF(AND(COUNTIF(N8,"*P*"), COUNTIF(N8,"*R*")),
              SUBSTITUTE(N8,"R","S"),
              IF(AND(COUNTIF(N8,"*V*"), COUNTIF(N8,"*R*")),
                 SUBSTITUTE(N8,"R","S"),
                 N8))),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IF(AND(COUNTIF(N8,"*P*"), COUNTIF(N8,"*V*")),
                               IF(COUNTIF(N8,"*R*"),
                                  SUBSTITUTE(SUBSTITUTE(N8,"P",""),"R","S"),
                                  SUBSTITUTE(N8,"P","")),
                               IF(AND(COUNTIF(N8,"*P*"), COUNTIF(N8,"*R*")),
                                  SUBSTITUTE(N8,"R","S"),
                                  IF(AND(COUNTIF(N8,"*V*"), COUNTIF(N8,"*R*")),
                                     SUBSTITUTE(N8,"R","S"),
                                     N8))),
                          "0",""),"1",""),"2",""),"3",""),"4",""),
                      "5",""),"6",""),"7",""),"8",""),"9","")
     ),
     IF(SUM(--ISNUMBER(FIND({0,1,2,3,4,5,6,7,8,9}, _xlpm.txt)))=0,
        _xlpm.txt &amp; Data!CC50,
        _xlpm.txt
     )
   ),
   ""
)</f>
        <v>R2</v>
      </c>
      <c r="O30" s="41" t="str" cm="1">
        <f t="array" ref="O30">IF(O8&lt;&gt;"",
   _xlfn.LET(
     _xlpm.txt,
     IF(OR(COUNTIF(O8,"L*"), COUNTIF(O8, "X*")),
        IF(AND(COUNTIF(O8,"*P*"), COUNTIF(O8,"*V*")),
           IF(COUNTIF(O8,"*R*"),
              SUBSTITUTE(SUBSTITUTE(O8,"P",""),"R","S"),
              SUBSTITUTE(O8,"P","")),
           IF(AND(COUNTIF(O8,"*P*"), COUNTIF(O8,"*R*")),
              SUBSTITUTE(O8,"R","S"),
              IF(AND(COUNTIF(O8,"*V*"), COUNTIF(O8,"*R*")),
                 SUBSTITUTE(O8,"R","S"),
                 O8))),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IF(AND(COUNTIF(O8,"*P*"), COUNTIF(O8,"*V*")),
                               IF(COUNTIF(O8,"*R*"),
                                  SUBSTITUTE(SUBSTITUTE(O8,"P",""),"R","S"),
                                  SUBSTITUTE(O8,"P","")),
                               IF(AND(COUNTIF(O8,"*P*"), COUNTIF(O8,"*R*")),
                                  SUBSTITUTE(O8,"R","S"),
                                  IF(AND(COUNTIF(O8,"*V*"), COUNTIF(O8,"*R*")),
                                     SUBSTITUTE(O8,"R","S"),
                                     O8))),
                          "0",""),"1",""),"2",""),"3",""),"4",""),
                      "5",""),"6",""),"7",""),"8",""),"9","")
     ),
     IF(SUM(--ISNUMBER(FIND({0,1,2,3,4,5,6,7,8,9}, _xlpm.txt)))=0,
        _xlpm.txt &amp; Data!CD50,
        _xlpm.txt
     )
   ),
   ""
)</f>
        <v>R2</v>
      </c>
      <c r="P30" s="41" t="str" cm="1">
        <f t="array" ref="P30">IF(P8&lt;&gt;"",
   _xlfn.LET(
     _xlpm.txt,
     IF(OR(COUNTIF(P8,"L*"), COUNTIF(P8, "X*")),
        IF(AND(COUNTIF(P8,"*P*"), COUNTIF(P8,"*V*")),
           IF(COUNTIF(P8,"*R*"),
              SUBSTITUTE(SUBSTITUTE(P8,"P",""),"R","S"),
              SUBSTITUTE(P8,"P","")),
           IF(AND(COUNTIF(P8,"*P*"), COUNTIF(P8,"*R*")),
              SUBSTITUTE(P8,"R","S"),
              IF(AND(COUNTIF(P8,"*V*"), COUNTIF(P8,"*R*")),
                 SUBSTITUTE(P8,"R","S"),
                 P8))),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IF(AND(COUNTIF(P8,"*P*"), COUNTIF(P8,"*V*")),
                               IF(COUNTIF(P8,"*R*"),
                                  SUBSTITUTE(SUBSTITUTE(P8,"P",""),"R","S"),
                                  SUBSTITUTE(P8,"P","")),
                               IF(AND(COUNTIF(P8,"*P*"), COUNTIF(P8,"*R*")),
                                  SUBSTITUTE(P8,"R","S"),
                                  IF(AND(COUNTIF(P8,"*V*"), COUNTIF(P8,"*R*")),
                                     SUBSTITUTE(P8,"R","S"),
                                     P8))),
                          "0",""),"1",""),"2",""),"3",""),"4",""),
                      "5",""),"6",""),"7",""),"8",""),"9","")
     ),
     IF(SUM(--ISNUMBER(FIND({0,1,2,3,4,5,6,7,8,9}, _xlpm.txt)))=0,
        _xlpm.txt &amp; Data!CE50,
        _xlpm.txt
     )
   ),
   ""
)</f>
        <v/>
      </c>
      <c r="Q30" s="41" t="str" cm="1">
        <f t="array" ref="Q30">IF(Q8&lt;&gt;"",
   _xlfn.LET(
     _xlpm.txt,
     IF(OR(COUNTIF(Q8,"L*"), COUNTIF(Q8, "X*")),
        IF(AND(COUNTIF(Q8,"*P*"), COUNTIF(Q8,"*V*")),
           IF(COUNTIF(Q8,"*R*"),
              SUBSTITUTE(SUBSTITUTE(Q8,"P",""),"R","S"),
              SUBSTITUTE(Q8,"P","")),
           IF(AND(COUNTIF(Q8,"*P*"), COUNTIF(Q8,"*R*")),
              SUBSTITUTE(Q8,"R","S"),
              IF(AND(COUNTIF(Q8,"*V*"), COUNTIF(Q8,"*R*")),
                 SUBSTITUTE(Q8,"R","S"),
                 Q8))),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IF(AND(COUNTIF(Q8,"*P*"), COUNTIF(Q8,"*V*")),
                               IF(COUNTIF(Q8,"*R*"),
                                  SUBSTITUTE(SUBSTITUTE(Q8,"P",""),"R","S"),
                                  SUBSTITUTE(Q8,"P","")),
                               IF(AND(COUNTIF(Q8,"*P*"), COUNTIF(Q8,"*R*")),
                                  SUBSTITUTE(Q8,"R","S"),
                                  IF(AND(COUNTIF(Q8,"*V*"), COUNTIF(Q8,"*R*")),
                                     SUBSTITUTE(Q8,"R","S"),
                                     Q8))),
                          "0",""),"1",""),"2",""),"3",""),"4",""),
                      "5",""),"6",""),"7",""),"8",""),"9","")
     ),
     IF(SUM(--ISNUMBER(FIND({0,1,2,3,4,5,6,7,8,9}, _xlpm.txt)))=0,
        _xlpm.txt &amp; Data!CF50,
        _xlpm.txt
     )
   ),
   ""
)</f>
        <v/>
      </c>
      <c r="R30" s="41" t="str" cm="1">
        <f t="array" ref="R30">IF(R8&lt;&gt;"",
   _xlfn.LET(
     _xlpm.txt,
     IF(OR(COUNTIF(R8,"L*"), COUNTIF(R8, "X*")),
        IF(AND(COUNTIF(R8,"*P*"), COUNTIF(R8,"*V*")),
           IF(COUNTIF(R8,"*R*"),
              SUBSTITUTE(SUBSTITUTE(R8,"P",""),"R","S"),
              SUBSTITUTE(R8,"P","")),
           IF(AND(COUNTIF(R8,"*P*"), COUNTIF(R8,"*R*")),
              SUBSTITUTE(R8,"R","S"),
              IF(AND(COUNTIF(R8,"*V*"), COUNTIF(R8,"*R*")),
                 SUBSTITUTE(R8,"R","S"),
                 R8))),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IF(AND(COUNTIF(R8,"*P*"), COUNTIF(R8,"*V*")),
                               IF(COUNTIF(R8,"*R*"),
                                  SUBSTITUTE(SUBSTITUTE(R8,"P",""),"R","S"),
                                  SUBSTITUTE(R8,"P","")),
                               IF(AND(COUNTIF(R8,"*P*"), COUNTIF(R8,"*R*")),
                                  SUBSTITUTE(R8,"R","S"),
                                  IF(AND(COUNTIF(R8,"*V*"), COUNTIF(R8,"*R*")),
                                     SUBSTITUTE(R8,"R","S"),
                                     R8))),
                          "0",""),"1",""),"2",""),"3",""),"4",""),
                      "5",""),"6",""),"7",""),"8",""),"9","")
     ),
     IF(SUM(--ISNUMBER(FIND({0,1,2,3,4,5,6,7,8,9}, _xlpm.txt)))=0,
        _xlpm.txt &amp; Data!CG50,
        _xlpm.txt
     )
   ),
   ""
)</f>
        <v/>
      </c>
      <c r="S30" s="41" t="str" cm="1">
        <f t="array" ref="S30">IF(S8&lt;&gt;"",
   _xlfn.LET(
     _xlpm.txt,
     IF(OR(COUNTIF(S8,"L*"), COUNTIF(S8, "X*")),
        IF(AND(COUNTIF(S8,"*P*"), COUNTIF(S8,"*V*")),
           IF(COUNTIF(S8,"*R*"),
              SUBSTITUTE(SUBSTITUTE(S8,"P",""),"R","S"),
              SUBSTITUTE(S8,"P","")),
           IF(AND(COUNTIF(S8,"*P*"), COUNTIF(S8,"*R*")),
              SUBSTITUTE(S8,"R","S"),
              IF(AND(COUNTIF(S8,"*V*"), COUNTIF(S8,"*R*")),
                 SUBSTITUTE(S8,"R","S"),
                 S8))),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IF(AND(COUNTIF(S8,"*P*"), COUNTIF(S8,"*V*")),
                               IF(COUNTIF(S8,"*R*"),
                                  SUBSTITUTE(SUBSTITUTE(S8,"P",""),"R","S"),
                                  SUBSTITUTE(S8,"P","")),
                               IF(AND(COUNTIF(S8,"*P*"), COUNTIF(S8,"*R*")),
                                  SUBSTITUTE(S8,"R","S"),
                                  IF(AND(COUNTIF(S8,"*V*"), COUNTIF(S8,"*R*")),
                                     SUBSTITUTE(S8,"R","S"),
                                     S8))),
                          "0",""),"1",""),"2",""),"3",""),"4",""),
                      "5",""),"6",""),"7",""),"8",""),"9","")
     ),
     IF(SUM(--ISNUMBER(FIND({0,1,2,3,4,5,6,7,8,9}, _xlpm.txt)))=0,
        _xlpm.txt &amp; Data!CH50,
        _xlpm.txt
     )
   ),
   ""
)</f>
        <v/>
      </c>
      <c r="T30" s="41" t="str" cm="1">
        <f t="array" ref="T30">IF(T8&lt;&gt;"",
   _xlfn.LET(
     _xlpm.txt,
     IF(OR(COUNTIF(T8,"L*"), COUNTIF(T8, "X*")),
        IF(AND(COUNTIF(T8,"*P*"), COUNTIF(T8,"*V*")),
           IF(COUNTIF(T8,"*R*"),
              SUBSTITUTE(SUBSTITUTE(T8,"P",""),"R","S"),
              SUBSTITUTE(T8,"P","")),
           IF(AND(COUNTIF(T8,"*P*"), COUNTIF(T8,"*R*")),
              SUBSTITUTE(T8,"R","S"),
              IF(AND(COUNTIF(T8,"*V*"), COUNTIF(T8,"*R*")),
                 SUBSTITUTE(T8,"R","S"),
                 T8))),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IF(AND(COUNTIF(T8,"*P*"), COUNTIF(T8,"*V*")),
                               IF(COUNTIF(T8,"*R*"),
                                  SUBSTITUTE(SUBSTITUTE(T8,"P",""),"R","S"),
                                  SUBSTITUTE(T8,"P","")),
                               IF(AND(COUNTIF(T8,"*P*"), COUNTIF(T8,"*R*")),
                                  SUBSTITUTE(T8,"R","S"),
                                  IF(AND(COUNTIF(T8,"*V*"), COUNTIF(T8,"*R*")),
                                     SUBSTITUTE(T8,"R","S"),
                                     T8))),
                          "0",""),"1",""),"2",""),"3",""),"4",""),
                      "5",""),"6",""),"7",""),"8",""),"9","")
     ),
     IF(SUM(--ISNUMBER(FIND({0,1,2,3,4,5,6,7,8,9}, _xlpm.txt)))=0,
        _xlpm.txt &amp; Data!CI50,
        _xlpm.txt
     )
   ),
   ""
)</f>
        <v/>
      </c>
      <c r="U30" s="41" t="str" cm="1">
        <f t="array" ref="U30">IF(U8&lt;&gt;"",
   _xlfn.LET(
     _xlpm.txt,
     IF(OR(COUNTIF(U8,"L*"), COUNTIF(U8, "X*")),
        IF(AND(COUNTIF(U8,"*P*"), COUNTIF(U8,"*V*")),
           IF(COUNTIF(U8,"*R*"),
              SUBSTITUTE(SUBSTITUTE(U8,"P",""),"R","S"),
              SUBSTITUTE(U8,"P","")),
           IF(AND(COUNTIF(U8,"*P*"), COUNTIF(U8,"*R*")),
              SUBSTITUTE(U8,"R","S"),
              IF(AND(COUNTIF(U8,"*V*"), COUNTIF(U8,"*R*")),
                 SUBSTITUTE(U8,"R","S"),
                 U8))),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IF(AND(COUNTIF(U8,"*P*"), COUNTIF(U8,"*V*")),
                               IF(COUNTIF(U8,"*R*"),
                                  SUBSTITUTE(SUBSTITUTE(U8,"P",""),"R","S"),
                                  SUBSTITUTE(U8,"P","")),
                               IF(AND(COUNTIF(U8,"*P*"), COUNTIF(U8,"*R*")),
                                  SUBSTITUTE(U8,"R","S"),
                                  IF(AND(COUNTIF(U8,"*V*"), COUNTIF(U8,"*R*")),
                                     SUBSTITUTE(U8,"R","S"),
                                     U8))),
                          "0",""),"1",""),"2",""),"3",""),"4",""),
                      "5",""),"6",""),"7",""),"8",""),"9","")
     ),
     IF(SUM(--ISNUMBER(FIND({0,1,2,3,4,5,6,7,8,9}, _xlpm.txt)))=0,
        _xlpm.txt &amp; Data!CJ50,
        _xlpm.txt
     )
   ),
   ""
)</f>
        <v/>
      </c>
      <c r="V30" s="41" t="str" cm="1">
        <f t="array" ref="V30">IF(V8&lt;&gt;"",
   _xlfn.LET(
     _xlpm.txt,
     IF(OR(COUNTIF(V8,"L*"), COUNTIF(V8, "X*")),
        IF(AND(COUNTIF(V8,"*P*"), COUNTIF(V8,"*V*")),
           IF(COUNTIF(V8,"*R*"),
              SUBSTITUTE(SUBSTITUTE(V8,"P",""),"R","S"),
              SUBSTITUTE(V8,"P","")),
           IF(AND(COUNTIF(V8,"*P*"), COUNTIF(V8,"*R*")),
              SUBSTITUTE(V8,"R","S"),
              IF(AND(COUNTIF(V8,"*V*"), COUNTIF(V8,"*R*")),
                 SUBSTITUTE(V8,"R","S"),
                 V8))),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IF(AND(COUNTIF(V8,"*P*"), COUNTIF(V8,"*V*")),
                               IF(COUNTIF(V8,"*R*"),
                                  SUBSTITUTE(SUBSTITUTE(V8,"P",""),"R","S"),
                                  SUBSTITUTE(V8,"P","")),
                               IF(AND(COUNTIF(V8,"*P*"), COUNTIF(V8,"*R*")),
                                  SUBSTITUTE(V8,"R","S"),
                                  IF(AND(COUNTIF(V8,"*V*"), COUNTIF(V8,"*R*")),
                                     SUBSTITUTE(V8,"R","S"),
                                     V8))),
                          "0",""),"1",""),"2",""),"3",""),"4",""),
                      "5",""),"6",""),"7",""),"8",""),"9","")
     ),
     IF(SUM(--ISNUMBER(FIND({0,1,2,3,4,5,6,7,8,9}, _xlpm.txt)))=0,
        _xlpm.txt &amp; Data!CK50,
        _xlpm.txt
     )
   ),
   ""
)</f>
        <v/>
      </c>
      <c r="W30" s="41" t="str" cm="1">
        <f t="array" ref="W30">IF(W8&lt;&gt;"",
   _xlfn.LET(
     _xlpm.txt,
     IF(OR(COUNTIF(W8,"L*"), COUNTIF(W8, "X*")),
        IF(AND(COUNTIF(W8,"*P*"), COUNTIF(W8,"*V*")),
           IF(COUNTIF(W8,"*R*"),
              SUBSTITUTE(SUBSTITUTE(W8,"P",""),"R","S"),
              SUBSTITUTE(W8,"P","")),
           IF(AND(COUNTIF(W8,"*P*"), COUNTIF(W8,"*R*")),
              SUBSTITUTE(W8,"R","S"),
              IF(AND(COUNTIF(W8,"*V*"), COUNTIF(W8,"*R*")),
                 SUBSTITUTE(W8,"R","S"),
                 W8))),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IF(AND(COUNTIF(W8,"*P*"), COUNTIF(W8,"*V*")),
                               IF(COUNTIF(W8,"*R*"),
                                  SUBSTITUTE(SUBSTITUTE(W8,"P",""),"R","S"),
                                  SUBSTITUTE(W8,"P","")),
                               IF(AND(COUNTIF(W8,"*P*"), COUNTIF(W8,"*R*")),
                                  SUBSTITUTE(W8,"R","S"),
                                  IF(AND(COUNTIF(W8,"*V*"), COUNTIF(W8,"*R*")),
                                     SUBSTITUTE(W8,"R","S"),
                                     W8))),
                          "0",""),"1",""),"2",""),"3",""),"4",""),
                      "5",""),"6",""),"7",""),"8",""),"9","")
     ),
     IF(SUM(--ISNUMBER(FIND({0,1,2,3,4,5,6,7,8,9}, _xlpm.txt)))=0,
        _xlpm.txt &amp; Data!CL50,
        _xlpm.txt
     )
   ),
   ""
)</f>
        <v/>
      </c>
      <c r="X30" s="41" t="str" cm="1">
        <f t="array" ref="X30">IF(X8&lt;&gt;"",
   _xlfn.LET(
     _xlpm.txt,
     IF(OR(COUNTIF(X8,"L*"), COUNTIF(X8, "X*")),
        IF(AND(COUNTIF(X8,"*P*"), COUNTIF(X8,"*V*")),
           IF(COUNTIF(X8,"*R*"),
              SUBSTITUTE(SUBSTITUTE(X8,"P",""),"R","S"),
              SUBSTITUTE(X8,"P","")),
           IF(AND(COUNTIF(X8,"*P*"), COUNTIF(X8,"*R*")),
              SUBSTITUTE(X8,"R","S"),
              IF(AND(COUNTIF(X8,"*V*"), COUNTIF(X8,"*R*")),
                 SUBSTITUTE(X8,"R","S"),
                 X8))),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IF(AND(COUNTIF(X8,"*P*"), COUNTIF(X8,"*V*")),
                               IF(COUNTIF(X8,"*R*"),
                                  SUBSTITUTE(SUBSTITUTE(X8,"P",""),"R","S"),
                                  SUBSTITUTE(X8,"P","")),
                               IF(AND(COUNTIF(X8,"*P*"), COUNTIF(X8,"*R*")),
                                  SUBSTITUTE(X8,"R","S"),
                                  IF(AND(COUNTIF(X8,"*V*"), COUNTIF(X8,"*R*")),
                                     SUBSTITUTE(X8,"R","S"),
                                     X8))),
                          "0",""),"1",""),"2",""),"3",""),"4",""),
                      "5",""),"6",""),"7",""),"8",""),"9","")
     ),
     IF(SUM(--ISNUMBER(FIND({0,1,2,3,4,5,6,7,8,9}, _xlpm.txt)))=0,
        _xlpm.txt &amp; Data!CM50,
        _xlpm.txt
     )
   ),
   ""
)</f>
        <v/>
      </c>
      <c r="Y30" s="41" t="str" cm="1">
        <f t="array" ref="Y30">IF(Y8&lt;&gt;"",
   _xlfn.LET(
     _xlpm.txt,
     IF(OR(COUNTIF(Y8,"L*"), COUNTIF(Y8, "X*")),
        IF(AND(COUNTIF(Y8,"*P*"), COUNTIF(Y8,"*V*")),
           IF(COUNTIF(Y8,"*R*"),
              SUBSTITUTE(SUBSTITUTE(Y8,"P",""),"R","S"),
              SUBSTITUTE(Y8,"P","")),
           IF(AND(COUNTIF(Y8,"*P*"), COUNTIF(Y8,"*R*")),
              SUBSTITUTE(Y8,"R","S"),
              IF(AND(COUNTIF(Y8,"*V*"), COUNTIF(Y8,"*R*")),
                 SUBSTITUTE(Y8,"R","S"),
                 Y8))),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IF(AND(COUNTIF(Y8,"*P*"), COUNTIF(Y8,"*V*")),
                               IF(COUNTIF(Y8,"*R*"),
                                  SUBSTITUTE(SUBSTITUTE(Y8,"P",""),"R","S"),
                                  SUBSTITUTE(Y8,"P","")),
                               IF(AND(COUNTIF(Y8,"*P*"), COUNTIF(Y8,"*R*")),
                                  SUBSTITUTE(Y8,"R","S"),
                                  IF(AND(COUNTIF(Y8,"*V*"), COUNTIF(Y8,"*R*")),
                                     SUBSTITUTE(Y8,"R","S"),
                                     Y8))),
                          "0",""),"1",""),"2",""),"3",""),"4",""),
                      "5",""),"6",""),"7",""),"8",""),"9","")
     ),
     IF(SUM(--ISNUMBER(FIND({0,1,2,3,4,5,6,7,8,9}, _xlpm.txt)))=0,
        _xlpm.txt &amp; Data!CN50,
        _xlpm.txt
     )
   ),
   ""
)</f>
        <v/>
      </c>
      <c r="Z30" s="41" t="str" cm="1">
        <f t="array" ref="Z30">IF(Z8&lt;&gt;"",
   _xlfn.LET(
     _xlpm.txt,
     IF(OR(COUNTIF(Z8,"L*"), COUNTIF(Z8, "X*")),
        IF(AND(COUNTIF(Z8,"*P*"), COUNTIF(Z8,"*V*")),
           IF(COUNTIF(Z8,"*R*"),
              SUBSTITUTE(SUBSTITUTE(Z8,"P",""),"R","S"),
              SUBSTITUTE(Z8,"P","")),
           IF(AND(COUNTIF(Z8,"*P*"), COUNTIF(Z8,"*R*")),
              SUBSTITUTE(Z8,"R","S"),
              IF(AND(COUNTIF(Z8,"*V*"), COUNTIF(Z8,"*R*")),
                 SUBSTITUTE(Z8,"R","S"),
                 Z8))),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IF(AND(COUNTIF(Z8,"*P*"), COUNTIF(Z8,"*V*")),
                               IF(COUNTIF(Z8,"*R*"),
                                  SUBSTITUTE(SUBSTITUTE(Z8,"P",""),"R","S"),
                                  SUBSTITUTE(Z8,"P","")),
                               IF(AND(COUNTIF(Z8,"*P*"), COUNTIF(Z8,"*R*")),
                                  SUBSTITUTE(Z8,"R","S"),
                                  IF(AND(COUNTIF(Z8,"*V*"), COUNTIF(Z8,"*R*")),
                                     SUBSTITUTE(Z8,"R","S"),
                                     Z8))),
                          "0",""),"1",""),"2",""),"3",""),"4",""),
                      "5",""),"6",""),"7",""),"8",""),"9","")
     ),
     IF(SUM(--ISNUMBER(FIND({0,1,2,3,4,5,6,7,8,9}, _xlpm.txt)))=0,
        _xlpm.txt &amp; Data!CO50,
        _xlpm.txt
     )
   ),
   ""
)</f>
        <v/>
      </c>
      <c r="AA30" s="41" t="str" cm="1">
        <f t="array" ref="AA30">IF(AA8&lt;&gt;"",
   _xlfn.LET(
     _xlpm.txt,
     IF(OR(COUNTIF(AA8,"L*"), COUNTIF(AA8, "X*")),
        IF(AND(COUNTIF(AA8,"*P*"), COUNTIF(AA8,"*V*")),
           IF(COUNTIF(AA8,"*R*"),
              SUBSTITUTE(SUBSTITUTE(AA8,"P",""),"R","S"),
              SUBSTITUTE(AA8,"P","")),
           IF(AND(COUNTIF(AA8,"*P*"), COUNTIF(AA8,"*R*")),
              SUBSTITUTE(AA8,"R","S"),
              IF(AND(COUNTIF(AA8,"*V*"), COUNTIF(AA8,"*R*")),
                 SUBSTITUTE(AA8,"R","S"),
                 AA8))),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IF(AND(COUNTIF(AA8,"*P*"), COUNTIF(AA8,"*V*")),
                               IF(COUNTIF(AA8,"*R*"),
                                  SUBSTITUTE(SUBSTITUTE(AA8,"P",""),"R","S"),
                                  SUBSTITUTE(AA8,"P","")),
                               IF(AND(COUNTIF(AA8,"*P*"), COUNTIF(AA8,"*R*")),
                                  SUBSTITUTE(AA8,"R","S"),
                                  IF(AND(COUNTIF(AA8,"*V*"), COUNTIF(AA8,"*R*")),
                                     SUBSTITUTE(AA8,"R","S"),
                                     AA8))),
                          "0",""),"1",""),"2",""),"3",""),"4",""),
                      "5",""),"6",""),"7",""),"8",""),"9","")
     ),
     IF(SUM(--ISNUMBER(FIND({0,1,2,3,4,5,6,7,8,9}, _xlpm.txt)))=0,
        _xlpm.txt &amp; Data!CP50,
        _xlpm.txt
     )
   ),
   ""
)</f>
        <v/>
      </c>
      <c r="AB30" s="41" t="str" cm="1">
        <f t="array" ref="AB30">IF(AB8&lt;&gt;"",
   _xlfn.LET(
     _xlpm.txt,
     IF(OR(COUNTIF(AB8,"L*"), COUNTIF(AB8, "X*")),
        IF(AND(COUNTIF(AB8,"*P*"), COUNTIF(AB8,"*V*")),
           IF(COUNTIF(AB8,"*R*"),
              SUBSTITUTE(SUBSTITUTE(AB8,"P",""),"R","S"),
              SUBSTITUTE(AB8,"P","")),
           IF(AND(COUNTIF(AB8,"*P*"), COUNTIF(AB8,"*R*")),
              SUBSTITUTE(AB8,"R","S"),
              IF(AND(COUNTIF(AB8,"*V*"), COUNTIF(AB8,"*R*")),
                 SUBSTITUTE(AB8,"R","S"),
                 AB8))),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IF(AND(COUNTIF(AB8,"*P*"), COUNTIF(AB8,"*V*")),
                               IF(COUNTIF(AB8,"*R*"),
                                  SUBSTITUTE(SUBSTITUTE(AB8,"P",""),"R","S"),
                                  SUBSTITUTE(AB8,"P","")),
                               IF(AND(COUNTIF(AB8,"*P*"), COUNTIF(AB8,"*R*")),
                                  SUBSTITUTE(AB8,"R","S"),
                                  IF(AND(COUNTIF(AB8,"*V*"), COUNTIF(AB8,"*R*")),
                                     SUBSTITUTE(AB8,"R","S"),
                                     AB8))),
                          "0",""),"1",""),"2",""),"3",""),"4",""),
                      "5",""),"6",""),"7",""),"8",""),"9","")
     ),
     IF(SUM(--ISNUMBER(FIND({0,1,2,3,4,5,6,7,8,9}, _xlpm.txt)))=0,
        _xlpm.txt &amp; Data!CQ50,
        _xlpm.txt
     )
   ),
   ""
)</f>
        <v/>
      </c>
      <c r="AC30" s="41" t="str" cm="1">
        <f t="array" ref="AC30">IF(AC8&lt;&gt;"",
   _xlfn.LET(
     _xlpm.txt,
     IF(OR(COUNTIF(AC8,"L*"), COUNTIF(AC8, "X*")),
        IF(AND(COUNTIF(AC8,"*P*"), COUNTIF(AC8,"*V*")),
           IF(COUNTIF(AC8,"*R*"),
              SUBSTITUTE(SUBSTITUTE(AC8,"P",""),"R","S"),
              SUBSTITUTE(AC8,"P","")),
           IF(AND(COUNTIF(AC8,"*P*"), COUNTIF(AC8,"*R*")),
              SUBSTITUTE(AC8,"R","S"),
              IF(AND(COUNTIF(AC8,"*V*"), COUNTIF(AC8,"*R*")),
                 SUBSTITUTE(AC8,"R","S"),
                 AC8))),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IF(AND(COUNTIF(AC8,"*P*"), COUNTIF(AC8,"*V*")),
                               IF(COUNTIF(AC8,"*R*"),
                                  SUBSTITUTE(SUBSTITUTE(AC8,"P",""),"R","S"),
                                  SUBSTITUTE(AC8,"P","")),
                               IF(AND(COUNTIF(AC8,"*P*"), COUNTIF(AC8,"*R*")),
                                  SUBSTITUTE(AC8,"R","S"),
                                  IF(AND(COUNTIF(AC8,"*V*"), COUNTIF(AC8,"*R*")),
                                     SUBSTITUTE(AC8,"R","S"),
                                     AC8))),
                          "0",""),"1",""),"2",""),"3",""),"4",""),
                      "5",""),"6",""),"7",""),"8",""),"9","")
     ),
     IF(SUM(--ISNUMBER(FIND({0,1,2,3,4,5,6,7,8,9}, _xlpm.txt)))=0,
        _xlpm.txt &amp; Data!CR50,
        _xlpm.txt
     )
   ),
   ""
)</f>
        <v/>
      </c>
      <c r="AD30" s="41" t="str" cm="1">
        <f t="array" ref="AD30">IF(AD8&lt;&gt;"",
   _xlfn.LET(
     _xlpm.txt,
     IF(OR(COUNTIF(AD8,"L*"), COUNTIF(AD8, "X*")),
        IF(AND(COUNTIF(AD8,"*P*"), COUNTIF(AD8,"*V*")),
           IF(COUNTIF(AD8,"*R*"),
              SUBSTITUTE(SUBSTITUTE(AD8,"P",""),"R","S"),
              SUBSTITUTE(AD8,"P","")),
           IF(AND(COUNTIF(AD8,"*P*"), COUNTIF(AD8,"*R*")),
              SUBSTITUTE(AD8,"R","S"),
              IF(AND(COUNTIF(AD8,"*V*"), COUNTIF(AD8,"*R*")),
                 SUBSTITUTE(AD8,"R","S"),
                 AD8))),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IF(AND(COUNTIF(AD8,"*P*"), COUNTIF(AD8,"*V*")),
                               IF(COUNTIF(AD8,"*R*"),
                                  SUBSTITUTE(SUBSTITUTE(AD8,"P",""),"R","S"),
                                  SUBSTITUTE(AD8,"P","")),
                               IF(AND(COUNTIF(AD8,"*P*"), COUNTIF(AD8,"*R*")),
                                  SUBSTITUTE(AD8,"R","S"),
                                  IF(AND(COUNTIF(AD8,"*V*"), COUNTIF(AD8,"*R*")),
                                     SUBSTITUTE(AD8,"R","S"),
                                     AD8))),
                          "0",""),"1",""),"2",""),"3",""),"4",""),
                      "5",""),"6",""),"7",""),"8",""),"9","")
     ),
     IF(SUM(--ISNUMBER(FIND({0,1,2,3,4,5,6,7,8,9}, _xlpm.txt)))=0,
        _xlpm.txt &amp; Data!CS50,
        _xlpm.txt
     )
   ),
   ""
)</f>
        <v/>
      </c>
      <c r="AE30" s="41" t="str" cm="1">
        <f t="array" ref="AE30">IF(AE8&lt;&gt;"",
   _xlfn.LET(
     _xlpm.txt,
     IF(OR(COUNTIF(AE8,"L*"), COUNTIF(AE8, "X*")),
        IF(AND(COUNTIF(AE8,"*P*"), COUNTIF(AE8,"*V*")),
           IF(COUNTIF(AE8,"*R*"),
              SUBSTITUTE(SUBSTITUTE(AE8,"P",""),"R","S"),
              SUBSTITUTE(AE8,"P","")),
           IF(AND(COUNTIF(AE8,"*P*"), COUNTIF(AE8,"*R*")),
              SUBSTITUTE(AE8,"R","S"),
              IF(AND(COUNTIF(AE8,"*V*"), COUNTIF(AE8,"*R*")),
                 SUBSTITUTE(AE8,"R","S"),
                 AE8))),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IF(AND(COUNTIF(AE8,"*P*"), COUNTIF(AE8,"*V*")),
                               IF(COUNTIF(AE8,"*R*"),
                                  SUBSTITUTE(SUBSTITUTE(AE8,"P",""),"R","S"),
                                  SUBSTITUTE(AE8,"P","")),
                               IF(AND(COUNTIF(AE8,"*P*"), COUNTIF(AE8,"*R*")),
                                  SUBSTITUTE(AE8,"R","S"),
                                  IF(AND(COUNTIF(AE8,"*V*"), COUNTIF(AE8,"*R*")),
                                     SUBSTITUTE(AE8,"R","S"),
                                     AE8))),
                          "0",""),"1",""),"2",""),"3",""),"4",""),
                      "5",""),"6",""),"7",""),"8",""),"9","")
     ),
     IF(SUM(--ISNUMBER(FIND({0,1,2,3,4,5,6,7,8,9}, _xlpm.txt)))=0,
        _xlpm.txt &amp; Data!CT50,
        _xlpm.txt
     )
   ),
   ""
)</f>
        <v/>
      </c>
      <c r="AF30" s="41" t="str" cm="1">
        <f t="array" ref="AF30">IF(AF8&lt;&gt;"",
   _xlfn.LET(
     _xlpm.txt,
     IF(OR(COUNTIF(AF8,"L*"), COUNTIF(AF8, "X*")),
        IF(AND(COUNTIF(AF8,"*P*"), COUNTIF(AF8,"*V*")),
           IF(COUNTIF(AF8,"*R*"),
              SUBSTITUTE(SUBSTITUTE(AF8,"P",""),"R","S"),
              SUBSTITUTE(AF8,"P","")),
           IF(AND(COUNTIF(AF8,"*P*"), COUNTIF(AF8,"*R*")),
              SUBSTITUTE(AF8,"R","S"),
              IF(AND(COUNTIF(AF8,"*V*"), COUNTIF(AF8,"*R*")),
                 SUBSTITUTE(AF8,"R","S"),
                 AF8))),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IF(AND(COUNTIF(AF8,"*P*"), COUNTIF(AF8,"*V*")),
                               IF(COUNTIF(AF8,"*R*"),
                                  SUBSTITUTE(SUBSTITUTE(AF8,"P",""),"R","S"),
                                  SUBSTITUTE(AF8,"P","")),
                               IF(AND(COUNTIF(AF8,"*P*"), COUNTIF(AF8,"*R*")),
                                  SUBSTITUTE(AF8,"R","S"),
                                  IF(AND(COUNTIF(AF8,"*V*"), COUNTIF(AF8,"*R*")),
                                     SUBSTITUTE(AF8,"R","S"),
                                     AF8))),
                          "0",""),"1",""),"2",""),"3",""),"4",""),
                      "5",""),"6",""),"7",""),"8",""),"9","")
     ),
     IF(SUM(--ISNUMBER(FIND({0,1,2,3,4,5,6,7,8,9}, _xlpm.txt)))=0,
        _xlpm.txt &amp; Data!CU50,
        _xlpm.txt
     )
   ),
   ""
)</f>
        <v/>
      </c>
      <c r="AG30" s="41" t="str" cm="1">
        <f t="array" ref="AG30">IF(AG8&lt;&gt;"",
   _xlfn.LET(
     _xlpm.txt,
     IF(OR(COUNTIF(AG8,"L*"), COUNTIF(AG8, "X*")),
        IF(AND(COUNTIF(AG8,"*P*"), COUNTIF(AG8,"*V*")),
           IF(COUNTIF(AG8,"*R*"),
              SUBSTITUTE(SUBSTITUTE(AG8,"P",""),"R","S"),
              SUBSTITUTE(AG8,"P","")),
           IF(AND(COUNTIF(AG8,"*P*"), COUNTIF(AG8,"*R*")),
              SUBSTITUTE(AG8,"R","S"),
              IF(AND(COUNTIF(AG8,"*V*"), COUNTIF(AG8,"*R*")),
                 SUBSTITUTE(AG8,"R","S"),
                 AG8))),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IF(AND(COUNTIF(AG8,"*P*"), COUNTIF(AG8,"*V*")),
                               IF(COUNTIF(AG8,"*R*"),
                                  SUBSTITUTE(SUBSTITUTE(AG8,"P",""),"R","S"),
                                  SUBSTITUTE(AG8,"P","")),
                               IF(AND(COUNTIF(AG8,"*P*"), COUNTIF(AG8,"*R*")),
                                  SUBSTITUTE(AG8,"R","S"),
                                  IF(AND(COUNTIF(AG8,"*V*"), COUNTIF(AG8,"*R*")),
                                     SUBSTITUTE(AG8,"R","S"),
                                     AG8))),
                          "0",""),"1",""),"2",""),"3",""),"4",""),
                      "5",""),"6",""),"7",""),"8",""),"9","")
     ),
     IF(SUM(--ISNUMBER(FIND({0,1,2,3,4,5,6,7,8,9}, _xlpm.txt)))=0,
        _xlpm.txt &amp; Data!CV50,
        _xlpm.txt
     )
   ),
   ""
)</f>
        <v/>
      </c>
      <c r="AH30" s="41" t="str" cm="1">
        <f t="array" ref="AH30">IF(AH8&lt;&gt;"",
   _xlfn.LET(
     _xlpm.txt,
     IF(OR(COUNTIF(AH8,"L*"), COUNTIF(AH8, "X*")),
        IF(AND(COUNTIF(AH8,"*P*"), COUNTIF(AH8,"*V*")),
           IF(COUNTIF(AH8,"*R*"),
              SUBSTITUTE(SUBSTITUTE(AH8,"P",""),"R","S"),
              SUBSTITUTE(AH8,"P","")),
           IF(AND(COUNTIF(AH8,"*P*"), COUNTIF(AH8,"*R*")),
              SUBSTITUTE(AH8,"R","S"),
              IF(AND(COUNTIF(AH8,"*V*"), COUNTIF(AH8,"*R*")),
                 SUBSTITUTE(AH8,"R","S"),
                 AH8))),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IF(AND(COUNTIF(AH8,"*P*"), COUNTIF(AH8,"*V*")),
                               IF(COUNTIF(AH8,"*R*"),
                                  SUBSTITUTE(SUBSTITUTE(AH8,"P",""),"R","S"),
                                  SUBSTITUTE(AH8,"P","")),
                               IF(AND(COUNTIF(AH8,"*P*"), COUNTIF(AH8,"*R*")),
                                  SUBSTITUTE(AH8,"R","S"),
                                  IF(AND(COUNTIF(AH8,"*V*"), COUNTIF(AH8,"*R*")),
                                     SUBSTITUTE(AH8,"R","S"),
                                     AH8))),
                          "0",""),"1",""),"2",""),"3",""),"4",""),
                      "5",""),"6",""),"7",""),"8",""),"9","")
     ),
     IF(SUM(--ISNUMBER(FIND({0,1,2,3,4,5,6,7,8,9}, _xlpm.txt)))=0,
        _xlpm.txt &amp; Data!CW50,
        _xlpm.txt
     )
   ),
   ""
)</f>
        <v/>
      </c>
      <c r="AI30" s="41" t="str" cm="1">
        <f t="array" ref="AI30">IF(AI8&lt;&gt;"",
   _xlfn.LET(
     _xlpm.txt,
     IF(OR(COUNTIF(AI8,"L*"), COUNTIF(AI8, "X*")),
        IF(AND(COUNTIF(AI8,"*P*"), COUNTIF(AI8,"*V*")),
           IF(COUNTIF(AI8,"*R*"),
              SUBSTITUTE(SUBSTITUTE(AI8,"P",""),"R","S"),
              SUBSTITUTE(AI8,"P","")),
           IF(AND(COUNTIF(AI8,"*P*"), COUNTIF(AI8,"*R*")),
              SUBSTITUTE(AI8,"R","S"),
              IF(AND(COUNTIF(AI8,"*V*"), COUNTIF(AI8,"*R*")),
                 SUBSTITUTE(AI8,"R","S"),
                 AI8))),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IF(AND(COUNTIF(AI8,"*P*"), COUNTIF(AI8,"*V*")),
                               IF(COUNTIF(AI8,"*R*"),
                                  SUBSTITUTE(SUBSTITUTE(AI8,"P",""),"R","S"),
                                  SUBSTITUTE(AI8,"P","")),
                               IF(AND(COUNTIF(AI8,"*P*"), COUNTIF(AI8,"*R*")),
                                  SUBSTITUTE(AI8,"R","S"),
                                  IF(AND(COUNTIF(AI8,"*V*"), COUNTIF(AI8,"*R*")),
                                     SUBSTITUTE(AI8,"R","S"),
                                     AI8))),
                          "0",""),"1",""),"2",""),"3",""),"4",""),
                      "5",""),"6",""),"7",""),"8",""),"9","")
     ),
     IF(SUM(--ISNUMBER(FIND({0,1,2,3,4,5,6,7,8,9}, _xlpm.txt)))=0,
        _xlpm.txt &amp; Data!CX50,
        _xlpm.txt
     )
   ),
   ""
)</f>
        <v/>
      </c>
      <c r="AJ30" s="41" t="str" cm="1">
        <f t="array" ref="AJ30">IF(AJ8&lt;&gt;"",
   _xlfn.LET(
     _xlpm.txt,
     IF(OR(COUNTIF(AJ8,"L*"), COUNTIF(AJ8, "X*")),
        IF(AND(COUNTIF(AJ8,"*P*"), COUNTIF(AJ8,"*V*")),
           IF(COUNTIF(AJ8,"*R*"),
              SUBSTITUTE(SUBSTITUTE(AJ8,"P",""),"R","S"),
              SUBSTITUTE(AJ8,"P","")),
           IF(AND(COUNTIF(AJ8,"*P*"), COUNTIF(AJ8,"*R*")),
              SUBSTITUTE(AJ8,"R","S"),
              IF(AND(COUNTIF(AJ8,"*V*"), COUNTIF(AJ8,"*R*")),
                 SUBSTITUTE(AJ8,"R","S"),
                 AJ8))),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IF(AND(COUNTIF(AJ8,"*P*"), COUNTIF(AJ8,"*V*")),
                               IF(COUNTIF(AJ8,"*R*"),
                                  SUBSTITUTE(SUBSTITUTE(AJ8,"P",""),"R","S"),
                                  SUBSTITUTE(AJ8,"P","")),
                               IF(AND(COUNTIF(AJ8,"*P*"), COUNTIF(AJ8,"*R*")),
                                  SUBSTITUTE(AJ8,"R","S"),
                                  IF(AND(COUNTIF(AJ8,"*V*"), COUNTIF(AJ8,"*R*")),
                                     SUBSTITUTE(AJ8,"R","S"),
                                     AJ8))),
                          "0",""),"1",""),"2",""),"3",""),"4",""),
                      "5",""),"6",""),"7",""),"8",""),"9","")
     ),
     IF(SUM(--ISNUMBER(FIND({0,1,2,3,4,5,6,7,8,9}, _xlpm.txt)))=0,
        _xlpm.txt &amp; Data!CY50,
        _xlpm.txt
     )
   ),
   ""
)</f>
        <v/>
      </c>
    </row>
    <row r="31" spans="1:43" ht="23.25" customHeight="1" x14ac:dyDescent="0.35">
      <c r="A31" s="1196"/>
      <c r="B31" s="22">
        <v>6</v>
      </c>
      <c r="C31" s="41" t="str" cm="1">
        <f t="array" ref="C31">IF(C9&lt;&gt;"",
   _xlfn.LET(
     _xlpm.txt,
     IF(OR(COUNTIF(C9,"L*"), COUNTIF(C9, "X*")),
        IF(AND(COUNTIF(C9,"*P*"), COUNTIF(C9,"*V*")),
           IF(COUNTIF(C9,"*R*"),
              SUBSTITUTE(SUBSTITUTE(C9,"P",""),"R","S"),
              SUBSTITUTE(C9,"P","")),
           IF(AND(COUNTIF(C9,"*P*"), COUNTIF(C9,"*R*")),
              SUBSTITUTE(C9,"R","S"),
              IF(AND(COUNTIF(C9,"*V*"), COUNTIF(C9,"*R*")),
                 SUBSTITUTE(C9,"R","S"),
                 C9))),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IF(AND(COUNTIF(C9,"*P*"), COUNTIF(C9,"*V*")),
                               IF(COUNTIF(C9,"*R*"),
                                  SUBSTITUTE(SUBSTITUTE(C9,"P",""),"R","S"),
                                  SUBSTITUTE(C9,"P","")),
                               IF(AND(COUNTIF(C9,"*P*"), COUNTIF(C9,"*R*")),
                                  SUBSTITUTE(C9,"R","S"),
                                  IF(AND(COUNTIF(C9,"*V*"), COUNTIF(C9,"*R*")),
                                     SUBSTITUTE(C9,"R","S"),
                                     C9))),
                          "0",""),"1",""),"2",""),"3",""),"4",""),
                      "5",""),"6",""),"7",""),"8",""),"9","")
     ),
     IF(SUM(--ISNUMBER(FIND({0,1,2,3,4,5,6,7,8,9}, _xlpm.txt)))=0,
        _xlpm.txt &amp; Data!BR51,
        _xlpm.txt
     )
   ),
   ""
)</f>
        <v>X5</v>
      </c>
      <c r="D31" s="41" t="str" cm="1">
        <f t="array" ref="D31">IF(D9&lt;&gt;"",
   _xlfn.LET(
     _xlpm.txt,
     IF(OR(COUNTIF(D9,"L*"), COUNTIF(D9, "X*")),
        IF(AND(COUNTIF(D9,"*P*"), COUNTIF(D9,"*V*")),
           IF(COUNTIF(D9,"*R*"),
              SUBSTITUTE(SUBSTITUTE(D9,"P",""),"R","S"),
              SUBSTITUTE(D9,"P","")),
           IF(AND(COUNTIF(D9,"*P*"), COUNTIF(D9,"*R*")),
              SUBSTITUTE(D9,"R","S"),
              IF(AND(COUNTIF(D9,"*V*"), COUNTIF(D9,"*R*")),
                 SUBSTITUTE(D9,"R","S"),
                 D9))),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IF(AND(COUNTIF(D9,"*P*"), COUNTIF(D9,"*V*")),
                               IF(COUNTIF(D9,"*R*"),
                                  SUBSTITUTE(SUBSTITUTE(D9,"P",""),"R","S"),
                                  SUBSTITUTE(D9,"P","")),
                               IF(AND(COUNTIF(D9,"*P*"), COUNTIF(D9,"*R*")),
                                  SUBSTITUTE(D9,"R","S"),
                                  IF(AND(COUNTIF(D9,"*V*"), COUNTIF(D9,"*R*")),
                                     SUBSTITUTE(D9,"R","S"),
                                     D9))),
                          "0",""),"1",""),"2",""),"3",""),"4",""),
                      "5",""),"6",""),"7",""),"8",""),"9","")
     ),
     IF(SUM(--ISNUMBER(FIND({0,1,2,3,4,5,6,7,8,9}, _xlpm.txt)))=0,
        _xlpm.txt &amp; Data!BS51,
        _xlpm.txt
     )
   ),
   ""
)</f>
        <v>X5</v>
      </c>
      <c r="E31" s="41" t="str" cm="1">
        <f t="array" ref="E31">IF(E9&lt;&gt;"",
   _xlfn.LET(
     _xlpm.txt,
     IF(OR(COUNTIF(E9,"L*"), COUNTIF(E9, "X*")),
        IF(AND(COUNTIF(E9,"*P*"), COUNTIF(E9,"*V*")),
           IF(COUNTIF(E9,"*R*"),
              SUBSTITUTE(SUBSTITUTE(E9,"P",""),"R","S"),
              SUBSTITUTE(E9,"P","")),
           IF(AND(COUNTIF(E9,"*P*"), COUNTIF(E9,"*R*")),
              SUBSTITUTE(E9,"R","S"),
              IF(AND(COUNTIF(E9,"*V*"), COUNTIF(E9,"*R*")),
                 SUBSTITUTE(E9,"R","S"),
                 E9))),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IF(AND(COUNTIF(E9,"*P*"), COUNTIF(E9,"*V*")),
                               IF(COUNTIF(E9,"*R*"),
                                  SUBSTITUTE(SUBSTITUTE(E9,"P",""),"R","S"),
                                  SUBSTITUTE(E9,"P","")),
                               IF(AND(COUNTIF(E9,"*P*"), COUNTIF(E9,"*R*")),
                                  SUBSTITUTE(E9,"R","S"),
                                  IF(AND(COUNTIF(E9,"*V*"), COUNTIF(E9,"*R*")),
                                     SUBSTITUTE(E9,"R","S"),
                                     E9))),
                          "0",""),"1",""),"2",""),"3",""),"4",""),
                      "5",""),"6",""),"7",""),"8",""),"9","")
     ),
     IF(SUM(--ISNUMBER(FIND({0,1,2,3,4,5,6,7,8,9}, _xlpm.txt)))=0,
        _xlpm.txt &amp; Data!BT51,
        _xlpm.txt
     )
   ),
   ""
)</f>
        <v>X5</v>
      </c>
      <c r="F31" s="41" t="str" cm="1">
        <f t="array" ref="F31">IF(F9&lt;&gt;"",
   _xlfn.LET(
     _xlpm.txt,
     IF(OR(COUNTIF(F9,"L*"), COUNTIF(F9, "X*")),
        IF(AND(COUNTIF(F9,"*P*"), COUNTIF(F9,"*V*")),
           IF(COUNTIF(F9,"*R*"),
              SUBSTITUTE(SUBSTITUTE(F9,"P",""),"R","S"),
              SUBSTITUTE(F9,"P","")),
           IF(AND(COUNTIF(F9,"*P*"), COUNTIF(F9,"*R*")),
              SUBSTITUTE(F9,"R","S"),
              IF(AND(COUNTIF(F9,"*V*"), COUNTIF(F9,"*R*")),
                 SUBSTITUTE(F9,"R","S"),
                 F9))),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IF(AND(COUNTIF(F9,"*P*"), COUNTIF(F9,"*V*")),
                               IF(COUNTIF(F9,"*R*"),
                                  SUBSTITUTE(SUBSTITUTE(F9,"P",""),"R","S"),
                                  SUBSTITUTE(F9,"P","")),
                               IF(AND(COUNTIF(F9,"*P*"), COUNTIF(F9,"*R*")),
                                  SUBSTITUTE(F9,"R","S"),
                                  IF(AND(COUNTIF(F9,"*V*"), COUNTIF(F9,"*R*")),
                                     SUBSTITUTE(F9,"R","S"),
                                     F9))),
                          "0",""),"1",""),"2",""),"3",""),"4",""),
                      "5",""),"6",""),"7",""),"8",""),"9","")
     ),
     IF(SUM(--ISNUMBER(FIND({0,1,2,3,4,5,6,7,8,9}, _xlpm.txt)))=0,
        _xlpm.txt &amp; Data!BU51,
        _xlpm.txt
     )
   ),
   ""
)</f>
        <v>R1</v>
      </c>
      <c r="G31" s="41" t="str" cm="1">
        <f t="array" ref="G31">IF(G9&lt;&gt;"",
   _xlfn.LET(
     _xlpm.txt,
     IF(OR(COUNTIF(G9,"L*"), COUNTIF(G9, "X*")),
        IF(AND(COUNTIF(G9,"*P*"), COUNTIF(G9,"*V*")),
           IF(COUNTIF(G9,"*R*"),
              SUBSTITUTE(SUBSTITUTE(G9,"P",""),"R","S"),
              SUBSTITUTE(G9,"P","")),
           IF(AND(COUNTIF(G9,"*P*"), COUNTIF(G9,"*R*")),
              SUBSTITUTE(G9,"R","S"),
              IF(AND(COUNTIF(G9,"*V*"), COUNTIF(G9,"*R*")),
                 SUBSTITUTE(G9,"R","S"),
                 G9))),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IF(AND(COUNTIF(G9,"*P*"), COUNTIF(G9,"*V*")),
                               IF(COUNTIF(G9,"*R*"),
                                  SUBSTITUTE(SUBSTITUTE(G9,"P",""),"R","S"),
                                  SUBSTITUTE(G9,"P","")),
                               IF(AND(COUNTIF(G9,"*P*"), COUNTIF(G9,"*R*")),
                                  SUBSTITUTE(G9,"R","S"),
                                  IF(AND(COUNTIF(G9,"*V*"), COUNTIF(G9,"*R*")),
                                     SUBSTITUTE(G9,"R","S"),
                                     G9))),
                          "0",""),"1",""),"2",""),"3",""),"4",""),
                      "5",""),"6",""),"7",""),"8",""),"9","")
     ),
     IF(SUM(--ISNUMBER(FIND({0,1,2,3,4,5,6,7,8,9}, _xlpm.txt)))=0,
        _xlpm.txt &amp; Data!BV51,
        _xlpm.txt
     )
   ),
   ""
)</f>
        <v>X3</v>
      </c>
      <c r="H31" s="41" t="str" cm="1">
        <f t="array" ref="H31">IF(H9&lt;&gt;"",
   _xlfn.LET(
     _xlpm.txt,
     IF(OR(COUNTIF(H9,"L*"), COUNTIF(H9, "X*")),
        IF(AND(COUNTIF(H9,"*P*"), COUNTIF(H9,"*V*")),
           IF(COUNTIF(H9,"*R*"),
              SUBSTITUTE(SUBSTITUTE(H9,"P",""),"R","S"),
              SUBSTITUTE(H9,"P","")),
           IF(AND(COUNTIF(H9,"*P*"), COUNTIF(H9,"*R*")),
              SUBSTITUTE(H9,"R","S"),
              IF(AND(COUNTIF(H9,"*V*"), COUNTIF(H9,"*R*")),
                 SUBSTITUTE(H9,"R","S"),
                 H9))),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IF(AND(COUNTIF(H9,"*P*"), COUNTIF(H9,"*V*")),
                               IF(COUNTIF(H9,"*R*"),
                                  SUBSTITUTE(SUBSTITUTE(H9,"P",""),"R","S"),
                                  SUBSTITUTE(H9,"P","")),
                               IF(AND(COUNTIF(H9,"*P*"), COUNTIF(H9,"*R*")),
                                  SUBSTITUTE(H9,"R","S"),
                                  IF(AND(COUNTIF(H9,"*V*"), COUNTIF(H9,"*R*")),
                                     SUBSTITUTE(H9,"R","S"),
                                     H9))),
                          "0",""),"1",""),"2",""),"3",""),"4",""),
                      "5",""),"6",""),"7",""),"8",""),"9","")
     ),
     IF(SUM(--ISNUMBER(FIND({0,1,2,3,4,5,6,7,8,9}, _xlpm.txt)))=0,
        _xlpm.txt &amp; Data!BW51,
        _xlpm.txt
     )
   ),
   ""
)</f>
        <v/>
      </c>
      <c r="I31" s="41" t="str" cm="1">
        <f t="array" ref="I31">IF(I9&lt;&gt;"",
   _xlfn.LET(
     _xlpm.txt,
     IF(OR(COUNTIF(I9,"L*"), COUNTIF(I9, "X*")),
        IF(AND(COUNTIF(I9,"*P*"), COUNTIF(I9,"*V*")),
           IF(COUNTIF(I9,"*R*"),
              SUBSTITUTE(SUBSTITUTE(I9,"P",""),"R","S"),
              SUBSTITUTE(I9,"P","")),
           IF(AND(COUNTIF(I9,"*P*"), COUNTIF(I9,"*R*")),
              SUBSTITUTE(I9,"R","S"),
              IF(AND(COUNTIF(I9,"*V*"), COUNTIF(I9,"*R*")),
                 SUBSTITUTE(I9,"R","S"),
                 I9))),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IF(AND(COUNTIF(I9,"*P*"), COUNTIF(I9,"*V*")),
                               IF(COUNTIF(I9,"*R*"),
                                  SUBSTITUTE(SUBSTITUTE(I9,"P",""),"R","S"),
                                  SUBSTITUTE(I9,"P","")),
                               IF(AND(COUNTIF(I9,"*P*"), COUNTIF(I9,"*R*")),
                                  SUBSTITUTE(I9,"R","S"),
                                  IF(AND(COUNTIF(I9,"*V*"), COUNTIF(I9,"*R*")),
                                     SUBSTITUTE(I9,"R","S"),
                                     I9))),
                          "0",""),"1",""),"2",""),"3",""),"4",""),
                      "5",""),"6",""),"7",""),"8",""),"9","")
     ),
     IF(SUM(--ISNUMBER(FIND({0,1,2,3,4,5,6,7,8,9}, _xlpm.txt)))=0,
        _xlpm.txt &amp; Data!BX51,
        _xlpm.txt
     )
   ),
   ""
)</f>
        <v/>
      </c>
      <c r="J31" s="41" t="str" cm="1">
        <f t="array" ref="J31">IF(J9&lt;&gt;"",
   _xlfn.LET(
     _xlpm.txt,
     IF(OR(COUNTIF(J9,"L*"), COUNTIF(J9, "X*")),
        IF(AND(COUNTIF(J9,"*P*"), COUNTIF(J9,"*V*")),
           IF(COUNTIF(J9,"*R*"),
              SUBSTITUTE(SUBSTITUTE(J9,"P",""),"R","S"),
              SUBSTITUTE(J9,"P","")),
           IF(AND(COUNTIF(J9,"*P*"), COUNTIF(J9,"*R*")),
              SUBSTITUTE(J9,"R","S"),
              IF(AND(COUNTIF(J9,"*V*"), COUNTIF(J9,"*R*")),
                 SUBSTITUTE(J9,"R","S"),
                 J9))),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IF(AND(COUNTIF(J9,"*P*"), COUNTIF(J9,"*V*")),
                               IF(COUNTIF(J9,"*R*"),
                                  SUBSTITUTE(SUBSTITUTE(J9,"P",""),"R","S"),
                                  SUBSTITUTE(J9,"P","")),
                               IF(AND(COUNTIF(J9,"*P*"), COUNTIF(J9,"*R*")),
                                  SUBSTITUTE(J9,"R","S"),
                                  IF(AND(COUNTIF(J9,"*V*"), COUNTIF(J9,"*R*")),
                                     SUBSTITUTE(J9,"R","S"),
                                     J9))),
                          "0",""),"1",""),"2",""),"3",""),"4",""),
                      "5",""),"6",""),"7",""),"8",""),"9","")
     ),
     IF(SUM(--ISNUMBER(FIND({0,1,2,3,4,5,6,7,8,9}, _xlpm.txt)))=0,
        _xlpm.txt &amp; Data!BY51,
        _xlpm.txt
     )
   ),
   ""
)</f>
        <v/>
      </c>
      <c r="K31" s="41" t="str" cm="1">
        <f t="array" ref="K31">IF(K9&lt;&gt;"",
   _xlfn.LET(
     _xlpm.txt,
     IF(OR(COUNTIF(K9,"L*"), COUNTIF(K9, "X*")),
        IF(AND(COUNTIF(K9,"*P*"), COUNTIF(K9,"*V*")),
           IF(COUNTIF(K9,"*R*"),
              SUBSTITUTE(SUBSTITUTE(K9,"P",""),"R","S"),
              SUBSTITUTE(K9,"P","")),
           IF(AND(COUNTIF(K9,"*P*"), COUNTIF(K9,"*R*")),
              SUBSTITUTE(K9,"R","S"),
              IF(AND(COUNTIF(K9,"*V*"), COUNTIF(K9,"*R*")),
                 SUBSTITUTE(K9,"R","S"),
                 K9))),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IF(AND(COUNTIF(K9,"*P*"), COUNTIF(K9,"*V*")),
                               IF(COUNTIF(K9,"*R*"),
                                  SUBSTITUTE(SUBSTITUTE(K9,"P",""),"R","S"),
                                  SUBSTITUTE(K9,"P","")),
                               IF(AND(COUNTIF(K9,"*P*"), COUNTIF(K9,"*R*")),
                                  SUBSTITUTE(K9,"R","S"),
                                  IF(AND(COUNTIF(K9,"*V*"), COUNTIF(K9,"*R*")),
                                     SUBSTITUTE(K9,"R","S"),
                                     K9))),
                          "0",""),"1",""),"2",""),"3",""),"4",""),
                      "5",""),"6",""),"7",""),"8",""),"9","")
     ),
     IF(SUM(--ISNUMBER(FIND({0,1,2,3,4,5,6,7,8,9}, _xlpm.txt)))=0,
        _xlpm.txt &amp; Data!BZ51,
        _xlpm.txt
     )
   ),
   ""
)</f>
        <v/>
      </c>
      <c r="L31" s="41" t="str" cm="1">
        <f t="array" ref="L31">IF(L9&lt;&gt;"",
   _xlfn.LET(
     _xlpm.txt,
     IF(OR(COUNTIF(L9,"L*"), COUNTIF(L9, "X*")),
        IF(AND(COUNTIF(L9,"*P*"), COUNTIF(L9,"*V*")),
           IF(COUNTIF(L9,"*R*"),
              SUBSTITUTE(SUBSTITUTE(L9,"P",""),"R","S"),
              SUBSTITUTE(L9,"P","")),
           IF(AND(COUNTIF(L9,"*P*"), COUNTIF(L9,"*R*")),
              SUBSTITUTE(L9,"R","S"),
              IF(AND(COUNTIF(L9,"*V*"), COUNTIF(L9,"*R*")),
                 SUBSTITUTE(L9,"R","S"),
                 L9))),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IF(AND(COUNTIF(L9,"*P*"), COUNTIF(L9,"*V*")),
                               IF(COUNTIF(L9,"*R*"),
                                  SUBSTITUTE(SUBSTITUTE(L9,"P",""),"R","S"),
                                  SUBSTITUTE(L9,"P","")),
                               IF(AND(COUNTIF(L9,"*P*"), COUNTIF(L9,"*R*")),
                                  SUBSTITUTE(L9,"R","S"),
                                  IF(AND(COUNTIF(L9,"*V*"), COUNTIF(L9,"*R*")),
                                     SUBSTITUTE(L9,"R","S"),
                                     L9))),
                          "0",""),"1",""),"2",""),"3",""),"4",""),
                      "5",""),"6",""),"7",""),"8",""),"9","")
     ),
     IF(SUM(--ISNUMBER(FIND({0,1,2,3,4,5,6,7,8,9}, _xlpm.txt)))=0,
        _xlpm.txt &amp; Data!CA51,
        _xlpm.txt
     )
   ),
   ""
)</f>
        <v>S2</v>
      </c>
      <c r="M31" s="41" t="str" cm="1">
        <f t="array" ref="M31">IF(M9&lt;&gt;"",
   _xlfn.LET(
     _xlpm.txt,
     IF(OR(COUNTIF(M9,"L*"), COUNTIF(M9, "X*")),
        IF(AND(COUNTIF(M9,"*P*"), COUNTIF(M9,"*V*")),
           IF(COUNTIF(M9,"*R*"),
              SUBSTITUTE(SUBSTITUTE(M9,"P",""),"R","S"),
              SUBSTITUTE(M9,"P","")),
           IF(AND(COUNTIF(M9,"*P*"), COUNTIF(M9,"*R*")),
              SUBSTITUTE(M9,"R","S"),
              IF(AND(COUNTIF(M9,"*V*"), COUNTIF(M9,"*R*")),
                 SUBSTITUTE(M9,"R","S"),
                 M9))),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IF(AND(COUNTIF(M9,"*P*"), COUNTIF(M9,"*V*")),
                               IF(COUNTIF(M9,"*R*"),
                                  SUBSTITUTE(SUBSTITUTE(M9,"P",""),"R","S"),
                                  SUBSTITUTE(M9,"P","")),
                               IF(AND(COUNTIF(M9,"*P*"), COUNTIF(M9,"*R*")),
                                  SUBSTITUTE(M9,"R","S"),
                                  IF(AND(COUNTIF(M9,"*V*"), COUNTIF(M9,"*R*")),
                                     SUBSTITUTE(M9,"R","S"),
                                     M9))),
                          "0",""),"1",""),"2",""),"3",""),"4",""),
                      "5",""),"6",""),"7",""),"8",""),"9","")
     ),
     IF(SUM(--ISNUMBER(FIND({0,1,2,3,4,5,6,7,8,9}, _xlpm.txt)))=0,
        _xlpm.txt &amp; Data!CB51,
        _xlpm.txt
     )
   ),
   ""
)</f>
        <v>R2</v>
      </c>
      <c r="N31" s="41" t="str" cm="1">
        <f t="array" ref="N31">IF(N9&lt;&gt;"",
   _xlfn.LET(
     _xlpm.txt,
     IF(OR(COUNTIF(N9,"L*"), COUNTIF(N9, "X*")),
        IF(AND(COUNTIF(N9,"*P*"), COUNTIF(N9,"*V*")),
           IF(COUNTIF(N9,"*R*"),
              SUBSTITUTE(SUBSTITUTE(N9,"P",""),"R","S"),
              SUBSTITUTE(N9,"P","")),
           IF(AND(COUNTIF(N9,"*P*"), COUNTIF(N9,"*R*")),
              SUBSTITUTE(N9,"R","S"),
              IF(AND(COUNTIF(N9,"*V*"), COUNTIF(N9,"*R*")),
                 SUBSTITUTE(N9,"R","S"),
                 N9))),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IF(AND(COUNTIF(N9,"*P*"), COUNTIF(N9,"*V*")),
                               IF(COUNTIF(N9,"*R*"),
                                  SUBSTITUTE(SUBSTITUTE(N9,"P",""),"R","S"),
                                  SUBSTITUTE(N9,"P","")),
                               IF(AND(COUNTIF(N9,"*P*"), COUNTIF(N9,"*R*")),
                                  SUBSTITUTE(N9,"R","S"),
                                  IF(AND(COUNTIF(N9,"*V*"), COUNTIF(N9,"*R*")),
                                     SUBSTITUTE(N9,"R","S"),
                                     N9))),
                          "0",""),"1",""),"2",""),"3",""),"4",""),
                      "5",""),"6",""),"7",""),"8",""),"9","")
     ),
     IF(SUM(--ISNUMBER(FIND({0,1,2,3,4,5,6,7,8,9}, _xlpm.txt)))=0,
        _xlpm.txt &amp; Data!CC51,
        _xlpm.txt
     )
   ),
   ""
)</f>
        <v>R2</v>
      </c>
      <c r="O31" s="41" t="str" cm="1">
        <f t="array" ref="O31">IF(O9&lt;&gt;"",
   _xlfn.LET(
     _xlpm.txt,
     IF(OR(COUNTIF(O9,"L*"), COUNTIF(O9, "X*")),
        IF(AND(COUNTIF(O9,"*P*"), COUNTIF(O9,"*V*")),
           IF(COUNTIF(O9,"*R*"),
              SUBSTITUTE(SUBSTITUTE(O9,"P",""),"R","S"),
              SUBSTITUTE(O9,"P","")),
           IF(AND(COUNTIF(O9,"*P*"), COUNTIF(O9,"*R*")),
              SUBSTITUTE(O9,"R","S"),
              IF(AND(COUNTIF(O9,"*V*"), COUNTIF(O9,"*R*")),
                 SUBSTITUTE(O9,"R","S"),
                 O9))),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IF(AND(COUNTIF(O9,"*P*"), COUNTIF(O9,"*V*")),
                               IF(COUNTIF(O9,"*R*"),
                                  SUBSTITUTE(SUBSTITUTE(O9,"P",""),"R","S"),
                                  SUBSTITUTE(O9,"P","")),
                               IF(AND(COUNTIF(O9,"*P*"), COUNTIF(O9,"*R*")),
                                  SUBSTITUTE(O9,"R","S"),
                                  IF(AND(COUNTIF(O9,"*V*"), COUNTIF(O9,"*R*")),
                                     SUBSTITUTE(O9,"R","S"),
                                     O9))),
                          "0",""),"1",""),"2",""),"3",""),"4",""),
                      "5",""),"6",""),"7",""),"8",""),"9","")
     ),
     IF(SUM(--ISNUMBER(FIND({0,1,2,3,4,5,6,7,8,9}, _xlpm.txt)))=0,
        _xlpm.txt &amp; Data!CD51,
        _xlpm.txt
     )
   ),
   ""
)</f>
        <v>R2</v>
      </c>
      <c r="P31" s="41" t="str" cm="1">
        <f t="array" ref="P31">IF(P9&lt;&gt;"",
   _xlfn.LET(
     _xlpm.txt,
     IF(OR(COUNTIF(P9,"L*"), COUNTIF(P9, "X*")),
        IF(AND(COUNTIF(P9,"*P*"), COUNTIF(P9,"*V*")),
           IF(COUNTIF(P9,"*R*"),
              SUBSTITUTE(SUBSTITUTE(P9,"P",""),"R","S"),
              SUBSTITUTE(P9,"P","")),
           IF(AND(COUNTIF(P9,"*P*"), COUNTIF(P9,"*R*")),
              SUBSTITUTE(P9,"R","S"),
              IF(AND(COUNTIF(P9,"*V*"), COUNTIF(P9,"*R*")),
                 SUBSTITUTE(P9,"R","S"),
                 P9))),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IF(AND(COUNTIF(P9,"*P*"), COUNTIF(P9,"*V*")),
                               IF(COUNTIF(P9,"*R*"),
                                  SUBSTITUTE(SUBSTITUTE(P9,"P",""),"R","S"),
                                  SUBSTITUTE(P9,"P","")),
                               IF(AND(COUNTIF(P9,"*P*"), COUNTIF(P9,"*R*")),
                                  SUBSTITUTE(P9,"R","S"),
                                  IF(AND(COUNTIF(P9,"*V*"), COUNTIF(P9,"*R*")),
                                     SUBSTITUTE(P9,"R","S"),
                                     P9))),
                          "0",""),"1",""),"2",""),"3",""),"4",""),
                      "5",""),"6",""),"7",""),"8",""),"9","")
     ),
     IF(SUM(--ISNUMBER(FIND({0,1,2,3,4,5,6,7,8,9}, _xlpm.txt)))=0,
        _xlpm.txt &amp; Data!CE51,
        _xlpm.txt
     )
   ),
   ""
)</f>
        <v/>
      </c>
      <c r="Q31" s="41" t="str" cm="1">
        <f t="array" ref="Q31">IF(Q9&lt;&gt;"",
   _xlfn.LET(
     _xlpm.txt,
     IF(OR(COUNTIF(Q9,"L*"), COUNTIF(Q9, "X*")),
        IF(AND(COUNTIF(Q9,"*P*"), COUNTIF(Q9,"*V*")),
           IF(COUNTIF(Q9,"*R*"),
              SUBSTITUTE(SUBSTITUTE(Q9,"P",""),"R","S"),
              SUBSTITUTE(Q9,"P","")),
           IF(AND(COUNTIF(Q9,"*P*"), COUNTIF(Q9,"*R*")),
              SUBSTITUTE(Q9,"R","S"),
              IF(AND(COUNTIF(Q9,"*V*"), COUNTIF(Q9,"*R*")),
                 SUBSTITUTE(Q9,"R","S"),
                 Q9))),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IF(AND(COUNTIF(Q9,"*P*"), COUNTIF(Q9,"*V*")),
                               IF(COUNTIF(Q9,"*R*"),
                                  SUBSTITUTE(SUBSTITUTE(Q9,"P",""),"R","S"),
                                  SUBSTITUTE(Q9,"P","")),
                               IF(AND(COUNTIF(Q9,"*P*"), COUNTIF(Q9,"*R*")),
                                  SUBSTITUTE(Q9,"R","S"),
                                  IF(AND(COUNTIF(Q9,"*V*"), COUNTIF(Q9,"*R*")),
                                     SUBSTITUTE(Q9,"R","S"),
                                     Q9))),
                          "0",""),"1",""),"2",""),"3",""),"4",""),
                      "5",""),"6",""),"7",""),"8",""),"9","")
     ),
     IF(SUM(--ISNUMBER(FIND({0,1,2,3,4,5,6,7,8,9}, _xlpm.txt)))=0,
        _xlpm.txt &amp; Data!CF51,
        _xlpm.txt
     )
   ),
   ""
)</f>
        <v/>
      </c>
      <c r="R31" s="41" t="str" cm="1">
        <f t="array" ref="R31">IF(R9&lt;&gt;"",
   _xlfn.LET(
     _xlpm.txt,
     IF(OR(COUNTIF(R9,"L*"), COUNTIF(R9, "X*")),
        IF(AND(COUNTIF(R9,"*P*"), COUNTIF(R9,"*V*")),
           IF(COUNTIF(R9,"*R*"),
              SUBSTITUTE(SUBSTITUTE(R9,"P",""),"R","S"),
              SUBSTITUTE(R9,"P","")),
           IF(AND(COUNTIF(R9,"*P*"), COUNTIF(R9,"*R*")),
              SUBSTITUTE(R9,"R","S"),
              IF(AND(COUNTIF(R9,"*V*"), COUNTIF(R9,"*R*")),
                 SUBSTITUTE(R9,"R","S"),
                 R9))),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IF(AND(COUNTIF(R9,"*P*"), COUNTIF(R9,"*V*")),
                               IF(COUNTIF(R9,"*R*"),
                                  SUBSTITUTE(SUBSTITUTE(R9,"P",""),"R","S"),
                                  SUBSTITUTE(R9,"P","")),
                               IF(AND(COUNTIF(R9,"*P*"), COUNTIF(R9,"*R*")),
                                  SUBSTITUTE(R9,"R","S"),
                                  IF(AND(COUNTIF(R9,"*V*"), COUNTIF(R9,"*R*")),
                                     SUBSTITUTE(R9,"R","S"),
                                     R9))),
                          "0",""),"1",""),"2",""),"3",""),"4",""),
                      "5",""),"6",""),"7",""),"8",""),"9","")
     ),
     IF(SUM(--ISNUMBER(FIND({0,1,2,3,4,5,6,7,8,9}, _xlpm.txt)))=0,
        _xlpm.txt &amp; Data!CG51,
        _xlpm.txt
     )
   ),
   ""
)</f>
        <v/>
      </c>
      <c r="S31" s="41" t="str" cm="1">
        <f t="array" ref="S31">IF(S9&lt;&gt;"",
   _xlfn.LET(
     _xlpm.txt,
     IF(OR(COUNTIF(S9,"L*"), COUNTIF(S9, "X*")),
        IF(AND(COUNTIF(S9,"*P*"), COUNTIF(S9,"*V*")),
           IF(COUNTIF(S9,"*R*"),
              SUBSTITUTE(SUBSTITUTE(S9,"P",""),"R","S"),
              SUBSTITUTE(S9,"P","")),
           IF(AND(COUNTIF(S9,"*P*"), COUNTIF(S9,"*R*")),
              SUBSTITUTE(S9,"R","S"),
              IF(AND(COUNTIF(S9,"*V*"), COUNTIF(S9,"*R*")),
                 SUBSTITUTE(S9,"R","S"),
                 S9))),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IF(AND(COUNTIF(S9,"*P*"), COUNTIF(S9,"*V*")),
                               IF(COUNTIF(S9,"*R*"),
                                  SUBSTITUTE(SUBSTITUTE(S9,"P",""),"R","S"),
                                  SUBSTITUTE(S9,"P","")),
                               IF(AND(COUNTIF(S9,"*P*"), COUNTIF(S9,"*R*")),
                                  SUBSTITUTE(S9,"R","S"),
                                  IF(AND(COUNTIF(S9,"*V*"), COUNTIF(S9,"*R*")),
                                     SUBSTITUTE(S9,"R","S"),
                                     S9))),
                          "0",""),"1",""),"2",""),"3",""),"4",""),
                      "5",""),"6",""),"7",""),"8",""),"9","")
     ),
     IF(SUM(--ISNUMBER(FIND({0,1,2,3,4,5,6,7,8,9}, _xlpm.txt)))=0,
        _xlpm.txt &amp; Data!CH51,
        _xlpm.txt
     )
   ),
   ""
)</f>
        <v/>
      </c>
      <c r="T31" s="41" t="str" cm="1">
        <f t="array" ref="T31">IF(T9&lt;&gt;"",
   _xlfn.LET(
     _xlpm.txt,
     IF(OR(COUNTIF(T9,"L*"), COUNTIF(T9, "X*")),
        IF(AND(COUNTIF(T9,"*P*"), COUNTIF(T9,"*V*")),
           IF(COUNTIF(T9,"*R*"),
              SUBSTITUTE(SUBSTITUTE(T9,"P",""),"R","S"),
              SUBSTITUTE(T9,"P","")),
           IF(AND(COUNTIF(T9,"*P*"), COUNTIF(T9,"*R*")),
              SUBSTITUTE(T9,"R","S"),
              IF(AND(COUNTIF(T9,"*V*"), COUNTIF(T9,"*R*")),
                 SUBSTITUTE(T9,"R","S"),
                 T9))),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IF(AND(COUNTIF(T9,"*P*"), COUNTIF(T9,"*V*")),
                               IF(COUNTIF(T9,"*R*"),
                                  SUBSTITUTE(SUBSTITUTE(T9,"P",""),"R","S"),
                                  SUBSTITUTE(T9,"P","")),
                               IF(AND(COUNTIF(T9,"*P*"), COUNTIF(T9,"*R*")),
                                  SUBSTITUTE(T9,"R","S"),
                                  IF(AND(COUNTIF(T9,"*V*"), COUNTIF(T9,"*R*")),
                                     SUBSTITUTE(T9,"R","S"),
                                     T9))),
                          "0",""),"1",""),"2",""),"3",""),"4",""),
                      "5",""),"6",""),"7",""),"8",""),"9","")
     ),
     IF(SUM(--ISNUMBER(FIND({0,1,2,3,4,5,6,7,8,9}, _xlpm.txt)))=0,
        _xlpm.txt &amp; Data!CI51,
        _xlpm.txt
     )
   ),
   ""
)</f>
        <v/>
      </c>
      <c r="U31" s="41" t="str" cm="1">
        <f t="array" ref="U31">IF(U9&lt;&gt;"",
   _xlfn.LET(
     _xlpm.txt,
     IF(OR(COUNTIF(U9,"L*"), COUNTIF(U9, "X*")),
        IF(AND(COUNTIF(U9,"*P*"), COUNTIF(U9,"*V*")),
           IF(COUNTIF(U9,"*R*"),
              SUBSTITUTE(SUBSTITUTE(U9,"P",""),"R","S"),
              SUBSTITUTE(U9,"P","")),
           IF(AND(COUNTIF(U9,"*P*"), COUNTIF(U9,"*R*")),
              SUBSTITUTE(U9,"R","S"),
              IF(AND(COUNTIF(U9,"*V*"), COUNTIF(U9,"*R*")),
                 SUBSTITUTE(U9,"R","S"),
                 U9))),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IF(AND(COUNTIF(U9,"*P*"), COUNTIF(U9,"*V*")),
                               IF(COUNTIF(U9,"*R*"),
                                  SUBSTITUTE(SUBSTITUTE(U9,"P",""),"R","S"),
                                  SUBSTITUTE(U9,"P","")),
                               IF(AND(COUNTIF(U9,"*P*"), COUNTIF(U9,"*R*")),
                                  SUBSTITUTE(U9,"R","S"),
                                  IF(AND(COUNTIF(U9,"*V*"), COUNTIF(U9,"*R*")),
                                     SUBSTITUTE(U9,"R","S"),
                                     U9))),
                          "0",""),"1",""),"2",""),"3",""),"4",""),
                      "5",""),"6",""),"7",""),"8",""),"9","")
     ),
     IF(SUM(--ISNUMBER(FIND({0,1,2,3,4,5,6,7,8,9}, _xlpm.txt)))=0,
        _xlpm.txt &amp; Data!CJ51,
        _xlpm.txt
     )
   ),
   ""
)</f>
        <v/>
      </c>
      <c r="V31" s="41" t="str" cm="1">
        <f t="array" ref="V31">IF(V9&lt;&gt;"",
   _xlfn.LET(
     _xlpm.txt,
     IF(OR(COUNTIF(V9,"L*"), COUNTIF(V9, "X*")),
        IF(AND(COUNTIF(V9,"*P*"), COUNTIF(V9,"*V*")),
           IF(COUNTIF(V9,"*R*"),
              SUBSTITUTE(SUBSTITUTE(V9,"P",""),"R","S"),
              SUBSTITUTE(V9,"P","")),
           IF(AND(COUNTIF(V9,"*P*"), COUNTIF(V9,"*R*")),
              SUBSTITUTE(V9,"R","S"),
              IF(AND(COUNTIF(V9,"*V*"), COUNTIF(V9,"*R*")),
                 SUBSTITUTE(V9,"R","S"),
                 V9))),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IF(AND(COUNTIF(V9,"*P*"), COUNTIF(V9,"*V*")),
                               IF(COUNTIF(V9,"*R*"),
                                  SUBSTITUTE(SUBSTITUTE(V9,"P",""),"R","S"),
                                  SUBSTITUTE(V9,"P","")),
                               IF(AND(COUNTIF(V9,"*P*"), COUNTIF(V9,"*R*")),
                                  SUBSTITUTE(V9,"R","S"),
                                  IF(AND(COUNTIF(V9,"*V*"), COUNTIF(V9,"*R*")),
                                     SUBSTITUTE(V9,"R","S"),
                                     V9))),
                          "0",""),"1",""),"2",""),"3",""),"4",""),
                      "5",""),"6",""),"7",""),"8",""),"9","")
     ),
     IF(SUM(--ISNUMBER(FIND({0,1,2,3,4,5,6,7,8,9}, _xlpm.txt)))=0,
        _xlpm.txt &amp; Data!CK51,
        _xlpm.txt
     )
   ),
   ""
)</f>
        <v/>
      </c>
      <c r="W31" s="41" t="str" cm="1">
        <f t="array" ref="W31">IF(W9&lt;&gt;"",
   _xlfn.LET(
     _xlpm.txt,
     IF(OR(COUNTIF(W9,"L*"), COUNTIF(W9, "X*")),
        IF(AND(COUNTIF(W9,"*P*"), COUNTIF(W9,"*V*")),
           IF(COUNTIF(W9,"*R*"),
              SUBSTITUTE(SUBSTITUTE(W9,"P",""),"R","S"),
              SUBSTITUTE(W9,"P","")),
           IF(AND(COUNTIF(W9,"*P*"), COUNTIF(W9,"*R*")),
              SUBSTITUTE(W9,"R","S"),
              IF(AND(COUNTIF(W9,"*V*"), COUNTIF(W9,"*R*")),
                 SUBSTITUTE(W9,"R","S"),
                 W9))),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IF(AND(COUNTIF(W9,"*P*"), COUNTIF(W9,"*V*")),
                               IF(COUNTIF(W9,"*R*"),
                                  SUBSTITUTE(SUBSTITUTE(W9,"P",""),"R","S"),
                                  SUBSTITUTE(W9,"P","")),
                               IF(AND(COUNTIF(W9,"*P*"), COUNTIF(W9,"*R*")),
                                  SUBSTITUTE(W9,"R","S"),
                                  IF(AND(COUNTIF(W9,"*V*"), COUNTIF(W9,"*R*")),
                                     SUBSTITUTE(W9,"R","S"),
                                     W9))),
                          "0",""),"1",""),"2",""),"3",""),"4",""),
                      "5",""),"6",""),"7",""),"8",""),"9","")
     ),
     IF(SUM(--ISNUMBER(FIND({0,1,2,3,4,5,6,7,8,9}, _xlpm.txt)))=0,
        _xlpm.txt &amp; Data!CL51,
        _xlpm.txt
     )
   ),
   ""
)</f>
        <v/>
      </c>
      <c r="X31" s="41" t="str" cm="1">
        <f t="array" ref="X31">IF(X9&lt;&gt;"",
   _xlfn.LET(
     _xlpm.txt,
     IF(OR(COUNTIF(X9,"L*"), COUNTIF(X9, "X*")),
        IF(AND(COUNTIF(X9,"*P*"), COUNTIF(X9,"*V*")),
           IF(COUNTIF(X9,"*R*"),
              SUBSTITUTE(SUBSTITUTE(X9,"P",""),"R","S"),
              SUBSTITUTE(X9,"P","")),
           IF(AND(COUNTIF(X9,"*P*"), COUNTIF(X9,"*R*")),
              SUBSTITUTE(X9,"R","S"),
              IF(AND(COUNTIF(X9,"*V*"), COUNTIF(X9,"*R*")),
                 SUBSTITUTE(X9,"R","S"),
                 X9))),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IF(AND(COUNTIF(X9,"*P*"), COUNTIF(X9,"*V*")),
                               IF(COUNTIF(X9,"*R*"),
                                  SUBSTITUTE(SUBSTITUTE(X9,"P",""),"R","S"),
                                  SUBSTITUTE(X9,"P","")),
                               IF(AND(COUNTIF(X9,"*P*"), COUNTIF(X9,"*R*")),
                                  SUBSTITUTE(X9,"R","S"),
                                  IF(AND(COUNTIF(X9,"*V*"), COUNTIF(X9,"*R*")),
                                     SUBSTITUTE(X9,"R","S"),
                                     X9))),
                          "0",""),"1",""),"2",""),"3",""),"4",""),
                      "5",""),"6",""),"7",""),"8",""),"9","")
     ),
     IF(SUM(--ISNUMBER(FIND({0,1,2,3,4,5,6,7,8,9}, _xlpm.txt)))=0,
        _xlpm.txt &amp; Data!CM51,
        _xlpm.txt
     )
   ),
   ""
)</f>
        <v/>
      </c>
      <c r="Y31" s="41" t="str" cm="1">
        <f t="array" ref="Y31">IF(Y9&lt;&gt;"",
   _xlfn.LET(
     _xlpm.txt,
     IF(OR(COUNTIF(Y9,"L*"), COUNTIF(Y9, "X*")),
        IF(AND(COUNTIF(Y9,"*P*"), COUNTIF(Y9,"*V*")),
           IF(COUNTIF(Y9,"*R*"),
              SUBSTITUTE(SUBSTITUTE(Y9,"P",""),"R","S"),
              SUBSTITUTE(Y9,"P","")),
           IF(AND(COUNTIF(Y9,"*P*"), COUNTIF(Y9,"*R*")),
              SUBSTITUTE(Y9,"R","S"),
              IF(AND(COUNTIF(Y9,"*V*"), COUNTIF(Y9,"*R*")),
                 SUBSTITUTE(Y9,"R","S"),
                 Y9))),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IF(AND(COUNTIF(Y9,"*P*"), COUNTIF(Y9,"*V*")),
                               IF(COUNTIF(Y9,"*R*"),
                                  SUBSTITUTE(SUBSTITUTE(Y9,"P",""),"R","S"),
                                  SUBSTITUTE(Y9,"P","")),
                               IF(AND(COUNTIF(Y9,"*P*"), COUNTIF(Y9,"*R*")),
                                  SUBSTITUTE(Y9,"R","S"),
                                  IF(AND(COUNTIF(Y9,"*V*"), COUNTIF(Y9,"*R*")),
                                     SUBSTITUTE(Y9,"R","S"),
                                     Y9))),
                          "0",""),"1",""),"2",""),"3",""),"4",""),
                      "5",""),"6",""),"7",""),"8",""),"9","")
     ),
     IF(SUM(--ISNUMBER(FIND({0,1,2,3,4,5,6,7,8,9}, _xlpm.txt)))=0,
        _xlpm.txt &amp; Data!CN51,
        _xlpm.txt
     )
   ),
   ""
)</f>
        <v/>
      </c>
      <c r="Z31" s="41" t="str" cm="1">
        <f t="array" ref="Z31">IF(Z9&lt;&gt;"",
   _xlfn.LET(
     _xlpm.txt,
     IF(OR(COUNTIF(Z9,"L*"), COUNTIF(Z9, "X*")),
        IF(AND(COUNTIF(Z9,"*P*"), COUNTIF(Z9,"*V*")),
           IF(COUNTIF(Z9,"*R*"),
              SUBSTITUTE(SUBSTITUTE(Z9,"P",""),"R","S"),
              SUBSTITUTE(Z9,"P","")),
           IF(AND(COUNTIF(Z9,"*P*"), COUNTIF(Z9,"*R*")),
              SUBSTITUTE(Z9,"R","S"),
              IF(AND(COUNTIF(Z9,"*V*"), COUNTIF(Z9,"*R*")),
                 SUBSTITUTE(Z9,"R","S"),
                 Z9))),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IF(AND(COUNTIF(Z9,"*P*"), COUNTIF(Z9,"*V*")),
                               IF(COUNTIF(Z9,"*R*"),
                                  SUBSTITUTE(SUBSTITUTE(Z9,"P",""),"R","S"),
                                  SUBSTITUTE(Z9,"P","")),
                               IF(AND(COUNTIF(Z9,"*P*"), COUNTIF(Z9,"*R*")),
                                  SUBSTITUTE(Z9,"R","S"),
                                  IF(AND(COUNTIF(Z9,"*V*"), COUNTIF(Z9,"*R*")),
                                     SUBSTITUTE(Z9,"R","S"),
                                     Z9))),
                          "0",""),"1",""),"2",""),"3",""),"4",""),
                      "5",""),"6",""),"7",""),"8",""),"9","")
     ),
     IF(SUM(--ISNUMBER(FIND({0,1,2,3,4,5,6,7,8,9}, _xlpm.txt)))=0,
        _xlpm.txt &amp; Data!CO51,
        _xlpm.txt
     )
   ),
   ""
)</f>
        <v/>
      </c>
      <c r="AA31" s="41" t="str" cm="1">
        <f t="array" ref="AA31">IF(AA9&lt;&gt;"",
   _xlfn.LET(
     _xlpm.txt,
     IF(OR(COUNTIF(AA9,"L*"), COUNTIF(AA9, "X*")),
        IF(AND(COUNTIF(AA9,"*P*"), COUNTIF(AA9,"*V*")),
           IF(COUNTIF(AA9,"*R*"),
              SUBSTITUTE(SUBSTITUTE(AA9,"P",""),"R","S"),
              SUBSTITUTE(AA9,"P","")),
           IF(AND(COUNTIF(AA9,"*P*"), COUNTIF(AA9,"*R*")),
              SUBSTITUTE(AA9,"R","S"),
              IF(AND(COUNTIF(AA9,"*V*"), COUNTIF(AA9,"*R*")),
                 SUBSTITUTE(AA9,"R","S"),
                 AA9))),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IF(AND(COUNTIF(AA9,"*P*"), COUNTIF(AA9,"*V*")),
                               IF(COUNTIF(AA9,"*R*"),
                                  SUBSTITUTE(SUBSTITUTE(AA9,"P",""),"R","S"),
                                  SUBSTITUTE(AA9,"P","")),
                               IF(AND(COUNTIF(AA9,"*P*"), COUNTIF(AA9,"*R*")),
                                  SUBSTITUTE(AA9,"R","S"),
                                  IF(AND(COUNTIF(AA9,"*V*"), COUNTIF(AA9,"*R*")),
                                     SUBSTITUTE(AA9,"R","S"),
                                     AA9))),
                          "0",""),"1",""),"2",""),"3",""),"4",""),
                      "5",""),"6",""),"7",""),"8",""),"9","")
     ),
     IF(SUM(--ISNUMBER(FIND({0,1,2,3,4,5,6,7,8,9}, _xlpm.txt)))=0,
        _xlpm.txt &amp; Data!CP51,
        _xlpm.txt
     )
   ),
   ""
)</f>
        <v/>
      </c>
      <c r="AB31" s="41" t="str" cm="1">
        <f t="array" ref="AB31">IF(AB9&lt;&gt;"",
   _xlfn.LET(
     _xlpm.txt,
     IF(OR(COUNTIF(AB9,"L*"), COUNTIF(AB9, "X*")),
        IF(AND(COUNTIF(AB9,"*P*"), COUNTIF(AB9,"*V*")),
           IF(COUNTIF(AB9,"*R*"),
              SUBSTITUTE(SUBSTITUTE(AB9,"P",""),"R","S"),
              SUBSTITUTE(AB9,"P","")),
           IF(AND(COUNTIF(AB9,"*P*"), COUNTIF(AB9,"*R*")),
              SUBSTITUTE(AB9,"R","S"),
              IF(AND(COUNTIF(AB9,"*V*"), COUNTIF(AB9,"*R*")),
                 SUBSTITUTE(AB9,"R","S"),
                 AB9))),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IF(AND(COUNTIF(AB9,"*P*"), COUNTIF(AB9,"*V*")),
                               IF(COUNTIF(AB9,"*R*"),
                                  SUBSTITUTE(SUBSTITUTE(AB9,"P",""),"R","S"),
                                  SUBSTITUTE(AB9,"P","")),
                               IF(AND(COUNTIF(AB9,"*P*"), COUNTIF(AB9,"*R*")),
                                  SUBSTITUTE(AB9,"R","S"),
                                  IF(AND(COUNTIF(AB9,"*V*"), COUNTIF(AB9,"*R*")),
                                     SUBSTITUTE(AB9,"R","S"),
                                     AB9))),
                          "0",""),"1",""),"2",""),"3",""),"4",""),
                      "5",""),"6",""),"7",""),"8",""),"9","")
     ),
     IF(SUM(--ISNUMBER(FIND({0,1,2,3,4,5,6,7,8,9}, _xlpm.txt)))=0,
        _xlpm.txt &amp; Data!CQ51,
        _xlpm.txt
     )
   ),
   ""
)</f>
        <v/>
      </c>
      <c r="AC31" s="41" t="str" cm="1">
        <f t="array" ref="AC31">IF(AC9&lt;&gt;"",
   _xlfn.LET(
     _xlpm.txt,
     IF(OR(COUNTIF(AC9,"L*"), COUNTIF(AC9, "X*")),
        IF(AND(COUNTIF(AC9,"*P*"), COUNTIF(AC9,"*V*")),
           IF(COUNTIF(AC9,"*R*"),
              SUBSTITUTE(SUBSTITUTE(AC9,"P",""),"R","S"),
              SUBSTITUTE(AC9,"P","")),
           IF(AND(COUNTIF(AC9,"*P*"), COUNTIF(AC9,"*R*")),
              SUBSTITUTE(AC9,"R","S"),
              IF(AND(COUNTIF(AC9,"*V*"), COUNTIF(AC9,"*R*")),
                 SUBSTITUTE(AC9,"R","S"),
                 AC9))),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IF(AND(COUNTIF(AC9,"*P*"), COUNTIF(AC9,"*V*")),
                               IF(COUNTIF(AC9,"*R*"),
                                  SUBSTITUTE(SUBSTITUTE(AC9,"P",""),"R","S"),
                                  SUBSTITUTE(AC9,"P","")),
                               IF(AND(COUNTIF(AC9,"*P*"), COUNTIF(AC9,"*R*")),
                                  SUBSTITUTE(AC9,"R","S"),
                                  IF(AND(COUNTIF(AC9,"*V*"), COUNTIF(AC9,"*R*")),
                                     SUBSTITUTE(AC9,"R","S"),
                                     AC9))),
                          "0",""),"1",""),"2",""),"3",""),"4",""),
                      "5",""),"6",""),"7",""),"8",""),"9","")
     ),
     IF(SUM(--ISNUMBER(FIND({0,1,2,3,4,5,6,7,8,9}, _xlpm.txt)))=0,
        _xlpm.txt &amp; Data!CR51,
        _xlpm.txt
     )
   ),
   ""
)</f>
        <v/>
      </c>
      <c r="AD31" s="41" t="str" cm="1">
        <f t="array" ref="AD31">IF(AD9&lt;&gt;"",
   _xlfn.LET(
     _xlpm.txt,
     IF(OR(COUNTIF(AD9,"L*"), COUNTIF(AD9, "X*")),
        IF(AND(COUNTIF(AD9,"*P*"), COUNTIF(AD9,"*V*")),
           IF(COUNTIF(AD9,"*R*"),
              SUBSTITUTE(SUBSTITUTE(AD9,"P",""),"R","S"),
              SUBSTITUTE(AD9,"P","")),
           IF(AND(COUNTIF(AD9,"*P*"), COUNTIF(AD9,"*R*")),
              SUBSTITUTE(AD9,"R","S"),
              IF(AND(COUNTIF(AD9,"*V*"), COUNTIF(AD9,"*R*")),
                 SUBSTITUTE(AD9,"R","S"),
                 AD9))),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IF(AND(COUNTIF(AD9,"*P*"), COUNTIF(AD9,"*V*")),
                               IF(COUNTIF(AD9,"*R*"),
                                  SUBSTITUTE(SUBSTITUTE(AD9,"P",""),"R","S"),
                                  SUBSTITUTE(AD9,"P","")),
                               IF(AND(COUNTIF(AD9,"*P*"), COUNTIF(AD9,"*R*")),
                                  SUBSTITUTE(AD9,"R","S"),
                                  IF(AND(COUNTIF(AD9,"*V*"), COUNTIF(AD9,"*R*")),
                                     SUBSTITUTE(AD9,"R","S"),
                                     AD9))),
                          "0",""),"1",""),"2",""),"3",""),"4",""),
                      "5",""),"6",""),"7",""),"8",""),"9","")
     ),
     IF(SUM(--ISNUMBER(FIND({0,1,2,3,4,5,6,7,8,9}, _xlpm.txt)))=0,
        _xlpm.txt &amp; Data!CS51,
        _xlpm.txt
     )
   ),
   ""
)</f>
        <v/>
      </c>
      <c r="AE31" s="41" t="str" cm="1">
        <f t="array" ref="AE31">IF(AE9&lt;&gt;"",
   _xlfn.LET(
     _xlpm.txt,
     IF(OR(COUNTIF(AE9,"L*"), COUNTIF(AE9, "X*")),
        IF(AND(COUNTIF(AE9,"*P*"), COUNTIF(AE9,"*V*")),
           IF(COUNTIF(AE9,"*R*"),
              SUBSTITUTE(SUBSTITUTE(AE9,"P",""),"R","S"),
              SUBSTITUTE(AE9,"P","")),
           IF(AND(COUNTIF(AE9,"*P*"), COUNTIF(AE9,"*R*")),
              SUBSTITUTE(AE9,"R","S"),
              IF(AND(COUNTIF(AE9,"*V*"), COUNTIF(AE9,"*R*")),
                 SUBSTITUTE(AE9,"R","S"),
                 AE9))),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IF(AND(COUNTIF(AE9,"*P*"), COUNTIF(AE9,"*V*")),
                               IF(COUNTIF(AE9,"*R*"),
                                  SUBSTITUTE(SUBSTITUTE(AE9,"P",""),"R","S"),
                                  SUBSTITUTE(AE9,"P","")),
                               IF(AND(COUNTIF(AE9,"*P*"), COUNTIF(AE9,"*R*")),
                                  SUBSTITUTE(AE9,"R","S"),
                                  IF(AND(COUNTIF(AE9,"*V*"), COUNTIF(AE9,"*R*")),
                                     SUBSTITUTE(AE9,"R","S"),
                                     AE9))),
                          "0",""),"1",""),"2",""),"3",""),"4",""),
                      "5",""),"6",""),"7",""),"8",""),"9","")
     ),
     IF(SUM(--ISNUMBER(FIND({0,1,2,3,4,5,6,7,8,9}, _xlpm.txt)))=0,
        _xlpm.txt &amp; Data!CT51,
        _xlpm.txt
     )
   ),
   ""
)</f>
        <v/>
      </c>
      <c r="AF31" s="41" t="str" cm="1">
        <f t="array" ref="AF31">IF(AF9&lt;&gt;"",
   _xlfn.LET(
     _xlpm.txt,
     IF(OR(COUNTIF(AF9,"L*"), COUNTIF(AF9, "X*")),
        IF(AND(COUNTIF(AF9,"*P*"), COUNTIF(AF9,"*V*")),
           IF(COUNTIF(AF9,"*R*"),
              SUBSTITUTE(SUBSTITUTE(AF9,"P",""),"R","S"),
              SUBSTITUTE(AF9,"P","")),
           IF(AND(COUNTIF(AF9,"*P*"), COUNTIF(AF9,"*R*")),
              SUBSTITUTE(AF9,"R","S"),
              IF(AND(COUNTIF(AF9,"*V*"), COUNTIF(AF9,"*R*")),
                 SUBSTITUTE(AF9,"R","S"),
                 AF9))),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IF(AND(COUNTIF(AF9,"*P*"), COUNTIF(AF9,"*V*")),
                               IF(COUNTIF(AF9,"*R*"),
                                  SUBSTITUTE(SUBSTITUTE(AF9,"P",""),"R","S"),
                                  SUBSTITUTE(AF9,"P","")),
                               IF(AND(COUNTIF(AF9,"*P*"), COUNTIF(AF9,"*R*")),
                                  SUBSTITUTE(AF9,"R","S"),
                                  IF(AND(COUNTIF(AF9,"*V*"), COUNTIF(AF9,"*R*")),
                                     SUBSTITUTE(AF9,"R","S"),
                                     AF9))),
                          "0",""),"1",""),"2",""),"3",""),"4",""),
                      "5",""),"6",""),"7",""),"8",""),"9","")
     ),
     IF(SUM(--ISNUMBER(FIND({0,1,2,3,4,5,6,7,8,9}, _xlpm.txt)))=0,
        _xlpm.txt &amp; Data!CU51,
        _xlpm.txt
     )
   ),
   ""
)</f>
        <v/>
      </c>
      <c r="AG31" s="41" t="str" cm="1">
        <f t="array" ref="AG31">IF(AG9&lt;&gt;"",
   _xlfn.LET(
     _xlpm.txt,
     IF(OR(COUNTIF(AG9,"L*"), COUNTIF(AG9, "X*")),
        IF(AND(COUNTIF(AG9,"*P*"), COUNTIF(AG9,"*V*")),
           IF(COUNTIF(AG9,"*R*"),
              SUBSTITUTE(SUBSTITUTE(AG9,"P",""),"R","S"),
              SUBSTITUTE(AG9,"P","")),
           IF(AND(COUNTIF(AG9,"*P*"), COUNTIF(AG9,"*R*")),
              SUBSTITUTE(AG9,"R","S"),
              IF(AND(COUNTIF(AG9,"*V*"), COUNTIF(AG9,"*R*")),
                 SUBSTITUTE(AG9,"R","S"),
                 AG9))),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IF(AND(COUNTIF(AG9,"*P*"), COUNTIF(AG9,"*V*")),
                               IF(COUNTIF(AG9,"*R*"),
                                  SUBSTITUTE(SUBSTITUTE(AG9,"P",""),"R","S"),
                                  SUBSTITUTE(AG9,"P","")),
                               IF(AND(COUNTIF(AG9,"*P*"), COUNTIF(AG9,"*R*")),
                                  SUBSTITUTE(AG9,"R","S"),
                                  IF(AND(COUNTIF(AG9,"*V*"), COUNTIF(AG9,"*R*")),
                                     SUBSTITUTE(AG9,"R","S"),
                                     AG9))),
                          "0",""),"1",""),"2",""),"3",""),"4",""),
                      "5",""),"6",""),"7",""),"8",""),"9","")
     ),
     IF(SUM(--ISNUMBER(FIND({0,1,2,3,4,5,6,7,8,9}, _xlpm.txt)))=0,
        _xlpm.txt &amp; Data!CV51,
        _xlpm.txt
     )
   ),
   ""
)</f>
        <v/>
      </c>
      <c r="AH31" s="41" t="str" cm="1">
        <f t="array" ref="AH31">IF(AH9&lt;&gt;"",
   _xlfn.LET(
     _xlpm.txt,
     IF(OR(COUNTIF(AH9,"L*"), COUNTIF(AH9, "X*")),
        IF(AND(COUNTIF(AH9,"*P*"), COUNTIF(AH9,"*V*")),
           IF(COUNTIF(AH9,"*R*"),
              SUBSTITUTE(SUBSTITUTE(AH9,"P",""),"R","S"),
              SUBSTITUTE(AH9,"P","")),
           IF(AND(COUNTIF(AH9,"*P*"), COUNTIF(AH9,"*R*")),
              SUBSTITUTE(AH9,"R","S"),
              IF(AND(COUNTIF(AH9,"*V*"), COUNTIF(AH9,"*R*")),
                 SUBSTITUTE(AH9,"R","S"),
                 AH9))),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IF(AND(COUNTIF(AH9,"*P*"), COUNTIF(AH9,"*V*")),
                               IF(COUNTIF(AH9,"*R*"),
                                  SUBSTITUTE(SUBSTITUTE(AH9,"P",""),"R","S"),
                                  SUBSTITUTE(AH9,"P","")),
                               IF(AND(COUNTIF(AH9,"*P*"), COUNTIF(AH9,"*R*")),
                                  SUBSTITUTE(AH9,"R","S"),
                                  IF(AND(COUNTIF(AH9,"*V*"), COUNTIF(AH9,"*R*")),
                                     SUBSTITUTE(AH9,"R","S"),
                                     AH9))),
                          "0",""),"1",""),"2",""),"3",""),"4",""),
                      "5",""),"6",""),"7",""),"8",""),"9","")
     ),
     IF(SUM(--ISNUMBER(FIND({0,1,2,3,4,5,6,7,8,9}, _xlpm.txt)))=0,
        _xlpm.txt &amp; Data!CW51,
        _xlpm.txt
     )
   ),
   ""
)</f>
        <v/>
      </c>
      <c r="AI31" s="41" t="str" cm="1">
        <f t="array" ref="AI31">IF(AI9&lt;&gt;"",
   _xlfn.LET(
     _xlpm.txt,
     IF(OR(COUNTIF(AI9,"L*"), COUNTIF(AI9, "X*")),
        IF(AND(COUNTIF(AI9,"*P*"), COUNTIF(AI9,"*V*")),
           IF(COUNTIF(AI9,"*R*"),
              SUBSTITUTE(SUBSTITUTE(AI9,"P",""),"R","S"),
              SUBSTITUTE(AI9,"P","")),
           IF(AND(COUNTIF(AI9,"*P*"), COUNTIF(AI9,"*R*")),
              SUBSTITUTE(AI9,"R","S"),
              IF(AND(COUNTIF(AI9,"*V*"), COUNTIF(AI9,"*R*")),
                 SUBSTITUTE(AI9,"R","S"),
                 AI9))),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IF(AND(COUNTIF(AI9,"*P*"), COUNTIF(AI9,"*V*")),
                               IF(COUNTIF(AI9,"*R*"),
                                  SUBSTITUTE(SUBSTITUTE(AI9,"P",""),"R","S"),
                                  SUBSTITUTE(AI9,"P","")),
                               IF(AND(COUNTIF(AI9,"*P*"), COUNTIF(AI9,"*R*")),
                                  SUBSTITUTE(AI9,"R","S"),
                                  IF(AND(COUNTIF(AI9,"*V*"), COUNTIF(AI9,"*R*")),
                                     SUBSTITUTE(AI9,"R","S"),
                                     AI9))),
                          "0",""),"1",""),"2",""),"3",""),"4",""),
                      "5",""),"6",""),"7",""),"8",""),"9","")
     ),
     IF(SUM(--ISNUMBER(FIND({0,1,2,3,4,5,6,7,8,9}, _xlpm.txt)))=0,
        _xlpm.txt &amp; Data!CX51,
        _xlpm.txt
     )
   ),
   ""
)</f>
        <v/>
      </c>
      <c r="AJ31" s="41" t="str" cm="1">
        <f t="array" ref="AJ31">IF(AJ9&lt;&gt;"",
   _xlfn.LET(
     _xlpm.txt,
     IF(OR(COUNTIF(AJ9,"L*"), COUNTIF(AJ9, "X*")),
        IF(AND(COUNTIF(AJ9,"*P*"), COUNTIF(AJ9,"*V*")),
           IF(COUNTIF(AJ9,"*R*"),
              SUBSTITUTE(SUBSTITUTE(AJ9,"P",""),"R","S"),
              SUBSTITUTE(AJ9,"P","")),
           IF(AND(COUNTIF(AJ9,"*P*"), COUNTIF(AJ9,"*R*")),
              SUBSTITUTE(AJ9,"R","S"),
              IF(AND(COUNTIF(AJ9,"*V*"), COUNTIF(AJ9,"*R*")),
                 SUBSTITUTE(AJ9,"R","S"),
                 AJ9))),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IF(AND(COUNTIF(AJ9,"*P*"), COUNTIF(AJ9,"*V*")),
                               IF(COUNTIF(AJ9,"*R*"),
                                  SUBSTITUTE(SUBSTITUTE(AJ9,"P",""),"R","S"),
                                  SUBSTITUTE(AJ9,"P","")),
                               IF(AND(COUNTIF(AJ9,"*P*"), COUNTIF(AJ9,"*R*")),
                                  SUBSTITUTE(AJ9,"R","S"),
                                  IF(AND(COUNTIF(AJ9,"*V*"), COUNTIF(AJ9,"*R*")),
                                     SUBSTITUTE(AJ9,"R","S"),
                                     AJ9))),
                          "0",""),"1",""),"2",""),"3",""),"4",""),
                      "5",""),"6",""),"7",""),"8",""),"9","")
     ),
     IF(SUM(--ISNUMBER(FIND({0,1,2,3,4,5,6,7,8,9}, _xlpm.txt)))=0,
        _xlpm.txt &amp; Data!CY51,
        _xlpm.txt
     )
   ),
   ""
)</f>
        <v/>
      </c>
    </row>
    <row r="32" spans="1:43" ht="23.25" customHeight="1" x14ac:dyDescent="0.35">
      <c r="A32" s="1196"/>
      <c r="B32" s="22">
        <v>7</v>
      </c>
      <c r="C32" s="41" t="str" cm="1">
        <f t="array" ref="C32">IF(C10&lt;&gt;"",
   _xlfn.LET(
     _xlpm.txt,
     IF(OR(COUNTIF(C10,"L*"), COUNTIF(C10, "X*")),
        IF(AND(COUNTIF(C10,"*P*"), COUNTIF(C10,"*V*")),
           IF(COUNTIF(C10,"*R*"),
              SUBSTITUTE(SUBSTITUTE(C10,"P",""),"R","S"),
              SUBSTITUTE(C10,"P","")),
           IF(AND(COUNTIF(C10,"*P*"), COUNTIF(C10,"*R*")),
              SUBSTITUTE(C10,"R","S"),
              IF(AND(COUNTIF(C10,"*V*"), COUNTIF(C10,"*R*")),
                 SUBSTITUTE(C10,"R","S"),
                 C10))),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IF(AND(COUNTIF(C10,"*P*"), COUNTIF(C10,"*V*")),
                               IF(COUNTIF(C10,"*R*"),
                                  SUBSTITUTE(SUBSTITUTE(C10,"P",""),"R","S"),
                                  SUBSTITUTE(C10,"P","")),
                               IF(AND(COUNTIF(C10,"*P*"), COUNTIF(C10,"*R*")),
                                  SUBSTITUTE(C10,"R","S"),
                                  IF(AND(COUNTIF(C10,"*V*"), COUNTIF(C10,"*R*")),
                                     SUBSTITUTE(C10,"R","S"),
                                     C10))),
                          "0",""),"1",""),"2",""),"3",""),"4",""),
                      "5",""),"6",""),"7",""),"8",""),"9","")
     ),
     IF(SUM(--ISNUMBER(FIND({0,1,2,3,4,5,6,7,8,9}, _xlpm.txt)))=0,
        _xlpm.txt &amp; Data!BR52,
        _xlpm.txt
     )
   ),
   ""
)</f>
        <v/>
      </c>
      <c r="D32" s="41" t="str" cm="1">
        <f t="array" ref="D32">IF(D10&lt;&gt;"",
   _xlfn.LET(
     _xlpm.txt,
     IF(OR(COUNTIF(D10,"L*"), COUNTIF(D10, "X*")),
        IF(AND(COUNTIF(D10,"*P*"), COUNTIF(D10,"*V*")),
           IF(COUNTIF(D10,"*R*"),
              SUBSTITUTE(SUBSTITUTE(D10,"P",""),"R","S"),
              SUBSTITUTE(D10,"P","")),
           IF(AND(COUNTIF(D10,"*P*"), COUNTIF(D10,"*R*")),
              SUBSTITUTE(D10,"R","S"),
              IF(AND(COUNTIF(D10,"*V*"), COUNTIF(D10,"*R*")),
                 SUBSTITUTE(D10,"R","S"),
                 D10))),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IF(AND(COUNTIF(D10,"*P*"), COUNTIF(D10,"*V*")),
                               IF(COUNTIF(D10,"*R*"),
                                  SUBSTITUTE(SUBSTITUTE(D10,"P",""),"R","S"),
                                  SUBSTITUTE(D10,"P","")),
                               IF(AND(COUNTIF(D10,"*P*"), COUNTIF(D10,"*R*")),
                                  SUBSTITUTE(D10,"R","S"),
                                  IF(AND(COUNTIF(D10,"*V*"), COUNTIF(D10,"*R*")),
                                     SUBSTITUTE(D10,"R","S"),
                                     D10))),
                          "0",""),"1",""),"2",""),"3",""),"4",""),
                      "5",""),"6",""),"7",""),"8",""),"9","")
     ),
     IF(SUM(--ISNUMBER(FIND({0,1,2,3,4,5,6,7,8,9}, _xlpm.txt)))=0,
        _xlpm.txt &amp; Data!BS52,
        _xlpm.txt
     )
   ),
   ""
)</f>
        <v/>
      </c>
      <c r="E32" s="41" t="str" cm="1">
        <f t="array" ref="E32">IF(E10&lt;&gt;"",
   _xlfn.LET(
     _xlpm.txt,
     IF(OR(COUNTIF(E10,"L*"), COUNTIF(E10, "X*")),
        IF(AND(COUNTIF(E10,"*P*"), COUNTIF(E10,"*V*")),
           IF(COUNTIF(E10,"*R*"),
              SUBSTITUTE(SUBSTITUTE(E10,"P",""),"R","S"),
              SUBSTITUTE(E10,"P","")),
           IF(AND(COUNTIF(E10,"*P*"), COUNTIF(E10,"*R*")),
              SUBSTITUTE(E10,"R","S"),
              IF(AND(COUNTIF(E10,"*V*"), COUNTIF(E10,"*R*")),
                 SUBSTITUTE(E10,"R","S"),
                 E10))),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IF(AND(COUNTIF(E10,"*P*"), COUNTIF(E10,"*V*")),
                               IF(COUNTIF(E10,"*R*"),
                                  SUBSTITUTE(SUBSTITUTE(E10,"P",""),"R","S"),
                                  SUBSTITUTE(E10,"P","")),
                               IF(AND(COUNTIF(E10,"*P*"), COUNTIF(E10,"*R*")),
                                  SUBSTITUTE(E10,"R","S"),
                                  IF(AND(COUNTIF(E10,"*V*"), COUNTIF(E10,"*R*")),
                                     SUBSTITUTE(E10,"R","S"),
                                     E10))),
                          "0",""),"1",""),"2",""),"3",""),"4",""),
                      "5",""),"6",""),"7",""),"8",""),"9","")
     ),
     IF(SUM(--ISNUMBER(FIND({0,1,2,3,4,5,6,7,8,9}, _xlpm.txt)))=0,
        _xlpm.txt &amp; Data!BT52,
        _xlpm.txt
     )
   ),
   ""
)</f>
        <v/>
      </c>
      <c r="F32" s="41" t="str" cm="1">
        <f t="array" ref="F32">IF(F10&lt;&gt;"",
   _xlfn.LET(
     _xlpm.txt,
     IF(OR(COUNTIF(F10,"L*"), COUNTIF(F10, "X*")),
        IF(AND(COUNTIF(F10,"*P*"), COUNTIF(F10,"*V*")),
           IF(COUNTIF(F10,"*R*"),
              SUBSTITUTE(SUBSTITUTE(F10,"P",""),"R","S"),
              SUBSTITUTE(F10,"P","")),
           IF(AND(COUNTIF(F10,"*P*"), COUNTIF(F10,"*R*")),
              SUBSTITUTE(F10,"R","S"),
              IF(AND(COUNTIF(F10,"*V*"), COUNTIF(F10,"*R*")),
                 SUBSTITUTE(F10,"R","S"),
                 F10))),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IF(AND(COUNTIF(F10,"*P*"), COUNTIF(F10,"*V*")),
                               IF(COUNTIF(F10,"*R*"),
                                  SUBSTITUTE(SUBSTITUTE(F10,"P",""),"R","S"),
                                  SUBSTITUTE(F10,"P","")),
                               IF(AND(COUNTIF(F10,"*P*"), COUNTIF(F10,"*R*")),
                                  SUBSTITUTE(F10,"R","S"),
                                  IF(AND(COUNTIF(F10,"*V*"), COUNTIF(F10,"*R*")),
                                     SUBSTITUTE(F10,"R","S"),
                                     F10))),
                          "0",""),"1",""),"2",""),"3",""),"4",""),
                      "5",""),"6",""),"7",""),"8",""),"9","")
     ),
     IF(SUM(--ISNUMBER(FIND({0,1,2,3,4,5,6,7,8,9}, _xlpm.txt)))=0,
        _xlpm.txt &amp; Data!BU52,
        _xlpm.txt
     )
   ),
   ""
)</f>
        <v/>
      </c>
      <c r="G32" s="41" t="str" cm="1">
        <f t="array" ref="G32">IF(G10&lt;&gt;"",
   _xlfn.LET(
     _xlpm.txt,
     IF(OR(COUNTIF(G10,"L*"), COUNTIF(G10, "X*")),
        IF(AND(COUNTIF(G10,"*P*"), COUNTIF(G10,"*V*")),
           IF(COUNTIF(G10,"*R*"),
              SUBSTITUTE(SUBSTITUTE(G10,"P",""),"R","S"),
              SUBSTITUTE(G10,"P","")),
           IF(AND(COUNTIF(G10,"*P*"), COUNTIF(G10,"*R*")),
              SUBSTITUTE(G10,"R","S"),
              IF(AND(COUNTIF(G10,"*V*"), COUNTIF(G10,"*R*")),
                 SUBSTITUTE(G10,"R","S"),
                 G10))),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IF(AND(COUNTIF(G10,"*P*"), COUNTIF(G10,"*V*")),
                               IF(COUNTIF(G10,"*R*"),
                                  SUBSTITUTE(SUBSTITUTE(G10,"P",""),"R","S"),
                                  SUBSTITUTE(G10,"P","")),
                               IF(AND(COUNTIF(G10,"*P*"), COUNTIF(G10,"*R*")),
                                  SUBSTITUTE(G10,"R","S"),
                                  IF(AND(COUNTIF(G10,"*V*"), COUNTIF(G10,"*R*")),
                                     SUBSTITUTE(G10,"R","S"),
                                     G10))),
                          "0",""),"1",""),"2",""),"3",""),"4",""),
                      "5",""),"6",""),"7",""),"8",""),"9","")
     ),
     IF(SUM(--ISNUMBER(FIND({0,1,2,3,4,5,6,7,8,9}, _xlpm.txt)))=0,
        _xlpm.txt &amp; Data!BV52,
        _xlpm.txt
     )
   ),
   ""
)</f>
        <v/>
      </c>
      <c r="H32" s="41" t="str" cm="1">
        <f t="array" ref="H32">IF(H10&lt;&gt;"",
   _xlfn.LET(
     _xlpm.txt,
     IF(OR(COUNTIF(H10,"L*"), COUNTIF(H10, "X*")),
        IF(AND(COUNTIF(H10,"*P*"), COUNTIF(H10,"*V*")),
           IF(COUNTIF(H10,"*R*"),
              SUBSTITUTE(SUBSTITUTE(H10,"P",""),"R","S"),
              SUBSTITUTE(H10,"P","")),
           IF(AND(COUNTIF(H10,"*P*"), COUNTIF(H10,"*R*")),
              SUBSTITUTE(H10,"R","S"),
              IF(AND(COUNTIF(H10,"*V*"), COUNTIF(H10,"*R*")),
                 SUBSTITUTE(H10,"R","S"),
                 H10))),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IF(AND(COUNTIF(H10,"*P*"), COUNTIF(H10,"*V*")),
                               IF(COUNTIF(H10,"*R*"),
                                  SUBSTITUTE(SUBSTITUTE(H10,"P",""),"R","S"),
                                  SUBSTITUTE(H10,"P","")),
                               IF(AND(COUNTIF(H10,"*P*"), COUNTIF(H10,"*R*")),
                                  SUBSTITUTE(H10,"R","S"),
                                  IF(AND(COUNTIF(H10,"*V*"), COUNTIF(H10,"*R*")),
                                     SUBSTITUTE(H10,"R","S"),
                                     H10))),
                          "0",""),"1",""),"2",""),"3",""),"4",""),
                      "5",""),"6",""),"7",""),"8",""),"9","")
     ),
     IF(SUM(--ISNUMBER(FIND({0,1,2,3,4,5,6,7,8,9}, _xlpm.txt)))=0,
        _xlpm.txt &amp; Data!BW52,
        _xlpm.txt
     )
   ),
   ""
)</f>
        <v/>
      </c>
      <c r="I32" s="41" t="str" cm="1">
        <f t="array" ref="I32">IF(I10&lt;&gt;"",
   _xlfn.LET(
     _xlpm.txt,
     IF(OR(COUNTIF(I10,"L*"), COUNTIF(I10, "X*")),
        IF(AND(COUNTIF(I10,"*P*"), COUNTIF(I10,"*V*")),
           IF(COUNTIF(I10,"*R*"),
              SUBSTITUTE(SUBSTITUTE(I10,"P",""),"R","S"),
              SUBSTITUTE(I10,"P","")),
           IF(AND(COUNTIF(I10,"*P*"), COUNTIF(I10,"*R*")),
              SUBSTITUTE(I10,"R","S"),
              IF(AND(COUNTIF(I10,"*V*"), COUNTIF(I10,"*R*")),
                 SUBSTITUTE(I10,"R","S"),
                 I10))),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IF(AND(COUNTIF(I10,"*P*"), COUNTIF(I10,"*V*")),
                               IF(COUNTIF(I10,"*R*"),
                                  SUBSTITUTE(SUBSTITUTE(I10,"P",""),"R","S"),
                                  SUBSTITUTE(I10,"P","")),
                               IF(AND(COUNTIF(I10,"*P*"), COUNTIF(I10,"*R*")),
                                  SUBSTITUTE(I10,"R","S"),
                                  IF(AND(COUNTIF(I10,"*V*"), COUNTIF(I10,"*R*")),
                                     SUBSTITUTE(I10,"R","S"),
                                     I10))),
                          "0",""),"1",""),"2",""),"3",""),"4",""),
                      "5",""),"6",""),"7",""),"8",""),"9","")
     ),
     IF(SUM(--ISNUMBER(FIND({0,1,2,3,4,5,6,7,8,9}, _xlpm.txt)))=0,
        _xlpm.txt &amp; Data!BX52,
        _xlpm.txt
     )
   ),
   ""
)</f>
        <v/>
      </c>
      <c r="J32" s="41" t="str" cm="1">
        <f t="array" ref="J32">IF(J10&lt;&gt;"",
   _xlfn.LET(
     _xlpm.txt,
     IF(OR(COUNTIF(J10,"L*"), COUNTIF(J10, "X*")),
        IF(AND(COUNTIF(J10,"*P*"), COUNTIF(J10,"*V*")),
           IF(COUNTIF(J10,"*R*"),
              SUBSTITUTE(SUBSTITUTE(J10,"P",""),"R","S"),
              SUBSTITUTE(J10,"P","")),
           IF(AND(COUNTIF(J10,"*P*"), COUNTIF(J10,"*R*")),
              SUBSTITUTE(J10,"R","S"),
              IF(AND(COUNTIF(J10,"*V*"), COUNTIF(J10,"*R*")),
                 SUBSTITUTE(J10,"R","S"),
                 J10))),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IF(AND(COUNTIF(J10,"*P*"), COUNTIF(J10,"*V*")),
                               IF(COUNTIF(J10,"*R*"),
                                  SUBSTITUTE(SUBSTITUTE(J10,"P",""),"R","S"),
                                  SUBSTITUTE(J10,"P","")),
                               IF(AND(COUNTIF(J10,"*P*"), COUNTIF(J10,"*R*")),
                                  SUBSTITUTE(J10,"R","S"),
                                  IF(AND(COUNTIF(J10,"*V*"), COUNTIF(J10,"*R*")),
                                     SUBSTITUTE(J10,"R","S"),
                                     J10))),
                          "0",""),"1",""),"2",""),"3",""),"4",""),
                      "5",""),"6",""),"7",""),"8",""),"9","")
     ),
     IF(SUM(--ISNUMBER(FIND({0,1,2,3,4,5,6,7,8,9}, _xlpm.txt)))=0,
        _xlpm.txt &amp; Data!BY52,
        _xlpm.txt
     )
   ),
   ""
)</f>
        <v/>
      </c>
      <c r="K32" s="41" t="str" cm="1">
        <f t="array" ref="K32">IF(K10&lt;&gt;"",
   _xlfn.LET(
     _xlpm.txt,
     IF(OR(COUNTIF(K10,"L*"), COUNTIF(K10, "X*")),
        IF(AND(COUNTIF(K10,"*P*"), COUNTIF(K10,"*V*")),
           IF(COUNTIF(K10,"*R*"),
              SUBSTITUTE(SUBSTITUTE(K10,"P",""),"R","S"),
              SUBSTITUTE(K10,"P","")),
           IF(AND(COUNTIF(K10,"*P*"), COUNTIF(K10,"*R*")),
              SUBSTITUTE(K10,"R","S"),
              IF(AND(COUNTIF(K10,"*V*"), COUNTIF(K10,"*R*")),
                 SUBSTITUTE(K10,"R","S"),
                 K10))),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IF(AND(COUNTIF(K10,"*P*"), COUNTIF(K10,"*V*")),
                               IF(COUNTIF(K10,"*R*"),
                                  SUBSTITUTE(SUBSTITUTE(K10,"P",""),"R","S"),
                                  SUBSTITUTE(K10,"P","")),
                               IF(AND(COUNTIF(K10,"*P*"), COUNTIF(K10,"*R*")),
                                  SUBSTITUTE(K10,"R","S"),
                                  IF(AND(COUNTIF(K10,"*V*"), COUNTIF(K10,"*R*")),
                                     SUBSTITUTE(K10,"R","S"),
                                     K10))),
                          "0",""),"1",""),"2",""),"3",""),"4",""),
                      "5",""),"6",""),"7",""),"8",""),"9","")
     ),
     IF(SUM(--ISNUMBER(FIND({0,1,2,3,4,5,6,7,8,9}, _xlpm.txt)))=0,
        _xlpm.txt &amp; Data!BZ52,
        _xlpm.txt
     )
   ),
   ""
)</f>
        <v/>
      </c>
      <c r="L32" s="41" t="str" cm="1">
        <f t="array" ref="L32">IF(L10&lt;&gt;"",
   _xlfn.LET(
     _xlpm.txt,
     IF(OR(COUNTIF(L10,"L*"), COUNTIF(L10, "X*")),
        IF(AND(COUNTIF(L10,"*P*"), COUNTIF(L10,"*V*")),
           IF(COUNTIF(L10,"*R*"),
              SUBSTITUTE(SUBSTITUTE(L10,"P",""),"R","S"),
              SUBSTITUTE(L10,"P","")),
           IF(AND(COUNTIF(L10,"*P*"), COUNTIF(L10,"*R*")),
              SUBSTITUTE(L10,"R","S"),
              IF(AND(COUNTIF(L10,"*V*"), COUNTIF(L10,"*R*")),
                 SUBSTITUTE(L10,"R","S"),
                 L10))),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IF(AND(COUNTIF(L10,"*P*"), COUNTIF(L10,"*V*")),
                               IF(COUNTIF(L10,"*R*"),
                                  SUBSTITUTE(SUBSTITUTE(L10,"P",""),"R","S"),
                                  SUBSTITUTE(L10,"P","")),
                               IF(AND(COUNTIF(L10,"*P*"), COUNTIF(L10,"*R*")),
                                  SUBSTITUTE(L10,"R","S"),
                                  IF(AND(COUNTIF(L10,"*V*"), COUNTIF(L10,"*R*")),
                                     SUBSTITUTE(L10,"R","S"),
                                     L10))),
                          "0",""),"1",""),"2",""),"3",""),"4",""),
                      "5",""),"6",""),"7",""),"8",""),"9","")
     ),
     IF(SUM(--ISNUMBER(FIND({0,1,2,3,4,5,6,7,8,9}, _xlpm.txt)))=0,
        _xlpm.txt &amp; Data!CA52,
        _xlpm.txt
     )
   ),
   ""
)</f>
        <v/>
      </c>
      <c r="M32" s="41" t="str" cm="1">
        <f t="array" ref="M32">IF(M10&lt;&gt;"",
   _xlfn.LET(
     _xlpm.txt,
     IF(OR(COUNTIF(M10,"L*"), COUNTIF(M10, "X*")),
        IF(AND(COUNTIF(M10,"*P*"), COUNTIF(M10,"*V*")),
           IF(COUNTIF(M10,"*R*"),
              SUBSTITUTE(SUBSTITUTE(M10,"P",""),"R","S"),
              SUBSTITUTE(M10,"P","")),
           IF(AND(COUNTIF(M10,"*P*"), COUNTIF(M10,"*R*")),
              SUBSTITUTE(M10,"R","S"),
              IF(AND(COUNTIF(M10,"*V*"), COUNTIF(M10,"*R*")),
                 SUBSTITUTE(M10,"R","S"),
                 M10))),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IF(AND(COUNTIF(M10,"*P*"), COUNTIF(M10,"*V*")),
                               IF(COUNTIF(M10,"*R*"),
                                  SUBSTITUTE(SUBSTITUTE(M10,"P",""),"R","S"),
                                  SUBSTITUTE(M10,"P","")),
                               IF(AND(COUNTIF(M10,"*P*"), COUNTIF(M10,"*R*")),
                                  SUBSTITUTE(M10,"R","S"),
                                  IF(AND(COUNTIF(M10,"*V*"), COUNTIF(M10,"*R*")),
                                     SUBSTITUTE(M10,"R","S"),
                                     M10))),
                          "0",""),"1",""),"2",""),"3",""),"4",""),
                      "5",""),"6",""),"7",""),"8",""),"9","")
     ),
     IF(SUM(--ISNUMBER(FIND({0,1,2,3,4,5,6,7,8,9}, _xlpm.txt)))=0,
        _xlpm.txt &amp; Data!CB52,
        _xlpm.txt
     )
   ),
   ""
)</f>
        <v/>
      </c>
      <c r="N32" s="41" t="str" cm="1">
        <f t="array" ref="N32">IF(N10&lt;&gt;"",
   _xlfn.LET(
     _xlpm.txt,
     IF(OR(COUNTIF(N10,"L*"), COUNTIF(N10, "X*")),
        IF(AND(COUNTIF(N10,"*P*"), COUNTIF(N10,"*V*")),
           IF(COUNTIF(N10,"*R*"),
              SUBSTITUTE(SUBSTITUTE(N10,"P",""),"R","S"),
              SUBSTITUTE(N10,"P","")),
           IF(AND(COUNTIF(N10,"*P*"), COUNTIF(N10,"*R*")),
              SUBSTITUTE(N10,"R","S"),
              IF(AND(COUNTIF(N10,"*V*"), COUNTIF(N10,"*R*")),
                 SUBSTITUTE(N10,"R","S"),
                 N10))),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IF(AND(COUNTIF(N10,"*P*"), COUNTIF(N10,"*V*")),
                               IF(COUNTIF(N10,"*R*"),
                                  SUBSTITUTE(SUBSTITUTE(N10,"P",""),"R","S"),
                                  SUBSTITUTE(N10,"P","")),
                               IF(AND(COUNTIF(N10,"*P*"), COUNTIF(N10,"*R*")),
                                  SUBSTITUTE(N10,"R","S"),
                                  IF(AND(COUNTIF(N10,"*V*"), COUNTIF(N10,"*R*")),
                                     SUBSTITUTE(N10,"R","S"),
                                     N10))),
                          "0",""),"1",""),"2",""),"3",""),"4",""),
                      "5",""),"6",""),"7",""),"8",""),"9","")
     ),
     IF(SUM(--ISNUMBER(FIND({0,1,2,3,4,5,6,7,8,9}, _xlpm.txt)))=0,
        _xlpm.txt &amp; Data!CC52,
        _xlpm.txt
     )
   ),
   ""
)</f>
        <v/>
      </c>
      <c r="O32" s="41" t="str" cm="1">
        <f t="array" ref="O32">IF(O10&lt;&gt;"",
   _xlfn.LET(
     _xlpm.txt,
     IF(OR(COUNTIF(O10,"L*"), COUNTIF(O10, "X*")),
        IF(AND(COUNTIF(O10,"*P*"), COUNTIF(O10,"*V*")),
           IF(COUNTIF(O10,"*R*"),
              SUBSTITUTE(SUBSTITUTE(O10,"P",""),"R","S"),
              SUBSTITUTE(O10,"P","")),
           IF(AND(COUNTIF(O10,"*P*"), COUNTIF(O10,"*R*")),
              SUBSTITUTE(O10,"R","S"),
              IF(AND(COUNTIF(O10,"*V*"), COUNTIF(O10,"*R*")),
                 SUBSTITUTE(O10,"R","S"),
                 O10))),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IF(AND(COUNTIF(O10,"*P*"), COUNTIF(O10,"*V*")),
                               IF(COUNTIF(O10,"*R*"),
                                  SUBSTITUTE(SUBSTITUTE(O10,"P",""),"R","S"),
                                  SUBSTITUTE(O10,"P","")),
                               IF(AND(COUNTIF(O10,"*P*"), COUNTIF(O10,"*R*")),
                                  SUBSTITUTE(O10,"R","S"),
                                  IF(AND(COUNTIF(O10,"*V*"), COUNTIF(O10,"*R*")),
                                     SUBSTITUTE(O10,"R","S"),
                                     O10))),
                          "0",""),"1",""),"2",""),"3",""),"4",""),
                      "5",""),"6",""),"7",""),"8",""),"9","")
     ),
     IF(SUM(--ISNUMBER(FIND({0,1,2,3,4,5,6,7,8,9}, _xlpm.txt)))=0,
        _xlpm.txt &amp; Data!CD52,
        _xlpm.txt
     )
   ),
   ""
)</f>
        <v/>
      </c>
      <c r="P32" s="41" t="str" cm="1">
        <f t="array" ref="P32">IF(P10&lt;&gt;"",
   _xlfn.LET(
     _xlpm.txt,
     IF(OR(COUNTIF(P10,"L*"), COUNTIF(P10, "X*")),
        IF(AND(COUNTIF(P10,"*P*"), COUNTIF(P10,"*V*")),
           IF(COUNTIF(P10,"*R*"),
              SUBSTITUTE(SUBSTITUTE(P10,"P",""),"R","S"),
              SUBSTITUTE(P10,"P","")),
           IF(AND(COUNTIF(P10,"*P*"), COUNTIF(P10,"*R*")),
              SUBSTITUTE(P10,"R","S"),
              IF(AND(COUNTIF(P10,"*V*"), COUNTIF(P10,"*R*")),
                 SUBSTITUTE(P10,"R","S"),
                 P10))),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IF(AND(COUNTIF(P10,"*P*"), COUNTIF(P10,"*V*")),
                               IF(COUNTIF(P10,"*R*"),
                                  SUBSTITUTE(SUBSTITUTE(P10,"P",""),"R","S"),
                                  SUBSTITUTE(P10,"P","")),
                               IF(AND(COUNTIF(P10,"*P*"), COUNTIF(P10,"*R*")),
                                  SUBSTITUTE(P10,"R","S"),
                                  IF(AND(COUNTIF(P10,"*V*"), COUNTIF(P10,"*R*")),
                                     SUBSTITUTE(P10,"R","S"),
                                     P10))),
                          "0",""),"1",""),"2",""),"3",""),"4",""),
                      "5",""),"6",""),"7",""),"8",""),"9","")
     ),
     IF(SUM(--ISNUMBER(FIND({0,1,2,3,4,5,6,7,8,9}, _xlpm.txt)))=0,
        _xlpm.txt &amp; Data!CE52,
        _xlpm.txt
     )
   ),
   ""
)</f>
        <v/>
      </c>
      <c r="Q32" s="41" t="str" cm="1">
        <f t="array" ref="Q32">IF(Q10&lt;&gt;"",
   _xlfn.LET(
     _xlpm.txt,
     IF(OR(COUNTIF(Q10,"L*"), COUNTIF(Q10, "X*")),
        IF(AND(COUNTIF(Q10,"*P*"), COUNTIF(Q10,"*V*")),
           IF(COUNTIF(Q10,"*R*"),
              SUBSTITUTE(SUBSTITUTE(Q10,"P",""),"R","S"),
              SUBSTITUTE(Q10,"P","")),
           IF(AND(COUNTIF(Q10,"*P*"), COUNTIF(Q10,"*R*")),
              SUBSTITUTE(Q10,"R","S"),
              IF(AND(COUNTIF(Q10,"*V*"), COUNTIF(Q10,"*R*")),
                 SUBSTITUTE(Q10,"R","S"),
                 Q10))),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IF(AND(COUNTIF(Q10,"*P*"), COUNTIF(Q10,"*V*")),
                               IF(COUNTIF(Q10,"*R*"),
                                  SUBSTITUTE(SUBSTITUTE(Q10,"P",""),"R","S"),
                                  SUBSTITUTE(Q10,"P","")),
                               IF(AND(COUNTIF(Q10,"*P*"), COUNTIF(Q10,"*R*")),
                                  SUBSTITUTE(Q10,"R","S"),
                                  IF(AND(COUNTIF(Q10,"*V*"), COUNTIF(Q10,"*R*")),
                                     SUBSTITUTE(Q10,"R","S"),
                                     Q10))),
                          "0",""),"1",""),"2",""),"3",""),"4",""),
                      "5",""),"6",""),"7",""),"8",""),"9","")
     ),
     IF(SUM(--ISNUMBER(FIND({0,1,2,3,4,5,6,7,8,9}, _xlpm.txt)))=0,
        _xlpm.txt &amp; Data!CF52,
        _xlpm.txt
     )
   ),
   ""
)</f>
        <v/>
      </c>
      <c r="R32" s="41" t="str" cm="1">
        <f t="array" ref="R32">IF(R10&lt;&gt;"",
   _xlfn.LET(
     _xlpm.txt,
     IF(OR(COUNTIF(R10,"L*"), COUNTIF(R10, "X*")),
        IF(AND(COUNTIF(R10,"*P*"), COUNTIF(R10,"*V*")),
           IF(COUNTIF(R10,"*R*"),
              SUBSTITUTE(SUBSTITUTE(R10,"P",""),"R","S"),
              SUBSTITUTE(R10,"P","")),
           IF(AND(COUNTIF(R10,"*P*"), COUNTIF(R10,"*R*")),
              SUBSTITUTE(R10,"R","S"),
              IF(AND(COUNTIF(R10,"*V*"), COUNTIF(R10,"*R*")),
                 SUBSTITUTE(R10,"R","S"),
                 R10))),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IF(AND(COUNTIF(R10,"*P*"), COUNTIF(R10,"*V*")),
                               IF(COUNTIF(R10,"*R*"),
                                  SUBSTITUTE(SUBSTITUTE(R10,"P",""),"R","S"),
                                  SUBSTITUTE(R10,"P","")),
                               IF(AND(COUNTIF(R10,"*P*"), COUNTIF(R10,"*R*")),
                                  SUBSTITUTE(R10,"R","S"),
                                  IF(AND(COUNTIF(R10,"*V*"), COUNTIF(R10,"*R*")),
                                     SUBSTITUTE(R10,"R","S"),
                                     R10))),
                          "0",""),"1",""),"2",""),"3",""),"4",""),
                      "5",""),"6",""),"7",""),"8",""),"9","")
     ),
     IF(SUM(--ISNUMBER(FIND({0,1,2,3,4,5,6,7,8,9}, _xlpm.txt)))=0,
        _xlpm.txt &amp; Data!CG52,
        _xlpm.txt
     )
   ),
   ""
)</f>
        <v/>
      </c>
      <c r="S32" s="41" t="str" cm="1">
        <f t="array" ref="S32">IF(S10&lt;&gt;"",
   _xlfn.LET(
     _xlpm.txt,
     IF(OR(COUNTIF(S10,"L*"), COUNTIF(S10, "X*")),
        IF(AND(COUNTIF(S10,"*P*"), COUNTIF(S10,"*V*")),
           IF(COUNTIF(S10,"*R*"),
              SUBSTITUTE(SUBSTITUTE(S10,"P",""),"R","S"),
              SUBSTITUTE(S10,"P","")),
           IF(AND(COUNTIF(S10,"*P*"), COUNTIF(S10,"*R*")),
              SUBSTITUTE(S10,"R","S"),
              IF(AND(COUNTIF(S10,"*V*"), COUNTIF(S10,"*R*")),
                 SUBSTITUTE(S10,"R","S"),
                 S10))),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IF(AND(COUNTIF(S10,"*P*"), COUNTIF(S10,"*V*")),
                               IF(COUNTIF(S10,"*R*"),
                                  SUBSTITUTE(SUBSTITUTE(S10,"P",""),"R","S"),
                                  SUBSTITUTE(S10,"P","")),
                               IF(AND(COUNTIF(S10,"*P*"), COUNTIF(S10,"*R*")),
                                  SUBSTITUTE(S10,"R","S"),
                                  IF(AND(COUNTIF(S10,"*V*"), COUNTIF(S10,"*R*")),
                                     SUBSTITUTE(S10,"R","S"),
                                     S10))),
                          "0",""),"1",""),"2",""),"3",""),"4",""),
                      "5",""),"6",""),"7",""),"8",""),"9","")
     ),
     IF(SUM(--ISNUMBER(FIND({0,1,2,3,4,5,6,7,8,9}, _xlpm.txt)))=0,
        _xlpm.txt &amp; Data!CH52,
        _xlpm.txt
     )
   ),
   ""
)</f>
        <v/>
      </c>
      <c r="T32" s="41" t="str" cm="1">
        <f t="array" ref="T32">IF(T10&lt;&gt;"",
   _xlfn.LET(
     _xlpm.txt,
     IF(OR(COUNTIF(T10,"L*"), COUNTIF(T10, "X*")),
        IF(AND(COUNTIF(T10,"*P*"), COUNTIF(T10,"*V*")),
           IF(COUNTIF(T10,"*R*"),
              SUBSTITUTE(SUBSTITUTE(T10,"P",""),"R","S"),
              SUBSTITUTE(T10,"P","")),
           IF(AND(COUNTIF(T10,"*P*"), COUNTIF(T10,"*R*")),
              SUBSTITUTE(T10,"R","S"),
              IF(AND(COUNTIF(T10,"*V*"), COUNTIF(T10,"*R*")),
                 SUBSTITUTE(T10,"R","S"),
                 T10))),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IF(AND(COUNTIF(T10,"*P*"), COUNTIF(T10,"*V*")),
                               IF(COUNTIF(T10,"*R*"),
                                  SUBSTITUTE(SUBSTITUTE(T10,"P",""),"R","S"),
                                  SUBSTITUTE(T10,"P","")),
                               IF(AND(COUNTIF(T10,"*P*"), COUNTIF(T10,"*R*")),
                                  SUBSTITUTE(T10,"R","S"),
                                  IF(AND(COUNTIF(T10,"*V*"), COUNTIF(T10,"*R*")),
                                     SUBSTITUTE(T10,"R","S"),
                                     T10))),
                          "0",""),"1",""),"2",""),"3",""),"4",""),
                      "5",""),"6",""),"7",""),"8",""),"9","")
     ),
     IF(SUM(--ISNUMBER(FIND({0,1,2,3,4,5,6,7,8,9}, _xlpm.txt)))=0,
        _xlpm.txt &amp; Data!CI52,
        _xlpm.txt
     )
   ),
   ""
)</f>
        <v/>
      </c>
      <c r="U32" s="41" t="str" cm="1">
        <f t="array" ref="U32">IF(U10&lt;&gt;"",
   _xlfn.LET(
     _xlpm.txt,
     IF(OR(COUNTIF(U10,"L*"), COUNTIF(U10, "X*")),
        IF(AND(COUNTIF(U10,"*P*"), COUNTIF(U10,"*V*")),
           IF(COUNTIF(U10,"*R*"),
              SUBSTITUTE(SUBSTITUTE(U10,"P",""),"R","S"),
              SUBSTITUTE(U10,"P","")),
           IF(AND(COUNTIF(U10,"*P*"), COUNTIF(U10,"*R*")),
              SUBSTITUTE(U10,"R","S"),
              IF(AND(COUNTIF(U10,"*V*"), COUNTIF(U10,"*R*")),
                 SUBSTITUTE(U10,"R","S"),
                 U10))),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IF(AND(COUNTIF(U10,"*P*"), COUNTIF(U10,"*V*")),
                               IF(COUNTIF(U10,"*R*"),
                                  SUBSTITUTE(SUBSTITUTE(U10,"P",""),"R","S"),
                                  SUBSTITUTE(U10,"P","")),
                               IF(AND(COUNTIF(U10,"*P*"), COUNTIF(U10,"*R*")),
                                  SUBSTITUTE(U10,"R","S"),
                                  IF(AND(COUNTIF(U10,"*V*"), COUNTIF(U10,"*R*")),
                                     SUBSTITUTE(U10,"R","S"),
                                     U10))),
                          "0",""),"1",""),"2",""),"3",""),"4",""),
                      "5",""),"6",""),"7",""),"8",""),"9","")
     ),
     IF(SUM(--ISNUMBER(FIND({0,1,2,3,4,5,6,7,8,9}, _xlpm.txt)))=0,
        _xlpm.txt &amp; Data!CJ52,
        _xlpm.txt
     )
   ),
   ""
)</f>
        <v/>
      </c>
      <c r="V32" s="41" t="str" cm="1">
        <f t="array" ref="V32">IF(V10&lt;&gt;"",
   _xlfn.LET(
     _xlpm.txt,
     IF(OR(COUNTIF(V10,"L*"), COUNTIF(V10, "X*")),
        IF(AND(COUNTIF(V10,"*P*"), COUNTIF(V10,"*V*")),
           IF(COUNTIF(V10,"*R*"),
              SUBSTITUTE(SUBSTITUTE(V10,"P",""),"R","S"),
              SUBSTITUTE(V10,"P","")),
           IF(AND(COUNTIF(V10,"*P*"), COUNTIF(V10,"*R*")),
              SUBSTITUTE(V10,"R","S"),
              IF(AND(COUNTIF(V10,"*V*"), COUNTIF(V10,"*R*")),
                 SUBSTITUTE(V10,"R","S"),
                 V10))),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IF(AND(COUNTIF(V10,"*P*"), COUNTIF(V10,"*V*")),
                               IF(COUNTIF(V10,"*R*"),
                                  SUBSTITUTE(SUBSTITUTE(V10,"P",""),"R","S"),
                                  SUBSTITUTE(V10,"P","")),
                               IF(AND(COUNTIF(V10,"*P*"), COUNTIF(V10,"*R*")),
                                  SUBSTITUTE(V10,"R","S"),
                                  IF(AND(COUNTIF(V10,"*V*"), COUNTIF(V10,"*R*")),
                                     SUBSTITUTE(V10,"R","S"),
                                     V10))),
                          "0",""),"1",""),"2",""),"3",""),"4",""),
                      "5",""),"6",""),"7",""),"8",""),"9","")
     ),
     IF(SUM(--ISNUMBER(FIND({0,1,2,3,4,5,6,7,8,9}, _xlpm.txt)))=0,
        _xlpm.txt &amp; Data!CK52,
        _xlpm.txt
     )
   ),
   ""
)</f>
        <v/>
      </c>
      <c r="W32" s="41" t="str" cm="1">
        <f t="array" ref="W32">IF(W10&lt;&gt;"",
   _xlfn.LET(
     _xlpm.txt,
     IF(OR(COUNTIF(W10,"L*"), COUNTIF(W10, "X*")),
        IF(AND(COUNTIF(W10,"*P*"), COUNTIF(W10,"*V*")),
           IF(COUNTIF(W10,"*R*"),
              SUBSTITUTE(SUBSTITUTE(W10,"P",""),"R","S"),
              SUBSTITUTE(W10,"P","")),
           IF(AND(COUNTIF(W10,"*P*"), COUNTIF(W10,"*R*")),
              SUBSTITUTE(W10,"R","S"),
              IF(AND(COUNTIF(W10,"*V*"), COUNTIF(W10,"*R*")),
                 SUBSTITUTE(W10,"R","S"),
                 W10))),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IF(AND(COUNTIF(W10,"*P*"), COUNTIF(W10,"*V*")),
                               IF(COUNTIF(W10,"*R*"),
                                  SUBSTITUTE(SUBSTITUTE(W10,"P",""),"R","S"),
                                  SUBSTITUTE(W10,"P","")),
                               IF(AND(COUNTIF(W10,"*P*"), COUNTIF(W10,"*R*")),
                                  SUBSTITUTE(W10,"R","S"),
                                  IF(AND(COUNTIF(W10,"*V*"), COUNTIF(W10,"*R*")),
                                     SUBSTITUTE(W10,"R","S"),
                                     W10))),
                          "0",""),"1",""),"2",""),"3",""),"4",""),
                      "5",""),"6",""),"7",""),"8",""),"9","")
     ),
     IF(SUM(--ISNUMBER(FIND({0,1,2,3,4,5,6,7,8,9}, _xlpm.txt)))=0,
        _xlpm.txt &amp; Data!CL52,
        _xlpm.txt
     )
   ),
   ""
)</f>
        <v/>
      </c>
      <c r="X32" s="41" t="str" cm="1">
        <f t="array" ref="X32">IF(X10&lt;&gt;"",
   _xlfn.LET(
     _xlpm.txt,
     IF(OR(COUNTIF(X10,"L*"), COUNTIF(X10, "X*")),
        IF(AND(COUNTIF(X10,"*P*"), COUNTIF(X10,"*V*")),
           IF(COUNTIF(X10,"*R*"),
              SUBSTITUTE(SUBSTITUTE(X10,"P",""),"R","S"),
              SUBSTITUTE(X10,"P","")),
           IF(AND(COUNTIF(X10,"*P*"), COUNTIF(X10,"*R*")),
              SUBSTITUTE(X10,"R","S"),
              IF(AND(COUNTIF(X10,"*V*"), COUNTIF(X10,"*R*")),
                 SUBSTITUTE(X10,"R","S"),
                 X10))),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IF(AND(COUNTIF(X10,"*P*"), COUNTIF(X10,"*V*")),
                               IF(COUNTIF(X10,"*R*"),
                                  SUBSTITUTE(SUBSTITUTE(X10,"P",""),"R","S"),
                                  SUBSTITUTE(X10,"P","")),
                               IF(AND(COUNTIF(X10,"*P*"), COUNTIF(X10,"*R*")),
                                  SUBSTITUTE(X10,"R","S"),
                                  IF(AND(COUNTIF(X10,"*V*"), COUNTIF(X10,"*R*")),
                                     SUBSTITUTE(X10,"R","S"),
                                     X10))),
                          "0",""),"1",""),"2",""),"3",""),"4",""),
                      "5",""),"6",""),"7",""),"8",""),"9","")
     ),
     IF(SUM(--ISNUMBER(FIND({0,1,2,3,4,5,6,7,8,9}, _xlpm.txt)))=0,
        _xlpm.txt &amp; Data!CM52,
        _xlpm.txt
     )
   ),
   ""
)</f>
        <v/>
      </c>
      <c r="Y32" s="41" t="str" cm="1">
        <f t="array" ref="Y32">IF(Y10&lt;&gt;"",
   _xlfn.LET(
     _xlpm.txt,
     IF(OR(COUNTIF(Y10,"L*"), COUNTIF(Y10, "X*")),
        IF(AND(COUNTIF(Y10,"*P*"), COUNTIF(Y10,"*V*")),
           IF(COUNTIF(Y10,"*R*"),
              SUBSTITUTE(SUBSTITUTE(Y10,"P",""),"R","S"),
              SUBSTITUTE(Y10,"P","")),
           IF(AND(COUNTIF(Y10,"*P*"), COUNTIF(Y10,"*R*")),
              SUBSTITUTE(Y10,"R","S"),
              IF(AND(COUNTIF(Y10,"*V*"), COUNTIF(Y10,"*R*")),
                 SUBSTITUTE(Y10,"R","S"),
                 Y10))),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IF(AND(COUNTIF(Y10,"*P*"), COUNTIF(Y10,"*V*")),
                               IF(COUNTIF(Y10,"*R*"),
                                  SUBSTITUTE(SUBSTITUTE(Y10,"P",""),"R","S"),
                                  SUBSTITUTE(Y10,"P","")),
                               IF(AND(COUNTIF(Y10,"*P*"), COUNTIF(Y10,"*R*")),
                                  SUBSTITUTE(Y10,"R","S"),
                                  IF(AND(COUNTIF(Y10,"*V*"), COUNTIF(Y10,"*R*")),
                                     SUBSTITUTE(Y10,"R","S"),
                                     Y10))),
                          "0",""),"1",""),"2",""),"3",""),"4",""),
                      "5",""),"6",""),"7",""),"8",""),"9","")
     ),
     IF(SUM(--ISNUMBER(FIND({0,1,2,3,4,5,6,7,8,9}, _xlpm.txt)))=0,
        _xlpm.txt &amp; Data!CN52,
        _xlpm.txt
     )
   ),
   ""
)</f>
        <v/>
      </c>
      <c r="Z32" s="41" t="str" cm="1">
        <f t="array" ref="Z32">IF(Z10&lt;&gt;"",
   _xlfn.LET(
     _xlpm.txt,
     IF(OR(COUNTIF(Z10,"L*"), COUNTIF(Z10, "X*")),
        IF(AND(COUNTIF(Z10,"*P*"), COUNTIF(Z10,"*V*")),
           IF(COUNTIF(Z10,"*R*"),
              SUBSTITUTE(SUBSTITUTE(Z10,"P",""),"R","S"),
              SUBSTITUTE(Z10,"P","")),
           IF(AND(COUNTIF(Z10,"*P*"), COUNTIF(Z10,"*R*")),
              SUBSTITUTE(Z10,"R","S"),
              IF(AND(COUNTIF(Z10,"*V*"), COUNTIF(Z10,"*R*")),
                 SUBSTITUTE(Z10,"R","S"),
                 Z10))),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IF(AND(COUNTIF(Z10,"*P*"), COUNTIF(Z10,"*V*")),
                               IF(COUNTIF(Z10,"*R*"),
                                  SUBSTITUTE(SUBSTITUTE(Z10,"P",""),"R","S"),
                                  SUBSTITUTE(Z10,"P","")),
                               IF(AND(COUNTIF(Z10,"*P*"), COUNTIF(Z10,"*R*")),
                                  SUBSTITUTE(Z10,"R","S"),
                                  IF(AND(COUNTIF(Z10,"*V*"), COUNTIF(Z10,"*R*")),
                                     SUBSTITUTE(Z10,"R","S"),
                                     Z10))),
                          "0",""),"1",""),"2",""),"3",""),"4",""),
                      "5",""),"6",""),"7",""),"8",""),"9","")
     ),
     IF(SUM(--ISNUMBER(FIND({0,1,2,3,4,5,6,7,8,9}, _xlpm.txt)))=0,
        _xlpm.txt &amp; Data!CO52,
        _xlpm.txt
     )
   ),
   ""
)</f>
        <v/>
      </c>
      <c r="AA32" s="41" t="str" cm="1">
        <f t="array" ref="AA32">IF(AA10&lt;&gt;"",
   _xlfn.LET(
     _xlpm.txt,
     IF(OR(COUNTIF(AA10,"L*"), COUNTIF(AA10, "X*")),
        IF(AND(COUNTIF(AA10,"*P*"), COUNTIF(AA10,"*V*")),
           IF(COUNTIF(AA10,"*R*"),
              SUBSTITUTE(SUBSTITUTE(AA10,"P",""),"R","S"),
              SUBSTITUTE(AA10,"P","")),
           IF(AND(COUNTIF(AA10,"*P*"), COUNTIF(AA10,"*R*")),
              SUBSTITUTE(AA10,"R","S"),
              IF(AND(COUNTIF(AA10,"*V*"), COUNTIF(AA10,"*R*")),
                 SUBSTITUTE(AA10,"R","S"),
                 AA10))),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IF(AND(COUNTIF(AA10,"*P*"), COUNTIF(AA10,"*V*")),
                               IF(COUNTIF(AA10,"*R*"),
                                  SUBSTITUTE(SUBSTITUTE(AA10,"P",""),"R","S"),
                                  SUBSTITUTE(AA10,"P","")),
                               IF(AND(COUNTIF(AA10,"*P*"), COUNTIF(AA10,"*R*")),
                                  SUBSTITUTE(AA10,"R","S"),
                                  IF(AND(COUNTIF(AA10,"*V*"), COUNTIF(AA10,"*R*")),
                                     SUBSTITUTE(AA10,"R","S"),
                                     AA10))),
                          "0",""),"1",""),"2",""),"3",""),"4",""),
                      "5",""),"6",""),"7",""),"8",""),"9","")
     ),
     IF(SUM(--ISNUMBER(FIND({0,1,2,3,4,5,6,7,8,9}, _xlpm.txt)))=0,
        _xlpm.txt &amp; Data!CP52,
        _xlpm.txt
     )
   ),
   ""
)</f>
        <v/>
      </c>
      <c r="AB32" s="41" t="str" cm="1">
        <f t="array" ref="AB32">IF(AB10&lt;&gt;"",
   _xlfn.LET(
     _xlpm.txt,
     IF(OR(COUNTIF(AB10,"L*"), COUNTIF(AB10, "X*")),
        IF(AND(COUNTIF(AB10,"*P*"), COUNTIF(AB10,"*V*")),
           IF(COUNTIF(AB10,"*R*"),
              SUBSTITUTE(SUBSTITUTE(AB10,"P",""),"R","S"),
              SUBSTITUTE(AB10,"P","")),
           IF(AND(COUNTIF(AB10,"*P*"), COUNTIF(AB10,"*R*")),
              SUBSTITUTE(AB10,"R","S"),
              IF(AND(COUNTIF(AB10,"*V*"), COUNTIF(AB10,"*R*")),
                 SUBSTITUTE(AB10,"R","S"),
                 AB10))),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IF(AND(COUNTIF(AB10,"*P*"), COUNTIF(AB10,"*V*")),
                               IF(COUNTIF(AB10,"*R*"),
                                  SUBSTITUTE(SUBSTITUTE(AB10,"P",""),"R","S"),
                                  SUBSTITUTE(AB10,"P","")),
                               IF(AND(COUNTIF(AB10,"*P*"), COUNTIF(AB10,"*R*")),
                                  SUBSTITUTE(AB10,"R","S"),
                                  IF(AND(COUNTIF(AB10,"*V*"), COUNTIF(AB10,"*R*")),
                                     SUBSTITUTE(AB10,"R","S"),
                                     AB10))),
                          "0",""),"1",""),"2",""),"3",""),"4",""),
                      "5",""),"6",""),"7",""),"8",""),"9","")
     ),
     IF(SUM(--ISNUMBER(FIND({0,1,2,3,4,5,6,7,8,9}, _xlpm.txt)))=0,
        _xlpm.txt &amp; Data!CQ52,
        _xlpm.txt
     )
   ),
   ""
)</f>
        <v/>
      </c>
      <c r="AC32" s="41" t="str" cm="1">
        <f t="array" ref="AC32">IF(AC10&lt;&gt;"",
   _xlfn.LET(
     _xlpm.txt,
     IF(OR(COUNTIF(AC10,"L*"), COUNTIF(AC10, "X*")),
        IF(AND(COUNTIF(AC10,"*P*"), COUNTIF(AC10,"*V*")),
           IF(COUNTIF(AC10,"*R*"),
              SUBSTITUTE(SUBSTITUTE(AC10,"P",""),"R","S"),
              SUBSTITUTE(AC10,"P","")),
           IF(AND(COUNTIF(AC10,"*P*"), COUNTIF(AC10,"*R*")),
              SUBSTITUTE(AC10,"R","S"),
              IF(AND(COUNTIF(AC10,"*V*"), COUNTIF(AC10,"*R*")),
                 SUBSTITUTE(AC10,"R","S"),
                 AC10))),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IF(AND(COUNTIF(AC10,"*P*"), COUNTIF(AC10,"*V*")),
                               IF(COUNTIF(AC10,"*R*"),
                                  SUBSTITUTE(SUBSTITUTE(AC10,"P",""),"R","S"),
                                  SUBSTITUTE(AC10,"P","")),
                               IF(AND(COUNTIF(AC10,"*P*"), COUNTIF(AC10,"*R*")),
                                  SUBSTITUTE(AC10,"R","S"),
                                  IF(AND(COUNTIF(AC10,"*V*"), COUNTIF(AC10,"*R*")),
                                     SUBSTITUTE(AC10,"R","S"),
                                     AC10))),
                          "0",""),"1",""),"2",""),"3",""),"4",""),
                      "5",""),"6",""),"7",""),"8",""),"9","")
     ),
     IF(SUM(--ISNUMBER(FIND({0,1,2,3,4,5,6,7,8,9}, _xlpm.txt)))=0,
        _xlpm.txt &amp; Data!CR52,
        _xlpm.txt
     )
   ),
   ""
)</f>
        <v/>
      </c>
      <c r="AD32" s="41" t="str" cm="1">
        <f t="array" ref="AD32">IF(AD10&lt;&gt;"",
   _xlfn.LET(
     _xlpm.txt,
     IF(OR(COUNTIF(AD10,"L*"), COUNTIF(AD10, "X*")),
        IF(AND(COUNTIF(AD10,"*P*"), COUNTIF(AD10,"*V*")),
           IF(COUNTIF(AD10,"*R*"),
              SUBSTITUTE(SUBSTITUTE(AD10,"P",""),"R","S"),
              SUBSTITUTE(AD10,"P","")),
           IF(AND(COUNTIF(AD10,"*P*"), COUNTIF(AD10,"*R*")),
              SUBSTITUTE(AD10,"R","S"),
              IF(AND(COUNTIF(AD10,"*V*"), COUNTIF(AD10,"*R*")),
                 SUBSTITUTE(AD10,"R","S"),
                 AD10))),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IF(AND(COUNTIF(AD10,"*P*"), COUNTIF(AD10,"*V*")),
                               IF(COUNTIF(AD10,"*R*"),
                                  SUBSTITUTE(SUBSTITUTE(AD10,"P",""),"R","S"),
                                  SUBSTITUTE(AD10,"P","")),
                               IF(AND(COUNTIF(AD10,"*P*"), COUNTIF(AD10,"*R*")),
                                  SUBSTITUTE(AD10,"R","S"),
                                  IF(AND(COUNTIF(AD10,"*V*"), COUNTIF(AD10,"*R*")),
                                     SUBSTITUTE(AD10,"R","S"),
                                     AD10))),
                          "0",""),"1",""),"2",""),"3",""),"4",""),
                      "5",""),"6",""),"7",""),"8",""),"9","")
     ),
     IF(SUM(--ISNUMBER(FIND({0,1,2,3,4,5,6,7,8,9}, _xlpm.txt)))=0,
        _xlpm.txt &amp; Data!CS52,
        _xlpm.txt
     )
   ),
   ""
)</f>
        <v/>
      </c>
      <c r="AE32" s="41" t="str" cm="1">
        <f t="array" ref="AE32">IF(AE10&lt;&gt;"",
   _xlfn.LET(
     _xlpm.txt,
     IF(OR(COUNTIF(AE10,"L*"), COUNTIF(AE10, "X*")),
        IF(AND(COUNTIF(AE10,"*P*"), COUNTIF(AE10,"*V*")),
           IF(COUNTIF(AE10,"*R*"),
              SUBSTITUTE(SUBSTITUTE(AE10,"P",""),"R","S"),
              SUBSTITUTE(AE10,"P","")),
           IF(AND(COUNTIF(AE10,"*P*"), COUNTIF(AE10,"*R*")),
              SUBSTITUTE(AE10,"R","S"),
              IF(AND(COUNTIF(AE10,"*V*"), COUNTIF(AE10,"*R*")),
                 SUBSTITUTE(AE10,"R","S"),
                 AE10))),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IF(AND(COUNTIF(AE10,"*P*"), COUNTIF(AE10,"*V*")),
                               IF(COUNTIF(AE10,"*R*"),
                                  SUBSTITUTE(SUBSTITUTE(AE10,"P",""),"R","S"),
                                  SUBSTITUTE(AE10,"P","")),
                               IF(AND(COUNTIF(AE10,"*P*"), COUNTIF(AE10,"*R*")),
                                  SUBSTITUTE(AE10,"R","S"),
                                  IF(AND(COUNTIF(AE10,"*V*"), COUNTIF(AE10,"*R*")),
                                     SUBSTITUTE(AE10,"R","S"),
                                     AE10))),
                          "0",""),"1",""),"2",""),"3",""),"4",""),
                      "5",""),"6",""),"7",""),"8",""),"9","")
     ),
     IF(SUM(--ISNUMBER(FIND({0,1,2,3,4,5,6,7,8,9}, _xlpm.txt)))=0,
        _xlpm.txt &amp; Data!CT52,
        _xlpm.txt
     )
   ),
   ""
)</f>
        <v/>
      </c>
      <c r="AF32" s="41" t="str" cm="1">
        <f t="array" ref="AF32">IF(AF10&lt;&gt;"",
   _xlfn.LET(
     _xlpm.txt,
     IF(OR(COUNTIF(AF10,"L*"), COUNTIF(AF10, "X*")),
        IF(AND(COUNTIF(AF10,"*P*"), COUNTIF(AF10,"*V*")),
           IF(COUNTIF(AF10,"*R*"),
              SUBSTITUTE(SUBSTITUTE(AF10,"P",""),"R","S"),
              SUBSTITUTE(AF10,"P","")),
           IF(AND(COUNTIF(AF10,"*P*"), COUNTIF(AF10,"*R*")),
              SUBSTITUTE(AF10,"R","S"),
              IF(AND(COUNTIF(AF10,"*V*"), COUNTIF(AF10,"*R*")),
                 SUBSTITUTE(AF10,"R","S"),
                 AF10))),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IF(AND(COUNTIF(AF10,"*P*"), COUNTIF(AF10,"*V*")),
                               IF(COUNTIF(AF10,"*R*"),
                                  SUBSTITUTE(SUBSTITUTE(AF10,"P",""),"R","S"),
                                  SUBSTITUTE(AF10,"P","")),
                               IF(AND(COUNTIF(AF10,"*P*"), COUNTIF(AF10,"*R*")),
                                  SUBSTITUTE(AF10,"R","S"),
                                  IF(AND(COUNTIF(AF10,"*V*"), COUNTIF(AF10,"*R*")),
                                     SUBSTITUTE(AF10,"R","S"),
                                     AF10))),
                          "0",""),"1",""),"2",""),"3",""),"4",""),
                      "5",""),"6",""),"7",""),"8",""),"9","")
     ),
     IF(SUM(--ISNUMBER(FIND({0,1,2,3,4,5,6,7,8,9}, _xlpm.txt)))=0,
        _xlpm.txt &amp; Data!CU52,
        _xlpm.txt
     )
   ),
   ""
)</f>
        <v/>
      </c>
      <c r="AG32" s="41" t="str" cm="1">
        <f t="array" ref="AG32">IF(AG10&lt;&gt;"",
   _xlfn.LET(
     _xlpm.txt,
     IF(OR(COUNTIF(AG10,"L*"), COUNTIF(AG10, "X*")),
        IF(AND(COUNTIF(AG10,"*P*"), COUNTIF(AG10,"*V*")),
           IF(COUNTIF(AG10,"*R*"),
              SUBSTITUTE(SUBSTITUTE(AG10,"P",""),"R","S"),
              SUBSTITUTE(AG10,"P","")),
           IF(AND(COUNTIF(AG10,"*P*"), COUNTIF(AG10,"*R*")),
              SUBSTITUTE(AG10,"R","S"),
              IF(AND(COUNTIF(AG10,"*V*"), COUNTIF(AG10,"*R*")),
                 SUBSTITUTE(AG10,"R","S"),
                 AG10))),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IF(AND(COUNTIF(AG10,"*P*"), COUNTIF(AG10,"*V*")),
                               IF(COUNTIF(AG10,"*R*"),
                                  SUBSTITUTE(SUBSTITUTE(AG10,"P",""),"R","S"),
                                  SUBSTITUTE(AG10,"P","")),
                               IF(AND(COUNTIF(AG10,"*P*"), COUNTIF(AG10,"*R*")),
                                  SUBSTITUTE(AG10,"R","S"),
                                  IF(AND(COUNTIF(AG10,"*V*"), COUNTIF(AG10,"*R*")),
                                     SUBSTITUTE(AG10,"R","S"),
                                     AG10))),
                          "0",""),"1",""),"2",""),"3",""),"4",""),
                      "5",""),"6",""),"7",""),"8",""),"9","")
     ),
     IF(SUM(--ISNUMBER(FIND({0,1,2,3,4,5,6,7,8,9}, _xlpm.txt)))=0,
        _xlpm.txt &amp; Data!CV52,
        _xlpm.txt
     )
   ),
   ""
)</f>
        <v/>
      </c>
      <c r="AH32" s="41" t="str" cm="1">
        <f t="array" ref="AH32">IF(AH10&lt;&gt;"",
   _xlfn.LET(
     _xlpm.txt,
     IF(OR(COUNTIF(AH10,"L*"), COUNTIF(AH10, "X*")),
        IF(AND(COUNTIF(AH10,"*P*"), COUNTIF(AH10,"*V*")),
           IF(COUNTIF(AH10,"*R*"),
              SUBSTITUTE(SUBSTITUTE(AH10,"P",""),"R","S"),
              SUBSTITUTE(AH10,"P","")),
           IF(AND(COUNTIF(AH10,"*P*"), COUNTIF(AH10,"*R*")),
              SUBSTITUTE(AH10,"R","S"),
              IF(AND(COUNTIF(AH10,"*V*"), COUNTIF(AH10,"*R*")),
                 SUBSTITUTE(AH10,"R","S"),
                 AH10))),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IF(AND(COUNTIF(AH10,"*P*"), COUNTIF(AH10,"*V*")),
                               IF(COUNTIF(AH10,"*R*"),
                                  SUBSTITUTE(SUBSTITUTE(AH10,"P",""),"R","S"),
                                  SUBSTITUTE(AH10,"P","")),
                               IF(AND(COUNTIF(AH10,"*P*"), COUNTIF(AH10,"*R*")),
                                  SUBSTITUTE(AH10,"R","S"),
                                  IF(AND(COUNTIF(AH10,"*V*"), COUNTIF(AH10,"*R*")),
                                     SUBSTITUTE(AH10,"R","S"),
                                     AH10))),
                          "0",""),"1",""),"2",""),"3",""),"4",""),
                      "5",""),"6",""),"7",""),"8",""),"9","")
     ),
     IF(SUM(--ISNUMBER(FIND({0,1,2,3,4,5,6,7,8,9}, _xlpm.txt)))=0,
        _xlpm.txt &amp; Data!CW52,
        _xlpm.txt
     )
   ),
   ""
)</f>
        <v/>
      </c>
      <c r="AI32" s="41" t="str" cm="1">
        <f t="array" ref="AI32">IF(AI10&lt;&gt;"",
   _xlfn.LET(
     _xlpm.txt,
     IF(OR(COUNTIF(AI10,"L*"), COUNTIF(AI10, "X*")),
        IF(AND(COUNTIF(AI10,"*P*"), COUNTIF(AI10,"*V*")),
           IF(COUNTIF(AI10,"*R*"),
              SUBSTITUTE(SUBSTITUTE(AI10,"P",""),"R","S"),
              SUBSTITUTE(AI10,"P","")),
           IF(AND(COUNTIF(AI10,"*P*"), COUNTIF(AI10,"*R*")),
              SUBSTITUTE(AI10,"R","S"),
              IF(AND(COUNTIF(AI10,"*V*"), COUNTIF(AI10,"*R*")),
                 SUBSTITUTE(AI10,"R","S"),
                 AI10))),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IF(AND(COUNTIF(AI10,"*P*"), COUNTIF(AI10,"*V*")),
                               IF(COUNTIF(AI10,"*R*"),
                                  SUBSTITUTE(SUBSTITUTE(AI10,"P",""),"R","S"),
                                  SUBSTITUTE(AI10,"P","")),
                               IF(AND(COUNTIF(AI10,"*P*"), COUNTIF(AI10,"*R*")),
                                  SUBSTITUTE(AI10,"R","S"),
                                  IF(AND(COUNTIF(AI10,"*V*"), COUNTIF(AI10,"*R*")),
                                     SUBSTITUTE(AI10,"R","S"),
                                     AI10))),
                          "0",""),"1",""),"2",""),"3",""),"4",""),
                      "5",""),"6",""),"7",""),"8",""),"9","")
     ),
     IF(SUM(--ISNUMBER(FIND({0,1,2,3,4,5,6,7,8,9}, _xlpm.txt)))=0,
        _xlpm.txt &amp; Data!CX52,
        _xlpm.txt
     )
   ),
   ""
)</f>
        <v/>
      </c>
      <c r="AJ32" s="41" t="str" cm="1">
        <f t="array" ref="AJ32">IF(AJ10&lt;&gt;"",
   _xlfn.LET(
     _xlpm.txt,
     IF(OR(COUNTIF(AJ10,"L*"), COUNTIF(AJ10, "X*")),
        IF(AND(COUNTIF(AJ10,"*P*"), COUNTIF(AJ10,"*V*")),
           IF(COUNTIF(AJ10,"*R*"),
              SUBSTITUTE(SUBSTITUTE(AJ10,"P",""),"R","S"),
              SUBSTITUTE(AJ10,"P","")),
           IF(AND(COUNTIF(AJ10,"*P*"), COUNTIF(AJ10,"*R*")),
              SUBSTITUTE(AJ10,"R","S"),
              IF(AND(COUNTIF(AJ10,"*V*"), COUNTIF(AJ10,"*R*")),
                 SUBSTITUTE(AJ10,"R","S"),
                 AJ10))),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IF(AND(COUNTIF(AJ10,"*P*"), COUNTIF(AJ10,"*V*")),
                               IF(COUNTIF(AJ10,"*R*"),
                                  SUBSTITUTE(SUBSTITUTE(AJ10,"P",""),"R","S"),
                                  SUBSTITUTE(AJ10,"P","")),
                               IF(AND(COUNTIF(AJ10,"*P*"), COUNTIF(AJ10,"*R*")),
                                  SUBSTITUTE(AJ10,"R","S"),
                                  IF(AND(COUNTIF(AJ10,"*V*"), COUNTIF(AJ10,"*R*")),
                                     SUBSTITUTE(AJ10,"R","S"),
                                     AJ10))),
                          "0",""),"1",""),"2",""),"3",""),"4",""),
                      "5",""),"6",""),"7",""),"8",""),"9","")
     ),
     IF(SUM(--ISNUMBER(FIND({0,1,2,3,4,5,6,7,8,9}, _xlpm.txt)))=0,
        _xlpm.txt &amp; Data!CY52,
        _xlpm.txt
     )
   ),
   ""
)</f>
        <v/>
      </c>
    </row>
    <row r="33" spans="1:54" ht="23.25" customHeight="1" x14ac:dyDescent="0.35">
      <c r="A33" s="1196"/>
      <c r="B33" s="22">
        <v>8</v>
      </c>
      <c r="C33" s="41" t="str" cm="1">
        <f t="array" ref="C33">IF(C11&lt;&gt;"",
   _xlfn.LET(
     _xlpm.txt,
     IF(OR(COUNTIF(C11,"L*"), COUNTIF(C11, "X*")),
        IF(AND(COUNTIF(C11,"*P*"), COUNTIF(C11,"*V*")),
           IF(COUNTIF(C11,"*R*"),
              SUBSTITUTE(SUBSTITUTE(C11,"P",""),"R","S"),
              SUBSTITUTE(C11,"P","")),
           IF(AND(COUNTIF(C11,"*P*"), COUNTIF(C11,"*R*")),
              SUBSTITUTE(C11,"R","S"),
              IF(AND(COUNTIF(C11,"*V*"), COUNTIF(C11,"*R*")),
                 SUBSTITUTE(C11,"R","S"),
                 C11))),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IF(AND(COUNTIF(C11,"*P*"), COUNTIF(C11,"*V*")),
                               IF(COUNTIF(C11,"*R*"),
                                  SUBSTITUTE(SUBSTITUTE(C11,"P",""),"R","S"),
                                  SUBSTITUTE(C11,"P","")),
                               IF(AND(COUNTIF(C11,"*P*"), COUNTIF(C11,"*R*")),
                                  SUBSTITUTE(C11,"R","S"),
                                  IF(AND(COUNTIF(C11,"*V*"), COUNTIF(C11,"*R*")),
                                     SUBSTITUTE(C11,"R","S"),
                                     C11))),
                          "0",""),"1",""),"2",""),"3",""),"4",""),
                      "5",""),"6",""),"7",""),"8",""),"9","")
     ),
     IF(SUM(--ISNUMBER(FIND({0,1,2,3,4,5,6,7,8,9}, _xlpm.txt)))=0,
        _xlpm.txt &amp; Data!BR53,
        _xlpm.txt
     )
   ),
   ""
)</f>
        <v/>
      </c>
      <c r="D33" s="41" t="str" cm="1">
        <f t="array" ref="D33">IF(D11&lt;&gt;"",
   _xlfn.LET(
     _xlpm.txt,
     IF(OR(COUNTIF(D11,"L*"), COUNTIF(D11, "X*")),
        IF(AND(COUNTIF(D11,"*P*"), COUNTIF(D11,"*V*")),
           IF(COUNTIF(D11,"*R*"),
              SUBSTITUTE(SUBSTITUTE(D11,"P",""),"R","S"),
              SUBSTITUTE(D11,"P","")),
           IF(AND(COUNTIF(D11,"*P*"), COUNTIF(D11,"*R*")),
              SUBSTITUTE(D11,"R","S"),
              IF(AND(COUNTIF(D11,"*V*"), COUNTIF(D11,"*R*")),
                 SUBSTITUTE(D11,"R","S"),
                 D11))),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IF(AND(COUNTIF(D11,"*P*"), COUNTIF(D11,"*V*")),
                               IF(COUNTIF(D11,"*R*"),
                                  SUBSTITUTE(SUBSTITUTE(D11,"P",""),"R","S"),
                                  SUBSTITUTE(D11,"P","")),
                               IF(AND(COUNTIF(D11,"*P*"), COUNTIF(D11,"*R*")),
                                  SUBSTITUTE(D11,"R","S"),
                                  IF(AND(COUNTIF(D11,"*V*"), COUNTIF(D11,"*R*")),
                                     SUBSTITUTE(D11,"R","S"),
                                     D11))),
                          "0",""),"1",""),"2",""),"3",""),"4",""),
                      "5",""),"6",""),"7",""),"8",""),"9","")
     ),
     IF(SUM(--ISNUMBER(FIND({0,1,2,3,4,5,6,7,8,9}, _xlpm.txt)))=0,
        _xlpm.txt &amp; Data!BS53,
        _xlpm.txt
     )
   ),
   ""
)</f>
        <v/>
      </c>
      <c r="E33" s="41" t="str" cm="1">
        <f t="array" ref="E33">IF(E11&lt;&gt;"",
   _xlfn.LET(
     _xlpm.txt,
     IF(OR(COUNTIF(E11,"L*"), COUNTIF(E11, "X*")),
        IF(AND(COUNTIF(E11,"*P*"), COUNTIF(E11,"*V*")),
           IF(COUNTIF(E11,"*R*"),
              SUBSTITUTE(SUBSTITUTE(E11,"P",""),"R","S"),
              SUBSTITUTE(E11,"P","")),
           IF(AND(COUNTIF(E11,"*P*"), COUNTIF(E11,"*R*")),
              SUBSTITUTE(E11,"R","S"),
              IF(AND(COUNTIF(E11,"*V*"), COUNTIF(E11,"*R*")),
                 SUBSTITUTE(E11,"R","S"),
                 E11))),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IF(AND(COUNTIF(E11,"*P*"), COUNTIF(E11,"*V*")),
                               IF(COUNTIF(E11,"*R*"),
                                  SUBSTITUTE(SUBSTITUTE(E11,"P",""),"R","S"),
                                  SUBSTITUTE(E11,"P","")),
                               IF(AND(COUNTIF(E11,"*P*"), COUNTIF(E11,"*R*")),
                                  SUBSTITUTE(E11,"R","S"),
                                  IF(AND(COUNTIF(E11,"*V*"), COUNTIF(E11,"*R*")),
                                     SUBSTITUTE(E11,"R","S"),
                                     E11))),
                          "0",""),"1",""),"2",""),"3",""),"4",""),
                      "5",""),"6",""),"7",""),"8",""),"9","")
     ),
     IF(SUM(--ISNUMBER(FIND({0,1,2,3,4,5,6,7,8,9}, _xlpm.txt)))=0,
        _xlpm.txt &amp; Data!BT53,
        _xlpm.txt
     )
   ),
   ""
)</f>
        <v/>
      </c>
      <c r="F33" s="41" t="str" cm="1">
        <f t="array" ref="F33">IF(F11&lt;&gt;"",
   _xlfn.LET(
     _xlpm.txt,
     IF(OR(COUNTIF(F11,"L*"), COUNTIF(F11, "X*")),
        IF(AND(COUNTIF(F11,"*P*"), COUNTIF(F11,"*V*")),
           IF(COUNTIF(F11,"*R*"),
              SUBSTITUTE(SUBSTITUTE(F11,"P",""),"R","S"),
              SUBSTITUTE(F11,"P","")),
           IF(AND(COUNTIF(F11,"*P*"), COUNTIF(F11,"*R*")),
              SUBSTITUTE(F11,"R","S"),
              IF(AND(COUNTIF(F11,"*V*"), COUNTIF(F11,"*R*")),
                 SUBSTITUTE(F11,"R","S"),
                 F11))),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IF(AND(COUNTIF(F11,"*P*"), COUNTIF(F11,"*V*")),
                               IF(COUNTIF(F11,"*R*"),
                                  SUBSTITUTE(SUBSTITUTE(F11,"P",""),"R","S"),
                                  SUBSTITUTE(F11,"P","")),
                               IF(AND(COUNTIF(F11,"*P*"), COUNTIF(F11,"*R*")),
                                  SUBSTITUTE(F11,"R","S"),
                                  IF(AND(COUNTIF(F11,"*V*"), COUNTIF(F11,"*R*")),
                                     SUBSTITUTE(F11,"R","S"),
                                     F11))),
                          "0",""),"1",""),"2",""),"3",""),"4",""),
                      "5",""),"6",""),"7",""),"8",""),"9","")
     ),
     IF(SUM(--ISNUMBER(FIND({0,1,2,3,4,5,6,7,8,9}, _xlpm.txt)))=0,
        _xlpm.txt &amp; Data!BU53,
        _xlpm.txt
     )
   ),
   ""
)</f>
        <v/>
      </c>
      <c r="G33" s="41" t="str" cm="1">
        <f t="array" ref="G33">IF(G11&lt;&gt;"",
   _xlfn.LET(
     _xlpm.txt,
     IF(OR(COUNTIF(G11,"L*"), COUNTIF(G11, "X*")),
        IF(AND(COUNTIF(G11,"*P*"), COUNTIF(G11,"*V*")),
           IF(COUNTIF(G11,"*R*"),
              SUBSTITUTE(SUBSTITUTE(G11,"P",""),"R","S"),
              SUBSTITUTE(G11,"P","")),
           IF(AND(COUNTIF(G11,"*P*"), COUNTIF(G11,"*R*")),
              SUBSTITUTE(G11,"R","S"),
              IF(AND(COUNTIF(G11,"*V*"), COUNTIF(G11,"*R*")),
                 SUBSTITUTE(G11,"R","S"),
                 G11))),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IF(AND(COUNTIF(G11,"*P*"), COUNTIF(G11,"*V*")),
                               IF(COUNTIF(G11,"*R*"),
                                  SUBSTITUTE(SUBSTITUTE(G11,"P",""),"R","S"),
                                  SUBSTITUTE(G11,"P","")),
                               IF(AND(COUNTIF(G11,"*P*"), COUNTIF(G11,"*R*")),
                                  SUBSTITUTE(G11,"R","S"),
                                  IF(AND(COUNTIF(G11,"*V*"), COUNTIF(G11,"*R*")),
                                     SUBSTITUTE(G11,"R","S"),
                                     G11))),
                          "0",""),"1",""),"2",""),"3",""),"4",""),
                      "5",""),"6",""),"7",""),"8",""),"9","")
     ),
     IF(SUM(--ISNUMBER(FIND({0,1,2,3,4,5,6,7,8,9}, _xlpm.txt)))=0,
        _xlpm.txt &amp; Data!BV53,
        _xlpm.txt
     )
   ),
   ""
)</f>
        <v/>
      </c>
      <c r="H33" s="41" t="str" cm="1">
        <f t="array" ref="H33">IF(H11&lt;&gt;"",
   _xlfn.LET(
     _xlpm.txt,
     IF(OR(COUNTIF(H11,"L*"), COUNTIF(H11, "X*")),
        IF(AND(COUNTIF(H11,"*P*"), COUNTIF(H11,"*V*")),
           IF(COUNTIF(H11,"*R*"),
              SUBSTITUTE(SUBSTITUTE(H11,"P",""),"R","S"),
              SUBSTITUTE(H11,"P","")),
           IF(AND(COUNTIF(H11,"*P*"), COUNTIF(H11,"*R*")),
              SUBSTITUTE(H11,"R","S"),
              IF(AND(COUNTIF(H11,"*V*"), COUNTIF(H11,"*R*")),
                 SUBSTITUTE(H11,"R","S"),
                 H11))),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IF(AND(COUNTIF(H11,"*P*"), COUNTIF(H11,"*V*")),
                               IF(COUNTIF(H11,"*R*"),
                                  SUBSTITUTE(SUBSTITUTE(H11,"P",""),"R","S"),
                                  SUBSTITUTE(H11,"P","")),
                               IF(AND(COUNTIF(H11,"*P*"), COUNTIF(H11,"*R*")),
                                  SUBSTITUTE(H11,"R","S"),
                                  IF(AND(COUNTIF(H11,"*V*"), COUNTIF(H11,"*R*")),
                                     SUBSTITUTE(H11,"R","S"),
                                     H11))),
                          "0",""),"1",""),"2",""),"3",""),"4",""),
                      "5",""),"6",""),"7",""),"8",""),"9","")
     ),
     IF(SUM(--ISNUMBER(FIND({0,1,2,3,4,5,6,7,8,9}, _xlpm.txt)))=0,
        _xlpm.txt &amp; Data!BW53,
        _xlpm.txt
     )
   ),
   ""
)</f>
        <v/>
      </c>
      <c r="I33" s="41" t="str" cm="1">
        <f t="array" ref="I33">IF(I11&lt;&gt;"",
   _xlfn.LET(
     _xlpm.txt,
     IF(OR(COUNTIF(I11,"L*"), COUNTIF(I11, "X*")),
        IF(AND(COUNTIF(I11,"*P*"), COUNTIF(I11,"*V*")),
           IF(COUNTIF(I11,"*R*"),
              SUBSTITUTE(SUBSTITUTE(I11,"P",""),"R","S"),
              SUBSTITUTE(I11,"P","")),
           IF(AND(COUNTIF(I11,"*P*"), COUNTIF(I11,"*R*")),
              SUBSTITUTE(I11,"R","S"),
              IF(AND(COUNTIF(I11,"*V*"), COUNTIF(I11,"*R*")),
                 SUBSTITUTE(I11,"R","S"),
                 I11))),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IF(AND(COUNTIF(I11,"*P*"), COUNTIF(I11,"*V*")),
                               IF(COUNTIF(I11,"*R*"),
                                  SUBSTITUTE(SUBSTITUTE(I11,"P",""),"R","S"),
                                  SUBSTITUTE(I11,"P","")),
                               IF(AND(COUNTIF(I11,"*P*"), COUNTIF(I11,"*R*")),
                                  SUBSTITUTE(I11,"R","S"),
                                  IF(AND(COUNTIF(I11,"*V*"), COUNTIF(I11,"*R*")),
                                     SUBSTITUTE(I11,"R","S"),
                                     I11))),
                          "0",""),"1",""),"2",""),"3",""),"4",""),
                      "5",""),"6",""),"7",""),"8",""),"9","")
     ),
     IF(SUM(--ISNUMBER(FIND({0,1,2,3,4,5,6,7,8,9}, _xlpm.txt)))=0,
        _xlpm.txt &amp; Data!BX53,
        _xlpm.txt
     )
   ),
   ""
)</f>
        <v/>
      </c>
      <c r="J33" s="41" t="str" cm="1">
        <f t="array" ref="J33">IF(J11&lt;&gt;"",
   _xlfn.LET(
     _xlpm.txt,
     IF(OR(COUNTIF(J11,"L*"), COUNTIF(J11, "X*")),
        IF(AND(COUNTIF(J11,"*P*"), COUNTIF(J11,"*V*")),
           IF(COUNTIF(J11,"*R*"),
              SUBSTITUTE(SUBSTITUTE(J11,"P",""),"R","S"),
              SUBSTITUTE(J11,"P","")),
           IF(AND(COUNTIF(J11,"*P*"), COUNTIF(J11,"*R*")),
              SUBSTITUTE(J11,"R","S"),
              IF(AND(COUNTIF(J11,"*V*"), COUNTIF(J11,"*R*")),
                 SUBSTITUTE(J11,"R","S"),
                 J11))),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IF(AND(COUNTIF(J11,"*P*"), COUNTIF(J11,"*V*")),
                               IF(COUNTIF(J11,"*R*"),
                                  SUBSTITUTE(SUBSTITUTE(J11,"P",""),"R","S"),
                                  SUBSTITUTE(J11,"P","")),
                               IF(AND(COUNTIF(J11,"*P*"), COUNTIF(J11,"*R*")),
                                  SUBSTITUTE(J11,"R","S"),
                                  IF(AND(COUNTIF(J11,"*V*"), COUNTIF(J11,"*R*")),
                                     SUBSTITUTE(J11,"R","S"),
                                     J11))),
                          "0",""),"1",""),"2",""),"3",""),"4",""),
                      "5",""),"6",""),"7",""),"8",""),"9","")
     ),
     IF(SUM(--ISNUMBER(FIND({0,1,2,3,4,5,6,7,8,9}, _xlpm.txt)))=0,
        _xlpm.txt &amp; Data!BY53,
        _xlpm.txt
     )
   ),
   ""
)</f>
        <v/>
      </c>
      <c r="K33" s="41" t="str" cm="1">
        <f t="array" ref="K33">IF(K11&lt;&gt;"",
   _xlfn.LET(
     _xlpm.txt,
     IF(OR(COUNTIF(K11,"L*"), COUNTIF(K11, "X*")),
        IF(AND(COUNTIF(K11,"*P*"), COUNTIF(K11,"*V*")),
           IF(COUNTIF(K11,"*R*"),
              SUBSTITUTE(SUBSTITUTE(K11,"P",""),"R","S"),
              SUBSTITUTE(K11,"P","")),
           IF(AND(COUNTIF(K11,"*P*"), COUNTIF(K11,"*R*")),
              SUBSTITUTE(K11,"R","S"),
              IF(AND(COUNTIF(K11,"*V*"), COUNTIF(K11,"*R*")),
                 SUBSTITUTE(K11,"R","S"),
                 K11))),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IF(AND(COUNTIF(K11,"*P*"), COUNTIF(K11,"*V*")),
                               IF(COUNTIF(K11,"*R*"),
                                  SUBSTITUTE(SUBSTITUTE(K11,"P",""),"R","S"),
                                  SUBSTITUTE(K11,"P","")),
                               IF(AND(COUNTIF(K11,"*P*"), COUNTIF(K11,"*R*")),
                                  SUBSTITUTE(K11,"R","S"),
                                  IF(AND(COUNTIF(K11,"*V*"), COUNTIF(K11,"*R*")),
                                     SUBSTITUTE(K11,"R","S"),
                                     K11))),
                          "0",""),"1",""),"2",""),"3",""),"4",""),
                      "5",""),"6",""),"7",""),"8",""),"9","")
     ),
     IF(SUM(--ISNUMBER(FIND({0,1,2,3,4,5,6,7,8,9}, _xlpm.txt)))=0,
        _xlpm.txt &amp; Data!BZ53,
        _xlpm.txt
     )
   ),
   ""
)</f>
        <v/>
      </c>
      <c r="L33" s="41" t="str" cm="1">
        <f t="array" ref="L33">IF(L11&lt;&gt;"",
   _xlfn.LET(
     _xlpm.txt,
     IF(OR(COUNTIF(L11,"L*"), COUNTIF(L11, "X*")),
        IF(AND(COUNTIF(L11,"*P*"), COUNTIF(L11,"*V*")),
           IF(COUNTIF(L11,"*R*"),
              SUBSTITUTE(SUBSTITUTE(L11,"P",""),"R","S"),
              SUBSTITUTE(L11,"P","")),
           IF(AND(COUNTIF(L11,"*P*"), COUNTIF(L11,"*R*")),
              SUBSTITUTE(L11,"R","S"),
              IF(AND(COUNTIF(L11,"*V*"), COUNTIF(L11,"*R*")),
                 SUBSTITUTE(L11,"R","S"),
                 L11))),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IF(AND(COUNTIF(L11,"*P*"), COUNTIF(L11,"*V*")),
                               IF(COUNTIF(L11,"*R*"),
                                  SUBSTITUTE(SUBSTITUTE(L11,"P",""),"R","S"),
                                  SUBSTITUTE(L11,"P","")),
                               IF(AND(COUNTIF(L11,"*P*"), COUNTIF(L11,"*R*")),
                                  SUBSTITUTE(L11,"R","S"),
                                  IF(AND(COUNTIF(L11,"*V*"), COUNTIF(L11,"*R*")),
                                     SUBSTITUTE(L11,"R","S"),
                                     L11))),
                          "0",""),"1",""),"2",""),"3",""),"4",""),
                      "5",""),"6",""),"7",""),"8",""),"9","")
     ),
     IF(SUM(--ISNUMBER(FIND({0,1,2,3,4,5,6,7,8,9}, _xlpm.txt)))=0,
        _xlpm.txt &amp; Data!CA53,
        _xlpm.txt
     )
   ),
   ""
)</f>
        <v/>
      </c>
      <c r="M33" s="41" t="str" cm="1">
        <f t="array" ref="M33">IF(M11&lt;&gt;"",
   _xlfn.LET(
     _xlpm.txt,
     IF(OR(COUNTIF(M11,"L*"), COUNTIF(M11, "X*")),
        IF(AND(COUNTIF(M11,"*P*"), COUNTIF(M11,"*V*")),
           IF(COUNTIF(M11,"*R*"),
              SUBSTITUTE(SUBSTITUTE(M11,"P",""),"R","S"),
              SUBSTITUTE(M11,"P","")),
           IF(AND(COUNTIF(M11,"*P*"), COUNTIF(M11,"*R*")),
              SUBSTITUTE(M11,"R","S"),
              IF(AND(COUNTIF(M11,"*V*"), COUNTIF(M11,"*R*")),
                 SUBSTITUTE(M11,"R","S"),
                 M11))),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IF(AND(COUNTIF(M11,"*P*"), COUNTIF(M11,"*V*")),
                               IF(COUNTIF(M11,"*R*"),
                                  SUBSTITUTE(SUBSTITUTE(M11,"P",""),"R","S"),
                                  SUBSTITUTE(M11,"P","")),
                               IF(AND(COUNTIF(M11,"*P*"), COUNTIF(M11,"*R*")),
                                  SUBSTITUTE(M11,"R","S"),
                                  IF(AND(COUNTIF(M11,"*V*"), COUNTIF(M11,"*R*")),
                                     SUBSTITUTE(M11,"R","S"),
                                     M11))),
                          "0",""),"1",""),"2",""),"3",""),"4",""),
                      "5",""),"6",""),"7",""),"8",""),"9","")
     ),
     IF(SUM(--ISNUMBER(FIND({0,1,2,3,4,5,6,7,8,9}, _xlpm.txt)))=0,
        _xlpm.txt &amp; Data!CB53,
        _xlpm.txt
     )
   ),
   ""
)</f>
        <v/>
      </c>
      <c r="N33" s="41" t="str" cm="1">
        <f t="array" ref="N33">IF(N11&lt;&gt;"",
   _xlfn.LET(
     _xlpm.txt,
     IF(OR(COUNTIF(N11,"L*"), COUNTIF(N11, "X*")),
        IF(AND(COUNTIF(N11,"*P*"), COUNTIF(N11,"*V*")),
           IF(COUNTIF(N11,"*R*"),
              SUBSTITUTE(SUBSTITUTE(N11,"P",""),"R","S"),
              SUBSTITUTE(N11,"P","")),
           IF(AND(COUNTIF(N11,"*P*"), COUNTIF(N11,"*R*")),
              SUBSTITUTE(N11,"R","S"),
              IF(AND(COUNTIF(N11,"*V*"), COUNTIF(N11,"*R*")),
                 SUBSTITUTE(N11,"R","S"),
                 N11))),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IF(AND(COUNTIF(N11,"*P*"), COUNTIF(N11,"*V*")),
                               IF(COUNTIF(N11,"*R*"),
                                  SUBSTITUTE(SUBSTITUTE(N11,"P",""),"R","S"),
                                  SUBSTITUTE(N11,"P","")),
                               IF(AND(COUNTIF(N11,"*P*"), COUNTIF(N11,"*R*")),
                                  SUBSTITUTE(N11,"R","S"),
                                  IF(AND(COUNTIF(N11,"*V*"), COUNTIF(N11,"*R*")),
                                     SUBSTITUTE(N11,"R","S"),
                                     N11))),
                          "0",""),"1",""),"2",""),"3",""),"4",""),
                      "5",""),"6",""),"7",""),"8",""),"9","")
     ),
     IF(SUM(--ISNUMBER(FIND({0,1,2,3,4,5,6,7,8,9}, _xlpm.txt)))=0,
        _xlpm.txt &amp; Data!CC53,
        _xlpm.txt
     )
   ),
   ""
)</f>
        <v/>
      </c>
      <c r="O33" s="41" t="str" cm="1">
        <f t="array" ref="O33">IF(O11&lt;&gt;"",
   _xlfn.LET(
     _xlpm.txt,
     IF(OR(COUNTIF(O11,"L*"), COUNTIF(O11, "X*")),
        IF(AND(COUNTIF(O11,"*P*"), COUNTIF(O11,"*V*")),
           IF(COUNTIF(O11,"*R*"),
              SUBSTITUTE(SUBSTITUTE(O11,"P",""),"R","S"),
              SUBSTITUTE(O11,"P","")),
           IF(AND(COUNTIF(O11,"*P*"), COUNTIF(O11,"*R*")),
              SUBSTITUTE(O11,"R","S"),
              IF(AND(COUNTIF(O11,"*V*"), COUNTIF(O11,"*R*")),
                 SUBSTITUTE(O11,"R","S"),
                 O11))),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IF(AND(COUNTIF(O11,"*P*"), COUNTIF(O11,"*V*")),
                               IF(COUNTIF(O11,"*R*"),
                                  SUBSTITUTE(SUBSTITUTE(O11,"P",""),"R","S"),
                                  SUBSTITUTE(O11,"P","")),
                               IF(AND(COUNTIF(O11,"*P*"), COUNTIF(O11,"*R*")),
                                  SUBSTITUTE(O11,"R","S"),
                                  IF(AND(COUNTIF(O11,"*V*"), COUNTIF(O11,"*R*")),
                                     SUBSTITUTE(O11,"R","S"),
                                     O11))),
                          "0",""),"1",""),"2",""),"3",""),"4",""),
                      "5",""),"6",""),"7",""),"8",""),"9","")
     ),
     IF(SUM(--ISNUMBER(FIND({0,1,2,3,4,5,6,7,8,9}, _xlpm.txt)))=0,
        _xlpm.txt &amp; Data!CD53,
        _xlpm.txt
     )
   ),
   ""
)</f>
        <v/>
      </c>
      <c r="P33" s="41" t="str" cm="1">
        <f t="array" ref="P33">IF(P11&lt;&gt;"",
   _xlfn.LET(
     _xlpm.txt,
     IF(OR(COUNTIF(P11,"L*"), COUNTIF(P11, "X*")),
        IF(AND(COUNTIF(P11,"*P*"), COUNTIF(P11,"*V*")),
           IF(COUNTIF(P11,"*R*"),
              SUBSTITUTE(SUBSTITUTE(P11,"P",""),"R","S"),
              SUBSTITUTE(P11,"P","")),
           IF(AND(COUNTIF(P11,"*P*"), COUNTIF(P11,"*R*")),
              SUBSTITUTE(P11,"R","S"),
              IF(AND(COUNTIF(P11,"*V*"), COUNTIF(P11,"*R*")),
                 SUBSTITUTE(P11,"R","S"),
                 P11))),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IF(AND(COUNTIF(P11,"*P*"), COUNTIF(P11,"*V*")),
                               IF(COUNTIF(P11,"*R*"),
                                  SUBSTITUTE(SUBSTITUTE(P11,"P",""),"R","S"),
                                  SUBSTITUTE(P11,"P","")),
                               IF(AND(COUNTIF(P11,"*P*"), COUNTIF(P11,"*R*")),
                                  SUBSTITUTE(P11,"R","S"),
                                  IF(AND(COUNTIF(P11,"*V*"), COUNTIF(P11,"*R*")),
                                     SUBSTITUTE(P11,"R","S"),
                                     P11))),
                          "0",""),"1",""),"2",""),"3",""),"4",""),
                      "5",""),"6",""),"7",""),"8",""),"9","")
     ),
     IF(SUM(--ISNUMBER(FIND({0,1,2,3,4,5,6,7,8,9}, _xlpm.txt)))=0,
        _xlpm.txt &amp; Data!CE53,
        _xlpm.txt
     )
   ),
   ""
)</f>
        <v/>
      </c>
      <c r="Q33" s="41" t="str" cm="1">
        <f t="array" ref="Q33">IF(Q11&lt;&gt;"",
   _xlfn.LET(
     _xlpm.txt,
     IF(OR(COUNTIF(Q11,"L*"), COUNTIF(Q11, "X*")),
        IF(AND(COUNTIF(Q11,"*P*"), COUNTIF(Q11,"*V*")),
           IF(COUNTIF(Q11,"*R*"),
              SUBSTITUTE(SUBSTITUTE(Q11,"P",""),"R","S"),
              SUBSTITUTE(Q11,"P","")),
           IF(AND(COUNTIF(Q11,"*P*"), COUNTIF(Q11,"*R*")),
              SUBSTITUTE(Q11,"R","S"),
              IF(AND(COUNTIF(Q11,"*V*"), COUNTIF(Q11,"*R*")),
                 SUBSTITUTE(Q11,"R","S"),
                 Q11))),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IF(AND(COUNTIF(Q11,"*P*"), COUNTIF(Q11,"*V*")),
                               IF(COUNTIF(Q11,"*R*"),
                                  SUBSTITUTE(SUBSTITUTE(Q11,"P",""),"R","S"),
                                  SUBSTITUTE(Q11,"P","")),
                               IF(AND(COUNTIF(Q11,"*P*"), COUNTIF(Q11,"*R*")),
                                  SUBSTITUTE(Q11,"R","S"),
                                  IF(AND(COUNTIF(Q11,"*V*"), COUNTIF(Q11,"*R*")),
                                     SUBSTITUTE(Q11,"R","S"),
                                     Q11))),
                          "0",""),"1",""),"2",""),"3",""),"4",""),
                      "5",""),"6",""),"7",""),"8",""),"9","")
     ),
     IF(SUM(--ISNUMBER(FIND({0,1,2,3,4,5,6,7,8,9}, _xlpm.txt)))=0,
        _xlpm.txt &amp; Data!CF53,
        _xlpm.txt
     )
   ),
   ""
)</f>
        <v/>
      </c>
      <c r="R33" s="41" t="str" cm="1">
        <f t="array" ref="R33">IF(R11&lt;&gt;"",
   _xlfn.LET(
     _xlpm.txt,
     IF(OR(COUNTIF(R11,"L*"), COUNTIF(R11, "X*")),
        IF(AND(COUNTIF(R11,"*P*"), COUNTIF(R11,"*V*")),
           IF(COUNTIF(R11,"*R*"),
              SUBSTITUTE(SUBSTITUTE(R11,"P",""),"R","S"),
              SUBSTITUTE(R11,"P","")),
           IF(AND(COUNTIF(R11,"*P*"), COUNTIF(R11,"*R*")),
              SUBSTITUTE(R11,"R","S"),
              IF(AND(COUNTIF(R11,"*V*"), COUNTIF(R11,"*R*")),
                 SUBSTITUTE(R11,"R","S"),
                 R11))),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IF(AND(COUNTIF(R11,"*P*"), COUNTIF(R11,"*V*")),
                               IF(COUNTIF(R11,"*R*"),
                                  SUBSTITUTE(SUBSTITUTE(R11,"P",""),"R","S"),
                                  SUBSTITUTE(R11,"P","")),
                               IF(AND(COUNTIF(R11,"*P*"), COUNTIF(R11,"*R*")),
                                  SUBSTITUTE(R11,"R","S"),
                                  IF(AND(COUNTIF(R11,"*V*"), COUNTIF(R11,"*R*")),
                                     SUBSTITUTE(R11,"R","S"),
                                     R11))),
                          "0",""),"1",""),"2",""),"3",""),"4",""),
                      "5",""),"6",""),"7",""),"8",""),"9","")
     ),
     IF(SUM(--ISNUMBER(FIND({0,1,2,3,4,5,6,7,8,9}, _xlpm.txt)))=0,
        _xlpm.txt &amp; Data!CG53,
        _xlpm.txt
     )
   ),
   ""
)</f>
        <v/>
      </c>
      <c r="S33" s="41" t="str" cm="1">
        <f t="array" ref="S33">IF(S11&lt;&gt;"",
   _xlfn.LET(
     _xlpm.txt,
     IF(OR(COUNTIF(S11,"L*"), COUNTIF(S11, "X*")),
        IF(AND(COUNTIF(S11,"*P*"), COUNTIF(S11,"*V*")),
           IF(COUNTIF(S11,"*R*"),
              SUBSTITUTE(SUBSTITUTE(S11,"P",""),"R","S"),
              SUBSTITUTE(S11,"P","")),
           IF(AND(COUNTIF(S11,"*P*"), COUNTIF(S11,"*R*")),
              SUBSTITUTE(S11,"R","S"),
              IF(AND(COUNTIF(S11,"*V*"), COUNTIF(S11,"*R*")),
                 SUBSTITUTE(S11,"R","S"),
                 S11))),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IF(AND(COUNTIF(S11,"*P*"), COUNTIF(S11,"*V*")),
                               IF(COUNTIF(S11,"*R*"),
                                  SUBSTITUTE(SUBSTITUTE(S11,"P",""),"R","S"),
                                  SUBSTITUTE(S11,"P","")),
                               IF(AND(COUNTIF(S11,"*P*"), COUNTIF(S11,"*R*")),
                                  SUBSTITUTE(S11,"R","S"),
                                  IF(AND(COUNTIF(S11,"*V*"), COUNTIF(S11,"*R*")),
                                     SUBSTITUTE(S11,"R","S"),
                                     S11))),
                          "0",""),"1",""),"2",""),"3",""),"4",""),
                      "5",""),"6",""),"7",""),"8",""),"9","")
     ),
     IF(SUM(--ISNUMBER(FIND({0,1,2,3,4,5,6,7,8,9}, _xlpm.txt)))=0,
        _xlpm.txt &amp; Data!CH53,
        _xlpm.txt
     )
   ),
   ""
)</f>
        <v/>
      </c>
      <c r="T33" s="41" t="str" cm="1">
        <f t="array" ref="T33">IF(T11&lt;&gt;"",
   _xlfn.LET(
     _xlpm.txt,
     IF(OR(COUNTIF(T11,"L*"), COUNTIF(T11, "X*")),
        IF(AND(COUNTIF(T11,"*P*"), COUNTIF(T11,"*V*")),
           IF(COUNTIF(T11,"*R*"),
              SUBSTITUTE(SUBSTITUTE(T11,"P",""),"R","S"),
              SUBSTITUTE(T11,"P","")),
           IF(AND(COUNTIF(T11,"*P*"), COUNTIF(T11,"*R*")),
              SUBSTITUTE(T11,"R","S"),
              IF(AND(COUNTIF(T11,"*V*"), COUNTIF(T11,"*R*")),
                 SUBSTITUTE(T11,"R","S"),
                 T11))),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IF(AND(COUNTIF(T11,"*P*"), COUNTIF(T11,"*V*")),
                               IF(COUNTIF(T11,"*R*"),
                                  SUBSTITUTE(SUBSTITUTE(T11,"P",""),"R","S"),
                                  SUBSTITUTE(T11,"P","")),
                               IF(AND(COUNTIF(T11,"*P*"), COUNTIF(T11,"*R*")),
                                  SUBSTITUTE(T11,"R","S"),
                                  IF(AND(COUNTIF(T11,"*V*"), COUNTIF(T11,"*R*")),
                                     SUBSTITUTE(T11,"R","S"),
                                     T11))),
                          "0",""),"1",""),"2",""),"3",""),"4",""),
                      "5",""),"6",""),"7",""),"8",""),"9","")
     ),
     IF(SUM(--ISNUMBER(FIND({0,1,2,3,4,5,6,7,8,9}, _xlpm.txt)))=0,
        _xlpm.txt &amp; Data!CI53,
        _xlpm.txt
     )
   ),
   ""
)</f>
        <v/>
      </c>
      <c r="U33" s="41" t="str" cm="1">
        <f t="array" ref="U33">IF(U11&lt;&gt;"",
   _xlfn.LET(
     _xlpm.txt,
     IF(OR(COUNTIF(U11,"L*"), COUNTIF(U11, "X*")),
        IF(AND(COUNTIF(U11,"*P*"), COUNTIF(U11,"*V*")),
           IF(COUNTIF(U11,"*R*"),
              SUBSTITUTE(SUBSTITUTE(U11,"P",""),"R","S"),
              SUBSTITUTE(U11,"P","")),
           IF(AND(COUNTIF(U11,"*P*"), COUNTIF(U11,"*R*")),
              SUBSTITUTE(U11,"R","S"),
              IF(AND(COUNTIF(U11,"*V*"), COUNTIF(U11,"*R*")),
                 SUBSTITUTE(U11,"R","S"),
                 U11))),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IF(AND(COUNTIF(U11,"*P*"), COUNTIF(U11,"*V*")),
                               IF(COUNTIF(U11,"*R*"),
                                  SUBSTITUTE(SUBSTITUTE(U11,"P",""),"R","S"),
                                  SUBSTITUTE(U11,"P","")),
                               IF(AND(COUNTIF(U11,"*P*"), COUNTIF(U11,"*R*")),
                                  SUBSTITUTE(U11,"R","S"),
                                  IF(AND(COUNTIF(U11,"*V*"), COUNTIF(U11,"*R*")),
                                     SUBSTITUTE(U11,"R","S"),
                                     U11))),
                          "0",""),"1",""),"2",""),"3",""),"4",""),
                      "5",""),"6",""),"7",""),"8",""),"9","")
     ),
     IF(SUM(--ISNUMBER(FIND({0,1,2,3,4,5,6,7,8,9}, _xlpm.txt)))=0,
        _xlpm.txt &amp; Data!CJ53,
        _xlpm.txt
     )
   ),
   ""
)</f>
        <v/>
      </c>
      <c r="V33" s="41" t="str" cm="1">
        <f t="array" ref="V33">IF(V11&lt;&gt;"",
   _xlfn.LET(
     _xlpm.txt,
     IF(OR(COUNTIF(V11,"L*"), COUNTIF(V11, "X*")),
        IF(AND(COUNTIF(V11,"*P*"), COUNTIF(V11,"*V*")),
           IF(COUNTIF(V11,"*R*"),
              SUBSTITUTE(SUBSTITUTE(V11,"P",""),"R","S"),
              SUBSTITUTE(V11,"P","")),
           IF(AND(COUNTIF(V11,"*P*"), COUNTIF(V11,"*R*")),
              SUBSTITUTE(V11,"R","S"),
              IF(AND(COUNTIF(V11,"*V*"), COUNTIF(V11,"*R*")),
                 SUBSTITUTE(V11,"R","S"),
                 V11))),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IF(AND(COUNTIF(V11,"*P*"), COUNTIF(V11,"*V*")),
                               IF(COUNTIF(V11,"*R*"),
                                  SUBSTITUTE(SUBSTITUTE(V11,"P",""),"R","S"),
                                  SUBSTITUTE(V11,"P","")),
                               IF(AND(COUNTIF(V11,"*P*"), COUNTIF(V11,"*R*")),
                                  SUBSTITUTE(V11,"R","S"),
                                  IF(AND(COUNTIF(V11,"*V*"), COUNTIF(V11,"*R*")),
                                     SUBSTITUTE(V11,"R","S"),
                                     V11))),
                          "0",""),"1",""),"2",""),"3",""),"4",""),
                      "5",""),"6",""),"7",""),"8",""),"9","")
     ),
     IF(SUM(--ISNUMBER(FIND({0,1,2,3,4,5,6,7,8,9}, _xlpm.txt)))=0,
        _xlpm.txt &amp; Data!CK53,
        _xlpm.txt
     )
   ),
   ""
)</f>
        <v/>
      </c>
      <c r="W33" s="41" t="str" cm="1">
        <f t="array" ref="W33">IF(W11&lt;&gt;"",
   _xlfn.LET(
     _xlpm.txt,
     IF(OR(COUNTIF(W11,"L*"), COUNTIF(W11, "X*")),
        IF(AND(COUNTIF(W11,"*P*"), COUNTIF(W11,"*V*")),
           IF(COUNTIF(W11,"*R*"),
              SUBSTITUTE(SUBSTITUTE(W11,"P",""),"R","S"),
              SUBSTITUTE(W11,"P","")),
           IF(AND(COUNTIF(W11,"*P*"), COUNTIF(W11,"*R*")),
              SUBSTITUTE(W11,"R","S"),
              IF(AND(COUNTIF(W11,"*V*"), COUNTIF(W11,"*R*")),
                 SUBSTITUTE(W11,"R","S"),
                 W11))),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IF(AND(COUNTIF(W11,"*P*"), COUNTIF(W11,"*V*")),
                               IF(COUNTIF(W11,"*R*"),
                                  SUBSTITUTE(SUBSTITUTE(W11,"P",""),"R","S"),
                                  SUBSTITUTE(W11,"P","")),
                               IF(AND(COUNTIF(W11,"*P*"), COUNTIF(W11,"*R*")),
                                  SUBSTITUTE(W11,"R","S"),
                                  IF(AND(COUNTIF(W11,"*V*"), COUNTIF(W11,"*R*")),
                                     SUBSTITUTE(W11,"R","S"),
                                     W11))),
                          "0",""),"1",""),"2",""),"3",""),"4",""),
                      "5",""),"6",""),"7",""),"8",""),"9","")
     ),
     IF(SUM(--ISNUMBER(FIND({0,1,2,3,4,5,6,7,8,9}, _xlpm.txt)))=0,
        _xlpm.txt &amp; Data!CL53,
        _xlpm.txt
     )
   ),
   ""
)</f>
        <v/>
      </c>
      <c r="X33" s="41" t="str" cm="1">
        <f t="array" ref="X33">IF(X11&lt;&gt;"",
   _xlfn.LET(
     _xlpm.txt,
     IF(OR(COUNTIF(X11,"L*"), COUNTIF(X11, "X*")),
        IF(AND(COUNTIF(X11,"*P*"), COUNTIF(X11,"*V*")),
           IF(COUNTIF(X11,"*R*"),
              SUBSTITUTE(SUBSTITUTE(X11,"P",""),"R","S"),
              SUBSTITUTE(X11,"P","")),
           IF(AND(COUNTIF(X11,"*P*"), COUNTIF(X11,"*R*")),
              SUBSTITUTE(X11,"R","S"),
              IF(AND(COUNTIF(X11,"*V*"), COUNTIF(X11,"*R*")),
                 SUBSTITUTE(X11,"R","S"),
                 X11))),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IF(AND(COUNTIF(X11,"*P*"), COUNTIF(X11,"*V*")),
                               IF(COUNTIF(X11,"*R*"),
                                  SUBSTITUTE(SUBSTITUTE(X11,"P",""),"R","S"),
                                  SUBSTITUTE(X11,"P","")),
                               IF(AND(COUNTIF(X11,"*P*"), COUNTIF(X11,"*R*")),
                                  SUBSTITUTE(X11,"R","S"),
                                  IF(AND(COUNTIF(X11,"*V*"), COUNTIF(X11,"*R*")),
                                     SUBSTITUTE(X11,"R","S"),
                                     X11))),
                          "0",""),"1",""),"2",""),"3",""),"4",""),
                      "5",""),"6",""),"7",""),"8",""),"9","")
     ),
     IF(SUM(--ISNUMBER(FIND({0,1,2,3,4,5,6,7,8,9}, _xlpm.txt)))=0,
        _xlpm.txt &amp; Data!CM53,
        _xlpm.txt
     )
   ),
   ""
)</f>
        <v/>
      </c>
      <c r="Y33" s="41" t="str" cm="1">
        <f t="array" ref="Y33">IF(Y11&lt;&gt;"",
   _xlfn.LET(
     _xlpm.txt,
     IF(OR(COUNTIF(Y11,"L*"), COUNTIF(Y11, "X*")),
        IF(AND(COUNTIF(Y11,"*P*"), COUNTIF(Y11,"*V*")),
           IF(COUNTIF(Y11,"*R*"),
              SUBSTITUTE(SUBSTITUTE(Y11,"P",""),"R","S"),
              SUBSTITUTE(Y11,"P","")),
           IF(AND(COUNTIF(Y11,"*P*"), COUNTIF(Y11,"*R*")),
              SUBSTITUTE(Y11,"R","S"),
              IF(AND(COUNTIF(Y11,"*V*"), COUNTIF(Y11,"*R*")),
                 SUBSTITUTE(Y11,"R","S"),
                 Y11))),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IF(AND(COUNTIF(Y11,"*P*"), COUNTIF(Y11,"*V*")),
                               IF(COUNTIF(Y11,"*R*"),
                                  SUBSTITUTE(SUBSTITUTE(Y11,"P",""),"R","S"),
                                  SUBSTITUTE(Y11,"P","")),
                               IF(AND(COUNTIF(Y11,"*P*"), COUNTIF(Y11,"*R*")),
                                  SUBSTITUTE(Y11,"R","S"),
                                  IF(AND(COUNTIF(Y11,"*V*"), COUNTIF(Y11,"*R*")),
                                     SUBSTITUTE(Y11,"R","S"),
                                     Y11))),
                          "0",""),"1",""),"2",""),"3",""),"4",""),
                      "5",""),"6",""),"7",""),"8",""),"9","")
     ),
     IF(SUM(--ISNUMBER(FIND({0,1,2,3,4,5,6,7,8,9}, _xlpm.txt)))=0,
        _xlpm.txt &amp; Data!CN53,
        _xlpm.txt
     )
   ),
   ""
)</f>
        <v/>
      </c>
      <c r="Z33" s="41" t="str" cm="1">
        <f t="array" ref="Z33">IF(Z11&lt;&gt;"",
   _xlfn.LET(
     _xlpm.txt,
     IF(OR(COUNTIF(Z11,"L*"), COUNTIF(Z11, "X*")),
        IF(AND(COUNTIF(Z11,"*P*"), COUNTIF(Z11,"*V*")),
           IF(COUNTIF(Z11,"*R*"),
              SUBSTITUTE(SUBSTITUTE(Z11,"P",""),"R","S"),
              SUBSTITUTE(Z11,"P","")),
           IF(AND(COUNTIF(Z11,"*P*"), COUNTIF(Z11,"*R*")),
              SUBSTITUTE(Z11,"R","S"),
              IF(AND(COUNTIF(Z11,"*V*"), COUNTIF(Z11,"*R*")),
                 SUBSTITUTE(Z11,"R","S"),
                 Z11))),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IF(AND(COUNTIF(Z11,"*P*"), COUNTIF(Z11,"*V*")),
                               IF(COUNTIF(Z11,"*R*"),
                                  SUBSTITUTE(SUBSTITUTE(Z11,"P",""),"R","S"),
                                  SUBSTITUTE(Z11,"P","")),
                               IF(AND(COUNTIF(Z11,"*P*"), COUNTIF(Z11,"*R*")),
                                  SUBSTITUTE(Z11,"R","S"),
                                  IF(AND(COUNTIF(Z11,"*V*"), COUNTIF(Z11,"*R*")),
                                     SUBSTITUTE(Z11,"R","S"),
                                     Z11))),
                          "0",""),"1",""),"2",""),"3",""),"4",""),
                      "5",""),"6",""),"7",""),"8",""),"9","")
     ),
     IF(SUM(--ISNUMBER(FIND({0,1,2,3,4,5,6,7,8,9}, _xlpm.txt)))=0,
        _xlpm.txt &amp; Data!CO53,
        _xlpm.txt
     )
   ),
   ""
)</f>
        <v/>
      </c>
      <c r="AA33" s="41" t="str" cm="1">
        <f t="array" ref="AA33">IF(AA11&lt;&gt;"",
   _xlfn.LET(
     _xlpm.txt,
     IF(OR(COUNTIF(AA11,"L*"), COUNTIF(AA11, "X*")),
        IF(AND(COUNTIF(AA11,"*P*"), COUNTIF(AA11,"*V*")),
           IF(COUNTIF(AA11,"*R*"),
              SUBSTITUTE(SUBSTITUTE(AA11,"P",""),"R","S"),
              SUBSTITUTE(AA11,"P","")),
           IF(AND(COUNTIF(AA11,"*P*"), COUNTIF(AA11,"*R*")),
              SUBSTITUTE(AA11,"R","S"),
              IF(AND(COUNTIF(AA11,"*V*"), COUNTIF(AA11,"*R*")),
                 SUBSTITUTE(AA11,"R","S"),
                 AA11))),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IF(AND(COUNTIF(AA11,"*P*"), COUNTIF(AA11,"*V*")),
                               IF(COUNTIF(AA11,"*R*"),
                                  SUBSTITUTE(SUBSTITUTE(AA11,"P",""),"R","S"),
                                  SUBSTITUTE(AA11,"P","")),
                               IF(AND(COUNTIF(AA11,"*P*"), COUNTIF(AA11,"*R*")),
                                  SUBSTITUTE(AA11,"R","S"),
                                  IF(AND(COUNTIF(AA11,"*V*"), COUNTIF(AA11,"*R*")),
                                     SUBSTITUTE(AA11,"R","S"),
                                     AA11))),
                          "0",""),"1",""),"2",""),"3",""),"4",""),
                      "5",""),"6",""),"7",""),"8",""),"9","")
     ),
     IF(SUM(--ISNUMBER(FIND({0,1,2,3,4,5,6,7,8,9}, _xlpm.txt)))=0,
        _xlpm.txt &amp; Data!CP53,
        _xlpm.txt
     )
   ),
   ""
)</f>
        <v/>
      </c>
      <c r="AB33" s="41" t="str" cm="1">
        <f t="array" ref="AB33">IF(AB11&lt;&gt;"",
   _xlfn.LET(
     _xlpm.txt,
     IF(OR(COUNTIF(AB11,"L*"), COUNTIF(AB11, "X*")),
        IF(AND(COUNTIF(AB11,"*P*"), COUNTIF(AB11,"*V*")),
           IF(COUNTIF(AB11,"*R*"),
              SUBSTITUTE(SUBSTITUTE(AB11,"P",""),"R","S"),
              SUBSTITUTE(AB11,"P","")),
           IF(AND(COUNTIF(AB11,"*P*"), COUNTIF(AB11,"*R*")),
              SUBSTITUTE(AB11,"R","S"),
              IF(AND(COUNTIF(AB11,"*V*"), COUNTIF(AB11,"*R*")),
                 SUBSTITUTE(AB11,"R","S"),
                 AB11))),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IF(AND(COUNTIF(AB11,"*P*"), COUNTIF(AB11,"*V*")),
                               IF(COUNTIF(AB11,"*R*"),
                                  SUBSTITUTE(SUBSTITUTE(AB11,"P",""),"R","S"),
                                  SUBSTITUTE(AB11,"P","")),
                               IF(AND(COUNTIF(AB11,"*P*"), COUNTIF(AB11,"*R*")),
                                  SUBSTITUTE(AB11,"R","S"),
                                  IF(AND(COUNTIF(AB11,"*V*"), COUNTIF(AB11,"*R*")),
                                     SUBSTITUTE(AB11,"R","S"),
                                     AB11))),
                          "0",""),"1",""),"2",""),"3",""),"4",""),
                      "5",""),"6",""),"7",""),"8",""),"9","")
     ),
     IF(SUM(--ISNUMBER(FIND({0,1,2,3,4,5,6,7,8,9}, _xlpm.txt)))=0,
        _xlpm.txt &amp; Data!CQ53,
        _xlpm.txt
     )
   ),
   ""
)</f>
        <v/>
      </c>
      <c r="AC33" s="41" t="str" cm="1">
        <f t="array" ref="AC33">IF(AC11&lt;&gt;"",
   _xlfn.LET(
     _xlpm.txt,
     IF(OR(COUNTIF(AC11,"L*"), COUNTIF(AC11, "X*")),
        IF(AND(COUNTIF(AC11,"*P*"), COUNTIF(AC11,"*V*")),
           IF(COUNTIF(AC11,"*R*"),
              SUBSTITUTE(SUBSTITUTE(AC11,"P",""),"R","S"),
              SUBSTITUTE(AC11,"P","")),
           IF(AND(COUNTIF(AC11,"*P*"), COUNTIF(AC11,"*R*")),
              SUBSTITUTE(AC11,"R","S"),
              IF(AND(COUNTIF(AC11,"*V*"), COUNTIF(AC11,"*R*")),
                 SUBSTITUTE(AC11,"R","S"),
                 AC11))),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IF(AND(COUNTIF(AC11,"*P*"), COUNTIF(AC11,"*V*")),
                               IF(COUNTIF(AC11,"*R*"),
                                  SUBSTITUTE(SUBSTITUTE(AC11,"P",""),"R","S"),
                                  SUBSTITUTE(AC11,"P","")),
                               IF(AND(COUNTIF(AC11,"*P*"), COUNTIF(AC11,"*R*")),
                                  SUBSTITUTE(AC11,"R","S"),
                                  IF(AND(COUNTIF(AC11,"*V*"), COUNTIF(AC11,"*R*")),
                                     SUBSTITUTE(AC11,"R","S"),
                                     AC11))),
                          "0",""),"1",""),"2",""),"3",""),"4",""),
                      "5",""),"6",""),"7",""),"8",""),"9","")
     ),
     IF(SUM(--ISNUMBER(FIND({0,1,2,3,4,5,6,7,8,9}, _xlpm.txt)))=0,
        _xlpm.txt &amp; Data!CR53,
        _xlpm.txt
     )
   ),
   ""
)</f>
        <v/>
      </c>
      <c r="AD33" s="41" t="str" cm="1">
        <f t="array" ref="AD33">IF(AD11&lt;&gt;"",
   _xlfn.LET(
     _xlpm.txt,
     IF(OR(COUNTIF(AD11,"L*"), COUNTIF(AD11, "X*")),
        IF(AND(COUNTIF(AD11,"*P*"), COUNTIF(AD11,"*V*")),
           IF(COUNTIF(AD11,"*R*"),
              SUBSTITUTE(SUBSTITUTE(AD11,"P",""),"R","S"),
              SUBSTITUTE(AD11,"P","")),
           IF(AND(COUNTIF(AD11,"*P*"), COUNTIF(AD11,"*R*")),
              SUBSTITUTE(AD11,"R","S"),
              IF(AND(COUNTIF(AD11,"*V*"), COUNTIF(AD11,"*R*")),
                 SUBSTITUTE(AD11,"R","S"),
                 AD11))),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IF(AND(COUNTIF(AD11,"*P*"), COUNTIF(AD11,"*V*")),
                               IF(COUNTIF(AD11,"*R*"),
                                  SUBSTITUTE(SUBSTITUTE(AD11,"P",""),"R","S"),
                                  SUBSTITUTE(AD11,"P","")),
                               IF(AND(COUNTIF(AD11,"*P*"), COUNTIF(AD11,"*R*")),
                                  SUBSTITUTE(AD11,"R","S"),
                                  IF(AND(COUNTIF(AD11,"*V*"), COUNTIF(AD11,"*R*")),
                                     SUBSTITUTE(AD11,"R","S"),
                                     AD11))),
                          "0",""),"1",""),"2",""),"3",""),"4",""),
                      "5",""),"6",""),"7",""),"8",""),"9","")
     ),
     IF(SUM(--ISNUMBER(FIND({0,1,2,3,4,5,6,7,8,9}, _xlpm.txt)))=0,
        _xlpm.txt &amp; Data!CS53,
        _xlpm.txt
     )
   ),
   ""
)</f>
        <v/>
      </c>
      <c r="AE33" s="41" t="str" cm="1">
        <f t="array" ref="AE33">IF(AE11&lt;&gt;"",
   _xlfn.LET(
     _xlpm.txt,
     IF(OR(COUNTIF(AE11,"L*"), COUNTIF(AE11, "X*")),
        IF(AND(COUNTIF(AE11,"*P*"), COUNTIF(AE11,"*V*")),
           IF(COUNTIF(AE11,"*R*"),
              SUBSTITUTE(SUBSTITUTE(AE11,"P",""),"R","S"),
              SUBSTITUTE(AE11,"P","")),
           IF(AND(COUNTIF(AE11,"*P*"), COUNTIF(AE11,"*R*")),
              SUBSTITUTE(AE11,"R","S"),
              IF(AND(COUNTIF(AE11,"*V*"), COUNTIF(AE11,"*R*")),
                 SUBSTITUTE(AE11,"R","S"),
                 AE11))),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IF(AND(COUNTIF(AE11,"*P*"), COUNTIF(AE11,"*V*")),
                               IF(COUNTIF(AE11,"*R*"),
                                  SUBSTITUTE(SUBSTITUTE(AE11,"P",""),"R","S"),
                                  SUBSTITUTE(AE11,"P","")),
                               IF(AND(COUNTIF(AE11,"*P*"), COUNTIF(AE11,"*R*")),
                                  SUBSTITUTE(AE11,"R","S"),
                                  IF(AND(COUNTIF(AE11,"*V*"), COUNTIF(AE11,"*R*")),
                                     SUBSTITUTE(AE11,"R","S"),
                                     AE11))),
                          "0",""),"1",""),"2",""),"3",""),"4",""),
                      "5",""),"6",""),"7",""),"8",""),"9","")
     ),
     IF(SUM(--ISNUMBER(FIND({0,1,2,3,4,5,6,7,8,9}, _xlpm.txt)))=0,
        _xlpm.txt &amp; Data!CT53,
        _xlpm.txt
     )
   ),
   ""
)</f>
        <v/>
      </c>
      <c r="AF33" s="41" t="str" cm="1">
        <f t="array" ref="AF33">IF(AF11&lt;&gt;"",
   _xlfn.LET(
     _xlpm.txt,
     IF(OR(COUNTIF(AF11,"L*"), COUNTIF(AF11, "X*")),
        IF(AND(COUNTIF(AF11,"*P*"), COUNTIF(AF11,"*V*")),
           IF(COUNTIF(AF11,"*R*"),
              SUBSTITUTE(SUBSTITUTE(AF11,"P",""),"R","S"),
              SUBSTITUTE(AF11,"P","")),
           IF(AND(COUNTIF(AF11,"*P*"), COUNTIF(AF11,"*R*")),
              SUBSTITUTE(AF11,"R","S"),
              IF(AND(COUNTIF(AF11,"*V*"), COUNTIF(AF11,"*R*")),
                 SUBSTITUTE(AF11,"R","S"),
                 AF11))),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IF(AND(COUNTIF(AF11,"*P*"), COUNTIF(AF11,"*V*")),
                               IF(COUNTIF(AF11,"*R*"),
                                  SUBSTITUTE(SUBSTITUTE(AF11,"P",""),"R","S"),
                                  SUBSTITUTE(AF11,"P","")),
                               IF(AND(COUNTIF(AF11,"*P*"), COUNTIF(AF11,"*R*")),
                                  SUBSTITUTE(AF11,"R","S"),
                                  IF(AND(COUNTIF(AF11,"*V*"), COUNTIF(AF11,"*R*")),
                                     SUBSTITUTE(AF11,"R","S"),
                                     AF11))),
                          "0",""),"1",""),"2",""),"3",""),"4",""),
                      "5",""),"6",""),"7",""),"8",""),"9","")
     ),
     IF(SUM(--ISNUMBER(FIND({0,1,2,3,4,5,6,7,8,9}, _xlpm.txt)))=0,
        _xlpm.txt &amp; Data!CU53,
        _xlpm.txt
     )
   ),
   ""
)</f>
        <v/>
      </c>
      <c r="AG33" s="41" t="str" cm="1">
        <f t="array" ref="AG33">IF(AG11&lt;&gt;"",
   _xlfn.LET(
     _xlpm.txt,
     IF(OR(COUNTIF(AG11,"L*"), COUNTIF(AG11, "X*")),
        IF(AND(COUNTIF(AG11,"*P*"), COUNTIF(AG11,"*V*")),
           IF(COUNTIF(AG11,"*R*"),
              SUBSTITUTE(SUBSTITUTE(AG11,"P",""),"R","S"),
              SUBSTITUTE(AG11,"P","")),
           IF(AND(COUNTIF(AG11,"*P*"), COUNTIF(AG11,"*R*")),
              SUBSTITUTE(AG11,"R","S"),
              IF(AND(COUNTIF(AG11,"*V*"), COUNTIF(AG11,"*R*")),
                 SUBSTITUTE(AG11,"R","S"),
                 AG11))),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IF(AND(COUNTIF(AG11,"*P*"), COUNTIF(AG11,"*V*")),
                               IF(COUNTIF(AG11,"*R*"),
                                  SUBSTITUTE(SUBSTITUTE(AG11,"P",""),"R","S"),
                                  SUBSTITUTE(AG11,"P","")),
                               IF(AND(COUNTIF(AG11,"*P*"), COUNTIF(AG11,"*R*")),
                                  SUBSTITUTE(AG11,"R","S"),
                                  IF(AND(COUNTIF(AG11,"*V*"), COUNTIF(AG11,"*R*")),
                                     SUBSTITUTE(AG11,"R","S"),
                                     AG11))),
                          "0",""),"1",""),"2",""),"3",""),"4",""),
                      "5",""),"6",""),"7",""),"8",""),"9","")
     ),
     IF(SUM(--ISNUMBER(FIND({0,1,2,3,4,5,6,7,8,9}, _xlpm.txt)))=0,
        _xlpm.txt &amp; Data!CV53,
        _xlpm.txt
     )
   ),
   ""
)</f>
        <v/>
      </c>
      <c r="AH33" s="41" t="str" cm="1">
        <f t="array" ref="AH33">IF(AH11&lt;&gt;"",
   _xlfn.LET(
     _xlpm.txt,
     IF(OR(COUNTIF(AH11,"L*"), COUNTIF(AH11, "X*")),
        IF(AND(COUNTIF(AH11,"*P*"), COUNTIF(AH11,"*V*")),
           IF(COUNTIF(AH11,"*R*"),
              SUBSTITUTE(SUBSTITUTE(AH11,"P",""),"R","S"),
              SUBSTITUTE(AH11,"P","")),
           IF(AND(COUNTIF(AH11,"*P*"), COUNTIF(AH11,"*R*")),
              SUBSTITUTE(AH11,"R","S"),
              IF(AND(COUNTIF(AH11,"*V*"), COUNTIF(AH11,"*R*")),
                 SUBSTITUTE(AH11,"R","S"),
                 AH11))),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IF(AND(COUNTIF(AH11,"*P*"), COUNTIF(AH11,"*V*")),
                               IF(COUNTIF(AH11,"*R*"),
                                  SUBSTITUTE(SUBSTITUTE(AH11,"P",""),"R","S"),
                                  SUBSTITUTE(AH11,"P","")),
                               IF(AND(COUNTIF(AH11,"*P*"), COUNTIF(AH11,"*R*")),
                                  SUBSTITUTE(AH11,"R","S"),
                                  IF(AND(COUNTIF(AH11,"*V*"), COUNTIF(AH11,"*R*")),
                                     SUBSTITUTE(AH11,"R","S"),
                                     AH11))),
                          "0",""),"1",""),"2",""),"3",""),"4",""),
                      "5",""),"6",""),"7",""),"8",""),"9","")
     ),
     IF(SUM(--ISNUMBER(FIND({0,1,2,3,4,5,6,7,8,9}, _xlpm.txt)))=0,
        _xlpm.txt &amp; Data!CW53,
        _xlpm.txt
     )
   ),
   ""
)</f>
        <v/>
      </c>
      <c r="AI33" s="41" t="str" cm="1">
        <f t="array" ref="AI33">IF(AI11&lt;&gt;"",
   _xlfn.LET(
     _xlpm.txt,
     IF(OR(COUNTIF(AI11,"L*"), COUNTIF(AI11, "X*")),
        IF(AND(COUNTIF(AI11,"*P*"), COUNTIF(AI11,"*V*")),
           IF(COUNTIF(AI11,"*R*"),
              SUBSTITUTE(SUBSTITUTE(AI11,"P",""),"R","S"),
              SUBSTITUTE(AI11,"P","")),
           IF(AND(COUNTIF(AI11,"*P*"), COUNTIF(AI11,"*R*")),
              SUBSTITUTE(AI11,"R","S"),
              IF(AND(COUNTIF(AI11,"*V*"), COUNTIF(AI11,"*R*")),
                 SUBSTITUTE(AI11,"R","S"),
                 AI11))),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IF(AND(COUNTIF(AI11,"*P*"), COUNTIF(AI11,"*V*")),
                               IF(COUNTIF(AI11,"*R*"),
                                  SUBSTITUTE(SUBSTITUTE(AI11,"P",""),"R","S"),
                                  SUBSTITUTE(AI11,"P","")),
                               IF(AND(COUNTIF(AI11,"*P*"), COUNTIF(AI11,"*R*")),
                                  SUBSTITUTE(AI11,"R","S"),
                                  IF(AND(COUNTIF(AI11,"*V*"), COUNTIF(AI11,"*R*")),
                                     SUBSTITUTE(AI11,"R","S"),
                                     AI11))),
                          "0",""),"1",""),"2",""),"3",""),"4",""),
                      "5",""),"6",""),"7",""),"8",""),"9","")
     ),
     IF(SUM(--ISNUMBER(FIND({0,1,2,3,4,5,6,7,8,9}, _xlpm.txt)))=0,
        _xlpm.txt &amp; Data!CX53,
        _xlpm.txt
     )
   ),
   ""
)</f>
        <v/>
      </c>
      <c r="AJ33" s="41" t="str" cm="1">
        <f t="array" ref="AJ33">IF(AJ11&lt;&gt;"",
   _xlfn.LET(
     _xlpm.txt,
     IF(OR(COUNTIF(AJ11,"L*"), COUNTIF(AJ11, "X*")),
        IF(AND(COUNTIF(AJ11,"*P*"), COUNTIF(AJ11,"*V*")),
           IF(COUNTIF(AJ11,"*R*"),
              SUBSTITUTE(SUBSTITUTE(AJ11,"P",""),"R","S"),
              SUBSTITUTE(AJ11,"P","")),
           IF(AND(COUNTIF(AJ11,"*P*"), COUNTIF(AJ11,"*R*")),
              SUBSTITUTE(AJ11,"R","S"),
              IF(AND(COUNTIF(AJ11,"*V*"), COUNTIF(AJ11,"*R*")),
                 SUBSTITUTE(AJ11,"R","S"),
                 AJ11))),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IF(AND(COUNTIF(AJ11,"*P*"), COUNTIF(AJ11,"*V*")),
                               IF(COUNTIF(AJ11,"*R*"),
                                  SUBSTITUTE(SUBSTITUTE(AJ11,"P",""),"R","S"),
                                  SUBSTITUTE(AJ11,"P","")),
                               IF(AND(COUNTIF(AJ11,"*P*"), COUNTIF(AJ11,"*R*")),
                                  SUBSTITUTE(AJ11,"R","S"),
                                  IF(AND(COUNTIF(AJ11,"*V*"), COUNTIF(AJ11,"*R*")),
                                     SUBSTITUTE(AJ11,"R","S"),
                                     AJ11))),
                          "0",""),"1",""),"2",""),"3",""),"4",""),
                      "5",""),"6",""),"7",""),"8",""),"9","")
     ),
     IF(SUM(--ISNUMBER(FIND({0,1,2,3,4,5,6,7,8,9}, _xlpm.txt)))=0,
        _xlpm.txt &amp; Data!CY53,
        _xlpm.txt
     )
   ),
   ""
)</f>
        <v/>
      </c>
    </row>
    <row r="34" spans="1:54" ht="23.25" customHeight="1" x14ac:dyDescent="0.35">
      <c r="A34" s="1196"/>
      <c r="B34" s="22">
        <v>9</v>
      </c>
      <c r="C34" s="41" t="str" cm="1">
        <f t="array" ref="C34">IF(C12&lt;&gt;"",
   _xlfn.LET(
     _xlpm.txt,
     IF(OR(COUNTIF(C12,"L*"), COUNTIF(C12, "X*")),
        IF(AND(COUNTIF(C12,"*P*"), COUNTIF(C12,"*V*")),
           IF(COUNTIF(C12,"*R*"),
              SUBSTITUTE(SUBSTITUTE(C12,"P",""),"R","S"),
              SUBSTITUTE(C12,"P","")),
           IF(AND(COUNTIF(C12,"*P*"), COUNTIF(C12,"*R*")),
              SUBSTITUTE(C12,"R","S"),
              IF(AND(COUNTIF(C12,"*V*"), COUNTIF(C12,"*R*")),
                 SUBSTITUTE(C12,"R","S"),
                 C12))),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IF(AND(COUNTIF(C12,"*P*"), COUNTIF(C12,"*V*")),
                               IF(COUNTIF(C12,"*R*"),
                                  SUBSTITUTE(SUBSTITUTE(C12,"P",""),"R","S"),
                                  SUBSTITUTE(C12,"P","")),
                               IF(AND(COUNTIF(C12,"*P*"), COUNTIF(C12,"*R*")),
                                  SUBSTITUTE(C12,"R","S"),
                                  IF(AND(COUNTIF(C12,"*V*"), COUNTIF(C12,"*R*")),
                                     SUBSTITUTE(C12,"R","S"),
                                     C12))),
                          "0",""),"1",""),"2",""),"3",""),"4",""),
                      "5",""),"6",""),"7",""),"8",""),"9","")
     ),
     IF(SUM(--ISNUMBER(FIND({0,1,2,3,4,5,6,7,8,9}, _xlpm.txt)))=0,
        _xlpm.txt &amp; Data!BR54,
        _xlpm.txt
     )
   ),
   ""
)</f>
        <v/>
      </c>
      <c r="D34" s="41" t="str" cm="1">
        <f t="array" ref="D34">IF(D12&lt;&gt;"",
   _xlfn.LET(
     _xlpm.txt,
     IF(OR(COUNTIF(D12,"L*"), COUNTIF(D12, "X*")),
        IF(AND(COUNTIF(D12,"*P*"), COUNTIF(D12,"*V*")),
           IF(COUNTIF(D12,"*R*"),
              SUBSTITUTE(SUBSTITUTE(D12,"P",""),"R","S"),
              SUBSTITUTE(D12,"P","")),
           IF(AND(COUNTIF(D12,"*P*"), COUNTIF(D12,"*R*")),
              SUBSTITUTE(D12,"R","S"),
              IF(AND(COUNTIF(D12,"*V*"), COUNTIF(D12,"*R*")),
                 SUBSTITUTE(D12,"R","S"),
                 D12))),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IF(AND(COUNTIF(D12,"*P*"), COUNTIF(D12,"*V*")),
                               IF(COUNTIF(D12,"*R*"),
                                  SUBSTITUTE(SUBSTITUTE(D12,"P",""),"R","S"),
                                  SUBSTITUTE(D12,"P","")),
                               IF(AND(COUNTIF(D12,"*P*"), COUNTIF(D12,"*R*")),
                                  SUBSTITUTE(D12,"R","S"),
                                  IF(AND(COUNTIF(D12,"*V*"), COUNTIF(D12,"*R*")),
                                     SUBSTITUTE(D12,"R","S"),
                                     D12))),
                          "0",""),"1",""),"2",""),"3",""),"4",""),
                      "5",""),"6",""),"7",""),"8",""),"9","")
     ),
     IF(SUM(--ISNUMBER(FIND({0,1,2,3,4,5,6,7,8,9}, _xlpm.txt)))=0,
        _xlpm.txt &amp; Data!BS54,
        _xlpm.txt
     )
   ),
   ""
)</f>
        <v/>
      </c>
      <c r="E34" s="41" t="str" cm="1">
        <f t="array" ref="E34">IF(E12&lt;&gt;"",
   _xlfn.LET(
     _xlpm.txt,
     IF(OR(COUNTIF(E12,"L*"), COUNTIF(E12, "X*")),
        IF(AND(COUNTIF(E12,"*P*"), COUNTIF(E12,"*V*")),
           IF(COUNTIF(E12,"*R*"),
              SUBSTITUTE(SUBSTITUTE(E12,"P",""),"R","S"),
              SUBSTITUTE(E12,"P","")),
           IF(AND(COUNTIF(E12,"*P*"), COUNTIF(E12,"*R*")),
              SUBSTITUTE(E12,"R","S"),
              IF(AND(COUNTIF(E12,"*V*"), COUNTIF(E12,"*R*")),
                 SUBSTITUTE(E12,"R","S"),
                 E12))),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IF(AND(COUNTIF(E12,"*P*"), COUNTIF(E12,"*V*")),
                               IF(COUNTIF(E12,"*R*"),
                                  SUBSTITUTE(SUBSTITUTE(E12,"P",""),"R","S"),
                                  SUBSTITUTE(E12,"P","")),
                               IF(AND(COUNTIF(E12,"*P*"), COUNTIF(E12,"*R*")),
                                  SUBSTITUTE(E12,"R","S"),
                                  IF(AND(COUNTIF(E12,"*V*"), COUNTIF(E12,"*R*")),
                                     SUBSTITUTE(E12,"R","S"),
                                     E12))),
                          "0",""),"1",""),"2",""),"3",""),"4",""),
                      "5",""),"6",""),"7",""),"8",""),"9","")
     ),
     IF(SUM(--ISNUMBER(FIND({0,1,2,3,4,5,6,7,8,9}, _xlpm.txt)))=0,
        _xlpm.txt &amp; Data!BT54,
        _xlpm.txt
     )
   ),
   ""
)</f>
        <v/>
      </c>
      <c r="F34" s="41" t="str" cm="1">
        <f t="array" ref="F34">IF(F12&lt;&gt;"",
   _xlfn.LET(
     _xlpm.txt,
     IF(OR(COUNTIF(F12,"L*"), COUNTIF(F12, "X*")),
        IF(AND(COUNTIF(F12,"*P*"), COUNTIF(F12,"*V*")),
           IF(COUNTIF(F12,"*R*"),
              SUBSTITUTE(SUBSTITUTE(F12,"P",""),"R","S"),
              SUBSTITUTE(F12,"P","")),
           IF(AND(COUNTIF(F12,"*P*"), COUNTIF(F12,"*R*")),
              SUBSTITUTE(F12,"R","S"),
              IF(AND(COUNTIF(F12,"*V*"), COUNTIF(F12,"*R*")),
                 SUBSTITUTE(F12,"R","S"),
                 F12))),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IF(AND(COUNTIF(F12,"*P*"), COUNTIF(F12,"*V*")),
                               IF(COUNTIF(F12,"*R*"),
                                  SUBSTITUTE(SUBSTITUTE(F12,"P",""),"R","S"),
                                  SUBSTITUTE(F12,"P","")),
                               IF(AND(COUNTIF(F12,"*P*"), COUNTIF(F12,"*R*")),
                                  SUBSTITUTE(F12,"R","S"),
                                  IF(AND(COUNTIF(F12,"*V*"), COUNTIF(F12,"*R*")),
                                     SUBSTITUTE(F12,"R","S"),
                                     F12))),
                          "0",""),"1",""),"2",""),"3",""),"4",""),
                      "5",""),"6",""),"7",""),"8",""),"9","")
     ),
     IF(SUM(--ISNUMBER(FIND({0,1,2,3,4,5,6,7,8,9}, _xlpm.txt)))=0,
        _xlpm.txt &amp; Data!BU54,
        _xlpm.txt
     )
   ),
   ""
)</f>
        <v/>
      </c>
      <c r="G34" s="41" t="str" cm="1">
        <f t="array" ref="G34">IF(G12&lt;&gt;"",
   _xlfn.LET(
     _xlpm.txt,
     IF(OR(COUNTIF(G12,"L*"), COUNTIF(G12, "X*")),
        IF(AND(COUNTIF(G12,"*P*"), COUNTIF(G12,"*V*")),
           IF(COUNTIF(G12,"*R*"),
              SUBSTITUTE(SUBSTITUTE(G12,"P",""),"R","S"),
              SUBSTITUTE(G12,"P","")),
           IF(AND(COUNTIF(G12,"*P*"), COUNTIF(G12,"*R*")),
              SUBSTITUTE(G12,"R","S"),
              IF(AND(COUNTIF(G12,"*V*"), COUNTIF(G12,"*R*")),
                 SUBSTITUTE(G12,"R","S"),
                 G12))),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IF(AND(COUNTIF(G12,"*P*"), COUNTIF(G12,"*V*")),
                               IF(COUNTIF(G12,"*R*"),
                                  SUBSTITUTE(SUBSTITUTE(G12,"P",""),"R","S"),
                                  SUBSTITUTE(G12,"P","")),
                               IF(AND(COUNTIF(G12,"*P*"), COUNTIF(G12,"*R*")),
                                  SUBSTITUTE(G12,"R","S"),
                                  IF(AND(COUNTIF(G12,"*V*"), COUNTIF(G12,"*R*")),
                                     SUBSTITUTE(G12,"R","S"),
                                     G12))),
                          "0",""),"1",""),"2",""),"3",""),"4",""),
                      "5",""),"6",""),"7",""),"8",""),"9","")
     ),
     IF(SUM(--ISNUMBER(FIND({0,1,2,3,4,5,6,7,8,9}, _xlpm.txt)))=0,
        _xlpm.txt &amp; Data!BV54,
        _xlpm.txt
     )
   ),
   ""
)</f>
        <v/>
      </c>
      <c r="H34" s="41" t="str" cm="1">
        <f t="array" ref="H34">IF(H12&lt;&gt;"",
   _xlfn.LET(
     _xlpm.txt,
     IF(OR(COUNTIF(H12,"L*"), COUNTIF(H12, "X*")),
        IF(AND(COUNTIF(H12,"*P*"), COUNTIF(H12,"*V*")),
           IF(COUNTIF(H12,"*R*"),
              SUBSTITUTE(SUBSTITUTE(H12,"P",""),"R","S"),
              SUBSTITUTE(H12,"P","")),
           IF(AND(COUNTIF(H12,"*P*"), COUNTIF(H12,"*R*")),
              SUBSTITUTE(H12,"R","S"),
              IF(AND(COUNTIF(H12,"*V*"), COUNTIF(H12,"*R*")),
                 SUBSTITUTE(H12,"R","S"),
                 H12))),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IF(AND(COUNTIF(H12,"*P*"), COUNTIF(H12,"*V*")),
                               IF(COUNTIF(H12,"*R*"),
                                  SUBSTITUTE(SUBSTITUTE(H12,"P",""),"R","S"),
                                  SUBSTITUTE(H12,"P","")),
                               IF(AND(COUNTIF(H12,"*P*"), COUNTIF(H12,"*R*")),
                                  SUBSTITUTE(H12,"R","S"),
                                  IF(AND(COUNTIF(H12,"*V*"), COUNTIF(H12,"*R*")),
                                     SUBSTITUTE(H12,"R","S"),
                                     H12))),
                          "0",""),"1",""),"2",""),"3",""),"4",""),
                      "5",""),"6",""),"7",""),"8",""),"9","")
     ),
     IF(SUM(--ISNUMBER(FIND({0,1,2,3,4,5,6,7,8,9}, _xlpm.txt)))=0,
        _xlpm.txt &amp; Data!BW54,
        _xlpm.txt
     )
   ),
   ""
)</f>
        <v/>
      </c>
      <c r="I34" s="41" t="str" cm="1">
        <f t="array" ref="I34">IF(I12&lt;&gt;"",
   _xlfn.LET(
     _xlpm.txt,
     IF(OR(COUNTIF(I12,"L*"), COUNTIF(I12, "X*")),
        IF(AND(COUNTIF(I12,"*P*"), COUNTIF(I12,"*V*")),
           IF(COUNTIF(I12,"*R*"),
              SUBSTITUTE(SUBSTITUTE(I12,"P",""),"R","S"),
              SUBSTITUTE(I12,"P","")),
           IF(AND(COUNTIF(I12,"*P*"), COUNTIF(I12,"*R*")),
              SUBSTITUTE(I12,"R","S"),
              IF(AND(COUNTIF(I12,"*V*"), COUNTIF(I12,"*R*")),
                 SUBSTITUTE(I12,"R","S"),
                 I12))),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IF(AND(COUNTIF(I12,"*P*"), COUNTIF(I12,"*V*")),
                               IF(COUNTIF(I12,"*R*"),
                                  SUBSTITUTE(SUBSTITUTE(I12,"P",""),"R","S"),
                                  SUBSTITUTE(I12,"P","")),
                               IF(AND(COUNTIF(I12,"*P*"), COUNTIF(I12,"*R*")),
                                  SUBSTITUTE(I12,"R","S"),
                                  IF(AND(COUNTIF(I12,"*V*"), COUNTIF(I12,"*R*")),
                                     SUBSTITUTE(I12,"R","S"),
                                     I12))),
                          "0",""),"1",""),"2",""),"3",""),"4",""),
                      "5",""),"6",""),"7",""),"8",""),"9","")
     ),
     IF(SUM(--ISNUMBER(FIND({0,1,2,3,4,5,6,7,8,9}, _xlpm.txt)))=0,
        _xlpm.txt &amp; Data!BX54,
        _xlpm.txt
     )
   ),
   ""
)</f>
        <v/>
      </c>
      <c r="J34" s="41" t="str" cm="1">
        <f t="array" ref="J34">IF(J12&lt;&gt;"",
   _xlfn.LET(
     _xlpm.txt,
     IF(OR(COUNTIF(J12,"L*"), COUNTIF(J12, "X*")),
        IF(AND(COUNTIF(J12,"*P*"), COUNTIF(J12,"*V*")),
           IF(COUNTIF(J12,"*R*"),
              SUBSTITUTE(SUBSTITUTE(J12,"P",""),"R","S"),
              SUBSTITUTE(J12,"P","")),
           IF(AND(COUNTIF(J12,"*P*"), COUNTIF(J12,"*R*")),
              SUBSTITUTE(J12,"R","S"),
              IF(AND(COUNTIF(J12,"*V*"), COUNTIF(J12,"*R*")),
                 SUBSTITUTE(J12,"R","S"),
                 J12))),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IF(AND(COUNTIF(J12,"*P*"), COUNTIF(J12,"*V*")),
                               IF(COUNTIF(J12,"*R*"),
                                  SUBSTITUTE(SUBSTITUTE(J12,"P",""),"R","S"),
                                  SUBSTITUTE(J12,"P","")),
                               IF(AND(COUNTIF(J12,"*P*"), COUNTIF(J12,"*R*")),
                                  SUBSTITUTE(J12,"R","S"),
                                  IF(AND(COUNTIF(J12,"*V*"), COUNTIF(J12,"*R*")),
                                     SUBSTITUTE(J12,"R","S"),
                                     J12))),
                          "0",""),"1",""),"2",""),"3",""),"4",""),
                      "5",""),"6",""),"7",""),"8",""),"9","")
     ),
     IF(SUM(--ISNUMBER(FIND({0,1,2,3,4,5,6,7,8,9}, _xlpm.txt)))=0,
        _xlpm.txt &amp; Data!BY54,
        _xlpm.txt
     )
   ),
   ""
)</f>
        <v/>
      </c>
      <c r="K34" s="41" t="str" cm="1">
        <f t="array" ref="K34">IF(K12&lt;&gt;"",
   _xlfn.LET(
     _xlpm.txt,
     IF(OR(COUNTIF(K12,"L*"), COUNTIF(K12, "X*")),
        IF(AND(COUNTIF(K12,"*P*"), COUNTIF(K12,"*V*")),
           IF(COUNTIF(K12,"*R*"),
              SUBSTITUTE(SUBSTITUTE(K12,"P",""),"R","S"),
              SUBSTITUTE(K12,"P","")),
           IF(AND(COUNTIF(K12,"*P*"), COUNTIF(K12,"*R*")),
              SUBSTITUTE(K12,"R","S"),
              IF(AND(COUNTIF(K12,"*V*"), COUNTIF(K12,"*R*")),
                 SUBSTITUTE(K12,"R","S"),
                 K12))),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IF(AND(COUNTIF(K12,"*P*"), COUNTIF(K12,"*V*")),
                               IF(COUNTIF(K12,"*R*"),
                                  SUBSTITUTE(SUBSTITUTE(K12,"P",""),"R","S"),
                                  SUBSTITUTE(K12,"P","")),
                               IF(AND(COUNTIF(K12,"*P*"), COUNTIF(K12,"*R*")),
                                  SUBSTITUTE(K12,"R","S"),
                                  IF(AND(COUNTIF(K12,"*V*"), COUNTIF(K12,"*R*")),
                                     SUBSTITUTE(K12,"R","S"),
                                     K12))),
                          "0",""),"1",""),"2",""),"3",""),"4",""),
                      "5",""),"6",""),"7",""),"8",""),"9","")
     ),
     IF(SUM(--ISNUMBER(FIND({0,1,2,3,4,5,6,7,8,9}, _xlpm.txt)))=0,
        _xlpm.txt &amp; Data!BZ54,
        _xlpm.txt
     )
   ),
   ""
)</f>
        <v/>
      </c>
      <c r="L34" s="41" t="str" cm="1">
        <f t="array" ref="L34">IF(L12&lt;&gt;"",
   _xlfn.LET(
     _xlpm.txt,
     IF(OR(COUNTIF(L12,"L*"), COUNTIF(L12, "X*")),
        IF(AND(COUNTIF(L12,"*P*"), COUNTIF(L12,"*V*")),
           IF(COUNTIF(L12,"*R*"),
              SUBSTITUTE(SUBSTITUTE(L12,"P",""),"R","S"),
              SUBSTITUTE(L12,"P","")),
           IF(AND(COUNTIF(L12,"*P*"), COUNTIF(L12,"*R*")),
              SUBSTITUTE(L12,"R","S"),
              IF(AND(COUNTIF(L12,"*V*"), COUNTIF(L12,"*R*")),
                 SUBSTITUTE(L12,"R","S"),
                 L12))),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IF(AND(COUNTIF(L12,"*P*"), COUNTIF(L12,"*V*")),
                               IF(COUNTIF(L12,"*R*"),
                                  SUBSTITUTE(SUBSTITUTE(L12,"P",""),"R","S"),
                                  SUBSTITUTE(L12,"P","")),
                               IF(AND(COUNTIF(L12,"*P*"), COUNTIF(L12,"*R*")),
                                  SUBSTITUTE(L12,"R","S"),
                                  IF(AND(COUNTIF(L12,"*V*"), COUNTIF(L12,"*R*")),
                                     SUBSTITUTE(L12,"R","S"),
                                     L12))),
                          "0",""),"1",""),"2",""),"3",""),"4",""),
                      "5",""),"6",""),"7",""),"8",""),"9","")
     ),
     IF(SUM(--ISNUMBER(FIND({0,1,2,3,4,5,6,7,8,9}, _xlpm.txt)))=0,
        _xlpm.txt &amp; Data!CA54,
        _xlpm.txt
     )
   ),
   ""
)</f>
        <v/>
      </c>
      <c r="M34" s="41" t="str" cm="1">
        <f t="array" ref="M34">IF(M12&lt;&gt;"",
   _xlfn.LET(
     _xlpm.txt,
     IF(OR(COUNTIF(M12,"L*"), COUNTIF(M12, "X*")),
        IF(AND(COUNTIF(M12,"*P*"), COUNTIF(M12,"*V*")),
           IF(COUNTIF(M12,"*R*"),
              SUBSTITUTE(SUBSTITUTE(M12,"P",""),"R","S"),
              SUBSTITUTE(M12,"P","")),
           IF(AND(COUNTIF(M12,"*P*"), COUNTIF(M12,"*R*")),
              SUBSTITUTE(M12,"R","S"),
              IF(AND(COUNTIF(M12,"*V*"), COUNTIF(M12,"*R*")),
                 SUBSTITUTE(M12,"R","S"),
                 M12))),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IF(AND(COUNTIF(M12,"*P*"), COUNTIF(M12,"*V*")),
                               IF(COUNTIF(M12,"*R*"),
                                  SUBSTITUTE(SUBSTITUTE(M12,"P",""),"R","S"),
                                  SUBSTITUTE(M12,"P","")),
                               IF(AND(COUNTIF(M12,"*P*"), COUNTIF(M12,"*R*")),
                                  SUBSTITUTE(M12,"R","S"),
                                  IF(AND(COUNTIF(M12,"*V*"), COUNTIF(M12,"*R*")),
                                     SUBSTITUTE(M12,"R","S"),
                                     M12))),
                          "0",""),"1",""),"2",""),"3",""),"4",""),
                      "5",""),"6",""),"7",""),"8",""),"9","")
     ),
     IF(SUM(--ISNUMBER(FIND({0,1,2,3,4,5,6,7,8,9}, _xlpm.txt)))=0,
        _xlpm.txt &amp; Data!CB54,
        _xlpm.txt
     )
   ),
   ""
)</f>
        <v/>
      </c>
      <c r="N34" s="41" t="str" cm="1">
        <f t="array" ref="N34">IF(N12&lt;&gt;"",
   _xlfn.LET(
     _xlpm.txt,
     IF(OR(COUNTIF(N12,"L*"), COUNTIF(N12, "X*")),
        IF(AND(COUNTIF(N12,"*P*"), COUNTIF(N12,"*V*")),
           IF(COUNTIF(N12,"*R*"),
              SUBSTITUTE(SUBSTITUTE(N12,"P",""),"R","S"),
              SUBSTITUTE(N12,"P","")),
           IF(AND(COUNTIF(N12,"*P*"), COUNTIF(N12,"*R*")),
              SUBSTITUTE(N12,"R","S"),
              IF(AND(COUNTIF(N12,"*V*"), COUNTIF(N12,"*R*")),
                 SUBSTITUTE(N12,"R","S"),
                 N12))),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IF(AND(COUNTIF(N12,"*P*"), COUNTIF(N12,"*V*")),
                               IF(COUNTIF(N12,"*R*"),
                                  SUBSTITUTE(SUBSTITUTE(N12,"P",""),"R","S"),
                                  SUBSTITUTE(N12,"P","")),
                               IF(AND(COUNTIF(N12,"*P*"), COUNTIF(N12,"*R*")),
                                  SUBSTITUTE(N12,"R","S"),
                                  IF(AND(COUNTIF(N12,"*V*"), COUNTIF(N12,"*R*")),
                                     SUBSTITUTE(N12,"R","S"),
                                     N12))),
                          "0",""),"1",""),"2",""),"3",""),"4",""),
                      "5",""),"6",""),"7",""),"8",""),"9","")
     ),
     IF(SUM(--ISNUMBER(FIND({0,1,2,3,4,5,6,7,8,9}, _xlpm.txt)))=0,
        _xlpm.txt &amp; Data!CC54,
        _xlpm.txt
     )
   ),
   ""
)</f>
        <v/>
      </c>
      <c r="O34" s="41" t="str" cm="1">
        <f t="array" ref="O34">IF(O12&lt;&gt;"",
   _xlfn.LET(
     _xlpm.txt,
     IF(OR(COUNTIF(O12,"L*"), COUNTIF(O12, "X*")),
        IF(AND(COUNTIF(O12,"*P*"), COUNTIF(O12,"*V*")),
           IF(COUNTIF(O12,"*R*"),
              SUBSTITUTE(SUBSTITUTE(O12,"P",""),"R","S"),
              SUBSTITUTE(O12,"P","")),
           IF(AND(COUNTIF(O12,"*P*"), COUNTIF(O12,"*R*")),
              SUBSTITUTE(O12,"R","S"),
              IF(AND(COUNTIF(O12,"*V*"), COUNTIF(O12,"*R*")),
                 SUBSTITUTE(O12,"R","S"),
                 O12))),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IF(AND(COUNTIF(O12,"*P*"), COUNTIF(O12,"*V*")),
                               IF(COUNTIF(O12,"*R*"),
                                  SUBSTITUTE(SUBSTITUTE(O12,"P",""),"R","S"),
                                  SUBSTITUTE(O12,"P","")),
                               IF(AND(COUNTIF(O12,"*P*"), COUNTIF(O12,"*R*")),
                                  SUBSTITUTE(O12,"R","S"),
                                  IF(AND(COUNTIF(O12,"*V*"), COUNTIF(O12,"*R*")),
                                     SUBSTITUTE(O12,"R","S"),
                                     O12))),
                          "0",""),"1",""),"2",""),"3",""),"4",""),
                      "5",""),"6",""),"7",""),"8",""),"9","")
     ),
     IF(SUM(--ISNUMBER(FIND({0,1,2,3,4,5,6,7,8,9}, _xlpm.txt)))=0,
        _xlpm.txt &amp; Data!CD54,
        _xlpm.txt
     )
   ),
   ""
)</f>
        <v/>
      </c>
      <c r="P34" s="41" t="str" cm="1">
        <f t="array" ref="P34">IF(P12&lt;&gt;"",
   _xlfn.LET(
     _xlpm.txt,
     IF(OR(COUNTIF(P12,"L*"), COUNTIF(P12, "X*")),
        IF(AND(COUNTIF(P12,"*P*"), COUNTIF(P12,"*V*")),
           IF(COUNTIF(P12,"*R*"),
              SUBSTITUTE(SUBSTITUTE(P12,"P",""),"R","S"),
              SUBSTITUTE(P12,"P","")),
           IF(AND(COUNTIF(P12,"*P*"), COUNTIF(P12,"*R*")),
              SUBSTITUTE(P12,"R","S"),
              IF(AND(COUNTIF(P12,"*V*"), COUNTIF(P12,"*R*")),
                 SUBSTITUTE(P12,"R","S"),
                 P12))),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IF(AND(COUNTIF(P12,"*P*"), COUNTIF(P12,"*V*")),
                               IF(COUNTIF(P12,"*R*"),
                                  SUBSTITUTE(SUBSTITUTE(P12,"P",""),"R","S"),
                                  SUBSTITUTE(P12,"P","")),
                               IF(AND(COUNTIF(P12,"*P*"), COUNTIF(P12,"*R*")),
                                  SUBSTITUTE(P12,"R","S"),
                                  IF(AND(COUNTIF(P12,"*V*"), COUNTIF(P12,"*R*")),
                                     SUBSTITUTE(P12,"R","S"),
                                     P12))),
                          "0",""),"1",""),"2",""),"3",""),"4",""),
                      "5",""),"6",""),"7",""),"8",""),"9","")
     ),
     IF(SUM(--ISNUMBER(FIND({0,1,2,3,4,5,6,7,8,9}, _xlpm.txt)))=0,
        _xlpm.txt &amp; Data!CE54,
        _xlpm.txt
     )
   ),
   ""
)</f>
        <v/>
      </c>
      <c r="Q34" s="41" t="str" cm="1">
        <f t="array" ref="Q34">IF(Q12&lt;&gt;"",
   _xlfn.LET(
     _xlpm.txt,
     IF(OR(COUNTIF(Q12,"L*"), COUNTIF(Q12, "X*")),
        IF(AND(COUNTIF(Q12,"*P*"), COUNTIF(Q12,"*V*")),
           IF(COUNTIF(Q12,"*R*"),
              SUBSTITUTE(SUBSTITUTE(Q12,"P",""),"R","S"),
              SUBSTITUTE(Q12,"P","")),
           IF(AND(COUNTIF(Q12,"*P*"), COUNTIF(Q12,"*R*")),
              SUBSTITUTE(Q12,"R","S"),
              IF(AND(COUNTIF(Q12,"*V*"), COUNTIF(Q12,"*R*")),
                 SUBSTITUTE(Q12,"R","S"),
                 Q12))),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IF(AND(COUNTIF(Q12,"*P*"), COUNTIF(Q12,"*V*")),
                               IF(COUNTIF(Q12,"*R*"),
                                  SUBSTITUTE(SUBSTITUTE(Q12,"P",""),"R","S"),
                                  SUBSTITUTE(Q12,"P","")),
                               IF(AND(COUNTIF(Q12,"*P*"), COUNTIF(Q12,"*R*")),
                                  SUBSTITUTE(Q12,"R","S"),
                                  IF(AND(COUNTIF(Q12,"*V*"), COUNTIF(Q12,"*R*")),
                                     SUBSTITUTE(Q12,"R","S"),
                                     Q12))),
                          "0",""),"1",""),"2",""),"3",""),"4",""),
                      "5",""),"6",""),"7",""),"8",""),"9","")
     ),
     IF(SUM(--ISNUMBER(FIND({0,1,2,3,4,5,6,7,8,9}, _xlpm.txt)))=0,
        _xlpm.txt &amp; Data!CF54,
        _xlpm.txt
     )
   ),
   ""
)</f>
        <v/>
      </c>
      <c r="R34" s="41" t="str" cm="1">
        <f t="array" ref="R34">IF(R12&lt;&gt;"",
   _xlfn.LET(
     _xlpm.txt,
     IF(OR(COUNTIF(R12,"L*"), COUNTIF(R12, "X*")),
        IF(AND(COUNTIF(R12,"*P*"), COUNTIF(R12,"*V*")),
           IF(COUNTIF(R12,"*R*"),
              SUBSTITUTE(SUBSTITUTE(R12,"P",""),"R","S"),
              SUBSTITUTE(R12,"P","")),
           IF(AND(COUNTIF(R12,"*P*"), COUNTIF(R12,"*R*")),
              SUBSTITUTE(R12,"R","S"),
              IF(AND(COUNTIF(R12,"*V*"), COUNTIF(R12,"*R*")),
                 SUBSTITUTE(R12,"R","S"),
                 R12))),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IF(AND(COUNTIF(R12,"*P*"), COUNTIF(R12,"*V*")),
                               IF(COUNTIF(R12,"*R*"),
                                  SUBSTITUTE(SUBSTITUTE(R12,"P",""),"R","S"),
                                  SUBSTITUTE(R12,"P","")),
                               IF(AND(COUNTIF(R12,"*P*"), COUNTIF(R12,"*R*")),
                                  SUBSTITUTE(R12,"R","S"),
                                  IF(AND(COUNTIF(R12,"*V*"), COUNTIF(R12,"*R*")),
                                     SUBSTITUTE(R12,"R","S"),
                                     R12))),
                          "0",""),"1",""),"2",""),"3",""),"4",""),
                      "5",""),"6",""),"7",""),"8",""),"9","")
     ),
     IF(SUM(--ISNUMBER(FIND({0,1,2,3,4,5,6,7,8,9}, _xlpm.txt)))=0,
        _xlpm.txt &amp; Data!CG54,
        _xlpm.txt
     )
   ),
   ""
)</f>
        <v/>
      </c>
      <c r="S34" s="41" t="str" cm="1">
        <f t="array" ref="S34">IF(S12&lt;&gt;"",
   _xlfn.LET(
     _xlpm.txt,
     IF(OR(COUNTIF(S12,"L*"), COUNTIF(S12, "X*")),
        IF(AND(COUNTIF(S12,"*P*"), COUNTIF(S12,"*V*")),
           IF(COUNTIF(S12,"*R*"),
              SUBSTITUTE(SUBSTITUTE(S12,"P",""),"R","S"),
              SUBSTITUTE(S12,"P","")),
           IF(AND(COUNTIF(S12,"*P*"), COUNTIF(S12,"*R*")),
              SUBSTITUTE(S12,"R","S"),
              IF(AND(COUNTIF(S12,"*V*"), COUNTIF(S12,"*R*")),
                 SUBSTITUTE(S12,"R","S"),
                 S12))),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IF(AND(COUNTIF(S12,"*P*"), COUNTIF(S12,"*V*")),
                               IF(COUNTIF(S12,"*R*"),
                                  SUBSTITUTE(SUBSTITUTE(S12,"P",""),"R","S"),
                                  SUBSTITUTE(S12,"P","")),
                               IF(AND(COUNTIF(S12,"*P*"), COUNTIF(S12,"*R*")),
                                  SUBSTITUTE(S12,"R","S"),
                                  IF(AND(COUNTIF(S12,"*V*"), COUNTIF(S12,"*R*")),
                                     SUBSTITUTE(S12,"R","S"),
                                     S12))),
                          "0",""),"1",""),"2",""),"3",""),"4",""),
                      "5",""),"6",""),"7",""),"8",""),"9","")
     ),
     IF(SUM(--ISNUMBER(FIND({0,1,2,3,4,5,6,7,8,9}, _xlpm.txt)))=0,
        _xlpm.txt &amp; Data!CH54,
        _xlpm.txt
     )
   ),
   ""
)</f>
        <v/>
      </c>
      <c r="T34" s="41" t="str" cm="1">
        <f t="array" ref="T34">IF(T12&lt;&gt;"",
   _xlfn.LET(
     _xlpm.txt,
     IF(OR(COUNTIF(T12,"L*"), COUNTIF(T12, "X*")),
        IF(AND(COUNTIF(T12,"*P*"), COUNTIF(T12,"*V*")),
           IF(COUNTIF(T12,"*R*"),
              SUBSTITUTE(SUBSTITUTE(T12,"P",""),"R","S"),
              SUBSTITUTE(T12,"P","")),
           IF(AND(COUNTIF(T12,"*P*"), COUNTIF(T12,"*R*")),
              SUBSTITUTE(T12,"R","S"),
              IF(AND(COUNTIF(T12,"*V*"), COUNTIF(T12,"*R*")),
                 SUBSTITUTE(T12,"R","S"),
                 T12))),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IF(AND(COUNTIF(T12,"*P*"), COUNTIF(T12,"*V*")),
                               IF(COUNTIF(T12,"*R*"),
                                  SUBSTITUTE(SUBSTITUTE(T12,"P",""),"R","S"),
                                  SUBSTITUTE(T12,"P","")),
                               IF(AND(COUNTIF(T12,"*P*"), COUNTIF(T12,"*R*")),
                                  SUBSTITUTE(T12,"R","S"),
                                  IF(AND(COUNTIF(T12,"*V*"), COUNTIF(T12,"*R*")),
                                     SUBSTITUTE(T12,"R","S"),
                                     T12))),
                          "0",""),"1",""),"2",""),"3",""),"4",""),
                      "5",""),"6",""),"7",""),"8",""),"9","")
     ),
     IF(SUM(--ISNUMBER(FIND({0,1,2,3,4,5,6,7,8,9}, _xlpm.txt)))=0,
        _xlpm.txt &amp; Data!CI54,
        _xlpm.txt
     )
   ),
   ""
)</f>
        <v/>
      </c>
      <c r="U34" s="41" t="str" cm="1">
        <f t="array" ref="U34">IF(U12&lt;&gt;"",
   _xlfn.LET(
     _xlpm.txt,
     IF(OR(COUNTIF(U12,"L*"), COUNTIF(U12, "X*")),
        IF(AND(COUNTIF(U12,"*P*"), COUNTIF(U12,"*V*")),
           IF(COUNTIF(U12,"*R*"),
              SUBSTITUTE(SUBSTITUTE(U12,"P",""),"R","S"),
              SUBSTITUTE(U12,"P","")),
           IF(AND(COUNTIF(U12,"*P*"), COUNTIF(U12,"*R*")),
              SUBSTITUTE(U12,"R","S"),
              IF(AND(COUNTIF(U12,"*V*"), COUNTIF(U12,"*R*")),
                 SUBSTITUTE(U12,"R","S"),
                 U12))),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IF(AND(COUNTIF(U12,"*P*"), COUNTIF(U12,"*V*")),
                               IF(COUNTIF(U12,"*R*"),
                                  SUBSTITUTE(SUBSTITUTE(U12,"P",""),"R","S"),
                                  SUBSTITUTE(U12,"P","")),
                               IF(AND(COUNTIF(U12,"*P*"), COUNTIF(U12,"*R*")),
                                  SUBSTITUTE(U12,"R","S"),
                                  IF(AND(COUNTIF(U12,"*V*"), COUNTIF(U12,"*R*")),
                                     SUBSTITUTE(U12,"R","S"),
                                     U12))),
                          "0",""),"1",""),"2",""),"3",""),"4",""),
                      "5",""),"6",""),"7",""),"8",""),"9","")
     ),
     IF(SUM(--ISNUMBER(FIND({0,1,2,3,4,5,6,7,8,9}, _xlpm.txt)))=0,
        _xlpm.txt &amp; Data!CJ54,
        _xlpm.txt
     )
   ),
   ""
)</f>
        <v/>
      </c>
      <c r="V34" s="41" t="str" cm="1">
        <f t="array" ref="V34">IF(V12&lt;&gt;"",
   _xlfn.LET(
     _xlpm.txt,
     IF(OR(COUNTIF(V12,"L*"), COUNTIF(V12, "X*")),
        IF(AND(COUNTIF(V12,"*P*"), COUNTIF(V12,"*V*")),
           IF(COUNTIF(V12,"*R*"),
              SUBSTITUTE(SUBSTITUTE(V12,"P",""),"R","S"),
              SUBSTITUTE(V12,"P","")),
           IF(AND(COUNTIF(V12,"*P*"), COUNTIF(V12,"*R*")),
              SUBSTITUTE(V12,"R","S"),
              IF(AND(COUNTIF(V12,"*V*"), COUNTIF(V12,"*R*")),
                 SUBSTITUTE(V12,"R","S"),
                 V12))),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IF(AND(COUNTIF(V12,"*P*"), COUNTIF(V12,"*V*")),
                               IF(COUNTIF(V12,"*R*"),
                                  SUBSTITUTE(SUBSTITUTE(V12,"P",""),"R","S"),
                                  SUBSTITUTE(V12,"P","")),
                               IF(AND(COUNTIF(V12,"*P*"), COUNTIF(V12,"*R*")),
                                  SUBSTITUTE(V12,"R","S"),
                                  IF(AND(COUNTIF(V12,"*V*"), COUNTIF(V12,"*R*")),
                                     SUBSTITUTE(V12,"R","S"),
                                     V12))),
                          "0",""),"1",""),"2",""),"3",""),"4",""),
                      "5",""),"6",""),"7",""),"8",""),"9","")
     ),
     IF(SUM(--ISNUMBER(FIND({0,1,2,3,4,5,6,7,8,9}, _xlpm.txt)))=0,
        _xlpm.txt &amp; Data!CK54,
        _xlpm.txt
     )
   ),
   ""
)</f>
        <v/>
      </c>
      <c r="W34" s="41" t="str" cm="1">
        <f t="array" ref="W34">IF(W12&lt;&gt;"",
   _xlfn.LET(
     _xlpm.txt,
     IF(OR(COUNTIF(W12,"L*"), COUNTIF(W12, "X*")),
        IF(AND(COUNTIF(W12,"*P*"), COUNTIF(W12,"*V*")),
           IF(COUNTIF(W12,"*R*"),
              SUBSTITUTE(SUBSTITUTE(W12,"P",""),"R","S"),
              SUBSTITUTE(W12,"P","")),
           IF(AND(COUNTIF(W12,"*P*"), COUNTIF(W12,"*R*")),
              SUBSTITUTE(W12,"R","S"),
              IF(AND(COUNTIF(W12,"*V*"), COUNTIF(W12,"*R*")),
                 SUBSTITUTE(W12,"R","S"),
                 W12))),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IF(AND(COUNTIF(W12,"*P*"), COUNTIF(W12,"*V*")),
                               IF(COUNTIF(W12,"*R*"),
                                  SUBSTITUTE(SUBSTITUTE(W12,"P",""),"R","S"),
                                  SUBSTITUTE(W12,"P","")),
                               IF(AND(COUNTIF(W12,"*P*"), COUNTIF(W12,"*R*")),
                                  SUBSTITUTE(W12,"R","S"),
                                  IF(AND(COUNTIF(W12,"*V*"), COUNTIF(W12,"*R*")),
                                     SUBSTITUTE(W12,"R","S"),
                                     W12))),
                          "0",""),"1",""),"2",""),"3",""),"4",""),
                      "5",""),"6",""),"7",""),"8",""),"9","")
     ),
     IF(SUM(--ISNUMBER(FIND({0,1,2,3,4,5,6,7,8,9}, _xlpm.txt)))=0,
        _xlpm.txt &amp; Data!CL54,
        _xlpm.txt
     )
   ),
   ""
)</f>
        <v/>
      </c>
      <c r="X34" s="41" t="str" cm="1">
        <f t="array" ref="X34">IF(X12&lt;&gt;"",
   _xlfn.LET(
     _xlpm.txt,
     IF(OR(COUNTIF(X12,"L*"), COUNTIF(X12, "X*")),
        IF(AND(COUNTIF(X12,"*P*"), COUNTIF(X12,"*V*")),
           IF(COUNTIF(X12,"*R*"),
              SUBSTITUTE(SUBSTITUTE(X12,"P",""),"R","S"),
              SUBSTITUTE(X12,"P","")),
           IF(AND(COUNTIF(X12,"*P*"), COUNTIF(X12,"*R*")),
              SUBSTITUTE(X12,"R","S"),
              IF(AND(COUNTIF(X12,"*V*"), COUNTIF(X12,"*R*")),
                 SUBSTITUTE(X12,"R","S"),
                 X12))),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IF(AND(COUNTIF(X12,"*P*"), COUNTIF(X12,"*V*")),
                               IF(COUNTIF(X12,"*R*"),
                                  SUBSTITUTE(SUBSTITUTE(X12,"P",""),"R","S"),
                                  SUBSTITUTE(X12,"P","")),
                               IF(AND(COUNTIF(X12,"*P*"), COUNTIF(X12,"*R*")),
                                  SUBSTITUTE(X12,"R","S"),
                                  IF(AND(COUNTIF(X12,"*V*"), COUNTIF(X12,"*R*")),
                                     SUBSTITUTE(X12,"R","S"),
                                     X12))),
                          "0",""),"1",""),"2",""),"3",""),"4",""),
                      "5",""),"6",""),"7",""),"8",""),"9","")
     ),
     IF(SUM(--ISNUMBER(FIND({0,1,2,3,4,5,6,7,8,9}, _xlpm.txt)))=0,
        _xlpm.txt &amp; Data!CM54,
        _xlpm.txt
     )
   ),
   ""
)</f>
        <v/>
      </c>
      <c r="Y34" s="41" t="str" cm="1">
        <f t="array" ref="Y34">IF(Y12&lt;&gt;"",
   _xlfn.LET(
     _xlpm.txt,
     IF(OR(COUNTIF(Y12,"L*"), COUNTIF(Y12, "X*")),
        IF(AND(COUNTIF(Y12,"*P*"), COUNTIF(Y12,"*V*")),
           IF(COUNTIF(Y12,"*R*"),
              SUBSTITUTE(SUBSTITUTE(Y12,"P",""),"R","S"),
              SUBSTITUTE(Y12,"P","")),
           IF(AND(COUNTIF(Y12,"*P*"), COUNTIF(Y12,"*R*")),
              SUBSTITUTE(Y12,"R","S"),
              IF(AND(COUNTIF(Y12,"*V*"), COUNTIF(Y12,"*R*")),
                 SUBSTITUTE(Y12,"R","S"),
                 Y12))),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IF(AND(COUNTIF(Y12,"*P*"), COUNTIF(Y12,"*V*")),
                               IF(COUNTIF(Y12,"*R*"),
                                  SUBSTITUTE(SUBSTITUTE(Y12,"P",""),"R","S"),
                                  SUBSTITUTE(Y12,"P","")),
                               IF(AND(COUNTIF(Y12,"*P*"), COUNTIF(Y12,"*R*")),
                                  SUBSTITUTE(Y12,"R","S"),
                                  IF(AND(COUNTIF(Y12,"*V*"), COUNTIF(Y12,"*R*")),
                                     SUBSTITUTE(Y12,"R","S"),
                                     Y12))),
                          "0",""),"1",""),"2",""),"3",""),"4",""),
                      "5",""),"6",""),"7",""),"8",""),"9","")
     ),
     IF(SUM(--ISNUMBER(FIND({0,1,2,3,4,5,6,7,8,9}, _xlpm.txt)))=0,
        _xlpm.txt &amp; Data!CN54,
        _xlpm.txt
     )
   ),
   ""
)</f>
        <v/>
      </c>
      <c r="Z34" s="41" t="str" cm="1">
        <f t="array" ref="Z34">IF(Z12&lt;&gt;"",
   _xlfn.LET(
     _xlpm.txt,
     IF(OR(COUNTIF(Z12,"L*"), COUNTIF(Z12, "X*")),
        IF(AND(COUNTIF(Z12,"*P*"), COUNTIF(Z12,"*V*")),
           IF(COUNTIF(Z12,"*R*"),
              SUBSTITUTE(SUBSTITUTE(Z12,"P",""),"R","S"),
              SUBSTITUTE(Z12,"P","")),
           IF(AND(COUNTIF(Z12,"*P*"), COUNTIF(Z12,"*R*")),
              SUBSTITUTE(Z12,"R","S"),
              IF(AND(COUNTIF(Z12,"*V*"), COUNTIF(Z12,"*R*")),
                 SUBSTITUTE(Z12,"R","S"),
                 Z12))),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IF(AND(COUNTIF(Z12,"*P*"), COUNTIF(Z12,"*V*")),
                               IF(COUNTIF(Z12,"*R*"),
                                  SUBSTITUTE(SUBSTITUTE(Z12,"P",""),"R","S"),
                                  SUBSTITUTE(Z12,"P","")),
                               IF(AND(COUNTIF(Z12,"*P*"), COUNTIF(Z12,"*R*")),
                                  SUBSTITUTE(Z12,"R","S"),
                                  IF(AND(COUNTIF(Z12,"*V*"), COUNTIF(Z12,"*R*")),
                                     SUBSTITUTE(Z12,"R","S"),
                                     Z12))),
                          "0",""),"1",""),"2",""),"3",""),"4",""),
                      "5",""),"6",""),"7",""),"8",""),"9","")
     ),
     IF(SUM(--ISNUMBER(FIND({0,1,2,3,4,5,6,7,8,9}, _xlpm.txt)))=0,
        _xlpm.txt &amp; Data!CO54,
        _xlpm.txt
     )
   ),
   ""
)</f>
        <v/>
      </c>
      <c r="AA34" s="41" t="str" cm="1">
        <f t="array" ref="AA34">IF(AA12&lt;&gt;"",
   _xlfn.LET(
     _xlpm.txt,
     IF(OR(COUNTIF(AA12,"L*"), COUNTIF(AA12, "X*")),
        IF(AND(COUNTIF(AA12,"*P*"), COUNTIF(AA12,"*V*")),
           IF(COUNTIF(AA12,"*R*"),
              SUBSTITUTE(SUBSTITUTE(AA12,"P",""),"R","S"),
              SUBSTITUTE(AA12,"P","")),
           IF(AND(COUNTIF(AA12,"*P*"), COUNTIF(AA12,"*R*")),
              SUBSTITUTE(AA12,"R","S"),
              IF(AND(COUNTIF(AA12,"*V*"), COUNTIF(AA12,"*R*")),
                 SUBSTITUTE(AA12,"R","S"),
                 AA12))),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IF(AND(COUNTIF(AA12,"*P*"), COUNTIF(AA12,"*V*")),
                               IF(COUNTIF(AA12,"*R*"),
                                  SUBSTITUTE(SUBSTITUTE(AA12,"P",""),"R","S"),
                                  SUBSTITUTE(AA12,"P","")),
                               IF(AND(COUNTIF(AA12,"*P*"), COUNTIF(AA12,"*R*")),
                                  SUBSTITUTE(AA12,"R","S"),
                                  IF(AND(COUNTIF(AA12,"*V*"), COUNTIF(AA12,"*R*")),
                                     SUBSTITUTE(AA12,"R","S"),
                                     AA12))),
                          "0",""),"1",""),"2",""),"3",""),"4",""),
                      "5",""),"6",""),"7",""),"8",""),"9","")
     ),
     IF(SUM(--ISNUMBER(FIND({0,1,2,3,4,5,6,7,8,9}, _xlpm.txt)))=0,
        _xlpm.txt &amp; Data!CP54,
        _xlpm.txt
     )
   ),
   ""
)</f>
        <v/>
      </c>
      <c r="AB34" s="41" t="str" cm="1">
        <f t="array" ref="AB34">IF(AB12&lt;&gt;"",
   _xlfn.LET(
     _xlpm.txt,
     IF(OR(COUNTIF(AB12,"L*"), COUNTIF(AB12, "X*")),
        IF(AND(COUNTIF(AB12,"*P*"), COUNTIF(AB12,"*V*")),
           IF(COUNTIF(AB12,"*R*"),
              SUBSTITUTE(SUBSTITUTE(AB12,"P",""),"R","S"),
              SUBSTITUTE(AB12,"P","")),
           IF(AND(COUNTIF(AB12,"*P*"), COUNTIF(AB12,"*R*")),
              SUBSTITUTE(AB12,"R","S"),
              IF(AND(COUNTIF(AB12,"*V*"), COUNTIF(AB12,"*R*")),
                 SUBSTITUTE(AB12,"R","S"),
                 AB12))),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IF(AND(COUNTIF(AB12,"*P*"), COUNTIF(AB12,"*V*")),
                               IF(COUNTIF(AB12,"*R*"),
                                  SUBSTITUTE(SUBSTITUTE(AB12,"P",""),"R","S"),
                                  SUBSTITUTE(AB12,"P","")),
                               IF(AND(COUNTIF(AB12,"*P*"), COUNTIF(AB12,"*R*")),
                                  SUBSTITUTE(AB12,"R","S"),
                                  IF(AND(COUNTIF(AB12,"*V*"), COUNTIF(AB12,"*R*")),
                                     SUBSTITUTE(AB12,"R","S"),
                                     AB12))),
                          "0",""),"1",""),"2",""),"3",""),"4",""),
                      "5",""),"6",""),"7",""),"8",""),"9","")
     ),
     IF(SUM(--ISNUMBER(FIND({0,1,2,3,4,5,6,7,8,9}, _xlpm.txt)))=0,
        _xlpm.txt &amp; Data!CQ54,
        _xlpm.txt
     )
   ),
   ""
)</f>
        <v/>
      </c>
      <c r="AC34" s="41" t="str" cm="1">
        <f t="array" ref="AC34">IF(AC12&lt;&gt;"",
   _xlfn.LET(
     _xlpm.txt,
     IF(OR(COUNTIF(AC12,"L*"), COUNTIF(AC12, "X*")),
        IF(AND(COUNTIF(AC12,"*P*"), COUNTIF(AC12,"*V*")),
           IF(COUNTIF(AC12,"*R*"),
              SUBSTITUTE(SUBSTITUTE(AC12,"P",""),"R","S"),
              SUBSTITUTE(AC12,"P","")),
           IF(AND(COUNTIF(AC12,"*P*"), COUNTIF(AC12,"*R*")),
              SUBSTITUTE(AC12,"R","S"),
              IF(AND(COUNTIF(AC12,"*V*"), COUNTIF(AC12,"*R*")),
                 SUBSTITUTE(AC12,"R","S"),
                 AC12))),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IF(AND(COUNTIF(AC12,"*P*"), COUNTIF(AC12,"*V*")),
                               IF(COUNTIF(AC12,"*R*"),
                                  SUBSTITUTE(SUBSTITUTE(AC12,"P",""),"R","S"),
                                  SUBSTITUTE(AC12,"P","")),
                               IF(AND(COUNTIF(AC12,"*P*"), COUNTIF(AC12,"*R*")),
                                  SUBSTITUTE(AC12,"R","S"),
                                  IF(AND(COUNTIF(AC12,"*V*"), COUNTIF(AC12,"*R*")),
                                     SUBSTITUTE(AC12,"R","S"),
                                     AC12))),
                          "0",""),"1",""),"2",""),"3",""),"4",""),
                      "5",""),"6",""),"7",""),"8",""),"9","")
     ),
     IF(SUM(--ISNUMBER(FIND({0,1,2,3,4,5,6,7,8,9}, _xlpm.txt)))=0,
        _xlpm.txt &amp; Data!CR54,
        _xlpm.txt
     )
   ),
   ""
)</f>
        <v/>
      </c>
      <c r="AD34" s="41" t="str" cm="1">
        <f t="array" ref="AD34">IF(AD12&lt;&gt;"",
   _xlfn.LET(
     _xlpm.txt,
     IF(OR(COUNTIF(AD12,"L*"), COUNTIF(AD12, "X*")),
        IF(AND(COUNTIF(AD12,"*P*"), COUNTIF(AD12,"*V*")),
           IF(COUNTIF(AD12,"*R*"),
              SUBSTITUTE(SUBSTITUTE(AD12,"P",""),"R","S"),
              SUBSTITUTE(AD12,"P","")),
           IF(AND(COUNTIF(AD12,"*P*"), COUNTIF(AD12,"*R*")),
              SUBSTITUTE(AD12,"R","S"),
              IF(AND(COUNTIF(AD12,"*V*"), COUNTIF(AD12,"*R*")),
                 SUBSTITUTE(AD12,"R","S"),
                 AD12))),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IF(AND(COUNTIF(AD12,"*P*"), COUNTIF(AD12,"*V*")),
                               IF(COUNTIF(AD12,"*R*"),
                                  SUBSTITUTE(SUBSTITUTE(AD12,"P",""),"R","S"),
                                  SUBSTITUTE(AD12,"P","")),
                               IF(AND(COUNTIF(AD12,"*P*"), COUNTIF(AD12,"*R*")),
                                  SUBSTITUTE(AD12,"R","S"),
                                  IF(AND(COUNTIF(AD12,"*V*"), COUNTIF(AD12,"*R*")),
                                     SUBSTITUTE(AD12,"R","S"),
                                     AD12))),
                          "0",""),"1",""),"2",""),"3",""),"4",""),
                      "5",""),"6",""),"7",""),"8",""),"9","")
     ),
     IF(SUM(--ISNUMBER(FIND({0,1,2,3,4,5,6,7,8,9}, _xlpm.txt)))=0,
        _xlpm.txt &amp; Data!CS54,
        _xlpm.txt
     )
   ),
   ""
)</f>
        <v/>
      </c>
      <c r="AE34" s="41" t="str" cm="1">
        <f t="array" ref="AE34">IF(AE12&lt;&gt;"",
   _xlfn.LET(
     _xlpm.txt,
     IF(OR(COUNTIF(AE12,"L*"), COUNTIF(AE12, "X*")),
        IF(AND(COUNTIF(AE12,"*P*"), COUNTIF(AE12,"*V*")),
           IF(COUNTIF(AE12,"*R*"),
              SUBSTITUTE(SUBSTITUTE(AE12,"P",""),"R","S"),
              SUBSTITUTE(AE12,"P","")),
           IF(AND(COUNTIF(AE12,"*P*"), COUNTIF(AE12,"*R*")),
              SUBSTITUTE(AE12,"R","S"),
              IF(AND(COUNTIF(AE12,"*V*"), COUNTIF(AE12,"*R*")),
                 SUBSTITUTE(AE12,"R","S"),
                 AE12))),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IF(AND(COUNTIF(AE12,"*P*"), COUNTIF(AE12,"*V*")),
                               IF(COUNTIF(AE12,"*R*"),
                                  SUBSTITUTE(SUBSTITUTE(AE12,"P",""),"R","S"),
                                  SUBSTITUTE(AE12,"P","")),
                               IF(AND(COUNTIF(AE12,"*P*"), COUNTIF(AE12,"*R*")),
                                  SUBSTITUTE(AE12,"R","S"),
                                  IF(AND(COUNTIF(AE12,"*V*"), COUNTIF(AE12,"*R*")),
                                     SUBSTITUTE(AE12,"R","S"),
                                     AE12))),
                          "0",""),"1",""),"2",""),"3",""),"4",""),
                      "5",""),"6",""),"7",""),"8",""),"9","")
     ),
     IF(SUM(--ISNUMBER(FIND({0,1,2,3,4,5,6,7,8,9}, _xlpm.txt)))=0,
        _xlpm.txt &amp; Data!CT54,
        _xlpm.txt
     )
   ),
   ""
)</f>
        <v/>
      </c>
      <c r="AF34" s="41" t="str" cm="1">
        <f t="array" ref="AF34">IF(AF12&lt;&gt;"",
   _xlfn.LET(
     _xlpm.txt,
     IF(OR(COUNTIF(AF12,"L*"), COUNTIF(AF12, "X*")),
        IF(AND(COUNTIF(AF12,"*P*"), COUNTIF(AF12,"*V*")),
           IF(COUNTIF(AF12,"*R*"),
              SUBSTITUTE(SUBSTITUTE(AF12,"P",""),"R","S"),
              SUBSTITUTE(AF12,"P","")),
           IF(AND(COUNTIF(AF12,"*P*"), COUNTIF(AF12,"*R*")),
              SUBSTITUTE(AF12,"R","S"),
              IF(AND(COUNTIF(AF12,"*V*"), COUNTIF(AF12,"*R*")),
                 SUBSTITUTE(AF12,"R","S"),
                 AF12))),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IF(AND(COUNTIF(AF12,"*P*"), COUNTIF(AF12,"*V*")),
                               IF(COUNTIF(AF12,"*R*"),
                                  SUBSTITUTE(SUBSTITUTE(AF12,"P",""),"R","S"),
                                  SUBSTITUTE(AF12,"P","")),
                               IF(AND(COUNTIF(AF12,"*P*"), COUNTIF(AF12,"*R*")),
                                  SUBSTITUTE(AF12,"R","S"),
                                  IF(AND(COUNTIF(AF12,"*V*"), COUNTIF(AF12,"*R*")),
                                     SUBSTITUTE(AF12,"R","S"),
                                     AF12))),
                          "0",""),"1",""),"2",""),"3",""),"4",""),
                      "5",""),"6",""),"7",""),"8",""),"9","")
     ),
     IF(SUM(--ISNUMBER(FIND({0,1,2,3,4,5,6,7,8,9}, _xlpm.txt)))=0,
        _xlpm.txt &amp; Data!CU54,
        _xlpm.txt
     )
   ),
   ""
)</f>
        <v/>
      </c>
      <c r="AG34" s="41" t="str" cm="1">
        <f t="array" ref="AG34">IF(AG12&lt;&gt;"",
   _xlfn.LET(
     _xlpm.txt,
     IF(OR(COUNTIF(AG12,"L*"), COUNTIF(AG12, "X*")),
        IF(AND(COUNTIF(AG12,"*P*"), COUNTIF(AG12,"*V*")),
           IF(COUNTIF(AG12,"*R*"),
              SUBSTITUTE(SUBSTITUTE(AG12,"P",""),"R","S"),
              SUBSTITUTE(AG12,"P","")),
           IF(AND(COUNTIF(AG12,"*P*"), COUNTIF(AG12,"*R*")),
              SUBSTITUTE(AG12,"R","S"),
              IF(AND(COUNTIF(AG12,"*V*"), COUNTIF(AG12,"*R*")),
                 SUBSTITUTE(AG12,"R","S"),
                 AG12))),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IF(AND(COUNTIF(AG12,"*P*"), COUNTIF(AG12,"*V*")),
                               IF(COUNTIF(AG12,"*R*"),
                                  SUBSTITUTE(SUBSTITUTE(AG12,"P",""),"R","S"),
                                  SUBSTITUTE(AG12,"P","")),
                               IF(AND(COUNTIF(AG12,"*P*"), COUNTIF(AG12,"*R*")),
                                  SUBSTITUTE(AG12,"R","S"),
                                  IF(AND(COUNTIF(AG12,"*V*"), COUNTIF(AG12,"*R*")),
                                     SUBSTITUTE(AG12,"R","S"),
                                     AG12))),
                          "0",""),"1",""),"2",""),"3",""),"4",""),
                      "5",""),"6",""),"7",""),"8",""),"9","")
     ),
     IF(SUM(--ISNUMBER(FIND({0,1,2,3,4,5,6,7,8,9}, _xlpm.txt)))=0,
        _xlpm.txt &amp; Data!CV54,
        _xlpm.txt
     )
   ),
   ""
)</f>
        <v/>
      </c>
      <c r="AH34" s="41" t="str" cm="1">
        <f t="array" ref="AH34">IF(AH12&lt;&gt;"",
   _xlfn.LET(
     _xlpm.txt,
     IF(OR(COUNTIF(AH12,"L*"), COUNTIF(AH12, "X*")),
        IF(AND(COUNTIF(AH12,"*P*"), COUNTIF(AH12,"*V*")),
           IF(COUNTIF(AH12,"*R*"),
              SUBSTITUTE(SUBSTITUTE(AH12,"P",""),"R","S"),
              SUBSTITUTE(AH12,"P","")),
           IF(AND(COUNTIF(AH12,"*P*"), COUNTIF(AH12,"*R*")),
              SUBSTITUTE(AH12,"R","S"),
              IF(AND(COUNTIF(AH12,"*V*"), COUNTIF(AH12,"*R*")),
                 SUBSTITUTE(AH12,"R","S"),
                 AH12))),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IF(AND(COUNTIF(AH12,"*P*"), COUNTIF(AH12,"*V*")),
                               IF(COUNTIF(AH12,"*R*"),
                                  SUBSTITUTE(SUBSTITUTE(AH12,"P",""),"R","S"),
                                  SUBSTITUTE(AH12,"P","")),
                               IF(AND(COUNTIF(AH12,"*P*"), COUNTIF(AH12,"*R*")),
                                  SUBSTITUTE(AH12,"R","S"),
                                  IF(AND(COUNTIF(AH12,"*V*"), COUNTIF(AH12,"*R*")),
                                     SUBSTITUTE(AH12,"R","S"),
                                     AH12))),
                          "0",""),"1",""),"2",""),"3",""),"4",""),
                      "5",""),"6",""),"7",""),"8",""),"9","")
     ),
     IF(SUM(--ISNUMBER(FIND({0,1,2,3,4,5,6,7,8,9}, _xlpm.txt)))=0,
        _xlpm.txt &amp; Data!CW54,
        _xlpm.txt
     )
   ),
   ""
)</f>
        <v/>
      </c>
      <c r="AI34" s="41" t="str" cm="1">
        <f t="array" ref="AI34">IF(AI12&lt;&gt;"",
   _xlfn.LET(
     _xlpm.txt,
     IF(OR(COUNTIF(AI12,"L*"), COUNTIF(AI12, "X*")),
        IF(AND(COUNTIF(AI12,"*P*"), COUNTIF(AI12,"*V*")),
           IF(COUNTIF(AI12,"*R*"),
              SUBSTITUTE(SUBSTITUTE(AI12,"P",""),"R","S"),
              SUBSTITUTE(AI12,"P","")),
           IF(AND(COUNTIF(AI12,"*P*"), COUNTIF(AI12,"*R*")),
              SUBSTITUTE(AI12,"R","S"),
              IF(AND(COUNTIF(AI12,"*V*"), COUNTIF(AI12,"*R*")),
                 SUBSTITUTE(AI12,"R","S"),
                 AI12))),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IF(AND(COUNTIF(AI12,"*P*"), COUNTIF(AI12,"*V*")),
                               IF(COUNTIF(AI12,"*R*"),
                                  SUBSTITUTE(SUBSTITUTE(AI12,"P",""),"R","S"),
                                  SUBSTITUTE(AI12,"P","")),
                               IF(AND(COUNTIF(AI12,"*P*"), COUNTIF(AI12,"*R*")),
                                  SUBSTITUTE(AI12,"R","S"),
                                  IF(AND(COUNTIF(AI12,"*V*"), COUNTIF(AI12,"*R*")),
                                     SUBSTITUTE(AI12,"R","S"),
                                     AI12))),
                          "0",""),"1",""),"2",""),"3",""),"4",""),
                      "5",""),"6",""),"7",""),"8",""),"9","")
     ),
     IF(SUM(--ISNUMBER(FIND({0,1,2,3,4,5,6,7,8,9}, _xlpm.txt)))=0,
        _xlpm.txt &amp; Data!CX54,
        _xlpm.txt
     )
   ),
   ""
)</f>
        <v/>
      </c>
      <c r="AJ34" s="41" t="str" cm="1">
        <f t="array" ref="AJ34">IF(AJ12&lt;&gt;"",
   _xlfn.LET(
     _xlpm.txt,
     IF(OR(COUNTIF(AJ12,"L*"), COUNTIF(AJ12, "X*")),
        IF(AND(COUNTIF(AJ12,"*P*"), COUNTIF(AJ12,"*V*")),
           IF(COUNTIF(AJ12,"*R*"),
              SUBSTITUTE(SUBSTITUTE(AJ12,"P",""),"R","S"),
              SUBSTITUTE(AJ12,"P","")),
           IF(AND(COUNTIF(AJ12,"*P*"), COUNTIF(AJ12,"*R*")),
              SUBSTITUTE(AJ12,"R","S"),
              IF(AND(COUNTIF(AJ12,"*V*"), COUNTIF(AJ12,"*R*")),
                 SUBSTITUTE(AJ12,"R","S"),
                 AJ12))),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IF(AND(COUNTIF(AJ12,"*P*"), COUNTIF(AJ12,"*V*")),
                               IF(COUNTIF(AJ12,"*R*"),
                                  SUBSTITUTE(SUBSTITUTE(AJ12,"P",""),"R","S"),
                                  SUBSTITUTE(AJ12,"P","")),
                               IF(AND(COUNTIF(AJ12,"*P*"), COUNTIF(AJ12,"*R*")),
                                  SUBSTITUTE(AJ12,"R","S"),
                                  IF(AND(COUNTIF(AJ12,"*V*"), COUNTIF(AJ12,"*R*")),
                                     SUBSTITUTE(AJ12,"R","S"),
                                     AJ12))),
                          "0",""),"1",""),"2",""),"3",""),"4",""),
                      "5",""),"6",""),"7",""),"8",""),"9","")
     ),
     IF(SUM(--ISNUMBER(FIND({0,1,2,3,4,5,6,7,8,9}, _xlpm.txt)))=0,
        _xlpm.txt &amp; Data!CY54,
        _xlpm.txt
     )
   ),
   ""
)</f>
        <v/>
      </c>
    </row>
    <row r="35" spans="1:54" ht="23.25" customHeight="1" x14ac:dyDescent="0.35">
      <c r="A35" s="1196"/>
      <c r="B35" s="22">
        <v>10</v>
      </c>
      <c r="C35" s="41" t="str" cm="1">
        <f t="array" ref="C35">IF(C13&lt;&gt;"",
   _xlfn.LET(
     _xlpm.txt,
     IF(OR(COUNTIF(C13,"L*"), COUNTIF(C13, "X*")),
        IF(AND(COUNTIF(C13,"*P*"), COUNTIF(C13,"*V*")),
           IF(COUNTIF(C13,"*R*"),
              SUBSTITUTE(SUBSTITUTE(C13,"P",""),"R","S"),
              SUBSTITUTE(C13,"P","")),
           IF(AND(COUNTIF(C13,"*P*"), COUNTIF(C13,"*R*")),
              SUBSTITUTE(C13,"R","S"),
              IF(AND(COUNTIF(C13,"*V*"), COUNTIF(C13,"*R*")),
                 SUBSTITUTE(C13,"R","S"),
                 C13))),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IF(AND(COUNTIF(C13,"*P*"), COUNTIF(C13,"*V*")),
                               IF(COUNTIF(C13,"*R*"),
                                  SUBSTITUTE(SUBSTITUTE(C13,"P",""),"R","S"),
                                  SUBSTITUTE(C13,"P","")),
                               IF(AND(COUNTIF(C13,"*P*"), COUNTIF(C13,"*R*")),
                                  SUBSTITUTE(C13,"R","S"),
                                  IF(AND(COUNTIF(C13,"*V*"), COUNTIF(C13,"*R*")),
                                     SUBSTITUTE(C13,"R","S"),
                                     C13))),
                          "0",""),"1",""),"2",""),"3",""),"4",""),
                      "5",""),"6",""),"7",""),"8",""),"9","")
     ),
     IF(SUM(--ISNUMBER(FIND({0,1,2,3,4,5,6,7,8,9}, _xlpm.txt)))=0,
        _xlpm.txt &amp; Data!BR55,
        _xlpm.txt
     )
   ),
   ""
)</f>
        <v/>
      </c>
      <c r="D35" s="41" t="str" cm="1">
        <f t="array" ref="D35">IF(D13&lt;&gt;"",
   _xlfn.LET(
     _xlpm.txt,
     IF(OR(COUNTIF(D13,"L*"), COUNTIF(D13, "X*")),
        IF(AND(COUNTIF(D13,"*P*"), COUNTIF(D13,"*V*")),
           IF(COUNTIF(D13,"*R*"),
              SUBSTITUTE(SUBSTITUTE(D13,"P",""),"R","S"),
              SUBSTITUTE(D13,"P","")),
           IF(AND(COUNTIF(D13,"*P*"), COUNTIF(D13,"*R*")),
              SUBSTITUTE(D13,"R","S"),
              IF(AND(COUNTIF(D13,"*V*"), COUNTIF(D13,"*R*")),
                 SUBSTITUTE(D13,"R","S"),
                 D13))),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IF(AND(COUNTIF(D13,"*P*"), COUNTIF(D13,"*V*")),
                               IF(COUNTIF(D13,"*R*"),
                                  SUBSTITUTE(SUBSTITUTE(D13,"P",""),"R","S"),
                                  SUBSTITUTE(D13,"P","")),
                               IF(AND(COUNTIF(D13,"*P*"), COUNTIF(D13,"*R*")),
                                  SUBSTITUTE(D13,"R","S"),
                                  IF(AND(COUNTIF(D13,"*V*"), COUNTIF(D13,"*R*")),
                                     SUBSTITUTE(D13,"R","S"),
                                     D13))),
                          "0",""),"1",""),"2",""),"3",""),"4",""),
                      "5",""),"6",""),"7",""),"8",""),"9","")
     ),
     IF(SUM(--ISNUMBER(FIND({0,1,2,3,4,5,6,7,8,9}, _xlpm.txt)))=0,
        _xlpm.txt &amp; Data!BS55,
        _xlpm.txt
     )
   ),
   ""
)</f>
        <v/>
      </c>
      <c r="E35" s="41" t="str" cm="1">
        <f t="array" ref="E35">IF(E13&lt;&gt;"",
   _xlfn.LET(
     _xlpm.txt,
     IF(OR(COUNTIF(E13,"L*"), COUNTIF(E13, "X*")),
        IF(AND(COUNTIF(E13,"*P*"), COUNTIF(E13,"*V*")),
           IF(COUNTIF(E13,"*R*"),
              SUBSTITUTE(SUBSTITUTE(E13,"P",""),"R","S"),
              SUBSTITUTE(E13,"P","")),
           IF(AND(COUNTIF(E13,"*P*"), COUNTIF(E13,"*R*")),
              SUBSTITUTE(E13,"R","S"),
              IF(AND(COUNTIF(E13,"*V*"), COUNTIF(E13,"*R*")),
                 SUBSTITUTE(E13,"R","S"),
                 E13))),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IF(AND(COUNTIF(E13,"*P*"), COUNTIF(E13,"*V*")),
                               IF(COUNTIF(E13,"*R*"),
                                  SUBSTITUTE(SUBSTITUTE(E13,"P",""),"R","S"),
                                  SUBSTITUTE(E13,"P","")),
                               IF(AND(COUNTIF(E13,"*P*"), COUNTIF(E13,"*R*")),
                                  SUBSTITUTE(E13,"R","S"),
                                  IF(AND(COUNTIF(E13,"*V*"), COUNTIF(E13,"*R*")),
                                     SUBSTITUTE(E13,"R","S"),
                                     E13))),
                          "0",""),"1",""),"2",""),"3",""),"4",""),
                      "5",""),"6",""),"7",""),"8",""),"9","")
     ),
     IF(SUM(--ISNUMBER(FIND({0,1,2,3,4,5,6,7,8,9}, _xlpm.txt)))=0,
        _xlpm.txt &amp; Data!BT55,
        _xlpm.txt
     )
   ),
   ""
)</f>
        <v/>
      </c>
      <c r="F35" s="41" t="str" cm="1">
        <f t="array" ref="F35">IF(F13&lt;&gt;"",
   _xlfn.LET(
     _xlpm.txt,
     IF(OR(COUNTIF(F13,"L*"), COUNTIF(F13, "X*")),
        IF(AND(COUNTIF(F13,"*P*"), COUNTIF(F13,"*V*")),
           IF(COUNTIF(F13,"*R*"),
              SUBSTITUTE(SUBSTITUTE(F13,"P",""),"R","S"),
              SUBSTITUTE(F13,"P","")),
           IF(AND(COUNTIF(F13,"*P*"), COUNTIF(F13,"*R*")),
              SUBSTITUTE(F13,"R","S"),
              IF(AND(COUNTIF(F13,"*V*"), COUNTIF(F13,"*R*")),
                 SUBSTITUTE(F13,"R","S"),
                 F13))),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IF(AND(COUNTIF(F13,"*P*"), COUNTIF(F13,"*V*")),
                               IF(COUNTIF(F13,"*R*"),
                                  SUBSTITUTE(SUBSTITUTE(F13,"P",""),"R","S"),
                                  SUBSTITUTE(F13,"P","")),
                               IF(AND(COUNTIF(F13,"*P*"), COUNTIF(F13,"*R*")),
                                  SUBSTITUTE(F13,"R","S"),
                                  IF(AND(COUNTIF(F13,"*V*"), COUNTIF(F13,"*R*")),
                                     SUBSTITUTE(F13,"R","S"),
                                     F13))),
                          "0",""),"1",""),"2",""),"3",""),"4",""),
                      "5",""),"6",""),"7",""),"8",""),"9","")
     ),
     IF(SUM(--ISNUMBER(FIND({0,1,2,3,4,5,6,7,8,9}, _xlpm.txt)))=0,
        _xlpm.txt &amp; Data!BU55,
        _xlpm.txt
     )
   ),
   ""
)</f>
        <v/>
      </c>
      <c r="G35" s="41" t="str" cm="1">
        <f t="array" ref="G35">IF(G13&lt;&gt;"",
   _xlfn.LET(
     _xlpm.txt,
     IF(OR(COUNTIF(G13,"L*"), COUNTIF(G13, "X*")),
        IF(AND(COUNTIF(G13,"*P*"), COUNTIF(G13,"*V*")),
           IF(COUNTIF(G13,"*R*"),
              SUBSTITUTE(SUBSTITUTE(G13,"P",""),"R","S"),
              SUBSTITUTE(G13,"P","")),
           IF(AND(COUNTIF(G13,"*P*"), COUNTIF(G13,"*R*")),
              SUBSTITUTE(G13,"R","S"),
              IF(AND(COUNTIF(G13,"*V*"), COUNTIF(G13,"*R*")),
                 SUBSTITUTE(G13,"R","S"),
                 G13))),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IF(AND(COUNTIF(G13,"*P*"), COUNTIF(G13,"*V*")),
                               IF(COUNTIF(G13,"*R*"),
                                  SUBSTITUTE(SUBSTITUTE(G13,"P",""),"R","S"),
                                  SUBSTITUTE(G13,"P","")),
                               IF(AND(COUNTIF(G13,"*P*"), COUNTIF(G13,"*R*")),
                                  SUBSTITUTE(G13,"R","S"),
                                  IF(AND(COUNTIF(G13,"*V*"), COUNTIF(G13,"*R*")),
                                     SUBSTITUTE(G13,"R","S"),
                                     G13))),
                          "0",""),"1",""),"2",""),"3",""),"4",""),
                      "5",""),"6",""),"7",""),"8",""),"9","")
     ),
     IF(SUM(--ISNUMBER(FIND({0,1,2,3,4,5,6,7,8,9}, _xlpm.txt)))=0,
        _xlpm.txt &amp; Data!BV55,
        _xlpm.txt
     )
   ),
   ""
)</f>
        <v/>
      </c>
      <c r="H35" s="41" t="str" cm="1">
        <f t="array" ref="H35">IF(H13&lt;&gt;"",
   _xlfn.LET(
     _xlpm.txt,
     IF(OR(COUNTIF(H13,"L*"), COUNTIF(H13, "X*")),
        IF(AND(COUNTIF(H13,"*P*"), COUNTIF(H13,"*V*")),
           IF(COUNTIF(H13,"*R*"),
              SUBSTITUTE(SUBSTITUTE(H13,"P",""),"R","S"),
              SUBSTITUTE(H13,"P","")),
           IF(AND(COUNTIF(H13,"*P*"), COUNTIF(H13,"*R*")),
              SUBSTITUTE(H13,"R","S"),
              IF(AND(COUNTIF(H13,"*V*"), COUNTIF(H13,"*R*")),
                 SUBSTITUTE(H13,"R","S"),
                 H13))),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IF(AND(COUNTIF(H13,"*P*"), COUNTIF(H13,"*V*")),
                               IF(COUNTIF(H13,"*R*"),
                                  SUBSTITUTE(SUBSTITUTE(H13,"P",""),"R","S"),
                                  SUBSTITUTE(H13,"P","")),
                               IF(AND(COUNTIF(H13,"*P*"), COUNTIF(H13,"*R*")),
                                  SUBSTITUTE(H13,"R","S"),
                                  IF(AND(COUNTIF(H13,"*V*"), COUNTIF(H13,"*R*")),
                                     SUBSTITUTE(H13,"R","S"),
                                     H13))),
                          "0",""),"1",""),"2",""),"3",""),"4",""),
                      "5",""),"6",""),"7",""),"8",""),"9","")
     ),
     IF(SUM(--ISNUMBER(FIND({0,1,2,3,4,5,6,7,8,9}, _xlpm.txt)))=0,
        _xlpm.txt &amp; Data!BW55,
        _xlpm.txt
     )
   ),
   ""
)</f>
        <v/>
      </c>
      <c r="I35" s="41" t="str" cm="1">
        <f t="array" ref="I35">IF(I13&lt;&gt;"",
   _xlfn.LET(
     _xlpm.txt,
     IF(OR(COUNTIF(I13,"L*"), COUNTIF(I13, "X*")),
        IF(AND(COUNTIF(I13,"*P*"), COUNTIF(I13,"*V*")),
           IF(COUNTIF(I13,"*R*"),
              SUBSTITUTE(SUBSTITUTE(I13,"P",""),"R","S"),
              SUBSTITUTE(I13,"P","")),
           IF(AND(COUNTIF(I13,"*P*"), COUNTIF(I13,"*R*")),
              SUBSTITUTE(I13,"R","S"),
              IF(AND(COUNTIF(I13,"*V*"), COUNTIF(I13,"*R*")),
                 SUBSTITUTE(I13,"R","S"),
                 I13))),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IF(AND(COUNTIF(I13,"*P*"), COUNTIF(I13,"*V*")),
                               IF(COUNTIF(I13,"*R*"),
                                  SUBSTITUTE(SUBSTITUTE(I13,"P",""),"R","S"),
                                  SUBSTITUTE(I13,"P","")),
                               IF(AND(COUNTIF(I13,"*P*"), COUNTIF(I13,"*R*")),
                                  SUBSTITUTE(I13,"R","S"),
                                  IF(AND(COUNTIF(I13,"*V*"), COUNTIF(I13,"*R*")),
                                     SUBSTITUTE(I13,"R","S"),
                                     I13))),
                          "0",""),"1",""),"2",""),"3",""),"4",""),
                      "5",""),"6",""),"7",""),"8",""),"9","")
     ),
     IF(SUM(--ISNUMBER(FIND({0,1,2,3,4,5,6,7,8,9}, _xlpm.txt)))=0,
        _xlpm.txt &amp; Data!BX55,
        _xlpm.txt
     )
   ),
   ""
)</f>
        <v/>
      </c>
      <c r="J35" s="41" t="str" cm="1">
        <f t="array" ref="J35">IF(J13&lt;&gt;"",
   _xlfn.LET(
     _xlpm.txt,
     IF(OR(COUNTIF(J13,"L*"), COUNTIF(J13, "X*")),
        IF(AND(COUNTIF(J13,"*P*"), COUNTIF(J13,"*V*")),
           IF(COUNTIF(J13,"*R*"),
              SUBSTITUTE(SUBSTITUTE(J13,"P",""),"R","S"),
              SUBSTITUTE(J13,"P","")),
           IF(AND(COUNTIF(J13,"*P*"), COUNTIF(J13,"*R*")),
              SUBSTITUTE(J13,"R","S"),
              IF(AND(COUNTIF(J13,"*V*"), COUNTIF(J13,"*R*")),
                 SUBSTITUTE(J13,"R","S"),
                 J13))),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IF(AND(COUNTIF(J13,"*P*"), COUNTIF(J13,"*V*")),
                               IF(COUNTIF(J13,"*R*"),
                                  SUBSTITUTE(SUBSTITUTE(J13,"P",""),"R","S"),
                                  SUBSTITUTE(J13,"P","")),
                               IF(AND(COUNTIF(J13,"*P*"), COUNTIF(J13,"*R*")),
                                  SUBSTITUTE(J13,"R","S"),
                                  IF(AND(COUNTIF(J13,"*V*"), COUNTIF(J13,"*R*")),
                                     SUBSTITUTE(J13,"R","S"),
                                     J13))),
                          "0",""),"1",""),"2",""),"3",""),"4",""),
                      "5",""),"6",""),"7",""),"8",""),"9","")
     ),
     IF(SUM(--ISNUMBER(FIND({0,1,2,3,4,5,6,7,8,9}, _xlpm.txt)))=0,
        _xlpm.txt &amp; Data!BY55,
        _xlpm.txt
     )
   ),
   ""
)</f>
        <v/>
      </c>
      <c r="K35" s="41" t="str" cm="1">
        <f t="array" ref="K35">IF(K13&lt;&gt;"",
   _xlfn.LET(
     _xlpm.txt,
     IF(OR(COUNTIF(K13,"L*"), COUNTIF(K13, "X*")),
        IF(AND(COUNTIF(K13,"*P*"), COUNTIF(K13,"*V*")),
           IF(COUNTIF(K13,"*R*"),
              SUBSTITUTE(SUBSTITUTE(K13,"P",""),"R","S"),
              SUBSTITUTE(K13,"P","")),
           IF(AND(COUNTIF(K13,"*P*"), COUNTIF(K13,"*R*")),
              SUBSTITUTE(K13,"R","S"),
              IF(AND(COUNTIF(K13,"*V*"), COUNTIF(K13,"*R*")),
                 SUBSTITUTE(K13,"R","S"),
                 K13))),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IF(AND(COUNTIF(K13,"*P*"), COUNTIF(K13,"*V*")),
                               IF(COUNTIF(K13,"*R*"),
                                  SUBSTITUTE(SUBSTITUTE(K13,"P",""),"R","S"),
                                  SUBSTITUTE(K13,"P","")),
                               IF(AND(COUNTIF(K13,"*P*"), COUNTIF(K13,"*R*")),
                                  SUBSTITUTE(K13,"R","S"),
                                  IF(AND(COUNTIF(K13,"*V*"), COUNTIF(K13,"*R*")),
                                     SUBSTITUTE(K13,"R","S"),
                                     K13))),
                          "0",""),"1",""),"2",""),"3",""),"4",""),
                      "5",""),"6",""),"7",""),"8",""),"9","")
     ),
     IF(SUM(--ISNUMBER(FIND({0,1,2,3,4,5,6,7,8,9}, _xlpm.txt)))=0,
        _xlpm.txt &amp; Data!BZ55,
        _xlpm.txt
     )
   ),
   ""
)</f>
        <v/>
      </c>
      <c r="L35" s="41" t="str" cm="1">
        <f t="array" ref="L35">IF(L13&lt;&gt;"",
   _xlfn.LET(
     _xlpm.txt,
     IF(OR(COUNTIF(L13,"L*"), COUNTIF(L13, "X*")),
        IF(AND(COUNTIF(L13,"*P*"), COUNTIF(L13,"*V*")),
           IF(COUNTIF(L13,"*R*"),
              SUBSTITUTE(SUBSTITUTE(L13,"P",""),"R","S"),
              SUBSTITUTE(L13,"P","")),
           IF(AND(COUNTIF(L13,"*P*"), COUNTIF(L13,"*R*")),
              SUBSTITUTE(L13,"R","S"),
              IF(AND(COUNTIF(L13,"*V*"), COUNTIF(L13,"*R*")),
                 SUBSTITUTE(L13,"R","S"),
                 L13))),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IF(AND(COUNTIF(L13,"*P*"), COUNTIF(L13,"*V*")),
                               IF(COUNTIF(L13,"*R*"),
                                  SUBSTITUTE(SUBSTITUTE(L13,"P",""),"R","S"),
                                  SUBSTITUTE(L13,"P","")),
                               IF(AND(COUNTIF(L13,"*P*"), COUNTIF(L13,"*R*")),
                                  SUBSTITUTE(L13,"R","S"),
                                  IF(AND(COUNTIF(L13,"*V*"), COUNTIF(L13,"*R*")),
                                     SUBSTITUTE(L13,"R","S"),
                                     L13))),
                          "0",""),"1",""),"2",""),"3",""),"4",""),
                      "5",""),"6",""),"7",""),"8",""),"9","")
     ),
     IF(SUM(--ISNUMBER(FIND({0,1,2,3,4,5,6,7,8,9}, _xlpm.txt)))=0,
        _xlpm.txt &amp; Data!CA55,
        _xlpm.txt
     )
   ),
   ""
)</f>
        <v/>
      </c>
      <c r="M35" s="41" t="str" cm="1">
        <f t="array" ref="M35">IF(M13&lt;&gt;"",
   _xlfn.LET(
     _xlpm.txt,
     IF(OR(COUNTIF(M13,"L*"), COUNTIF(M13, "X*")),
        IF(AND(COUNTIF(M13,"*P*"), COUNTIF(M13,"*V*")),
           IF(COUNTIF(M13,"*R*"),
              SUBSTITUTE(SUBSTITUTE(M13,"P",""),"R","S"),
              SUBSTITUTE(M13,"P","")),
           IF(AND(COUNTIF(M13,"*P*"), COUNTIF(M13,"*R*")),
              SUBSTITUTE(M13,"R","S"),
              IF(AND(COUNTIF(M13,"*V*"), COUNTIF(M13,"*R*")),
                 SUBSTITUTE(M13,"R","S"),
                 M13))),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IF(AND(COUNTIF(M13,"*P*"), COUNTIF(M13,"*V*")),
                               IF(COUNTIF(M13,"*R*"),
                                  SUBSTITUTE(SUBSTITUTE(M13,"P",""),"R","S"),
                                  SUBSTITUTE(M13,"P","")),
                               IF(AND(COUNTIF(M13,"*P*"), COUNTIF(M13,"*R*")),
                                  SUBSTITUTE(M13,"R","S"),
                                  IF(AND(COUNTIF(M13,"*V*"), COUNTIF(M13,"*R*")),
                                     SUBSTITUTE(M13,"R","S"),
                                     M13))),
                          "0",""),"1",""),"2",""),"3",""),"4",""),
                      "5",""),"6",""),"7",""),"8",""),"9","")
     ),
     IF(SUM(--ISNUMBER(FIND({0,1,2,3,4,5,6,7,8,9}, _xlpm.txt)))=0,
        _xlpm.txt &amp; Data!CB55,
        _xlpm.txt
     )
   ),
   ""
)</f>
        <v/>
      </c>
      <c r="N35" s="41" t="str" cm="1">
        <f t="array" ref="N35">IF(N13&lt;&gt;"",
   _xlfn.LET(
     _xlpm.txt,
     IF(OR(COUNTIF(N13,"L*"), COUNTIF(N13, "X*")),
        IF(AND(COUNTIF(N13,"*P*"), COUNTIF(N13,"*V*")),
           IF(COUNTIF(N13,"*R*"),
              SUBSTITUTE(SUBSTITUTE(N13,"P",""),"R","S"),
              SUBSTITUTE(N13,"P","")),
           IF(AND(COUNTIF(N13,"*P*"), COUNTIF(N13,"*R*")),
              SUBSTITUTE(N13,"R","S"),
              IF(AND(COUNTIF(N13,"*V*"), COUNTIF(N13,"*R*")),
                 SUBSTITUTE(N13,"R","S"),
                 N13))),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IF(AND(COUNTIF(N13,"*P*"), COUNTIF(N13,"*V*")),
                               IF(COUNTIF(N13,"*R*"),
                                  SUBSTITUTE(SUBSTITUTE(N13,"P",""),"R","S"),
                                  SUBSTITUTE(N13,"P","")),
                               IF(AND(COUNTIF(N13,"*P*"), COUNTIF(N13,"*R*")),
                                  SUBSTITUTE(N13,"R","S"),
                                  IF(AND(COUNTIF(N13,"*V*"), COUNTIF(N13,"*R*")),
                                     SUBSTITUTE(N13,"R","S"),
                                     N13))),
                          "0",""),"1",""),"2",""),"3",""),"4",""),
                      "5",""),"6",""),"7",""),"8",""),"9","")
     ),
     IF(SUM(--ISNUMBER(FIND({0,1,2,3,4,5,6,7,8,9}, _xlpm.txt)))=0,
        _xlpm.txt &amp; Data!CC55,
        _xlpm.txt
     )
   ),
   ""
)</f>
        <v/>
      </c>
      <c r="O35" s="41" t="str" cm="1">
        <f t="array" ref="O35">IF(O13&lt;&gt;"",
   _xlfn.LET(
     _xlpm.txt,
     IF(OR(COUNTIF(O13,"L*"), COUNTIF(O13, "X*")),
        IF(AND(COUNTIF(O13,"*P*"), COUNTIF(O13,"*V*")),
           IF(COUNTIF(O13,"*R*"),
              SUBSTITUTE(SUBSTITUTE(O13,"P",""),"R","S"),
              SUBSTITUTE(O13,"P","")),
           IF(AND(COUNTIF(O13,"*P*"), COUNTIF(O13,"*R*")),
              SUBSTITUTE(O13,"R","S"),
              IF(AND(COUNTIF(O13,"*V*"), COUNTIF(O13,"*R*")),
                 SUBSTITUTE(O13,"R","S"),
                 O13))),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IF(AND(COUNTIF(O13,"*P*"), COUNTIF(O13,"*V*")),
                               IF(COUNTIF(O13,"*R*"),
                                  SUBSTITUTE(SUBSTITUTE(O13,"P",""),"R","S"),
                                  SUBSTITUTE(O13,"P","")),
                               IF(AND(COUNTIF(O13,"*P*"), COUNTIF(O13,"*R*")),
                                  SUBSTITUTE(O13,"R","S"),
                                  IF(AND(COUNTIF(O13,"*V*"), COUNTIF(O13,"*R*")),
                                     SUBSTITUTE(O13,"R","S"),
                                     O13))),
                          "0",""),"1",""),"2",""),"3",""),"4",""),
                      "5",""),"6",""),"7",""),"8",""),"9","")
     ),
     IF(SUM(--ISNUMBER(FIND({0,1,2,3,4,5,6,7,8,9}, _xlpm.txt)))=0,
        _xlpm.txt &amp; Data!CD55,
        _xlpm.txt
     )
   ),
   ""
)</f>
        <v/>
      </c>
      <c r="P35" s="41" t="str" cm="1">
        <f t="array" ref="P35">IF(P13&lt;&gt;"",
   _xlfn.LET(
     _xlpm.txt,
     IF(OR(COUNTIF(P13,"L*"), COUNTIF(P13, "X*")),
        IF(AND(COUNTIF(P13,"*P*"), COUNTIF(P13,"*V*")),
           IF(COUNTIF(P13,"*R*"),
              SUBSTITUTE(SUBSTITUTE(P13,"P",""),"R","S"),
              SUBSTITUTE(P13,"P","")),
           IF(AND(COUNTIF(P13,"*P*"), COUNTIF(P13,"*R*")),
              SUBSTITUTE(P13,"R","S"),
              IF(AND(COUNTIF(P13,"*V*"), COUNTIF(P13,"*R*")),
                 SUBSTITUTE(P13,"R","S"),
                 P13))),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IF(AND(COUNTIF(P13,"*P*"), COUNTIF(P13,"*V*")),
                               IF(COUNTIF(P13,"*R*"),
                                  SUBSTITUTE(SUBSTITUTE(P13,"P",""),"R","S"),
                                  SUBSTITUTE(P13,"P","")),
                               IF(AND(COUNTIF(P13,"*P*"), COUNTIF(P13,"*R*")),
                                  SUBSTITUTE(P13,"R","S"),
                                  IF(AND(COUNTIF(P13,"*V*"), COUNTIF(P13,"*R*")),
                                     SUBSTITUTE(P13,"R","S"),
                                     P13))),
                          "0",""),"1",""),"2",""),"3",""),"4",""),
                      "5",""),"6",""),"7",""),"8",""),"9","")
     ),
     IF(SUM(--ISNUMBER(FIND({0,1,2,3,4,5,6,7,8,9}, _xlpm.txt)))=0,
        _xlpm.txt &amp; Data!CE55,
        _xlpm.txt
     )
   ),
   ""
)</f>
        <v/>
      </c>
      <c r="Q35" s="41" t="str" cm="1">
        <f t="array" ref="Q35">IF(Q13&lt;&gt;"",
   _xlfn.LET(
     _xlpm.txt,
     IF(OR(COUNTIF(Q13,"L*"), COUNTIF(Q13, "X*")),
        IF(AND(COUNTIF(Q13,"*P*"), COUNTIF(Q13,"*V*")),
           IF(COUNTIF(Q13,"*R*"),
              SUBSTITUTE(SUBSTITUTE(Q13,"P",""),"R","S"),
              SUBSTITUTE(Q13,"P","")),
           IF(AND(COUNTIF(Q13,"*P*"), COUNTIF(Q13,"*R*")),
              SUBSTITUTE(Q13,"R","S"),
              IF(AND(COUNTIF(Q13,"*V*"), COUNTIF(Q13,"*R*")),
                 SUBSTITUTE(Q13,"R","S"),
                 Q13))),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IF(AND(COUNTIF(Q13,"*P*"), COUNTIF(Q13,"*V*")),
                               IF(COUNTIF(Q13,"*R*"),
                                  SUBSTITUTE(SUBSTITUTE(Q13,"P",""),"R","S"),
                                  SUBSTITUTE(Q13,"P","")),
                               IF(AND(COUNTIF(Q13,"*P*"), COUNTIF(Q13,"*R*")),
                                  SUBSTITUTE(Q13,"R","S"),
                                  IF(AND(COUNTIF(Q13,"*V*"), COUNTIF(Q13,"*R*")),
                                     SUBSTITUTE(Q13,"R","S"),
                                     Q13))),
                          "0",""),"1",""),"2",""),"3",""),"4",""),
                      "5",""),"6",""),"7",""),"8",""),"9","")
     ),
     IF(SUM(--ISNUMBER(FIND({0,1,2,3,4,5,6,7,8,9}, _xlpm.txt)))=0,
        _xlpm.txt &amp; Data!CF55,
        _xlpm.txt
     )
   ),
   ""
)</f>
        <v/>
      </c>
      <c r="R35" s="41" t="str" cm="1">
        <f t="array" ref="R35">IF(R13&lt;&gt;"",
   _xlfn.LET(
     _xlpm.txt,
     IF(OR(COUNTIF(R13,"L*"), COUNTIF(R13, "X*")),
        IF(AND(COUNTIF(R13,"*P*"), COUNTIF(R13,"*V*")),
           IF(COUNTIF(R13,"*R*"),
              SUBSTITUTE(SUBSTITUTE(R13,"P",""),"R","S"),
              SUBSTITUTE(R13,"P","")),
           IF(AND(COUNTIF(R13,"*P*"), COUNTIF(R13,"*R*")),
              SUBSTITUTE(R13,"R","S"),
              IF(AND(COUNTIF(R13,"*V*"), COUNTIF(R13,"*R*")),
                 SUBSTITUTE(R13,"R","S"),
                 R13))),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IF(AND(COUNTIF(R13,"*P*"), COUNTIF(R13,"*V*")),
                               IF(COUNTIF(R13,"*R*"),
                                  SUBSTITUTE(SUBSTITUTE(R13,"P",""),"R","S"),
                                  SUBSTITUTE(R13,"P","")),
                               IF(AND(COUNTIF(R13,"*P*"), COUNTIF(R13,"*R*")),
                                  SUBSTITUTE(R13,"R","S"),
                                  IF(AND(COUNTIF(R13,"*V*"), COUNTIF(R13,"*R*")),
                                     SUBSTITUTE(R13,"R","S"),
                                     R13))),
                          "0",""),"1",""),"2",""),"3",""),"4",""),
                      "5",""),"6",""),"7",""),"8",""),"9","")
     ),
     IF(SUM(--ISNUMBER(FIND({0,1,2,3,4,5,6,7,8,9}, _xlpm.txt)))=0,
        _xlpm.txt &amp; Data!CG55,
        _xlpm.txt
     )
   ),
   ""
)</f>
        <v/>
      </c>
      <c r="S35" s="41" t="str" cm="1">
        <f t="array" ref="S35">IF(S13&lt;&gt;"",
   _xlfn.LET(
     _xlpm.txt,
     IF(OR(COUNTIF(S13,"L*"), COUNTIF(S13, "X*")),
        IF(AND(COUNTIF(S13,"*P*"), COUNTIF(S13,"*V*")),
           IF(COUNTIF(S13,"*R*"),
              SUBSTITUTE(SUBSTITUTE(S13,"P",""),"R","S"),
              SUBSTITUTE(S13,"P","")),
           IF(AND(COUNTIF(S13,"*P*"), COUNTIF(S13,"*R*")),
              SUBSTITUTE(S13,"R","S"),
              IF(AND(COUNTIF(S13,"*V*"), COUNTIF(S13,"*R*")),
                 SUBSTITUTE(S13,"R","S"),
                 S13))),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IF(AND(COUNTIF(S13,"*P*"), COUNTIF(S13,"*V*")),
                               IF(COUNTIF(S13,"*R*"),
                                  SUBSTITUTE(SUBSTITUTE(S13,"P",""),"R","S"),
                                  SUBSTITUTE(S13,"P","")),
                               IF(AND(COUNTIF(S13,"*P*"), COUNTIF(S13,"*R*")),
                                  SUBSTITUTE(S13,"R","S"),
                                  IF(AND(COUNTIF(S13,"*V*"), COUNTIF(S13,"*R*")),
                                     SUBSTITUTE(S13,"R","S"),
                                     S13))),
                          "0",""),"1",""),"2",""),"3",""),"4",""),
                      "5",""),"6",""),"7",""),"8",""),"9","")
     ),
     IF(SUM(--ISNUMBER(FIND({0,1,2,3,4,5,6,7,8,9}, _xlpm.txt)))=0,
        _xlpm.txt &amp; Data!CH55,
        _xlpm.txt
     )
   ),
   ""
)</f>
        <v/>
      </c>
      <c r="T35" s="41" t="str" cm="1">
        <f t="array" ref="T35">IF(T13&lt;&gt;"",
   _xlfn.LET(
     _xlpm.txt,
     IF(OR(COUNTIF(T13,"L*"), COUNTIF(T13, "X*")),
        IF(AND(COUNTIF(T13,"*P*"), COUNTIF(T13,"*V*")),
           IF(COUNTIF(T13,"*R*"),
              SUBSTITUTE(SUBSTITUTE(T13,"P",""),"R","S"),
              SUBSTITUTE(T13,"P","")),
           IF(AND(COUNTIF(T13,"*P*"), COUNTIF(T13,"*R*")),
              SUBSTITUTE(T13,"R","S"),
              IF(AND(COUNTIF(T13,"*V*"), COUNTIF(T13,"*R*")),
                 SUBSTITUTE(T13,"R","S"),
                 T13))),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IF(AND(COUNTIF(T13,"*P*"), COUNTIF(T13,"*V*")),
                               IF(COUNTIF(T13,"*R*"),
                                  SUBSTITUTE(SUBSTITUTE(T13,"P",""),"R","S"),
                                  SUBSTITUTE(T13,"P","")),
                               IF(AND(COUNTIF(T13,"*P*"), COUNTIF(T13,"*R*")),
                                  SUBSTITUTE(T13,"R","S"),
                                  IF(AND(COUNTIF(T13,"*V*"), COUNTIF(T13,"*R*")),
                                     SUBSTITUTE(T13,"R","S"),
                                     T13))),
                          "0",""),"1",""),"2",""),"3",""),"4",""),
                      "5",""),"6",""),"7",""),"8",""),"9","")
     ),
     IF(SUM(--ISNUMBER(FIND({0,1,2,3,4,5,6,7,8,9}, _xlpm.txt)))=0,
        _xlpm.txt &amp; Data!CI55,
        _xlpm.txt
     )
   ),
   ""
)</f>
        <v/>
      </c>
      <c r="U35" s="41" t="str" cm="1">
        <f t="array" ref="U35">IF(U13&lt;&gt;"",
   _xlfn.LET(
     _xlpm.txt,
     IF(OR(COUNTIF(U13,"L*"), COUNTIF(U13, "X*")),
        IF(AND(COUNTIF(U13,"*P*"), COUNTIF(U13,"*V*")),
           IF(COUNTIF(U13,"*R*"),
              SUBSTITUTE(SUBSTITUTE(U13,"P",""),"R","S"),
              SUBSTITUTE(U13,"P","")),
           IF(AND(COUNTIF(U13,"*P*"), COUNTIF(U13,"*R*")),
              SUBSTITUTE(U13,"R","S"),
              IF(AND(COUNTIF(U13,"*V*"), COUNTIF(U13,"*R*")),
                 SUBSTITUTE(U13,"R","S"),
                 U13))),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IF(AND(COUNTIF(U13,"*P*"), COUNTIF(U13,"*V*")),
                               IF(COUNTIF(U13,"*R*"),
                                  SUBSTITUTE(SUBSTITUTE(U13,"P",""),"R","S"),
                                  SUBSTITUTE(U13,"P","")),
                               IF(AND(COUNTIF(U13,"*P*"), COUNTIF(U13,"*R*")),
                                  SUBSTITUTE(U13,"R","S"),
                                  IF(AND(COUNTIF(U13,"*V*"), COUNTIF(U13,"*R*")),
                                     SUBSTITUTE(U13,"R","S"),
                                     U13))),
                          "0",""),"1",""),"2",""),"3",""),"4",""),
                      "5",""),"6",""),"7",""),"8",""),"9","")
     ),
     IF(SUM(--ISNUMBER(FIND({0,1,2,3,4,5,6,7,8,9}, _xlpm.txt)))=0,
        _xlpm.txt &amp; Data!CJ55,
        _xlpm.txt
     )
   ),
   ""
)</f>
        <v/>
      </c>
      <c r="V35" s="41" t="str" cm="1">
        <f t="array" ref="V35">IF(V13&lt;&gt;"",
   _xlfn.LET(
     _xlpm.txt,
     IF(OR(COUNTIF(V13,"L*"), COUNTIF(V13, "X*")),
        IF(AND(COUNTIF(V13,"*P*"), COUNTIF(V13,"*V*")),
           IF(COUNTIF(V13,"*R*"),
              SUBSTITUTE(SUBSTITUTE(V13,"P",""),"R","S"),
              SUBSTITUTE(V13,"P","")),
           IF(AND(COUNTIF(V13,"*P*"), COUNTIF(V13,"*R*")),
              SUBSTITUTE(V13,"R","S"),
              IF(AND(COUNTIF(V13,"*V*"), COUNTIF(V13,"*R*")),
                 SUBSTITUTE(V13,"R","S"),
                 V13))),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IF(AND(COUNTIF(V13,"*P*"), COUNTIF(V13,"*V*")),
                               IF(COUNTIF(V13,"*R*"),
                                  SUBSTITUTE(SUBSTITUTE(V13,"P",""),"R","S"),
                                  SUBSTITUTE(V13,"P","")),
                               IF(AND(COUNTIF(V13,"*P*"), COUNTIF(V13,"*R*")),
                                  SUBSTITUTE(V13,"R","S"),
                                  IF(AND(COUNTIF(V13,"*V*"), COUNTIF(V13,"*R*")),
                                     SUBSTITUTE(V13,"R","S"),
                                     V13))),
                          "0",""),"1",""),"2",""),"3",""),"4",""),
                      "5",""),"6",""),"7",""),"8",""),"9","")
     ),
     IF(SUM(--ISNUMBER(FIND({0,1,2,3,4,5,6,7,8,9}, _xlpm.txt)))=0,
        _xlpm.txt &amp; Data!CK55,
        _xlpm.txt
     )
   ),
   ""
)</f>
        <v/>
      </c>
      <c r="W35" s="41" t="str" cm="1">
        <f t="array" ref="W35">IF(W13&lt;&gt;"",
   _xlfn.LET(
     _xlpm.txt,
     IF(OR(COUNTIF(W13,"L*"), COUNTIF(W13, "X*")),
        IF(AND(COUNTIF(W13,"*P*"), COUNTIF(W13,"*V*")),
           IF(COUNTIF(W13,"*R*"),
              SUBSTITUTE(SUBSTITUTE(W13,"P",""),"R","S"),
              SUBSTITUTE(W13,"P","")),
           IF(AND(COUNTIF(W13,"*P*"), COUNTIF(W13,"*R*")),
              SUBSTITUTE(W13,"R","S"),
              IF(AND(COUNTIF(W13,"*V*"), COUNTIF(W13,"*R*")),
                 SUBSTITUTE(W13,"R","S"),
                 W13))),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IF(AND(COUNTIF(W13,"*P*"), COUNTIF(W13,"*V*")),
                               IF(COUNTIF(W13,"*R*"),
                                  SUBSTITUTE(SUBSTITUTE(W13,"P",""),"R","S"),
                                  SUBSTITUTE(W13,"P","")),
                               IF(AND(COUNTIF(W13,"*P*"), COUNTIF(W13,"*R*")),
                                  SUBSTITUTE(W13,"R","S"),
                                  IF(AND(COUNTIF(W13,"*V*"), COUNTIF(W13,"*R*")),
                                     SUBSTITUTE(W13,"R","S"),
                                     W13))),
                          "0",""),"1",""),"2",""),"3",""),"4",""),
                      "5",""),"6",""),"7",""),"8",""),"9","")
     ),
     IF(SUM(--ISNUMBER(FIND({0,1,2,3,4,5,6,7,8,9}, _xlpm.txt)))=0,
        _xlpm.txt &amp; Data!CL55,
        _xlpm.txt
     )
   ),
   ""
)</f>
        <v/>
      </c>
      <c r="X35" s="41" t="str" cm="1">
        <f t="array" ref="X35">IF(X13&lt;&gt;"",
   _xlfn.LET(
     _xlpm.txt,
     IF(OR(COUNTIF(X13,"L*"), COUNTIF(X13, "X*")),
        IF(AND(COUNTIF(X13,"*P*"), COUNTIF(X13,"*V*")),
           IF(COUNTIF(X13,"*R*"),
              SUBSTITUTE(SUBSTITUTE(X13,"P",""),"R","S"),
              SUBSTITUTE(X13,"P","")),
           IF(AND(COUNTIF(X13,"*P*"), COUNTIF(X13,"*R*")),
              SUBSTITUTE(X13,"R","S"),
              IF(AND(COUNTIF(X13,"*V*"), COUNTIF(X13,"*R*")),
                 SUBSTITUTE(X13,"R","S"),
                 X13))),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IF(AND(COUNTIF(X13,"*P*"), COUNTIF(X13,"*V*")),
                               IF(COUNTIF(X13,"*R*"),
                                  SUBSTITUTE(SUBSTITUTE(X13,"P",""),"R","S"),
                                  SUBSTITUTE(X13,"P","")),
                               IF(AND(COUNTIF(X13,"*P*"), COUNTIF(X13,"*R*")),
                                  SUBSTITUTE(X13,"R","S"),
                                  IF(AND(COUNTIF(X13,"*V*"), COUNTIF(X13,"*R*")),
                                     SUBSTITUTE(X13,"R","S"),
                                     X13))),
                          "0",""),"1",""),"2",""),"3",""),"4",""),
                      "5",""),"6",""),"7",""),"8",""),"9","")
     ),
     IF(SUM(--ISNUMBER(FIND({0,1,2,3,4,5,6,7,8,9}, _xlpm.txt)))=0,
        _xlpm.txt &amp; Data!CM55,
        _xlpm.txt
     )
   ),
   ""
)</f>
        <v/>
      </c>
      <c r="Y35" s="41" t="str" cm="1">
        <f t="array" ref="Y35">IF(Y13&lt;&gt;"",
   _xlfn.LET(
     _xlpm.txt,
     IF(OR(COUNTIF(Y13,"L*"), COUNTIF(Y13, "X*")),
        IF(AND(COUNTIF(Y13,"*P*"), COUNTIF(Y13,"*V*")),
           IF(COUNTIF(Y13,"*R*"),
              SUBSTITUTE(SUBSTITUTE(Y13,"P",""),"R","S"),
              SUBSTITUTE(Y13,"P","")),
           IF(AND(COUNTIF(Y13,"*P*"), COUNTIF(Y13,"*R*")),
              SUBSTITUTE(Y13,"R","S"),
              IF(AND(COUNTIF(Y13,"*V*"), COUNTIF(Y13,"*R*")),
                 SUBSTITUTE(Y13,"R","S"),
                 Y13))),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IF(AND(COUNTIF(Y13,"*P*"), COUNTIF(Y13,"*V*")),
                               IF(COUNTIF(Y13,"*R*"),
                                  SUBSTITUTE(SUBSTITUTE(Y13,"P",""),"R","S"),
                                  SUBSTITUTE(Y13,"P","")),
                               IF(AND(COUNTIF(Y13,"*P*"), COUNTIF(Y13,"*R*")),
                                  SUBSTITUTE(Y13,"R","S"),
                                  IF(AND(COUNTIF(Y13,"*V*"), COUNTIF(Y13,"*R*")),
                                     SUBSTITUTE(Y13,"R","S"),
                                     Y13))),
                          "0",""),"1",""),"2",""),"3",""),"4",""),
                      "5",""),"6",""),"7",""),"8",""),"9","")
     ),
     IF(SUM(--ISNUMBER(FIND({0,1,2,3,4,5,6,7,8,9}, _xlpm.txt)))=0,
        _xlpm.txt &amp; Data!CN55,
        _xlpm.txt
     )
   ),
   ""
)</f>
        <v/>
      </c>
      <c r="Z35" s="41" t="str" cm="1">
        <f t="array" ref="Z35">IF(Z13&lt;&gt;"",
   _xlfn.LET(
     _xlpm.txt,
     IF(OR(COUNTIF(Z13,"L*"), COUNTIF(Z13, "X*")),
        IF(AND(COUNTIF(Z13,"*P*"), COUNTIF(Z13,"*V*")),
           IF(COUNTIF(Z13,"*R*"),
              SUBSTITUTE(SUBSTITUTE(Z13,"P",""),"R","S"),
              SUBSTITUTE(Z13,"P","")),
           IF(AND(COUNTIF(Z13,"*P*"), COUNTIF(Z13,"*R*")),
              SUBSTITUTE(Z13,"R","S"),
              IF(AND(COUNTIF(Z13,"*V*"), COUNTIF(Z13,"*R*")),
                 SUBSTITUTE(Z13,"R","S"),
                 Z13))),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IF(AND(COUNTIF(Z13,"*P*"), COUNTIF(Z13,"*V*")),
                               IF(COUNTIF(Z13,"*R*"),
                                  SUBSTITUTE(SUBSTITUTE(Z13,"P",""),"R","S"),
                                  SUBSTITUTE(Z13,"P","")),
                               IF(AND(COUNTIF(Z13,"*P*"), COUNTIF(Z13,"*R*")),
                                  SUBSTITUTE(Z13,"R","S"),
                                  IF(AND(COUNTIF(Z13,"*V*"), COUNTIF(Z13,"*R*")),
                                     SUBSTITUTE(Z13,"R","S"),
                                     Z13))),
                          "0",""),"1",""),"2",""),"3",""),"4",""),
                      "5",""),"6",""),"7",""),"8",""),"9","")
     ),
     IF(SUM(--ISNUMBER(FIND({0,1,2,3,4,5,6,7,8,9}, _xlpm.txt)))=0,
        _xlpm.txt &amp; Data!CO55,
        _xlpm.txt
     )
   ),
   ""
)</f>
        <v/>
      </c>
      <c r="AA35" s="41" t="str" cm="1">
        <f t="array" ref="AA35">IF(AA13&lt;&gt;"",
   _xlfn.LET(
     _xlpm.txt,
     IF(OR(COUNTIF(AA13,"L*"), COUNTIF(AA13, "X*")),
        IF(AND(COUNTIF(AA13,"*P*"), COUNTIF(AA13,"*V*")),
           IF(COUNTIF(AA13,"*R*"),
              SUBSTITUTE(SUBSTITUTE(AA13,"P",""),"R","S"),
              SUBSTITUTE(AA13,"P","")),
           IF(AND(COUNTIF(AA13,"*P*"), COUNTIF(AA13,"*R*")),
              SUBSTITUTE(AA13,"R","S"),
              IF(AND(COUNTIF(AA13,"*V*"), COUNTIF(AA13,"*R*")),
                 SUBSTITUTE(AA13,"R","S"),
                 AA13))),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IF(AND(COUNTIF(AA13,"*P*"), COUNTIF(AA13,"*V*")),
                               IF(COUNTIF(AA13,"*R*"),
                                  SUBSTITUTE(SUBSTITUTE(AA13,"P",""),"R","S"),
                                  SUBSTITUTE(AA13,"P","")),
                               IF(AND(COUNTIF(AA13,"*P*"), COUNTIF(AA13,"*R*")),
                                  SUBSTITUTE(AA13,"R","S"),
                                  IF(AND(COUNTIF(AA13,"*V*"), COUNTIF(AA13,"*R*")),
                                     SUBSTITUTE(AA13,"R","S"),
                                     AA13))),
                          "0",""),"1",""),"2",""),"3",""),"4",""),
                      "5",""),"6",""),"7",""),"8",""),"9","")
     ),
     IF(SUM(--ISNUMBER(FIND({0,1,2,3,4,5,6,7,8,9}, _xlpm.txt)))=0,
        _xlpm.txt &amp; Data!CP55,
        _xlpm.txt
     )
   ),
   ""
)</f>
        <v/>
      </c>
      <c r="AB35" s="41" t="str" cm="1">
        <f t="array" ref="AB35">IF(AB13&lt;&gt;"",
   _xlfn.LET(
     _xlpm.txt,
     IF(OR(COUNTIF(AB13,"L*"), COUNTIF(AB13, "X*")),
        IF(AND(COUNTIF(AB13,"*P*"), COUNTIF(AB13,"*V*")),
           IF(COUNTIF(AB13,"*R*"),
              SUBSTITUTE(SUBSTITUTE(AB13,"P",""),"R","S"),
              SUBSTITUTE(AB13,"P","")),
           IF(AND(COUNTIF(AB13,"*P*"), COUNTIF(AB13,"*R*")),
              SUBSTITUTE(AB13,"R","S"),
              IF(AND(COUNTIF(AB13,"*V*"), COUNTIF(AB13,"*R*")),
                 SUBSTITUTE(AB13,"R","S"),
                 AB13))),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IF(AND(COUNTIF(AB13,"*P*"), COUNTIF(AB13,"*V*")),
                               IF(COUNTIF(AB13,"*R*"),
                                  SUBSTITUTE(SUBSTITUTE(AB13,"P",""),"R","S"),
                                  SUBSTITUTE(AB13,"P","")),
                               IF(AND(COUNTIF(AB13,"*P*"), COUNTIF(AB13,"*R*")),
                                  SUBSTITUTE(AB13,"R","S"),
                                  IF(AND(COUNTIF(AB13,"*V*"), COUNTIF(AB13,"*R*")),
                                     SUBSTITUTE(AB13,"R","S"),
                                     AB13))),
                          "0",""),"1",""),"2",""),"3",""),"4",""),
                      "5",""),"6",""),"7",""),"8",""),"9","")
     ),
     IF(SUM(--ISNUMBER(FIND({0,1,2,3,4,5,6,7,8,9}, _xlpm.txt)))=0,
        _xlpm.txt &amp; Data!CQ55,
        _xlpm.txt
     )
   ),
   ""
)</f>
        <v/>
      </c>
      <c r="AC35" s="41" t="str" cm="1">
        <f t="array" ref="AC35">IF(AC13&lt;&gt;"",
   _xlfn.LET(
     _xlpm.txt,
     IF(OR(COUNTIF(AC13,"L*"), COUNTIF(AC13, "X*")),
        IF(AND(COUNTIF(AC13,"*P*"), COUNTIF(AC13,"*V*")),
           IF(COUNTIF(AC13,"*R*"),
              SUBSTITUTE(SUBSTITUTE(AC13,"P",""),"R","S"),
              SUBSTITUTE(AC13,"P","")),
           IF(AND(COUNTIF(AC13,"*P*"), COUNTIF(AC13,"*R*")),
              SUBSTITUTE(AC13,"R","S"),
              IF(AND(COUNTIF(AC13,"*V*"), COUNTIF(AC13,"*R*")),
                 SUBSTITUTE(AC13,"R","S"),
                 AC13))),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IF(AND(COUNTIF(AC13,"*P*"), COUNTIF(AC13,"*V*")),
                               IF(COUNTIF(AC13,"*R*"),
                                  SUBSTITUTE(SUBSTITUTE(AC13,"P",""),"R","S"),
                                  SUBSTITUTE(AC13,"P","")),
                               IF(AND(COUNTIF(AC13,"*P*"), COUNTIF(AC13,"*R*")),
                                  SUBSTITUTE(AC13,"R","S"),
                                  IF(AND(COUNTIF(AC13,"*V*"), COUNTIF(AC13,"*R*")),
                                     SUBSTITUTE(AC13,"R","S"),
                                     AC13))),
                          "0",""),"1",""),"2",""),"3",""),"4",""),
                      "5",""),"6",""),"7",""),"8",""),"9","")
     ),
     IF(SUM(--ISNUMBER(FIND({0,1,2,3,4,5,6,7,8,9}, _xlpm.txt)))=0,
        _xlpm.txt &amp; Data!CR55,
        _xlpm.txt
     )
   ),
   ""
)</f>
        <v/>
      </c>
      <c r="AD35" s="41" t="str" cm="1">
        <f t="array" ref="AD35">IF(AD13&lt;&gt;"",
   _xlfn.LET(
     _xlpm.txt,
     IF(OR(COUNTIF(AD13,"L*"), COUNTIF(AD13, "X*")),
        IF(AND(COUNTIF(AD13,"*P*"), COUNTIF(AD13,"*V*")),
           IF(COUNTIF(AD13,"*R*"),
              SUBSTITUTE(SUBSTITUTE(AD13,"P",""),"R","S"),
              SUBSTITUTE(AD13,"P","")),
           IF(AND(COUNTIF(AD13,"*P*"), COUNTIF(AD13,"*R*")),
              SUBSTITUTE(AD13,"R","S"),
              IF(AND(COUNTIF(AD13,"*V*"), COUNTIF(AD13,"*R*")),
                 SUBSTITUTE(AD13,"R","S"),
                 AD13))),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IF(AND(COUNTIF(AD13,"*P*"), COUNTIF(AD13,"*V*")),
                               IF(COUNTIF(AD13,"*R*"),
                                  SUBSTITUTE(SUBSTITUTE(AD13,"P",""),"R","S"),
                                  SUBSTITUTE(AD13,"P","")),
                               IF(AND(COUNTIF(AD13,"*P*"), COUNTIF(AD13,"*R*")),
                                  SUBSTITUTE(AD13,"R","S"),
                                  IF(AND(COUNTIF(AD13,"*V*"), COUNTIF(AD13,"*R*")),
                                     SUBSTITUTE(AD13,"R","S"),
                                     AD13))),
                          "0",""),"1",""),"2",""),"3",""),"4",""),
                      "5",""),"6",""),"7",""),"8",""),"9","")
     ),
     IF(SUM(--ISNUMBER(FIND({0,1,2,3,4,5,6,7,8,9}, _xlpm.txt)))=0,
        _xlpm.txt &amp; Data!CS55,
        _xlpm.txt
     )
   ),
   ""
)</f>
        <v/>
      </c>
      <c r="AE35" s="41" t="str" cm="1">
        <f t="array" ref="AE35">IF(AE13&lt;&gt;"",
   _xlfn.LET(
     _xlpm.txt,
     IF(OR(COUNTIF(AE13,"L*"), COUNTIF(AE13, "X*")),
        IF(AND(COUNTIF(AE13,"*P*"), COUNTIF(AE13,"*V*")),
           IF(COUNTIF(AE13,"*R*"),
              SUBSTITUTE(SUBSTITUTE(AE13,"P",""),"R","S"),
              SUBSTITUTE(AE13,"P","")),
           IF(AND(COUNTIF(AE13,"*P*"), COUNTIF(AE13,"*R*")),
              SUBSTITUTE(AE13,"R","S"),
              IF(AND(COUNTIF(AE13,"*V*"), COUNTIF(AE13,"*R*")),
                 SUBSTITUTE(AE13,"R","S"),
                 AE13))),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IF(AND(COUNTIF(AE13,"*P*"), COUNTIF(AE13,"*V*")),
                               IF(COUNTIF(AE13,"*R*"),
                                  SUBSTITUTE(SUBSTITUTE(AE13,"P",""),"R","S"),
                                  SUBSTITUTE(AE13,"P","")),
                               IF(AND(COUNTIF(AE13,"*P*"), COUNTIF(AE13,"*R*")),
                                  SUBSTITUTE(AE13,"R","S"),
                                  IF(AND(COUNTIF(AE13,"*V*"), COUNTIF(AE13,"*R*")),
                                     SUBSTITUTE(AE13,"R","S"),
                                     AE13))),
                          "0",""),"1",""),"2",""),"3",""),"4",""),
                      "5",""),"6",""),"7",""),"8",""),"9","")
     ),
     IF(SUM(--ISNUMBER(FIND({0,1,2,3,4,5,6,7,8,9}, _xlpm.txt)))=0,
        _xlpm.txt &amp; Data!CT55,
        _xlpm.txt
     )
   ),
   ""
)</f>
        <v/>
      </c>
      <c r="AF35" s="41" t="str" cm="1">
        <f t="array" ref="AF35">IF(AF13&lt;&gt;"",
   _xlfn.LET(
     _xlpm.txt,
     IF(OR(COUNTIF(AF13,"L*"), COUNTIF(AF13, "X*")),
        IF(AND(COUNTIF(AF13,"*P*"), COUNTIF(AF13,"*V*")),
           IF(COUNTIF(AF13,"*R*"),
              SUBSTITUTE(SUBSTITUTE(AF13,"P",""),"R","S"),
              SUBSTITUTE(AF13,"P","")),
           IF(AND(COUNTIF(AF13,"*P*"), COUNTIF(AF13,"*R*")),
              SUBSTITUTE(AF13,"R","S"),
              IF(AND(COUNTIF(AF13,"*V*"), COUNTIF(AF13,"*R*")),
                 SUBSTITUTE(AF13,"R","S"),
                 AF13))),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IF(AND(COUNTIF(AF13,"*P*"), COUNTIF(AF13,"*V*")),
                               IF(COUNTIF(AF13,"*R*"),
                                  SUBSTITUTE(SUBSTITUTE(AF13,"P",""),"R","S"),
                                  SUBSTITUTE(AF13,"P","")),
                               IF(AND(COUNTIF(AF13,"*P*"), COUNTIF(AF13,"*R*")),
                                  SUBSTITUTE(AF13,"R","S"),
                                  IF(AND(COUNTIF(AF13,"*V*"), COUNTIF(AF13,"*R*")),
                                     SUBSTITUTE(AF13,"R","S"),
                                     AF13))),
                          "0",""),"1",""),"2",""),"3",""),"4",""),
                      "5",""),"6",""),"7",""),"8",""),"9","")
     ),
     IF(SUM(--ISNUMBER(FIND({0,1,2,3,4,5,6,7,8,9}, _xlpm.txt)))=0,
        _xlpm.txt &amp; Data!CU55,
        _xlpm.txt
     )
   ),
   ""
)</f>
        <v/>
      </c>
      <c r="AG35" s="41" t="str" cm="1">
        <f t="array" ref="AG35">IF(AG13&lt;&gt;"",
   _xlfn.LET(
     _xlpm.txt,
     IF(OR(COUNTIF(AG13,"L*"), COUNTIF(AG13, "X*")),
        IF(AND(COUNTIF(AG13,"*P*"), COUNTIF(AG13,"*V*")),
           IF(COUNTIF(AG13,"*R*"),
              SUBSTITUTE(SUBSTITUTE(AG13,"P",""),"R","S"),
              SUBSTITUTE(AG13,"P","")),
           IF(AND(COUNTIF(AG13,"*P*"), COUNTIF(AG13,"*R*")),
              SUBSTITUTE(AG13,"R","S"),
              IF(AND(COUNTIF(AG13,"*V*"), COUNTIF(AG13,"*R*")),
                 SUBSTITUTE(AG13,"R","S"),
                 AG13))),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IF(AND(COUNTIF(AG13,"*P*"), COUNTIF(AG13,"*V*")),
                               IF(COUNTIF(AG13,"*R*"),
                                  SUBSTITUTE(SUBSTITUTE(AG13,"P",""),"R","S"),
                                  SUBSTITUTE(AG13,"P","")),
                               IF(AND(COUNTIF(AG13,"*P*"), COUNTIF(AG13,"*R*")),
                                  SUBSTITUTE(AG13,"R","S"),
                                  IF(AND(COUNTIF(AG13,"*V*"), COUNTIF(AG13,"*R*")),
                                     SUBSTITUTE(AG13,"R","S"),
                                     AG13))),
                          "0",""),"1",""),"2",""),"3",""),"4",""),
                      "5",""),"6",""),"7",""),"8",""),"9","")
     ),
     IF(SUM(--ISNUMBER(FIND({0,1,2,3,4,5,6,7,8,9}, _xlpm.txt)))=0,
        _xlpm.txt &amp; Data!CV55,
        _xlpm.txt
     )
   ),
   ""
)</f>
        <v/>
      </c>
      <c r="AH35" s="41" t="str" cm="1">
        <f t="array" ref="AH35">IF(AH13&lt;&gt;"",
   _xlfn.LET(
     _xlpm.txt,
     IF(OR(COUNTIF(AH13,"L*"), COUNTIF(AH13, "X*")),
        IF(AND(COUNTIF(AH13,"*P*"), COUNTIF(AH13,"*V*")),
           IF(COUNTIF(AH13,"*R*"),
              SUBSTITUTE(SUBSTITUTE(AH13,"P",""),"R","S"),
              SUBSTITUTE(AH13,"P","")),
           IF(AND(COUNTIF(AH13,"*P*"), COUNTIF(AH13,"*R*")),
              SUBSTITUTE(AH13,"R","S"),
              IF(AND(COUNTIF(AH13,"*V*"), COUNTIF(AH13,"*R*")),
                 SUBSTITUTE(AH13,"R","S"),
                 AH13))),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IF(AND(COUNTIF(AH13,"*P*"), COUNTIF(AH13,"*V*")),
                               IF(COUNTIF(AH13,"*R*"),
                                  SUBSTITUTE(SUBSTITUTE(AH13,"P",""),"R","S"),
                                  SUBSTITUTE(AH13,"P","")),
                               IF(AND(COUNTIF(AH13,"*P*"), COUNTIF(AH13,"*R*")),
                                  SUBSTITUTE(AH13,"R","S"),
                                  IF(AND(COUNTIF(AH13,"*V*"), COUNTIF(AH13,"*R*")),
                                     SUBSTITUTE(AH13,"R","S"),
                                     AH13))),
                          "0",""),"1",""),"2",""),"3",""),"4",""),
                      "5",""),"6",""),"7",""),"8",""),"9","")
     ),
     IF(SUM(--ISNUMBER(FIND({0,1,2,3,4,5,6,7,8,9}, _xlpm.txt)))=0,
        _xlpm.txt &amp; Data!CW55,
        _xlpm.txt
     )
   ),
   ""
)</f>
        <v/>
      </c>
      <c r="AI35" s="41" t="str" cm="1">
        <f t="array" ref="AI35">IF(AI13&lt;&gt;"",
   _xlfn.LET(
     _xlpm.txt,
     IF(OR(COUNTIF(AI13,"L*"), COUNTIF(AI13, "X*")),
        IF(AND(COUNTIF(AI13,"*P*"), COUNTIF(AI13,"*V*")),
           IF(COUNTIF(AI13,"*R*"),
              SUBSTITUTE(SUBSTITUTE(AI13,"P",""),"R","S"),
              SUBSTITUTE(AI13,"P","")),
           IF(AND(COUNTIF(AI13,"*P*"), COUNTIF(AI13,"*R*")),
              SUBSTITUTE(AI13,"R","S"),
              IF(AND(COUNTIF(AI13,"*V*"), COUNTIF(AI13,"*R*")),
                 SUBSTITUTE(AI13,"R","S"),
                 AI13))),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IF(AND(COUNTIF(AI13,"*P*"), COUNTIF(AI13,"*V*")),
                               IF(COUNTIF(AI13,"*R*"),
                                  SUBSTITUTE(SUBSTITUTE(AI13,"P",""),"R","S"),
                                  SUBSTITUTE(AI13,"P","")),
                               IF(AND(COUNTIF(AI13,"*P*"), COUNTIF(AI13,"*R*")),
                                  SUBSTITUTE(AI13,"R","S"),
                                  IF(AND(COUNTIF(AI13,"*V*"), COUNTIF(AI13,"*R*")),
                                     SUBSTITUTE(AI13,"R","S"),
                                     AI13))),
                          "0",""),"1",""),"2",""),"3",""),"4",""),
                      "5",""),"6",""),"7",""),"8",""),"9","")
     ),
     IF(SUM(--ISNUMBER(FIND({0,1,2,3,4,5,6,7,8,9}, _xlpm.txt)))=0,
        _xlpm.txt &amp; Data!CX55,
        _xlpm.txt
     )
   ),
   ""
)</f>
        <v/>
      </c>
      <c r="AJ35" s="41" t="str" cm="1">
        <f t="array" ref="AJ35">IF(AJ13&lt;&gt;"",
   _xlfn.LET(
     _xlpm.txt,
     IF(OR(COUNTIF(AJ13,"L*"), COUNTIF(AJ13, "X*")),
        IF(AND(COUNTIF(AJ13,"*P*"), COUNTIF(AJ13,"*V*")),
           IF(COUNTIF(AJ13,"*R*"),
              SUBSTITUTE(SUBSTITUTE(AJ13,"P",""),"R","S"),
              SUBSTITUTE(AJ13,"P","")),
           IF(AND(COUNTIF(AJ13,"*P*"), COUNTIF(AJ13,"*R*")),
              SUBSTITUTE(AJ13,"R","S"),
              IF(AND(COUNTIF(AJ13,"*V*"), COUNTIF(AJ13,"*R*")),
                 SUBSTITUTE(AJ13,"R","S"),
                 AJ13))),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IF(AND(COUNTIF(AJ13,"*P*"), COUNTIF(AJ13,"*V*")),
                               IF(COUNTIF(AJ13,"*R*"),
                                  SUBSTITUTE(SUBSTITUTE(AJ13,"P",""),"R","S"),
                                  SUBSTITUTE(AJ13,"P","")),
                               IF(AND(COUNTIF(AJ13,"*P*"), COUNTIF(AJ13,"*R*")),
                                  SUBSTITUTE(AJ13,"R","S"),
                                  IF(AND(COUNTIF(AJ13,"*V*"), COUNTIF(AJ13,"*R*")),
                                     SUBSTITUTE(AJ13,"R","S"),
                                     AJ13))),
                          "0",""),"1",""),"2",""),"3",""),"4",""),
                      "5",""),"6",""),"7",""),"8",""),"9","")
     ),
     IF(SUM(--ISNUMBER(FIND({0,1,2,3,4,5,6,7,8,9}, _xlpm.txt)))=0,
        _xlpm.txt &amp; Data!CY55,
        _xlpm.txt
     )
   ),
   ""
)</f>
        <v/>
      </c>
    </row>
    <row r="36" spans="1:54" ht="23.25" customHeight="1" x14ac:dyDescent="0.35">
      <c r="A36" s="1196"/>
      <c r="B36" s="22">
        <v>11</v>
      </c>
      <c r="C36" s="41" t="str" cm="1">
        <f t="array" ref="C36">IF(C14&lt;&gt;"",
   _xlfn.LET(
     _xlpm.txt,
     IF(OR(COUNTIF(C14,"L*"), COUNTIF(C14, "X*")),
        IF(AND(COUNTIF(C14,"*P*"), COUNTIF(C14,"*V*")),
           IF(COUNTIF(C14,"*R*"),
              SUBSTITUTE(SUBSTITUTE(C14,"P",""),"R","S"),
              SUBSTITUTE(C14,"P","")),
           IF(AND(COUNTIF(C14,"*P*"), COUNTIF(C14,"*R*")),
              SUBSTITUTE(C14,"R","S"),
              IF(AND(COUNTIF(C14,"*V*"), COUNTIF(C14,"*R*")),
                 SUBSTITUTE(C14,"R","S"),
                 C14))),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IF(AND(COUNTIF(C14,"*P*"), COUNTIF(C14,"*V*")),
                               IF(COUNTIF(C14,"*R*"),
                                  SUBSTITUTE(SUBSTITUTE(C14,"P",""),"R","S"),
                                  SUBSTITUTE(C14,"P","")),
                               IF(AND(COUNTIF(C14,"*P*"), COUNTIF(C14,"*R*")),
                                  SUBSTITUTE(C14,"R","S"),
                                  IF(AND(COUNTIF(C14,"*V*"), COUNTIF(C14,"*R*")),
                                     SUBSTITUTE(C14,"R","S"),
                                     C14))),
                          "0",""),"1",""),"2",""),"3",""),"4",""),
                      "5",""),"6",""),"7",""),"8",""),"9","")
     ),
     IF(SUM(--ISNUMBER(FIND({0,1,2,3,4,5,6,7,8,9}, _xlpm.txt)))=0,
        _xlpm.txt &amp; Data!BR56,
        _xlpm.txt
     )
   ),
   ""
)</f>
        <v/>
      </c>
      <c r="D36" s="41" t="str" cm="1">
        <f t="array" ref="D36">IF(D14&lt;&gt;"",
   _xlfn.LET(
     _xlpm.txt,
     IF(OR(COUNTIF(D14,"L*"), COUNTIF(D14, "X*")),
        IF(AND(COUNTIF(D14,"*P*"), COUNTIF(D14,"*V*")),
           IF(COUNTIF(D14,"*R*"),
              SUBSTITUTE(SUBSTITUTE(D14,"P",""),"R","S"),
              SUBSTITUTE(D14,"P","")),
           IF(AND(COUNTIF(D14,"*P*"), COUNTIF(D14,"*R*")),
              SUBSTITUTE(D14,"R","S"),
              IF(AND(COUNTIF(D14,"*V*"), COUNTIF(D14,"*R*")),
                 SUBSTITUTE(D14,"R","S"),
                 D14))),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IF(AND(COUNTIF(D14,"*P*"), COUNTIF(D14,"*V*")),
                               IF(COUNTIF(D14,"*R*"),
                                  SUBSTITUTE(SUBSTITUTE(D14,"P",""),"R","S"),
                                  SUBSTITUTE(D14,"P","")),
                               IF(AND(COUNTIF(D14,"*P*"), COUNTIF(D14,"*R*")),
                                  SUBSTITUTE(D14,"R","S"),
                                  IF(AND(COUNTIF(D14,"*V*"), COUNTIF(D14,"*R*")),
                                     SUBSTITUTE(D14,"R","S"),
                                     D14))),
                          "0",""),"1",""),"2",""),"3",""),"4",""),
                      "5",""),"6",""),"7",""),"8",""),"9","")
     ),
     IF(SUM(--ISNUMBER(FIND({0,1,2,3,4,5,6,7,8,9}, _xlpm.txt)))=0,
        _xlpm.txt &amp; Data!BS56,
        _xlpm.txt
     )
   ),
   ""
)</f>
        <v/>
      </c>
      <c r="E36" s="41" t="str" cm="1">
        <f t="array" ref="E36">IF(E14&lt;&gt;"",
   _xlfn.LET(
     _xlpm.txt,
     IF(OR(COUNTIF(E14,"L*"), COUNTIF(E14, "X*")),
        IF(AND(COUNTIF(E14,"*P*"), COUNTIF(E14,"*V*")),
           IF(COUNTIF(E14,"*R*"),
              SUBSTITUTE(SUBSTITUTE(E14,"P",""),"R","S"),
              SUBSTITUTE(E14,"P","")),
           IF(AND(COUNTIF(E14,"*P*"), COUNTIF(E14,"*R*")),
              SUBSTITUTE(E14,"R","S"),
              IF(AND(COUNTIF(E14,"*V*"), COUNTIF(E14,"*R*")),
                 SUBSTITUTE(E14,"R","S"),
                 E14))),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IF(AND(COUNTIF(E14,"*P*"), COUNTIF(E14,"*V*")),
                               IF(COUNTIF(E14,"*R*"),
                                  SUBSTITUTE(SUBSTITUTE(E14,"P",""),"R","S"),
                                  SUBSTITUTE(E14,"P","")),
                               IF(AND(COUNTIF(E14,"*P*"), COUNTIF(E14,"*R*")),
                                  SUBSTITUTE(E14,"R","S"),
                                  IF(AND(COUNTIF(E14,"*V*"), COUNTIF(E14,"*R*")),
                                     SUBSTITUTE(E14,"R","S"),
                                     E14))),
                          "0",""),"1",""),"2",""),"3",""),"4",""),
                      "5",""),"6",""),"7",""),"8",""),"9","")
     ),
     IF(SUM(--ISNUMBER(FIND({0,1,2,3,4,5,6,7,8,9}, _xlpm.txt)))=0,
        _xlpm.txt &amp; Data!BT56,
        _xlpm.txt
     )
   ),
   ""
)</f>
        <v/>
      </c>
      <c r="F36" s="41" t="str" cm="1">
        <f t="array" ref="F36">IF(F14&lt;&gt;"",
   _xlfn.LET(
     _xlpm.txt,
     IF(OR(COUNTIF(F14,"L*"), COUNTIF(F14, "X*")),
        IF(AND(COUNTIF(F14,"*P*"), COUNTIF(F14,"*V*")),
           IF(COUNTIF(F14,"*R*"),
              SUBSTITUTE(SUBSTITUTE(F14,"P",""),"R","S"),
              SUBSTITUTE(F14,"P","")),
           IF(AND(COUNTIF(F14,"*P*"), COUNTIF(F14,"*R*")),
              SUBSTITUTE(F14,"R","S"),
              IF(AND(COUNTIF(F14,"*V*"), COUNTIF(F14,"*R*")),
                 SUBSTITUTE(F14,"R","S"),
                 F14))),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IF(AND(COUNTIF(F14,"*P*"), COUNTIF(F14,"*V*")),
                               IF(COUNTIF(F14,"*R*"),
                                  SUBSTITUTE(SUBSTITUTE(F14,"P",""),"R","S"),
                                  SUBSTITUTE(F14,"P","")),
                               IF(AND(COUNTIF(F14,"*P*"), COUNTIF(F14,"*R*")),
                                  SUBSTITUTE(F14,"R","S"),
                                  IF(AND(COUNTIF(F14,"*V*"), COUNTIF(F14,"*R*")),
                                     SUBSTITUTE(F14,"R","S"),
                                     F14))),
                          "0",""),"1",""),"2",""),"3",""),"4",""),
                      "5",""),"6",""),"7",""),"8",""),"9","")
     ),
     IF(SUM(--ISNUMBER(FIND({0,1,2,3,4,5,6,7,8,9}, _xlpm.txt)))=0,
        _xlpm.txt &amp; Data!BU56,
        _xlpm.txt
     )
   ),
   ""
)</f>
        <v/>
      </c>
      <c r="G36" s="41" t="str" cm="1">
        <f t="array" ref="G36">IF(G14&lt;&gt;"",
   _xlfn.LET(
     _xlpm.txt,
     IF(OR(COUNTIF(G14,"L*"), COUNTIF(G14, "X*")),
        IF(AND(COUNTIF(G14,"*P*"), COUNTIF(G14,"*V*")),
           IF(COUNTIF(G14,"*R*"),
              SUBSTITUTE(SUBSTITUTE(G14,"P",""),"R","S"),
              SUBSTITUTE(G14,"P","")),
           IF(AND(COUNTIF(G14,"*P*"), COUNTIF(G14,"*R*")),
              SUBSTITUTE(G14,"R","S"),
              IF(AND(COUNTIF(G14,"*V*"), COUNTIF(G14,"*R*")),
                 SUBSTITUTE(G14,"R","S"),
                 G14))),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IF(AND(COUNTIF(G14,"*P*"), COUNTIF(G14,"*V*")),
                               IF(COUNTIF(G14,"*R*"),
                                  SUBSTITUTE(SUBSTITUTE(G14,"P",""),"R","S"),
                                  SUBSTITUTE(G14,"P","")),
                               IF(AND(COUNTIF(G14,"*P*"), COUNTIF(G14,"*R*")),
                                  SUBSTITUTE(G14,"R","S"),
                                  IF(AND(COUNTIF(G14,"*V*"), COUNTIF(G14,"*R*")),
                                     SUBSTITUTE(G14,"R","S"),
                                     G14))),
                          "0",""),"1",""),"2",""),"3",""),"4",""),
                      "5",""),"6",""),"7",""),"8",""),"9","")
     ),
     IF(SUM(--ISNUMBER(FIND({0,1,2,3,4,5,6,7,8,9}, _xlpm.txt)))=0,
        _xlpm.txt &amp; Data!BV56,
        _xlpm.txt
     )
   ),
   ""
)</f>
        <v/>
      </c>
      <c r="H36" s="41" t="str" cm="1">
        <f t="array" ref="H36">IF(H14&lt;&gt;"",
   _xlfn.LET(
     _xlpm.txt,
     IF(OR(COUNTIF(H14,"L*"), COUNTIF(H14, "X*")),
        IF(AND(COUNTIF(H14,"*P*"), COUNTIF(H14,"*V*")),
           IF(COUNTIF(H14,"*R*"),
              SUBSTITUTE(SUBSTITUTE(H14,"P",""),"R","S"),
              SUBSTITUTE(H14,"P","")),
           IF(AND(COUNTIF(H14,"*P*"), COUNTIF(H14,"*R*")),
              SUBSTITUTE(H14,"R","S"),
              IF(AND(COUNTIF(H14,"*V*"), COUNTIF(H14,"*R*")),
                 SUBSTITUTE(H14,"R","S"),
                 H14))),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IF(AND(COUNTIF(H14,"*P*"), COUNTIF(H14,"*V*")),
                               IF(COUNTIF(H14,"*R*"),
                                  SUBSTITUTE(SUBSTITUTE(H14,"P",""),"R","S"),
                                  SUBSTITUTE(H14,"P","")),
                               IF(AND(COUNTIF(H14,"*P*"), COUNTIF(H14,"*R*")),
                                  SUBSTITUTE(H14,"R","S"),
                                  IF(AND(COUNTIF(H14,"*V*"), COUNTIF(H14,"*R*")),
                                     SUBSTITUTE(H14,"R","S"),
                                     H14))),
                          "0",""),"1",""),"2",""),"3",""),"4",""),
                      "5",""),"6",""),"7",""),"8",""),"9","")
     ),
     IF(SUM(--ISNUMBER(FIND({0,1,2,3,4,5,6,7,8,9}, _xlpm.txt)))=0,
        _xlpm.txt &amp; Data!BW56,
        _xlpm.txt
     )
   ),
   ""
)</f>
        <v/>
      </c>
      <c r="I36" s="41" t="str" cm="1">
        <f t="array" ref="I36">IF(I14&lt;&gt;"",
   _xlfn.LET(
     _xlpm.txt,
     IF(OR(COUNTIF(I14,"L*"), COUNTIF(I14, "X*")),
        IF(AND(COUNTIF(I14,"*P*"), COUNTIF(I14,"*V*")),
           IF(COUNTIF(I14,"*R*"),
              SUBSTITUTE(SUBSTITUTE(I14,"P",""),"R","S"),
              SUBSTITUTE(I14,"P","")),
           IF(AND(COUNTIF(I14,"*P*"), COUNTIF(I14,"*R*")),
              SUBSTITUTE(I14,"R","S"),
              IF(AND(COUNTIF(I14,"*V*"), COUNTIF(I14,"*R*")),
                 SUBSTITUTE(I14,"R","S"),
                 I14))),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IF(AND(COUNTIF(I14,"*P*"), COUNTIF(I14,"*V*")),
                               IF(COUNTIF(I14,"*R*"),
                                  SUBSTITUTE(SUBSTITUTE(I14,"P",""),"R","S"),
                                  SUBSTITUTE(I14,"P","")),
                               IF(AND(COUNTIF(I14,"*P*"), COUNTIF(I14,"*R*")),
                                  SUBSTITUTE(I14,"R","S"),
                                  IF(AND(COUNTIF(I14,"*V*"), COUNTIF(I14,"*R*")),
                                     SUBSTITUTE(I14,"R","S"),
                                     I14))),
                          "0",""),"1",""),"2",""),"3",""),"4",""),
                      "5",""),"6",""),"7",""),"8",""),"9","")
     ),
     IF(SUM(--ISNUMBER(FIND({0,1,2,3,4,5,6,7,8,9}, _xlpm.txt)))=0,
        _xlpm.txt &amp; Data!BX56,
        _xlpm.txt
     )
   ),
   ""
)</f>
        <v/>
      </c>
      <c r="J36" s="41" t="str" cm="1">
        <f t="array" ref="J36">IF(J14&lt;&gt;"",
   _xlfn.LET(
     _xlpm.txt,
     IF(OR(COUNTIF(J14,"L*"), COUNTIF(J14, "X*")),
        IF(AND(COUNTIF(J14,"*P*"), COUNTIF(J14,"*V*")),
           IF(COUNTIF(J14,"*R*"),
              SUBSTITUTE(SUBSTITUTE(J14,"P",""),"R","S"),
              SUBSTITUTE(J14,"P","")),
           IF(AND(COUNTIF(J14,"*P*"), COUNTIF(J14,"*R*")),
              SUBSTITUTE(J14,"R","S"),
              IF(AND(COUNTIF(J14,"*V*"), COUNTIF(J14,"*R*")),
                 SUBSTITUTE(J14,"R","S"),
                 J14))),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IF(AND(COUNTIF(J14,"*P*"), COUNTIF(J14,"*V*")),
                               IF(COUNTIF(J14,"*R*"),
                                  SUBSTITUTE(SUBSTITUTE(J14,"P",""),"R","S"),
                                  SUBSTITUTE(J14,"P","")),
                               IF(AND(COUNTIF(J14,"*P*"), COUNTIF(J14,"*R*")),
                                  SUBSTITUTE(J14,"R","S"),
                                  IF(AND(COUNTIF(J14,"*V*"), COUNTIF(J14,"*R*")),
                                     SUBSTITUTE(J14,"R","S"),
                                     J14))),
                          "0",""),"1",""),"2",""),"3",""),"4",""),
                      "5",""),"6",""),"7",""),"8",""),"9","")
     ),
     IF(SUM(--ISNUMBER(FIND({0,1,2,3,4,5,6,7,8,9}, _xlpm.txt)))=0,
        _xlpm.txt &amp; Data!BY56,
        _xlpm.txt
     )
   ),
   ""
)</f>
        <v/>
      </c>
      <c r="K36" s="41" t="str" cm="1">
        <f t="array" ref="K36">IF(K14&lt;&gt;"",
   _xlfn.LET(
     _xlpm.txt,
     IF(OR(COUNTIF(K14,"L*"), COUNTIF(K14, "X*")),
        IF(AND(COUNTIF(K14,"*P*"), COUNTIF(K14,"*V*")),
           IF(COUNTIF(K14,"*R*"),
              SUBSTITUTE(SUBSTITUTE(K14,"P",""),"R","S"),
              SUBSTITUTE(K14,"P","")),
           IF(AND(COUNTIF(K14,"*P*"), COUNTIF(K14,"*R*")),
              SUBSTITUTE(K14,"R","S"),
              IF(AND(COUNTIF(K14,"*V*"), COUNTIF(K14,"*R*")),
                 SUBSTITUTE(K14,"R","S"),
                 K14))),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IF(AND(COUNTIF(K14,"*P*"), COUNTIF(K14,"*V*")),
                               IF(COUNTIF(K14,"*R*"),
                                  SUBSTITUTE(SUBSTITUTE(K14,"P",""),"R","S"),
                                  SUBSTITUTE(K14,"P","")),
                               IF(AND(COUNTIF(K14,"*P*"), COUNTIF(K14,"*R*")),
                                  SUBSTITUTE(K14,"R","S"),
                                  IF(AND(COUNTIF(K14,"*V*"), COUNTIF(K14,"*R*")),
                                     SUBSTITUTE(K14,"R","S"),
                                     K14))),
                          "0",""),"1",""),"2",""),"3",""),"4",""),
                      "5",""),"6",""),"7",""),"8",""),"9","")
     ),
     IF(SUM(--ISNUMBER(FIND({0,1,2,3,4,5,6,7,8,9}, _xlpm.txt)))=0,
        _xlpm.txt &amp; Data!BZ56,
        _xlpm.txt
     )
   ),
   ""
)</f>
        <v/>
      </c>
      <c r="L36" s="41" t="str" cm="1">
        <f t="array" ref="L36">IF(L14&lt;&gt;"",
   _xlfn.LET(
     _xlpm.txt,
     IF(OR(COUNTIF(L14,"L*"), COUNTIF(L14, "X*")),
        IF(AND(COUNTIF(L14,"*P*"), COUNTIF(L14,"*V*")),
           IF(COUNTIF(L14,"*R*"),
              SUBSTITUTE(SUBSTITUTE(L14,"P",""),"R","S"),
              SUBSTITUTE(L14,"P","")),
           IF(AND(COUNTIF(L14,"*P*"), COUNTIF(L14,"*R*")),
              SUBSTITUTE(L14,"R","S"),
              IF(AND(COUNTIF(L14,"*V*"), COUNTIF(L14,"*R*")),
                 SUBSTITUTE(L14,"R","S"),
                 L14))),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IF(AND(COUNTIF(L14,"*P*"), COUNTIF(L14,"*V*")),
                               IF(COUNTIF(L14,"*R*"),
                                  SUBSTITUTE(SUBSTITUTE(L14,"P",""),"R","S"),
                                  SUBSTITUTE(L14,"P","")),
                               IF(AND(COUNTIF(L14,"*P*"), COUNTIF(L14,"*R*")),
                                  SUBSTITUTE(L14,"R","S"),
                                  IF(AND(COUNTIF(L14,"*V*"), COUNTIF(L14,"*R*")),
                                     SUBSTITUTE(L14,"R","S"),
                                     L14))),
                          "0",""),"1",""),"2",""),"3",""),"4",""),
                      "5",""),"6",""),"7",""),"8",""),"9","")
     ),
     IF(SUM(--ISNUMBER(FIND({0,1,2,3,4,5,6,7,8,9}, _xlpm.txt)))=0,
        _xlpm.txt &amp; Data!CA56,
        _xlpm.txt
     )
   ),
   ""
)</f>
        <v/>
      </c>
      <c r="M36" s="41" t="str" cm="1">
        <f t="array" ref="M36">IF(M14&lt;&gt;"",
   _xlfn.LET(
     _xlpm.txt,
     IF(OR(COUNTIF(M14,"L*"), COUNTIF(M14, "X*")),
        IF(AND(COUNTIF(M14,"*P*"), COUNTIF(M14,"*V*")),
           IF(COUNTIF(M14,"*R*"),
              SUBSTITUTE(SUBSTITUTE(M14,"P",""),"R","S"),
              SUBSTITUTE(M14,"P","")),
           IF(AND(COUNTIF(M14,"*P*"), COUNTIF(M14,"*R*")),
              SUBSTITUTE(M14,"R","S"),
              IF(AND(COUNTIF(M14,"*V*"), COUNTIF(M14,"*R*")),
                 SUBSTITUTE(M14,"R","S"),
                 M14))),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IF(AND(COUNTIF(M14,"*P*"), COUNTIF(M14,"*V*")),
                               IF(COUNTIF(M14,"*R*"),
                                  SUBSTITUTE(SUBSTITUTE(M14,"P",""),"R","S"),
                                  SUBSTITUTE(M14,"P","")),
                               IF(AND(COUNTIF(M14,"*P*"), COUNTIF(M14,"*R*")),
                                  SUBSTITUTE(M14,"R","S"),
                                  IF(AND(COUNTIF(M14,"*V*"), COUNTIF(M14,"*R*")),
                                     SUBSTITUTE(M14,"R","S"),
                                     M14))),
                          "0",""),"1",""),"2",""),"3",""),"4",""),
                      "5",""),"6",""),"7",""),"8",""),"9","")
     ),
     IF(SUM(--ISNUMBER(FIND({0,1,2,3,4,5,6,7,8,9}, _xlpm.txt)))=0,
        _xlpm.txt &amp; Data!CB56,
        _xlpm.txt
     )
   ),
   ""
)</f>
        <v/>
      </c>
      <c r="N36" s="41" t="str" cm="1">
        <f t="array" ref="N36">IF(N14&lt;&gt;"",
   _xlfn.LET(
     _xlpm.txt,
     IF(OR(COUNTIF(N14,"L*"), COUNTIF(N14, "X*")),
        IF(AND(COUNTIF(N14,"*P*"), COUNTIF(N14,"*V*")),
           IF(COUNTIF(N14,"*R*"),
              SUBSTITUTE(SUBSTITUTE(N14,"P",""),"R","S"),
              SUBSTITUTE(N14,"P","")),
           IF(AND(COUNTIF(N14,"*P*"), COUNTIF(N14,"*R*")),
              SUBSTITUTE(N14,"R","S"),
              IF(AND(COUNTIF(N14,"*V*"), COUNTIF(N14,"*R*")),
                 SUBSTITUTE(N14,"R","S"),
                 N14))),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IF(AND(COUNTIF(N14,"*P*"), COUNTIF(N14,"*V*")),
                               IF(COUNTIF(N14,"*R*"),
                                  SUBSTITUTE(SUBSTITUTE(N14,"P",""),"R","S"),
                                  SUBSTITUTE(N14,"P","")),
                               IF(AND(COUNTIF(N14,"*P*"), COUNTIF(N14,"*R*")),
                                  SUBSTITUTE(N14,"R","S"),
                                  IF(AND(COUNTIF(N14,"*V*"), COUNTIF(N14,"*R*")),
                                     SUBSTITUTE(N14,"R","S"),
                                     N14))),
                          "0",""),"1",""),"2",""),"3",""),"4",""),
                      "5",""),"6",""),"7",""),"8",""),"9","")
     ),
     IF(SUM(--ISNUMBER(FIND({0,1,2,3,4,5,6,7,8,9}, _xlpm.txt)))=0,
        _xlpm.txt &amp; Data!CC56,
        _xlpm.txt
     )
   ),
   ""
)</f>
        <v/>
      </c>
      <c r="O36" s="41" t="str" cm="1">
        <f t="array" ref="O36">IF(O14&lt;&gt;"",
   _xlfn.LET(
     _xlpm.txt,
     IF(OR(COUNTIF(O14,"L*"), COUNTIF(O14, "X*")),
        IF(AND(COUNTIF(O14,"*P*"), COUNTIF(O14,"*V*")),
           IF(COUNTIF(O14,"*R*"),
              SUBSTITUTE(SUBSTITUTE(O14,"P",""),"R","S"),
              SUBSTITUTE(O14,"P","")),
           IF(AND(COUNTIF(O14,"*P*"), COUNTIF(O14,"*R*")),
              SUBSTITUTE(O14,"R","S"),
              IF(AND(COUNTIF(O14,"*V*"), COUNTIF(O14,"*R*")),
                 SUBSTITUTE(O14,"R","S"),
                 O14))),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IF(AND(COUNTIF(O14,"*P*"), COUNTIF(O14,"*V*")),
                               IF(COUNTIF(O14,"*R*"),
                                  SUBSTITUTE(SUBSTITUTE(O14,"P",""),"R","S"),
                                  SUBSTITUTE(O14,"P","")),
                               IF(AND(COUNTIF(O14,"*P*"), COUNTIF(O14,"*R*")),
                                  SUBSTITUTE(O14,"R","S"),
                                  IF(AND(COUNTIF(O14,"*V*"), COUNTIF(O14,"*R*")),
                                     SUBSTITUTE(O14,"R","S"),
                                     O14))),
                          "0",""),"1",""),"2",""),"3",""),"4",""),
                      "5",""),"6",""),"7",""),"8",""),"9","")
     ),
     IF(SUM(--ISNUMBER(FIND({0,1,2,3,4,5,6,7,8,9}, _xlpm.txt)))=0,
        _xlpm.txt &amp; Data!CD56,
        _xlpm.txt
     )
   ),
   ""
)</f>
        <v/>
      </c>
      <c r="P36" s="41" t="str" cm="1">
        <f t="array" ref="P36">IF(P14&lt;&gt;"",
   _xlfn.LET(
     _xlpm.txt,
     IF(OR(COUNTIF(P14,"L*"), COUNTIF(P14, "X*")),
        IF(AND(COUNTIF(P14,"*P*"), COUNTIF(P14,"*V*")),
           IF(COUNTIF(P14,"*R*"),
              SUBSTITUTE(SUBSTITUTE(P14,"P",""),"R","S"),
              SUBSTITUTE(P14,"P","")),
           IF(AND(COUNTIF(P14,"*P*"), COUNTIF(P14,"*R*")),
              SUBSTITUTE(P14,"R","S"),
              IF(AND(COUNTIF(P14,"*V*"), COUNTIF(P14,"*R*")),
                 SUBSTITUTE(P14,"R","S"),
                 P14))),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IF(AND(COUNTIF(P14,"*P*"), COUNTIF(P14,"*V*")),
                               IF(COUNTIF(P14,"*R*"),
                                  SUBSTITUTE(SUBSTITUTE(P14,"P",""),"R","S"),
                                  SUBSTITUTE(P14,"P","")),
                               IF(AND(COUNTIF(P14,"*P*"), COUNTIF(P14,"*R*")),
                                  SUBSTITUTE(P14,"R","S"),
                                  IF(AND(COUNTIF(P14,"*V*"), COUNTIF(P14,"*R*")),
                                     SUBSTITUTE(P14,"R","S"),
                                     P14))),
                          "0",""),"1",""),"2",""),"3",""),"4",""),
                      "5",""),"6",""),"7",""),"8",""),"9","")
     ),
     IF(SUM(--ISNUMBER(FIND({0,1,2,3,4,5,6,7,8,9}, _xlpm.txt)))=0,
        _xlpm.txt &amp; Data!CE56,
        _xlpm.txt
     )
   ),
   ""
)</f>
        <v/>
      </c>
      <c r="Q36" s="41" t="str" cm="1">
        <f t="array" ref="Q36">IF(Q14&lt;&gt;"",
   _xlfn.LET(
     _xlpm.txt,
     IF(OR(COUNTIF(Q14,"L*"), COUNTIF(Q14, "X*")),
        IF(AND(COUNTIF(Q14,"*P*"), COUNTIF(Q14,"*V*")),
           IF(COUNTIF(Q14,"*R*"),
              SUBSTITUTE(SUBSTITUTE(Q14,"P",""),"R","S"),
              SUBSTITUTE(Q14,"P","")),
           IF(AND(COUNTIF(Q14,"*P*"), COUNTIF(Q14,"*R*")),
              SUBSTITUTE(Q14,"R","S"),
              IF(AND(COUNTIF(Q14,"*V*"), COUNTIF(Q14,"*R*")),
                 SUBSTITUTE(Q14,"R","S"),
                 Q14))),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IF(AND(COUNTIF(Q14,"*P*"), COUNTIF(Q14,"*V*")),
                               IF(COUNTIF(Q14,"*R*"),
                                  SUBSTITUTE(SUBSTITUTE(Q14,"P",""),"R","S"),
                                  SUBSTITUTE(Q14,"P","")),
                               IF(AND(COUNTIF(Q14,"*P*"), COUNTIF(Q14,"*R*")),
                                  SUBSTITUTE(Q14,"R","S"),
                                  IF(AND(COUNTIF(Q14,"*V*"), COUNTIF(Q14,"*R*")),
                                     SUBSTITUTE(Q14,"R","S"),
                                     Q14))),
                          "0",""),"1",""),"2",""),"3",""),"4",""),
                      "5",""),"6",""),"7",""),"8",""),"9","")
     ),
     IF(SUM(--ISNUMBER(FIND({0,1,2,3,4,5,6,7,8,9}, _xlpm.txt)))=0,
        _xlpm.txt &amp; Data!CF56,
        _xlpm.txt
     )
   ),
   ""
)</f>
        <v/>
      </c>
      <c r="R36" s="41" t="str" cm="1">
        <f t="array" ref="R36">IF(R14&lt;&gt;"",
   _xlfn.LET(
     _xlpm.txt,
     IF(OR(COUNTIF(R14,"L*"), COUNTIF(R14, "X*")),
        IF(AND(COUNTIF(R14,"*P*"), COUNTIF(R14,"*V*")),
           IF(COUNTIF(R14,"*R*"),
              SUBSTITUTE(SUBSTITUTE(R14,"P",""),"R","S"),
              SUBSTITUTE(R14,"P","")),
           IF(AND(COUNTIF(R14,"*P*"), COUNTIF(R14,"*R*")),
              SUBSTITUTE(R14,"R","S"),
              IF(AND(COUNTIF(R14,"*V*"), COUNTIF(R14,"*R*")),
                 SUBSTITUTE(R14,"R","S"),
                 R14))),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IF(AND(COUNTIF(R14,"*P*"), COUNTIF(R14,"*V*")),
                               IF(COUNTIF(R14,"*R*"),
                                  SUBSTITUTE(SUBSTITUTE(R14,"P",""),"R","S"),
                                  SUBSTITUTE(R14,"P","")),
                               IF(AND(COUNTIF(R14,"*P*"), COUNTIF(R14,"*R*")),
                                  SUBSTITUTE(R14,"R","S"),
                                  IF(AND(COUNTIF(R14,"*V*"), COUNTIF(R14,"*R*")),
                                     SUBSTITUTE(R14,"R","S"),
                                     R14))),
                          "0",""),"1",""),"2",""),"3",""),"4",""),
                      "5",""),"6",""),"7",""),"8",""),"9","")
     ),
     IF(SUM(--ISNUMBER(FIND({0,1,2,3,4,5,6,7,8,9}, _xlpm.txt)))=0,
        _xlpm.txt &amp; Data!CG56,
        _xlpm.txt
     )
   ),
   ""
)</f>
        <v/>
      </c>
      <c r="S36" s="41" t="str" cm="1">
        <f t="array" ref="S36">IF(S14&lt;&gt;"",
   _xlfn.LET(
     _xlpm.txt,
     IF(OR(COUNTIF(S14,"L*"), COUNTIF(S14, "X*")),
        IF(AND(COUNTIF(S14,"*P*"), COUNTIF(S14,"*V*")),
           IF(COUNTIF(S14,"*R*"),
              SUBSTITUTE(SUBSTITUTE(S14,"P",""),"R","S"),
              SUBSTITUTE(S14,"P","")),
           IF(AND(COUNTIF(S14,"*P*"), COUNTIF(S14,"*R*")),
              SUBSTITUTE(S14,"R","S"),
              IF(AND(COUNTIF(S14,"*V*"), COUNTIF(S14,"*R*")),
                 SUBSTITUTE(S14,"R","S"),
                 S14))),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IF(AND(COUNTIF(S14,"*P*"), COUNTIF(S14,"*V*")),
                               IF(COUNTIF(S14,"*R*"),
                                  SUBSTITUTE(SUBSTITUTE(S14,"P",""),"R","S"),
                                  SUBSTITUTE(S14,"P","")),
                               IF(AND(COUNTIF(S14,"*P*"), COUNTIF(S14,"*R*")),
                                  SUBSTITUTE(S14,"R","S"),
                                  IF(AND(COUNTIF(S14,"*V*"), COUNTIF(S14,"*R*")),
                                     SUBSTITUTE(S14,"R","S"),
                                     S14))),
                          "0",""),"1",""),"2",""),"3",""),"4",""),
                      "5",""),"6",""),"7",""),"8",""),"9","")
     ),
     IF(SUM(--ISNUMBER(FIND({0,1,2,3,4,5,6,7,8,9}, _xlpm.txt)))=0,
        _xlpm.txt &amp; Data!CH56,
        _xlpm.txt
     )
   ),
   ""
)</f>
        <v/>
      </c>
      <c r="T36" s="41" t="str" cm="1">
        <f t="array" ref="T36">IF(T14&lt;&gt;"",
   _xlfn.LET(
     _xlpm.txt,
     IF(OR(COUNTIF(T14,"L*"), COUNTIF(T14, "X*")),
        IF(AND(COUNTIF(T14,"*P*"), COUNTIF(T14,"*V*")),
           IF(COUNTIF(T14,"*R*"),
              SUBSTITUTE(SUBSTITUTE(T14,"P",""),"R","S"),
              SUBSTITUTE(T14,"P","")),
           IF(AND(COUNTIF(T14,"*P*"), COUNTIF(T14,"*R*")),
              SUBSTITUTE(T14,"R","S"),
              IF(AND(COUNTIF(T14,"*V*"), COUNTIF(T14,"*R*")),
                 SUBSTITUTE(T14,"R","S"),
                 T14))),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IF(AND(COUNTIF(T14,"*P*"), COUNTIF(T14,"*V*")),
                               IF(COUNTIF(T14,"*R*"),
                                  SUBSTITUTE(SUBSTITUTE(T14,"P",""),"R","S"),
                                  SUBSTITUTE(T14,"P","")),
                               IF(AND(COUNTIF(T14,"*P*"), COUNTIF(T14,"*R*")),
                                  SUBSTITUTE(T14,"R","S"),
                                  IF(AND(COUNTIF(T14,"*V*"), COUNTIF(T14,"*R*")),
                                     SUBSTITUTE(T14,"R","S"),
                                     T14))),
                          "0",""),"1",""),"2",""),"3",""),"4",""),
                      "5",""),"6",""),"7",""),"8",""),"9","")
     ),
     IF(SUM(--ISNUMBER(FIND({0,1,2,3,4,5,6,7,8,9}, _xlpm.txt)))=0,
        _xlpm.txt &amp; Data!CI56,
        _xlpm.txt
     )
   ),
   ""
)</f>
        <v/>
      </c>
      <c r="U36" s="41" t="str" cm="1">
        <f t="array" ref="U36">IF(U14&lt;&gt;"",
   _xlfn.LET(
     _xlpm.txt,
     IF(OR(COUNTIF(U14,"L*"), COUNTIF(U14, "X*")),
        IF(AND(COUNTIF(U14,"*P*"), COUNTIF(U14,"*V*")),
           IF(COUNTIF(U14,"*R*"),
              SUBSTITUTE(SUBSTITUTE(U14,"P",""),"R","S"),
              SUBSTITUTE(U14,"P","")),
           IF(AND(COUNTIF(U14,"*P*"), COUNTIF(U14,"*R*")),
              SUBSTITUTE(U14,"R","S"),
              IF(AND(COUNTIF(U14,"*V*"), COUNTIF(U14,"*R*")),
                 SUBSTITUTE(U14,"R","S"),
                 U14))),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IF(AND(COUNTIF(U14,"*P*"), COUNTIF(U14,"*V*")),
                               IF(COUNTIF(U14,"*R*"),
                                  SUBSTITUTE(SUBSTITUTE(U14,"P",""),"R","S"),
                                  SUBSTITUTE(U14,"P","")),
                               IF(AND(COUNTIF(U14,"*P*"), COUNTIF(U14,"*R*")),
                                  SUBSTITUTE(U14,"R","S"),
                                  IF(AND(COUNTIF(U14,"*V*"), COUNTIF(U14,"*R*")),
                                     SUBSTITUTE(U14,"R","S"),
                                     U14))),
                          "0",""),"1",""),"2",""),"3",""),"4",""),
                      "5",""),"6",""),"7",""),"8",""),"9","")
     ),
     IF(SUM(--ISNUMBER(FIND({0,1,2,3,4,5,6,7,8,9}, _xlpm.txt)))=0,
        _xlpm.txt &amp; Data!CJ56,
        _xlpm.txt
     )
   ),
   ""
)</f>
        <v/>
      </c>
      <c r="V36" s="41" t="str" cm="1">
        <f t="array" ref="V36">IF(V14&lt;&gt;"",
   _xlfn.LET(
     _xlpm.txt,
     IF(OR(COUNTIF(V14,"L*"), COUNTIF(V14, "X*")),
        IF(AND(COUNTIF(V14,"*P*"), COUNTIF(V14,"*V*")),
           IF(COUNTIF(V14,"*R*"),
              SUBSTITUTE(SUBSTITUTE(V14,"P",""),"R","S"),
              SUBSTITUTE(V14,"P","")),
           IF(AND(COUNTIF(V14,"*P*"), COUNTIF(V14,"*R*")),
              SUBSTITUTE(V14,"R","S"),
              IF(AND(COUNTIF(V14,"*V*"), COUNTIF(V14,"*R*")),
                 SUBSTITUTE(V14,"R","S"),
                 V14))),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IF(AND(COUNTIF(V14,"*P*"), COUNTIF(V14,"*V*")),
                               IF(COUNTIF(V14,"*R*"),
                                  SUBSTITUTE(SUBSTITUTE(V14,"P",""),"R","S"),
                                  SUBSTITUTE(V14,"P","")),
                               IF(AND(COUNTIF(V14,"*P*"), COUNTIF(V14,"*R*")),
                                  SUBSTITUTE(V14,"R","S"),
                                  IF(AND(COUNTIF(V14,"*V*"), COUNTIF(V14,"*R*")),
                                     SUBSTITUTE(V14,"R","S"),
                                     V14))),
                          "0",""),"1",""),"2",""),"3",""),"4",""),
                      "5",""),"6",""),"7",""),"8",""),"9","")
     ),
     IF(SUM(--ISNUMBER(FIND({0,1,2,3,4,5,6,7,8,9}, _xlpm.txt)))=0,
        _xlpm.txt &amp; Data!CK56,
        _xlpm.txt
     )
   ),
   ""
)</f>
        <v/>
      </c>
      <c r="W36" s="41" t="str" cm="1">
        <f t="array" ref="W36">IF(W14&lt;&gt;"",
   _xlfn.LET(
     _xlpm.txt,
     IF(OR(COUNTIF(W14,"L*"), COUNTIF(W14, "X*")),
        IF(AND(COUNTIF(W14,"*P*"), COUNTIF(W14,"*V*")),
           IF(COUNTIF(W14,"*R*"),
              SUBSTITUTE(SUBSTITUTE(W14,"P",""),"R","S"),
              SUBSTITUTE(W14,"P","")),
           IF(AND(COUNTIF(W14,"*P*"), COUNTIF(W14,"*R*")),
              SUBSTITUTE(W14,"R","S"),
              IF(AND(COUNTIF(W14,"*V*"), COUNTIF(W14,"*R*")),
                 SUBSTITUTE(W14,"R","S"),
                 W14))),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IF(AND(COUNTIF(W14,"*P*"), COUNTIF(W14,"*V*")),
                               IF(COUNTIF(W14,"*R*"),
                                  SUBSTITUTE(SUBSTITUTE(W14,"P",""),"R","S"),
                                  SUBSTITUTE(W14,"P","")),
                               IF(AND(COUNTIF(W14,"*P*"), COUNTIF(W14,"*R*")),
                                  SUBSTITUTE(W14,"R","S"),
                                  IF(AND(COUNTIF(W14,"*V*"), COUNTIF(W14,"*R*")),
                                     SUBSTITUTE(W14,"R","S"),
                                     W14))),
                          "0",""),"1",""),"2",""),"3",""),"4",""),
                      "5",""),"6",""),"7",""),"8",""),"9","")
     ),
     IF(SUM(--ISNUMBER(FIND({0,1,2,3,4,5,6,7,8,9}, _xlpm.txt)))=0,
        _xlpm.txt &amp; Data!CL56,
        _xlpm.txt
     )
   ),
   ""
)</f>
        <v/>
      </c>
      <c r="X36" s="41" t="str" cm="1">
        <f t="array" ref="X36">IF(X14&lt;&gt;"",
   _xlfn.LET(
     _xlpm.txt,
     IF(OR(COUNTIF(X14,"L*"), COUNTIF(X14, "X*")),
        IF(AND(COUNTIF(X14,"*P*"), COUNTIF(X14,"*V*")),
           IF(COUNTIF(X14,"*R*"),
              SUBSTITUTE(SUBSTITUTE(X14,"P",""),"R","S"),
              SUBSTITUTE(X14,"P","")),
           IF(AND(COUNTIF(X14,"*P*"), COUNTIF(X14,"*R*")),
              SUBSTITUTE(X14,"R","S"),
              IF(AND(COUNTIF(X14,"*V*"), COUNTIF(X14,"*R*")),
                 SUBSTITUTE(X14,"R","S"),
                 X14))),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IF(AND(COUNTIF(X14,"*P*"), COUNTIF(X14,"*V*")),
                               IF(COUNTIF(X14,"*R*"),
                                  SUBSTITUTE(SUBSTITUTE(X14,"P",""),"R","S"),
                                  SUBSTITUTE(X14,"P","")),
                               IF(AND(COUNTIF(X14,"*P*"), COUNTIF(X14,"*R*")),
                                  SUBSTITUTE(X14,"R","S"),
                                  IF(AND(COUNTIF(X14,"*V*"), COUNTIF(X14,"*R*")),
                                     SUBSTITUTE(X14,"R","S"),
                                     X14))),
                          "0",""),"1",""),"2",""),"3",""),"4",""),
                      "5",""),"6",""),"7",""),"8",""),"9","")
     ),
     IF(SUM(--ISNUMBER(FIND({0,1,2,3,4,5,6,7,8,9}, _xlpm.txt)))=0,
        _xlpm.txt &amp; Data!CM56,
        _xlpm.txt
     )
   ),
   ""
)</f>
        <v/>
      </c>
      <c r="Y36" s="41" t="str" cm="1">
        <f t="array" ref="Y36">IF(Y14&lt;&gt;"",
   _xlfn.LET(
     _xlpm.txt,
     IF(OR(COUNTIF(Y14,"L*"), COUNTIF(Y14, "X*")),
        IF(AND(COUNTIF(Y14,"*P*"), COUNTIF(Y14,"*V*")),
           IF(COUNTIF(Y14,"*R*"),
              SUBSTITUTE(SUBSTITUTE(Y14,"P",""),"R","S"),
              SUBSTITUTE(Y14,"P","")),
           IF(AND(COUNTIF(Y14,"*P*"), COUNTIF(Y14,"*R*")),
              SUBSTITUTE(Y14,"R","S"),
              IF(AND(COUNTIF(Y14,"*V*"), COUNTIF(Y14,"*R*")),
                 SUBSTITUTE(Y14,"R","S"),
                 Y14))),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IF(AND(COUNTIF(Y14,"*P*"), COUNTIF(Y14,"*V*")),
                               IF(COUNTIF(Y14,"*R*"),
                                  SUBSTITUTE(SUBSTITUTE(Y14,"P",""),"R","S"),
                                  SUBSTITUTE(Y14,"P","")),
                               IF(AND(COUNTIF(Y14,"*P*"), COUNTIF(Y14,"*R*")),
                                  SUBSTITUTE(Y14,"R","S"),
                                  IF(AND(COUNTIF(Y14,"*V*"), COUNTIF(Y14,"*R*")),
                                     SUBSTITUTE(Y14,"R","S"),
                                     Y14))),
                          "0",""),"1",""),"2",""),"3",""),"4",""),
                      "5",""),"6",""),"7",""),"8",""),"9","")
     ),
     IF(SUM(--ISNUMBER(FIND({0,1,2,3,4,5,6,7,8,9}, _xlpm.txt)))=0,
        _xlpm.txt &amp; Data!CN56,
        _xlpm.txt
     )
   ),
   ""
)</f>
        <v/>
      </c>
      <c r="Z36" s="41" t="str" cm="1">
        <f t="array" ref="Z36">IF(Z14&lt;&gt;"",
   _xlfn.LET(
     _xlpm.txt,
     IF(OR(COUNTIF(Z14,"L*"), COUNTIF(Z14, "X*")),
        IF(AND(COUNTIF(Z14,"*P*"), COUNTIF(Z14,"*V*")),
           IF(COUNTIF(Z14,"*R*"),
              SUBSTITUTE(SUBSTITUTE(Z14,"P",""),"R","S"),
              SUBSTITUTE(Z14,"P","")),
           IF(AND(COUNTIF(Z14,"*P*"), COUNTIF(Z14,"*R*")),
              SUBSTITUTE(Z14,"R","S"),
              IF(AND(COUNTIF(Z14,"*V*"), COUNTIF(Z14,"*R*")),
                 SUBSTITUTE(Z14,"R","S"),
                 Z14))),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IF(AND(COUNTIF(Z14,"*P*"), COUNTIF(Z14,"*V*")),
                               IF(COUNTIF(Z14,"*R*"),
                                  SUBSTITUTE(SUBSTITUTE(Z14,"P",""),"R","S"),
                                  SUBSTITUTE(Z14,"P","")),
                               IF(AND(COUNTIF(Z14,"*P*"), COUNTIF(Z14,"*R*")),
                                  SUBSTITUTE(Z14,"R","S"),
                                  IF(AND(COUNTIF(Z14,"*V*"), COUNTIF(Z14,"*R*")),
                                     SUBSTITUTE(Z14,"R","S"),
                                     Z14))),
                          "0",""),"1",""),"2",""),"3",""),"4",""),
                      "5",""),"6",""),"7",""),"8",""),"9","")
     ),
     IF(SUM(--ISNUMBER(FIND({0,1,2,3,4,5,6,7,8,9}, _xlpm.txt)))=0,
        _xlpm.txt &amp; Data!CO56,
        _xlpm.txt
     )
   ),
   ""
)</f>
        <v/>
      </c>
      <c r="AA36" s="41" t="str" cm="1">
        <f t="array" ref="AA36">IF(AA14&lt;&gt;"",
   _xlfn.LET(
     _xlpm.txt,
     IF(OR(COUNTIF(AA14,"L*"), COUNTIF(AA14, "X*")),
        IF(AND(COUNTIF(AA14,"*P*"), COUNTIF(AA14,"*V*")),
           IF(COUNTIF(AA14,"*R*"),
              SUBSTITUTE(SUBSTITUTE(AA14,"P",""),"R","S"),
              SUBSTITUTE(AA14,"P","")),
           IF(AND(COUNTIF(AA14,"*P*"), COUNTIF(AA14,"*R*")),
              SUBSTITUTE(AA14,"R","S"),
              IF(AND(COUNTIF(AA14,"*V*"), COUNTIF(AA14,"*R*")),
                 SUBSTITUTE(AA14,"R","S"),
                 AA14))),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IF(AND(COUNTIF(AA14,"*P*"), COUNTIF(AA14,"*V*")),
                               IF(COUNTIF(AA14,"*R*"),
                                  SUBSTITUTE(SUBSTITUTE(AA14,"P",""),"R","S"),
                                  SUBSTITUTE(AA14,"P","")),
                               IF(AND(COUNTIF(AA14,"*P*"), COUNTIF(AA14,"*R*")),
                                  SUBSTITUTE(AA14,"R","S"),
                                  IF(AND(COUNTIF(AA14,"*V*"), COUNTIF(AA14,"*R*")),
                                     SUBSTITUTE(AA14,"R","S"),
                                     AA14))),
                          "0",""),"1",""),"2",""),"3",""),"4",""),
                      "5",""),"6",""),"7",""),"8",""),"9","")
     ),
     IF(SUM(--ISNUMBER(FIND({0,1,2,3,4,5,6,7,8,9}, _xlpm.txt)))=0,
        _xlpm.txt &amp; Data!CP56,
        _xlpm.txt
     )
   ),
   ""
)</f>
        <v/>
      </c>
      <c r="AB36" s="41" t="str" cm="1">
        <f t="array" ref="AB36">IF(AB14&lt;&gt;"",
   _xlfn.LET(
     _xlpm.txt,
     IF(OR(COUNTIF(AB14,"L*"), COUNTIF(AB14, "X*")),
        IF(AND(COUNTIF(AB14,"*P*"), COUNTIF(AB14,"*V*")),
           IF(COUNTIF(AB14,"*R*"),
              SUBSTITUTE(SUBSTITUTE(AB14,"P",""),"R","S"),
              SUBSTITUTE(AB14,"P","")),
           IF(AND(COUNTIF(AB14,"*P*"), COUNTIF(AB14,"*R*")),
              SUBSTITUTE(AB14,"R","S"),
              IF(AND(COUNTIF(AB14,"*V*"), COUNTIF(AB14,"*R*")),
                 SUBSTITUTE(AB14,"R","S"),
                 AB14))),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IF(AND(COUNTIF(AB14,"*P*"), COUNTIF(AB14,"*V*")),
                               IF(COUNTIF(AB14,"*R*"),
                                  SUBSTITUTE(SUBSTITUTE(AB14,"P",""),"R","S"),
                                  SUBSTITUTE(AB14,"P","")),
                               IF(AND(COUNTIF(AB14,"*P*"), COUNTIF(AB14,"*R*")),
                                  SUBSTITUTE(AB14,"R","S"),
                                  IF(AND(COUNTIF(AB14,"*V*"), COUNTIF(AB14,"*R*")),
                                     SUBSTITUTE(AB14,"R","S"),
                                     AB14))),
                          "0",""),"1",""),"2",""),"3",""),"4",""),
                      "5",""),"6",""),"7",""),"8",""),"9","")
     ),
     IF(SUM(--ISNUMBER(FIND({0,1,2,3,4,5,6,7,8,9}, _xlpm.txt)))=0,
        _xlpm.txt &amp; Data!CQ56,
        _xlpm.txt
     )
   ),
   ""
)</f>
        <v/>
      </c>
      <c r="AC36" s="41" t="str" cm="1">
        <f t="array" ref="AC36">IF(AC14&lt;&gt;"",
   _xlfn.LET(
     _xlpm.txt,
     IF(OR(COUNTIF(AC14,"L*"), COUNTIF(AC14, "X*")),
        IF(AND(COUNTIF(AC14,"*P*"), COUNTIF(AC14,"*V*")),
           IF(COUNTIF(AC14,"*R*"),
              SUBSTITUTE(SUBSTITUTE(AC14,"P",""),"R","S"),
              SUBSTITUTE(AC14,"P","")),
           IF(AND(COUNTIF(AC14,"*P*"), COUNTIF(AC14,"*R*")),
              SUBSTITUTE(AC14,"R","S"),
              IF(AND(COUNTIF(AC14,"*V*"), COUNTIF(AC14,"*R*")),
                 SUBSTITUTE(AC14,"R","S"),
                 AC14))),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IF(AND(COUNTIF(AC14,"*P*"), COUNTIF(AC14,"*V*")),
                               IF(COUNTIF(AC14,"*R*"),
                                  SUBSTITUTE(SUBSTITUTE(AC14,"P",""),"R","S"),
                                  SUBSTITUTE(AC14,"P","")),
                               IF(AND(COUNTIF(AC14,"*P*"), COUNTIF(AC14,"*R*")),
                                  SUBSTITUTE(AC14,"R","S"),
                                  IF(AND(COUNTIF(AC14,"*V*"), COUNTIF(AC14,"*R*")),
                                     SUBSTITUTE(AC14,"R","S"),
                                     AC14))),
                          "0",""),"1",""),"2",""),"3",""),"4",""),
                      "5",""),"6",""),"7",""),"8",""),"9","")
     ),
     IF(SUM(--ISNUMBER(FIND({0,1,2,3,4,5,6,7,8,9}, _xlpm.txt)))=0,
        _xlpm.txt &amp; Data!CR56,
        _xlpm.txt
     )
   ),
   ""
)</f>
        <v/>
      </c>
      <c r="AD36" s="41" t="str" cm="1">
        <f t="array" ref="AD36">IF(AD14&lt;&gt;"",
   _xlfn.LET(
     _xlpm.txt,
     IF(OR(COUNTIF(AD14,"L*"), COUNTIF(AD14, "X*")),
        IF(AND(COUNTIF(AD14,"*P*"), COUNTIF(AD14,"*V*")),
           IF(COUNTIF(AD14,"*R*"),
              SUBSTITUTE(SUBSTITUTE(AD14,"P",""),"R","S"),
              SUBSTITUTE(AD14,"P","")),
           IF(AND(COUNTIF(AD14,"*P*"), COUNTIF(AD14,"*R*")),
              SUBSTITUTE(AD14,"R","S"),
              IF(AND(COUNTIF(AD14,"*V*"), COUNTIF(AD14,"*R*")),
                 SUBSTITUTE(AD14,"R","S"),
                 AD14))),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IF(AND(COUNTIF(AD14,"*P*"), COUNTIF(AD14,"*V*")),
                               IF(COUNTIF(AD14,"*R*"),
                                  SUBSTITUTE(SUBSTITUTE(AD14,"P",""),"R","S"),
                                  SUBSTITUTE(AD14,"P","")),
                               IF(AND(COUNTIF(AD14,"*P*"), COUNTIF(AD14,"*R*")),
                                  SUBSTITUTE(AD14,"R","S"),
                                  IF(AND(COUNTIF(AD14,"*V*"), COUNTIF(AD14,"*R*")),
                                     SUBSTITUTE(AD14,"R","S"),
                                     AD14))),
                          "0",""),"1",""),"2",""),"3",""),"4",""),
                      "5",""),"6",""),"7",""),"8",""),"9","")
     ),
     IF(SUM(--ISNUMBER(FIND({0,1,2,3,4,5,6,7,8,9}, _xlpm.txt)))=0,
        _xlpm.txt &amp; Data!CS56,
        _xlpm.txt
     )
   ),
   ""
)</f>
        <v/>
      </c>
      <c r="AE36" s="41" t="str" cm="1">
        <f t="array" ref="AE36">IF(AE14&lt;&gt;"",
   _xlfn.LET(
     _xlpm.txt,
     IF(OR(COUNTIF(AE14,"L*"), COUNTIF(AE14, "X*")),
        IF(AND(COUNTIF(AE14,"*P*"), COUNTIF(AE14,"*V*")),
           IF(COUNTIF(AE14,"*R*"),
              SUBSTITUTE(SUBSTITUTE(AE14,"P",""),"R","S"),
              SUBSTITUTE(AE14,"P","")),
           IF(AND(COUNTIF(AE14,"*P*"), COUNTIF(AE14,"*R*")),
              SUBSTITUTE(AE14,"R","S"),
              IF(AND(COUNTIF(AE14,"*V*"), COUNTIF(AE14,"*R*")),
                 SUBSTITUTE(AE14,"R","S"),
                 AE14))),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IF(AND(COUNTIF(AE14,"*P*"), COUNTIF(AE14,"*V*")),
                               IF(COUNTIF(AE14,"*R*"),
                                  SUBSTITUTE(SUBSTITUTE(AE14,"P",""),"R","S"),
                                  SUBSTITUTE(AE14,"P","")),
                               IF(AND(COUNTIF(AE14,"*P*"), COUNTIF(AE14,"*R*")),
                                  SUBSTITUTE(AE14,"R","S"),
                                  IF(AND(COUNTIF(AE14,"*V*"), COUNTIF(AE14,"*R*")),
                                     SUBSTITUTE(AE14,"R","S"),
                                     AE14))),
                          "0",""),"1",""),"2",""),"3",""),"4",""),
                      "5",""),"6",""),"7",""),"8",""),"9","")
     ),
     IF(SUM(--ISNUMBER(FIND({0,1,2,3,4,5,6,7,8,9}, _xlpm.txt)))=0,
        _xlpm.txt &amp; Data!CT56,
        _xlpm.txt
     )
   ),
   ""
)</f>
        <v/>
      </c>
      <c r="AF36" s="41" t="str" cm="1">
        <f t="array" ref="AF36">IF(AF14&lt;&gt;"",
   _xlfn.LET(
     _xlpm.txt,
     IF(OR(COUNTIF(AF14,"L*"), COUNTIF(AF14, "X*")),
        IF(AND(COUNTIF(AF14,"*P*"), COUNTIF(AF14,"*V*")),
           IF(COUNTIF(AF14,"*R*"),
              SUBSTITUTE(SUBSTITUTE(AF14,"P",""),"R","S"),
              SUBSTITUTE(AF14,"P","")),
           IF(AND(COUNTIF(AF14,"*P*"), COUNTIF(AF14,"*R*")),
              SUBSTITUTE(AF14,"R","S"),
              IF(AND(COUNTIF(AF14,"*V*"), COUNTIF(AF14,"*R*")),
                 SUBSTITUTE(AF14,"R","S"),
                 AF14))),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IF(AND(COUNTIF(AF14,"*P*"), COUNTIF(AF14,"*V*")),
                               IF(COUNTIF(AF14,"*R*"),
                                  SUBSTITUTE(SUBSTITUTE(AF14,"P",""),"R","S"),
                                  SUBSTITUTE(AF14,"P","")),
                               IF(AND(COUNTIF(AF14,"*P*"), COUNTIF(AF14,"*R*")),
                                  SUBSTITUTE(AF14,"R","S"),
                                  IF(AND(COUNTIF(AF14,"*V*"), COUNTIF(AF14,"*R*")),
                                     SUBSTITUTE(AF14,"R","S"),
                                     AF14))),
                          "0",""),"1",""),"2",""),"3",""),"4",""),
                      "5",""),"6",""),"7",""),"8",""),"9","")
     ),
     IF(SUM(--ISNUMBER(FIND({0,1,2,3,4,5,6,7,8,9}, _xlpm.txt)))=0,
        _xlpm.txt &amp; Data!CU56,
        _xlpm.txt
     )
   ),
   ""
)</f>
        <v/>
      </c>
      <c r="AG36" s="41" t="str" cm="1">
        <f t="array" ref="AG36">IF(AG14&lt;&gt;"",
   _xlfn.LET(
     _xlpm.txt,
     IF(OR(COUNTIF(AG14,"L*"), COUNTIF(AG14, "X*")),
        IF(AND(COUNTIF(AG14,"*P*"), COUNTIF(AG14,"*V*")),
           IF(COUNTIF(AG14,"*R*"),
              SUBSTITUTE(SUBSTITUTE(AG14,"P",""),"R","S"),
              SUBSTITUTE(AG14,"P","")),
           IF(AND(COUNTIF(AG14,"*P*"), COUNTIF(AG14,"*R*")),
              SUBSTITUTE(AG14,"R","S"),
              IF(AND(COUNTIF(AG14,"*V*"), COUNTIF(AG14,"*R*")),
                 SUBSTITUTE(AG14,"R","S"),
                 AG14))),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IF(AND(COUNTIF(AG14,"*P*"), COUNTIF(AG14,"*V*")),
                               IF(COUNTIF(AG14,"*R*"),
                                  SUBSTITUTE(SUBSTITUTE(AG14,"P",""),"R","S"),
                                  SUBSTITUTE(AG14,"P","")),
                               IF(AND(COUNTIF(AG14,"*P*"), COUNTIF(AG14,"*R*")),
                                  SUBSTITUTE(AG14,"R","S"),
                                  IF(AND(COUNTIF(AG14,"*V*"), COUNTIF(AG14,"*R*")),
                                     SUBSTITUTE(AG14,"R","S"),
                                     AG14))),
                          "0",""),"1",""),"2",""),"3",""),"4",""),
                      "5",""),"6",""),"7",""),"8",""),"9","")
     ),
     IF(SUM(--ISNUMBER(FIND({0,1,2,3,4,5,6,7,8,9}, _xlpm.txt)))=0,
        _xlpm.txt &amp; Data!CV56,
        _xlpm.txt
     )
   ),
   ""
)</f>
        <v/>
      </c>
      <c r="AH36" s="41" t="str" cm="1">
        <f t="array" ref="AH36">IF(AH14&lt;&gt;"",
   _xlfn.LET(
     _xlpm.txt,
     IF(OR(COUNTIF(AH14,"L*"), COUNTIF(AH14, "X*")),
        IF(AND(COUNTIF(AH14,"*P*"), COUNTIF(AH14,"*V*")),
           IF(COUNTIF(AH14,"*R*"),
              SUBSTITUTE(SUBSTITUTE(AH14,"P",""),"R","S"),
              SUBSTITUTE(AH14,"P","")),
           IF(AND(COUNTIF(AH14,"*P*"), COUNTIF(AH14,"*R*")),
              SUBSTITUTE(AH14,"R","S"),
              IF(AND(COUNTIF(AH14,"*V*"), COUNTIF(AH14,"*R*")),
                 SUBSTITUTE(AH14,"R","S"),
                 AH14))),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IF(AND(COUNTIF(AH14,"*P*"), COUNTIF(AH14,"*V*")),
                               IF(COUNTIF(AH14,"*R*"),
                                  SUBSTITUTE(SUBSTITUTE(AH14,"P",""),"R","S"),
                                  SUBSTITUTE(AH14,"P","")),
                               IF(AND(COUNTIF(AH14,"*P*"), COUNTIF(AH14,"*R*")),
                                  SUBSTITUTE(AH14,"R","S"),
                                  IF(AND(COUNTIF(AH14,"*V*"), COUNTIF(AH14,"*R*")),
                                     SUBSTITUTE(AH14,"R","S"),
                                     AH14))),
                          "0",""),"1",""),"2",""),"3",""),"4",""),
                      "5",""),"6",""),"7",""),"8",""),"9","")
     ),
     IF(SUM(--ISNUMBER(FIND({0,1,2,3,4,5,6,7,8,9}, _xlpm.txt)))=0,
        _xlpm.txt &amp; Data!CW56,
        _xlpm.txt
     )
   ),
   ""
)</f>
        <v/>
      </c>
      <c r="AI36" s="41" t="str" cm="1">
        <f t="array" ref="AI36">IF(AI14&lt;&gt;"",
   _xlfn.LET(
     _xlpm.txt,
     IF(OR(COUNTIF(AI14,"L*"), COUNTIF(AI14, "X*")),
        IF(AND(COUNTIF(AI14,"*P*"), COUNTIF(AI14,"*V*")),
           IF(COUNTIF(AI14,"*R*"),
              SUBSTITUTE(SUBSTITUTE(AI14,"P",""),"R","S"),
              SUBSTITUTE(AI14,"P","")),
           IF(AND(COUNTIF(AI14,"*P*"), COUNTIF(AI14,"*R*")),
              SUBSTITUTE(AI14,"R","S"),
              IF(AND(COUNTIF(AI14,"*V*"), COUNTIF(AI14,"*R*")),
                 SUBSTITUTE(AI14,"R","S"),
                 AI14))),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IF(AND(COUNTIF(AI14,"*P*"), COUNTIF(AI14,"*V*")),
                               IF(COUNTIF(AI14,"*R*"),
                                  SUBSTITUTE(SUBSTITUTE(AI14,"P",""),"R","S"),
                                  SUBSTITUTE(AI14,"P","")),
                               IF(AND(COUNTIF(AI14,"*P*"), COUNTIF(AI14,"*R*")),
                                  SUBSTITUTE(AI14,"R","S"),
                                  IF(AND(COUNTIF(AI14,"*V*"), COUNTIF(AI14,"*R*")),
                                     SUBSTITUTE(AI14,"R","S"),
                                     AI14))),
                          "0",""),"1",""),"2",""),"3",""),"4",""),
                      "5",""),"6",""),"7",""),"8",""),"9","")
     ),
     IF(SUM(--ISNUMBER(FIND({0,1,2,3,4,5,6,7,8,9}, _xlpm.txt)))=0,
        _xlpm.txt &amp; Data!CX56,
        _xlpm.txt
     )
   ),
   ""
)</f>
        <v/>
      </c>
      <c r="AJ36" s="41" t="str" cm="1">
        <f t="array" ref="AJ36">IF(AJ14&lt;&gt;"",
   _xlfn.LET(
     _xlpm.txt,
     IF(OR(COUNTIF(AJ14,"L*"), COUNTIF(AJ14, "X*")),
        IF(AND(COUNTIF(AJ14,"*P*"), COUNTIF(AJ14,"*V*")),
           IF(COUNTIF(AJ14,"*R*"),
              SUBSTITUTE(SUBSTITUTE(AJ14,"P",""),"R","S"),
              SUBSTITUTE(AJ14,"P","")),
           IF(AND(COUNTIF(AJ14,"*P*"), COUNTIF(AJ14,"*R*")),
              SUBSTITUTE(AJ14,"R","S"),
              IF(AND(COUNTIF(AJ14,"*V*"), COUNTIF(AJ14,"*R*")),
                 SUBSTITUTE(AJ14,"R","S"),
                 AJ14))),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IF(AND(COUNTIF(AJ14,"*P*"), COUNTIF(AJ14,"*V*")),
                               IF(COUNTIF(AJ14,"*R*"),
                                  SUBSTITUTE(SUBSTITUTE(AJ14,"P",""),"R","S"),
                                  SUBSTITUTE(AJ14,"P","")),
                               IF(AND(COUNTIF(AJ14,"*P*"), COUNTIF(AJ14,"*R*")),
                                  SUBSTITUTE(AJ14,"R","S"),
                                  IF(AND(COUNTIF(AJ14,"*V*"), COUNTIF(AJ14,"*R*")),
                                     SUBSTITUTE(AJ14,"R","S"),
                                     AJ14))),
                          "0",""),"1",""),"2",""),"3",""),"4",""),
                      "5",""),"6",""),"7",""),"8",""),"9","")
     ),
     IF(SUM(--ISNUMBER(FIND({0,1,2,3,4,5,6,7,8,9}, _xlpm.txt)))=0,
        _xlpm.txt &amp; Data!CY56,
        _xlpm.txt
     )
   ),
   ""
)</f>
        <v/>
      </c>
    </row>
    <row r="37" spans="1:54" ht="24" customHeight="1" thickBot="1" x14ac:dyDescent="0.4">
      <c r="A37" s="1197"/>
      <c r="B37" s="23">
        <v>12</v>
      </c>
      <c r="C37" s="41" t="str" cm="1">
        <f t="array" ref="C37">IF(C15&lt;&gt;"",
   _xlfn.LET(
     _xlpm.txt,
     IF(OR(COUNTIF(C15,"L*"), COUNTIF(C15, "X*")),
        IF(AND(COUNTIF(C15,"*P*"), COUNTIF(C15,"*V*")),
           IF(COUNTIF(C15,"*R*"),
              SUBSTITUTE(SUBSTITUTE(C15,"P",""),"R","S"),
              SUBSTITUTE(C15,"P","")),
           IF(AND(COUNTIF(C15,"*P*"), COUNTIF(C15,"*R*")),
              SUBSTITUTE(C15,"R","S"),
              IF(AND(COUNTIF(C15,"*V*"), COUNTIF(C15,"*R*")),
                 SUBSTITUTE(C15,"R","S"),
                 C15))),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IF(AND(COUNTIF(C15,"*P*"), COUNTIF(C15,"*V*")),
                               IF(COUNTIF(C15,"*R*"),
                                  SUBSTITUTE(SUBSTITUTE(C15,"P",""),"R","S"),
                                  SUBSTITUTE(C15,"P","")),
                               IF(AND(COUNTIF(C15,"*P*"), COUNTIF(C15,"*R*")),
                                  SUBSTITUTE(C15,"R","S"),
                                  IF(AND(COUNTIF(C15,"*V*"), COUNTIF(C15,"*R*")),
                                     SUBSTITUTE(C15,"R","S"),
                                     C15))),
                          "0",""),"1",""),"2",""),"3",""),"4",""),
                      "5",""),"6",""),"7",""),"8",""),"9","")
     ),
     IF(SUM(--ISNUMBER(FIND({0,1,2,3,4,5,6,7,8,9}, _xlpm.txt)))=0,
        _xlpm.txt &amp; Data!BR57,
        _xlpm.txt
     )
   ),
   ""
)</f>
        <v/>
      </c>
      <c r="D37" s="41" t="str" cm="1">
        <f t="array" ref="D37">IF(D15&lt;&gt;"",
   _xlfn.LET(
     _xlpm.txt,
     IF(OR(COUNTIF(D15,"L*"), COUNTIF(D15, "X*")),
        IF(AND(COUNTIF(D15,"*P*"), COUNTIF(D15,"*V*")),
           IF(COUNTIF(D15,"*R*"),
              SUBSTITUTE(SUBSTITUTE(D15,"P",""),"R","S"),
              SUBSTITUTE(D15,"P","")),
           IF(AND(COUNTIF(D15,"*P*"), COUNTIF(D15,"*R*")),
              SUBSTITUTE(D15,"R","S"),
              IF(AND(COUNTIF(D15,"*V*"), COUNTIF(D15,"*R*")),
                 SUBSTITUTE(D15,"R","S"),
                 D15))),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IF(AND(COUNTIF(D15,"*P*"), COUNTIF(D15,"*V*")),
                               IF(COUNTIF(D15,"*R*"),
                                  SUBSTITUTE(SUBSTITUTE(D15,"P",""),"R","S"),
                                  SUBSTITUTE(D15,"P","")),
                               IF(AND(COUNTIF(D15,"*P*"), COUNTIF(D15,"*R*")),
                                  SUBSTITUTE(D15,"R","S"),
                                  IF(AND(COUNTIF(D15,"*V*"), COUNTIF(D15,"*R*")),
                                     SUBSTITUTE(D15,"R","S"),
                                     D15))),
                          "0",""),"1",""),"2",""),"3",""),"4",""),
                      "5",""),"6",""),"7",""),"8",""),"9","")
     ),
     IF(SUM(--ISNUMBER(FIND({0,1,2,3,4,5,6,7,8,9}, _xlpm.txt)))=0,
        _xlpm.txt &amp; Data!BS57,
        _xlpm.txt
     )
   ),
   ""
)</f>
        <v/>
      </c>
      <c r="E37" s="41" t="str" cm="1">
        <f t="array" ref="E37">IF(E15&lt;&gt;"",
   _xlfn.LET(
     _xlpm.txt,
     IF(OR(COUNTIF(E15,"L*"), COUNTIF(E15, "X*")),
        IF(AND(COUNTIF(E15,"*P*"), COUNTIF(E15,"*V*")),
           IF(COUNTIF(E15,"*R*"),
              SUBSTITUTE(SUBSTITUTE(E15,"P",""),"R","S"),
              SUBSTITUTE(E15,"P","")),
           IF(AND(COUNTIF(E15,"*P*"), COUNTIF(E15,"*R*")),
              SUBSTITUTE(E15,"R","S"),
              IF(AND(COUNTIF(E15,"*V*"), COUNTIF(E15,"*R*")),
                 SUBSTITUTE(E15,"R","S"),
                 E15))),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IF(AND(COUNTIF(E15,"*P*"), COUNTIF(E15,"*V*")),
                               IF(COUNTIF(E15,"*R*"),
                                  SUBSTITUTE(SUBSTITUTE(E15,"P",""),"R","S"),
                                  SUBSTITUTE(E15,"P","")),
                               IF(AND(COUNTIF(E15,"*P*"), COUNTIF(E15,"*R*")),
                                  SUBSTITUTE(E15,"R","S"),
                                  IF(AND(COUNTIF(E15,"*V*"), COUNTIF(E15,"*R*")),
                                     SUBSTITUTE(E15,"R","S"),
                                     E15))),
                          "0",""),"1",""),"2",""),"3",""),"4",""),
                      "5",""),"6",""),"7",""),"8",""),"9","")
     ),
     IF(SUM(--ISNUMBER(FIND({0,1,2,3,4,5,6,7,8,9}, _xlpm.txt)))=0,
        _xlpm.txt &amp; Data!BT57,
        _xlpm.txt
     )
   ),
   ""
)</f>
        <v/>
      </c>
      <c r="F37" s="41" t="str" cm="1">
        <f t="array" ref="F37">IF(F15&lt;&gt;"",
   _xlfn.LET(
     _xlpm.txt,
     IF(OR(COUNTIF(F15,"L*"), COUNTIF(F15, "X*")),
        IF(AND(COUNTIF(F15,"*P*"), COUNTIF(F15,"*V*")),
           IF(COUNTIF(F15,"*R*"),
              SUBSTITUTE(SUBSTITUTE(F15,"P",""),"R","S"),
              SUBSTITUTE(F15,"P","")),
           IF(AND(COUNTIF(F15,"*P*"), COUNTIF(F15,"*R*")),
              SUBSTITUTE(F15,"R","S"),
              IF(AND(COUNTIF(F15,"*V*"), COUNTIF(F15,"*R*")),
                 SUBSTITUTE(F15,"R","S"),
                 F15))),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IF(AND(COUNTIF(F15,"*P*"), COUNTIF(F15,"*V*")),
                               IF(COUNTIF(F15,"*R*"),
                                  SUBSTITUTE(SUBSTITUTE(F15,"P",""),"R","S"),
                                  SUBSTITUTE(F15,"P","")),
                               IF(AND(COUNTIF(F15,"*P*"), COUNTIF(F15,"*R*")),
                                  SUBSTITUTE(F15,"R","S"),
                                  IF(AND(COUNTIF(F15,"*V*"), COUNTIF(F15,"*R*")),
                                     SUBSTITUTE(F15,"R","S"),
                                     F15))),
                          "0",""),"1",""),"2",""),"3",""),"4",""),
                      "5",""),"6",""),"7",""),"8",""),"9","")
     ),
     IF(SUM(--ISNUMBER(FIND({0,1,2,3,4,5,6,7,8,9}, _xlpm.txt)))=0,
        _xlpm.txt &amp; Data!BU57,
        _xlpm.txt
     )
   ),
   ""
)</f>
        <v/>
      </c>
      <c r="G37" s="41" t="str" cm="1">
        <f t="array" ref="G37">IF(G15&lt;&gt;"",
   _xlfn.LET(
     _xlpm.txt,
     IF(OR(COUNTIF(G15,"L*"), COUNTIF(G15, "X*")),
        IF(AND(COUNTIF(G15,"*P*"), COUNTIF(G15,"*V*")),
           IF(COUNTIF(G15,"*R*"),
              SUBSTITUTE(SUBSTITUTE(G15,"P",""),"R","S"),
              SUBSTITUTE(G15,"P","")),
           IF(AND(COUNTIF(G15,"*P*"), COUNTIF(G15,"*R*")),
              SUBSTITUTE(G15,"R","S"),
              IF(AND(COUNTIF(G15,"*V*"), COUNTIF(G15,"*R*")),
                 SUBSTITUTE(G15,"R","S"),
                 G15))),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IF(AND(COUNTIF(G15,"*P*"), COUNTIF(G15,"*V*")),
                               IF(COUNTIF(G15,"*R*"),
                                  SUBSTITUTE(SUBSTITUTE(G15,"P",""),"R","S"),
                                  SUBSTITUTE(G15,"P","")),
                               IF(AND(COUNTIF(G15,"*P*"), COUNTIF(G15,"*R*")),
                                  SUBSTITUTE(G15,"R","S"),
                                  IF(AND(COUNTIF(G15,"*V*"), COUNTIF(G15,"*R*")),
                                     SUBSTITUTE(G15,"R","S"),
                                     G15))),
                          "0",""),"1",""),"2",""),"3",""),"4",""),
                      "5",""),"6",""),"7",""),"8",""),"9","")
     ),
     IF(SUM(--ISNUMBER(FIND({0,1,2,3,4,5,6,7,8,9}, _xlpm.txt)))=0,
        _xlpm.txt &amp; Data!BV57,
        _xlpm.txt
     )
   ),
   ""
)</f>
        <v/>
      </c>
      <c r="H37" s="41" t="str" cm="1">
        <f t="array" ref="H37">IF(H15&lt;&gt;"",
   _xlfn.LET(
     _xlpm.txt,
     IF(OR(COUNTIF(H15,"L*"), COUNTIF(H15, "X*")),
        IF(AND(COUNTIF(H15,"*P*"), COUNTIF(H15,"*V*")),
           IF(COUNTIF(H15,"*R*"),
              SUBSTITUTE(SUBSTITUTE(H15,"P",""),"R","S"),
              SUBSTITUTE(H15,"P","")),
           IF(AND(COUNTIF(H15,"*P*"), COUNTIF(H15,"*R*")),
              SUBSTITUTE(H15,"R","S"),
              IF(AND(COUNTIF(H15,"*V*"), COUNTIF(H15,"*R*")),
                 SUBSTITUTE(H15,"R","S"),
                 H15))),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IF(AND(COUNTIF(H15,"*P*"), COUNTIF(H15,"*V*")),
                               IF(COUNTIF(H15,"*R*"),
                                  SUBSTITUTE(SUBSTITUTE(H15,"P",""),"R","S"),
                                  SUBSTITUTE(H15,"P","")),
                               IF(AND(COUNTIF(H15,"*P*"), COUNTIF(H15,"*R*")),
                                  SUBSTITUTE(H15,"R","S"),
                                  IF(AND(COUNTIF(H15,"*V*"), COUNTIF(H15,"*R*")),
                                     SUBSTITUTE(H15,"R","S"),
                                     H15))),
                          "0",""),"1",""),"2",""),"3",""),"4",""),
                      "5",""),"6",""),"7",""),"8",""),"9","")
     ),
     IF(SUM(--ISNUMBER(FIND({0,1,2,3,4,5,6,7,8,9}, _xlpm.txt)))=0,
        _xlpm.txt &amp; Data!BW57,
        _xlpm.txt
     )
   ),
   ""
)</f>
        <v/>
      </c>
      <c r="I37" s="41" t="str" cm="1">
        <f t="array" ref="I37">IF(I15&lt;&gt;"",
   _xlfn.LET(
     _xlpm.txt,
     IF(OR(COUNTIF(I15,"L*"), COUNTIF(I15, "X*")),
        IF(AND(COUNTIF(I15,"*P*"), COUNTIF(I15,"*V*")),
           IF(COUNTIF(I15,"*R*"),
              SUBSTITUTE(SUBSTITUTE(I15,"P",""),"R","S"),
              SUBSTITUTE(I15,"P","")),
           IF(AND(COUNTIF(I15,"*P*"), COUNTIF(I15,"*R*")),
              SUBSTITUTE(I15,"R","S"),
              IF(AND(COUNTIF(I15,"*V*"), COUNTIF(I15,"*R*")),
                 SUBSTITUTE(I15,"R","S"),
                 I15))),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IF(AND(COUNTIF(I15,"*P*"), COUNTIF(I15,"*V*")),
                               IF(COUNTIF(I15,"*R*"),
                                  SUBSTITUTE(SUBSTITUTE(I15,"P",""),"R","S"),
                                  SUBSTITUTE(I15,"P","")),
                               IF(AND(COUNTIF(I15,"*P*"), COUNTIF(I15,"*R*")),
                                  SUBSTITUTE(I15,"R","S"),
                                  IF(AND(COUNTIF(I15,"*V*"), COUNTIF(I15,"*R*")),
                                     SUBSTITUTE(I15,"R","S"),
                                     I15))),
                          "0",""),"1",""),"2",""),"3",""),"4",""),
                      "5",""),"6",""),"7",""),"8",""),"9","")
     ),
     IF(SUM(--ISNUMBER(FIND({0,1,2,3,4,5,6,7,8,9}, _xlpm.txt)))=0,
        _xlpm.txt &amp; Data!BX57,
        _xlpm.txt
     )
   ),
   ""
)</f>
        <v/>
      </c>
      <c r="J37" s="41" t="str" cm="1">
        <f t="array" ref="J37">IF(J15&lt;&gt;"",
   _xlfn.LET(
     _xlpm.txt,
     IF(OR(COUNTIF(J15,"L*"), COUNTIF(J15, "X*")),
        IF(AND(COUNTIF(J15,"*P*"), COUNTIF(J15,"*V*")),
           IF(COUNTIF(J15,"*R*"),
              SUBSTITUTE(SUBSTITUTE(J15,"P",""),"R","S"),
              SUBSTITUTE(J15,"P","")),
           IF(AND(COUNTIF(J15,"*P*"), COUNTIF(J15,"*R*")),
              SUBSTITUTE(J15,"R","S"),
              IF(AND(COUNTIF(J15,"*V*"), COUNTIF(J15,"*R*")),
                 SUBSTITUTE(J15,"R","S"),
                 J15))),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IF(AND(COUNTIF(J15,"*P*"), COUNTIF(J15,"*V*")),
                               IF(COUNTIF(J15,"*R*"),
                                  SUBSTITUTE(SUBSTITUTE(J15,"P",""),"R","S"),
                                  SUBSTITUTE(J15,"P","")),
                               IF(AND(COUNTIF(J15,"*P*"), COUNTIF(J15,"*R*")),
                                  SUBSTITUTE(J15,"R","S"),
                                  IF(AND(COUNTIF(J15,"*V*"), COUNTIF(J15,"*R*")),
                                     SUBSTITUTE(J15,"R","S"),
                                     J15))),
                          "0",""),"1",""),"2",""),"3",""),"4",""),
                      "5",""),"6",""),"7",""),"8",""),"9","")
     ),
     IF(SUM(--ISNUMBER(FIND({0,1,2,3,4,5,6,7,8,9}, _xlpm.txt)))=0,
        _xlpm.txt &amp; Data!BY57,
        _xlpm.txt
     )
   ),
   ""
)</f>
        <v/>
      </c>
      <c r="K37" s="41" t="str" cm="1">
        <f t="array" ref="K37">IF(K15&lt;&gt;"",
   _xlfn.LET(
     _xlpm.txt,
     IF(OR(COUNTIF(K15,"L*"), COUNTIF(K15, "X*")),
        IF(AND(COUNTIF(K15,"*P*"), COUNTIF(K15,"*V*")),
           IF(COUNTIF(K15,"*R*"),
              SUBSTITUTE(SUBSTITUTE(K15,"P",""),"R","S"),
              SUBSTITUTE(K15,"P","")),
           IF(AND(COUNTIF(K15,"*P*"), COUNTIF(K15,"*R*")),
              SUBSTITUTE(K15,"R","S"),
              IF(AND(COUNTIF(K15,"*V*"), COUNTIF(K15,"*R*")),
                 SUBSTITUTE(K15,"R","S"),
                 K15))),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IF(AND(COUNTIF(K15,"*P*"), COUNTIF(K15,"*V*")),
                               IF(COUNTIF(K15,"*R*"),
                                  SUBSTITUTE(SUBSTITUTE(K15,"P",""),"R","S"),
                                  SUBSTITUTE(K15,"P","")),
                               IF(AND(COUNTIF(K15,"*P*"), COUNTIF(K15,"*R*")),
                                  SUBSTITUTE(K15,"R","S"),
                                  IF(AND(COUNTIF(K15,"*V*"), COUNTIF(K15,"*R*")),
                                     SUBSTITUTE(K15,"R","S"),
                                     K15))),
                          "0",""),"1",""),"2",""),"3",""),"4",""),
                      "5",""),"6",""),"7",""),"8",""),"9","")
     ),
     IF(SUM(--ISNUMBER(FIND({0,1,2,3,4,5,6,7,8,9}, _xlpm.txt)))=0,
        _xlpm.txt &amp; Data!BZ57,
        _xlpm.txt
     )
   ),
   ""
)</f>
        <v/>
      </c>
      <c r="L37" s="41" t="str" cm="1">
        <f t="array" ref="L37">IF(L15&lt;&gt;"",
   _xlfn.LET(
     _xlpm.txt,
     IF(OR(COUNTIF(L15,"L*"), COUNTIF(L15, "X*")),
        IF(AND(COUNTIF(L15,"*P*"), COUNTIF(L15,"*V*")),
           IF(COUNTIF(L15,"*R*"),
              SUBSTITUTE(SUBSTITUTE(L15,"P",""),"R","S"),
              SUBSTITUTE(L15,"P","")),
           IF(AND(COUNTIF(L15,"*P*"), COUNTIF(L15,"*R*")),
              SUBSTITUTE(L15,"R","S"),
              IF(AND(COUNTIF(L15,"*V*"), COUNTIF(L15,"*R*")),
                 SUBSTITUTE(L15,"R","S"),
                 L15))),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IF(AND(COUNTIF(L15,"*P*"), COUNTIF(L15,"*V*")),
                               IF(COUNTIF(L15,"*R*"),
                                  SUBSTITUTE(SUBSTITUTE(L15,"P",""),"R","S"),
                                  SUBSTITUTE(L15,"P","")),
                               IF(AND(COUNTIF(L15,"*P*"), COUNTIF(L15,"*R*")),
                                  SUBSTITUTE(L15,"R","S"),
                                  IF(AND(COUNTIF(L15,"*V*"), COUNTIF(L15,"*R*")),
                                     SUBSTITUTE(L15,"R","S"),
                                     L15))),
                          "0",""),"1",""),"2",""),"3",""),"4",""),
                      "5",""),"6",""),"7",""),"8",""),"9","")
     ),
     IF(SUM(--ISNUMBER(FIND({0,1,2,3,4,5,6,7,8,9}, _xlpm.txt)))=0,
        _xlpm.txt &amp; Data!CA57,
        _xlpm.txt
     )
   ),
   ""
)</f>
        <v/>
      </c>
      <c r="M37" s="41" t="str" cm="1">
        <f t="array" ref="M37">IF(M15&lt;&gt;"",
   _xlfn.LET(
     _xlpm.txt,
     IF(OR(COUNTIF(M15,"L*"), COUNTIF(M15, "X*")),
        IF(AND(COUNTIF(M15,"*P*"), COUNTIF(M15,"*V*")),
           IF(COUNTIF(M15,"*R*"),
              SUBSTITUTE(SUBSTITUTE(M15,"P",""),"R","S"),
              SUBSTITUTE(M15,"P","")),
           IF(AND(COUNTIF(M15,"*P*"), COUNTIF(M15,"*R*")),
              SUBSTITUTE(M15,"R","S"),
              IF(AND(COUNTIF(M15,"*V*"), COUNTIF(M15,"*R*")),
                 SUBSTITUTE(M15,"R","S"),
                 M15))),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IF(AND(COUNTIF(M15,"*P*"), COUNTIF(M15,"*V*")),
                               IF(COUNTIF(M15,"*R*"),
                                  SUBSTITUTE(SUBSTITUTE(M15,"P",""),"R","S"),
                                  SUBSTITUTE(M15,"P","")),
                               IF(AND(COUNTIF(M15,"*P*"), COUNTIF(M15,"*R*")),
                                  SUBSTITUTE(M15,"R","S"),
                                  IF(AND(COUNTIF(M15,"*V*"), COUNTIF(M15,"*R*")),
                                     SUBSTITUTE(M15,"R","S"),
                                     M15))),
                          "0",""),"1",""),"2",""),"3",""),"4",""),
                      "5",""),"6",""),"7",""),"8",""),"9","")
     ),
     IF(SUM(--ISNUMBER(FIND({0,1,2,3,4,5,6,7,8,9}, _xlpm.txt)))=0,
        _xlpm.txt &amp; Data!CB57,
        _xlpm.txt
     )
   ),
   ""
)</f>
        <v/>
      </c>
      <c r="N37" s="41" t="str" cm="1">
        <f t="array" ref="N37">IF(N15&lt;&gt;"",
   _xlfn.LET(
     _xlpm.txt,
     IF(OR(COUNTIF(N15,"L*"), COUNTIF(N15, "X*")),
        IF(AND(COUNTIF(N15,"*P*"), COUNTIF(N15,"*V*")),
           IF(COUNTIF(N15,"*R*"),
              SUBSTITUTE(SUBSTITUTE(N15,"P",""),"R","S"),
              SUBSTITUTE(N15,"P","")),
           IF(AND(COUNTIF(N15,"*P*"), COUNTIF(N15,"*R*")),
              SUBSTITUTE(N15,"R","S"),
              IF(AND(COUNTIF(N15,"*V*"), COUNTIF(N15,"*R*")),
                 SUBSTITUTE(N15,"R","S"),
                 N15))),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IF(AND(COUNTIF(N15,"*P*"), COUNTIF(N15,"*V*")),
                               IF(COUNTIF(N15,"*R*"),
                                  SUBSTITUTE(SUBSTITUTE(N15,"P",""),"R","S"),
                                  SUBSTITUTE(N15,"P","")),
                               IF(AND(COUNTIF(N15,"*P*"), COUNTIF(N15,"*R*")),
                                  SUBSTITUTE(N15,"R","S"),
                                  IF(AND(COUNTIF(N15,"*V*"), COUNTIF(N15,"*R*")),
                                     SUBSTITUTE(N15,"R","S"),
                                     N15))),
                          "0",""),"1",""),"2",""),"3",""),"4",""),
                      "5",""),"6",""),"7",""),"8",""),"9","")
     ),
     IF(SUM(--ISNUMBER(FIND({0,1,2,3,4,5,6,7,8,9}, _xlpm.txt)))=0,
        _xlpm.txt &amp; Data!CC57,
        _xlpm.txt
     )
   ),
   ""
)</f>
        <v/>
      </c>
      <c r="O37" s="41" t="str" cm="1">
        <f t="array" ref="O37">IF(O15&lt;&gt;"",
   _xlfn.LET(
     _xlpm.txt,
     IF(OR(COUNTIF(O15,"L*"), COUNTIF(O15, "X*")),
        IF(AND(COUNTIF(O15,"*P*"), COUNTIF(O15,"*V*")),
           IF(COUNTIF(O15,"*R*"),
              SUBSTITUTE(SUBSTITUTE(O15,"P",""),"R","S"),
              SUBSTITUTE(O15,"P","")),
           IF(AND(COUNTIF(O15,"*P*"), COUNTIF(O15,"*R*")),
              SUBSTITUTE(O15,"R","S"),
              IF(AND(COUNTIF(O15,"*V*"), COUNTIF(O15,"*R*")),
                 SUBSTITUTE(O15,"R","S"),
                 O15))),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IF(AND(COUNTIF(O15,"*P*"), COUNTIF(O15,"*V*")),
                               IF(COUNTIF(O15,"*R*"),
                                  SUBSTITUTE(SUBSTITUTE(O15,"P",""),"R","S"),
                                  SUBSTITUTE(O15,"P","")),
                               IF(AND(COUNTIF(O15,"*P*"), COUNTIF(O15,"*R*")),
                                  SUBSTITUTE(O15,"R","S"),
                                  IF(AND(COUNTIF(O15,"*V*"), COUNTIF(O15,"*R*")),
                                     SUBSTITUTE(O15,"R","S"),
                                     O15))),
                          "0",""),"1",""),"2",""),"3",""),"4",""),
                      "5",""),"6",""),"7",""),"8",""),"9","")
     ),
     IF(SUM(--ISNUMBER(FIND({0,1,2,3,4,5,6,7,8,9}, _xlpm.txt)))=0,
        _xlpm.txt &amp; Data!CD57,
        _xlpm.txt
     )
   ),
   ""
)</f>
        <v/>
      </c>
      <c r="P37" s="41" t="str" cm="1">
        <f t="array" ref="P37">IF(P15&lt;&gt;"",
   _xlfn.LET(
     _xlpm.txt,
     IF(OR(COUNTIF(P15,"L*"), COUNTIF(P15, "X*")),
        IF(AND(COUNTIF(P15,"*P*"), COUNTIF(P15,"*V*")),
           IF(COUNTIF(P15,"*R*"),
              SUBSTITUTE(SUBSTITUTE(P15,"P",""),"R","S"),
              SUBSTITUTE(P15,"P","")),
           IF(AND(COUNTIF(P15,"*P*"), COUNTIF(P15,"*R*")),
              SUBSTITUTE(P15,"R","S"),
              IF(AND(COUNTIF(P15,"*V*"), COUNTIF(P15,"*R*")),
                 SUBSTITUTE(P15,"R","S"),
                 P15))),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IF(AND(COUNTIF(P15,"*P*"), COUNTIF(P15,"*V*")),
                               IF(COUNTIF(P15,"*R*"),
                                  SUBSTITUTE(SUBSTITUTE(P15,"P",""),"R","S"),
                                  SUBSTITUTE(P15,"P","")),
                               IF(AND(COUNTIF(P15,"*P*"), COUNTIF(P15,"*R*")),
                                  SUBSTITUTE(P15,"R","S"),
                                  IF(AND(COUNTIF(P15,"*V*"), COUNTIF(P15,"*R*")),
                                     SUBSTITUTE(P15,"R","S"),
                                     P15))),
                          "0",""),"1",""),"2",""),"3",""),"4",""),
                      "5",""),"6",""),"7",""),"8",""),"9","")
     ),
     IF(SUM(--ISNUMBER(FIND({0,1,2,3,4,5,6,7,8,9}, _xlpm.txt)))=0,
        _xlpm.txt &amp; Data!CE57,
        _xlpm.txt
     )
   ),
   ""
)</f>
        <v/>
      </c>
      <c r="Q37" s="41" t="str" cm="1">
        <f t="array" ref="Q37">IF(Q15&lt;&gt;"",
   _xlfn.LET(
     _xlpm.txt,
     IF(OR(COUNTIF(Q15,"L*"), COUNTIF(Q15, "X*")),
        IF(AND(COUNTIF(Q15,"*P*"), COUNTIF(Q15,"*V*")),
           IF(COUNTIF(Q15,"*R*"),
              SUBSTITUTE(SUBSTITUTE(Q15,"P",""),"R","S"),
              SUBSTITUTE(Q15,"P","")),
           IF(AND(COUNTIF(Q15,"*P*"), COUNTIF(Q15,"*R*")),
              SUBSTITUTE(Q15,"R","S"),
              IF(AND(COUNTIF(Q15,"*V*"), COUNTIF(Q15,"*R*")),
                 SUBSTITUTE(Q15,"R","S"),
                 Q15))),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IF(AND(COUNTIF(Q15,"*P*"), COUNTIF(Q15,"*V*")),
                               IF(COUNTIF(Q15,"*R*"),
                                  SUBSTITUTE(SUBSTITUTE(Q15,"P",""),"R","S"),
                                  SUBSTITUTE(Q15,"P","")),
                               IF(AND(COUNTIF(Q15,"*P*"), COUNTIF(Q15,"*R*")),
                                  SUBSTITUTE(Q15,"R","S"),
                                  IF(AND(COUNTIF(Q15,"*V*"), COUNTIF(Q15,"*R*")),
                                     SUBSTITUTE(Q15,"R","S"),
                                     Q15))),
                          "0",""),"1",""),"2",""),"3",""),"4",""),
                      "5",""),"6",""),"7",""),"8",""),"9","")
     ),
     IF(SUM(--ISNUMBER(FIND({0,1,2,3,4,5,6,7,8,9}, _xlpm.txt)))=0,
        _xlpm.txt &amp; Data!CF57,
        _xlpm.txt
     )
   ),
   ""
)</f>
        <v/>
      </c>
      <c r="R37" s="41" t="str" cm="1">
        <f t="array" ref="R37">IF(R15&lt;&gt;"",
   _xlfn.LET(
     _xlpm.txt,
     IF(OR(COUNTIF(R15,"L*"), COUNTIF(R15, "X*")),
        IF(AND(COUNTIF(R15,"*P*"), COUNTIF(R15,"*V*")),
           IF(COUNTIF(R15,"*R*"),
              SUBSTITUTE(SUBSTITUTE(R15,"P",""),"R","S"),
              SUBSTITUTE(R15,"P","")),
           IF(AND(COUNTIF(R15,"*P*"), COUNTIF(R15,"*R*")),
              SUBSTITUTE(R15,"R","S"),
              IF(AND(COUNTIF(R15,"*V*"), COUNTIF(R15,"*R*")),
                 SUBSTITUTE(R15,"R","S"),
                 R15))),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IF(AND(COUNTIF(R15,"*P*"), COUNTIF(R15,"*V*")),
                               IF(COUNTIF(R15,"*R*"),
                                  SUBSTITUTE(SUBSTITUTE(R15,"P",""),"R","S"),
                                  SUBSTITUTE(R15,"P","")),
                               IF(AND(COUNTIF(R15,"*P*"), COUNTIF(R15,"*R*")),
                                  SUBSTITUTE(R15,"R","S"),
                                  IF(AND(COUNTIF(R15,"*V*"), COUNTIF(R15,"*R*")),
                                     SUBSTITUTE(R15,"R","S"),
                                     R15))),
                          "0",""),"1",""),"2",""),"3",""),"4",""),
                      "5",""),"6",""),"7",""),"8",""),"9","")
     ),
     IF(SUM(--ISNUMBER(FIND({0,1,2,3,4,5,6,7,8,9}, _xlpm.txt)))=0,
        _xlpm.txt &amp; Data!CG57,
        _xlpm.txt
     )
   ),
   ""
)</f>
        <v/>
      </c>
      <c r="S37" s="41" t="str" cm="1">
        <f t="array" ref="S37">IF(S15&lt;&gt;"",
   _xlfn.LET(
     _xlpm.txt,
     IF(OR(COUNTIF(S15,"L*"), COUNTIF(S15, "X*")),
        IF(AND(COUNTIF(S15,"*P*"), COUNTIF(S15,"*V*")),
           IF(COUNTIF(S15,"*R*"),
              SUBSTITUTE(SUBSTITUTE(S15,"P",""),"R","S"),
              SUBSTITUTE(S15,"P","")),
           IF(AND(COUNTIF(S15,"*P*"), COUNTIF(S15,"*R*")),
              SUBSTITUTE(S15,"R","S"),
              IF(AND(COUNTIF(S15,"*V*"), COUNTIF(S15,"*R*")),
                 SUBSTITUTE(S15,"R","S"),
                 S15))),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IF(AND(COUNTIF(S15,"*P*"), COUNTIF(S15,"*V*")),
                               IF(COUNTIF(S15,"*R*"),
                                  SUBSTITUTE(SUBSTITUTE(S15,"P",""),"R","S"),
                                  SUBSTITUTE(S15,"P","")),
                               IF(AND(COUNTIF(S15,"*P*"), COUNTIF(S15,"*R*")),
                                  SUBSTITUTE(S15,"R","S"),
                                  IF(AND(COUNTIF(S15,"*V*"), COUNTIF(S15,"*R*")),
                                     SUBSTITUTE(S15,"R","S"),
                                     S15))),
                          "0",""),"1",""),"2",""),"3",""),"4",""),
                      "5",""),"6",""),"7",""),"8",""),"9","")
     ),
     IF(SUM(--ISNUMBER(FIND({0,1,2,3,4,5,6,7,8,9}, _xlpm.txt)))=0,
        _xlpm.txt &amp; Data!CH57,
        _xlpm.txt
     )
   ),
   ""
)</f>
        <v/>
      </c>
      <c r="T37" s="41" t="str" cm="1">
        <f t="array" ref="T37">IF(T15&lt;&gt;"",
   _xlfn.LET(
     _xlpm.txt,
     IF(OR(COUNTIF(T15,"L*"), COUNTIF(T15, "X*")),
        IF(AND(COUNTIF(T15,"*P*"), COUNTIF(T15,"*V*")),
           IF(COUNTIF(T15,"*R*"),
              SUBSTITUTE(SUBSTITUTE(T15,"P",""),"R","S"),
              SUBSTITUTE(T15,"P","")),
           IF(AND(COUNTIF(T15,"*P*"), COUNTIF(T15,"*R*")),
              SUBSTITUTE(T15,"R","S"),
              IF(AND(COUNTIF(T15,"*V*"), COUNTIF(T15,"*R*")),
                 SUBSTITUTE(T15,"R","S"),
                 T15))),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IF(AND(COUNTIF(T15,"*P*"), COUNTIF(T15,"*V*")),
                               IF(COUNTIF(T15,"*R*"),
                                  SUBSTITUTE(SUBSTITUTE(T15,"P",""),"R","S"),
                                  SUBSTITUTE(T15,"P","")),
                               IF(AND(COUNTIF(T15,"*P*"), COUNTIF(T15,"*R*")),
                                  SUBSTITUTE(T15,"R","S"),
                                  IF(AND(COUNTIF(T15,"*V*"), COUNTIF(T15,"*R*")),
                                     SUBSTITUTE(T15,"R","S"),
                                     T15))),
                          "0",""),"1",""),"2",""),"3",""),"4",""),
                      "5",""),"6",""),"7",""),"8",""),"9","")
     ),
     IF(SUM(--ISNUMBER(FIND({0,1,2,3,4,5,6,7,8,9}, _xlpm.txt)))=0,
        _xlpm.txt &amp; Data!CI57,
        _xlpm.txt
     )
   ),
   ""
)</f>
        <v/>
      </c>
      <c r="U37" s="41" t="str" cm="1">
        <f t="array" ref="U37">IF(U15&lt;&gt;"",
   _xlfn.LET(
     _xlpm.txt,
     IF(OR(COUNTIF(U15,"L*"), COUNTIF(U15, "X*")),
        IF(AND(COUNTIF(U15,"*P*"), COUNTIF(U15,"*V*")),
           IF(COUNTIF(U15,"*R*"),
              SUBSTITUTE(SUBSTITUTE(U15,"P",""),"R","S"),
              SUBSTITUTE(U15,"P","")),
           IF(AND(COUNTIF(U15,"*P*"), COUNTIF(U15,"*R*")),
              SUBSTITUTE(U15,"R","S"),
              IF(AND(COUNTIF(U15,"*V*"), COUNTIF(U15,"*R*")),
                 SUBSTITUTE(U15,"R","S"),
                 U15))),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IF(AND(COUNTIF(U15,"*P*"), COUNTIF(U15,"*V*")),
                               IF(COUNTIF(U15,"*R*"),
                                  SUBSTITUTE(SUBSTITUTE(U15,"P",""),"R","S"),
                                  SUBSTITUTE(U15,"P","")),
                               IF(AND(COUNTIF(U15,"*P*"), COUNTIF(U15,"*R*")),
                                  SUBSTITUTE(U15,"R","S"),
                                  IF(AND(COUNTIF(U15,"*V*"), COUNTIF(U15,"*R*")),
                                     SUBSTITUTE(U15,"R","S"),
                                     U15))),
                          "0",""),"1",""),"2",""),"3",""),"4",""),
                      "5",""),"6",""),"7",""),"8",""),"9","")
     ),
     IF(SUM(--ISNUMBER(FIND({0,1,2,3,4,5,6,7,8,9}, _xlpm.txt)))=0,
        _xlpm.txt &amp; Data!CJ57,
        _xlpm.txt
     )
   ),
   ""
)</f>
        <v/>
      </c>
      <c r="V37" s="41" t="str" cm="1">
        <f t="array" ref="V37">IF(V15&lt;&gt;"",
   _xlfn.LET(
     _xlpm.txt,
     IF(OR(COUNTIF(V15,"L*"), COUNTIF(V15, "X*")),
        IF(AND(COUNTIF(V15,"*P*"), COUNTIF(V15,"*V*")),
           IF(COUNTIF(V15,"*R*"),
              SUBSTITUTE(SUBSTITUTE(V15,"P",""),"R","S"),
              SUBSTITUTE(V15,"P","")),
           IF(AND(COUNTIF(V15,"*P*"), COUNTIF(V15,"*R*")),
              SUBSTITUTE(V15,"R","S"),
              IF(AND(COUNTIF(V15,"*V*"), COUNTIF(V15,"*R*")),
                 SUBSTITUTE(V15,"R","S"),
                 V15))),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IF(AND(COUNTIF(V15,"*P*"), COUNTIF(V15,"*V*")),
                               IF(COUNTIF(V15,"*R*"),
                                  SUBSTITUTE(SUBSTITUTE(V15,"P",""),"R","S"),
                                  SUBSTITUTE(V15,"P","")),
                               IF(AND(COUNTIF(V15,"*P*"), COUNTIF(V15,"*R*")),
                                  SUBSTITUTE(V15,"R","S"),
                                  IF(AND(COUNTIF(V15,"*V*"), COUNTIF(V15,"*R*")),
                                     SUBSTITUTE(V15,"R","S"),
                                     V15))),
                          "0",""),"1",""),"2",""),"3",""),"4",""),
                      "5",""),"6",""),"7",""),"8",""),"9","")
     ),
     IF(SUM(--ISNUMBER(FIND({0,1,2,3,4,5,6,7,8,9}, _xlpm.txt)))=0,
        _xlpm.txt &amp; Data!CK57,
        _xlpm.txt
     )
   ),
   ""
)</f>
        <v/>
      </c>
      <c r="W37" s="41" t="str" cm="1">
        <f t="array" ref="W37">IF(W15&lt;&gt;"",
   _xlfn.LET(
     _xlpm.txt,
     IF(OR(COUNTIF(W15,"L*"), COUNTIF(W15, "X*")),
        IF(AND(COUNTIF(W15,"*P*"), COUNTIF(W15,"*V*")),
           IF(COUNTIF(W15,"*R*"),
              SUBSTITUTE(SUBSTITUTE(W15,"P",""),"R","S"),
              SUBSTITUTE(W15,"P","")),
           IF(AND(COUNTIF(W15,"*P*"), COUNTIF(W15,"*R*")),
              SUBSTITUTE(W15,"R","S"),
              IF(AND(COUNTIF(W15,"*V*"), COUNTIF(W15,"*R*")),
                 SUBSTITUTE(W15,"R","S"),
                 W15))),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IF(AND(COUNTIF(W15,"*P*"), COUNTIF(W15,"*V*")),
                               IF(COUNTIF(W15,"*R*"),
                                  SUBSTITUTE(SUBSTITUTE(W15,"P",""),"R","S"),
                                  SUBSTITUTE(W15,"P","")),
                               IF(AND(COUNTIF(W15,"*P*"), COUNTIF(W15,"*R*")),
                                  SUBSTITUTE(W15,"R","S"),
                                  IF(AND(COUNTIF(W15,"*V*"), COUNTIF(W15,"*R*")),
                                     SUBSTITUTE(W15,"R","S"),
                                     W15))),
                          "0",""),"1",""),"2",""),"3",""),"4",""),
                      "5",""),"6",""),"7",""),"8",""),"9","")
     ),
     IF(SUM(--ISNUMBER(FIND({0,1,2,3,4,5,6,7,8,9}, _xlpm.txt)))=0,
        _xlpm.txt &amp; Data!CL57,
        _xlpm.txt
     )
   ),
   ""
)</f>
        <v/>
      </c>
      <c r="X37" s="41" t="str" cm="1">
        <f t="array" ref="X37">IF(X15&lt;&gt;"",
   _xlfn.LET(
     _xlpm.txt,
     IF(OR(COUNTIF(X15,"L*"), COUNTIF(X15, "X*")),
        IF(AND(COUNTIF(X15,"*P*"), COUNTIF(X15,"*V*")),
           IF(COUNTIF(X15,"*R*"),
              SUBSTITUTE(SUBSTITUTE(X15,"P",""),"R","S"),
              SUBSTITUTE(X15,"P","")),
           IF(AND(COUNTIF(X15,"*P*"), COUNTIF(X15,"*R*")),
              SUBSTITUTE(X15,"R","S"),
              IF(AND(COUNTIF(X15,"*V*"), COUNTIF(X15,"*R*")),
                 SUBSTITUTE(X15,"R","S"),
                 X15))),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IF(AND(COUNTIF(X15,"*P*"), COUNTIF(X15,"*V*")),
                               IF(COUNTIF(X15,"*R*"),
                                  SUBSTITUTE(SUBSTITUTE(X15,"P",""),"R","S"),
                                  SUBSTITUTE(X15,"P","")),
                               IF(AND(COUNTIF(X15,"*P*"), COUNTIF(X15,"*R*")),
                                  SUBSTITUTE(X15,"R","S"),
                                  IF(AND(COUNTIF(X15,"*V*"), COUNTIF(X15,"*R*")),
                                     SUBSTITUTE(X15,"R","S"),
                                     X15))),
                          "0",""),"1",""),"2",""),"3",""),"4",""),
                      "5",""),"6",""),"7",""),"8",""),"9","")
     ),
     IF(SUM(--ISNUMBER(FIND({0,1,2,3,4,5,6,7,8,9}, _xlpm.txt)))=0,
        _xlpm.txt &amp; Data!CM57,
        _xlpm.txt
     )
   ),
   ""
)</f>
        <v/>
      </c>
      <c r="Y37" s="41" t="str" cm="1">
        <f t="array" ref="Y37">IF(Y15&lt;&gt;"",
   _xlfn.LET(
     _xlpm.txt,
     IF(OR(COUNTIF(Y15,"L*"), COUNTIF(Y15, "X*")),
        IF(AND(COUNTIF(Y15,"*P*"), COUNTIF(Y15,"*V*")),
           IF(COUNTIF(Y15,"*R*"),
              SUBSTITUTE(SUBSTITUTE(Y15,"P",""),"R","S"),
              SUBSTITUTE(Y15,"P","")),
           IF(AND(COUNTIF(Y15,"*P*"), COUNTIF(Y15,"*R*")),
              SUBSTITUTE(Y15,"R","S"),
              IF(AND(COUNTIF(Y15,"*V*"), COUNTIF(Y15,"*R*")),
                 SUBSTITUTE(Y15,"R","S"),
                 Y15))),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IF(AND(COUNTIF(Y15,"*P*"), COUNTIF(Y15,"*V*")),
                               IF(COUNTIF(Y15,"*R*"),
                                  SUBSTITUTE(SUBSTITUTE(Y15,"P",""),"R","S"),
                                  SUBSTITUTE(Y15,"P","")),
                               IF(AND(COUNTIF(Y15,"*P*"), COUNTIF(Y15,"*R*")),
                                  SUBSTITUTE(Y15,"R","S"),
                                  IF(AND(COUNTIF(Y15,"*V*"), COUNTIF(Y15,"*R*")),
                                     SUBSTITUTE(Y15,"R","S"),
                                     Y15))),
                          "0",""),"1",""),"2",""),"3",""),"4",""),
                      "5",""),"6",""),"7",""),"8",""),"9","")
     ),
     IF(SUM(--ISNUMBER(FIND({0,1,2,3,4,5,6,7,8,9}, _xlpm.txt)))=0,
        _xlpm.txt &amp; Data!CN57,
        _xlpm.txt
     )
   ),
   ""
)</f>
        <v/>
      </c>
      <c r="Z37" s="41" t="str" cm="1">
        <f t="array" ref="Z37">IF(Z15&lt;&gt;"",
   _xlfn.LET(
     _xlpm.txt,
     IF(OR(COUNTIF(Z15,"L*"), COUNTIF(Z15, "X*")),
        IF(AND(COUNTIF(Z15,"*P*"), COUNTIF(Z15,"*V*")),
           IF(COUNTIF(Z15,"*R*"),
              SUBSTITUTE(SUBSTITUTE(Z15,"P",""),"R","S"),
              SUBSTITUTE(Z15,"P","")),
           IF(AND(COUNTIF(Z15,"*P*"), COUNTIF(Z15,"*R*")),
              SUBSTITUTE(Z15,"R","S"),
              IF(AND(COUNTIF(Z15,"*V*"), COUNTIF(Z15,"*R*")),
                 SUBSTITUTE(Z15,"R","S"),
                 Z15))),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IF(AND(COUNTIF(Z15,"*P*"), COUNTIF(Z15,"*V*")),
                               IF(COUNTIF(Z15,"*R*"),
                                  SUBSTITUTE(SUBSTITUTE(Z15,"P",""),"R","S"),
                                  SUBSTITUTE(Z15,"P","")),
                               IF(AND(COUNTIF(Z15,"*P*"), COUNTIF(Z15,"*R*")),
                                  SUBSTITUTE(Z15,"R","S"),
                                  IF(AND(COUNTIF(Z15,"*V*"), COUNTIF(Z15,"*R*")),
                                     SUBSTITUTE(Z15,"R","S"),
                                     Z15))),
                          "0",""),"1",""),"2",""),"3",""),"4",""),
                      "5",""),"6",""),"7",""),"8",""),"9","")
     ),
     IF(SUM(--ISNUMBER(FIND({0,1,2,3,4,5,6,7,8,9}, _xlpm.txt)))=0,
        _xlpm.txt &amp; Data!CO57,
        _xlpm.txt
     )
   ),
   ""
)</f>
        <v/>
      </c>
      <c r="AA37" s="41" t="str" cm="1">
        <f t="array" ref="AA37">IF(AA15&lt;&gt;"",
   _xlfn.LET(
     _xlpm.txt,
     IF(OR(COUNTIF(AA15,"L*"), COUNTIF(AA15, "X*")),
        IF(AND(COUNTIF(AA15,"*P*"), COUNTIF(AA15,"*V*")),
           IF(COUNTIF(AA15,"*R*"),
              SUBSTITUTE(SUBSTITUTE(AA15,"P",""),"R","S"),
              SUBSTITUTE(AA15,"P","")),
           IF(AND(COUNTIF(AA15,"*P*"), COUNTIF(AA15,"*R*")),
              SUBSTITUTE(AA15,"R","S"),
              IF(AND(COUNTIF(AA15,"*V*"), COUNTIF(AA15,"*R*")),
                 SUBSTITUTE(AA15,"R","S"),
                 AA15))),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IF(AND(COUNTIF(AA15,"*P*"), COUNTIF(AA15,"*V*")),
                               IF(COUNTIF(AA15,"*R*"),
                                  SUBSTITUTE(SUBSTITUTE(AA15,"P",""),"R","S"),
                                  SUBSTITUTE(AA15,"P","")),
                               IF(AND(COUNTIF(AA15,"*P*"), COUNTIF(AA15,"*R*")),
                                  SUBSTITUTE(AA15,"R","S"),
                                  IF(AND(COUNTIF(AA15,"*V*"), COUNTIF(AA15,"*R*")),
                                     SUBSTITUTE(AA15,"R","S"),
                                     AA15))),
                          "0",""),"1",""),"2",""),"3",""),"4",""),
                      "5",""),"6",""),"7",""),"8",""),"9","")
     ),
     IF(SUM(--ISNUMBER(FIND({0,1,2,3,4,5,6,7,8,9}, _xlpm.txt)))=0,
        _xlpm.txt &amp; Data!CP57,
        _xlpm.txt
     )
   ),
   ""
)</f>
        <v/>
      </c>
      <c r="AB37" s="41" t="str" cm="1">
        <f t="array" ref="AB37">IF(AB15&lt;&gt;"",
   _xlfn.LET(
     _xlpm.txt,
     IF(OR(COUNTIF(AB15,"L*"), COUNTIF(AB15, "X*")),
        IF(AND(COUNTIF(AB15,"*P*"), COUNTIF(AB15,"*V*")),
           IF(COUNTIF(AB15,"*R*"),
              SUBSTITUTE(SUBSTITUTE(AB15,"P",""),"R","S"),
              SUBSTITUTE(AB15,"P","")),
           IF(AND(COUNTIF(AB15,"*P*"), COUNTIF(AB15,"*R*")),
              SUBSTITUTE(AB15,"R","S"),
              IF(AND(COUNTIF(AB15,"*V*"), COUNTIF(AB15,"*R*")),
                 SUBSTITUTE(AB15,"R","S"),
                 AB15))),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IF(AND(COUNTIF(AB15,"*P*"), COUNTIF(AB15,"*V*")),
                               IF(COUNTIF(AB15,"*R*"),
                                  SUBSTITUTE(SUBSTITUTE(AB15,"P",""),"R","S"),
                                  SUBSTITUTE(AB15,"P","")),
                               IF(AND(COUNTIF(AB15,"*P*"), COUNTIF(AB15,"*R*")),
                                  SUBSTITUTE(AB15,"R","S"),
                                  IF(AND(COUNTIF(AB15,"*V*"), COUNTIF(AB15,"*R*")),
                                     SUBSTITUTE(AB15,"R","S"),
                                     AB15))),
                          "0",""),"1",""),"2",""),"3",""),"4",""),
                      "5",""),"6",""),"7",""),"8",""),"9","")
     ),
     IF(SUM(--ISNUMBER(FIND({0,1,2,3,4,5,6,7,8,9}, _xlpm.txt)))=0,
        _xlpm.txt &amp; Data!CQ57,
        _xlpm.txt
     )
   ),
   ""
)</f>
        <v/>
      </c>
      <c r="AC37" s="41" t="str" cm="1">
        <f t="array" ref="AC37">IF(AC15&lt;&gt;"",
   _xlfn.LET(
     _xlpm.txt,
     IF(OR(COUNTIF(AC15,"L*"), COUNTIF(AC15, "X*")),
        IF(AND(COUNTIF(AC15,"*P*"), COUNTIF(AC15,"*V*")),
           IF(COUNTIF(AC15,"*R*"),
              SUBSTITUTE(SUBSTITUTE(AC15,"P",""),"R","S"),
              SUBSTITUTE(AC15,"P","")),
           IF(AND(COUNTIF(AC15,"*P*"), COUNTIF(AC15,"*R*")),
              SUBSTITUTE(AC15,"R","S"),
              IF(AND(COUNTIF(AC15,"*V*"), COUNTIF(AC15,"*R*")),
                 SUBSTITUTE(AC15,"R","S"),
                 AC15))),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IF(AND(COUNTIF(AC15,"*P*"), COUNTIF(AC15,"*V*")),
                               IF(COUNTIF(AC15,"*R*"),
                                  SUBSTITUTE(SUBSTITUTE(AC15,"P",""),"R","S"),
                                  SUBSTITUTE(AC15,"P","")),
                               IF(AND(COUNTIF(AC15,"*P*"), COUNTIF(AC15,"*R*")),
                                  SUBSTITUTE(AC15,"R","S"),
                                  IF(AND(COUNTIF(AC15,"*V*"), COUNTIF(AC15,"*R*")),
                                     SUBSTITUTE(AC15,"R","S"),
                                     AC15))),
                          "0",""),"1",""),"2",""),"3",""),"4",""),
                      "5",""),"6",""),"7",""),"8",""),"9","")
     ),
     IF(SUM(--ISNUMBER(FIND({0,1,2,3,4,5,6,7,8,9}, _xlpm.txt)))=0,
        _xlpm.txt &amp; Data!CR57,
        _xlpm.txt
     )
   ),
   ""
)</f>
        <v/>
      </c>
      <c r="AD37" s="41" t="str" cm="1">
        <f t="array" ref="AD37">IF(AD15&lt;&gt;"",
   _xlfn.LET(
     _xlpm.txt,
     IF(OR(COUNTIF(AD15,"L*"), COUNTIF(AD15, "X*")),
        IF(AND(COUNTIF(AD15,"*P*"), COUNTIF(AD15,"*V*")),
           IF(COUNTIF(AD15,"*R*"),
              SUBSTITUTE(SUBSTITUTE(AD15,"P",""),"R","S"),
              SUBSTITUTE(AD15,"P","")),
           IF(AND(COUNTIF(AD15,"*P*"), COUNTIF(AD15,"*R*")),
              SUBSTITUTE(AD15,"R","S"),
              IF(AND(COUNTIF(AD15,"*V*"), COUNTIF(AD15,"*R*")),
                 SUBSTITUTE(AD15,"R","S"),
                 AD15))),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IF(AND(COUNTIF(AD15,"*P*"), COUNTIF(AD15,"*V*")),
                               IF(COUNTIF(AD15,"*R*"),
                                  SUBSTITUTE(SUBSTITUTE(AD15,"P",""),"R","S"),
                                  SUBSTITUTE(AD15,"P","")),
                               IF(AND(COUNTIF(AD15,"*P*"), COUNTIF(AD15,"*R*")),
                                  SUBSTITUTE(AD15,"R","S"),
                                  IF(AND(COUNTIF(AD15,"*V*"), COUNTIF(AD15,"*R*")),
                                     SUBSTITUTE(AD15,"R","S"),
                                     AD15))),
                          "0",""),"1",""),"2",""),"3",""),"4",""),
                      "5",""),"6",""),"7",""),"8",""),"9","")
     ),
     IF(SUM(--ISNUMBER(FIND({0,1,2,3,4,5,6,7,8,9}, _xlpm.txt)))=0,
        _xlpm.txt &amp; Data!CS57,
        _xlpm.txt
     )
   ),
   ""
)</f>
        <v/>
      </c>
      <c r="AE37" s="41" t="str" cm="1">
        <f t="array" ref="AE37">IF(AE15&lt;&gt;"",
   _xlfn.LET(
     _xlpm.txt,
     IF(OR(COUNTIF(AE15,"L*"), COUNTIF(AE15, "X*")),
        IF(AND(COUNTIF(AE15,"*P*"), COUNTIF(AE15,"*V*")),
           IF(COUNTIF(AE15,"*R*"),
              SUBSTITUTE(SUBSTITUTE(AE15,"P",""),"R","S"),
              SUBSTITUTE(AE15,"P","")),
           IF(AND(COUNTIF(AE15,"*P*"), COUNTIF(AE15,"*R*")),
              SUBSTITUTE(AE15,"R","S"),
              IF(AND(COUNTIF(AE15,"*V*"), COUNTIF(AE15,"*R*")),
                 SUBSTITUTE(AE15,"R","S"),
                 AE15))),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IF(AND(COUNTIF(AE15,"*P*"), COUNTIF(AE15,"*V*")),
                               IF(COUNTIF(AE15,"*R*"),
                                  SUBSTITUTE(SUBSTITUTE(AE15,"P",""),"R","S"),
                                  SUBSTITUTE(AE15,"P","")),
                               IF(AND(COUNTIF(AE15,"*P*"), COUNTIF(AE15,"*R*")),
                                  SUBSTITUTE(AE15,"R","S"),
                                  IF(AND(COUNTIF(AE15,"*V*"), COUNTIF(AE15,"*R*")),
                                     SUBSTITUTE(AE15,"R","S"),
                                     AE15))),
                          "0",""),"1",""),"2",""),"3",""),"4",""),
                      "5",""),"6",""),"7",""),"8",""),"9","")
     ),
     IF(SUM(--ISNUMBER(FIND({0,1,2,3,4,5,6,7,8,9}, _xlpm.txt)))=0,
        _xlpm.txt &amp; Data!CT57,
        _xlpm.txt
     )
   ),
   ""
)</f>
        <v/>
      </c>
      <c r="AF37" s="41" t="str" cm="1">
        <f t="array" ref="AF37">IF(AF15&lt;&gt;"",
   _xlfn.LET(
     _xlpm.txt,
     IF(OR(COUNTIF(AF15,"L*"), COUNTIF(AF15, "X*")),
        IF(AND(COUNTIF(AF15,"*P*"), COUNTIF(AF15,"*V*")),
           IF(COUNTIF(AF15,"*R*"),
              SUBSTITUTE(SUBSTITUTE(AF15,"P",""),"R","S"),
              SUBSTITUTE(AF15,"P","")),
           IF(AND(COUNTIF(AF15,"*P*"), COUNTIF(AF15,"*R*")),
              SUBSTITUTE(AF15,"R","S"),
              IF(AND(COUNTIF(AF15,"*V*"), COUNTIF(AF15,"*R*")),
                 SUBSTITUTE(AF15,"R","S"),
                 AF15))),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IF(AND(COUNTIF(AF15,"*P*"), COUNTIF(AF15,"*V*")),
                               IF(COUNTIF(AF15,"*R*"),
                                  SUBSTITUTE(SUBSTITUTE(AF15,"P",""),"R","S"),
                                  SUBSTITUTE(AF15,"P","")),
                               IF(AND(COUNTIF(AF15,"*P*"), COUNTIF(AF15,"*R*")),
                                  SUBSTITUTE(AF15,"R","S"),
                                  IF(AND(COUNTIF(AF15,"*V*"), COUNTIF(AF15,"*R*")),
                                     SUBSTITUTE(AF15,"R","S"),
                                     AF15))),
                          "0",""),"1",""),"2",""),"3",""),"4",""),
                      "5",""),"6",""),"7",""),"8",""),"9","")
     ),
     IF(SUM(--ISNUMBER(FIND({0,1,2,3,4,5,6,7,8,9}, _xlpm.txt)))=0,
        _xlpm.txt &amp; Data!CU57,
        _xlpm.txt
     )
   ),
   ""
)</f>
        <v/>
      </c>
      <c r="AG37" s="41" t="str" cm="1">
        <f t="array" ref="AG37">IF(AG15&lt;&gt;"",
   _xlfn.LET(
     _xlpm.txt,
     IF(OR(COUNTIF(AG15,"L*"), COUNTIF(AG15, "X*")),
        IF(AND(COUNTIF(AG15,"*P*"), COUNTIF(AG15,"*V*")),
           IF(COUNTIF(AG15,"*R*"),
              SUBSTITUTE(SUBSTITUTE(AG15,"P",""),"R","S"),
              SUBSTITUTE(AG15,"P","")),
           IF(AND(COUNTIF(AG15,"*P*"), COUNTIF(AG15,"*R*")),
              SUBSTITUTE(AG15,"R","S"),
              IF(AND(COUNTIF(AG15,"*V*"), COUNTIF(AG15,"*R*")),
                 SUBSTITUTE(AG15,"R","S"),
                 AG15))),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IF(AND(COUNTIF(AG15,"*P*"), COUNTIF(AG15,"*V*")),
                               IF(COUNTIF(AG15,"*R*"),
                                  SUBSTITUTE(SUBSTITUTE(AG15,"P",""),"R","S"),
                                  SUBSTITUTE(AG15,"P","")),
                               IF(AND(COUNTIF(AG15,"*P*"), COUNTIF(AG15,"*R*")),
                                  SUBSTITUTE(AG15,"R","S"),
                                  IF(AND(COUNTIF(AG15,"*V*"), COUNTIF(AG15,"*R*")),
                                     SUBSTITUTE(AG15,"R","S"),
                                     AG15))),
                          "0",""),"1",""),"2",""),"3",""),"4",""),
                      "5",""),"6",""),"7",""),"8",""),"9","")
     ),
     IF(SUM(--ISNUMBER(FIND({0,1,2,3,4,5,6,7,8,9}, _xlpm.txt)))=0,
        _xlpm.txt &amp; Data!CV57,
        _xlpm.txt
     )
   ),
   ""
)</f>
        <v/>
      </c>
      <c r="AH37" s="41" t="str" cm="1">
        <f t="array" ref="AH37">IF(AH15&lt;&gt;"",
   _xlfn.LET(
     _xlpm.txt,
     IF(OR(COUNTIF(AH15,"L*"), COUNTIF(AH15, "X*")),
        IF(AND(COUNTIF(AH15,"*P*"), COUNTIF(AH15,"*V*")),
           IF(COUNTIF(AH15,"*R*"),
              SUBSTITUTE(SUBSTITUTE(AH15,"P",""),"R","S"),
              SUBSTITUTE(AH15,"P","")),
           IF(AND(COUNTIF(AH15,"*P*"), COUNTIF(AH15,"*R*")),
              SUBSTITUTE(AH15,"R","S"),
              IF(AND(COUNTIF(AH15,"*V*"), COUNTIF(AH15,"*R*")),
                 SUBSTITUTE(AH15,"R","S"),
                 AH15))),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IF(AND(COUNTIF(AH15,"*P*"), COUNTIF(AH15,"*V*")),
                               IF(COUNTIF(AH15,"*R*"),
                                  SUBSTITUTE(SUBSTITUTE(AH15,"P",""),"R","S"),
                                  SUBSTITUTE(AH15,"P","")),
                               IF(AND(COUNTIF(AH15,"*P*"), COUNTIF(AH15,"*R*")),
                                  SUBSTITUTE(AH15,"R","S"),
                                  IF(AND(COUNTIF(AH15,"*V*"), COUNTIF(AH15,"*R*")),
                                     SUBSTITUTE(AH15,"R","S"),
                                     AH15))),
                          "0",""),"1",""),"2",""),"3",""),"4",""),
                      "5",""),"6",""),"7",""),"8",""),"9","")
     ),
     IF(SUM(--ISNUMBER(FIND({0,1,2,3,4,5,6,7,8,9}, _xlpm.txt)))=0,
        _xlpm.txt &amp; Data!CW57,
        _xlpm.txt
     )
   ),
   ""
)</f>
        <v/>
      </c>
      <c r="AI37" s="41" t="str" cm="1">
        <f t="array" ref="AI37">IF(AI15&lt;&gt;"",
   _xlfn.LET(
     _xlpm.txt,
     IF(OR(COUNTIF(AI15,"L*"), COUNTIF(AI15, "X*")),
        IF(AND(COUNTIF(AI15,"*P*"), COUNTIF(AI15,"*V*")),
           IF(COUNTIF(AI15,"*R*"),
              SUBSTITUTE(SUBSTITUTE(AI15,"P",""),"R","S"),
              SUBSTITUTE(AI15,"P","")),
           IF(AND(COUNTIF(AI15,"*P*"), COUNTIF(AI15,"*R*")),
              SUBSTITUTE(AI15,"R","S"),
              IF(AND(COUNTIF(AI15,"*V*"), COUNTIF(AI15,"*R*")),
                 SUBSTITUTE(AI15,"R","S"),
                 AI15))),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IF(AND(COUNTIF(AI15,"*P*"), COUNTIF(AI15,"*V*")),
                               IF(COUNTIF(AI15,"*R*"),
                                  SUBSTITUTE(SUBSTITUTE(AI15,"P",""),"R","S"),
                                  SUBSTITUTE(AI15,"P","")),
                               IF(AND(COUNTIF(AI15,"*P*"), COUNTIF(AI15,"*R*")),
                                  SUBSTITUTE(AI15,"R","S"),
                                  IF(AND(COUNTIF(AI15,"*V*"), COUNTIF(AI15,"*R*")),
                                     SUBSTITUTE(AI15,"R","S"),
                                     AI15))),
                          "0",""),"1",""),"2",""),"3",""),"4",""),
                      "5",""),"6",""),"7",""),"8",""),"9","")
     ),
     IF(SUM(--ISNUMBER(FIND({0,1,2,3,4,5,6,7,8,9}, _xlpm.txt)))=0,
        _xlpm.txt &amp; Data!CX57,
        _xlpm.txt
     )
   ),
   ""
)</f>
        <v/>
      </c>
      <c r="AJ37" s="41" t="str" cm="1">
        <f t="array" ref="AJ37">IF(AJ15&lt;&gt;"",
   _xlfn.LET(
     _xlpm.txt,
     IF(OR(COUNTIF(AJ15,"L*"), COUNTIF(AJ15, "X*")),
        IF(AND(COUNTIF(AJ15,"*P*"), COUNTIF(AJ15,"*V*")),
           IF(COUNTIF(AJ15,"*R*"),
              SUBSTITUTE(SUBSTITUTE(AJ15,"P",""),"R","S"),
              SUBSTITUTE(AJ15,"P","")),
           IF(AND(COUNTIF(AJ15,"*P*"), COUNTIF(AJ15,"*R*")),
              SUBSTITUTE(AJ15,"R","S"),
              IF(AND(COUNTIF(AJ15,"*V*"), COUNTIF(AJ15,"*R*")),
                 SUBSTITUTE(AJ15,"R","S"),
                 AJ15))),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IF(AND(COUNTIF(AJ15,"*P*"), COUNTIF(AJ15,"*V*")),
                               IF(COUNTIF(AJ15,"*R*"),
                                  SUBSTITUTE(SUBSTITUTE(AJ15,"P",""),"R","S"),
                                  SUBSTITUTE(AJ15,"P","")),
                               IF(AND(COUNTIF(AJ15,"*P*"), COUNTIF(AJ15,"*R*")),
                                  SUBSTITUTE(AJ15,"R","S"),
                                  IF(AND(COUNTIF(AJ15,"*V*"), COUNTIF(AJ15,"*R*")),
                                     SUBSTITUTE(AJ15,"R","S"),
                                     AJ15))),
                          "0",""),"1",""),"2",""),"3",""),"4",""),
                      "5",""),"6",""),"7",""),"8",""),"9","")
     ),
     IF(SUM(--ISNUMBER(FIND({0,1,2,3,4,5,6,7,8,9}, _xlpm.txt)))=0,
        _xlpm.txt &amp; Data!CY57,
        _xlpm.txt
     )
   ),
   ""
)</f>
        <v/>
      </c>
    </row>
    <row r="38" spans="1:54" ht="23.25" customHeight="1" x14ac:dyDescent="0.35">
      <c r="A38" s="34"/>
      <c r="B38" s="35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</row>
    <row r="39" spans="1:54" ht="10" customHeight="1" thickBot="1" x14ac:dyDescent="0.4">
      <c r="A39" s="1243" t="s">
        <v>133</v>
      </c>
      <c r="B39" s="1243"/>
      <c r="C39" s="1243"/>
      <c r="D39" s="1243"/>
      <c r="E39" s="1243"/>
      <c r="F39" s="1243"/>
      <c r="G39" s="1243"/>
      <c r="H39" s="1243"/>
      <c r="I39" s="1243"/>
      <c r="J39" s="1243"/>
      <c r="K39" s="1243"/>
      <c r="L39" s="1243"/>
      <c r="M39" s="1243"/>
      <c r="N39" s="1243"/>
      <c r="O39" s="1243"/>
      <c r="P39" s="1243"/>
      <c r="Q39" s="1243"/>
      <c r="R39" s="1243"/>
      <c r="S39" s="1243"/>
      <c r="T39" s="1243"/>
      <c r="U39" s="1243"/>
      <c r="V39" s="1243"/>
      <c r="W39" s="1243"/>
      <c r="X39" s="1243"/>
      <c r="Y39" s="1243"/>
      <c r="Z39" s="1243"/>
      <c r="AA39" s="1243"/>
      <c r="AB39" s="1243"/>
      <c r="AC39" s="1243"/>
      <c r="AD39" s="1243"/>
      <c r="AE39" s="1243"/>
      <c r="AF39" s="1243"/>
      <c r="AG39" s="1243"/>
      <c r="AH39" s="1243"/>
      <c r="AI39" s="1243"/>
    </row>
    <row r="40" spans="1:54" ht="24" customHeight="1" thickBot="1" x14ac:dyDescent="0.4">
      <c r="A40" s="34"/>
      <c r="B40" s="35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</row>
    <row r="41" spans="1:54" ht="15" customHeight="1" x14ac:dyDescent="0.35">
      <c r="A41" s="1202"/>
      <c r="B41" s="1203"/>
      <c r="C41" s="1207" t="s">
        <v>17</v>
      </c>
      <c r="D41" s="1207"/>
      <c r="E41" s="1207"/>
      <c r="F41" s="1207"/>
      <c r="G41" s="1207"/>
      <c r="H41" s="1207"/>
      <c r="I41" s="1207"/>
      <c r="J41" s="1207"/>
      <c r="K41" s="1207"/>
      <c r="L41" s="1207"/>
      <c r="M41" s="1207"/>
      <c r="N41" s="1207"/>
      <c r="O41" s="1207"/>
      <c r="P41" s="1207"/>
      <c r="Q41" s="1207"/>
      <c r="R41" s="1207"/>
      <c r="S41" s="1207"/>
      <c r="T41" s="1207"/>
      <c r="U41" s="1207"/>
      <c r="V41" s="1208"/>
      <c r="W41" s="6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8"/>
    </row>
    <row r="42" spans="1:54" ht="15.75" customHeight="1" thickBot="1" x14ac:dyDescent="0.4">
      <c r="A42" s="1204"/>
      <c r="B42" s="1205"/>
      <c r="C42" s="16">
        <v>1</v>
      </c>
      <c r="D42" s="17">
        <v>2</v>
      </c>
      <c r="E42" s="17">
        <v>3</v>
      </c>
      <c r="F42" s="17">
        <v>4</v>
      </c>
      <c r="G42" s="17">
        <v>5</v>
      </c>
      <c r="H42" s="17">
        <v>6</v>
      </c>
      <c r="I42" s="17">
        <v>7</v>
      </c>
      <c r="J42" s="17">
        <v>8</v>
      </c>
      <c r="K42" s="17">
        <v>9</v>
      </c>
      <c r="L42" s="17">
        <v>10</v>
      </c>
      <c r="M42" s="17">
        <v>11</v>
      </c>
      <c r="N42" s="17">
        <v>12</v>
      </c>
      <c r="O42" s="17">
        <v>13</v>
      </c>
      <c r="P42" s="17">
        <v>14</v>
      </c>
      <c r="Q42" s="17">
        <v>15</v>
      </c>
      <c r="R42" s="17">
        <v>16</v>
      </c>
      <c r="S42" s="17">
        <v>17</v>
      </c>
      <c r="T42" s="17">
        <v>18</v>
      </c>
      <c r="U42" s="17">
        <v>19</v>
      </c>
      <c r="V42" s="18">
        <v>20</v>
      </c>
      <c r="W42" s="17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20"/>
    </row>
    <row r="43" spans="1:54" ht="23.25" customHeight="1" x14ac:dyDescent="0.35">
      <c r="A43" s="1196" t="s">
        <v>18</v>
      </c>
      <c r="B43" s="21">
        <v>1</v>
      </c>
      <c r="C43" s="41" t="str" cm="1">
        <f t="array" ref="C43">IF(
  AND($Y$57=1, C61&lt;&gt;""),
  "O" &amp; Data!BR46,
  IF(C4&lt;&gt;"",
     _xlfn.LET(
       _xlpm.cleaned,
       IF(
         OR(COUNTIF(C4,"L*"), COUNTIF(C4,"X*")),
         SUBSTITUTE(SUBSTITUTE(SUBSTITUTE(SUBSTITUTE(C4,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COUNTIF(C4, "*"&amp;$BN$3&amp;"*"),
           COUNTIF(C4, "*"&amp;$BN$4&amp;"*"),
           COUNTIF(C4, "*"&amp;$BN$5&amp;"*"),
           COUNTIF(C4, "*"&amp;$BN$6&amp;"*"),
           COUNTIF(C4, "*"&amp;$BN$7&amp;"*")
         ),
         FALSE,
         TRUE
       ),
       _xlpm.noDigits,
       SUM(--ISNUMBER(FIND({0,1,2,3,4,5,6,7,8,9}, _xlpm.cleaned))) = 0,
       _xlpm.cleaned &amp; IF(_xlpm.needsBR * _xlpm.noDigits, Data!BR46, "")
     ),
  "")
)</f>
        <v>R1</v>
      </c>
      <c r="D43" s="41" t="str" cm="1">
        <f t="array" ref="D43">IF(
  AND($Y$57=1, D61&lt;&gt;""),
  "O" &amp; Data!BS46,
  IF(D4&lt;&gt;"",
     _xlfn.LET(
       _xlpm.cleaned,
       IF(
         OR(COUNTIF(D4,"L*"), COUNTIF(D4,"X*")),
         SUBSTITUTE(SUBSTITUTE(SUBSTITUTE(SUBSTITUTE(D4,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COUNTIF(D4, "*"&amp;$BN$3&amp;"*"),
           COUNTIF(D4, "*"&amp;$BN$4&amp;"*"),
           COUNTIF(D4, "*"&amp;$BN$5&amp;"*"),
           COUNTIF(D4, "*"&amp;$BN$6&amp;"*"),
           COUNTIF(D4, "*"&amp;$BN$7&amp;"*")
         ),
         FALSE,
         TRUE
       ),
       _xlpm.noDigits,
       SUM(--ISNUMBER(FIND({0,1,2,3,4,5,6,7,8,9}, _xlpm.cleaned))) = 0,
       _xlpm.cleaned &amp; IF(_xlpm.needsBR * _xlpm.noDigits, Data!BS46, "")
     ),
  "")
)</f>
        <v>R1</v>
      </c>
      <c r="E43" s="41" t="str" cm="1">
        <f t="array" ref="E43">IF(
  AND($Y$57=1, E61&lt;&gt;""),
  "O" &amp; Data!BT46,
  IF(E4&lt;&gt;"",
     _xlfn.LET(
       _xlpm.cleaned,
       IF(
         OR(COUNTIF(E4,"L*"), COUNTIF(E4,"X*")),
         SUBSTITUTE(SUBSTITUTE(SUBSTITUTE(SUBSTITUTE(E4,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COUNTIF(E4, "*"&amp;$BN$3&amp;"*"),
           COUNTIF(E4, "*"&amp;$BN$4&amp;"*"),
           COUNTIF(E4, "*"&amp;$BN$5&amp;"*"),
           COUNTIF(E4, "*"&amp;$BN$6&amp;"*"),
           COUNTIF(E4, "*"&amp;$BN$7&amp;"*")
         ),
         FALSE,
         TRUE
       ),
       _xlpm.noDigits,
       SUM(--ISNUMBER(FIND({0,1,2,3,4,5,6,7,8,9}, _xlpm.cleaned))) = 0,
       _xlpm.cleaned &amp; IF(_xlpm.needsBR * _xlpm.noDigits, Data!BT46, "")
     ),
  "")
)</f>
        <v>X5</v>
      </c>
      <c r="F43" s="41" t="str" cm="1">
        <f t="array" ref="F43">IF(
  AND($Y$57=1, F61&lt;&gt;""),
  "O" &amp; Data!BU46,
  IF(F4&lt;&gt;"",
     _xlfn.LET(
       _xlpm.cleaned,
       IF(
         OR(COUNTIF(F4,"L*"), COUNTIF(F4,"X*")),
         SUBSTITUTE(SUBSTITUTE(SUBSTITUTE(SUBSTITUTE(F4,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COUNTIF(F4, "*"&amp;$BN$3&amp;"*"),
           COUNTIF(F4, "*"&amp;$BN$4&amp;"*"),
           COUNTIF(F4, "*"&amp;$BN$5&amp;"*"),
           COUNTIF(F4, "*"&amp;$BN$6&amp;"*"),
           COUNTIF(F4, "*"&amp;$BN$7&amp;"*")
         ),
         FALSE,
         TRUE
       ),
       _xlpm.noDigits,
       SUM(--ISNUMBER(FIND({0,1,2,3,4,5,6,7,8,9}, _xlpm.cleaned))) = 0,
       _xlpm.cleaned &amp; IF(_xlpm.needsBR * _xlpm.noDigits, Data!BU46, "")
     ),
  "")
)</f>
        <v>X5</v>
      </c>
      <c r="G43" s="41" t="str" cm="1">
        <f t="array" ref="G43">IF(
  AND($Y$57=1, G61&lt;&gt;""),
  "O" &amp; Data!BV46,
  IF(G4&lt;&gt;"",
     _xlfn.LET(
       _xlpm.cleaned,
       IF(
         OR(COUNTIF(G4,"L*"), COUNTIF(G4,"X*")),
         SUBSTITUTE(SUBSTITUTE(SUBSTITUTE(SUBSTITUTE(G4,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COUNTIF(G4, "*"&amp;$BN$3&amp;"*"),
           COUNTIF(G4, "*"&amp;$BN$4&amp;"*"),
           COUNTIF(G4, "*"&amp;$BN$5&amp;"*"),
           COUNTIF(G4, "*"&amp;$BN$6&amp;"*"),
           COUNTIF(G4, "*"&amp;$BN$7&amp;"*")
         ),
         FALSE,
         TRUE
       ),
       _xlpm.noDigits,
       SUM(--ISNUMBER(FIND({0,1,2,3,4,5,6,7,8,9}, _xlpm.cleaned))) = 0,
       _xlpm.cleaned &amp; IF(_xlpm.needsBR * _xlpm.noDigits, Data!BV46, "")
     ),
  "")
)</f>
        <v>X5</v>
      </c>
      <c r="H43" s="41" t="str" cm="1">
        <f t="array" ref="H43">IF(
  AND($Y$57=1, H61&lt;&gt;""),
  "O" &amp; Data!BW46,
  IF(H4&lt;&gt;"",
     _xlfn.LET(
       _xlpm.cleaned,
       IF(
         OR(COUNTIF(H4,"L*"), COUNTIF(H4,"X*")),
         SUBSTITUTE(SUBSTITUTE(SUBSTITUTE(SUBSTITUTE(H4,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COUNTIF(H4, "*"&amp;$BN$3&amp;"*"),
           COUNTIF(H4, "*"&amp;$BN$4&amp;"*"),
           COUNTIF(H4, "*"&amp;$BN$5&amp;"*"),
           COUNTIF(H4, "*"&amp;$BN$6&amp;"*"),
           COUNTIF(H4, "*"&amp;$BN$7&amp;"*")
         ),
         FALSE,
         TRUE
       ),
       _xlpm.noDigits,
       SUM(--ISNUMBER(FIND({0,1,2,3,4,5,6,7,8,9}, _xlpm.cleaned))) = 0,
       _xlpm.cleaned &amp; IF(_xlpm.needsBR * _xlpm.noDigits, Data!BW46, "")
     ),
  "")
)</f>
        <v>X5</v>
      </c>
      <c r="I43" s="41" t="str" cm="1">
        <f t="array" ref="I43">IF(
  AND($Y$57=1, I61&lt;&gt;""),
  "O" &amp; Data!BX46,
  IF(I4&lt;&gt;"",
     _xlfn.LET(
       _xlpm.cleaned,
       IF(
         OR(COUNTIF(I4,"L*"), COUNTIF(I4,"X*")),
         SUBSTITUTE(SUBSTITUTE(SUBSTITUTE(SUBSTITUTE(I4,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COUNTIF(I4, "*"&amp;$BN$3&amp;"*"),
           COUNTIF(I4, "*"&amp;$BN$4&amp;"*"),
           COUNTIF(I4, "*"&amp;$BN$5&amp;"*"),
           COUNTIF(I4, "*"&amp;$BN$6&amp;"*"),
           COUNTIF(I4, "*"&amp;$BN$7&amp;"*")
         ),
         FALSE,
         TRUE
       ),
       _xlpm.noDigits,
       SUM(--ISNUMBER(FIND({0,1,2,3,4,5,6,7,8,9}, _xlpm.cleaned))) = 0,
       _xlpm.cleaned &amp; IF(_xlpm.needsBR * _xlpm.noDigits, Data!BX46, "")
     ),
  "")
)</f>
        <v>R1</v>
      </c>
      <c r="J43" s="41" t="str" cm="1">
        <f t="array" ref="J43">IF(
  AND($Y$57=1, J61&lt;&gt;""),
  "O" &amp; Data!BY46,
  IF(J4&lt;&gt;"",
     _xlfn.LET(
       _xlpm.cleaned,
       IF(
         OR(COUNTIF(J4,"L*"), COUNTIF(J4,"X*")),
         SUBSTITUTE(SUBSTITUTE(SUBSTITUTE(SUBSTITUTE(J4,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COUNTIF(J4, "*"&amp;$BN$3&amp;"*"),
           COUNTIF(J4, "*"&amp;$BN$4&amp;"*"),
           COUNTIF(J4, "*"&amp;$BN$5&amp;"*"),
           COUNTIF(J4, "*"&amp;$BN$6&amp;"*"),
           COUNTIF(J4, "*"&amp;$BN$7&amp;"*")
         ),
         FALSE,
         TRUE
       ),
       _xlpm.noDigits,
       SUM(--ISNUMBER(FIND({0,1,2,3,4,5,6,7,8,9}, _xlpm.cleaned))) = 0,
       _xlpm.cleaned &amp; IF(_xlpm.needsBR * _xlpm.noDigits, Data!BY46, "")
     ),
  "")
)</f>
        <v>X3</v>
      </c>
      <c r="K43" s="41" t="str" cm="1">
        <f t="array" ref="K43">IF(
  AND($Y$57=1, K61&lt;&gt;""),
  "O" &amp; Data!BZ46,
  IF(K4&lt;&gt;"",
     _xlfn.LET(
       _xlpm.cleaned,
       IF(
         OR(COUNTIF(K4,"L*"), COUNTIF(K4,"X*")),
         SUBSTITUTE(SUBSTITUTE(SUBSTITUTE(SUBSTITUTE(K4,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COUNTIF(K4, "*"&amp;$BN$3&amp;"*"),
           COUNTIF(K4, "*"&amp;$BN$4&amp;"*"),
           COUNTIF(K4, "*"&amp;$BN$5&amp;"*"),
           COUNTIF(K4, "*"&amp;$BN$6&amp;"*"),
           COUNTIF(K4, "*"&amp;$BN$7&amp;"*")
         ),
         FALSE,
         TRUE
       ),
       _xlpm.noDigits,
       SUM(--ISNUMBER(FIND({0,1,2,3,4,5,6,7,8,9}, _xlpm.cleaned))) = 0,
       _xlpm.cleaned &amp; IF(_xlpm.needsBR * _xlpm.noDigits, Data!BZ46, "")
     ),
  "")
)</f>
        <v/>
      </c>
      <c r="L43" s="41" t="str" cm="1">
        <f t="array" ref="L43">IF(
  AND($Y$57=1, L61&lt;&gt;""),
  "O" &amp; Data!CA46,
  IF(L4&lt;&gt;"",
     _xlfn.LET(
       _xlpm.cleaned,
       IF(
         OR(COUNTIF(L4,"L*"), COUNTIF(L4,"X*")),
         SUBSTITUTE(SUBSTITUTE(SUBSTITUTE(SUBSTITUTE(L4,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COUNTIF(L4, "*"&amp;$BN$3&amp;"*"),
           COUNTIF(L4, "*"&amp;$BN$4&amp;"*"),
           COUNTIF(L4, "*"&amp;$BN$5&amp;"*"),
           COUNTIF(L4, "*"&amp;$BN$6&amp;"*"),
           COUNTIF(L4, "*"&amp;$BN$7&amp;"*")
         ),
         FALSE,
         TRUE
       ),
       _xlpm.noDigits,
       SUM(--ISNUMBER(FIND({0,1,2,3,4,5,6,7,8,9}, _xlpm.cleaned))) = 0,
       _xlpm.cleaned &amp; IF(_xlpm.needsBR * _xlpm.noDigits, Data!CA46, "")
     ),
  "")
)</f>
        <v>S2</v>
      </c>
      <c r="M43" s="41" t="str" cm="1">
        <f t="array" ref="M43">IF(
  AND($Y$57=1, M61&lt;&gt;""),
  "O" &amp; Data!CB46,
  IF(M4&lt;&gt;"",
     _xlfn.LET(
       _xlpm.cleaned,
       IF(
         OR(COUNTIF(M4,"L*"), COUNTIF(M4,"X*")),
         SUBSTITUTE(SUBSTITUTE(SUBSTITUTE(SUBSTITUTE(M4,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COUNTIF(M4, "*"&amp;$BN$3&amp;"*"),
           COUNTIF(M4, "*"&amp;$BN$4&amp;"*"),
           COUNTIF(M4, "*"&amp;$BN$5&amp;"*"),
           COUNTIF(M4, "*"&amp;$BN$6&amp;"*"),
           COUNTIF(M4, "*"&amp;$BN$7&amp;"*")
         ),
         FALSE,
         TRUE
       ),
       _xlpm.noDigits,
       SUM(--ISNUMBER(FIND({0,1,2,3,4,5,6,7,8,9}, _xlpm.cleaned))) = 0,
       _xlpm.cleaned &amp; IF(_xlpm.needsBR * _xlpm.noDigits, Data!CB46, "")
     ),
  "")
)</f>
        <v>X4</v>
      </c>
      <c r="N43" s="41" t="str" cm="1">
        <f t="array" ref="N43">IF(
  AND($Y$57=1, N61&lt;&gt;""),
  "O" &amp; Data!CC46,
  IF(N4&lt;&gt;"",
     _xlfn.LET(
       _xlpm.cleaned,
       IF(
         OR(COUNTIF(N4,"L*"), COUNTIF(N4,"X*")),
         SUBSTITUTE(SUBSTITUTE(SUBSTITUTE(SUBSTITUTE(N4,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COUNTIF(N4, "*"&amp;$BN$3&amp;"*"),
           COUNTIF(N4, "*"&amp;$BN$4&amp;"*"),
           COUNTIF(N4, "*"&amp;$BN$5&amp;"*"),
           COUNTIF(N4, "*"&amp;$BN$6&amp;"*"),
           COUNTIF(N4, "*"&amp;$BN$7&amp;"*")
         ),
         FALSE,
         TRUE
       ),
       _xlpm.noDigits,
       SUM(--ISNUMBER(FIND({0,1,2,3,4,5,6,7,8,9}, _xlpm.cleaned))) = 0,
       _xlpm.cleaned &amp; IF(_xlpm.needsBR * _xlpm.noDigits, Data!CC46, "")
     ),
  "")
)</f>
        <v>X4</v>
      </c>
      <c r="O43" s="41" t="str" cm="1">
        <f t="array" ref="O43">IF(
  AND($Y$57=1, O61&lt;&gt;""),
  "O" &amp; Data!CD46,
  IF(O4&lt;&gt;"",
     _xlfn.LET(
       _xlpm.cleaned,
       IF(
         OR(COUNTIF(O4,"L*"), COUNTIF(O4,"X*")),
         SUBSTITUTE(SUBSTITUTE(SUBSTITUTE(SUBSTITUTE(O4,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COUNTIF(O4, "*"&amp;$BN$3&amp;"*"),
           COUNTIF(O4, "*"&amp;$BN$4&amp;"*"),
           COUNTIF(O4, "*"&amp;$BN$5&amp;"*"),
           COUNTIF(O4, "*"&amp;$BN$6&amp;"*"),
           COUNTIF(O4, "*"&amp;$BN$7&amp;"*")
         ),
         FALSE,
         TRUE
       ),
       _xlpm.noDigits,
       SUM(--ISNUMBER(FIND({0,1,2,3,4,5,6,7,8,9}, _xlpm.cleaned))) = 0,
       _xlpm.cleaned &amp; IF(_xlpm.needsBR * _xlpm.noDigits, Data!CD46, "")
     ),
  "")
)</f>
        <v>R2</v>
      </c>
      <c r="P43" s="41" t="str" cm="1">
        <f t="array" ref="P43">IF(
  AND($Y$57=1, P61&lt;&gt;""),
  "O" &amp; Data!CE46,
  IF(P4&lt;&gt;"",
     _xlfn.LET(
       _xlpm.cleaned,
       IF(
         OR(COUNTIF(P4,"L*"), COUNTIF(P4,"X*")),
         SUBSTITUTE(SUBSTITUTE(SUBSTITUTE(SUBSTITUTE(P4,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COUNTIF(P4, "*"&amp;$BN$3&amp;"*"),
           COUNTIF(P4, "*"&amp;$BN$4&amp;"*"),
           COUNTIF(P4, "*"&amp;$BN$5&amp;"*"),
           COUNTIF(P4, "*"&amp;$BN$6&amp;"*"),
           COUNTIF(P4, "*"&amp;$BN$7&amp;"*")
         ),
         FALSE,
         TRUE
       ),
       _xlpm.noDigits,
       SUM(--ISNUMBER(FIND({0,1,2,3,4,5,6,7,8,9}, _xlpm.cleaned))) = 0,
       _xlpm.cleaned &amp; IF(_xlpm.needsBR * _xlpm.noDigits, Data!CE46, "")
     ),
  "")
)</f>
        <v/>
      </c>
      <c r="Q43" s="41" t="str" cm="1">
        <f t="array" ref="Q43">IF(
  AND($Y$57=1, Q61&lt;&gt;""),
  "O" &amp; Data!CF46,
  IF(Q4&lt;&gt;"",
     _xlfn.LET(
       _xlpm.cleaned,
       IF(
         OR(COUNTIF(Q4,"L*"), COUNTIF(Q4,"X*")),
         SUBSTITUTE(SUBSTITUTE(SUBSTITUTE(SUBSTITUTE(Q4,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COUNTIF(Q4, "*"&amp;$BN$3&amp;"*"),
           COUNTIF(Q4, "*"&amp;$BN$4&amp;"*"),
           COUNTIF(Q4, "*"&amp;$BN$5&amp;"*"),
           COUNTIF(Q4, "*"&amp;$BN$6&amp;"*"),
           COUNTIF(Q4, "*"&amp;$BN$7&amp;"*")
         ),
         FALSE,
         TRUE
       ),
       _xlpm.noDigits,
       SUM(--ISNUMBER(FIND({0,1,2,3,4,5,6,7,8,9}, _xlpm.cleaned))) = 0,
       _xlpm.cleaned &amp; IF(_xlpm.needsBR * _xlpm.noDigits, Data!CF46, "")
     ),
  "")
)</f>
        <v/>
      </c>
      <c r="R43" s="41" t="str" cm="1">
        <f t="array" ref="R43">IF(
  AND($Y$57=1, R61&lt;&gt;""),
  "O" &amp; Data!CG46,
  IF(R4&lt;&gt;"",
     _xlfn.LET(
       _xlpm.cleaned,
       IF(
         OR(COUNTIF(R4,"L*"), COUNTIF(R4,"X*")),
         SUBSTITUTE(SUBSTITUTE(SUBSTITUTE(SUBSTITUTE(R4,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COUNTIF(R4, "*"&amp;$BN$3&amp;"*"),
           COUNTIF(R4, "*"&amp;$BN$4&amp;"*"),
           COUNTIF(R4, "*"&amp;$BN$5&amp;"*"),
           COUNTIF(R4, "*"&amp;$BN$6&amp;"*"),
           COUNTIF(R4, "*"&amp;$BN$7&amp;"*")
         ),
         FALSE,
         TRUE
       ),
       _xlpm.noDigits,
       SUM(--ISNUMBER(FIND({0,1,2,3,4,5,6,7,8,9}, _xlpm.cleaned))) = 0,
       _xlpm.cleaned &amp; IF(_xlpm.needsBR * _xlpm.noDigits, Data!CG46, "")
     ),
  "")
)</f>
        <v/>
      </c>
      <c r="S43" s="41" t="str" cm="1">
        <f t="array" ref="S43">IF(
  AND($Y$57=1, S61&lt;&gt;""),
  "O" &amp; Data!CH46,
  IF(S4&lt;&gt;"",
     _xlfn.LET(
       _xlpm.cleaned,
       IF(
         OR(COUNTIF(S4,"L*"), COUNTIF(S4,"X*")),
         SUBSTITUTE(SUBSTITUTE(SUBSTITUTE(SUBSTITUTE(S4,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COUNTIF(S4, "*"&amp;$BN$3&amp;"*"),
           COUNTIF(S4, "*"&amp;$BN$4&amp;"*"),
           COUNTIF(S4, "*"&amp;$BN$5&amp;"*"),
           COUNTIF(S4, "*"&amp;$BN$6&amp;"*"),
           COUNTIF(S4, "*"&amp;$BN$7&amp;"*")
         ),
         FALSE,
         TRUE
       ),
       _xlpm.noDigits,
       SUM(--ISNUMBER(FIND({0,1,2,3,4,5,6,7,8,9}, _xlpm.cleaned))) = 0,
       _xlpm.cleaned &amp; IF(_xlpm.needsBR * _xlpm.noDigits, Data!CH46, "")
     ),
  "")
)</f>
        <v/>
      </c>
      <c r="T43" s="41" t="str" cm="1">
        <f t="array" ref="T43">IF(
  AND($Y$57=1, T61&lt;&gt;""),
  "O" &amp; Data!CI46,
  IF(T4&lt;&gt;"",
     _xlfn.LET(
       _xlpm.cleaned,
       IF(
         OR(COUNTIF(T4,"L*"), COUNTIF(T4,"X*")),
         SUBSTITUTE(SUBSTITUTE(SUBSTITUTE(SUBSTITUTE(T4,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COUNTIF(T4, "*"&amp;$BN$3&amp;"*"),
           COUNTIF(T4, "*"&amp;$BN$4&amp;"*"),
           COUNTIF(T4, "*"&amp;$BN$5&amp;"*"),
           COUNTIF(T4, "*"&amp;$BN$6&amp;"*"),
           COUNTIF(T4, "*"&amp;$BN$7&amp;"*")
         ),
         FALSE,
         TRUE
       ),
       _xlpm.noDigits,
       SUM(--ISNUMBER(FIND({0,1,2,3,4,5,6,7,8,9}, _xlpm.cleaned))) = 0,
       _xlpm.cleaned &amp; IF(_xlpm.needsBR * _xlpm.noDigits, Data!CI46, "")
     ),
  "")
)</f>
        <v/>
      </c>
      <c r="U43" s="41" t="str" cm="1">
        <f t="array" ref="U43">IF(
  AND($Y$57=1, U61&lt;&gt;""),
  "O" &amp; Data!CJ46,
  IF(U4&lt;&gt;"",
     _xlfn.LET(
       _xlpm.cleaned,
       IF(
         OR(COUNTIF(U4,"L*"), COUNTIF(U4,"X*")),
         SUBSTITUTE(SUBSTITUTE(SUBSTITUTE(SUBSTITUTE(U4,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COUNTIF(U4, "*"&amp;$BN$3&amp;"*"),
           COUNTIF(U4, "*"&amp;$BN$4&amp;"*"),
           COUNTIF(U4, "*"&amp;$BN$5&amp;"*"),
           COUNTIF(U4, "*"&amp;$BN$6&amp;"*"),
           COUNTIF(U4, "*"&amp;$BN$7&amp;"*")
         ),
         FALSE,
         TRUE
       ),
       _xlpm.noDigits,
       SUM(--ISNUMBER(FIND({0,1,2,3,4,5,6,7,8,9}, _xlpm.cleaned))) = 0,
       _xlpm.cleaned &amp; IF(_xlpm.needsBR * _xlpm.noDigits, Data!CJ46, "")
     ),
  "")
)</f>
        <v/>
      </c>
      <c r="V43" s="41" t="str" cm="1">
        <f t="array" ref="V43">IF(
  AND($Y$57=1, V61&lt;&gt;""),
  "O" &amp; Data!CK46,
  IF(V4&lt;&gt;"",
     _xlfn.LET(
       _xlpm.cleaned,
       IF(
         OR(COUNTIF(V4,"L*"), COUNTIF(V4,"X*")),
         SUBSTITUTE(SUBSTITUTE(SUBSTITUTE(SUBSTITUTE(V4,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COUNTIF(V4, "*"&amp;$BN$3&amp;"*"),
           COUNTIF(V4, "*"&amp;$BN$4&amp;"*"),
           COUNTIF(V4, "*"&amp;$BN$5&amp;"*"),
           COUNTIF(V4, "*"&amp;$BN$6&amp;"*"),
           COUNTIF(V4, "*"&amp;$BN$7&amp;"*")
         ),
         FALSE,
         TRUE
       ),
       _xlpm.noDigits,
       SUM(--ISNUMBER(FIND({0,1,2,3,4,5,6,7,8,9}, _xlpm.cleaned))) = 0,
       _xlpm.cleaned &amp; IF(_xlpm.needsBR * _xlpm.noDigits, Data!CK46, "")
     ),
  "")
)</f>
        <v/>
      </c>
      <c r="W43" s="41" t="str" cm="1">
        <f t="array" ref="W43">IF(
  AND($Y$57=1, W61&lt;&gt;""),
  "O" &amp; Data!CL46,
  IF(W4&lt;&gt;"",
     _xlfn.LET(
       _xlpm.cleaned,
       IF(
         OR(COUNTIF(W4,"L*"), COUNTIF(W4,"X*")),
         SUBSTITUTE(SUBSTITUTE(SUBSTITUTE(SUBSTITUTE(W4,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COUNTIF(W4, "*"&amp;$BN$3&amp;"*"),
           COUNTIF(W4, "*"&amp;$BN$4&amp;"*"),
           COUNTIF(W4, "*"&amp;$BN$5&amp;"*"),
           COUNTIF(W4, "*"&amp;$BN$6&amp;"*"),
           COUNTIF(W4, "*"&amp;$BN$7&amp;"*")
         ),
         FALSE,
         TRUE
       ),
       _xlpm.noDigits,
       SUM(--ISNUMBER(FIND({0,1,2,3,4,5,6,7,8,9}, _xlpm.cleaned))) = 0,
       _xlpm.cleaned &amp; IF(_xlpm.needsBR * _xlpm.noDigits, Data!CL46, "")
     ),
  "")
)</f>
        <v/>
      </c>
      <c r="X43" s="41" t="str" cm="1">
        <f t="array" ref="X43">IF(
  AND($Y$57=1, X61&lt;&gt;""),
  "O" &amp; Data!CM46,
  IF(X4&lt;&gt;"",
     _xlfn.LET(
       _xlpm.cleaned,
       IF(
         OR(COUNTIF(X4,"L*"), COUNTIF(X4,"X*")),
         SUBSTITUTE(SUBSTITUTE(SUBSTITUTE(SUBSTITUTE(X4,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COUNTIF(X4, "*"&amp;$BN$3&amp;"*"),
           COUNTIF(X4, "*"&amp;$BN$4&amp;"*"),
           COUNTIF(X4, "*"&amp;$BN$5&amp;"*"),
           COUNTIF(X4, "*"&amp;$BN$6&amp;"*"),
           COUNTIF(X4, "*"&amp;$BN$7&amp;"*")
         ),
         FALSE,
         TRUE
       ),
       _xlpm.noDigits,
       SUM(--ISNUMBER(FIND({0,1,2,3,4,5,6,7,8,9}, _xlpm.cleaned))) = 0,
       _xlpm.cleaned &amp; IF(_xlpm.needsBR * _xlpm.noDigits, Data!CM46, "")
     ),
  "")
)</f>
        <v/>
      </c>
      <c r="Y43" s="41" t="str" cm="1">
        <f t="array" ref="Y43">IF(
  AND($Y$57=1, Y61&lt;&gt;""),
  "O" &amp; Data!CN46,
  IF(Y4&lt;&gt;"",
     _xlfn.LET(
       _xlpm.cleaned,
       IF(
         OR(COUNTIF(Y4,"L*"), COUNTIF(Y4,"X*")),
         SUBSTITUTE(SUBSTITUTE(SUBSTITUTE(SUBSTITUTE(Y4,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COUNTIF(Y4, "*"&amp;$BN$3&amp;"*"),
           COUNTIF(Y4, "*"&amp;$BN$4&amp;"*"),
           COUNTIF(Y4, "*"&amp;$BN$5&amp;"*"),
           COUNTIF(Y4, "*"&amp;$BN$6&amp;"*"),
           COUNTIF(Y4, "*"&amp;$BN$7&amp;"*")
         ),
         FALSE,
         TRUE
       ),
       _xlpm.noDigits,
       SUM(--ISNUMBER(FIND({0,1,2,3,4,5,6,7,8,9}, _xlpm.cleaned))) = 0,
       _xlpm.cleaned &amp; IF(_xlpm.needsBR * _xlpm.noDigits, Data!CN46, "")
     ),
  "")
)</f>
        <v/>
      </c>
      <c r="Z43" s="41" t="str" cm="1">
        <f t="array" ref="Z43">IF(
  AND($Y$57=1, Z61&lt;&gt;""),
  "O" &amp; Data!CO46,
  IF(Z4&lt;&gt;"",
     _xlfn.LET(
       _xlpm.cleaned,
       IF(
         OR(COUNTIF(Z4,"L*"), COUNTIF(Z4,"X*")),
         SUBSTITUTE(SUBSTITUTE(SUBSTITUTE(SUBSTITUTE(Z4,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COUNTIF(Z4, "*"&amp;$BN$3&amp;"*"),
           COUNTIF(Z4, "*"&amp;$BN$4&amp;"*"),
           COUNTIF(Z4, "*"&amp;$BN$5&amp;"*"),
           COUNTIF(Z4, "*"&amp;$BN$6&amp;"*"),
           COUNTIF(Z4, "*"&amp;$BN$7&amp;"*")
         ),
         FALSE,
         TRUE
       ),
       _xlpm.noDigits,
       SUM(--ISNUMBER(FIND({0,1,2,3,4,5,6,7,8,9}, _xlpm.cleaned))) = 0,
       _xlpm.cleaned &amp; IF(_xlpm.needsBR * _xlpm.noDigits, Data!CO46, "")
     ),
  "")
)</f>
        <v/>
      </c>
      <c r="AA43" s="41" t="str" cm="1">
        <f t="array" ref="AA43">IF(
  AND($Y$57=1, AA61&lt;&gt;""),
  "O" &amp; Data!CP46,
  IF(AA4&lt;&gt;"",
     _xlfn.LET(
       _xlpm.cleaned,
       IF(
         OR(COUNTIF(AA4,"L*"), COUNTIF(AA4,"X*")),
         SUBSTITUTE(SUBSTITUTE(SUBSTITUTE(SUBSTITUTE(AA4,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COUNTIF(AA4, "*"&amp;$BN$3&amp;"*"),
           COUNTIF(AA4, "*"&amp;$BN$4&amp;"*"),
           COUNTIF(AA4, "*"&amp;$BN$5&amp;"*"),
           COUNTIF(AA4, "*"&amp;$BN$6&amp;"*"),
           COUNTIF(AA4, "*"&amp;$BN$7&amp;"*")
         ),
         FALSE,
         TRUE
       ),
       _xlpm.noDigits,
       SUM(--ISNUMBER(FIND({0,1,2,3,4,5,6,7,8,9}, _xlpm.cleaned))) = 0,
       _xlpm.cleaned &amp; IF(_xlpm.needsBR * _xlpm.noDigits, Data!CP46, "")
     ),
  "")
)</f>
        <v/>
      </c>
      <c r="AB43" s="41" t="str" cm="1">
        <f t="array" ref="AB43">IF(
  AND($Y$57=1, AB61&lt;&gt;""),
  "O" &amp; Data!CQ46,
  IF(AB4&lt;&gt;"",
     _xlfn.LET(
       _xlpm.cleaned,
       IF(
         OR(COUNTIF(AB4,"L*"), COUNTIF(AB4,"X*")),
         SUBSTITUTE(SUBSTITUTE(SUBSTITUTE(SUBSTITUTE(AB4,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COUNTIF(AB4, "*"&amp;$BN$3&amp;"*"),
           COUNTIF(AB4, "*"&amp;$BN$4&amp;"*"),
           COUNTIF(AB4, "*"&amp;$BN$5&amp;"*"),
           COUNTIF(AB4, "*"&amp;$BN$6&amp;"*"),
           COUNTIF(AB4, "*"&amp;$BN$7&amp;"*")
         ),
         FALSE,
         TRUE
       ),
       _xlpm.noDigits,
       SUM(--ISNUMBER(FIND({0,1,2,3,4,5,6,7,8,9}, _xlpm.cleaned))) = 0,
       _xlpm.cleaned &amp; IF(_xlpm.needsBR * _xlpm.noDigits, Data!CQ46, "")
     ),
  "")
)</f>
        <v/>
      </c>
      <c r="AC43" s="41" t="str" cm="1">
        <f t="array" ref="AC43">IF(
  AND($Y$57=1, AC61&lt;&gt;""),
  "O" &amp; Data!CR46,
  IF(AC4&lt;&gt;"",
     _xlfn.LET(
       _xlpm.cleaned,
       IF(
         OR(COUNTIF(AC4,"L*"), COUNTIF(AC4,"X*")),
         SUBSTITUTE(SUBSTITUTE(SUBSTITUTE(SUBSTITUTE(AC4,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COUNTIF(AC4, "*"&amp;$BN$3&amp;"*"),
           COUNTIF(AC4, "*"&amp;$BN$4&amp;"*"),
           COUNTIF(AC4, "*"&amp;$BN$5&amp;"*"),
           COUNTIF(AC4, "*"&amp;$BN$6&amp;"*"),
           COUNTIF(AC4, "*"&amp;$BN$7&amp;"*")
         ),
         FALSE,
         TRUE
       ),
       _xlpm.noDigits,
       SUM(--ISNUMBER(FIND({0,1,2,3,4,5,6,7,8,9}, _xlpm.cleaned))) = 0,
       _xlpm.cleaned &amp; IF(_xlpm.needsBR * _xlpm.noDigits, Data!CR46, "")
     ),
  "")
)</f>
        <v/>
      </c>
      <c r="AD43" s="41" t="str" cm="1">
        <f t="array" ref="AD43">IF(
  AND($Y$57=1, AD61&lt;&gt;""),
  "O" &amp; Data!CS46,
  IF(AD4&lt;&gt;"",
     _xlfn.LET(
       _xlpm.cleaned,
       IF(
         OR(COUNTIF(AD4,"L*"), COUNTIF(AD4,"X*")),
         SUBSTITUTE(SUBSTITUTE(SUBSTITUTE(SUBSTITUTE(AD4,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COUNTIF(AD4, "*"&amp;$BN$3&amp;"*"),
           COUNTIF(AD4, "*"&amp;$BN$4&amp;"*"),
           COUNTIF(AD4, "*"&amp;$BN$5&amp;"*"),
           COUNTIF(AD4, "*"&amp;$BN$6&amp;"*"),
           COUNTIF(AD4, "*"&amp;$BN$7&amp;"*")
         ),
         FALSE,
         TRUE
       ),
       _xlpm.noDigits,
       SUM(--ISNUMBER(FIND({0,1,2,3,4,5,6,7,8,9}, _xlpm.cleaned))) = 0,
       _xlpm.cleaned &amp; IF(_xlpm.needsBR * _xlpm.noDigits, Data!CS46, "")
     ),
  "")
)</f>
        <v/>
      </c>
      <c r="AE43" s="41" t="str" cm="1">
        <f t="array" ref="AE43">IF(
  AND($Y$57=1, AE61&lt;&gt;""),
  "O" &amp; Data!CT46,
  IF(AE4&lt;&gt;"",
     _xlfn.LET(
       _xlpm.cleaned,
       IF(
         OR(COUNTIF(AE4,"L*"), COUNTIF(AE4,"X*")),
         SUBSTITUTE(SUBSTITUTE(SUBSTITUTE(SUBSTITUTE(AE4,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COUNTIF(AE4, "*"&amp;$BN$3&amp;"*"),
           COUNTIF(AE4, "*"&amp;$BN$4&amp;"*"),
           COUNTIF(AE4, "*"&amp;$BN$5&amp;"*"),
           COUNTIF(AE4, "*"&amp;$BN$6&amp;"*"),
           COUNTIF(AE4, "*"&amp;$BN$7&amp;"*")
         ),
         FALSE,
         TRUE
       ),
       _xlpm.noDigits,
       SUM(--ISNUMBER(FIND({0,1,2,3,4,5,6,7,8,9}, _xlpm.cleaned))) = 0,
       _xlpm.cleaned &amp; IF(_xlpm.needsBR * _xlpm.noDigits, Data!CT46, "")
     ),
  "")
)</f>
        <v/>
      </c>
      <c r="AF43" s="41" t="str" cm="1">
        <f t="array" ref="AF43">IF(
  AND($Y$57=1, AF61&lt;&gt;""),
  "O" &amp; Data!CU46,
  IF(AF4&lt;&gt;"",
     _xlfn.LET(
       _xlpm.cleaned,
       IF(
         OR(COUNTIF(AF4,"L*"), COUNTIF(AF4,"X*")),
         SUBSTITUTE(SUBSTITUTE(SUBSTITUTE(SUBSTITUTE(AF4,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COUNTIF(AF4, "*"&amp;$BN$3&amp;"*"),
           COUNTIF(AF4, "*"&amp;$BN$4&amp;"*"),
           COUNTIF(AF4, "*"&amp;$BN$5&amp;"*"),
           COUNTIF(AF4, "*"&amp;$BN$6&amp;"*"),
           COUNTIF(AF4, "*"&amp;$BN$7&amp;"*")
         ),
         FALSE,
         TRUE
       ),
       _xlpm.noDigits,
       SUM(--ISNUMBER(FIND({0,1,2,3,4,5,6,7,8,9}, _xlpm.cleaned))) = 0,
       _xlpm.cleaned &amp; IF(_xlpm.needsBR * _xlpm.noDigits, Data!CU46, "")
     ),
  "")
)</f>
        <v/>
      </c>
      <c r="AG43" s="41" t="str" cm="1">
        <f t="array" ref="AG43">IF(
  AND($Y$57=1, AG61&lt;&gt;""),
  "O" &amp; Data!CV46,
  IF(AG4&lt;&gt;"",
     _xlfn.LET(
       _xlpm.cleaned,
       IF(
         OR(COUNTIF(AG4,"L*"), COUNTIF(AG4,"X*")),
         SUBSTITUTE(SUBSTITUTE(SUBSTITUTE(SUBSTITUTE(AG4,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COUNTIF(AG4, "*"&amp;$BN$3&amp;"*"),
           COUNTIF(AG4, "*"&amp;$BN$4&amp;"*"),
           COUNTIF(AG4, "*"&amp;$BN$5&amp;"*"),
           COUNTIF(AG4, "*"&amp;$BN$6&amp;"*"),
           COUNTIF(AG4, "*"&amp;$BN$7&amp;"*")
         ),
         FALSE,
         TRUE
       ),
       _xlpm.noDigits,
       SUM(--ISNUMBER(FIND({0,1,2,3,4,5,6,7,8,9}, _xlpm.cleaned))) = 0,
       _xlpm.cleaned &amp; IF(_xlpm.needsBR * _xlpm.noDigits, Data!CV46, "")
     ),
  "")
)</f>
        <v/>
      </c>
      <c r="AH43" s="41" t="str" cm="1">
        <f t="array" ref="AH43">IF(
  AND($Y$57=1, AH61&lt;&gt;""),
  "O" &amp; Data!CW46,
  IF(AH4&lt;&gt;"",
     _xlfn.LET(
       _xlpm.cleaned,
       IF(
         OR(COUNTIF(AH4,"L*"), COUNTIF(AH4,"X*")),
         SUBSTITUTE(SUBSTITUTE(SUBSTITUTE(SUBSTITUTE(AH4,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COUNTIF(AH4, "*"&amp;$BN$3&amp;"*"),
           COUNTIF(AH4, "*"&amp;$BN$4&amp;"*"),
           COUNTIF(AH4, "*"&amp;$BN$5&amp;"*"),
           COUNTIF(AH4, "*"&amp;$BN$6&amp;"*"),
           COUNTIF(AH4, "*"&amp;$BN$7&amp;"*")
         ),
         FALSE,
         TRUE
       ),
       _xlpm.noDigits,
       SUM(--ISNUMBER(FIND({0,1,2,3,4,5,6,7,8,9}, _xlpm.cleaned))) = 0,
       _xlpm.cleaned &amp; IF(_xlpm.needsBR * _xlpm.noDigits, Data!CW46, "")
     ),
  "")
)</f>
        <v/>
      </c>
      <c r="AI43" s="41" t="str" cm="1">
        <f t="array" ref="AI43">IF(
  AND($Y$57=1, AI61&lt;&gt;""),
  "O" &amp; Data!CX46,
  IF(AI4&lt;&gt;"",
     _xlfn.LET(
       _xlpm.cleaned,
       IF(
         OR(COUNTIF(AI4,"L*"), COUNTIF(AI4,"X*")),
         SUBSTITUTE(SUBSTITUTE(SUBSTITUTE(SUBSTITUTE(AI4,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COUNTIF(AI4, "*"&amp;$BN$3&amp;"*"),
           COUNTIF(AI4, "*"&amp;$BN$4&amp;"*"),
           COUNTIF(AI4, "*"&amp;$BN$5&amp;"*"),
           COUNTIF(AI4, "*"&amp;$BN$6&amp;"*"),
           COUNTIF(AI4, "*"&amp;$BN$7&amp;"*")
         ),
         FALSE,
         TRUE
       ),
       _xlpm.noDigits,
       SUM(--ISNUMBER(FIND({0,1,2,3,4,5,6,7,8,9}, _xlpm.cleaned))) = 0,
       _xlpm.cleaned &amp; IF(_xlpm.needsBR * _xlpm.noDigits, Data!CX46, "")
     ),
  "")
)</f>
        <v/>
      </c>
      <c r="AJ43" s="41" t="str" cm="1">
        <f t="array" ref="AJ43">IF(
  AND($Y$57=1, AJ61&lt;&gt;""),
  "O" &amp; Data!CY46,
  IF(AJ4&lt;&gt;"",
     _xlfn.LET(
       _xlpm.cleaned,
       IF(
         OR(COUNTIF(AJ4,"L*"), COUNTIF(AJ4,"X*")),
         SUBSTITUTE(SUBSTITUTE(SUBSTITUTE(SUBSTITUTE(AJ4,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COUNTIF(AJ4, "*"&amp;$BN$3&amp;"*"),
           COUNTIF(AJ4, "*"&amp;$BN$4&amp;"*"),
           COUNTIF(AJ4, "*"&amp;$BN$5&amp;"*"),
           COUNTIF(AJ4, "*"&amp;$BN$6&amp;"*"),
           COUNTIF(AJ4, "*"&amp;$BN$7&amp;"*")
         ),
         FALSE,
         TRUE
       ),
       _xlpm.noDigits,
       SUM(--ISNUMBER(FIND({0,1,2,3,4,5,6,7,8,9}, _xlpm.cleaned))) = 0,
       _xlpm.cleaned &amp; IF(_xlpm.needsBR * _xlpm.noDigits, Data!CY46, "")
     ),
  "")
)</f>
        <v/>
      </c>
      <c r="AK43" t="str">
        <f>IF(AND($Y$57=1,C61&lt;&gt;""),"O"&amp; Data!BR46,IF(C4&lt;&gt;"",IF(OR(COUNTIF(C4,"L*"),COUNTIF(C4, "X*")),SUBSTITUTE(SUBSTITUTE(SUBSTITUTE(SUBSTITUTE(C4,"P",""),"I",""),"V",""),"B","") &amp; IF(COUNTIF(C4, "*"&amp;$BN$3&amp;"*"),"",IF(COUNTIF(C4, "*"&amp;$BN$4&amp;"*"),"",IF(COUNTIF(C4,"*"&amp;$BN$5&amp;"*"),"",Data!BR46))),SUBSTITUTE(SUBSTITUTE(SUBSTITUTE(SUBSTITUTE(SUBSTITUTE(SUBSTITUTE(SUBSTITUTE(C4,$BN$3,""),$BN$4,""),$BN$5,""),"P",""),"I",""),"V",""),"B","")&amp;Data!BR46),""))</f>
        <v>R1</v>
      </c>
    </row>
    <row r="44" spans="1:54" s="9" customFormat="1" ht="23.25" customHeight="1" x14ac:dyDescent="0.35">
      <c r="A44" s="1196"/>
      <c r="B44" s="22">
        <v>2</v>
      </c>
      <c r="C44" s="41" t="str" cm="1">
        <f t="array" ref="C44">IF(
  AND($Y$57=1, C62&lt;&gt;""),
  "O" &amp; Data!BR47,
  IF(C5&lt;&gt;"",
     _xlfn.LET(
       _xlpm.cleaned,
       IF(
         OR(COUNTIF(C5,"L*"), COUNTIF(C5,"X*")),
         SUBSTITUTE(SUBSTITUTE(SUBSTITUTE(SUBSTITUTE(C5,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COUNTIF(C5, "*"&amp;$BN$3&amp;"*"),
           COUNTIF(C5, "*"&amp;$BN$4&amp;"*"),
           COUNTIF(C5, "*"&amp;$BN$5&amp;"*"),
           COUNTIF(C5, "*"&amp;$BN$6&amp;"*"),
           COUNTIF(C5, "*"&amp;$BN$7&amp;"*")
         ),
         FALSE,
         TRUE
       ),
       _xlpm.noDigits,
       SUM(--ISNUMBER(FIND({0,1,2,3,4,5,6,7,8,9}, _xlpm.cleaned))) = 0,
       _xlpm.cleaned &amp; IF(_xlpm.needsBR * _xlpm.noDigits, Data!BR47, "")
     ),
  "")
)</f>
        <v>X5</v>
      </c>
      <c r="D44" s="41" t="str" cm="1">
        <f t="array" ref="D44">IF(
  AND($Y$57=1, D62&lt;&gt;""),
  "O" &amp; Data!BS47,
  IF(D5&lt;&gt;"",
     _xlfn.LET(
       _xlpm.cleaned,
       IF(
         OR(COUNTIF(D5,"L*"), COUNTIF(D5,"X*")),
         SUBSTITUTE(SUBSTITUTE(SUBSTITUTE(SUBSTITUTE(D5,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COUNTIF(D5, "*"&amp;$BN$3&amp;"*"),
           COUNTIF(D5, "*"&amp;$BN$4&amp;"*"),
           COUNTIF(D5, "*"&amp;$BN$5&amp;"*"),
           COUNTIF(D5, "*"&amp;$BN$6&amp;"*"),
           COUNTIF(D5, "*"&amp;$BN$7&amp;"*")
         ),
         FALSE,
         TRUE
       ),
       _xlpm.noDigits,
       SUM(--ISNUMBER(FIND({0,1,2,3,4,5,6,7,8,9}, _xlpm.cleaned))) = 0,
       _xlpm.cleaned &amp; IF(_xlpm.needsBR * _xlpm.noDigits, Data!BS47, "")
     ),
  "")
)</f>
        <v>X5</v>
      </c>
      <c r="E44" s="41" t="str" cm="1">
        <f t="array" ref="E44">IF(
  AND($Y$57=1, E62&lt;&gt;""),
  "O" &amp; Data!BT47,
  IF(E5&lt;&gt;"",
     _xlfn.LET(
       _xlpm.cleaned,
       IF(
         OR(COUNTIF(E5,"L*"), COUNTIF(E5,"X*")),
         SUBSTITUTE(SUBSTITUTE(SUBSTITUTE(SUBSTITUTE(E5,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COUNTIF(E5, "*"&amp;$BN$3&amp;"*"),
           COUNTIF(E5, "*"&amp;$BN$4&amp;"*"),
           COUNTIF(E5, "*"&amp;$BN$5&amp;"*"),
           COUNTIF(E5, "*"&amp;$BN$6&amp;"*"),
           COUNTIF(E5, "*"&amp;$BN$7&amp;"*")
         ),
         FALSE,
         TRUE
       ),
       _xlpm.noDigits,
       SUM(--ISNUMBER(FIND({0,1,2,3,4,5,6,7,8,9}, _xlpm.cleaned))) = 0,
       _xlpm.cleaned &amp; IF(_xlpm.needsBR * _xlpm.noDigits, Data!BT47, "")
     ),
  "")
)</f>
        <v>X5</v>
      </c>
      <c r="F44" s="41" t="str" cm="1">
        <f t="array" ref="F44">IF(
  AND($Y$57=1, F62&lt;&gt;""),
  "O" &amp; Data!BU47,
  IF(F5&lt;&gt;"",
     _xlfn.LET(
       _xlpm.cleaned,
       IF(
         OR(COUNTIF(F5,"L*"), COUNTIF(F5,"X*")),
         SUBSTITUTE(SUBSTITUTE(SUBSTITUTE(SUBSTITUTE(F5,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COUNTIF(F5, "*"&amp;$BN$3&amp;"*"),
           COUNTIF(F5, "*"&amp;$BN$4&amp;"*"),
           COUNTIF(F5, "*"&amp;$BN$5&amp;"*"),
           COUNTIF(F5, "*"&amp;$BN$6&amp;"*"),
           COUNTIF(F5, "*"&amp;$BN$7&amp;"*")
         ),
         FALSE,
         TRUE
       ),
       _xlpm.noDigits,
       SUM(--ISNUMBER(FIND({0,1,2,3,4,5,6,7,8,9}, _xlpm.cleaned))) = 0,
       _xlpm.cleaned &amp; IF(_xlpm.needsBR * _xlpm.noDigits, Data!BU47, "")
     ),
  "")
)</f>
        <v>R1</v>
      </c>
      <c r="G44" s="41" t="str" cm="1">
        <f t="array" ref="G44">IF(
  AND($Y$57=1, G62&lt;&gt;""),
  "O" &amp; Data!BV47,
  IF(G5&lt;&gt;"",
     _xlfn.LET(
       _xlpm.cleaned,
       IF(
         OR(COUNTIF(G5,"L*"), COUNTIF(G5,"X*")),
         SUBSTITUTE(SUBSTITUTE(SUBSTITUTE(SUBSTITUTE(G5,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COUNTIF(G5, "*"&amp;$BN$3&amp;"*"),
           COUNTIF(G5, "*"&amp;$BN$4&amp;"*"),
           COUNTIF(G5, "*"&amp;$BN$5&amp;"*"),
           COUNTIF(G5, "*"&amp;$BN$6&amp;"*"),
           COUNTIF(G5, "*"&amp;$BN$7&amp;"*")
         ),
         FALSE,
         TRUE
       ),
       _xlpm.noDigits,
       SUM(--ISNUMBER(FIND({0,1,2,3,4,5,6,7,8,9}, _xlpm.cleaned))) = 0,
       _xlpm.cleaned &amp; IF(_xlpm.needsBR * _xlpm.noDigits, Data!BV47, "")
     ),
  "")
)</f>
        <v>X3</v>
      </c>
      <c r="H44" s="41" t="str" cm="1">
        <f t="array" ref="H44">IF(
  AND($Y$57=1, H62&lt;&gt;""),
  "O" &amp; Data!BW47,
  IF(H5&lt;&gt;"",
     _xlfn.LET(
       _xlpm.cleaned,
       IF(
         OR(COUNTIF(H5,"L*"), COUNTIF(H5,"X*")),
         SUBSTITUTE(SUBSTITUTE(SUBSTITUTE(SUBSTITUTE(H5,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COUNTIF(H5, "*"&amp;$BN$3&amp;"*"),
           COUNTIF(H5, "*"&amp;$BN$4&amp;"*"),
           COUNTIF(H5, "*"&amp;$BN$5&amp;"*"),
           COUNTIF(H5, "*"&amp;$BN$6&amp;"*"),
           COUNTIF(H5, "*"&amp;$BN$7&amp;"*")
         ),
         FALSE,
         TRUE
       ),
       _xlpm.noDigits,
       SUM(--ISNUMBER(FIND({0,1,2,3,4,5,6,7,8,9}, _xlpm.cleaned))) = 0,
       _xlpm.cleaned &amp; IF(_xlpm.needsBR * _xlpm.noDigits, Data!BW47, "")
     ),
  "")
)</f>
        <v/>
      </c>
      <c r="I44" s="41" t="str" cm="1">
        <f t="array" ref="I44">IF(
  AND($Y$57=1, I62&lt;&gt;""),
  "O" &amp; Data!BX47,
  IF(I5&lt;&gt;"",
     _xlfn.LET(
       _xlpm.cleaned,
       IF(
         OR(COUNTIF(I5,"L*"), COUNTIF(I5,"X*")),
         SUBSTITUTE(SUBSTITUTE(SUBSTITUTE(SUBSTITUTE(I5,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COUNTIF(I5, "*"&amp;$BN$3&amp;"*"),
           COUNTIF(I5, "*"&amp;$BN$4&amp;"*"),
           COUNTIF(I5, "*"&amp;$BN$5&amp;"*"),
           COUNTIF(I5, "*"&amp;$BN$6&amp;"*"),
           COUNTIF(I5, "*"&amp;$BN$7&amp;"*")
         ),
         FALSE,
         TRUE
       ),
       _xlpm.noDigits,
       SUM(--ISNUMBER(FIND({0,1,2,3,4,5,6,7,8,9}, _xlpm.cleaned))) = 0,
       _xlpm.cleaned &amp; IF(_xlpm.needsBR * _xlpm.noDigits, Data!BX47, "")
     ),
  "")
)</f>
        <v/>
      </c>
      <c r="J44" s="41" t="str" cm="1">
        <f t="array" ref="J44">IF(
  AND($Y$57=1, J62&lt;&gt;""),
  "O" &amp; Data!BY47,
  IF(J5&lt;&gt;"",
     _xlfn.LET(
       _xlpm.cleaned,
       IF(
         OR(COUNTIF(J5,"L*"), COUNTIF(J5,"X*")),
         SUBSTITUTE(SUBSTITUTE(SUBSTITUTE(SUBSTITUTE(J5,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COUNTIF(J5, "*"&amp;$BN$3&amp;"*"),
           COUNTIF(J5, "*"&amp;$BN$4&amp;"*"),
           COUNTIF(J5, "*"&amp;$BN$5&amp;"*"),
           COUNTIF(J5, "*"&amp;$BN$6&amp;"*"),
           COUNTIF(J5, "*"&amp;$BN$7&amp;"*")
         ),
         FALSE,
         TRUE
       ),
       _xlpm.noDigits,
       SUM(--ISNUMBER(FIND({0,1,2,3,4,5,6,7,8,9}, _xlpm.cleaned))) = 0,
       _xlpm.cleaned &amp; IF(_xlpm.needsBR * _xlpm.noDigits, Data!BY47, "")
     ),
  "")
)</f>
        <v/>
      </c>
      <c r="K44" s="41" t="str" cm="1">
        <f t="array" ref="K44">IF(
  AND($Y$57=1, K62&lt;&gt;""),
  "O" &amp; Data!BZ47,
  IF(K5&lt;&gt;"",
     _xlfn.LET(
       _xlpm.cleaned,
       IF(
         OR(COUNTIF(K5,"L*"), COUNTIF(K5,"X*")),
         SUBSTITUTE(SUBSTITUTE(SUBSTITUTE(SUBSTITUTE(K5,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COUNTIF(K5, "*"&amp;$BN$3&amp;"*"),
           COUNTIF(K5, "*"&amp;$BN$4&amp;"*"),
           COUNTIF(K5, "*"&amp;$BN$5&amp;"*"),
           COUNTIF(K5, "*"&amp;$BN$6&amp;"*"),
           COUNTIF(K5, "*"&amp;$BN$7&amp;"*")
         ),
         FALSE,
         TRUE
       ),
       _xlpm.noDigits,
       SUM(--ISNUMBER(FIND({0,1,2,3,4,5,6,7,8,9}, _xlpm.cleaned))) = 0,
       _xlpm.cleaned &amp; IF(_xlpm.needsBR * _xlpm.noDigits, Data!BZ47, "")
     ),
  "")
)</f>
        <v/>
      </c>
      <c r="L44" s="41" t="str" cm="1">
        <f t="array" ref="L44">IF(
  AND($Y$57=1, L62&lt;&gt;""),
  "O" &amp; Data!CA47,
  IF(L5&lt;&gt;"",
     _xlfn.LET(
       _xlpm.cleaned,
       IF(
         OR(COUNTIF(L5,"L*"), COUNTIF(L5,"X*")),
         SUBSTITUTE(SUBSTITUTE(SUBSTITUTE(SUBSTITUTE(L5,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COUNTIF(L5, "*"&amp;$BN$3&amp;"*"),
           COUNTIF(L5, "*"&amp;$BN$4&amp;"*"),
           COUNTIF(L5, "*"&amp;$BN$5&amp;"*"),
           COUNTIF(L5, "*"&amp;$BN$6&amp;"*"),
           COUNTIF(L5, "*"&amp;$BN$7&amp;"*")
         ),
         FALSE,
         TRUE
       ),
       _xlpm.noDigits,
       SUM(--ISNUMBER(FIND({0,1,2,3,4,5,6,7,8,9}, _xlpm.cleaned))) = 0,
       _xlpm.cleaned &amp; IF(_xlpm.needsBR * _xlpm.noDigits, Data!CA47, "")
     ),
  "")
)</f>
        <v>S2</v>
      </c>
      <c r="M44" s="41" t="str" cm="1">
        <f t="array" ref="M44">IF(
  AND($Y$57=1, M62&lt;&gt;""),
  "O" &amp; Data!CB47,
  IF(M5&lt;&gt;"",
     _xlfn.LET(
       _xlpm.cleaned,
       IF(
         OR(COUNTIF(M5,"L*"), COUNTIF(M5,"X*")),
         SUBSTITUTE(SUBSTITUTE(SUBSTITUTE(SUBSTITUTE(M5,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COUNTIF(M5, "*"&amp;$BN$3&amp;"*"),
           COUNTIF(M5, "*"&amp;$BN$4&amp;"*"),
           COUNTIF(M5, "*"&amp;$BN$5&amp;"*"),
           COUNTIF(M5, "*"&amp;$BN$6&amp;"*"),
           COUNTIF(M5, "*"&amp;$BN$7&amp;"*")
         ),
         FALSE,
         TRUE
       ),
       _xlpm.noDigits,
       SUM(--ISNUMBER(FIND({0,1,2,3,4,5,6,7,8,9}, _xlpm.cleaned))) = 0,
       _xlpm.cleaned &amp; IF(_xlpm.needsBR * _xlpm.noDigits, Data!CB47, "")
     ),
  "")
)</f>
        <v>R2</v>
      </c>
      <c r="N44" s="41" t="str" cm="1">
        <f t="array" ref="N44">IF(
  AND($Y$57=1, N62&lt;&gt;""),
  "O" &amp; Data!CC47,
  IF(N5&lt;&gt;"",
     _xlfn.LET(
       _xlpm.cleaned,
       IF(
         OR(COUNTIF(N5,"L*"), COUNTIF(N5,"X*")),
         SUBSTITUTE(SUBSTITUTE(SUBSTITUTE(SUBSTITUTE(N5,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COUNTIF(N5, "*"&amp;$BN$3&amp;"*"),
           COUNTIF(N5, "*"&amp;$BN$4&amp;"*"),
           COUNTIF(N5, "*"&amp;$BN$5&amp;"*"),
           COUNTIF(N5, "*"&amp;$BN$6&amp;"*"),
           COUNTIF(N5, "*"&amp;$BN$7&amp;"*")
         ),
         FALSE,
         TRUE
       ),
       _xlpm.noDigits,
       SUM(--ISNUMBER(FIND({0,1,2,3,4,5,6,7,8,9}, _xlpm.cleaned))) = 0,
       _xlpm.cleaned &amp; IF(_xlpm.needsBR * _xlpm.noDigits, Data!CC47, "")
     ),
  "")
)</f>
        <v>X4</v>
      </c>
      <c r="O44" s="41" t="str" cm="1">
        <f t="array" ref="O44">IF(
  AND($Y$57=1, O62&lt;&gt;""),
  "O" &amp; Data!CD47,
  IF(O5&lt;&gt;"",
     _xlfn.LET(
       _xlpm.cleaned,
       IF(
         OR(COUNTIF(O5,"L*"), COUNTIF(O5,"X*")),
         SUBSTITUTE(SUBSTITUTE(SUBSTITUTE(SUBSTITUTE(O5,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COUNTIF(O5, "*"&amp;$BN$3&amp;"*"),
           COUNTIF(O5, "*"&amp;$BN$4&amp;"*"),
           COUNTIF(O5, "*"&amp;$BN$5&amp;"*"),
           COUNTIF(O5, "*"&amp;$BN$6&amp;"*"),
           COUNTIF(O5, "*"&amp;$BN$7&amp;"*")
         ),
         FALSE,
         TRUE
       ),
       _xlpm.noDigits,
       SUM(--ISNUMBER(FIND({0,1,2,3,4,5,6,7,8,9}, _xlpm.cleaned))) = 0,
       _xlpm.cleaned &amp; IF(_xlpm.needsBR * _xlpm.noDigits, Data!CD47, "")
     ),
  "")
)</f>
        <v>R2</v>
      </c>
      <c r="P44" s="41" t="str" cm="1">
        <f t="array" ref="P44">IF(
  AND($Y$57=1, P62&lt;&gt;""),
  "O" &amp; Data!CE47,
  IF(P5&lt;&gt;"",
     _xlfn.LET(
       _xlpm.cleaned,
       IF(
         OR(COUNTIF(P5,"L*"), COUNTIF(P5,"X*")),
         SUBSTITUTE(SUBSTITUTE(SUBSTITUTE(SUBSTITUTE(P5,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COUNTIF(P5, "*"&amp;$BN$3&amp;"*"),
           COUNTIF(P5, "*"&amp;$BN$4&amp;"*"),
           COUNTIF(P5, "*"&amp;$BN$5&amp;"*"),
           COUNTIF(P5, "*"&amp;$BN$6&amp;"*"),
           COUNTIF(P5, "*"&amp;$BN$7&amp;"*")
         ),
         FALSE,
         TRUE
       ),
       _xlpm.noDigits,
       SUM(--ISNUMBER(FIND({0,1,2,3,4,5,6,7,8,9}, _xlpm.cleaned))) = 0,
       _xlpm.cleaned &amp; IF(_xlpm.needsBR * _xlpm.noDigits, Data!CE47, "")
     ),
  "")
)</f>
        <v/>
      </c>
      <c r="Q44" s="41" t="str" cm="1">
        <f t="array" ref="Q44">IF(
  AND($Y$57=1, Q62&lt;&gt;""),
  "O" &amp; Data!CF47,
  IF(Q5&lt;&gt;"",
     _xlfn.LET(
       _xlpm.cleaned,
       IF(
         OR(COUNTIF(Q5,"L*"), COUNTIF(Q5,"X*")),
         SUBSTITUTE(SUBSTITUTE(SUBSTITUTE(SUBSTITUTE(Q5,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COUNTIF(Q5, "*"&amp;$BN$3&amp;"*"),
           COUNTIF(Q5, "*"&amp;$BN$4&amp;"*"),
           COUNTIF(Q5, "*"&amp;$BN$5&amp;"*"),
           COUNTIF(Q5, "*"&amp;$BN$6&amp;"*"),
           COUNTIF(Q5, "*"&amp;$BN$7&amp;"*")
         ),
         FALSE,
         TRUE
       ),
       _xlpm.noDigits,
       SUM(--ISNUMBER(FIND({0,1,2,3,4,5,6,7,8,9}, _xlpm.cleaned))) = 0,
       _xlpm.cleaned &amp; IF(_xlpm.needsBR * _xlpm.noDigits, Data!CF47, "")
     ),
  "")
)</f>
        <v/>
      </c>
      <c r="R44" s="41" t="str" cm="1">
        <f t="array" ref="R44">IF(
  AND($Y$57=1, R62&lt;&gt;""),
  "O" &amp; Data!CG47,
  IF(R5&lt;&gt;"",
     _xlfn.LET(
       _xlpm.cleaned,
       IF(
         OR(COUNTIF(R5,"L*"), COUNTIF(R5,"X*")),
         SUBSTITUTE(SUBSTITUTE(SUBSTITUTE(SUBSTITUTE(R5,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COUNTIF(R5, "*"&amp;$BN$3&amp;"*"),
           COUNTIF(R5, "*"&amp;$BN$4&amp;"*"),
           COUNTIF(R5, "*"&amp;$BN$5&amp;"*"),
           COUNTIF(R5, "*"&amp;$BN$6&amp;"*"),
           COUNTIF(R5, "*"&amp;$BN$7&amp;"*")
         ),
         FALSE,
         TRUE
       ),
       _xlpm.noDigits,
       SUM(--ISNUMBER(FIND({0,1,2,3,4,5,6,7,8,9}, _xlpm.cleaned))) = 0,
       _xlpm.cleaned &amp; IF(_xlpm.needsBR * _xlpm.noDigits, Data!CG47, "")
     ),
  "")
)</f>
        <v/>
      </c>
      <c r="S44" s="41" t="str" cm="1">
        <f t="array" ref="S44">IF(
  AND($Y$57=1, S62&lt;&gt;""),
  "O" &amp; Data!CH47,
  IF(S5&lt;&gt;"",
     _xlfn.LET(
       _xlpm.cleaned,
       IF(
         OR(COUNTIF(S5,"L*"), COUNTIF(S5,"X*")),
         SUBSTITUTE(SUBSTITUTE(SUBSTITUTE(SUBSTITUTE(S5,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COUNTIF(S5, "*"&amp;$BN$3&amp;"*"),
           COUNTIF(S5, "*"&amp;$BN$4&amp;"*"),
           COUNTIF(S5, "*"&amp;$BN$5&amp;"*"),
           COUNTIF(S5, "*"&amp;$BN$6&amp;"*"),
           COUNTIF(S5, "*"&amp;$BN$7&amp;"*")
         ),
         FALSE,
         TRUE
       ),
       _xlpm.noDigits,
       SUM(--ISNUMBER(FIND({0,1,2,3,4,5,6,7,8,9}, _xlpm.cleaned))) = 0,
       _xlpm.cleaned &amp; IF(_xlpm.needsBR * _xlpm.noDigits, Data!CH47, "")
     ),
  "")
)</f>
        <v/>
      </c>
      <c r="T44" s="41" t="str" cm="1">
        <f t="array" ref="T44">IF(
  AND($Y$57=1, T62&lt;&gt;""),
  "O" &amp; Data!CI47,
  IF(T5&lt;&gt;"",
     _xlfn.LET(
       _xlpm.cleaned,
       IF(
         OR(COUNTIF(T5,"L*"), COUNTIF(T5,"X*")),
         SUBSTITUTE(SUBSTITUTE(SUBSTITUTE(SUBSTITUTE(T5,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COUNTIF(T5, "*"&amp;$BN$3&amp;"*"),
           COUNTIF(T5, "*"&amp;$BN$4&amp;"*"),
           COUNTIF(T5, "*"&amp;$BN$5&amp;"*"),
           COUNTIF(T5, "*"&amp;$BN$6&amp;"*"),
           COUNTIF(T5, "*"&amp;$BN$7&amp;"*")
         ),
         FALSE,
         TRUE
       ),
       _xlpm.noDigits,
       SUM(--ISNUMBER(FIND({0,1,2,3,4,5,6,7,8,9}, _xlpm.cleaned))) = 0,
       _xlpm.cleaned &amp; IF(_xlpm.needsBR * _xlpm.noDigits, Data!CI47, "")
     ),
  "")
)</f>
        <v/>
      </c>
      <c r="U44" s="41" t="str" cm="1">
        <f t="array" ref="U44">IF(
  AND($Y$57=1, U62&lt;&gt;""),
  "O" &amp; Data!CJ47,
  IF(U5&lt;&gt;"",
     _xlfn.LET(
       _xlpm.cleaned,
       IF(
         OR(COUNTIF(U5,"L*"), COUNTIF(U5,"X*")),
         SUBSTITUTE(SUBSTITUTE(SUBSTITUTE(SUBSTITUTE(U5,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COUNTIF(U5, "*"&amp;$BN$3&amp;"*"),
           COUNTIF(U5, "*"&amp;$BN$4&amp;"*"),
           COUNTIF(U5, "*"&amp;$BN$5&amp;"*"),
           COUNTIF(U5, "*"&amp;$BN$6&amp;"*"),
           COUNTIF(U5, "*"&amp;$BN$7&amp;"*")
         ),
         FALSE,
         TRUE
       ),
       _xlpm.noDigits,
       SUM(--ISNUMBER(FIND({0,1,2,3,4,5,6,7,8,9}, _xlpm.cleaned))) = 0,
       _xlpm.cleaned &amp; IF(_xlpm.needsBR * _xlpm.noDigits, Data!CJ47, "")
     ),
  "")
)</f>
        <v/>
      </c>
      <c r="V44" s="41" t="str" cm="1">
        <f t="array" ref="V44">IF(
  AND($Y$57=1, V62&lt;&gt;""),
  "O" &amp; Data!CK47,
  IF(V5&lt;&gt;"",
     _xlfn.LET(
       _xlpm.cleaned,
       IF(
         OR(COUNTIF(V5,"L*"), COUNTIF(V5,"X*")),
         SUBSTITUTE(SUBSTITUTE(SUBSTITUTE(SUBSTITUTE(V5,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COUNTIF(V5, "*"&amp;$BN$3&amp;"*"),
           COUNTIF(V5, "*"&amp;$BN$4&amp;"*"),
           COUNTIF(V5, "*"&amp;$BN$5&amp;"*"),
           COUNTIF(V5, "*"&amp;$BN$6&amp;"*"),
           COUNTIF(V5, "*"&amp;$BN$7&amp;"*")
         ),
         FALSE,
         TRUE
       ),
       _xlpm.noDigits,
       SUM(--ISNUMBER(FIND({0,1,2,3,4,5,6,7,8,9}, _xlpm.cleaned))) = 0,
       _xlpm.cleaned &amp; IF(_xlpm.needsBR * _xlpm.noDigits, Data!CK47, "")
     ),
  "")
)</f>
        <v/>
      </c>
      <c r="W44" s="41" t="str" cm="1">
        <f t="array" ref="W44">IF(
  AND($Y$57=1, W62&lt;&gt;""),
  "O" &amp; Data!CL47,
  IF(W5&lt;&gt;"",
     _xlfn.LET(
       _xlpm.cleaned,
       IF(
         OR(COUNTIF(W5,"L*"), COUNTIF(W5,"X*")),
         SUBSTITUTE(SUBSTITUTE(SUBSTITUTE(SUBSTITUTE(W5,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COUNTIF(W5, "*"&amp;$BN$3&amp;"*"),
           COUNTIF(W5, "*"&amp;$BN$4&amp;"*"),
           COUNTIF(W5, "*"&amp;$BN$5&amp;"*"),
           COUNTIF(W5, "*"&amp;$BN$6&amp;"*"),
           COUNTIF(W5, "*"&amp;$BN$7&amp;"*")
         ),
         FALSE,
         TRUE
       ),
       _xlpm.noDigits,
       SUM(--ISNUMBER(FIND({0,1,2,3,4,5,6,7,8,9}, _xlpm.cleaned))) = 0,
       _xlpm.cleaned &amp; IF(_xlpm.needsBR * _xlpm.noDigits, Data!CL47, "")
     ),
  "")
)</f>
        <v/>
      </c>
      <c r="X44" s="41" t="str" cm="1">
        <f t="array" ref="X44">IF(
  AND($Y$57=1, X62&lt;&gt;""),
  "O" &amp; Data!CM47,
  IF(X5&lt;&gt;"",
     _xlfn.LET(
       _xlpm.cleaned,
       IF(
         OR(COUNTIF(X5,"L*"), COUNTIF(X5,"X*")),
         SUBSTITUTE(SUBSTITUTE(SUBSTITUTE(SUBSTITUTE(X5,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COUNTIF(X5, "*"&amp;$BN$3&amp;"*"),
           COUNTIF(X5, "*"&amp;$BN$4&amp;"*"),
           COUNTIF(X5, "*"&amp;$BN$5&amp;"*"),
           COUNTIF(X5, "*"&amp;$BN$6&amp;"*"),
           COUNTIF(X5, "*"&amp;$BN$7&amp;"*")
         ),
         FALSE,
         TRUE
       ),
       _xlpm.noDigits,
       SUM(--ISNUMBER(FIND({0,1,2,3,4,5,6,7,8,9}, _xlpm.cleaned))) = 0,
       _xlpm.cleaned &amp; IF(_xlpm.needsBR * _xlpm.noDigits, Data!CM47, "")
     ),
  "")
)</f>
        <v/>
      </c>
      <c r="Y44" s="41" t="str" cm="1">
        <f t="array" ref="Y44">IF(
  AND($Y$57=1, Y62&lt;&gt;""),
  "O" &amp; Data!CN47,
  IF(Y5&lt;&gt;"",
     _xlfn.LET(
       _xlpm.cleaned,
       IF(
         OR(COUNTIF(Y5,"L*"), COUNTIF(Y5,"X*")),
         SUBSTITUTE(SUBSTITUTE(SUBSTITUTE(SUBSTITUTE(Y5,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COUNTIF(Y5, "*"&amp;$BN$3&amp;"*"),
           COUNTIF(Y5, "*"&amp;$BN$4&amp;"*"),
           COUNTIF(Y5, "*"&amp;$BN$5&amp;"*"),
           COUNTIF(Y5, "*"&amp;$BN$6&amp;"*"),
           COUNTIF(Y5, "*"&amp;$BN$7&amp;"*")
         ),
         FALSE,
         TRUE
       ),
       _xlpm.noDigits,
       SUM(--ISNUMBER(FIND({0,1,2,3,4,5,6,7,8,9}, _xlpm.cleaned))) = 0,
       _xlpm.cleaned &amp; IF(_xlpm.needsBR * _xlpm.noDigits, Data!CN47, "")
     ),
  "")
)</f>
        <v/>
      </c>
      <c r="Z44" s="41" t="str" cm="1">
        <f t="array" ref="Z44">IF(
  AND($Y$57=1, Z62&lt;&gt;""),
  "O" &amp; Data!CO47,
  IF(Z5&lt;&gt;"",
     _xlfn.LET(
       _xlpm.cleaned,
       IF(
         OR(COUNTIF(Z5,"L*"), COUNTIF(Z5,"X*")),
         SUBSTITUTE(SUBSTITUTE(SUBSTITUTE(SUBSTITUTE(Z5,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COUNTIF(Z5, "*"&amp;$BN$3&amp;"*"),
           COUNTIF(Z5, "*"&amp;$BN$4&amp;"*"),
           COUNTIF(Z5, "*"&amp;$BN$5&amp;"*"),
           COUNTIF(Z5, "*"&amp;$BN$6&amp;"*"),
           COUNTIF(Z5, "*"&amp;$BN$7&amp;"*")
         ),
         FALSE,
         TRUE
       ),
       _xlpm.noDigits,
       SUM(--ISNUMBER(FIND({0,1,2,3,4,5,6,7,8,9}, _xlpm.cleaned))) = 0,
       _xlpm.cleaned &amp; IF(_xlpm.needsBR * _xlpm.noDigits, Data!CO47, "")
     ),
  "")
)</f>
        <v/>
      </c>
      <c r="AA44" s="41" t="str" cm="1">
        <f t="array" ref="AA44">IF(
  AND($Y$57=1, AA62&lt;&gt;""),
  "O" &amp; Data!CP47,
  IF(AA5&lt;&gt;"",
     _xlfn.LET(
       _xlpm.cleaned,
       IF(
         OR(COUNTIF(AA5,"L*"), COUNTIF(AA5,"X*")),
         SUBSTITUTE(SUBSTITUTE(SUBSTITUTE(SUBSTITUTE(AA5,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COUNTIF(AA5, "*"&amp;$BN$3&amp;"*"),
           COUNTIF(AA5, "*"&amp;$BN$4&amp;"*"),
           COUNTIF(AA5, "*"&amp;$BN$5&amp;"*"),
           COUNTIF(AA5, "*"&amp;$BN$6&amp;"*"),
           COUNTIF(AA5, "*"&amp;$BN$7&amp;"*")
         ),
         FALSE,
         TRUE
       ),
       _xlpm.noDigits,
       SUM(--ISNUMBER(FIND({0,1,2,3,4,5,6,7,8,9}, _xlpm.cleaned))) = 0,
       _xlpm.cleaned &amp; IF(_xlpm.needsBR * _xlpm.noDigits, Data!CP47, "")
     ),
  "")
)</f>
        <v/>
      </c>
      <c r="AB44" s="41" t="str" cm="1">
        <f t="array" ref="AB44">IF(
  AND($Y$57=1, AB62&lt;&gt;""),
  "O" &amp; Data!CQ47,
  IF(AB5&lt;&gt;"",
     _xlfn.LET(
       _xlpm.cleaned,
       IF(
         OR(COUNTIF(AB5,"L*"), COUNTIF(AB5,"X*")),
         SUBSTITUTE(SUBSTITUTE(SUBSTITUTE(SUBSTITUTE(AB5,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COUNTIF(AB5, "*"&amp;$BN$3&amp;"*"),
           COUNTIF(AB5, "*"&amp;$BN$4&amp;"*"),
           COUNTIF(AB5, "*"&amp;$BN$5&amp;"*"),
           COUNTIF(AB5, "*"&amp;$BN$6&amp;"*"),
           COUNTIF(AB5, "*"&amp;$BN$7&amp;"*")
         ),
         FALSE,
         TRUE
       ),
       _xlpm.noDigits,
       SUM(--ISNUMBER(FIND({0,1,2,3,4,5,6,7,8,9}, _xlpm.cleaned))) = 0,
       _xlpm.cleaned &amp; IF(_xlpm.needsBR * _xlpm.noDigits, Data!CQ47, "")
     ),
  "")
)</f>
        <v/>
      </c>
      <c r="AC44" s="41" t="str" cm="1">
        <f t="array" ref="AC44">IF(
  AND($Y$57=1, AC62&lt;&gt;""),
  "O" &amp; Data!CR47,
  IF(AC5&lt;&gt;"",
     _xlfn.LET(
       _xlpm.cleaned,
       IF(
         OR(COUNTIF(AC5,"L*"), COUNTIF(AC5,"X*")),
         SUBSTITUTE(SUBSTITUTE(SUBSTITUTE(SUBSTITUTE(AC5,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COUNTIF(AC5, "*"&amp;$BN$3&amp;"*"),
           COUNTIF(AC5, "*"&amp;$BN$4&amp;"*"),
           COUNTIF(AC5, "*"&amp;$BN$5&amp;"*"),
           COUNTIF(AC5, "*"&amp;$BN$6&amp;"*"),
           COUNTIF(AC5, "*"&amp;$BN$7&amp;"*")
         ),
         FALSE,
         TRUE
       ),
       _xlpm.noDigits,
       SUM(--ISNUMBER(FIND({0,1,2,3,4,5,6,7,8,9}, _xlpm.cleaned))) = 0,
       _xlpm.cleaned &amp; IF(_xlpm.needsBR * _xlpm.noDigits, Data!CR47, "")
     ),
  "")
)</f>
        <v/>
      </c>
      <c r="AD44" s="41" t="str" cm="1">
        <f t="array" ref="AD44">IF(
  AND($Y$57=1, AD62&lt;&gt;""),
  "O" &amp; Data!CS47,
  IF(AD5&lt;&gt;"",
     _xlfn.LET(
       _xlpm.cleaned,
       IF(
         OR(COUNTIF(AD5,"L*"), COUNTIF(AD5,"X*")),
         SUBSTITUTE(SUBSTITUTE(SUBSTITUTE(SUBSTITUTE(AD5,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COUNTIF(AD5, "*"&amp;$BN$3&amp;"*"),
           COUNTIF(AD5, "*"&amp;$BN$4&amp;"*"),
           COUNTIF(AD5, "*"&amp;$BN$5&amp;"*"),
           COUNTIF(AD5, "*"&amp;$BN$6&amp;"*"),
           COUNTIF(AD5, "*"&amp;$BN$7&amp;"*")
         ),
         FALSE,
         TRUE
       ),
       _xlpm.noDigits,
       SUM(--ISNUMBER(FIND({0,1,2,3,4,5,6,7,8,9}, _xlpm.cleaned))) = 0,
       _xlpm.cleaned &amp; IF(_xlpm.needsBR * _xlpm.noDigits, Data!CS47, "")
     ),
  "")
)</f>
        <v/>
      </c>
      <c r="AE44" s="41" t="str" cm="1">
        <f t="array" ref="AE44">IF(
  AND($Y$57=1, AE62&lt;&gt;""),
  "O" &amp; Data!CT47,
  IF(AE5&lt;&gt;"",
     _xlfn.LET(
       _xlpm.cleaned,
       IF(
         OR(COUNTIF(AE5,"L*"), COUNTIF(AE5,"X*")),
         SUBSTITUTE(SUBSTITUTE(SUBSTITUTE(SUBSTITUTE(AE5,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COUNTIF(AE5, "*"&amp;$BN$3&amp;"*"),
           COUNTIF(AE5, "*"&amp;$BN$4&amp;"*"),
           COUNTIF(AE5, "*"&amp;$BN$5&amp;"*"),
           COUNTIF(AE5, "*"&amp;$BN$6&amp;"*"),
           COUNTIF(AE5, "*"&amp;$BN$7&amp;"*")
         ),
         FALSE,
         TRUE
       ),
       _xlpm.noDigits,
       SUM(--ISNUMBER(FIND({0,1,2,3,4,5,6,7,8,9}, _xlpm.cleaned))) = 0,
       _xlpm.cleaned &amp; IF(_xlpm.needsBR * _xlpm.noDigits, Data!CT47, "")
     ),
  "")
)</f>
        <v/>
      </c>
      <c r="AF44" s="41" t="str" cm="1">
        <f t="array" ref="AF44">IF(
  AND($Y$57=1, AF62&lt;&gt;""),
  "O" &amp; Data!CU47,
  IF(AF5&lt;&gt;"",
     _xlfn.LET(
       _xlpm.cleaned,
       IF(
         OR(COUNTIF(AF5,"L*"), COUNTIF(AF5,"X*")),
         SUBSTITUTE(SUBSTITUTE(SUBSTITUTE(SUBSTITUTE(AF5,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COUNTIF(AF5, "*"&amp;$BN$3&amp;"*"),
           COUNTIF(AF5, "*"&amp;$BN$4&amp;"*"),
           COUNTIF(AF5, "*"&amp;$BN$5&amp;"*"),
           COUNTIF(AF5, "*"&amp;$BN$6&amp;"*"),
           COUNTIF(AF5, "*"&amp;$BN$7&amp;"*")
         ),
         FALSE,
         TRUE
       ),
       _xlpm.noDigits,
       SUM(--ISNUMBER(FIND({0,1,2,3,4,5,6,7,8,9}, _xlpm.cleaned))) = 0,
       _xlpm.cleaned &amp; IF(_xlpm.needsBR * _xlpm.noDigits, Data!CU47, "")
     ),
  "")
)</f>
        <v/>
      </c>
      <c r="AG44" s="41" t="str" cm="1">
        <f t="array" ref="AG44">IF(
  AND($Y$57=1, AG62&lt;&gt;""),
  "O" &amp; Data!CV47,
  IF(AG5&lt;&gt;"",
     _xlfn.LET(
       _xlpm.cleaned,
       IF(
         OR(COUNTIF(AG5,"L*"), COUNTIF(AG5,"X*")),
         SUBSTITUTE(SUBSTITUTE(SUBSTITUTE(SUBSTITUTE(AG5,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COUNTIF(AG5, "*"&amp;$BN$3&amp;"*"),
           COUNTIF(AG5, "*"&amp;$BN$4&amp;"*"),
           COUNTIF(AG5, "*"&amp;$BN$5&amp;"*"),
           COUNTIF(AG5, "*"&amp;$BN$6&amp;"*"),
           COUNTIF(AG5, "*"&amp;$BN$7&amp;"*")
         ),
         FALSE,
         TRUE
       ),
       _xlpm.noDigits,
       SUM(--ISNUMBER(FIND({0,1,2,3,4,5,6,7,8,9}, _xlpm.cleaned))) = 0,
       _xlpm.cleaned &amp; IF(_xlpm.needsBR * _xlpm.noDigits, Data!CV47, "")
     ),
  "")
)</f>
        <v/>
      </c>
      <c r="AH44" s="41" t="str" cm="1">
        <f t="array" ref="AH44">IF(
  AND($Y$57=1, AH62&lt;&gt;""),
  "O" &amp; Data!CW47,
  IF(AH5&lt;&gt;"",
     _xlfn.LET(
       _xlpm.cleaned,
       IF(
         OR(COUNTIF(AH5,"L*"), COUNTIF(AH5,"X*")),
         SUBSTITUTE(SUBSTITUTE(SUBSTITUTE(SUBSTITUTE(AH5,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COUNTIF(AH5, "*"&amp;$BN$3&amp;"*"),
           COUNTIF(AH5, "*"&amp;$BN$4&amp;"*"),
           COUNTIF(AH5, "*"&amp;$BN$5&amp;"*"),
           COUNTIF(AH5, "*"&amp;$BN$6&amp;"*"),
           COUNTIF(AH5, "*"&amp;$BN$7&amp;"*")
         ),
         FALSE,
         TRUE
       ),
       _xlpm.noDigits,
       SUM(--ISNUMBER(FIND({0,1,2,3,4,5,6,7,8,9}, _xlpm.cleaned))) = 0,
       _xlpm.cleaned &amp; IF(_xlpm.needsBR * _xlpm.noDigits, Data!CW47, "")
     ),
  "")
)</f>
        <v/>
      </c>
      <c r="AI44" s="41" t="str" cm="1">
        <f t="array" ref="AI44">IF(
  AND($Y$57=1, AI62&lt;&gt;""),
  "O" &amp; Data!CX47,
  IF(AI5&lt;&gt;"",
     _xlfn.LET(
       _xlpm.cleaned,
       IF(
         OR(COUNTIF(AI5,"L*"), COUNTIF(AI5,"X*")),
         SUBSTITUTE(SUBSTITUTE(SUBSTITUTE(SUBSTITUTE(AI5,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COUNTIF(AI5, "*"&amp;$BN$3&amp;"*"),
           COUNTIF(AI5, "*"&amp;$BN$4&amp;"*"),
           COUNTIF(AI5, "*"&amp;$BN$5&amp;"*"),
           COUNTIF(AI5, "*"&amp;$BN$6&amp;"*"),
           COUNTIF(AI5, "*"&amp;$BN$7&amp;"*")
         ),
         FALSE,
         TRUE
       ),
       _xlpm.noDigits,
       SUM(--ISNUMBER(FIND({0,1,2,3,4,5,6,7,8,9}, _xlpm.cleaned))) = 0,
       _xlpm.cleaned &amp; IF(_xlpm.needsBR * _xlpm.noDigits, Data!CX47, "")
     ),
  "")
)</f>
        <v/>
      </c>
      <c r="AJ44" s="41" t="str" cm="1">
        <f t="array" ref="AJ44">IF(
  AND($Y$57=1, AJ62&lt;&gt;""),
  "O" &amp; Data!CY47,
  IF(AJ5&lt;&gt;"",
     _xlfn.LET(
       _xlpm.cleaned,
       IF(
         OR(COUNTIF(AJ5,"L*"), COUNTIF(AJ5,"X*")),
         SUBSTITUTE(SUBSTITUTE(SUBSTITUTE(SUBSTITUTE(AJ5,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COUNTIF(AJ5, "*"&amp;$BN$3&amp;"*"),
           COUNTIF(AJ5, "*"&amp;$BN$4&amp;"*"),
           COUNTIF(AJ5, "*"&amp;$BN$5&amp;"*"),
           COUNTIF(AJ5, "*"&amp;$BN$6&amp;"*"),
           COUNTIF(AJ5, "*"&amp;$BN$7&amp;"*")
         ),
         FALSE,
         TRUE
       ),
       _xlpm.noDigits,
       SUM(--ISNUMBER(FIND({0,1,2,3,4,5,6,7,8,9}, _xlpm.cleaned))) = 0,
       _xlpm.cleaned &amp; IF(_xlpm.needsBR * _xlpm.noDigits, Data!CY47, "")
     ),
  "")
)</f>
        <v/>
      </c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</row>
    <row r="45" spans="1:54" s="9" customFormat="1" ht="23.25" customHeight="1" x14ac:dyDescent="0.35">
      <c r="A45" s="1196"/>
      <c r="B45" s="22">
        <v>3</v>
      </c>
      <c r="C45" s="41" t="str" cm="1">
        <f t="array" ref="C45">IF(
  AND($Y$57=1, C63&lt;&gt;""),
  "O" &amp; Data!BR48,
  IF(C6&lt;&gt;"",
     _xlfn.LET(
       _xlpm.cleaned,
       IF(
         OR(COUNTIF(C6,"L*"), COUNTIF(C6,"X*")),
         SUBSTITUTE(SUBSTITUTE(SUBSTITUTE(SUBSTITUTE(C6,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COUNTIF(C6, "*"&amp;$BN$3&amp;"*"),
           COUNTIF(C6, "*"&amp;$BN$4&amp;"*"),
           COUNTIF(C6, "*"&amp;$BN$5&amp;"*"),
           COUNTIF(C6, "*"&amp;$BN$6&amp;"*"),
           COUNTIF(C6, "*"&amp;$BN$7&amp;"*")
         ),
         FALSE,
         TRUE
       ),
       _xlpm.noDigits,
       SUM(--ISNUMBER(FIND({0,1,2,3,4,5,6,7,8,9}, _xlpm.cleaned))) = 0,
       _xlpm.cleaned &amp; IF(_xlpm.needsBR * _xlpm.noDigits, Data!BR48, "")
     ),
  "")
)</f>
        <v>R1</v>
      </c>
      <c r="D45" s="41" t="str" cm="1">
        <f t="array" ref="D45">IF(
  AND($Y$57=1, D63&lt;&gt;""),
  "O" &amp; Data!BS48,
  IF(D6&lt;&gt;"",
     _xlfn.LET(
       _xlpm.cleaned,
       IF(
         OR(COUNTIF(D6,"L*"), COUNTIF(D6,"X*")),
         SUBSTITUTE(SUBSTITUTE(SUBSTITUTE(SUBSTITUTE(D6,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COUNTIF(D6, "*"&amp;$BN$3&amp;"*"),
           COUNTIF(D6, "*"&amp;$BN$4&amp;"*"),
           COUNTIF(D6, "*"&amp;$BN$5&amp;"*"),
           COUNTIF(D6, "*"&amp;$BN$6&amp;"*"),
           COUNTIF(D6, "*"&amp;$BN$7&amp;"*")
         ),
         FALSE,
         TRUE
       ),
       _xlpm.noDigits,
       SUM(--ISNUMBER(FIND({0,1,2,3,4,5,6,7,8,9}, _xlpm.cleaned))) = 0,
       _xlpm.cleaned &amp; IF(_xlpm.needsBR * _xlpm.noDigits, Data!BS48, "")
     ),
  "")
)</f>
        <v>R1</v>
      </c>
      <c r="E45" s="41" t="str" cm="1">
        <f t="array" ref="E45">IF(
  AND($Y$57=1, E63&lt;&gt;""),
  "O" &amp; Data!BT48,
  IF(E6&lt;&gt;"",
     _xlfn.LET(
       _xlpm.cleaned,
       IF(
         OR(COUNTIF(E6,"L*"), COUNTIF(E6,"X*")),
         SUBSTITUTE(SUBSTITUTE(SUBSTITUTE(SUBSTITUTE(E6,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COUNTIF(E6, "*"&amp;$BN$3&amp;"*"),
           COUNTIF(E6, "*"&amp;$BN$4&amp;"*"),
           COUNTIF(E6, "*"&amp;$BN$5&amp;"*"),
           COUNTIF(E6, "*"&amp;$BN$6&amp;"*"),
           COUNTIF(E6, "*"&amp;$BN$7&amp;"*")
         ),
         FALSE,
         TRUE
       ),
       _xlpm.noDigits,
       SUM(--ISNUMBER(FIND({0,1,2,3,4,5,6,7,8,9}, _xlpm.cleaned))) = 0,
       _xlpm.cleaned &amp; IF(_xlpm.needsBR * _xlpm.noDigits, Data!BT48, "")
     ),
  "")
)</f>
        <v>R1</v>
      </c>
      <c r="F45" s="41" t="str" cm="1">
        <f t="array" ref="F45">IF(
  AND($Y$57=1, F63&lt;&gt;""),
  "O" &amp; Data!BU48,
  IF(F6&lt;&gt;"",
     _xlfn.LET(
       _xlpm.cleaned,
       IF(
         OR(COUNTIF(F6,"L*"), COUNTIF(F6,"X*")),
         SUBSTITUTE(SUBSTITUTE(SUBSTITUTE(SUBSTITUTE(F6,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COUNTIF(F6, "*"&amp;$BN$3&amp;"*"),
           COUNTIF(F6, "*"&amp;$BN$4&amp;"*"),
           COUNTIF(F6, "*"&amp;$BN$5&amp;"*"),
           COUNTIF(F6, "*"&amp;$BN$6&amp;"*"),
           COUNTIF(F6, "*"&amp;$BN$7&amp;"*")
         ),
         FALSE,
         TRUE
       ),
       _xlpm.noDigits,
       SUM(--ISNUMBER(FIND({0,1,2,3,4,5,6,7,8,9}, _xlpm.cleaned))) = 0,
       _xlpm.cleaned &amp; IF(_xlpm.needsBR * _xlpm.noDigits, Data!BU48, "")
     ),
  "")
)</f>
        <v>X5</v>
      </c>
      <c r="G45" s="41" t="str" cm="1">
        <f t="array" ref="G45">IF(
  AND($Y$57=1, G63&lt;&gt;""),
  "O" &amp; Data!BV48,
  IF(G6&lt;&gt;"",
     _xlfn.LET(
       _xlpm.cleaned,
       IF(
         OR(COUNTIF(G6,"L*"), COUNTIF(G6,"X*")),
         SUBSTITUTE(SUBSTITUTE(SUBSTITUTE(SUBSTITUTE(G6,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COUNTIF(G6, "*"&amp;$BN$3&amp;"*"),
           COUNTIF(G6, "*"&amp;$BN$4&amp;"*"),
           COUNTIF(G6, "*"&amp;$BN$5&amp;"*"),
           COUNTIF(G6, "*"&amp;$BN$6&amp;"*"),
           COUNTIF(G6, "*"&amp;$BN$7&amp;"*")
         ),
         FALSE,
         TRUE
       ),
       _xlpm.noDigits,
       SUM(--ISNUMBER(FIND({0,1,2,3,4,5,6,7,8,9}, _xlpm.cleaned))) = 0,
       _xlpm.cleaned &amp; IF(_xlpm.needsBR * _xlpm.noDigits, Data!BV48, "")
     ),
  "")
)</f>
        <v>X5</v>
      </c>
      <c r="H45" s="41" t="str" cm="1">
        <f t="array" ref="H45">IF(
  AND($Y$57=1, H63&lt;&gt;""),
  "O" &amp; Data!BW48,
  IF(H6&lt;&gt;"",
     _xlfn.LET(
       _xlpm.cleaned,
       IF(
         OR(COUNTIF(H6,"L*"), COUNTIF(H6,"X*")),
         SUBSTITUTE(SUBSTITUTE(SUBSTITUTE(SUBSTITUTE(H6,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COUNTIF(H6, "*"&amp;$BN$3&amp;"*"),
           COUNTIF(H6, "*"&amp;$BN$4&amp;"*"),
           COUNTIF(H6, "*"&amp;$BN$5&amp;"*"),
           COUNTIF(H6, "*"&amp;$BN$6&amp;"*"),
           COUNTIF(H6, "*"&amp;$BN$7&amp;"*")
         ),
         FALSE,
         TRUE
       ),
       _xlpm.noDigits,
       SUM(--ISNUMBER(FIND({0,1,2,3,4,5,6,7,8,9}, _xlpm.cleaned))) = 0,
       _xlpm.cleaned &amp; IF(_xlpm.needsBR * _xlpm.noDigits, Data!BW48, "")
     ),
  "")
)</f>
        <v>X5</v>
      </c>
      <c r="I45" s="41" t="str" cm="1">
        <f t="array" ref="I45">IF(
  AND($Y$57=1, I63&lt;&gt;""),
  "O" &amp; Data!BX48,
  IF(I6&lt;&gt;"",
     _xlfn.LET(
       _xlpm.cleaned,
       IF(
         OR(COUNTIF(I6,"L*"), COUNTIF(I6,"X*")),
         SUBSTITUTE(SUBSTITUTE(SUBSTITUTE(SUBSTITUTE(I6,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COUNTIF(I6, "*"&amp;$BN$3&amp;"*"),
           COUNTIF(I6, "*"&amp;$BN$4&amp;"*"),
           COUNTIF(I6, "*"&amp;$BN$5&amp;"*"),
           COUNTIF(I6, "*"&amp;$BN$6&amp;"*"),
           COUNTIF(I6, "*"&amp;$BN$7&amp;"*")
         ),
         FALSE,
         TRUE
       ),
       _xlpm.noDigits,
       SUM(--ISNUMBER(FIND({0,1,2,3,4,5,6,7,8,9}, _xlpm.cleaned))) = 0,
       _xlpm.cleaned &amp; IF(_xlpm.needsBR * _xlpm.noDigits, Data!BX48, "")
     ),
  "")
)</f>
        <v>X3</v>
      </c>
      <c r="J45" s="41" t="str" cm="1">
        <f t="array" ref="J45">IF(
  AND($Y$57=1, J63&lt;&gt;""),
  "O" &amp; Data!BY48,
  IF(J6&lt;&gt;"",
     _xlfn.LET(
       _xlpm.cleaned,
       IF(
         OR(COUNTIF(J6,"L*"), COUNTIF(J6,"X*")),
         SUBSTITUTE(SUBSTITUTE(SUBSTITUTE(SUBSTITUTE(J6,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COUNTIF(J6, "*"&amp;$BN$3&amp;"*"),
           COUNTIF(J6, "*"&amp;$BN$4&amp;"*"),
           COUNTIF(J6, "*"&amp;$BN$5&amp;"*"),
           COUNTIF(J6, "*"&amp;$BN$6&amp;"*"),
           COUNTIF(J6, "*"&amp;$BN$7&amp;"*")
         ),
         FALSE,
         TRUE
       ),
       _xlpm.noDigits,
       SUM(--ISNUMBER(FIND({0,1,2,3,4,5,6,7,8,9}, _xlpm.cleaned))) = 0,
       _xlpm.cleaned &amp; IF(_xlpm.needsBR * _xlpm.noDigits, Data!BY48, "")
     ),
  "")
)</f>
        <v/>
      </c>
      <c r="K45" s="41" t="str" cm="1">
        <f t="array" ref="K45">IF(
  AND($Y$57=1, K63&lt;&gt;""),
  "O" &amp; Data!BZ48,
  IF(K6&lt;&gt;"",
     _xlfn.LET(
       _xlpm.cleaned,
       IF(
         OR(COUNTIF(K6,"L*"), COUNTIF(K6,"X*")),
         SUBSTITUTE(SUBSTITUTE(SUBSTITUTE(SUBSTITUTE(K6,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COUNTIF(K6, "*"&amp;$BN$3&amp;"*"),
           COUNTIF(K6, "*"&amp;$BN$4&amp;"*"),
           COUNTIF(K6, "*"&amp;$BN$5&amp;"*"),
           COUNTIF(K6, "*"&amp;$BN$6&amp;"*"),
           COUNTIF(K6, "*"&amp;$BN$7&amp;"*")
         ),
         FALSE,
         TRUE
       ),
       _xlpm.noDigits,
       SUM(--ISNUMBER(FIND({0,1,2,3,4,5,6,7,8,9}, _xlpm.cleaned))) = 0,
       _xlpm.cleaned &amp; IF(_xlpm.needsBR * _xlpm.noDigits, Data!BZ48, "")
     ),
  "")
)</f>
        <v/>
      </c>
      <c r="L45" s="41" t="str" cm="1">
        <f t="array" ref="L45">IF(
  AND($Y$57=1, L63&lt;&gt;""),
  "O" &amp; Data!CA48,
  IF(L6&lt;&gt;"",
     _xlfn.LET(
       _xlpm.cleaned,
       IF(
         OR(COUNTIF(L6,"L*"), COUNTIF(L6,"X*")),
         SUBSTITUTE(SUBSTITUTE(SUBSTITUTE(SUBSTITUTE(L6,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COUNTIF(L6, "*"&amp;$BN$3&amp;"*"),
           COUNTIF(L6, "*"&amp;$BN$4&amp;"*"),
           COUNTIF(L6, "*"&amp;$BN$5&amp;"*"),
           COUNTIF(L6, "*"&amp;$BN$6&amp;"*"),
           COUNTIF(L6, "*"&amp;$BN$7&amp;"*")
         ),
         FALSE,
         TRUE
       ),
       _xlpm.noDigits,
       SUM(--ISNUMBER(FIND({0,1,2,3,4,5,6,7,8,9}, _xlpm.cleaned))) = 0,
       _xlpm.cleaned &amp; IF(_xlpm.needsBR * _xlpm.noDigits, Data!CA48, "")
     ),
  "")
)</f>
        <v>R2</v>
      </c>
      <c r="M45" s="41" t="str" cm="1">
        <f t="array" ref="M45">IF(
  AND($Y$57=1, M63&lt;&gt;""),
  "O" &amp; Data!CB48,
  IF(M6&lt;&gt;"",
     _xlfn.LET(
       _xlpm.cleaned,
       IF(
         OR(COUNTIF(M6,"L*"), COUNTIF(M6,"X*")),
         SUBSTITUTE(SUBSTITUTE(SUBSTITUTE(SUBSTITUTE(M6,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COUNTIF(M6, "*"&amp;$BN$3&amp;"*"),
           COUNTIF(M6, "*"&amp;$BN$4&amp;"*"),
           COUNTIF(M6, "*"&amp;$BN$5&amp;"*"),
           COUNTIF(M6, "*"&amp;$BN$6&amp;"*"),
           COUNTIF(M6, "*"&amp;$BN$7&amp;"*")
         ),
         FALSE,
         TRUE
       ),
       _xlpm.noDigits,
       SUM(--ISNUMBER(FIND({0,1,2,3,4,5,6,7,8,9}, _xlpm.cleaned))) = 0,
       _xlpm.cleaned &amp; IF(_xlpm.needsBR * _xlpm.noDigits, Data!CB48, "")
     ),
  "")
)</f>
        <v>X4</v>
      </c>
      <c r="N45" s="41" t="str" cm="1">
        <f t="array" ref="N45">IF(
  AND($Y$57=1, N63&lt;&gt;""),
  "O" &amp; Data!CC48,
  IF(N6&lt;&gt;"",
     _xlfn.LET(
       _xlpm.cleaned,
       IF(
         OR(COUNTIF(N6,"L*"), COUNTIF(N6,"X*")),
         SUBSTITUTE(SUBSTITUTE(SUBSTITUTE(SUBSTITUTE(N6,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COUNTIF(N6, "*"&amp;$BN$3&amp;"*"),
           COUNTIF(N6, "*"&amp;$BN$4&amp;"*"),
           COUNTIF(N6, "*"&amp;$BN$5&amp;"*"),
           COUNTIF(N6, "*"&amp;$BN$6&amp;"*"),
           COUNTIF(N6, "*"&amp;$BN$7&amp;"*")
         ),
         FALSE,
         TRUE
       ),
       _xlpm.noDigits,
       SUM(--ISNUMBER(FIND({0,1,2,3,4,5,6,7,8,9}, _xlpm.cleaned))) = 0,
       _xlpm.cleaned &amp; IF(_xlpm.needsBR * _xlpm.noDigits, Data!CC48, "")
     ),
  "")
)</f>
        <v>X4</v>
      </c>
      <c r="O45" s="41" t="str" cm="1">
        <f t="array" ref="O45">IF(
  AND($Y$57=1, O63&lt;&gt;""),
  "O" &amp; Data!CD48,
  IF(O6&lt;&gt;"",
     _xlfn.LET(
       _xlpm.cleaned,
       IF(
         OR(COUNTIF(O6,"L*"), COUNTIF(O6,"X*")),
         SUBSTITUTE(SUBSTITUTE(SUBSTITUTE(SUBSTITUTE(O6,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COUNTIF(O6, "*"&amp;$BN$3&amp;"*"),
           COUNTIF(O6, "*"&amp;$BN$4&amp;"*"),
           COUNTIF(O6, "*"&amp;$BN$5&amp;"*"),
           COUNTIF(O6, "*"&amp;$BN$6&amp;"*"),
           COUNTIF(O6, "*"&amp;$BN$7&amp;"*")
         ),
         FALSE,
         TRUE
       ),
       _xlpm.noDigits,
       SUM(--ISNUMBER(FIND({0,1,2,3,4,5,6,7,8,9}, _xlpm.cleaned))) = 0,
       _xlpm.cleaned &amp; IF(_xlpm.needsBR * _xlpm.noDigits, Data!CD48, "")
     ),
  "")
)</f>
        <v/>
      </c>
      <c r="P45" s="41" t="str" cm="1">
        <f t="array" ref="P45">IF(
  AND($Y$57=1, P63&lt;&gt;""),
  "O" &amp; Data!CE48,
  IF(P6&lt;&gt;"",
     _xlfn.LET(
       _xlpm.cleaned,
       IF(
         OR(COUNTIF(P6,"L*"), COUNTIF(P6,"X*")),
         SUBSTITUTE(SUBSTITUTE(SUBSTITUTE(SUBSTITUTE(P6,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COUNTIF(P6, "*"&amp;$BN$3&amp;"*"),
           COUNTIF(P6, "*"&amp;$BN$4&amp;"*"),
           COUNTIF(P6, "*"&amp;$BN$5&amp;"*"),
           COUNTIF(P6, "*"&amp;$BN$6&amp;"*"),
           COUNTIF(P6, "*"&amp;$BN$7&amp;"*")
         ),
         FALSE,
         TRUE
       ),
       _xlpm.noDigits,
       SUM(--ISNUMBER(FIND({0,1,2,3,4,5,6,7,8,9}, _xlpm.cleaned))) = 0,
       _xlpm.cleaned &amp; IF(_xlpm.needsBR * _xlpm.noDigits, Data!CE48, "")
     ),
  "")
)</f>
        <v/>
      </c>
      <c r="Q45" s="41" t="str" cm="1">
        <f t="array" ref="Q45">IF(
  AND($Y$57=1, Q63&lt;&gt;""),
  "O" &amp; Data!CF48,
  IF(Q6&lt;&gt;"",
     _xlfn.LET(
       _xlpm.cleaned,
       IF(
         OR(COUNTIF(Q6,"L*"), COUNTIF(Q6,"X*")),
         SUBSTITUTE(SUBSTITUTE(SUBSTITUTE(SUBSTITUTE(Q6,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COUNTIF(Q6, "*"&amp;$BN$3&amp;"*"),
           COUNTIF(Q6, "*"&amp;$BN$4&amp;"*"),
           COUNTIF(Q6, "*"&amp;$BN$5&amp;"*"),
           COUNTIF(Q6, "*"&amp;$BN$6&amp;"*"),
           COUNTIF(Q6, "*"&amp;$BN$7&amp;"*")
         ),
         FALSE,
         TRUE
       ),
       _xlpm.noDigits,
       SUM(--ISNUMBER(FIND({0,1,2,3,4,5,6,7,8,9}, _xlpm.cleaned))) = 0,
       _xlpm.cleaned &amp; IF(_xlpm.needsBR * _xlpm.noDigits, Data!CF48, "")
     ),
  "")
)</f>
        <v/>
      </c>
      <c r="R45" s="41" t="str" cm="1">
        <f t="array" ref="R45">IF(
  AND($Y$57=1, R63&lt;&gt;""),
  "O" &amp; Data!CG48,
  IF(R6&lt;&gt;"",
     _xlfn.LET(
       _xlpm.cleaned,
       IF(
         OR(COUNTIF(R6,"L*"), COUNTIF(R6,"X*")),
         SUBSTITUTE(SUBSTITUTE(SUBSTITUTE(SUBSTITUTE(R6,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COUNTIF(R6, "*"&amp;$BN$3&amp;"*"),
           COUNTIF(R6, "*"&amp;$BN$4&amp;"*"),
           COUNTIF(R6, "*"&amp;$BN$5&amp;"*"),
           COUNTIF(R6, "*"&amp;$BN$6&amp;"*"),
           COUNTIF(R6, "*"&amp;$BN$7&amp;"*")
         ),
         FALSE,
         TRUE
       ),
       _xlpm.noDigits,
       SUM(--ISNUMBER(FIND({0,1,2,3,4,5,6,7,8,9}, _xlpm.cleaned))) = 0,
       _xlpm.cleaned &amp; IF(_xlpm.needsBR * _xlpm.noDigits, Data!CG48, "")
     ),
  "")
)</f>
        <v/>
      </c>
      <c r="S45" s="41" t="str" cm="1">
        <f t="array" ref="S45">IF(
  AND($Y$57=1, S63&lt;&gt;""),
  "O" &amp; Data!CH48,
  IF(S6&lt;&gt;"",
     _xlfn.LET(
       _xlpm.cleaned,
       IF(
         OR(COUNTIF(S6,"L*"), COUNTIF(S6,"X*")),
         SUBSTITUTE(SUBSTITUTE(SUBSTITUTE(SUBSTITUTE(S6,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COUNTIF(S6, "*"&amp;$BN$3&amp;"*"),
           COUNTIF(S6, "*"&amp;$BN$4&amp;"*"),
           COUNTIF(S6, "*"&amp;$BN$5&amp;"*"),
           COUNTIF(S6, "*"&amp;$BN$6&amp;"*"),
           COUNTIF(S6, "*"&amp;$BN$7&amp;"*")
         ),
         FALSE,
         TRUE
       ),
       _xlpm.noDigits,
       SUM(--ISNUMBER(FIND({0,1,2,3,4,5,6,7,8,9}, _xlpm.cleaned))) = 0,
       _xlpm.cleaned &amp; IF(_xlpm.needsBR * _xlpm.noDigits, Data!CH48, "")
     ),
  "")
)</f>
        <v/>
      </c>
      <c r="T45" s="41" t="str" cm="1">
        <f t="array" ref="T45">IF(
  AND($Y$57=1, T63&lt;&gt;""),
  "O" &amp; Data!CI48,
  IF(T6&lt;&gt;"",
     _xlfn.LET(
       _xlpm.cleaned,
       IF(
         OR(COUNTIF(T6,"L*"), COUNTIF(T6,"X*")),
         SUBSTITUTE(SUBSTITUTE(SUBSTITUTE(SUBSTITUTE(T6,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COUNTIF(T6, "*"&amp;$BN$3&amp;"*"),
           COUNTIF(T6, "*"&amp;$BN$4&amp;"*"),
           COUNTIF(T6, "*"&amp;$BN$5&amp;"*"),
           COUNTIF(T6, "*"&amp;$BN$6&amp;"*"),
           COUNTIF(T6, "*"&amp;$BN$7&amp;"*")
         ),
         FALSE,
         TRUE
       ),
       _xlpm.noDigits,
       SUM(--ISNUMBER(FIND({0,1,2,3,4,5,6,7,8,9}, _xlpm.cleaned))) = 0,
       _xlpm.cleaned &amp; IF(_xlpm.needsBR * _xlpm.noDigits, Data!CI48, "")
     ),
  "")
)</f>
        <v/>
      </c>
      <c r="U45" s="41" t="str" cm="1">
        <f t="array" ref="U45">IF(
  AND($Y$57=1, U63&lt;&gt;""),
  "O" &amp; Data!CJ48,
  IF(U6&lt;&gt;"",
     _xlfn.LET(
       _xlpm.cleaned,
       IF(
         OR(COUNTIF(U6,"L*"), COUNTIF(U6,"X*")),
         SUBSTITUTE(SUBSTITUTE(SUBSTITUTE(SUBSTITUTE(U6,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COUNTIF(U6, "*"&amp;$BN$3&amp;"*"),
           COUNTIF(U6, "*"&amp;$BN$4&amp;"*"),
           COUNTIF(U6, "*"&amp;$BN$5&amp;"*"),
           COUNTIF(U6, "*"&amp;$BN$6&amp;"*"),
           COUNTIF(U6, "*"&amp;$BN$7&amp;"*")
         ),
         FALSE,
         TRUE
       ),
       _xlpm.noDigits,
       SUM(--ISNUMBER(FIND({0,1,2,3,4,5,6,7,8,9}, _xlpm.cleaned))) = 0,
       _xlpm.cleaned &amp; IF(_xlpm.needsBR * _xlpm.noDigits, Data!CJ48, "")
     ),
  "")
)</f>
        <v/>
      </c>
      <c r="V45" s="41" t="str" cm="1">
        <f t="array" ref="V45">IF(
  AND($Y$57=1, V63&lt;&gt;""),
  "O" &amp; Data!CK48,
  IF(V6&lt;&gt;"",
     _xlfn.LET(
       _xlpm.cleaned,
       IF(
         OR(COUNTIF(V6,"L*"), COUNTIF(V6,"X*")),
         SUBSTITUTE(SUBSTITUTE(SUBSTITUTE(SUBSTITUTE(V6,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COUNTIF(V6, "*"&amp;$BN$3&amp;"*"),
           COUNTIF(V6, "*"&amp;$BN$4&amp;"*"),
           COUNTIF(V6, "*"&amp;$BN$5&amp;"*"),
           COUNTIF(V6, "*"&amp;$BN$6&amp;"*"),
           COUNTIF(V6, "*"&amp;$BN$7&amp;"*")
         ),
         FALSE,
         TRUE
       ),
       _xlpm.noDigits,
       SUM(--ISNUMBER(FIND({0,1,2,3,4,5,6,7,8,9}, _xlpm.cleaned))) = 0,
       _xlpm.cleaned &amp; IF(_xlpm.needsBR * _xlpm.noDigits, Data!CK48, "")
     ),
  "")
)</f>
        <v/>
      </c>
      <c r="W45" s="41" t="str" cm="1">
        <f t="array" ref="W45">IF(
  AND($Y$57=1, W63&lt;&gt;""),
  "O" &amp; Data!CL48,
  IF(W6&lt;&gt;"",
     _xlfn.LET(
       _xlpm.cleaned,
       IF(
         OR(COUNTIF(W6,"L*"), COUNTIF(W6,"X*")),
         SUBSTITUTE(SUBSTITUTE(SUBSTITUTE(SUBSTITUTE(W6,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COUNTIF(W6, "*"&amp;$BN$3&amp;"*"),
           COUNTIF(W6, "*"&amp;$BN$4&amp;"*"),
           COUNTIF(W6, "*"&amp;$BN$5&amp;"*"),
           COUNTIF(W6, "*"&amp;$BN$6&amp;"*"),
           COUNTIF(W6, "*"&amp;$BN$7&amp;"*")
         ),
         FALSE,
         TRUE
       ),
       _xlpm.noDigits,
       SUM(--ISNUMBER(FIND({0,1,2,3,4,5,6,7,8,9}, _xlpm.cleaned))) = 0,
       _xlpm.cleaned &amp; IF(_xlpm.needsBR * _xlpm.noDigits, Data!CL48, "")
     ),
  "")
)</f>
        <v/>
      </c>
      <c r="X45" s="41" t="str" cm="1">
        <f t="array" ref="X45">IF(
  AND($Y$57=1, X63&lt;&gt;""),
  "O" &amp; Data!CM48,
  IF(X6&lt;&gt;"",
     _xlfn.LET(
       _xlpm.cleaned,
       IF(
         OR(COUNTIF(X6,"L*"), COUNTIF(X6,"X*")),
         SUBSTITUTE(SUBSTITUTE(SUBSTITUTE(SUBSTITUTE(X6,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COUNTIF(X6, "*"&amp;$BN$3&amp;"*"),
           COUNTIF(X6, "*"&amp;$BN$4&amp;"*"),
           COUNTIF(X6, "*"&amp;$BN$5&amp;"*"),
           COUNTIF(X6, "*"&amp;$BN$6&amp;"*"),
           COUNTIF(X6, "*"&amp;$BN$7&amp;"*")
         ),
         FALSE,
         TRUE
       ),
       _xlpm.noDigits,
       SUM(--ISNUMBER(FIND({0,1,2,3,4,5,6,7,8,9}, _xlpm.cleaned))) = 0,
       _xlpm.cleaned &amp; IF(_xlpm.needsBR * _xlpm.noDigits, Data!CM48, "")
     ),
  "")
)</f>
        <v/>
      </c>
      <c r="Y45" s="41" t="str" cm="1">
        <f t="array" ref="Y45">IF(
  AND($Y$57=1, Y63&lt;&gt;""),
  "O" &amp; Data!CN48,
  IF(Y6&lt;&gt;"",
     _xlfn.LET(
       _xlpm.cleaned,
       IF(
         OR(COUNTIF(Y6,"L*"), COUNTIF(Y6,"X*")),
         SUBSTITUTE(SUBSTITUTE(SUBSTITUTE(SUBSTITUTE(Y6,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COUNTIF(Y6, "*"&amp;$BN$3&amp;"*"),
           COUNTIF(Y6, "*"&amp;$BN$4&amp;"*"),
           COUNTIF(Y6, "*"&amp;$BN$5&amp;"*"),
           COUNTIF(Y6, "*"&amp;$BN$6&amp;"*"),
           COUNTIF(Y6, "*"&amp;$BN$7&amp;"*")
         ),
         FALSE,
         TRUE
       ),
       _xlpm.noDigits,
       SUM(--ISNUMBER(FIND({0,1,2,3,4,5,6,7,8,9}, _xlpm.cleaned))) = 0,
       _xlpm.cleaned &amp; IF(_xlpm.needsBR * _xlpm.noDigits, Data!CN48, "")
     ),
  "")
)</f>
        <v/>
      </c>
      <c r="Z45" s="41" t="str" cm="1">
        <f t="array" ref="Z45">IF(
  AND($Y$57=1, Z63&lt;&gt;""),
  "O" &amp; Data!CO48,
  IF(Z6&lt;&gt;"",
     _xlfn.LET(
       _xlpm.cleaned,
       IF(
         OR(COUNTIF(Z6,"L*"), COUNTIF(Z6,"X*")),
         SUBSTITUTE(SUBSTITUTE(SUBSTITUTE(SUBSTITUTE(Z6,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COUNTIF(Z6, "*"&amp;$BN$3&amp;"*"),
           COUNTIF(Z6, "*"&amp;$BN$4&amp;"*"),
           COUNTIF(Z6, "*"&amp;$BN$5&amp;"*"),
           COUNTIF(Z6, "*"&amp;$BN$6&amp;"*"),
           COUNTIF(Z6, "*"&amp;$BN$7&amp;"*")
         ),
         FALSE,
         TRUE
       ),
       _xlpm.noDigits,
       SUM(--ISNUMBER(FIND({0,1,2,3,4,5,6,7,8,9}, _xlpm.cleaned))) = 0,
       _xlpm.cleaned &amp; IF(_xlpm.needsBR * _xlpm.noDigits, Data!CO48, "")
     ),
  "")
)</f>
        <v/>
      </c>
      <c r="AA45" s="41" t="str" cm="1">
        <f t="array" ref="AA45">IF(
  AND($Y$57=1, AA63&lt;&gt;""),
  "O" &amp; Data!CP48,
  IF(AA6&lt;&gt;"",
     _xlfn.LET(
       _xlpm.cleaned,
       IF(
         OR(COUNTIF(AA6,"L*"), COUNTIF(AA6,"X*")),
         SUBSTITUTE(SUBSTITUTE(SUBSTITUTE(SUBSTITUTE(AA6,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COUNTIF(AA6, "*"&amp;$BN$3&amp;"*"),
           COUNTIF(AA6, "*"&amp;$BN$4&amp;"*"),
           COUNTIF(AA6, "*"&amp;$BN$5&amp;"*"),
           COUNTIF(AA6, "*"&amp;$BN$6&amp;"*"),
           COUNTIF(AA6, "*"&amp;$BN$7&amp;"*")
         ),
         FALSE,
         TRUE
       ),
       _xlpm.noDigits,
       SUM(--ISNUMBER(FIND({0,1,2,3,4,5,6,7,8,9}, _xlpm.cleaned))) = 0,
       _xlpm.cleaned &amp; IF(_xlpm.needsBR * _xlpm.noDigits, Data!CP48, "")
     ),
  "")
)</f>
        <v/>
      </c>
      <c r="AB45" s="41" t="str" cm="1">
        <f t="array" ref="AB45">IF(
  AND($Y$57=1, AB63&lt;&gt;""),
  "O" &amp; Data!CQ48,
  IF(AB6&lt;&gt;"",
     _xlfn.LET(
       _xlpm.cleaned,
       IF(
         OR(COUNTIF(AB6,"L*"), COUNTIF(AB6,"X*")),
         SUBSTITUTE(SUBSTITUTE(SUBSTITUTE(SUBSTITUTE(AB6,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COUNTIF(AB6, "*"&amp;$BN$3&amp;"*"),
           COUNTIF(AB6, "*"&amp;$BN$4&amp;"*"),
           COUNTIF(AB6, "*"&amp;$BN$5&amp;"*"),
           COUNTIF(AB6, "*"&amp;$BN$6&amp;"*"),
           COUNTIF(AB6, "*"&amp;$BN$7&amp;"*")
         ),
         FALSE,
         TRUE
       ),
       _xlpm.noDigits,
       SUM(--ISNUMBER(FIND({0,1,2,3,4,5,6,7,8,9}, _xlpm.cleaned))) = 0,
       _xlpm.cleaned &amp; IF(_xlpm.needsBR * _xlpm.noDigits, Data!CQ48, "")
     ),
  "")
)</f>
        <v/>
      </c>
      <c r="AC45" s="41" t="str" cm="1">
        <f t="array" ref="AC45">IF(
  AND($Y$57=1, AC63&lt;&gt;""),
  "O" &amp; Data!CR48,
  IF(AC6&lt;&gt;"",
     _xlfn.LET(
       _xlpm.cleaned,
       IF(
         OR(COUNTIF(AC6,"L*"), COUNTIF(AC6,"X*")),
         SUBSTITUTE(SUBSTITUTE(SUBSTITUTE(SUBSTITUTE(AC6,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COUNTIF(AC6, "*"&amp;$BN$3&amp;"*"),
           COUNTIF(AC6, "*"&amp;$BN$4&amp;"*"),
           COUNTIF(AC6, "*"&amp;$BN$5&amp;"*"),
           COUNTIF(AC6, "*"&amp;$BN$6&amp;"*"),
           COUNTIF(AC6, "*"&amp;$BN$7&amp;"*")
         ),
         FALSE,
         TRUE
       ),
       _xlpm.noDigits,
       SUM(--ISNUMBER(FIND({0,1,2,3,4,5,6,7,8,9}, _xlpm.cleaned))) = 0,
       _xlpm.cleaned &amp; IF(_xlpm.needsBR * _xlpm.noDigits, Data!CR48, "")
     ),
  "")
)</f>
        <v/>
      </c>
      <c r="AD45" s="41" t="str" cm="1">
        <f t="array" ref="AD45">IF(
  AND($Y$57=1, AD63&lt;&gt;""),
  "O" &amp; Data!CS48,
  IF(AD6&lt;&gt;"",
     _xlfn.LET(
       _xlpm.cleaned,
       IF(
         OR(COUNTIF(AD6,"L*"), COUNTIF(AD6,"X*")),
         SUBSTITUTE(SUBSTITUTE(SUBSTITUTE(SUBSTITUTE(AD6,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COUNTIF(AD6, "*"&amp;$BN$3&amp;"*"),
           COUNTIF(AD6, "*"&amp;$BN$4&amp;"*"),
           COUNTIF(AD6, "*"&amp;$BN$5&amp;"*"),
           COUNTIF(AD6, "*"&amp;$BN$6&amp;"*"),
           COUNTIF(AD6, "*"&amp;$BN$7&amp;"*")
         ),
         FALSE,
         TRUE
       ),
       _xlpm.noDigits,
       SUM(--ISNUMBER(FIND({0,1,2,3,4,5,6,7,8,9}, _xlpm.cleaned))) = 0,
       _xlpm.cleaned &amp; IF(_xlpm.needsBR * _xlpm.noDigits, Data!CS48, "")
     ),
  "")
)</f>
        <v/>
      </c>
      <c r="AE45" s="41" t="str" cm="1">
        <f t="array" ref="AE45">IF(
  AND($Y$57=1, AE63&lt;&gt;""),
  "O" &amp; Data!CT48,
  IF(AE6&lt;&gt;"",
     _xlfn.LET(
       _xlpm.cleaned,
       IF(
         OR(COUNTIF(AE6,"L*"), COUNTIF(AE6,"X*")),
         SUBSTITUTE(SUBSTITUTE(SUBSTITUTE(SUBSTITUTE(AE6,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COUNTIF(AE6, "*"&amp;$BN$3&amp;"*"),
           COUNTIF(AE6, "*"&amp;$BN$4&amp;"*"),
           COUNTIF(AE6, "*"&amp;$BN$5&amp;"*"),
           COUNTIF(AE6, "*"&amp;$BN$6&amp;"*"),
           COUNTIF(AE6, "*"&amp;$BN$7&amp;"*")
         ),
         FALSE,
         TRUE
       ),
       _xlpm.noDigits,
       SUM(--ISNUMBER(FIND({0,1,2,3,4,5,6,7,8,9}, _xlpm.cleaned))) = 0,
       _xlpm.cleaned &amp; IF(_xlpm.needsBR * _xlpm.noDigits, Data!CT48, "")
     ),
  "")
)</f>
        <v/>
      </c>
      <c r="AF45" s="41" t="str" cm="1">
        <f t="array" ref="AF45">IF(
  AND($Y$57=1, AF63&lt;&gt;""),
  "O" &amp; Data!CU48,
  IF(AF6&lt;&gt;"",
     _xlfn.LET(
       _xlpm.cleaned,
       IF(
         OR(COUNTIF(AF6,"L*"), COUNTIF(AF6,"X*")),
         SUBSTITUTE(SUBSTITUTE(SUBSTITUTE(SUBSTITUTE(AF6,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COUNTIF(AF6, "*"&amp;$BN$3&amp;"*"),
           COUNTIF(AF6, "*"&amp;$BN$4&amp;"*"),
           COUNTIF(AF6, "*"&amp;$BN$5&amp;"*"),
           COUNTIF(AF6, "*"&amp;$BN$6&amp;"*"),
           COUNTIF(AF6, "*"&amp;$BN$7&amp;"*")
         ),
         FALSE,
         TRUE
       ),
       _xlpm.noDigits,
       SUM(--ISNUMBER(FIND({0,1,2,3,4,5,6,7,8,9}, _xlpm.cleaned))) = 0,
       _xlpm.cleaned &amp; IF(_xlpm.needsBR * _xlpm.noDigits, Data!CU48, "")
     ),
  "")
)</f>
        <v/>
      </c>
      <c r="AG45" s="41" t="str" cm="1">
        <f t="array" ref="AG45">IF(
  AND($Y$57=1, AG63&lt;&gt;""),
  "O" &amp; Data!CV48,
  IF(AG6&lt;&gt;"",
     _xlfn.LET(
       _xlpm.cleaned,
       IF(
         OR(COUNTIF(AG6,"L*"), COUNTIF(AG6,"X*")),
         SUBSTITUTE(SUBSTITUTE(SUBSTITUTE(SUBSTITUTE(AG6,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COUNTIF(AG6, "*"&amp;$BN$3&amp;"*"),
           COUNTIF(AG6, "*"&amp;$BN$4&amp;"*"),
           COUNTIF(AG6, "*"&amp;$BN$5&amp;"*"),
           COUNTIF(AG6, "*"&amp;$BN$6&amp;"*"),
           COUNTIF(AG6, "*"&amp;$BN$7&amp;"*")
         ),
         FALSE,
         TRUE
       ),
       _xlpm.noDigits,
       SUM(--ISNUMBER(FIND({0,1,2,3,4,5,6,7,8,9}, _xlpm.cleaned))) = 0,
       _xlpm.cleaned &amp; IF(_xlpm.needsBR * _xlpm.noDigits, Data!CV48, "")
     ),
  "")
)</f>
        <v/>
      </c>
      <c r="AH45" s="41" t="str" cm="1">
        <f t="array" ref="AH45">IF(
  AND($Y$57=1, AH63&lt;&gt;""),
  "O" &amp; Data!CW48,
  IF(AH6&lt;&gt;"",
     _xlfn.LET(
       _xlpm.cleaned,
       IF(
         OR(COUNTIF(AH6,"L*"), COUNTIF(AH6,"X*")),
         SUBSTITUTE(SUBSTITUTE(SUBSTITUTE(SUBSTITUTE(AH6,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COUNTIF(AH6, "*"&amp;$BN$3&amp;"*"),
           COUNTIF(AH6, "*"&amp;$BN$4&amp;"*"),
           COUNTIF(AH6, "*"&amp;$BN$5&amp;"*"),
           COUNTIF(AH6, "*"&amp;$BN$6&amp;"*"),
           COUNTIF(AH6, "*"&amp;$BN$7&amp;"*")
         ),
         FALSE,
         TRUE
       ),
       _xlpm.noDigits,
       SUM(--ISNUMBER(FIND({0,1,2,3,4,5,6,7,8,9}, _xlpm.cleaned))) = 0,
       _xlpm.cleaned &amp; IF(_xlpm.needsBR * _xlpm.noDigits, Data!CW48, "")
     ),
  "")
)</f>
        <v/>
      </c>
      <c r="AI45" s="41" t="str" cm="1">
        <f t="array" ref="AI45">IF(
  AND($Y$57=1, AI63&lt;&gt;""),
  "O" &amp; Data!CX48,
  IF(AI6&lt;&gt;"",
     _xlfn.LET(
       _xlpm.cleaned,
       IF(
         OR(COUNTIF(AI6,"L*"), COUNTIF(AI6,"X*")),
         SUBSTITUTE(SUBSTITUTE(SUBSTITUTE(SUBSTITUTE(AI6,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COUNTIF(AI6, "*"&amp;$BN$3&amp;"*"),
           COUNTIF(AI6, "*"&amp;$BN$4&amp;"*"),
           COUNTIF(AI6, "*"&amp;$BN$5&amp;"*"),
           COUNTIF(AI6, "*"&amp;$BN$6&amp;"*"),
           COUNTIF(AI6, "*"&amp;$BN$7&amp;"*")
         ),
         FALSE,
         TRUE
       ),
       _xlpm.noDigits,
       SUM(--ISNUMBER(FIND({0,1,2,3,4,5,6,7,8,9}, _xlpm.cleaned))) = 0,
       _xlpm.cleaned &amp; IF(_xlpm.needsBR * _xlpm.noDigits, Data!CX48, "")
     ),
  "")
)</f>
        <v/>
      </c>
      <c r="AJ45" s="41" t="str" cm="1">
        <f t="array" ref="AJ45">IF(
  AND($Y$57=1, AJ63&lt;&gt;""),
  "O" &amp; Data!CY48,
  IF(AJ6&lt;&gt;"",
     _xlfn.LET(
       _xlpm.cleaned,
       IF(
         OR(COUNTIF(AJ6,"L*"), COUNTIF(AJ6,"X*")),
         SUBSTITUTE(SUBSTITUTE(SUBSTITUTE(SUBSTITUTE(AJ6,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COUNTIF(AJ6, "*"&amp;$BN$3&amp;"*"),
           COUNTIF(AJ6, "*"&amp;$BN$4&amp;"*"),
           COUNTIF(AJ6, "*"&amp;$BN$5&amp;"*"),
           COUNTIF(AJ6, "*"&amp;$BN$6&amp;"*"),
           COUNTIF(AJ6, "*"&amp;$BN$7&amp;"*")
         ),
         FALSE,
         TRUE
       ),
       _xlpm.noDigits,
       SUM(--ISNUMBER(FIND({0,1,2,3,4,5,6,7,8,9}, _xlpm.cleaned))) = 0,
       _xlpm.cleaned &amp; IF(_xlpm.needsBR * _xlpm.noDigits, Data!CY48, "")
     ),
  "")
)</f>
        <v/>
      </c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</row>
    <row r="46" spans="1:54" ht="23.25" customHeight="1" x14ac:dyDescent="0.35">
      <c r="A46" s="1196"/>
      <c r="B46" s="22">
        <v>4</v>
      </c>
      <c r="C46" s="41" t="str" cm="1">
        <f t="array" ref="C46">IF(
  AND($Y$57=1, C64&lt;&gt;""),
  "O" &amp; Data!BR49,
  IF(C7&lt;&gt;"",
     _xlfn.LET(
       _xlpm.cleaned,
       IF(
         OR(COUNTIF(C7,"L*"), COUNTIF(C7,"X*")),
         SUBSTITUTE(SUBSTITUTE(SUBSTITUTE(SUBSTITUTE(C7,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COUNTIF(C7, "*"&amp;$BN$3&amp;"*"),
           COUNTIF(C7, "*"&amp;$BN$4&amp;"*"),
           COUNTIF(C7, "*"&amp;$BN$5&amp;"*"),
           COUNTIF(C7, "*"&amp;$BN$6&amp;"*"),
           COUNTIF(C7, "*"&amp;$BN$7&amp;"*")
         ),
         FALSE,
         TRUE
       ),
       _xlpm.noDigits,
       SUM(--ISNUMBER(FIND({0,1,2,3,4,5,6,7,8,9}, _xlpm.cleaned))) = 0,
       _xlpm.cleaned &amp; IF(_xlpm.needsBR * _xlpm.noDigits, Data!BR49, "")
     ),
  "")
)</f>
        <v>X5</v>
      </c>
      <c r="D46" s="41" t="str" cm="1">
        <f t="array" ref="D46">IF(
  AND($Y$57=1, D64&lt;&gt;""),
  "O" &amp; Data!BS49,
  IF(D7&lt;&gt;"",
     _xlfn.LET(
       _xlpm.cleaned,
       IF(
         OR(COUNTIF(D7,"L*"), COUNTIF(D7,"X*")),
         SUBSTITUTE(SUBSTITUTE(SUBSTITUTE(SUBSTITUTE(D7,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COUNTIF(D7, "*"&amp;$BN$3&amp;"*"),
           COUNTIF(D7, "*"&amp;$BN$4&amp;"*"),
           COUNTIF(D7, "*"&amp;$BN$5&amp;"*"),
           COUNTIF(D7, "*"&amp;$BN$6&amp;"*"),
           COUNTIF(D7, "*"&amp;$BN$7&amp;"*")
         ),
         FALSE,
         TRUE
       ),
       _xlpm.noDigits,
       SUM(--ISNUMBER(FIND({0,1,2,3,4,5,6,7,8,9}, _xlpm.cleaned))) = 0,
       _xlpm.cleaned &amp; IF(_xlpm.needsBR * _xlpm.noDigits, Data!BS49, "")
     ),
  "")
)</f>
        <v>X5</v>
      </c>
      <c r="E46" s="41" t="str" cm="1">
        <f t="array" ref="E46">IF(
  AND($Y$57=1, E64&lt;&gt;""),
  "O" &amp; Data!BT49,
  IF(E7&lt;&gt;"",
     _xlfn.LET(
       _xlpm.cleaned,
       IF(
         OR(COUNTIF(E7,"L*"), COUNTIF(E7,"X*")),
         SUBSTITUTE(SUBSTITUTE(SUBSTITUTE(SUBSTITUTE(E7,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COUNTIF(E7, "*"&amp;$BN$3&amp;"*"),
           COUNTIF(E7, "*"&amp;$BN$4&amp;"*"),
           COUNTIF(E7, "*"&amp;$BN$5&amp;"*"),
           COUNTIF(E7, "*"&amp;$BN$6&amp;"*"),
           COUNTIF(E7, "*"&amp;$BN$7&amp;"*")
         ),
         FALSE,
         TRUE
       ),
       _xlpm.noDigits,
       SUM(--ISNUMBER(FIND({0,1,2,3,4,5,6,7,8,9}, _xlpm.cleaned))) = 0,
       _xlpm.cleaned &amp; IF(_xlpm.needsBR * _xlpm.noDigits, Data!BT49, "")
     ),
  "")
)</f>
        <v>X5</v>
      </c>
      <c r="F46" s="41" t="str" cm="1">
        <f t="array" ref="F46">IF(
  AND($Y$57=1, F64&lt;&gt;""),
  "O" &amp; Data!BU49,
  IF(F7&lt;&gt;"",
     _xlfn.LET(
       _xlpm.cleaned,
       IF(
         OR(COUNTIF(F7,"L*"), COUNTIF(F7,"X*")),
         SUBSTITUTE(SUBSTITUTE(SUBSTITUTE(SUBSTITUTE(F7,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COUNTIF(F7, "*"&amp;$BN$3&amp;"*"),
           COUNTIF(F7, "*"&amp;$BN$4&amp;"*"),
           COUNTIF(F7, "*"&amp;$BN$5&amp;"*"),
           COUNTIF(F7, "*"&amp;$BN$6&amp;"*"),
           COUNTIF(F7, "*"&amp;$BN$7&amp;"*")
         ),
         FALSE,
         TRUE
       ),
       _xlpm.noDigits,
       SUM(--ISNUMBER(FIND({0,1,2,3,4,5,6,7,8,9}, _xlpm.cleaned))) = 0,
       _xlpm.cleaned &amp; IF(_xlpm.needsBR * _xlpm.noDigits, Data!BU49, "")
     ),
  "")
)</f>
        <v>X5</v>
      </c>
      <c r="G46" s="41" t="str" cm="1">
        <f t="array" ref="G46">IF(
  AND($Y$57=1, G64&lt;&gt;""),
  "O" &amp; Data!BV49,
  IF(G7&lt;&gt;"",
     _xlfn.LET(
       _xlpm.cleaned,
       IF(
         OR(COUNTIF(G7,"L*"), COUNTIF(G7,"X*")),
         SUBSTITUTE(SUBSTITUTE(SUBSTITUTE(SUBSTITUTE(G7,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COUNTIF(G7, "*"&amp;$BN$3&amp;"*"),
           COUNTIF(G7, "*"&amp;$BN$4&amp;"*"),
           COUNTIF(G7, "*"&amp;$BN$5&amp;"*"),
           COUNTIF(G7, "*"&amp;$BN$6&amp;"*"),
           COUNTIF(G7, "*"&amp;$BN$7&amp;"*")
         ),
         FALSE,
         TRUE
       ),
       _xlpm.noDigits,
       SUM(--ISNUMBER(FIND({0,1,2,3,4,5,6,7,8,9}, _xlpm.cleaned))) = 0,
       _xlpm.cleaned &amp; IF(_xlpm.needsBR * _xlpm.noDigits, Data!BV49, "")
     ),
  "")
)</f>
        <v>R1</v>
      </c>
      <c r="H46" s="41" t="str" cm="1">
        <f t="array" ref="H46">IF(
  AND($Y$57=1, H64&lt;&gt;""),
  "O" &amp; Data!BW49,
  IF(H7&lt;&gt;"",
     _xlfn.LET(
       _xlpm.cleaned,
       IF(
         OR(COUNTIF(H7,"L*"), COUNTIF(H7,"X*")),
         SUBSTITUTE(SUBSTITUTE(SUBSTITUTE(SUBSTITUTE(H7,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COUNTIF(H7, "*"&amp;$BN$3&amp;"*"),
           COUNTIF(H7, "*"&amp;$BN$4&amp;"*"),
           COUNTIF(H7, "*"&amp;$BN$5&amp;"*"),
           COUNTIF(H7, "*"&amp;$BN$6&amp;"*"),
           COUNTIF(H7, "*"&amp;$BN$7&amp;"*")
         ),
         FALSE,
         TRUE
       ),
       _xlpm.noDigits,
       SUM(--ISNUMBER(FIND({0,1,2,3,4,5,6,7,8,9}, _xlpm.cleaned))) = 0,
       _xlpm.cleaned &amp; IF(_xlpm.needsBR * _xlpm.noDigits, Data!BW49, "")
     ),
  "")
)</f>
        <v>X3</v>
      </c>
      <c r="I46" s="41" t="str" cm="1">
        <f t="array" ref="I46">IF(
  AND($Y$57=1, I64&lt;&gt;""),
  "O" &amp; Data!BX49,
  IF(I7&lt;&gt;"",
     _xlfn.LET(
       _xlpm.cleaned,
       IF(
         OR(COUNTIF(I7,"L*"), COUNTIF(I7,"X*")),
         SUBSTITUTE(SUBSTITUTE(SUBSTITUTE(SUBSTITUTE(I7,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COUNTIF(I7, "*"&amp;$BN$3&amp;"*"),
           COUNTIF(I7, "*"&amp;$BN$4&amp;"*"),
           COUNTIF(I7, "*"&amp;$BN$5&amp;"*"),
           COUNTIF(I7, "*"&amp;$BN$6&amp;"*"),
           COUNTIF(I7, "*"&amp;$BN$7&amp;"*")
         ),
         FALSE,
         TRUE
       ),
       _xlpm.noDigits,
       SUM(--ISNUMBER(FIND({0,1,2,3,4,5,6,7,8,9}, _xlpm.cleaned))) = 0,
       _xlpm.cleaned &amp; IF(_xlpm.needsBR * _xlpm.noDigits, Data!BX49, "")
     ),
  "")
)</f>
        <v/>
      </c>
      <c r="J46" s="41" t="str" cm="1">
        <f t="array" ref="J46">IF(
  AND($Y$57=1, J64&lt;&gt;""),
  "O" &amp; Data!BY49,
  IF(J7&lt;&gt;"",
     _xlfn.LET(
       _xlpm.cleaned,
       IF(
         OR(COUNTIF(J7,"L*"), COUNTIF(J7,"X*")),
         SUBSTITUTE(SUBSTITUTE(SUBSTITUTE(SUBSTITUTE(J7,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COUNTIF(J7, "*"&amp;$BN$3&amp;"*"),
           COUNTIF(J7, "*"&amp;$BN$4&amp;"*"),
           COUNTIF(J7, "*"&amp;$BN$5&amp;"*"),
           COUNTIF(J7, "*"&amp;$BN$6&amp;"*"),
           COUNTIF(J7, "*"&amp;$BN$7&amp;"*")
         ),
         FALSE,
         TRUE
       ),
       _xlpm.noDigits,
       SUM(--ISNUMBER(FIND({0,1,2,3,4,5,6,7,8,9}, _xlpm.cleaned))) = 0,
       _xlpm.cleaned &amp; IF(_xlpm.needsBR * _xlpm.noDigits, Data!BY49, "")
     ),
  "")
)</f>
        <v/>
      </c>
      <c r="K46" s="41" t="str" cm="1">
        <f t="array" ref="K46">IF(
  AND($Y$57=1, K64&lt;&gt;""),
  "O" &amp; Data!BZ49,
  IF(K7&lt;&gt;"",
     _xlfn.LET(
       _xlpm.cleaned,
       IF(
         OR(COUNTIF(K7,"L*"), COUNTIF(K7,"X*")),
         SUBSTITUTE(SUBSTITUTE(SUBSTITUTE(SUBSTITUTE(K7,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COUNTIF(K7, "*"&amp;$BN$3&amp;"*"),
           COUNTIF(K7, "*"&amp;$BN$4&amp;"*"),
           COUNTIF(K7, "*"&amp;$BN$5&amp;"*"),
           COUNTIF(K7, "*"&amp;$BN$6&amp;"*"),
           COUNTIF(K7, "*"&amp;$BN$7&amp;"*")
         ),
         FALSE,
         TRUE
       ),
       _xlpm.noDigits,
       SUM(--ISNUMBER(FIND({0,1,2,3,4,5,6,7,8,9}, _xlpm.cleaned))) = 0,
       _xlpm.cleaned &amp; IF(_xlpm.needsBR * _xlpm.noDigits, Data!BZ49, "")
     ),
  "")
)</f>
        <v/>
      </c>
      <c r="L46" s="41" t="str" cm="1">
        <f t="array" ref="L46">IF(
  AND($Y$57=1, L64&lt;&gt;""),
  "O" &amp; Data!CA49,
  IF(L7&lt;&gt;"",
     _xlfn.LET(
       _xlpm.cleaned,
       IF(
         OR(COUNTIF(L7,"L*"), COUNTIF(L7,"X*")),
         SUBSTITUTE(SUBSTITUTE(SUBSTITUTE(SUBSTITUTE(L7,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COUNTIF(L7, "*"&amp;$BN$3&amp;"*"),
           COUNTIF(L7, "*"&amp;$BN$4&amp;"*"),
           COUNTIF(L7, "*"&amp;$BN$5&amp;"*"),
           COUNTIF(L7, "*"&amp;$BN$6&amp;"*"),
           COUNTIF(L7, "*"&amp;$BN$7&amp;"*")
         ),
         FALSE,
         TRUE
       ),
       _xlpm.noDigits,
       SUM(--ISNUMBER(FIND({0,1,2,3,4,5,6,7,8,9}, _xlpm.cleaned))) = 0,
       _xlpm.cleaned &amp; IF(_xlpm.needsBR * _xlpm.noDigits, Data!CA49, "")
     ),
  "")
)</f>
        <v>R2</v>
      </c>
      <c r="M46" s="41" t="str" cm="1">
        <f t="array" ref="M46">IF(
  AND($Y$57=1, M64&lt;&gt;""),
  "O" &amp; Data!CB49,
  IF(M7&lt;&gt;"",
     _xlfn.LET(
       _xlpm.cleaned,
       IF(
         OR(COUNTIF(M7,"L*"), COUNTIF(M7,"X*")),
         SUBSTITUTE(SUBSTITUTE(SUBSTITUTE(SUBSTITUTE(M7,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COUNTIF(M7, "*"&amp;$BN$3&amp;"*"),
           COUNTIF(M7, "*"&amp;$BN$4&amp;"*"),
           COUNTIF(M7, "*"&amp;$BN$5&amp;"*"),
           COUNTIF(M7, "*"&amp;$BN$6&amp;"*"),
           COUNTIF(M7, "*"&amp;$BN$7&amp;"*")
         ),
         FALSE,
         TRUE
       ),
       _xlpm.noDigits,
       SUM(--ISNUMBER(FIND({0,1,2,3,4,5,6,7,8,9}, _xlpm.cleaned))) = 0,
       _xlpm.cleaned &amp; IF(_xlpm.needsBR * _xlpm.noDigits, Data!CB49, "")
     ),
  "")
)</f>
        <v>R2</v>
      </c>
      <c r="N46" s="41" t="str" cm="1">
        <f t="array" ref="N46">IF(
  AND($Y$57=1, N64&lt;&gt;""),
  "O" &amp; Data!CC49,
  IF(N7&lt;&gt;"",
     _xlfn.LET(
       _xlpm.cleaned,
       IF(
         OR(COUNTIF(N7,"L*"), COUNTIF(N7,"X*")),
         SUBSTITUTE(SUBSTITUTE(SUBSTITUTE(SUBSTITUTE(N7,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COUNTIF(N7, "*"&amp;$BN$3&amp;"*"),
           COUNTIF(N7, "*"&amp;$BN$4&amp;"*"),
           COUNTIF(N7, "*"&amp;$BN$5&amp;"*"),
           COUNTIF(N7, "*"&amp;$BN$6&amp;"*"),
           COUNTIF(N7, "*"&amp;$BN$7&amp;"*")
         ),
         FALSE,
         TRUE
       ),
       _xlpm.noDigits,
       SUM(--ISNUMBER(FIND({0,1,2,3,4,5,6,7,8,9}, _xlpm.cleaned))) = 0,
       _xlpm.cleaned &amp; IF(_xlpm.needsBR * _xlpm.noDigits, Data!CC49, "")
     ),
  "")
)</f>
        <v>R2</v>
      </c>
      <c r="O46" s="41" t="str" cm="1">
        <f t="array" ref="O46">IF(
  AND($Y$57=1, O64&lt;&gt;""),
  "O" &amp; Data!CD49,
  IF(O7&lt;&gt;"",
     _xlfn.LET(
       _xlpm.cleaned,
       IF(
         OR(COUNTIF(O7,"L*"), COUNTIF(O7,"X*")),
         SUBSTITUTE(SUBSTITUTE(SUBSTITUTE(SUBSTITUTE(O7,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COUNTIF(O7, "*"&amp;$BN$3&amp;"*"),
           COUNTIF(O7, "*"&amp;$BN$4&amp;"*"),
           COUNTIF(O7, "*"&amp;$BN$5&amp;"*"),
           COUNTIF(O7, "*"&amp;$BN$6&amp;"*"),
           COUNTIF(O7, "*"&amp;$BN$7&amp;"*")
         ),
         FALSE,
         TRUE
       ),
       _xlpm.noDigits,
       SUM(--ISNUMBER(FIND({0,1,2,3,4,5,6,7,8,9}, _xlpm.cleaned))) = 0,
       _xlpm.cleaned &amp; IF(_xlpm.needsBR * _xlpm.noDigits, Data!CD49, "")
     ),
  "")
)</f>
        <v>S2</v>
      </c>
      <c r="P46" s="41" t="str" cm="1">
        <f t="array" ref="P46">IF(
  AND($Y$57=1, P64&lt;&gt;""),
  "O" &amp; Data!CE49,
  IF(P7&lt;&gt;"",
     _xlfn.LET(
       _xlpm.cleaned,
       IF(
         OR(COUNTIF(P7,"L*"), COUNTIF(P7,"X*")),
         SUBSTITUTE(SUBSTITUTE(SUBSTITUTE(SUBSTITUTE(P7,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COUNTIF(P7, "*"&amp;$BN$3&amp;"*"),
           COUNTIF(P7, "*"&amp;$BN$4&amp;"*"),
           COUNTIF(P7, "*"&amp;$BN$5&amp;"*"),
           COUNTIF(P7, "*"&amp;$BN$6&amp;"*"),
           COUNTIF(P7, "*"&amp;$BN$7&amp;"*")
         ),
         FALSE,
         TRUE
       ),
       _xlpm.noDigits,
       SUM(--ISNUMBER(FIND({0,1,2,3,4,5,6,7,8,9}, _xlpm.cleaned))) = 0,
       _xlpm.cleaned &amp; IF(_xlpm.needsBR * _xlpm.noDigits, Data!CE49, "")
     ),
  "")
)</f>
        <v/>
      </c>
      <c r="Q46" s="41" t="str" cm="1">
        <f t="array" ref="Q46">IF(
  AND($Y$57=1, Q64&lt;&gt;""),
  "O" &amp; Data!CF49,
  IF(Q7&lt;&gt;"",
     _xlfn.LET(
       _xlpm.cleaned,
       IF(
         OR(COUNTIF(Q7,"L*"), COUNTIF(Q7,"X*")),
         SUBSTITUTE(SUBSTITUTE(SUBSTITUTE(SUBSTITUTE(Q7,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COUNTIF(Q7, "*"&amp;$BN$3&amp;"*"),
           COUNTIF(Q7, "*"&amp;$BN$4&amp;"*"),
           COUNTIF(Q7, "*"&amp;$BN$5&amp;"*"),
           COUNTIF(Q7, "*"&amp;$BN$6&amp;"*"),
           COUNTIF(Q7, "*"&amp;$BN$7&amp;"*")
         ),
         FALSE,
         TRUE
       ),
       _xlpm.noDigits,
       SUM(--ISNUMBER(FIND({0,1,2,3,4,5,6,7,8,9}, _xlpm.cleaned))) = 0,
       _xlpm.cleaned &amp; IF(_xlpm.needsBR * _xlpm.noDigits, Data!CF49, "")
     ),
  "")
)</f>
        <v/>
      </c>
      <c r="R46" s="41" t="str" cm="1">
        <f t="array" ref="R46">IF(
  AND($Y$57=1, R64&lt;&gt;""),
  "O" &amp; Data!CG49,
  IF(R7&lt;&gt;"",
     _xlfn.LET(
       _xlpm.cleaned,
       IF(
         OR(COUNTIF(R7,"L*"), COUNTIF(R7,"X*")),
         SUBSTITUTE(SUBSTITUTE(SUBSTITUTE(SUBSTITUTE(R7,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COUNTIF(R7, "*"&amp;$BN$3&amp;"*"),
           COUNTIF(R7, "*"&amp;$BN$4&amp;"*"),
           COUNTIF(R7, "*"&amp;$BN$5&amp;"*"),
           COUNTIF(R7, "*"&amp;$BN$6&amp;"*"),
           COUNTIF(R7, "*"&amp;$BN$7&amp;"*")
         ),
         FALSE,
         TRUE
       ),
       _xlpm.noDigits,
       SUM(--ISNUMBER(FIND({0,1,2,3,4,5,6,7,8,9}, _xlpm.cleaned))) = 0,
       _xlpm.cleaned &amp; IF(_xlpm.needsBR * _xlpm.noDigits, Data!CG49, "")
     ),
  "")
)</f>
        <v/>
      </c>
      <c r="S46" s="41" t="str" cm="1">
        <f t="array" ref="S46">IF(
  AND($Y$57=1, S64&lt;&gt;""),
  "O" &amp; Data!CH49,
  IF(S7&lt;&gt;"",
     _xlfn.LET(
       _xlpm.cleaned,
       IF(
         OR(COUNTIF(S7,"L*"), COUNTIF(S7,"X*")),
         SUBSTITUTE(SUBSTITUTE(SUBSTITUTE(SUBSTITUTE(S7,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COUNTIF(S7, "*"&amp;$BN$3&amp;"*"),
           COUNTIF(S7, "*"&amp;$BN$4&amp;"*"),
           COUNTIF(S7, "*"&amp;$BN$5&amp;"*"),
           COUNTIF(S7, "*"&amp;$BN$6&amp;"*"),
           COUNTIF(S7, "*"&amp;$BN$7&amp;"*")
         ),
         FALSE,
         TRUE
       ),
       _xlpm.noDigits,
       SUM(--ISNUMBER(FIND({0,1,2,3,4,5,6,7,8,9}, _xlpm.cleaned))) = 0,
       _xlpm.cleaned &amp; IF(_xlpm.needsBR * _xlpm.noDigits, Data!CH49, "")
     ),
  "")
)</f>
        <v/>
      </c>
      <c r="T46" s="41" t="str" cm="1">
        <f t="array" ref="T46">IF(
  AND($Y$57=1, T64&lt;&gt;""),
  "O" &amp; Data!CI49,
  IF(T7&lt;&gt;"",
     _xlfn.LET(
       _xlpm.cleaned,
       IF(
         OR(COUNTIF(T7,"L*"), COUNTIF(T7,"X*")),
         SUBSTITUTE(SUBSTITUTE(SUBSTITUTE(SUBSTITUTE(T7,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COUNTIF(T7, "*"&amp;$BN$3&amp;"*"),
           COUNTIF(T7, "*"&amp;$BN$4&amp;"*"),
           COUNTIF(T7, "*"&amp;$BN$5&amp;"*"),
           COUNTIF(T7, "*"&amp;$BN$6&amp;"*"),
           COUNTIF(T7, "*"&amp;$BN$7&amp;"*")
         ),
         FALSE,
         TRUE
       ),
       _xlpm.noDigits,
       SUM(--ISNUMBER(FIND({0,1,2,3,4,5,6,7,8,9}, _xlpm.cleaned))) = 0,
       _xlpm.cleaned &amp; IF(_xlpm.needsBR * _xlpm.noDigits, Data!CI49, "")
     ),
  "")
)</f>
        <v/>
      </c>
      <c r="U46" s="41" t="str" cm="1">
        <f t="array" ref="U46">IF(
  AND($Y$57=1, U64&lt;&gt;""),
  "O" &amp; Data!CJ49,
  IF(U7&lt;&gt;"",
     _xlfn.LET(
       _xlpm.cleaned,
       IF(
         OR(COUNTIF(U7,"L*"), COUNTIF(U7,"X*")),
         SUBSTITUTE(SUBSTITUTE(SUBSTITUTE(SUBSTITUTE(U7,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COUNTIF(U7, "*"&amp;$BN$3&amp;"*"),
           COUNTIF(U7, "*"&amp;$BN$4&amp;"*"),
           COUNTIF(U7, "*"&amp;$BN$5&amp;"*"),
           COUNTIF(U7, "*"&amp;$BN$6&amp;"*"),
           COUNTIF(U7, "*"&amp;$BN$7&amp;"*")
         ),
         FALSE,
         TRUE
       ),
       _xlpm.noDigits,
       SUM(--ISNUMBER(FIND({0,1,2,3,4,5,6,7,8,9}, _xlpm.cleaned))) = 0,
       _xlpm.cleaned &amp; IF(_xlpm.needsBR * _xlpm.noDigits, Data!CJ49, "")
     ),
  "")
)</f>
        <v/>
      </c>
      <c r="V46" s="41" t="str" cm="1">
        <f t="array" ref="V46">IF(
  AND($Y$57=1, V64&lt;&gt;""),
  "O" &amp; Data!CK49,
  IF(V7&lt;&gt;"",
     _xlfn.LET(
       _xlpm.cleaned,
       IF(
         OR(COUNTIF(V7,"L*"), COUNTIF(V7,"X*")),
         SUBSTITUTE(SUBSTITUTE(SUBSTITUTE(SUBSTITUTE(V7,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COUNTIF(V7, "*"&amp;$BN$3&amp;"*"),
           COUNTIF(V7, "*"&amp;$BN$4&amp;"*"),
           COUNTIF(V7, "*"&amp;$BN$5&amp;"*"),
           COUNTIF(V7, "*"&amp;$BN$6&amp;"*"),
           COUNTIF(V7, "*"&amp;$BN$7&amp;"*")
         ),
         FALSE,
         TRUE
       ),
       _xlpm.noDigits,
       SUM(--ISNUMBER(FIND({0,1,2,3,4,5,6,7,8,9}, _xlpm.cleaned))) = 0,
       _xlpm.cleaned &amp; IF(_xlpm.needsBR * _xlpm.noDigits, Data!CK49, "")
     ),
  "")
)</f>
        <v/>
      </c>
      <c r="W46" s="41" t="str" cm="1">
        <f t="array" ref="W46">IF(
  AND($Y$57=1, W64&lt;&gt;""),
  "O" &amp; Data!CL49,
  IF(W7&lt;&gt;"",
     _xlfn.LET(
       _xlpm.cleaned,
       IF(
         OR(COUNTIF(W7,"L*"), COUNTIF(W7,"X*")),
         SUBSTITUTE(SUBSTITUTE(SUBSTITUTE(SUBSTITUTE(W7,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COUNTIF(W7, "*"&amp;$BN$3&amp;"*"),
           COUNTIF(W7, "*"&amp;$BN$4&amp;"*"),
           COUNTIF(W7, "*"&amp;$BN$5&amp;"*"),
           COUNTIF(W7, "*"&amp;$BN$6&amp;"*"),
           COUNTIF(W7, "*"&amp;$BN$7&amp;"*")
         ),
         FALSE,
         TRUE
       ),
       _xlpm.noDigits,
       SUM(--ISNUMBER(FIND({0,1,2,3,4,5,6,7,8,9}, _xlpm.cleaned))) = 0,
       _xlpm.cleaned &amp; IF(_xlpm.needsBR * _xlpm.noDigits, Data!CL49, "")
     ),
  "")
)</f>
        <v/>
      </c>
      <c r="X46" s="41" t="str" cm="1">
        <f t="array" ref="X46">IF(
  AND($Y$57=1, X64&lt;&gt;""),
  "O" &amp; Data!CM49,
  IF(X7&lt;&gt;"",
     _xlfn.LET(
       _xlpm.cleaned,
       IF(
         OR(COUNTIF(X7,"L*"), COUNTIF(X7,"X*")),
         SUBSTITUTE(SUBSTITUTE(SUBSTITUTE(SUBSTITUTE(X7,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COUNTIF(X7, "*"&amp;$BN$3&amp;"*"),
           COUNTIF(X7, "*"&amp;$BN$4&amp;"*"),
           COUNTIF(X7, "*"&amp;$BN$5&amp;"*"),
           COUNTIF(X7, "*"&amp;$BN$6&amp;"*"),
           COUNTIF(X7, "*"&amp;$BN$7&amp;"*")
         ),
         FALSE,
         TRUE
       ),
       _xlpm.noDigits,
       SUM(--ISNUMBER(FIND({0,1,2,3,4,5,6,7,8,9}, _xlpm.cleaned))) = 0,
       _xlpm.cleaned &amp; IF(_xlpm.needsBR * _xlpm.noDigits, Data!CM49, "")
     ),
  "")
)</f>
        <v/>
      </c>
      <c r="Y46" s="41" t="str" cm="1">
        <f t="array" ref="Y46">IF(
  AND($Y$57=1, Y64&lt;&gt;""),
  "O" &amp; Data!CN49,
  IF(Y7&lt;&gt;"",
     _xlfn.LET(
       _xlpm.cleaned,
       IF(
         OR(COUNTIF(Y7,"L*"), COUNTIF(Y7,"X*")),
         SUBSTITUTE(SUBSTITUTE(SUBSTITUTE(SUBSTITUTE(Y7,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COUNTIF(Y7, "*"&amp;$BN$3&amp;"*"),
           COUNTIF(Y7, "*"&amp;$BN$4&amp;"*"),
           COUNTIF(Y7, "*"&amp;$BN$5&amp;"*"),
           COUNTIF(Y7, "*"&amp;$BN$6&amp;"*"),
           COUNTIF(Y7, "*"&amp;$BN$7&amp;"*")
         ),
         FALSE,
         TRUE
       ),
       _xlpm.noDigits,
       SUM(--ISNUMBER(FIND({0,1,2,3,4,5,6,7,8,9}, _xlpm.cleaned))) = 0,
       _xlpm.cleaned &amp; IF(_xlpm.needsBR * _xlpm.noDigits, Data!CN49, "")
     ),
  "")
)</f>
        <v/>
      </c>
      <c r="Z46" s="41" t="str" cm="1">
        <f t="array" ref="Z46">IF(
  AND($Y$57=1, Z64&lt;&gt;""),
  "O" &amp; Data!CO49,
  IF(Z7&lt;&gt;"",
     _xlfn.LET(
       _xlpm.cleaned,
       IF(
         OR(COUNTIF(Z7,"L*"), COUNTIF(Z7,"X*")),
         SUBSTITUTE(SUBSTITUTE(SUBSTITUTE(SUBSTITUTE(Z7,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COUNTIF(Z7, "*"&amp;$BN$3&amp;"*"),
           COUNTIF(Z7, "*"&amp;$BN$4&amp;"*"),
           COUNTIF(Z7, "*"&amp;$BN$5&amp;"*"),
           COUNTIF(Z7, "*"&amp;$BN$6&amp;"*"),
           COUNTIF(Z7, "*"&amp;$BN$7&amp;"*")
         ),
         FALSE,
         TRUE
       ),
       _xlpm.noDigits,
       SUM(--ISNUMBER(FIND({0,1,2,3,4,5,6,7,8,9}, _xlpm.cleaned))) = 0,
       _xlpm.cleaned &amp; IF(_xlpm.needsBR * _xlpm.noDigits, Data!CO49, "")
     ),
  "")
)</f>
        <v/>
      </c>
      <c r="AA46" s="41" t="str" cm="1">
        <f t="array" ref="AA46">IF(
  AND($Y$57=1, AA64&lt;&gt;""),
  "O" &amp; Data!CP49,
  IF(AA7&lt;&gt;"",
     _xlfn.LET(
       _xlpm.cleaned,
       IF(
         OR(COUNTIF(AA7,"L*"), COUNTIF(AA7,"X*")),
         SUBSTITUTE(SUBSTITUTE(SUBSTITUTE(SUBSTITUTE(AA7,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COUNTIF(AA7, "*"&amp;$BN$3&amp;"*"),
           COUNTIF(AA7, "*"&amp;$BN$4&amp;"*"),
           COUNTIF(AA7, "*"&amp;$BN$5&amp;"*"),
           COUNTIF(AA7, "*"&amp;$BN$6&amp;"*"),
           COUNTIF(AA7, "*"&amp;$BN$7&amp;"*")
         ),
         FALSE,
         TRUE
       ),
       _xlpm.noDigits,
       SUM(--ISNUMBER(FIND({0,1,2,3,4,5,6,7,8,9}, _xlpm.cleaned))) = 0,
       _xlpm.cleaned &amp; IF(_xlpm.needsBR * _xlpm.noDigits, Data!CP49, "")
     ),
  "")
)</f>
        <v/>
      </c>
      <c r="AB46" s="41" t="str" cm="1">
        <f t="array" ref="AB46">IF(
  AND($Y$57=1, AB64&lt;&gt;""),
  "O" &amp; Data!CQ49,
  IF(AB7&lt;&gt;"",
     _xlfn.LET(
       _xlpm.cleaned,
       IF(
         OR(COUNTIF(AB7,"L*"), COUNTIF(AB7,"X*")),
         SUBSTITUTE(SUBSTITUTE(SUBSTITUTE(SUBSTITUTE(AB7,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COUNTIF(AB7, "*"&amp;$BN$3&amp;"*"),
           COUNTIF(AB7, "*"&amp;$BN$4&amp;"*"),
           COUNTIF(AB7, "*"&amp;$BN$5&amp;"*"),
           COUNTIF(AB7, "*"&amp;$BN$6&amp;"*"),
           COUNTIF(AB7, "*"&amp;$BN$7&amp;"*")
         ),
         FALSE,
         TRUE
       ),
       _xlpm.noDigits,
       SUM(--ISNUMBER(FIND({0,1,2,3,4,5,6,7,8,9}, _xlpm.cleaned))) = 0,
       _xlpm.cleaned &amp; IF(_xlpm.needsBR * _xlpm.noDigits, Data!CQ49, "")
     ),
  "")
)</f>
        <v/>
      </c>
      <c r="AC46" s="41" t="str" cm="1">
        <f t="array" ref="AC46">IF(
  AND($Y$57=1, AC64&lt;&gt;""),
  "O" &amp; Data!CR49,
  IF(AC7&lt;&gt;"",
     _xlfn.LET(
       _xlpm.cleaned,
       IF(
         OR(COUNTIF(AC7,"L*"), COUNTIF(AC7,"X*")),
         SUBSTITUTE(SUBSTITUTE(SUBSTITUTE(SUBSTITUTE(AC7,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COUNTIF(AC7, "*"&amp;$BN$3&amp;"*"),
           COUNTIF(AC7, "*"&amp;$BN$4&amp;"*"),
           COUNTIF(AC7, "*"&amp;$BN$5&amp;"*"),
           COUNTIF(AC7, "*"&amp;$BN$6&amp;"*"),
           COUNTIF(AC7, "*"&amp;$BN$7&amp;"*")
         ),
         FALSE,
         TRUE
       ),
       _xlpm.noDigits,
       SUM(--ISNUMBER(FIND({0,1,2,3,4,5,6,7,8,9}, _xlpm.cleaned))) = 0,
       _xlpm.cleaned &amp; IF(_xlpm.needsBR * _xlpm.noDigits, Data!CR49, "")
     ),
  "")
)</f>
        <v/>
      </c>
      <c r="AD46" s="41" t="str" cm="1">
        <f t="array" ref="AD46">IF(
  AND($Y$57=1, AD64&lt;&gt;""),
  "O" &amp; Data!CS49,
  IF(AD7&lt;&gt;"",
     _xlfn.LET(
       _xlpm.cleaned,
       IF(
         OR(COUNTIF(AD7,"L*"), COUNTIF(AD7,"X*")),
         SUBSTITUTE(SUBSTITUTE(SUBSTITUTE(SUBSTITUTE(AD7,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COUNTIF(AD7, "*"&amp;$BN$3&amp;"*"),
           COUNTIF(AD7, "*"&amp;$BN$4&amp;"*"),
           COUNTIF(AD7, "*"&amp;$BN$5&amp;"*"),
           COUNTIF(AD7, "*"&amp;$BN$6&amp;"*"),
           COUNTIF(AD7, "*"&amp;$BN$7&amp;"*")
         ),
         FALSE,
         TRUE
       ),
       _xlpm.noDigits,
       SUM(--ISNUMBER(FIND({0,1,2,3,4,5,6,7,8,9}, _xlpm.cleaned))) = 0,
       _xlpm.cleaned &amp; IF(_xlpm.needsBR * _xlpm.noDigits, Data!CS49, "")
     ),
  "")
)</f>
        <v/>
      </c>
      <c r="AE46" s="41" t="str" cm="1">
        <f t="array" ref="AE46">IF(
  AND($Y$57=1, AE64&lt;&gt;""),
  "O" &amp; Data!CT49,
  IF(AE7&lt;&gt;"",
     _xlfn.LET(
       _xlpm.cleaned,
       IF(
         OR(COUNTIF(AE7,"L*"), COUNTIF(AE7,"X*")),
         SUBSTITUTE(SUBSTITUTE(SUBSTITUTE(SUBSTITUTE(AE7,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COUNTIF(AE7, "*"&amp;$BN$3&amp;"*"),
           COUNTIF(AE7, "*"&amp;$BN$4&amp;"*"),
           COUNTIF(AE7, "*"&amp;$BN$5&amp;"*"),
           COUNTIF(AE7, "*"&amp;$BN$6&amp;"*"),
           COUNTIF(AE7, "*"&amp;$BN$7&amp;"*")
         ),
         FALSE,
         TRUE
       ),
       _xlpm.noDigits,
       SUM(--ISNUMBER(FIND({0,1,2,3,4,5,6,7,8,9}, _xlpm.cleaned))) = 0,
       _xlpm.cleaned &amp; IF(_xlpm.needsBR * _xlpm.noDigits, Data!CT49, "")
     ),
  "")
)</f>
        <v/>
      </c>
      <c r="AF46" s="41" t="str" cm="1">
        <f t="array" ref="AF46">IF(
  AND($Y$57=1, AF64&lt;&gt;""),
  "O" &amp; Data!CU49,
  IF(AF7&lt;&gt;"",
     _xlfn.LET(
       _xlpm.cleaned,
       IF(
         OR(COUNTIF(AF7,"L*"), COUNTIF(AF7,"X*")),
         SUBSTITUTE(SUBSTITUTE(SUBSTITUTE(SUBSTITUTE(AF7,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COUNTIF(AF7, "*"&amp;$BN$3&amp;"*"),
           COUNTIF(AF7, "*"&amp;$BN$4&amp;"*"),
           COUNTIF(AF7, "*"&amp;$BN$5&amp;"*"),
           COUNTIF(AF7, "*"&amp;$BN$6&amp;"*"),
           COUNTIF(AF7, "*"&amp;$BN$7&amp;"*")
         ),
         FALSE,
         TRUE
       ),
       _xlpm.noDigits,
       SUM(--ISNUMBER(FIND({0,1,2,3,4,5,6,7,8,9}, _xlpm.cleaned))) = 0,
       _xlpm.cleaned &amp; IF(_xlpm.needsBR * _xlpm.noDigits, Data!CU49, "")
     ),
  "")
)</f>
        <v/>
      </c>
      <c r="AG46" s="41" t="str" cm="1">
        <f t="array" ref="AG46">IF(
  AND($Y$57=1, AG64&lt;&gt;""),
  "O" &amp; Data!CV49,
  IF(AG7&lt;&gt;"",
     _xlfn.LET(
       _xlpm.cleaned,
       IF(
         OR(COUNTIF(AG7,"L*"), COUNTIF(AG7,"X*")),
         SUBSTITUTE(SUBSTITUTE(SUBSTITUTE(SUBSTITUTE(AG7,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COUNTIF(AG7, "*"&amp;$BN$3&amp;"*"),
           COUNTIF(AG7, "*"&amp;$BN$4&amp;"*"),
           COUNTIF(AG7, "*"&amp;$BN$5&amp;"*"),
           COUNTIF(AG7, "*"&amp;$BN$6&amp;"*"),
           COUNTIF(AG7, "*"&amp;$BN$7&amp;"*")
         ),
         FALSE,
         TRUE
       ),
       _xlpm.noDigits,
       SUM(--ISNUMBER(FIND({0,1,2,3,4,5,6,7,8,9}, _xlpm.cleaned))) = 0,
       _xlpm.cleaned &amp; IF(_xlpm.needsBR * _xlpm.noDigits, Data!CV49, "")
     ),
  "")
)</f>
        <v/>
      </c>
      <c r="AH46" s="41" t="str" cm="1">
        <f t="array" ref="AH46">IF(
  AND($Y$57=1, AH64&lt;&gt;""),
  "O" &amp; Data!CW49,
  IF(AH7&lt;&gt;"",
     _xlfn.LET(
       _xlpm.cleaned,
       IF(
         OR(COUNTIF(AH7,"L*"), COUNTIF(AH7,"X*")),
         SUBSTITUTE(SUBSTITUTE(SUBSTITUTE(SUBSTITUTE(AH7,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COUNTIF(AH7, "*"&amp;$BN$3&amp;"*"),
           COUNTIF(AH7, "*"&amp;$BN$4&amp;"*"),
           COUNTIF(AH7, "*"&amp;$BN$5&amp;"*"),
           COUNTIF(AH7, "*"&amp;$BN$6&amp;"*"),
           COUNTIF(AH7, "*"&amp;$BN$7&amp;"*")
         ),
         FALSE,
         TRUE
       ),
       _xlpm.noDigits,
       SUM(--ISNUMBER(FIND({0,1,2,3,4,5,6,7,8,9}, _xlpm.cleaned))) = 0,
       _xlpm.cleaned &amp; IF(_xlpm.needsBR * _xlpm.noDigits, Data!CW49, "")
     ),
  "")
)</f>
        <v/>
      </c>
      <c r="AI46" s="41" t="str" cm="1">
        <f t="array" ref="AI46">IF(
  AND($Y$57=1, AI64&lt;&gt;""),
  "O" &amp; Data!CX49,
  IF(AI7&lt;&gt;"",
     _xlfn.LET(
       _xlpm.cleaned,
       IF(
         OR(COUNTIF(AI7,"L*"), COUNTIF(AI7,"X*")),
         SUBSTITUTE(SUBSTITUTE(SUBSTITUTE(SUBSTITUTE(AI7,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COUNTIF(AI7, "*"&amp;$BN$3&amp;"*"),
           COUNTIF(AI7, "*"&amp;$BN$4&amp;"*"),
           COUNTIF(AI7, "*"&amp;$BN$5&amp;"*"),
           COUNTIF(AI7, "*"&amp;$BN$6&amp;"*"),
           COUNTIF(AI7, "*"&amp;$BN$7&amp;"*")
         ),
         FALSE,
         TRUE
       ),
       _xlpm.noDigits,
       SUM(--ISNUMBER(FIND({0,1,2,3,4,5,6,7,8,9}, _xlpm.cleaned))) = 0,
       _xlpm.cleaned &amp; IF(_xlpm.needsBR * _xlpm.noDigits, Data!CX49, "")
     ),
  "")
)</f>
        <v/>
      </c>
      <c r="AJ46" s="41" t="str" cm="1">
        <f t="array" ref="AJ46">IF(
  AND($Y$57=1, AJ64&lt;&gt;""),
  "O" &amp; Data!CY49,
  IF(AJ7&lt;&gt;"",
     _xlfn.LET(
       _xlpm.cleaned,
       IF(
         OR(COUNTIF(AJ7,"L*"), COUNTIF(AJ7,"X*")),
         SUBSTITUTE(SUBSTITUTE(SUBSTITUTE(SUBSTITUTE(AJ7,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COUNTIF(AJ7, "*"&amp;$BN$3&amp;"*"),
           COUNTIF(AJ7, "*"&amp;$BN$4&amp;"*"),
           COUNTIF(AJ7, "*"&amp;$BN$5&amp;"*"),
           COUNTIF(AJ7, "*"&amp;$BN$6&amp;"*"),
           COUNTIF(AJ7, "*"&amp;$BN$7&amp;"*")
         ),
         FALSE,
         TRUE
       ),
       _xlpm.noDigits,
       SUM(--ISNUMBER(FIND({0,1,2,3,4,5,6,7,8,9}, _xlpm.cleaned))) = 0,
       _xlpm.cleaned &amp; IF(_xlpm.needsBR * _xlpm.noDigits, Data!CY49, "")
     ),
  "")
)</f>
        <v/>
      </c>
    </row>
    <row r="47" spans="1:54" ht="23.25" customHeight="1" x14ac:dyDescent="0.35">
      <c r="A47" s="1196"/>
      <c r="B47" s="22">
        <v>5</v>
      </c>
      <c r="C47" s="41" t="str" cm="1">
        <f t="array" ref="C47">IF(
  AND($Y$57=1, C65&lt;&gt;""),
  "O" &amp; Data!BR50,
  IF(C8&lt;&gt;"",
     _xlfn.LET(
       _xlpm.cleaned,
       IF(
         OR(COUNTIF(C8,"L*"), COUNTIF(C8,"X*")),
         SUBSTITUTE(SUBSTITUTE(SUBSTITUTE(SUBSTITUTE(C8,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COUNTIF(C8, "*"&amp;$BN$3&amp;"*"),
           COUNTIF(C8, "*"&amp;$BN$4&amp;"*"),
           COUNTIF(C8, "*"&amp;$BN$5&amp;"*"),
           COUNTIF(C8, "*"&amp;$BN$6&amp;"*"),
           COUNTIF(C8, "*"&amp;$BN$7&amp;"*")
         ),
         FALSE,
         TRUE
       ),
       _xlpm.noDigits,
       SUM(--ISNUMBER(FIND({0,1,2,3,4,5,6,7,8,9}, _xlpm.cleaned))) = 0,
       _xlpm.cleaned &amp; IF(_xlpm.needsBR * _xlpm.noDigits, Data!BR50, "")
     ),
  "")
)</f>
        <v>R1</v>
      </c>
      <c r="D47" s="41" t="str" cm="1">
        <f t="array" ref="D47">IF(
  AND($Y$57=1, D65&lt;&gt;""),
  "O" &amp; Data!BS50,
  IF(D8&lt;&gt;"",
     _xlfn.LET(
       _xlpm.cleaned,
       IF(
         OR(COUNTIF(D8,"L*"), COUNTIF(D8,"X*")),
         SUBSTITUTE(SUBSTITUTE(SUBSTITUTE(SUBSTITUTE(D8,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COUNTIF(D8, "*"&amp;$BN$3&amp;"*"),
           COUNTIF(D8, "*"&amp;$BN$4&amp;"*"),
           COUNTIF(D8, "*"&amp;$BN$5&amp;"*"),
           COUNTIF(D8, "*"&amp;$BN$6&amp;"*"),
           COUNTIF(D8, "*"&amp;$BN$7&amp;"*")
         ),
         FALSE,
         TRUE
       ),
       _xlpm.noDigits,
       SUM(--ISNUMBER(FIND({0,1,2,3,4,5,6,7,8,9}, _xlpm.cleaned))) = 0,
       _xlpm.cleaned &amp; IF(_xlpm.needsBR * _xlpm.noDigits, Data!BS50, "")
     ),
  "")
)</f>
        <v>R1</v>
      </c>
      <c r="E47" s="41" t="str" cm="1">
        <f t="array" ref="E47">IF(
  AND($Y$57=1, E65&lt;&gt;""),
  "O" &amp; Data!BT50,
  IF(E8&lt;&gt;"",
     _xlfn.LET(
       _xlpm.cleaned,
       IF(
         OR(COUNTIF(E8,"L*"), COUNTIF(E8,"X*")),
         SUBSTITUTE(SUBSTITUTE(SUBSTITUTE(SUBSTITUTE(E8,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COUNTIF(E8, "*"&amp;$BN$3&amp;"*"),
           COUNTIF(E8, "*"&amp;$BN$4&amp;"*"),
           COUNTIF(E8, "*"&amp;$BN$5&amp;"*"),
           COUNTIF(E8, "*"&amp;$BN$6&amp;"*"),
           COUNTIF(E8, "*"&amp;$BN$7&amp;"*")
         ),
         FALSE,
         TRUE
       ),
       _xlpm.noDigits,
       SUM(--ISNUMBER(FIND({0,1,2,3,4,5,6,7,8,9}, _xlpm.cleaned))) = 0,
       _xlpm.cleaned &amp; IF(_xlpm.needsBR * _xlpm.noDigits, Data!BT50, "")
     ),
  "")
)</f>
        <v>X5</v>
      </c>
      <c r="F47" s="41" t="str" cm="1">
        <f t="array" ref="F47">IF(
  AND($Y$57=1, F65&lt;&gt;""),
  "O" &amp; Data!BU50,
  IF(F8&lt;&gt;"",
     _xlfn.LET(
       _xlpm.cleaned,
       IF(
         OR(COUNTIF(F8,"L*"), COUNTIF(F8,"X*")),
         SUBSTITUTE(SUBSTITUTE(SUBSTITUTE(SUBSTITUTE(F8,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COUNTIF(F8, "*"&amp;$BN$3&amp;"*"),
           COUNTIF(F8, "*"&amp;$BN$4&amp;"*"),
           COUNTIF(F8, "*"&amp;$BN$5&amp;"*"),
           COUNTIF(F8, "*"&amp;$BN$6&amp;"*"),
           COUNTIF(F8, "*"&amp;$BN$7&amp;"*")
         ),
         FALSE,
         TRUE
       ),
       _xlpm.noDigits,
       SUM(--ISNUMBER(FIND({0,1,2,3,4,5,6,7,8,9}, _xlpm.cleaned))) = 0,
       _xlpm.cleaned &amp; IF(_xlpm.needsBR * _xlpm.noDigits, Data!BU50, "")
     ),
  "")
)</f>
        <v>X5</v>
      </c>
      <c r="G47" s="41" t="str" cm="1">
        <f t="array" ref="G47">IF(
  AND($Y$57=1, G65&lt;&gt;""),
  "O" &amp; Data!BV50,
  IF(G8&lt;&gt;"",
     _xlfn.LET(
       _xlpm.cleaned,
       IF(
         OR(COUNTIF(G8,"L*"), COUNTIF(G8,"X*")),
         SUBSTITUTE(SUBSTITUTE(SUBSTITUTE(SUBSTITUTE(G8,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COUNTIF(G8, "*"&amp;$BN$3&amp;"*"),
           COUNTIF(G8, "*"&amp;$BN$4&amp;"*"),
           COUNTIF(G8, "*"&amp;$BN$5&amp;"*"),
           COUNTIF(G8, "*"&amp;$BN$6&amp;"*"),
           COUNTIF(G8, "*"&amp;$BN$7&amp;"*")
         ),
         FALSE,
         TRUE
       ),
       _xlpm.noDigits,
       SUM(--ISNUMBER(FIND({0,1,2,3,4,5,6,7,8,9}, _xlpm.cleaned))) = 0,
       _xlpm.cleaned &amp; IF(_xlpm.needsBR * _xlpm.noDigits, Data!BV50, "")
     ),
  "")
)</f>
        <v>X5</v>
      </c>
      <c r="H47" s="41" t="str" cm="1">
        <f t="array" ref="H47">IF(
  AND($Y$57=1, H65&lt;&gt;""),
  "O" &amp; Data!BW50,
  IF(H8&lt;&gt;"",
     _xlfn.LET(
       _xlpm.cleaned,
       IF(
         OR(COUNTIF(H8,"L*"), COUNTIF(H8,"X*")),
         SUBSTITUTE(SUBSTITUTE(SUBSTITUTE(SUBSTITUTE(H8,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COUNTIF(H8, "*"&amp;$BN$3&amp;"*"),
           COUNTIF(H8, "*"&amp;$BN$4&amp;"*"),
           COUNTIF(H8, "*"&amp;$BN$5&amp;"*"),
           COUNTIF(H8, "*"&amp;$BN$6&amp;"*"),
           COUNTIF(H8, "*"&amp;$BN$7&amp;"*")
         ),
         FALSE,
         TRUE
       ),
       _xlpm.noDigits,
       SUM(--ISNUMBER(FIND({0,1,2,3,4,5,6,7,8,9}, _xlpm.cleaned))) = 0,
       _xlpm.cleaned &amp; IF(_xlpm.needsBR * _xlpm.noDigits, Data!BW50, "")
     ),
  "")
)</f>
        <v>X5</v>
      </c>
      <c r="I47" s="41" t="str" cm="1">
        <f t="array" ref="I47">IF(
  AND($Y$57=1, I65&lt;&gt;""),
  "O" &amp; Data!BX50,
  IF(I8&lt;&gt;"",
     _xlfn.LET(
       _xlpm.cleaned,
       IF(
         OR(COUNTIF(I8,"L*"), COUNTIF(I8,"X*")),
         SUBSTITUTE(SUBSTITUTE(SUBSTITUTE(SUBSTITUTE(I8,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COUNTIF(I8, "*"&amp;$BN$3&amp;"*"),
           COUNTIF(I8, "*"&amp;$BN$4&amp;"*"),
           COUNTIF(I8, "*"&amp;$BN$5&amp;"*"),
           COUNTIF(I8, "*"&amp;$BN$6&amp;"*"),
           COUNTIF(I8, "*"&amp;$BN$7&amp;"*")
         ),
         FALSE,
         TRUE
       ),
       _xlpm.noDigits,
       SUM(--ISNUMBER(FIND({0,1,2,3,4,5,6,7,8,9}, _xlpm.cleaned))) = 0,
       _xlpm.cleaned &amp; IF(_xlpm.needsBR * _xlpm.noDigits, Data!BX50, "")
     ),
  "")
)</f>
        <v>R1</v>
      </c>
      <c r="J47" s="41" t="str" cm="1">
        <f t="array" ref="J47">IF(
  AND($Y$57=1, J65&lt;&gt;""),
  "O" &amp; Data!BY50,
  IF(J8&lt;&gt;"",
     _xlfn.LET(
       _xlpm.cleaned,
       IF(
         OR(COUNTIF(J8,"L*"), COUNTIF(J8,"X*")),
         SUBSTITUTE(SUBSTITUTE(SUBSTITUTE(SUBSTITUTE(J8,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COUNTIF(J8, "*"&amp;$BN$3&amp;"*"),
           COUNTIF(J8, "*"&amp;$BN$4&amp;"*"),
           COUNTIF(J8, "*"&amp;$BN$5&amp;"*"),
           COUNTIF(J8, "*"&amp;$BN$6&amp;"*"),
           COUNTIF(J8, "*"&amp;$BN$7&amp;"*")
         ),
         FALSE,
         TRUE
       ),
       _xlpm.noDigits,
       SUM(--ISNUMBER(FIND({0,1,2,3,4,5,6,7,8,9}, _xlpm.cleaned))) = 0,
       _xlpm.cleaned &amp; IF(_xlpm.needsBR * _xlpm.noDigits, Data!BY50, "")
     ),
  "")
)</f>
        <v>X3</v>
      </c>
      <c r="K47" s="41" t="str" cm="1">
        <f t="array" ref="K47">IF(
  AND($Y$57=1, K65&lt;&gt;""),
  "O" &amp; Data!BZ50,
  IF(K8&lt;&gt;"",
     _xlfn.LET(
       _xlpm.cleaned,
       IF(
         OR(COUNTIF(K8,"L*"), COUNTIF(K8,"X*")),
         SUBSTITUTE(SUBSTITUTE(SUBSTITUTE(SUBSTITUTE(K8,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COUNTIF(K8, "*"&amp;$BN$3&amp;"*"),
           COUNTIF(K8, "*"&amp;$BN$4&amp;"*"),
           COUNTIF(K8, "*"&amp;$BN$5&amp;"*"),
           COUNTIF(K8, "*"&amp;$BN$6&amp;"*"),
           COUNTIF(K8, "*"&amp;$BN$7&amp;"*")
         ),
         FALSE,
         TRUE
       ),
       _xlpm.noDigits,
       SUM(--ISNUMBER(FIND({0,1,2,3,4,5,6,7,8,9}, _xlpm.cleaned))) = 0,
       _xlpm.cleaned &amp; IF(_xlpm.needsBR * _xlpm.noDigits, Data!BZ50, "")
     ),
  "")
)</f>
        <v/>
      </c>
      <c r="L47" s="41" t="str" cm="1">
        <f t="array" ref="L47">IF(
  AND($Y$57=1, L65&lt;&gt;""),
  "O" &amp; Data!CA50,
  IF(L8&lt;&gt;"",
     _xlfn.LET(
       _xlpm.cleaned,
       IF(
         OR(COUNTIF(L8,"L*"), COUNTIF(L8,"X*")),
         SUBSTITUTE(SUBSTITUTE(SUBSTITUTE(SUBSTITUTE(L8,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COUNTIF(L8, "*"&amp;$BN$3&amp;"*"),
           COUNTIF(L8, "*"&amp;$BN$4&amp;"*"),
           COUNTIF(L8, "*"&amp;$BN$5&amp;"*"),
           COUNTIF(L8, "*"&amp;$BN$6&amp;"*"),
           COUNTIF(L8, "*"&amp;$BN$7&amp;"*")
         ),
         FALSE,
         TRUE
       ),
       _xlpm.noDigits,
       SUM(--ISNUMBER(FIND({0,1,2,3,4,5,6,7,8,9}, _xlpm.cleaned))) = 0,
       _xlpm.cleaned &amp; IF(_xlpm.needsBR * _xlpm.noDigits, Data!CA50, "")
     ),
  "")
)</f>
        <v>R2</v>
      </c>
      <c r="M47" s="41" t="str" cm="1">
        <f t="array" ref="M47">IF(
  AND($Y$57=1, M65&lt;&gt;""),
  "O" &amp; Data!CB50,
  IF(M8&lt;&gt;"",
     _xlfn.LET(
       _xlpm.cleaned,
       IF(
         OR(COUNTIF(M8,"L*"), COUNTIF(M8,"X*")),
         SUBSTITUTE(SUBSTITUTE(SUBSTITUTE(SUBSTITUTE(M8,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COUNTIF(M8, "*"&amp;$BN$3&amp;"*"),
           COUNTIF(M8, "*"&amp;$BN$4&amp;"*"),
           COUNTIF(M8, "*"&amp;$BN$5&amp;"*"),
           COUNTIF(M8, "*"&amp;$BN$6&amp;"*"),
           COUNTIF(M8, "*"&amp;$BN$7&amp;"*")
         ),
         FALSE,
         TRUE
       ),
       _xlpm.noDigits,
       SUM(--ISNUMBER(FIND({0,1,2,3,4,5,6,7,8,9}, _xlpm.cleaned))) = 0,
       _xlpm.cleaned &amp; IF(_xlpm.needsBR * _xlpm.noDigits, Data!CB50, "")
     ),
  "")
)</f>
        <v>X4</v>
      </c>
      <c r="N47" s="41" t="str" cm="1">
        <f t="array" ref="N47">IF(
  AND($Y$57=1, N65&lt;&gt;""),
  "O" &amp; Data!CC50,
  IF(N8&lt;&gt;"",
     _xlfn.LET(
       _xlpm.cleaned,
       IF(
         OR(COUNTIF(N8,"L*"), COUNTIF(N8,"X*")),
         SUBSTITUTE(SUBSTITUTE(SUBSTITUTE(SUBSTITUTE(N8,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COUNTIF(N8, "*"&amp;$BN$3&amp;"*"),
           COUNTIF(N8, "*"&amp;$BN$4&amp;"*"),
           COUNTIF(N8, "*"&amp;$BN$5&amp;"*"),
           COUNTIF(N8, "*"&amp;$BN$6&amp;"*"),
           COUNTIF(N8, "*"&amp;$BN$7&amp;"*")
         ),
         FALSE,
         TRUE
       ),
       _xlpm.noDigits,
       SUM(--ISNUMBER(FIND({0,1,2,3,4,5,6,7,8,9}, _xlpm.cleaned))) = 0,
       _xlpm.cleaned &amp; IF(_xlpm.needsBR * _xlpm.noDigits, Data!CC50, "")
     ),
  "")
)</f>
        <v>R2</v>
      </c>
      <c r="O47" s="41" t="str" cm="1">
        <f t="array" ref="O47">IF(
  AND($Y$57=1, O65&lt;&gt;""),
  "O" &amp; Data!CD50,
  IF(O8&lt;&gt;"",
     _xlfn.LET(
       _xlpm.cleaned,
       IF(
         OR(COUNTIF(O8,"L*"), COUNTIF(O8,"X*")),
         SUBSTITUTE(SUBSTITUTE(SUBSTITUTE(SUBSTITUTE(O8,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COUNTIF(O8, "*"&amp;$BN$3&amp;"*"),
           COUNTIF(O8, "*"&amp;$BN$4&amp;"*"),
           COUNTIF(O8, "*"&amp;$BN$5&amp;"*"),
           COUNTIF(O8, "*"&amp;$BN$6&amp;"*"),
           COUNTIF(O8, "*"&amp;$BN$7&amp;"*")
         ),
         FALSE,
         TRUE
       ),
       _xlpm.noDigits,
       SUM(--ISNUMBER(FIND({0,1,2,3,4,5,6,7,8,9}, _xlpm.cleaned))) = 0,
       _xlpm.cleaned &amp; IF(_xlpm.needsBR * _xlpm.noDigits, Data!CD50, "")
     ),
  "")
)</f>
        <v>R2</v>
      </c>
      <c r="P47" s="41" t="str" cm="1">
        <f t="array" ref="P47">IF(
  AND($Y$57=1, P65&lt;&gt;""),
  "O" &amp; Data!CE50,
  IF(P8&lt;&gt;"",
     _xlfn.LET(
       _xlpm.cleaned,
       IF(
         OR(COUNTIF(P8,"L*"), COUNTIF(P8,"X*")),
         SUBSTITUTE(SUBSTITUTE(SUBSTITUTE(SUBSTITUTE(P8,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COUNTIF(P8, "*"&amp;$BN$3&amp;"*"),
           COUNTIF(P8, "*"&amp;$BN$4&amp;"*"),
           COUNTIF(P8, "*"&amp;$BN$5&amp;"*"),
           COUNTIF(P8, "*"&amp;$BN$6&amp;"*"),
           COUNTIF(P8, "*"&amp;$BN$7&amp;"*")
         ),
         FALSE,
         TRUE
       ),
       _xlpm.noDigits,
       SUM(--ISNUMBER(FIND({0,1,2,3,4,5,6,7,8,9}, _xlpm.cleaned))) = 0,
       _xlpm.cleaned &amp; IF(_xlpm.needsBR * _xlpm.noDigits, Data!CE50, "")
     ),
  "")
)</f>
        <v/>
      </c>
      <c r="Q47" s="41" t="str" cm="1">
        <f t="array" ref="Q47">IF(
  AND($Y$57=1, Q65&lt;&gt;""),
  "O" &amp; Data!CF50,
  IF(Q8&lt;&gt;"",
     _xlfn.LET(
       _xlpm.cleaned,
       IF(
         OR(COUNTIF(Q8,"L*"), COUNTIF(Q8,"X*")),
         SUBSTITUTE(SUBSTITUTE(SUBSTITUTE(SUBSTITUTE(Q8,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COUNTIF(Q8, "*"&amp;$BN$3&amp;"*"),
           COUNTIF(Q8, "*"&amp;$BN$4&amp;"*"),
           COUNTIF(Q8, "*"&amp;$BN$5&amp;"*"),
           COUNTIF(Q8, "*"&amp;$BN$6&amp;"*"),
           COUNTIF(Q8, "*"&amp;$BN$7&amp;"*")
         ),
         FALSE,
         TRUE
       ),
       _xlpm.noDigits,
       SUM(--ISNUMBER(FIND({0,1,2,3,4,5,6,7,8,9}, _xlpm.cleaned))) = 0,
       _xlpm.cleaned &amp; IF(_xlpm.needsBR * _xlpm.noDigits, Data!CF50, "")
     ),
  "")
)</f>
        <v/>
      </c>
      <c r="R47" s="41" t="str" cm="1">
        <f t="array" ref="R47">IF(
  AND($Y$57=1, R65&lt;&gt;""),
  "O" &amp; Data!CG50,
  IF(R8&lt;&gt;"",
     _xlfn.LET(
       _xlpm.cleaned,
       IF(
         OR(COUNTIF(R8,"L*"), COUNTIF(R8,"X*")),
         SUBSTITUTE(SUBSTITUTE(SUBSTITUTE(SUBSTITUTE(R8,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COUNTIF(R8, "*"&amp;$BN$3&amp;"*"),
           COUNTIF(R8, "*"&amp;$BN$4&amp;"*"),
           COUNTIF(R8, "*"&amp;$BN$5&amp;"*"),
           COUNTIF(R8, "*"&amp;$BN$6&amp;"*"),
           COUNTIF(R8, "*"&amp;$BN$7&amp;"*")
         ),
         FALSE,
         TRUE
       ),
       _xlpm.noDigits,
       SUM(--ISNUMBER(FIND({0,1,2,3,4,5,6,7,8,9}, _xlpm.cleaned))) = 0,
       _xlpm.cleaned &amp; IF(_xlpm.needsBR * _xlpm.noDigits, Data!CG50, "")
     ),
  "")
)</f>
        <v/>
      </c>
      <c r="S47" s="41" t="str" cm="1">
        <f t="array" ref="S47">IF(
  AND($Y$57=1, S65&lt;&gt;""),
  "O" &amp; Data!CH50,
  IF(S8&lt;&gt;"",
     _xlfn.LET(
       _xlpm.cleaned,
       IF(
         OR(COUNTIF(S8,"L*"), COUNTIF(S8,"X*")),
         SUBSTITUTE(SUBSTITUTE(SUBSTITUTE(SUBSTITUTE(S8,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COUNTIF(S8, "*"&amp;$BN$3&amp;"*"),
           COUNTIF(S8, "*"&amp;$BN$4&amp;"*"),
           COUNTIF(S8, "*"&amp;$BN$5&amp;"*"),
           COUNTIF(S8, "*"&amp;$BN$6&amp;"*"),
           COUNTIF(S8, "*"&amp;$BN$7&amp;"*")
         ),
         FALSE,
         TRUE
       ),
       _xlpm.noDigits,
       SUM(--ISNUMBER(FIND({0,1,2,3,4,5,6,7,8,9}, _xlpm.cleaned))) = 0,
       _xlpm.cleaned &amp; IF(_xlpm.needsBR * _xlpm.noDigits, Data!CH50, "")
     ),
  "")
)</f>
        <v/>
      </c>
      <c r="T47" s="41" t="str" cm="1">
        <f t="array" ref="T47">IF(
  AND($Y$57=1, T65&lt;&gt;""),
  "O" &amp; Data!CI50,
  IF(T8&lt;&gt;"",
     _xlfn.LET(
       _xlpm.cleaned,
       IF(
         OR(COUNTIF(T8,"L*"), COUNTIF(T8,"X*")),
         SUBSTITUTE(SUBSTITUTE(SUBSTITUTE(SUBSTITUTE(T8,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COUNTIF(T8, "*"&amp;$BN$3&amp;"*"),
           COUNTIF(T8, "*"&amp;$BN$4&amp;"*"),
           COUNTIF(T8, "*"&amp;$BN$5&amp;"*"),
           COUNTIF(T8, "*"&amp;$BN$6&amp;"*"),
           COUNTIF(T8, "*"&amp;$BN$7&amp;"*")
         ),
         FALSE,
         TRUE
       ),
       _xlpm.noDigits,
       SUM(--ISNUMBER(FIND({0,1,2,3,4,5,6,7,8,9}, _xlpm.cleaned))) = 0,
       _xlpm.cleaned &amp; IF(_xlpm.needsBR * _xlpm.noDigits, Data!CI50, "")
     ),
  "")
)</f>
        <v/>
      </c>
      <c r="U47" s="41" t="str" cm="1">
        <f t="array" ref="U47">IF(
  AND($Y$57=1, U65&lt;&gt;""),
  "O" &amp; Data!CJ50,
  IF(U8&lt;&gt;"",
     _xlfn.LET(
       _xlpm.cleaned,
       IF(
         OR(COUNTIF(U8,"L*"), COUNTIF(U8,"X*")),
         SUBSTITUTE(SUBSTITUTE(SUBSTITUTE(SUBSTITUTE(U8,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COUNTIF(U8, "*"&amp;$BN$3&amp;"*"),
           COUNTIF(U8, "*"&amp;$BN$4&amp;"*"),
           COUNTIF(U8, "*"&amp;$BN$5&amp;"*"),
           COUNTIF(U8, "*"&amp;$BN$6&amp;"*"),
           COUNTIF(U8, "*"&amp;$BN$7&amp;"*")
         ),
         FALSE,
         TRUE
       ),
       _xlpm.noDigits,
       SUM(--ISNUMBER(FIND({0,1,2,3,4,5,6,7,8,9}, _xlpm.cleaned))) = 0,
       _xlpm.cleaned &amp; IF(_xlpm.needsBR * _xlpm.noDigits, Data!CJ50, "")
     ),
  "")
)</f>
        <v/>
      </c>
      <c r="V47" s="41" t="str" cm="1">
        <f t="array" ref="V47">IF(
  AND($Y$57=1, V65&lt;&gt;""),
  "O" &amp; Data!CK50,
  IF(V8&lt;&gt;"",
     _xlfn.LET(
       _xlpm.cleaned,
       IF(
         OR(COUNTIF(V8,"L*"), COUNTIF(V8,"X*")),
         SUBSTITUTE(SUBSTITUTE(SUBSTITUTE(SUBSTITUTE(V8,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COUNTIF(V8, "*"&amp;$BN$3&amp;"*"),
           COUNTIF(V8, "*"&amp;$BN$4&amp;"*"),
           COUNTIF(V8, "*"&amp;$BN$5&amp;"*"),
           COUNTIF(V8, "*"&amp;$BN$6&amp;"*"),
           COUNTIF(V8, "*"&amp;$BN$7&amp;"*")
         ),
         FALSE,
         TRUE
       ),
       _xlpm.noDigits,
       SUM(--ISNUMBER(FIND({0,1,2,3,4,5,6,7,8,9}, _xlpm.cleaned))) = 0,
       _xlpm.cleaned &amp; IF(_xlpm.needsBR * _xlpm.noDigits, Data!CK50, "")
     ),
  "")
)</f>
        <v/>
      </c>
      <c r="W47" s="41" t="str" cm="1">
        <f t="array" ref="W47">IF(
  AND($Y$57=1, W65&lt;&gt;""),
  "O" &amp; Data!CL50,
  IF(W8&lt;&gt;"",
     _xlfn.LET(
       _xlpm.cleaned,
       IF(
         OR(COUNTIF(W8,"L*"), COUNTIF(W8,"X*")),
         SUBSTITUTE(SUBSTITUTE(SUBSTITUTE(SUBSTITUTE(W8,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COUNTIF(W8, "*"&amp;$BN$3&amp;"*"),
           COUNTIF(W8, "*"&amp;$BN$4&amp;"*"),
           COUNTIF(W8, "*"&amp;$BN$5&amp;"*"),
           COUNTIF(W8, "*"&amp;$BN$6&amp;"*"),
           COUNTIF(W8, "*"&amp;$BN$7&amp;"*")
         ),
         FALSE,
         TRUE
       ),
       _xlpm.noDigits,
       SUM(--ISNUMBER(FIND({0,1,2,3,4,5,6,7,8,9}, _xlpm.cleaned))) = 0,
       _xlpm.cleaned &amp; IF(_xlpm.needsBR * _xlpm.noDigits, Data!CL50, "")
     ),
  "")
)</f>
        <v/>
      </c>
      <c r="X47" s="41" t="str" cm="1">
        <f t="array" ref="X47">IF(
  AND($Y$57=1, X65&lt;&gt;""),
  "O" &amp; Data!CM50,
  IF(X8&lt;&gt;"",
     _xlfn.LET(
       _xlpm.cleaned,
       IF(
         OR(COUNTIF(X8,"L*"), COUNTIF(X8,"X*")),
         SUBSTITUTE(SUBSTITUTE(SUBSTITUTE(SUBSTITUTE(X8,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COUNTIF(X8, "*"&amp;$BN$3&amp;"*"),
           COUNTIF(X8, "*"&amp;$BN$4&amp;"*"),
           COUNTIF(X8, "*"&amp;$BN$5&amp;"*"),
           COUNTIF(X8, "*"&amp;$BN$6&amp;"*"),
           COUNTIF(X8, "*"&amp;$BN$7&amp;"*")
         ),
         FALSE,
         TRUE
       ),
       _xlpm.noDigits,
       SUM(--ISNUMBER(FIND({0,1,2,3,4,5,6,7,8,9}, _xlpm.cleaned))) = 0,
       _xlpm.cleaned &amp; IF(_xlpm.needsBR * _xlpm.noDigits, Data!CM50, "")
     ),
  "")
)</f>
        <v/>
      </c>
      <c r="Y47" s="41" t="str" cm="1">
        <f t="array" ref="Y47">IF(
  AND($Y$57=1, Y65&lt;&gt;""),
  "O" &amp; Data!CN50,
  IF(Y8&lt;&gt;"",
     _xlfn.LET(
       _xlpm.cleaned,
       IF(
         OR(COUNTIF(Y8,"L*"), COUNTIF(Y8,"X*")),
         SUBSTITUTE(SUBSTITUTE(SUBSTITUTE(SUBSTITUTE(Y8,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COUNTIF(Y8, "*"&amp;$BN$3&amp;"*"),
           COUNTIF(Y8, "*"&amp;$BN$4&amp;"*"),
           COUNTIF(Y8, "*"&amp;$BN$5&amp;"*"),
           COUNTIF(Y8, "*"&amp;$BN$6&amp;"*"),
           COUNTIF(Y8, "*"&amp;$BN$7&amp;"*")
         ),
         FALSE,
         TRUE
       ),
       _xlpm.noDigits,
       SUM(--ISNUMBER(FIND({0,1,2,3,4,5,6,7,8,9}, _xlpm.cleaned))) = 0,
       _xlpm.cleaned &amp; IF(_xlpm.needsBR * _xlpm.noDigits, Data!CN50, "")
     ),
  "")
)</f>
        <v/>
      </c>
      <c r="Z47" s="41" t="str" cm="1">
        <f t="array" ref="Z47">IF(
  AND($Y$57=1, Z65&lt;&gt;""),
  "O" &amp; Data!CO50,
  IF(Z8&lt;&gt;"",
     _xlfn.LET(
       _xlpm.cleaned,
       IF(
         OR(COUNTIF(Z8,"L*"), COUNTIF(Z8,"X*")),
         SUBSTITUTE(SUBSTITUTE(SUBSTITUTE(SUBSTITUTE(Z8,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COUNTIF(Z8, "*"&amp;$BN$3&amp;"*"),
           COUNTIF(Z8, "*"&amp;$BN$4&amp;"*"),
           COUNTIF(Z8, "*"&amp;$BN$5&amp;"*"),
           COUNTIF(Z8, "*"&amp;$BN$6&amp;"*"),
           COUNTIF(Z8, "*"&amp;$BN$7&amp;"*")
         ),
         FALSE,
         TRUE
       ),
       _xlpm.noDigits,
       SUM(--ISNUMBER(FIND({0,1,2,3,4,5,6,7,8,9}, _xlpm.cleaned))) = 0,
       _xlpm.cleaned &amp; IF(_xlpm.needsBR * _xlpm.noDigits, Data!CO50, "")
     ),
  "")
)</f>
        <v/>
      </c>
      <c r="AA47" s="41" t="str" cm="1">
        <f t="array" ref="AA47">IF(
  AND($Y$57=1, AA65&lt;&gt;""),
  "O" &amp; Data!CP50,
  IF(AA8&lt;&gt;"",
     _xlfn.LET(
       _xlpm.cleaned,
       IF(
         OR(COUNTIF(AA8,"L*"), COUNTIF(AA8,"X*")),
         SUBSTITUTE(SUBSTITUTE(SUBSTITUTE(SUBSTITUTE(AA8,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COUNTIF(AA8, "*"&amp;$BN$3&amp;"*"),
           COUNTIF(AA8, "*"&amp;$BN$4&amp;"*"),
           COUNTIF(AA8, "*"&amp;$BN$5&amp;"*"),
           COUNTIF(AA8, "*"&amp;$BN$6&amp;"*"),
           COUNTIF(AA8, "*"&amp;$BN$7&amp;"*")
         ),
         FALSE,
         TRUE
       ),
       _xlpm.noDigits,
       SUM(--ISNUMBER(FIND({0,1,2,3,4,5,6,7,8,9}, _xlpm.cleaned))) = 0,
       _xlpm.cleaned &amp; IF(_xlpm.needsBR * _xlpm.noDigits, Data!CP50, "")
     ),
  "")
)</f>
        <v/>
      </c>
      <c r="AB47" s="41" t="str" cm="1">
        <f t="array" ref="AB47">IF(
  AND($Y$57=1, AB65&lt;&gt;""),
  "O" &amp; Data!CQ50,
  IF(AB8&lt;&gt;"",
     _xlfn.LET(
       _xlpm.cleaned,
       IF(
         OR(COUNTIF(AB8,"L*"), COUNTIF(AB8,"X*")),
         SUBSTITUTE(SUBSTITUTE(SUBSTITUTE(SUBSTITUTE(AB8,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COUNTIF(AB8, "*"&amp;$BN$3&amp;"*"),
           COUNTIF(AB8, "*"&amp;$BN$4&amp;"*"),
           COUNTIF(AB8, "*"&amp;$BN$5&amp;"*"),
           COUNTIF(AB8, "*"&amp;$BN$6&amp;"*"),
           COUNTIF(AB8, "*"&amp;$BN$7&amp;"*")
         ),
         FALSE,
         TRUE
       ),
       _xlpm.noDigits,
       SUM(--ISNUMBER(FIND({0,1,2,3,4,5,6,7,8,9}, _xlpm.cleaned))) = 0,
       _xlpm.cleaned &amp; IF(_xlpm.needsBR * _xlpm.noDigits, Data!CQ50, "")
     ),
  "")
)</f>
        <v/>
      </c>
      <c r="AC47" s="41" t="str" cm="1">
        <f t="array" ref="AC47">IF(
  AND($Y$57=1, AC65&lt;&gt;""),
  "O" &amp; Data!CR50,
  IF(AC8&lt;&gt;"",
     _xlfn.LET(
       _xlpm.cleaned,
       IF(
         OR(COUNTIF(AC8,"L*"), COUNTIF(AC8,"X*")),
         SUBSTITUTE(SUBSTITUTE(SUBSTITUTE(SUBSTITUTE(AC8,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COUNTIF(AC8, "*"&amp;$BN$3&amp;"*"),
           COUNTIF(AC8, "*"&amp;$BN$4&amp;"*"),
           COUNTIF(AC8, "*"&amp;$BN$5&amp;"*"),
           COUNTIF(AC8, "*"&amp;$BN$6&amp;"*"),
           COUNTIF(AC8, "*"&amp;$BN$7&amp;"*")
         ),
         FALSE,
         TRUE
       ),
       _xlpm.noDigits,
       SUM(--ISNUMBER(FIND({0,1,2,3,4,5,6,7,8,9}, _xlpm.cleaned))) = 0,
       _xlpm.cleaned &amp; IF(_xlpm.needsBR * _xlpm.noDigits, Data!CR50, "")
     ),
  "")
)</f>
        <v/>
      </c>
      <c r="AD47" s="41" t="str" cm="1">
        <f t="array" ref="AD47">IF(
  AND($Y$57=1, AD65&lt;&gt;""),
  "O" &amp; Data!CS50,
  IF(AD8&lt;&gt;"",
     _xlfn.LET(
       _xlpm.cleaned,
       IF(
         OR(COUNTIF(AD8,"L*"), COUNTIF(AD8,"X*")),
         SUBSTITUTE(SUBSTITUTE(SUBSTITUTE(SUBSTITUTE(AD8,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COUNTIF(AD8, "*"&amp;$BN$3&amp;"*"),
           COUNTIF(AD8, "*"&amp;$BN$4&amp;"*"),
           COUNTIF(AD8, "*"&amp;$BN$5&amp;"*"),
           COUNTIF(AD8, "*"&amp;$BN$6&amp;"*"),
           COUNTIF(AD8, "*"&amp;$BN$7&amp;"*")
         ),
         FALSE,
         TRUE
       ),
       _xlpm.noDigits,
       SUM(--ISNUMBER(FIND({0,1,2,3,4,5,6,7,8,9}, _xlpm.cleaned))) = 0,
       _xlpm.cleaned &amp; IF(_xlpm.needsBR * _xlpm.noDigits, Data!CS50, "")
     ),
  "")
)</f>
        <v/>
      </c>
      <c r="AE47" s="41" t="str" cm="1">
        <f t="array" ref="AE47">IF(
  AND($Y$57=1, AE65&lt;&gt;""),
  "O" &amp; Data!CT50,
  IF(AE8&lt;&gt;"",
     _xlfn.LET(
       _xlpm.cleaned,
       IF(
         OR(COUNTIF(AE8,"L*"), COUNTIF(AE8,"X*")),
         SUBSTITUTE(SUBSTITUTE(SUBSTITUTE(SUBSTITUTE(AE8,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COUNTIF(AE8, "*"&amp;$BN$3&amp;"*"),
           COUNTIF(AE8, "*"&amp;$BN$4&amp;"*"),
           COUNTIF(AE8, "*"&amp;$BN$5&amp;"*"),
           COUNTIF(AE8, "*"&amp;$BN$6&amp;"*"),
           COUNTIF(AE8, "*"&amp;$BN$7&amp;"*")
         ),
         FALSE,
         TRUE
       ),
       _xlpm.noDigits,
       SUM(--ISNUMBER(FIND({0,1,2,3,4,5,6,7,8,9}, _xlpm.cleaned))) = 0,
       _xlpm.cleaned &amp; IF(_xlpm.needsBR * _xlpm.noDigits, Data!CT50, "")
     ),
  "")
)</f>
        <v/>
      </c>
      <c r="AF47" s="41" t="str" cm="1">
        <f t="array" ref="AF47">IF(
  AND($Y$57=1, AF65&lt;&gt;""),
  "O" &amp; Data!CU50,
  IF(AF8&lt;&gt;"",
     _xlfn.LET(
       _xlpm.cleaned,
       IF(
         OR(COUNTIF(AF8,"L*"), COUNTIF(AF8,"X*")),
         SUBSTITUTE(SUBSTITUTE(SUBSTITUTE(SUBSTITUTE(AF8,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COUNTIF(AF8, "*"&amp;$BN$3&amp;"*"),
           COUNTIF(AF8, "*"&amp;$BN$4&amp;"*"),
           COUNTIF(AF8, "*"&amp;$BN$5&amp;"*"),
           COUNTIF(AF8, "*"&amp;$BN$6&amp;"*"),
           COUNTIF(AF8, "*"&amp;$BN$7&amp;"*")
         ),
         FALSE,
         TRUE
       ),
       _xlpm.noDigits,
       SUM(--ISNUMBER(FIND({0,1,2,3,4,5,6,7,8,9}, _xlpm.cleaned))) = 0,
       _xlpm.cleaned &amp; IF(_xlpm.needsBR * _xlpm.noDigits, Data!CU50, "")
     ),
  "")
)</f>
        <v/>
      </c>
      <c r="AG47" s="41" t="str" cm="1">
        <f t="array" ref="AG47">IF(
  AND($Y$57=1, AG65&lt;&gt;""),
  "O" &amp; Data!CV50,
  IF(AG8&lt;&gt;"",
     _xlfn.LET(
       _xlpm.cleaned,
       IF(
         OR(COUNTIF(AG8,"L*"), COUNTIF(AG8,"X*")),
         SUBSTITUTE(SUBSTITUTE(SUBSTITUTE(SUBSTITUTE(AG8,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COUNTIF(AG8, "*"&amp;$BN$3&amp;"*"),
           COUNTIF(AG8, "*"&amp;$BN$4&amp;"*"),
           COUNTIF(AG8, "*"&amp;$BN$5&amp;"*"),
           COUNTIF(AG8, "*"&amp;$BN$6&amp;"*"),
           COUNTIF(AG8, "*"&amp;$BN$7&amp;"*")
         ),
         FALSE,
         TRUE
       ),
       _xlpm.noDigits,
       SUM(--ISNUMBER(FIND({0,1,2,3,4,5,6,7,8,9}, _xlpm.cleaned))) = 0,
       _xlpm.cleaned &amp; IF(_xlpm.needsBR * _xlpm.noDigits, Data!CV50, "")
     ),
  "")
)</f>
        <v/>
      </c>
      <c r="AH47" s="41" t="str" cm="1">
        <f t="array" ref="AH47">IF(
  AND($Y$57=1, AH65&lt;&gt;""),
  "O" &amp; Data!CW50,
  IF(AH8&lt;&gt;"",
     _xlfn.LET(
       _xlpm.cleaned,
       IF(
         OR(COUNTIF(AH8,"L*"), COUNTIF(AH8,"X*")),
         SUBSTITUTE(SUBSTITUTE(SUBSTITUTE(SUBSTITUTE(AH8,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COUNTIF(AH8, "*"&amp;$BN$3&amp;"*"),
           COUNTIF(AH8, "*"&amp;$BN$4&amp;"*"),
           COUNTIF(AH8, "*"&amp;$BN$5&amp;"*"),
           COUNTIF(AH8, "*"&amp;$BN$6&amp;"*"),
           COUNTIF(AH8, "*"&amp;$BN$7&amp;"*")
         ),
         FALSE,
         TRUE
       ),
       _xlpm.noDigits,
       SUM(--ISNUMBER(FIND({0,1,2,3,4,5,6,7,8,9}, _xlpm.cleaned))) = 0,
       _xlpm.cleaned &amp; IF(_xlpm.needsBR * _xlpm.noDigits, Data!CW50, "")
     ),
  "")
)</f>
        <v/>
      </c>
      <c r="AI47" s="41" t="str" cm="1">
        <f t="array" ref="AI47">IF(
  AND($Y$57=1, AI65&lt;&gt;""),
  "O" &amp; Data!CX50,
  IF(AI8&lt;&gt;"",
     _xlfn.LET(
       _xlpm.cleaned,
       IF(
         OR(COUNTIF(AI8,"L*"), COUNTIF(AI8,"X*")),
         SUBSTITUTE(SUBSTITUTE(SUBSTITUTE(SUBSTITUTE(AI8,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COUNTIF(AI8, "*"&amp;$BN$3&amp;"*"),
           COUNTIF(AI8, "*"&amp;$BN$4&amp;"*"),
           COUNTIF(AI8, "*"&amp;$BN$5&amp;"*"),
           COUNTIF(AI8, "*"&amp;$BN$6&amp;"*"),
           COUNTIF(AI8, "*"&amp;$BN$7&amp;"*")
         ),
         FALSE,
         TRUE
       ),
       _xlpm.noDigits,
       SUM(--ISNUMBER(FIND({0,1,2,3,4,5,6,7,8,9}, _xlpm.cleaned))) = 0,
       _xlpm.cleaned &amp; IF(_xlpm.needsBR * _xlpm.noDigits, Data!CX50, "")
     ),
  "")
)</f>
        <v/>
      </c>
      <c r="AJ47" s="41" t="str" cm="1">
        <f t="array" ref="AJ47">IF(
  AND($Y$57=1, AJ65&lt;&gt;""),
  "O" &amp; Data!CY50,
  IF(AJ8&lt;&gt;"",
     _xlfn.LET(
       _xlpm.cleaned,
       IF(
         OR(COUNTIF(AJ8,"L*"), COUNTIF(AJ8,"X*")),
         SUBSTITUTE(SUBSTITUTE(SUBSTITUTE(SUBSTITUTE(AJ8,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COUNTIF(AJ8, "*"&amp;$BN$3&amp;"*"),
           COUNTIF(AJ8, "*"&amp;$BN$4&amp;"*"),
           COUNTIF(AJ8, "*"&amp;$BN$5&amp;"*"),
           COUNTIF(AJ8, "*"&amp;$BN$6&amp;"*"),
           COUNTIF(AJ8, "*"&amp;$BN$7&amp;"*")
         ),
         FALSE,
         TRUE
       ),
       _xlpm.noDigits,
       SUM(--ISNUMBER(FIND({0,1,2,3,4,5,6,7,8,9}, _xlpm.cleaned))) = 0,
       _xlpm.cleaned &amp; IF(_xlpm.needsBR * _xlpm.noDigits, Data!CY50, "")
     ),
  "")
)</f>
        <v/>
      </c>
    </row>
    <row r="48" spans="1:54" ht="23.25" customHeight="1" x14ac:dyDescent="0.35">
      <c r="A48" s="1196"/>
      <c r="B48" s="22">
        <v>6</v>
      </c>
      <c r="C48" s="41" t="str" cm="1">
        <f t="array" ref="C48">IF(
  AND($Y$57=1, C66&lt;&gt;""),
  "O" &amp; Data!BR51,
  IF(C9&lt;&gt;"",
     _xlfn.LET(
       _xlpm.cleaned,
       IF(
         OR(COUNTIF(C9,"L*"), COUNTIF(C9,"X*")),
         SUBSTITUTE(SUBSTITUTE(SUBSTITUTE(SUBSTITUTE(C9,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COUNTIF(C9, "*"&amp;$BN$3&amp;"*"),
           COUNTIF(C9, "*"&amp;$BN$4&amp;"*"),
           COUNTIF(C9, "*"&amp;$BN$5&amp;"*"),
           COUNTIF(C9, "*"&amp;$BN$6&amp;"*"),
           COUNTIF(C9, "*"&amp;$BN$7&amp;"*")
         ),
         FALSE,
         TRUE
       ),
       _xlpm.noDigits,
       SUM(--ISNUMBER(FIND({0,1,2,3,4,5,6,7,8,9}, _xlpm.cleaned))) = 0,
       _xlpm.cleaned &amp; IF(_xlpm.needsBR * _xlpm.noDigits, Data!BR51, "")
     ),
  "")
)</f>
        <v>X5</v>
      </c>
      <c r="D48" s="41" t="str" cm="1">
        <f t="array" ref="D48">IF(
  AND($Y$57=1, D66&lt;&gt;""),
  "O" &amp; Data!BS51,
  IF(D9&lt;&gt;"",
     _xlfn.LET(
       _xlpm.cleaned,
       IF(
         OR(COUNTIF(D9,"L*"), COUNTIF(D9,"X*")),
         SUBSTITUTE(SUBSTITUTE(SUBSTITUTE(SUBSTITUTE(D9,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COUNTIF(D9, "*"&amp;$BN$3&amp;"*"),
           COUNTIF(D9, "*"&amp;$BN$4&amp;"*"),
           COUNTIF(D9, "*"&amp;$BN$5&amp;"*"),
           COUNTIF(D9, "*"&amp;$BN$6&amp;"*"),
           COUNTIF(D9, "*"&amp;$BN$7&amp;"*")
         ),
         FALSE,
         TRUE
       ),
       _xlpm.noDigits,
       SUM(--ISNUMBER(FIND({0,1,2,3,4,5,6,7,8,9}, _xlpm.cleaned))) = 0,
       _xlpm.cleaned &amp; IF(_xlpm.needsBR * _xlpm.noDigits, Data!BS51, "")
     ),
  "")
)</f>
        <v>X5</v>
      </c>
      <c r="E48" s="41" t="str" cm="1">
        <f t="array" ref="E48">IF(
  AND($Y$57=1, E66&lt;&gt;""),
  "O" &amp; Data!BT51,
  IF(E9&lt;&gt;"",
     _xlfn.LET(
       _xlpm.cleaned,
       IF(
         OR(COUNTIF(E9,"L*"), COUNTIF(E9,"X*")),
         SUBSTITUTE(SUBSTITUTE(SUBSTITUTE(SUBSTITUTE(E9,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COUNTIF(E9, "*"&amp;$BN$3&amp;"*"),
           COUNTIF(E9, "*"&amp;$BN$4&amp;"*"),
           COUNTIF(E9, "*"&amp;$BN$5&amp;"*"),
           COUNTIF(E9, "*"&amp;$BN$6&amp;"*"),
           COUNTIF(E9, "*"&amp;$BN$7&amp;"*")
         ),
         FALSE,
         TRUE
       ),
       _xlpm.noDigits,
       SUM(--ISNUMBER(FIND({0,1,2,3,4,5,6,7,8,9}, _xlpm.cleaned))) = 0,
       _xlpm.cleaned &amp; IF(_xlpm.needsBR * _xlpm.noDigits, Data!BT51, "")
     ),
  "")
)</f>
        <v>X5</v>
      </c>
      <c r="F48" s="41" t="str" cm="1">
        <f t="array" ref="F48">IF(
  AND($Y$57=1, F66&lt;&gt;""),
  "O" &amp; Data!BU51,
  IF(F9&lt;&gt;"",
     _xlfn.LET(
       _xlpm.cleaned,
       IF(
         OR(COUNTIF(F9,"L*"), COUNTIF(F9,"X*")),
         SUBSTITUTE(SUBSTITUTE(SUBSTITUTE(SUBSTITUTE(F9,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COUNTIF(F9, "*"&amp;$BN$3&amp;"*"),
           COUNTIF(F9, "*"&amp;$BN$4&amp;"*"),
           COUNTIF(F9, "*"&amp;$BN$5&amp;"*"),
           COUNTIF(F9, "*"&amp;$BN$6&amp;"*"),
           COUNTIF(F9, "*"&amp;$BN$7&amp;"*")
         ),
         FALSE,
         TRUE
       ),
       _xlpm.noDigits,
       SUM(--ISNUMBER(FIND({0,1,2,3,4,5,6,7,8,9}, _xlpm.cleaned))) = 0,
       _xlpm.cleaned &amp; IF(_xlpm.needsBR * _xlpm.noDigits, Data!BU51, "")
     ),
  "")
)</f>
        <v>R1</v>
      </c>
      <c r="G48" s="41" t="str" cm="1">
        <f t="array" ref="G48">IF(
  AND($Y$57=1, G66&lt;&gt;""),
  "O" &amp; Data!BV51,
  IF(G9&lt;&gt;"",
     _xlfn.LET(
       _xlpm.cleaned,
       IF(
         OR(COUNTIF(G9,"L*"), COUNTIF(G9,"X*")),
         SUBSTITUTE(SUBSTITUTE(SUBSTITUTE(SUBSTITUTE(G9,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COUNTIF(G9, "*"&amp;$BN$3&amp;"*"),
           COUNTIF(G9, "*"&amp;$BN$4&amp;"*"),
           COUNTIF(G9, "*"&amp;$BN$5&amp;"*"),
           COUNTIF(G9, "*"&amp;$BN$6&amp;"*"),
           COUNTIF(G9, "*"&amp;$BN$7&amp;"*")
         ),
         FALSE,
         TRUE
       ),
       _xlpm.noDigits,
       SUM(--ISNUMBER(FIND({0,1,2,3,4,5,6,7,8,9}, _xlpm.cleaned))) = 0,
       _xlpm.cleaned &amp; IF(_xlpm.needsBR * _xlpm.noDigits, Data!BV51, "")
     ),
  "")
)</f>
        <v>X3</v>
      </c>
      <c r="H48" s="41" t="str" cm="1">
        <f t="array" ref="H48">IF(
  AND($Y$57=1, H66&lt;&gt;""),
  "O" &amp; Data!BW51,
  IF(H9&lt;&gt;"",
     _xlfn.LET(
       _xlpm.cleaned,
       IF(
         OR(COUNTIF(H9,"L*"), COUNTIF(H9,"X*")),
         SUBSTITUTE(SUBSTITUTE(SUBSTITUTE(SUBSTITUTE(H9,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COUNTIF(H9, "*"&amp;$BN$3&amp;"*"),
           COUNTIF(H9, "*"&amp;$BN$4&amp;"*"),
           COUNTIF(H9, "*"&amp;$BN$5&amp;"*"),
           COUNTIF(H9, "*"&amp;$BN$6&amp;"*"),
           COUNTIF(H9, "*"&amp;$BN$7&amp;"*")
         ),
         FALSE,
         TRUE
       ),
       _xlpm.noDigits,
       SUM(--ISNUMBER(FIND({0,1,2,3,4,5,6,7,8,9}, _xlpm.cleaned))) = 0,
       _xlpm.cleaned &amp; IF(_xlpm.needsBR * _xlpm.noDigits, Data!BW51, "")
     ),
  "")
)</f>
        <v/>
      </c>
      <c r="I48" s="41" t="str" cm="1">
        <f t="array" ref="I48">IF(
  AND($Y$57=1, I66&lt;&gt;""),
  "O" &amp; Data!BX51,
  IF(I9&lt;&gt;"",
     _xlfn.LET(
       _xlpm.cleaned,
       IF(
         OR(COUNTIF(I9,"L*"), COUNTIF(I9,"X*")),
         SUBSTITUTE(SUBSTITUTE(SUBSTITUTE(SUBSTITUTE(I9,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COUNTIF(I9, "*"&amp;$BN$3&amp;"*"),
           COUNTIF(I9, "*"&amp;$BN$4&amp;"*"),
           COUNTIF(I9, "*"&amp;$BN$5&amp;"*"),
           COUNTIF(I9, "*"&amp;$BN$6&amp;"*"),
           COUNTIF(I9, "*"&amp;$BN$7&amp;"*")
         ),
         FALSE,
         TRUE
       ),
       _xlpm.noDigits,
       SUM(--ISNUMBER(FIND({0,1,2,3,4,5,6,7,8,9}, _xlpm.cleaned))) = 0,
       _xlpm.cleaned &amp; IF(_xlpm.needsBR * _xlpm.noDigits, Data!BX51, "")
     ),
  "")
)</f>
        <v/>
      </c>
      <c r="J48" s="41" t="str" cm="1">
        <f t="array" ref="J48">IF(
  AND($Y$57=1, J66&lt;&gt;""),
  "O" &amp; Data!BY51,
  IF(J9&lt;&gt;"",
     _xlfn.LET(
       _xlpm.cleaned,
       IF(
         OR(COUNTIF(J9,"L*"), COUNTIF(J9,"X*")),
         SUBSTITUTE(SUBSTITUTE(SUBSTITUTE(SUBSTITUTE(J9,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COUNTIF(J9, "*"&amp;$BN$3&amp;"*"),
           COUNTIF(J9, "*"&amp;$BN$4&amp;"*"),
           COUNTIF(J9, "*"&amp;$BN$5&amp;"*"),
           COUNTIF(J9, "*"&amp;$BN$6&amp;"*"),
           COUNTIF(J9, "*"&amp;$BN$7&amp;"*")
         ),
         FALSE,
         TRUE
       ),
       _xlpm.noDigits,
       SUM(--ISNUMBER(FIND({0,1,2,3,4,5,6,7,8,9}, _xlpm.cleaned))) = 0,
       _xlpm.cleaned &amp; IF(_xlpm.needsBR * _xlpm.noDigits, Data!BY51, "")
     ),
  "")
)</f>
        <v/>
      </c>
      <c r="K48" s="41" t="str" cm="1">
        <f t="array" ref="K48">IF(
  AND($Y$57=1, K66&lt;&gt;""),
  "O" &amp; Data!BZ51,
  IF(K9&lt;&gt;"",
     _xlfn.LET(
       _xlpm.cleaned,
       IF(
         OR(COUNTIF(K9,"L*"), COUNTIF(K9,"X*")),
         SUBSTITUTE(SUBSTITUTE(SUBSTITUTE(SUBSTITUTE(K9,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COUNTIF(K9, "*"&amp;$BN$3&amp;"*"),
           COUNTIF(K9, "*"&amp;$BN$4&amp;"*"),
           COUNTIF(K9, "*"&amp;$BN$5&amp;"*"),
           COUNTIF(K9, "*"&amp;$BN$6&amp;"*"),
           COUNTIF(K9, "*"&amp;$BN$7&amp;"*")
         ),
         FALSE,
         TRUE
       ),
       _xlpm.noDigits,
       SUM(--ISNUMBER(FIND({0,1,2,3,4,5,6,7,8,9}, _xlpm.cleaned))) = 0,
       _xlpm.cleaned &amp; IF(_xlpm.needsBR * _xlpm.noDigits, Data!BZ51, "")
     ),
  "")
)</f>
        <v/>
      </c>
      <c r="L48" s="41" t="str" cm="1">
        <f t="array" ref="L48">IF(
  AND($Y$57=1, L66&lt;&gt;""),
  "O" &amp; Data!CA51,
  IF(L9&lt;&gt;"",
     _xlfn.LET(
       _xlpm.cleaned,
       IF(
         OR(COUNTIF(L9,"L*"), COUNTIF(L9,"X*")),
         SUBSTITUTE(SUBSTITUTE(SUBSTITUTE(SUBSTITUTE(L9,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COUNTIF(L9, "*"&amp;$BN$3&amp;"*"),
           COUNTIF(L9, "*"&amp;$BN$4&amp;"*"),
           COUNTIF(L9, "*"&amp;$BN$5&amp;"*"),
           COUNTIF(L9, "*"&amp;$BN$6&amp;"*"),
           COUNTIF(L9, "*"&amp;$BN$7&amp;"*")
         ),
         FALSE,
         TRUE
       ),
       _xlpm.noDigits,
       SUM(--ISNUMBER(FIND({0,1,2,3,4,5,6,7,8,9}, _xlpm.cleaned))) = 0,
       _xlpm.cleaned &amp; IF(_xlpm.needsBR * _xlpm.noDigits, Data!CA51, "")
     ),
  "")
)</f>
        <v>S2</v>
      </c>
      <c r="M48" s="41" t="str" cm="1">
        <f t="array" ref="M48">IF(
  AND($Y$57=1, M66&lt;&gt;""),
  "O" &amp; Data!CB51,
  IF(M9&lt;&gt;"",
     _xlfn.LET(
       _xlpm.cleaned,
       IF(
         OR(COUNTIF(M9,"L*"), COUNTIF(M9,"X*")),
         SUBSTITUTE(SUBSTITUTE(SUBSTITUTE(SUBSTITUTE(M9,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COUNTIF(M9, "*"&amp;$BN$3&amp;"*"),
           COUNTIF(M9, "*"&amp;$BN$4&amp;"*"),
           COUNTIF(M9, "*"&amp;$BN$5&amp;"*"),
           COUNTIF(M9, "*"&amp;$BN$6&amp;"*"),
           COUNTIF(M9, "*"&amp;$BN$7&amp;"*")
         ),
         FALSE,
         TRUE
       ),
       _xlpm.noDigits,
       SUM(--ISNUMBER(FIND({0,1,2,3,4,5,6,7,8,9}, _xlpm.cleaned))) = 0,
       _xlpm.cleaned &amp; IF(_xlpm.needsBR * _xlpm.noDigits, Data!CB51, "")
     ),
  "")
)</f>
        <v>R2</v>
      </c>
      <c r="N48" s="41" t="str" cm="1">
        <f t="array" ref="N48">IF(
  AND($Y$57=1, N66&lt;&gt;""),
  "O" &amp; Data!CC51,
  IF(N9&lt;&gt;"",
     _xlfn.LET(
       _xlpm.cleaned,
       IF(
         OR(COUNTIF(N9,"L*"), COUNTIF(N9,"X*")),
         SUBSTITUTE(SUBSTITUTE(SUBSTITUTE(SUBSTITUTE(N9,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COUNTIF(N9, "*"&amp;$BN$3&amp;"*"),
           COUNTIF(N9, "*"&amp;$BN$4&amp;"*"),
           COUNTIF(N9, "*"&amp;$BN$5&amp;"*"),
           COUNTIF(N9, "*"&amp;$BN$6&amp;"*"),
           COUNTIF(N9, "*"&amp;$BN$7&amp;"*")
         ),
         FALSE,
         TRUE
       ),
       _xlpm.noDigits,
       SUM(--ISNUMBER(FIND({0,1,2,3,4,5,6,7,8,9}, _xlpm.cleaned))) = 0,
       _xlpm.cleaned &amp; IF(_xlpm.needsBR * _xlpm.noDigits, Data!CC51, "")
     ),
  "")
)</f>
        <v>R2</v>
      </c>
      <c r="O48" s="41" t="str" cm="1">
        <f t="array" ref="O48">IF(
  AND($Y$57=1, O66&lt;&gt;""),
  "O" &amp; Data!CD51,
  IF(O9&lt;&gt;"",
     _xlfn.LET(
       _xlpm.cleaned,
       IF(
         OR(COUNTIF(O9,"L*"), COUNTIF(O9,"X*")),
         SUBSTITUTE(SUBSTITUTE(SUBSTITUTE(SUBSTITUTE(O9,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COUNTIF(O9, "*"&amp;$BN$3&amp;"*"),
           COUNTIF(O9, "*"&amp;$BN$4&amp;"*"),
           COUNTIF(O9, "*"&amp;$BN$5&amp;"*"),
           COUNTIF(O9, "*"&amp;$BN$6&amp;"*"),
           COUNTIF(O9, "*"&amp;$BN$7&amp;"*")
         ),
         FALSE,
         TRUE
       ),
       _xlpm.noDigits,
       SUM(--ISNUMBER(FIND({0,1,2,3,4,5,6,7,8,9}, _xlpm.cleaned))) = 0,
       _xlpm.cleaned &amp; IF(_xlpm.needsBR * _xlpm.noDigits, Data!CD51, "")
     ),
  "")
)</f>
        <v>R2</v>
      </c>
      <c r="P48" s="41" t="str" cm="1">
        <f t="array" ref="P48">IF(
  AND($Y$57=1, P66&lt;&gt;""),
  "O" &amp; Data!CE51,
  IF(P9&lt;&gt;"",
     _xlfn.LET(
       _xlpm.cleaned,
       IF(
         OR(COUNTIF(P9,"L*"), COUNTIF(P9,"X*")),
         SUBSTITUTE(SUBSTITUTE(SUBSTITUTE(SUBSTITUTE(P9,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COUNTIF(P9, "*"&amp;$BN$3&amp;"*"),
           COUNTIF(P9, "*"&amp;$BN$4&amp;"*"),
           COUNTIF(P9, "*"&amp;$BN$5&amp;"*"),
           COUNTIF(P9, "*"&amp;$BN$6&amp;"*"),
           COUNTIF(P9, "*"&amp;$BN$7&amp;"*")
         ),
         FALSE,
         TRUE
       ),
       _xlpm.noDigits,
       SUM(--ISNUMBER(FIND({0,1,2,3,4,5,6,7,8,9}, _xlpm.cleaned))) = 0,
       _xlpm.cleaned &amp; IF(_xlpm.needsBR * _xlpm.noDigits, Data!CE51, "")
     ),
  "")
)</f>
        <v/>
      </c>
      <c r="Q48" s="41" t="str" cm="1">
        <f t="array" ref="Q48">IF(
  AND($Y$57=1, Q66&lt;&gt;""),
  "O" &amp; Data!CF51,
  IF(Q9&lt;&gt;"",
     _xlfn.LET(
       _xlpm.cleaned,
       IF(
         OR(COUNTIF(Q9,"L*"), COUNTIF(Q9,"X*")),
         SUBSTITUTE(SUBSTITUTE(SUBSTITUTE(SUBSTITUTE(Q9,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COUNTIF(Q9, "*"&amp;$BN$3&amp;"*"),
           COUNTIF(Q9, "*"&amp;$BN$4&amp;"*"),
           COUNTIF(Q9, "*"&amp;$BN$5&amp;"*"),
           COUNTIF(Q9, "*"&amp;$BN$6&amp;"*"),
           COUNTIF(Q9, "*"&amp;$BN$7&amp;"*")
         ),
         FALSE,
         TRUE
       ),
       _xlpm.noDigits,
       SUM(--ISNUMBER(FIND({0,1,2,3,4,5,6,7,8,9}, _xlpm.cleaned))) = 0,
       _xlpm.cleaned &amp; IF(_xlpm.needsBR * _xlpm.noDigits, Data!CF51, "")
     ),
  "")
)</f>
        <v/>
      </c>
      <c r="R48" s="41" t="str" cm="1">
        <f t="array" ref="R48">IF(
  AND($Y$57=1, R66&lt;&gt;""),
  "O" &amp; Data!CG51,
  IF(R9&lt;&gt;"",
     _xlfn.LET(
       _xlpm.cleaned,
       IF(
         OR(COUNTIF(R9,"L*"), COUNTIF(R9,"X*")),
         SUBSTITUTE(SUBSTITUTE(SUBSTITUTE(SUBSTITUTE(R9,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COUNTIF(R9, "*"&amp;$BN$3&amp;"*"),
           COUNTIF(R9, "*"&amp;$BN$4&amp;"*"),
           COUNTIF(R9, "*"&amp;$BN$5&amp;"*"),
           COUNTIF(R9, "*"&amp;$BN$6&amp;"*"),
           COUNTIF(R9, "*"&amp;$BN$7&amp;"*")
         ),
         FALSE,
         TRUE
       ),
       _xlpm.noDigits,
       SUM(--ISNUMBER(FIND({0,1,2,3,4,5,6,7,8,9}, _xlpm.cleaned))) = 0,
       _xlpm.cleaned &amp; IF(_xlpm.needsBR * _xlpm.noDigits, Data!CG51, "")
     ),
  "")
)</f>
        <v/>
      </c>
      <c r="S48" s="41" t="str" cm="1">
        <f t="array" ref="S48">IF(
  AND($Y$57=1, S66&lt;&gt;""),
  "O" &amp; Data!CH51,
  IF(S9&lt;&gt;"",
     _xlfn.LET(
       _xlpm.cleaned,
       IF(
         OR(COUNTIF(S9,"L*"), COUNTIF(S9,"X*")),
         SUBSTITUTE(SUBSTITUTE(SUBSTITUTE(SUBSTITUTE(S9,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COUNTIF(S9, "*"&amp;$BN$3&amp;"*"),
           COUNTIF(S9, "*"&amp;$BN$4&amp;"*"),
           COUNTIF(S9, "*"&amp;$BN$5&amp;"*"),
           COUNTIF(S9, "*"&amp;$BN$6&amp;"*"),
           COUNTIF(S9, "*"&amp;$BN$7&amp;"*")
         ),
         FALSE,
         TRUE
       ),
       _xlpm.noDigits,
       SUM(--ISNUMBER(FIND({0,1,2,3,4,5,6,7,8,9}, _xlpm.cleaned))) = 0,
       _xlpm.cleaned &amp; IF(_xlpm.needsBR * _xlpm.noDigits, Data!CH51, "")
     ),
  "")
)</f>
        <v/>
      </c>
      <c r="T48" s="41" t="str" cm="1">
        <f t="array" ref="T48">IF(
  AND($Y$57=1, T66&lt;&gt;""),
  "O" &amp; Data!CI51,
  IF(T9&lt;&gt;"",
     _xlfn.LET(
       _xlpm.cleaned,
       IF(
         OR(COUNTIF(T9,"L*"), COUNTIF(T9,"X*")),
         SUBSTITUTE(SUBSTITUTE(SUBSTITUTE(SUBSTITUTE(T9,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COUNTIF(T9, "*"&amp;$BN$3&amp;"*"),
           COUNTIF(T9, "*"&amp;$BN$4&amp;"*"),
           COUNTIF(T9, "*"&amp;$BN$5&amp;"*"),
           COUNTIF(T9, "*"&amp;$BN$6&amp;"*"),
           COUNTIF(T9, "*"&amp;$BN$7&amp;"*")
         ),
         FALSE,
         TRUE
       ),
       _xlpm.noDigits,
       SUM(--ISNUMBER(FIND({0,1,2,3,4,5,6,7,8,9}, _xlpm.cleaned))) = 0,
       _xlpm.cleaned &amp; IF(_xlpm.needsBR * _xlpm.noDigits, Data!CI51, "")
     ),
  "")
)</f>
        <v/>
      </c>
      <c r="U48" s="41" t="str" cm="1">
        <f t="array" ref="U48">IF(
  AND($Y$57=1, U66&lt;&gt;""),
  "O" &amp; Data!CJ51,
  IF(U9&lt;&gt;"",
     _xlfn.LET(
       _xlpm.cleaned,
       IF(
         OR(COUNTIF(U9,"L*"), COUNTIF(U9,"X*")),
         SUBSTITUTE(SUBSTITUTE(SUBSTITUTE(SUBSTITUTE(U9,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COUNTIF(U9, "*"&amp;$BN$3&amp;"*"),
           COUNTIF(U9, "*"&amp;$BN$4&amp;"*"),
           COUNTIF(U9, "*"&amp;$BN$5&amp;"*"),
           COUNTIF(U9, "*"&amp;$BN$6&amp;"*"),
           COUNTIF(U9, "*"&amp;$BN$7&amp;"*")
         ),
         FALSE,
         TRUE
       ),
       _xlpm.noDigits,
       SUM(--ISNUMBER(FIND({0,1,2,3,4,5,6,7,8,9}, _xlpm.cleaned))) = 0,
       _xlpm.cleaned &amp; IF(_xlpm.needsBR * _xlpm.noDigits, Data!CJ51, "")
     ),
  "")
)</f>
        <v/>
      </c>
      <c r="V48" s="41" t="str" cm="1">
        <f t="array" ref="V48">IF(
  AND($Y$57=1, V66&lt;&gt;""),
  "O" &amp; Data!CK51,
  IF(V9&lt;&gt;"",
     _xlfn.LET(
       _xlpm.cleaned,
       IF(
         OR(COUNTIF(V9,"L*"), COUNTIF(V9,"X*")),
         SUBSTITUTE(SUBSTITUTE(SUBSTITUTE(SUBSTITUTE(V9,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COUNTIF(V9, "*"&amp;$BN$3&amp;"*"),
           COUNTIF(V9, "*"&amp;$BN$4&amp;"*"),
           COUNTIF(V9, "*"&amp;$BN$5&amp;"*"),
           COUNTIF(V9, "*"&amp;$BN$6&amp;"*"),
           COUNTIF(V9, "*"&amp;$BN$7&amp;"*")
         ),
         FALSE,
         TRUE
       ),
       _xlpm.noDigits,
       SUM(--ISNUMBER(FIND({0,1,2,3,4,5,6,7,8,9}, _xlpm.cleaned))) = 0,
       _xlpm.cleaned &amp; IF(_xlpm.needsBR * _xlpm.noDigits, Data!CK51, "")
     ),
  "")
)</f>
        <v/>
      </c>
      <c r="W48" s="41" t="str" cm="1">
        <f t="array" ref="W48">IF(
  AND($Y$57=1, W66&lt;&gt;""),
  "O" &amp; Data!CL51,
  IF(W9&lt;&gt;"",
     _xlfn.LET(
       _xlpm.cleaned,
       IF(
         OR(COUNTIF(W9,"L*"), COUNTIF(W9,"X*")),
         SUBSTITUTE(SUBSTITUTE(SUBSTITUTE(SUBSTITUTE(W9,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COUNTIF(W9, "*"&amp;$BN$3&amp;"*"),
           COUNTIF(W9, "*"&amp;$BN$4&amp;"*"),
           COUNTIF(W9, "*"&amp;$BN$5&amp;"*"),
           COUNTIF(W9, "*"&amp;$BN$6&amp;"*"),
           COUNTIF(W9, "*"&amp;$BN$7&amp;"*")
         ),
         FALSE,
         TRUE
       ),
       _xlpm.noDigits,
       SUM(--ISNUMBER(FIND({0,1,2,3,4,5,6,7,8,9}, _xlpm.cleaned))) = 0,
       _xlpm.cleaned &amp; IF(_xlpm.needsBR * _xlpm.noDigits, Data!CL51, "")
     ),
  "")
)</f>
        <v/>
      </c>
      <c r="X48" s="41" t="str" cm="1">
        <f t="array" ref="X48">IF(
  AND($Y$57=1, X66&lt;&gt;""),
  "O" &amp; Data!CM51,
  IF(X9&lt;&gt;"",
     _xlfn.LET(
       _xlpm.cleaned,
       IF(
         OR(COUNTIF(X9,"L*"), COUNTIF(X9,"X*")),
         SUBSTITUTE(SUBSTITUTE(SUBSTITUTE(SUBSTITUTE(X9,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COUNTIF(X9, "*"&amp;$BN$3&amp;"*"),
           COUNTIF(X9, "*"&amp;$BN$4&amp;"*"),
           COUNTIF(X9, "*"&amp;$BN$5&amp;"*"),
           COUNTIF(X9, "*"&amp;$BN$6&amp;"*"),
           COUNTIF(X9, "*"&amp;$BN$7&amp;"*")
         ),
         FALSE,
         TRUE
       ),
       _xlpm.noDigits,
       SUM(--ISNUMBER(FIND({0,1,2,3,4,5,6,7,8,9}, _xlpm.cleaned))) = 0,
       _xlpm.cleaned &amp; IF(_xlpm.needsBR * _xlpm.noDigits, Data!CM51, "")
     ),
  "")
)</f>
        <v/>
      </c>
      <c r="Y48" s="41" t="str" cm="1">
        <f t="array" ref="Y48">IF(
  AND($Y$57=1, Y66&lt;&gt;""),
  "O" &amp; Data!CN51,
  IF(Y9&lt;&gt;"",
     _xlfn.LET(
       _xlpm.cleaned,
       IF(
         OR(COUNTIF(Y9,"L*"), COUNTIF(Y9,"X*")),
         SUBSTITUTE(SUBSTITUTE(SUBSTITUTE(SUBSTITUTE(Y9,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COUNTIF(Y9, "*"&amp;$BN$3&amp;"*"),
           COUNTIF(Y9, "*"&amp;$BN$4&amp;"*"),
           COUNTIF(Y9, "*"&amp;$BN$5&amp;"*"),
           COUNTIF(Y9, "*"&amp;$BN$6&amp;"*"),
           COUNTIF(Y9, "*"&amp;$BN$7&amp;"*")
         ),
         FALSE,
         TRUE
       ),
       _xlpm.noDigits,
       SUM(--ISNUMBER(FIND({0,1,2,3,4,5,6,7,8,9}, _xlpm.cleaned))) = 0,
       _xlpm.cleaned &amp; IF(_xlpm.needsBR * _xlpm.noDigits, Data!CN51, "")
     ),
  "")
)</f>
        <v/>
      </c>
      <c r="Z48" s="41" t="str" cm="1">
        <f t="array" ref="Z48">IF(
  AND($Y$57=1, Z66&lt;&gt;""),
  "O" &amp; Data!CO51,
  IF(Z9&lt;&gt;"",
     _xlfn.LET(
       _xlpm.cleaned,
       IF(
         OR(COUNTIF(Z9,"L*"), COUNTIF(Z9,"X*")),
         SUBSTITUTE(SUBSTITUTE(SUBSTITUTE(SUBSTITUTE(Z9,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COUNTIF(Z9, "*"&amp;$BN$3&amp;"*"),
           COUNTIF(Z9, "*"&amp;$BN$4&amp;"*"),
           COUNTIF(Z9, "*"&amp;$BN$5&amp;"*"),
           COUNTIF(Z9, "*"&amp;$BN$6&amp;"*"),
           COUNTIF(Z9, "*"&amp;$BN$7&amp;"*")
         ),
         FALSE,
         TRUE
       ),
       _xlpm.noDigits,
       SUM(--ISNUMBER(FIND({0,1,2,3,4,5,6,7,8,9}, _xlpm.cleaned))) = 0,
       _xlpm.cleaned &amp; IF(_xlpm.needsBR * _xlpm.noDigits, Data!CO51, "")
     ),
  "")
)</f>
        <v/>
      </c>
      <c r="AA48" s="41" t="str" cm="1">
        <f t="array" ref="AA48">IF(
  AND($Y$57=1, AA66&lt;&gt;""),
  "O" &amp; Data!CP51,
  IF(AA9&lt;&gt;"",
     _xlfn.LET(
       _xlpm.cleaned,
       IF(
         OR(COUNTIF(AA9,"L*"), COUNTIF(AA9,"X*")),
         SUBSTITUTE(SUBSTITUTE(SUBSTITUTE(SUBSTITUTE(AA9,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COUNTIF(AA9, "*"&amp;$BN$3&amp;"*"),
           COUNTIF(AA9, "*"&amp;$BN$4&amp;"*"),
           COUNTIF(AA9, "*"&amp;$BN$5&amp;"*"),
           COUNTIF(AA9, "*"&amp;$BN$6&amp;"*"),
           COUNTIF(AA9, "*"&amp;$BN$7&amp;"*")
         ),
         FALSE,
         TRUE
       ),
       _xlpm.noDigits,
       SUM(--ISNUMBER(FIND({0,1,2,3,4,5,6,7,8,9}, _xlpm.cleaned))) = 0,
       _xlpm.cleaned &amp; IF(_xlpm.needsBR * _xlpm.noDigits, Data!CP51, "")
     ),
  "")
)</f>
        <v/>
      </c>
      <c r="AB48" s="41" t="str" cm="1">
        <f t="array" ref="AB48">IF(
  AND($Y$57=1, AB66&lt;&gt;""),
  "O" &amp; Data!CQ51,
  IF(AB9&lt;&gt;"",
     _xlfn.LET(
       _xlpm.cleaned,
       IF(
         OR(COUNTIF(AB9,"L*"), COUNTIF(AB9,"X*")),
         SUBSTITUTE(SUBSTITUTE(SUBSTITUTE(SUBSTITUTE(AB9,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COUNTIF(AB9, "*"&amp;$BN$3&amp;"*"),
           COUNTIF(AB9, "*"&amp;$BN$4&amp;"*"),
           COUNTIF(AB9, "*"&amp;$BN$5&amp;"*"),
           COUNTIF(AB9, "*"&amp;$BN$6&amp;"*"),
           COUNTIF(AB9, "*"&amp;$BN$7&amp;"*")
         ),
         FALSE,
         TRUE
       ),
       _xlpm.noDigits,
       SUM(--ISNUMBER(FIND({0,1,2,3,4,5,6,7,8,9}, _xlpm.cleaned))) = 0,
       _xlpm.cleaned &amp; IF(_xlpm.needsBR * _xlpm.noDigits, Data!CQ51, "")
     ),
  "")
)</f>
        <v/>
      </c>
      <c r="AC48" s="41" t="str" cm="1">
        <f t="array" ref="AC48">IF(
  AND($Y$57=1, AC66&lt;&gt;""),
  "O" &amp; Data!CR51,
  IF(AC9&lt;&gt;"",
     _xlfn.LET(
       _xlpm.cleaned,
       IF(
         OR(COUNTIF(AC9,"L*"), COUNTIF(AC9,"X*")),
         SUBSTITUTE(SUBSTITUTE(SUBSTITUTE(SUBSTITUTE(AC9,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COUNTIF(AC9, "*"&amp;$BN$3&amp;"*"),
           COUNTIF(AC9, "*"&amp;$BN$4&amp;"*"),
           COUNTIF(AC9, "*"&amp;$BN$5&amp;"*"),
           COUNTIF(AC9, "*"&amp;$BN$6&amp;"*"),
           COUNTIF(AC9, "*"&amp;$BN$7&amp;"*")
         ),
         FALSE,
         TRUE
       ),
       _xlpm.noDigits,
       SUM(--ISNUMBER(FIND({0,1,2,3,4,5,6,7,8,9}, _xlpm.cleaned))) = 0,
       _xlpm.cleaned &amp; IF(_xlpm.needsBR * _xlpm.noDigits, Data!CR51, "")
     ),
  "")
)</f>
        <v/>
      </c>
      <c r="AD48" s="41" t="str" cm="1">
        <f t="array" ref="AD48">IF(
  AND($Y$57=1, AD66&lt;&gt;""),
  "O" &amp; Data!CS51,
  IF(AD9&lt;&gt;"",
     _xlfn.LET(
       _xlpm.cleaned,
       IF(
         OR(COUNTIF(AD9,"L*"), COUNTIF(AD9,"X*")),
         SUBSTITUTE(SUBSTITUTE(SUBSTITUTE(SUBSTITUTE(AD9,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COUNTIF(AD9, "*"&amp;$BN$3&amp;"*"),
           COUNTIF(AD9, "*"&amp;$BN$4&amp;"*"),
           COUNTIF(AD9, "*"&amp;$BN$5&amp;"*"),
           COUNTIF(AD9, "*"&amp;$BN$6&amp;"*"),
           COUNTIF(AD9, "*"&amp;$BN$7&amp;"*")
         ),
         FALSE,
         TRUE
       ),
       _xlpm.noDigits,
       SUM(--ISNUMBER(FIND({0,1,2,3,4,5,6,7,8,9}, _xlpm.cleaned))) = 0,
       _xlpm.cleaned &amp; IF(_xlpm.needsBR * _xlpm.noDigits, Data!CS51, "")
     ),
  "")
)</f>
        <v/>
      </c>
      <c r="AE48" s="41" t="str" cm="1">
        <f t="array" ref="AE48">IF(
  AND($Y$57=1, AE66&lt;&gt;""),
  "O" &amp; Data!CT51,
  IF(AE9&lt;&gt;"",
     _xlfn.LET(
       _xlpm.cleaned,
       IF(
         OR(COUNTIF(AE9,"L*"), COUNTIF(AE9,"X*")),
         SUBSTITUTE(SUBSTITUTE(SUBSTITUTE(SUBSTITUTE(AE9,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COUNTIF(AE9, "*"&amp;$BN$3&amp;"*"),
           COUNTIF(AE9, "*"&amp;$BN$4&amp;"*"),
           COUNTIF(AE9, "*"&amp;$BN$5&amp;"*"),
           COUNTIF(AE9, "*"&amp;$BN$6&amp;"*"),
           COUNTIF(AE9, "*"&amp;$BN$7&amp;"*")
         ),
         FALSE,
         TRUE
       ),
       _xlpm.noDigits,
       SUM(--ISNUMBER(FIND({0,1,2,3,4,5,6,7,8,9}, _xlpm.cleaned))) = 0,
       _xlpm.cleaned &amp; IF(_xlpm.needsBR * _xlpm.noDigits, Data!CT51, "")
     ),
  "")
)</f>
        <v/>
      </c>
      <c r="AF48" s="41" t="str" cm="1">
        <f t="array" ref="AF48">IF(
  AND($Y$57=1, AF66&lt;&gt;""),
  "O" &amp; Data!CU51,
  IF(AF9&lt;&gt;"",
     _xlfn.LET(
       _xlpm.cleaned,
       IF(
         OR(COUNTIF(AF9,"L*"), COUNTIF(AF9,"X*")),
         SUBSTITUTE(SUBSTITUTE(SUBSTITUTE(SUBSTITUTE(AF9,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COUNTIF(AF9, "*"&amp;$BN$3&amp;"*"),
           COUNTIF(AF9, "*"&amp;$BN$4&amp;"*"),
           COUNTIF(AF9, "*"&amp;$BN$5&amp;"*"),
           COUNTIF(AF9, "*"&amp;$BN$6&amp;"*"),
           COUNTIF(AF9, "*"&amp;$BN$7&amp;"*")
         ),
         FALSE,
         TRUE
       ),
       _xlpm.noDigits,
       SUM(--ISNUMBER(FIND({0,1,2,3,4,5,6,7,8,9}, _xlpm.cleaned))) = 0,
       _xlpm.cleaned &amp; IF(_xlpm.needsBR * _xlpm.noDigits, Data!CU51, "")
     ),
  "")
)</f>
        <v/>
      </c>
      <c r="AG48" s="41" t="str" cm="1">
        <f t="array" ref="AG48">IF(
  AND($Y$57=1, AG66&lt;&gt;""),
  "O" &amp; Data!CV51,
  IF(AG9&lt;&gt;"",
     _xlfn.LET(
       _xlpm.cleaned,
       IF(
         OR(COUNTIF(AG9,"L*"), COUNTIF(AG9,"X*")),
         SUBSTITUTE(SUBSTITUTE(SUBSTITUTE(SUBSTITUTE(AG9,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COUNTIF(AG9, "*"&amp;$BN$3&amp;"*"),
           COUNTIF(AG9, "*"&amp;$BN$4&amp;"*"),
           COUNTIF(AG9, "*"&amp;$BN$5&amp;"*"),
           COUNTIF(AG9, "*"&amp;$BN$6&amp;"*"),
           COUNTIF(AG9, "*"&amp;$BN$7&amp;"*")
         ),
         FALSE,
         TRUE
       ),
       _xlpm.noDigits,
       SUM(--ISNUMBER(FIND({0,1,2,3,4,5,6,7,8,9}, _xlpm.cleaned))) = 0,
       _xlpm.cleaned &amp; IF(_xlpm.needsBR * _xlpm.noDigits, Data!CV51, "")
     ),
  "")
)</f>
        <v/>
      </c>
      <c r="AH48" s="41" t="str" cm="1">
        <f t="array" ref="AH48">IF(
  AND($Y$57=1, AH66&lt;&gt;""),
  "O" &amp; Data!CW51,
  IF(AH9&lt;&gt;"",
     _xlfn.LET(
       _xlpm.cleaned,
       IF(
         OR(COUNTIF(AH9,"L*"), COUNTIF(AH9,"X*")),
         SUBSTITUTE(SUBSTITUTE(SUBSTITUTE(SUBSTITUTE(AH9,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COUNTIF(AH9, "*"&amp;$BN$3&amp;"*"),
           COUNTIF(AH9, "*"&amp;$BN$4&amp;"*"),
           COUNTIF(AH9, "*"&amp;$BN$5&amp;"*"),
           COUNTIF(AH9, "*"&amp;$BN$6&amp;"*"),
           COUNTIF(AH9, "*"&amp;$BN$7&amp;"*")
         ),
         FALSE,
         TRUE
       ),
       _xlpm.noDigits,
       SUM(--ISNUMBER(FIND({0,1,2,3,4,5,6,7,8,9}, _xlpm.cleaned))) = 0,
       _xlpm.cleaned &amp; IF(_xlpm.needsBR * _xlpm.noDigits, Data!CW51, "")
     ),
  "")
)</f>
        <v/>
      </c>
      <c r="AI48" s="41" t="str" cm="1">
        <f t="array" ref="AI48">IF(
  AND($Y$57=1, AI66&lt;&gt;""),
  "O" &amp; Data!CX51,
  IF(AI9&lt;&gt;"",
     _xlfn.LET(
       _xlpm.cleaned,
       IF(
         OR(COUNTIF(AI9,"L*"), COUNTIF(AI9,"X*")),
         SUBSTITUTE(SUBSTITUTE(SUBSTITUTE(SUBSTITUTE(AI9,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COUNTIF(AI9, "*"&amp;$BN$3&amp;"*"),
           COUNTIF(AI9, "*"&amp;$BN$4&amp;"*"),
           COUNTIF(AI9, "*"&amp;$BN$5&amp;"*"),
           COUNTIF(AI9, "*"&amp;$BN$6&amp;"*"),
           COUNTIF(AI9, "*"&amp;$BN$7&amp;"*")
         ),
         FALSE,
         TRUE
       ),
       _xlpm.noDigits,
       SUM(--ISNUMBER(FIND({0,1,2,3,4,5,6,7,8,9}, _xlpm.cleaned))) = 0,
       _xlpm.cleaned &amp; IF(_xlpm.needsBR * _xlpm.noDigits, Data!CX51, "")
     ),
  "")
)</f>
        <v/>
      </c>
      <c r="AJ48" s="41" t="str" cm="1">
        <f t="array" ref="AJ48">IF(
  AND($Y$57=1, AJ66&lt;&gt;""),
  "O" &amp; Data!CY51,
  IF(AJ9&lt;&gt;"",
     _xlfn.LET(
       _xlpm.cleaned,
       IF(
         OR(COUNTIF(AJ9,"L*"), COUNTIF(AJ9,"X*")),
         SUBSTITUTE(SUBSTITUTE(SUBSTITUTE(SUBSTITUTE(AJ9,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COUNTIF(AJ9, "*"&amp;$BN$3&amp;"*"),
           COUNTIF(AJ9, "*"&amp;$BN$4&amp;"*"),
           COUNTIF(AJ9, "*"&amp;$BN$5&amp;"*"),
           COUNTIF(AJ9, "*"&amp;$BN$6&amp;"*"),
           COUNTIF(AJ9, "*"&amp;$BN$7&amp;"*")
         ),
         FALSE,
         TRUE
       ),
       _xlpm.noDigits,
       SUM(--ISNUMBER(FIND({0,1,2,3,4,5,6,7,8,9}, _xlpm.cleaned))) = 0,
       _xlpm.cleaned &amp; IF(_xlpm.needsBR * _xlpm.noDigits, Data!CY51, "")
     ),
  "")
)</f>
        <v/>
      </c>
    </row>
    <row r="49" spans="1:69" ht="23.25" customHeight="1" x14ac:dyDescent="0.35">
      <c r="A49" s="1196"/>
      <c r="B49" s="22">
        <v>7</v>
      </c>
      <c r="C49" s="41" t="str" cm="1">
        <f t="array" ref="C49">IF(
  AND($Y$57=1, C67&lt;&gt;""),
  "O" &amp; Data!BR52,
  IF(C10&lt;&gt;"",
     _xlfn.LET(
       _xlpm.cleaned,
       IF(
         OR(COUNTIF(C10,"L*"), COUNTIF(C10,"X*")),
         SUBSTITUTE(SUBSTITUTE(SUBSTITUTE(SUBSTITUTE(C10,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COUNTIF(C10, "*"&amp;$BN$3&amp;"*"),
           COUNTIF(C10, "*"&amp;$BN$4&amp;"*"),
           COUNTIF(C10, "*"&amp;$BN$5&amp;"*"),
           COUNTIF(C10, "*"&amp;$BN$6&amp;"*"),
           COUNTIF(C10, "*"&amp;$BN$7&amp;"*")
         ),
         FALSE,
         TRUE
       ),
       _xlpm.noDigits,
       SUM(--ISNUMBER(FIND({0,1,2,3,4,5,6,7,8,9}, _xlpm.cleaned))) = 0,
       _xlpm.cleaned &amp; IF(_xlpm.needsBR * _xlpm.noDigits, Data!BR52, "")
     ),
  "")
)</f>
        <v/>
      </c>
      <c r="D49" s="41" t="str" cm="1">
        <f t="array" ref="D49">IF(
  AND($Y$57=1, D67&lt;&gt;""),
  "O" &amp; Data!BS52,
  IF(D10&lt;&gt;"",
     _xlfn.LET(
       _xlpm.cleaned,
       IF(
         OR(COUNTIF(D10,"L*"), COUNTIF(D10,"X*")),
         SUBSTITUTE(SUBSTITUTE(SUBSTITUTE(SUBSTITUTE(D10,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COUNTIF(D10, "*"&amp;$BN$3&amp;"*"),
           COUNTIF(D10, "*"&amp;$BN$4&amp;"*"),
           COUNTIF(D10, "*"&amp;$BN$5&amp;"*"),
           COUNTIF(D10, "*"&amp;$BN$6&amp;"*"),
           COUNTIF(D10, "*"&amp;$BN$7&amp;"*")
         ),
         FALSE,
         TRUE
       ),
       _xlpm.noDigits,
       SUM(--ISNUMBER(FIND({0,1,2,3,4,5,6,7,8,9}, _xlpm.cleaned))) = 0,
       _xlpm.cleaned &amp; IF(_xlpm.needsBR * _xlpm.noDigits, Data!BS52, "")
     ),
  "")
)</f>
        <v/>
      </c>
      <c r="E49" s="41" t="str" cm="1">
        <f t="array" ref="E49">IF(
  AND($Y$57=1, E67&lt;&gt;""),
  "O" &amp; Data!BT52,
  IF(E10&lt;&gt;"",
     _xlfn.LET(
       _xlpm.cleaned,
       IF(
         OR(COUNTIF(E10,"L*"), COUNTIF(E10,"X*")),
         SUBSTITUTE(SUBSTITUTE(SUBSTITUTE(SUBSTITUTE(E10,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COUNTIF(E10, "*"&amp;$BN$3&amp;"*"),
           COUNTIF(E10, "*"&amp;$BN$4&amp;"*"),
           COUNTIF(E10, "*"&amp;$BN$5&amp;"*"),
           COUNTIF(E10, "*"&amp;$BN$6&amp;"*"),
           COUNTIF(E10, "*"&amp;$BN$7&amp;"*")
         ),
         FALSE,
         TRUE
       ),
       _xlpm.noDigits,
       SUM(--ISNUMBER(FIND({0,1,2,3,4,5,6,7,8,9}, _xlpm.cleaned))) = 0,
       _xlpm.cleaned &amp; IF(_xlpm.needsBR * _xlpm.noDigits, Data!BT52, "")
     ),
  "")
)</f>
        <v/>
      </c>
      <c r="F49" s="41" t="str" cm="1">
        <f t="array" ref="F49">IF(
  AND($Y$57=1, F67&lt;&gt;""),
  "O" &amp; Data!BU52,
  IF(F10&lt;&gt;"",
     _xlfn.LET(
       _xlpm.cleaned,
       IF(
         OR(COUNTIF(F10,"L*"), COUNTIF(F10,"X*")),
         SUBSTITUTE(SUBSTITUTE(SUBSTITUTE(SUBSTITUTE(F10,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COUNTIF(F10, "*"&amp;$BN$3&amp;"*"),
           COUNTIF(F10, "*"&amp;$BN$4&amp;"*"),
           COUNTIF(F10, "*"&amp;$BN$5&amp;"*"),
           COUNTIF(F10, "*"&amp;$BN$6&amp;"*"),
           COUNTIF(F10, "*"&amp;$BN$7&amp;"*")
         ),
         FALSE,
         TRUE
       ),
       _xlpm.noDigits,
       SUM(--ISNUMBER(FIND({0,1,2,3,4,5,6,7,8,9}, _xlpm.cleaned))) = 0,
       _xlpm.cleaned &amp; IF(_xlpm.needsBR * _xlpm.noDigits, Data!BU52, "")
     ),
  "")
)</f>
        <v/>
      </c>
      <c r="G49" s="41" t="str" cm="1">
        <f t="array" ref="G49">IF(
  AND($Y$57=1, G67&lt;&gt;""),
  "O" &amp; Data!BV52,
  IF(G10&lt;&gt;"",
     _xlfn.LET(
       _xlpm.cleaned,
       IF(
         OR(COUNTIF(G10,"L*"), COUNTIF(G10,"X*")),
         SUBSTITUTE(SUBSTITUTE(SUBSTITUTE(SUBSTITUTE(G10,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COUNTIF(G10, "*"&amp;$BN$3&amp;"*"),
           COUNTIF(G10, "*"&amp;$BN$4&amp;"*"),
           COUNTIF(G10, "*"&amp;$BN$5&amp;"*"),
           COUNTIF(G10, "*"&amp;$BN$6&amp;"*"),
           COUNTIF(G10, "*"&amp;$BN$7&amp;"*")
         ),
         FALSE,
         TRUE
       ),
       _xlpm.noDigits,
       SUM(--ISNUMBER(FIND({0,1,2,3,4,5,6,7,8,9}, _xlpm.cleaned))) = 0,
       _xlpm.cleaned &amp; IF(_xlpm.needsBR * _xlpm.noDigits, Data!BV52, "")
     ),
  "")
)</f>
        <v/>
      </c>
      <c r="H49" s="41" t="str" cm="1">
        <f t="array" ref="H49">IF(
  AND($Y$57=1, H67&lt;&gt;""),
  "O" &amp; Data!BW52,
  IF(H10&lt;&gt;"",
     _xlfn.LET(
       _xlpm.cleaned,
       IF(
         OR(COUNTIF(H10,"L*"), COUNTIF(H10,"X*")),
         SUBSTITUTE(SUBSTITUTE(SUBSTITUTE(SUBSTITUTE(H10,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COUNTIF(H10, "*"&amp;$BN$3&amp;"*"),
           COUNTIF(H10, "*"&amp;$BN$4&amp;"*"),
           COUNTIF(H10, "*"&amp;$BN$5&amp;"*"),
           COUNTIF(H10, "*"&amp;$BN$6&amp;"*"),
           COUNTIF(H10, "*"&amp;$BN$7&amp;"*")
         ),
         FALSE,
         TRUE
       ),
       _xlpm.noDigits,
       SUM(--ISNUMBER(FIND({0,1,2,3,4,5,6,7,8,9}, _xlpm.cleaned))) = 0,
       _xlpm.cleaned &amp; IF(_xlpm.needsBR * _xlpm.noDigits, Data!BW52, "")
     ),
  "")
)</f>
        <v/>
      </c>
      <c r="I49" s="41" t="str" cm="1">
        <f t="array" ref="I49">IF(
  AND($Y$57=1, I67&lt;&gt;""),
  "O" &amp; Data!BX52,
  IF(I10&lt;&gt;"",
     _xlfn.LET(
       _xlpm.cleaned,
       IF(
         OR(COUNTIF(I10,"L*"), COUNTIF(I10,"X*")),
         SUBSTITUTE(SUBSTITUTE(SUBSTITUTE(SUBSTITUTE(I10,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COUNTIF(I10, "*"&amp;$BN$3&amp;"*"),
           COUNTIF(I10, "*"&amp;$BN$4&amp;"*"),
           COUNTIF(I10, "*"&amp;$BN$5&amp;"*"),
           COUNTIF(I10, "*"&amp;$BN$6&amp;"*"),
           COUNTIF(I10, "*"&amp;$BN$7&amp;"*")
         ),
         FALSE,
         TRUE
       ),
       _xlpm.noDigits,
       SUM(--ISNUMBER(FIND({0,1,2,3,4,5,6,7,8,9}, _xlpm.cleaned))) = 0,
       _xlpm.cleaned &amp; IF(_xlpm.needsBR * _xlpm.noDigits, Data!BX52, "")
     ),
  "")
)</f>
        <v/>
      </c>
      <c r="J49" s="41" t="str" cm="1">
        <f t="array" ref="J49">IF(
  AND($Y$57=1, J67&lt;&gt;""),
  "O" &amp; Data!BY52,
  IF(J10&lt;&gt;"",
     _xlfn.LET(
       _xlpm.cleaned,
       IF(
         OR(COUNTIF(J10,"L*"), COUNTIF(J10,"X*")),
         SUBSTITUTE(SUBSTITUTE(SUBSTITUTE(SUBSTITUTE(J10,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COUNTIF(J10, "*"&amp;$BN$3&amp;"*"),
           COUNTIF(J10, "*"&amp;$BN$4&amp;"*"),
           COUNTIF(J10, "*"&amp;$BN$5&amp;"*"),
           COUNTIF(J10, "*"&amp;$BN$6&amp;"*"),
           COUNTIF(J10, "*"&amp;$BN$7&amp;"*")
         ),
         FALSE,
         TRUE
       ),
       _xlpm.noDigits,
       SUM(--ISNUMBER(FIND({0,1,2,3,4,5,6,7,8,9}, _xlpm.cleaned))) = 0,
       _xlpm.cleaned &amp; IF(_xlpm.needsBR * _xlpm.noDigits, Data!BY52, "")
     ),
  "")
)</f>
        <v/>
      </c>
      <c r="K49" s="41" t="str" cm="1">
        <f t="array" ref="K49">IF(
  AND($Y$57=1, K67&lt;&gt;""),
  "O" &amp; Data!BZ52,
  IF(K10&lt;&gt;"",
     _xlfn.LET(
       _xlpm.cleaned,
       IF(
         OR(COUNTIF(K10,"L*"), COUNTIF(K10,"X*")),
         SUBSTITUTE(SUBSTITUTE(SUBSTITUTE(SUBSTITUTE(K10,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COUNTIF(K10, "*"&amp;$BN$3&amp;"*"),
           COUNTIF(K10, "*"&amp;$BN$4&amp;"*"),
           COUNTIF(K10, "*"&amp;$BN$5&amp;"*"),
           COUNTIF(K10, "*"&amp;$BN$6&amp;"*"),
           COUNTIF(K10, "*"&amp;$BN$7&amp;"*")
         ),
         FALSE,
         TRUE
       ),
       _xlpm.noDigits,
       SUM(--ISNUMBER(FIND({0,1,2,3,4,5,6,7,8,9}, _xlpm.cleaned))) = 0,
       _xlpm.cleaned &amp; IF(_xlpm.needsBR * _xlpm.noDigits, Data!BZ52, "")
     ),
  "")
)</f>
        <v/>
      </c>
      <c r="L49" s="41" t="str" cm="1">
        <f t="array" ref="L49">IF(
  AND($Y$57=1, L67&lt;&gt;""),
  "O" &amp; Data!CA52,
  IF(L10&lt;&gt;"",
     _xlfn.LET(
       _xlpm.cleaned,
       IF(
         OR(COUNTIF(L10,"L*"), COUNTIF(L10,"X*")),
         SUBSTITUTE(SUBSTITUTE(SUBSTITUTE(SUBSTITUTE(L10,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COUNTIF(L10, "*"&amp;$BN$3&amp;"*"),
           COUNTIF(L10, "*"&amp;$BN$4&amp;"*"),
           COUNTIF(L10, "*"&amp;$BN$5&amp;"*"),
           COUNTIF(L10, "*"&amp;$BN$6&amp;"*"),
           COUNTIF(L10, "*"&amp;$BN$7&amp;"*")
         ),
         FALSE,
         TRUE
       ),
       _xlpm.noDigits,
       SUM(--ISNUMBER(FIND({0,1,2,3,4,5,6,7,8,9}, _xlpm.cleaned))) = 0,
       _xlpm.cleaned &amp; IF(_xlpm.needsBR * _xlpm.noDigits, Data!CA52, "")
     ),
  "")
)</f>
        <v/>
      </c>
      <c r="M49" s="41" t="str" cm="1">
        <f t="array" ref="M49">IF(
  AND($Y$57=1, M67&lt;&gt;""),
  "O" &amp; Data!CB52,
  IF(M10&lt;&gt;"",
     _xlfn.LET(
       _xlpm.cleaned,
       IF(
         OR(COUNTIF(M10,"L*"), COUNTIF(M10,"X*")),
         SUBSTITUTE(SUBSTITUTE(SUBSTITUTE(SUBSTITUTE(M10,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COUNTIF(M10, "*"&amp;$BN$3&amp;"*"),
           COUNTIF(M10, "*"&amp;$BN$4&amp;"*"),
           COUNTIF(M10, "*"&amp;$BN$5&amp;"*"),
           COUNTIF(M10, "*"&amp;$BN$6&amp;"*"),
           COUNTIF(M10, "*"&amp;$BN$7&amp;"*")
         ),
         FALSE,
         TRUE
       ),
       _xlpm.noDigits,
       SUM(--ISNUMBER(FIND({0,1,2,3,4,5,6,7,8,9}, _xlpm.cleaned))) = 0,
       _xlpm.cleaned &amp; IF(_xlpm.needsBR * _xlpm.noDigits, Data!CB52, "")
     ),
  "")
)</f>
        <v/>
      </c>
      <c r="N49" s="41" t="str" cm="1">
        <f t="array" ref="N49">IF(
  AND($Y$57=1, N67&lt;&gt;""),
  "O" &amp; Data!CC52,
  IF(N10&lt;&gt;"",
     _xlfn.LET(
       _xlpm.cleaned,
       IF(
         OR(COUNTIF(N10,"L*"), COUNTIF(N10,"X*")),
         SUBSTITUTE(SUBSTITUTE(SUBSTITUTE(SUBSTITUTE(N10,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COUNTIF(N10, "*"&amp;$BN$3&amp;"*"),
           COUNTIF(N10, "*"&amp;$BN$4&amp;"*"),
           COUNTIF(N10, "*"&amp;$BN$5&amp;"*"),
           COUNTIF(N10, "*"&amp;$BN$6&amp;"*"),
           COUNTIF(N10, "*"&amp;$BN$7&amp;"*")
         ),
         FALSE,
         TRUE
       ),
       _xlpm.noDigits,
       SUM(--ISNUMBER(FIND({0,1,2,3,4,5,6,7,8,9}, _xlpm.cleaned))) = 0,
       _xlpm.cleaned &amp; IF(_xlpm.needsBR * _xlpm.noDigits, Data!CC52, "")
     ),
  "")
)</f>
        <v/>
      </c>
      <c r="O49" s="41" t="str" cm="1">
        <f t="array" ref="O49">IF(
  AND($Y$57=1, O67&lt;&gt;""),
  "O" &amp; Data!CD52,
  IF(O10&lt;&gt;"",
     _xlfn.LET(
       _xlpm.cleaned,
       IF(
         OR(COUNTIF(O10,"L*"), COUNTIF(O10,"X*")),
         SUBSTITUTE(SUBSTITUTE(SUBSTITUTE(SUBSTITUTE(O10,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COUNTIF(O10, "*"&amp;$BN$3&amp;"*"),
           COUNTIF(O10, "*"&amp;$BN$4&amp;"*"),
           COUNTIF(O10, "*"&amp;$BN$5&amp;"*"),
           COUNTIF(O10, "*"&amp;$BN$6&amp;"*"),
           COUNTIF(O10, "*"&amp;$BN$7&amp;"*")
         ),
         FALSE,
         TRUE
       ),
       _xlpm.noDigits,
       SUM(--ISNUMBER(FIND({0,1,2,3,4,5,6,7,8,9}, _xlpm.cleaned))) = 0,
       _xlpm.cleaned &amp; IF(_xlpm.needsBR * _xlpm.noDigits, Data!CD52, "")
     ),
  "")
)</f>
        <v/>
      </c>
      <c r="P49" s="41" t="str" cm="1">
        <f t="array" ref="P49">IF(
  AND($Y$57=1, P67&lt;&gt;""),
  "O" &amp; Data!CE52,
  IF(P10&lt;&gt;"",
     _xlfn.LET(
       _xlpm.cleaned,
       IF(
         OR(COUNTIF(P10,"L*"), COUNTIF(P10,"X*")),
         SUBSTITUTE(SUBSTITUTE(SUBSTITUTE(SUBSTITUTE(P10,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COUNTIF(P10, "*"&amp;$BN$3&amp;"*"),
           COUNTIF(P10, "*"&amp;$BN$4&amp;"*"),
           COUNTIF(P10, "*"&amp;$BN$5&amp;"*"),
           COUNTIF(P10, "*"&amp;$BN$6&amp;"*"),
           COUNTIF(P10, "*"&amp;$BN$7&amp;"*")
         ),
         FALSE,
         TRUE
       ),
       _xlpm.noDigits,
       SUM(--ISNUMBER(FIND({0,1,2,3,4,5,6,7,8,9}, _xlpm.cleaned))) = 0,
       _xlpm.cleaned &amp; IF(_xlpm.needsBR * _xlpm.noDigits, Data!CE52, "")
     ),
  "")
)</f>
        <v/>
      </c>
      <c r="Q49" s="41" t="str" cm="1">
        <f t="array" ref="Q49">IF(
  AND($Y$57=1, Q67&lt;&gt;""),
  "O" &amp; Data!CF52,
  IF(Q10&lt;&gt;"",
     _xlfn.LET(
       _xlpm.cleaned,
       IF(
         OR(COUNTIF(Q10,"L*"), COUNTIF(Q10,"X*")),
         SUBSTITUTE(SUBSTITUTE(SUBSTITUTE(SUBSTITUTE(Q10,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COUNTIF(Q10, "*"&amp;$BN$3&amp;"*"),
           COUNTIF(Q10, "*"&amp;$BN$4&amp;"*"),
           COUNTIF(Q10, "*"&amp;$BN$5&amp;"*"),
           COUNTIF(Q10, "*"&amp;$BN$6&amp;"*"),
           COUNTIF(Q10, "*"&amp;$BN$7&amp;"*")
         ),
         FALSE,
         TRUE
       ),
       _xlpm.noDigits,
       SUM(--ISNUMBER(FIND({0,1,2,3,4,5,6,7,8,9}, _xlpm.cleaned))) = 0,
       _xlpm.cleaned &amp; IF(_xlpm.needsBR * _xlpm.noDigits, Data!CF52, "")
     ),
  "")
)</f>
        <v/>
      </c>
      <c r="R49" s="41" t="str" cm="1">
        <f t="array" ref="R49">IF(
  AND($Y$57=1, R67&lt;&gt;""),
  "O" &amp; Data!CG52,
  IF(R10&lt;&gt;"",
     _xlfn.LET(
       _xlpm.cleaned,
       IF(
         OR(COUNTIF(R10,"L*"), COUNTIF(R10,"X*")),
         SUBSTITUTE(SUBSTITUTE(SUBSTITUTE(SUBSTITUTE(R10,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COUNTIF(R10, "*"&amp;$BN$3&amp;"*"),
           COUNTIF(R10, "*"&amp;$BN$4&amp;"*"),
           COUNTIF(R10, "*"&amp;$BN$5&amp;"*"),
           COUNTIF(R10, "*"&amp;$BN$6&amp;"*"),
           COUNTIF(R10, "*"&amp;$BN$7&amp;"*")
         ),
         FALSE,
         TRUE
       ),
       _xlpm.noDigits,
       SUM(--ISNUMBER(FIND({0,1,2,3,4,5,6,7,8,9}, _xlpm.cleaned))) = 0,
       _xlpm.cleaned &amp; IF(_xlpm.needsBR * _xlpm.noDigits, Data!CG52, "")
     ),
  "")
)</f>
        <v/>
      </c>
      <c r="S49" s="41" t="str" cm="1">
        <f t="array" ref="S49">IF(
  AND($Y$57=1, S67&lt;&gt;""),
  "O" &amp; Data!CH52,
  IF(S10&lt;&gt;"",
     _xlfn.LET(
       _xlpm.cleaned,
       IF(
         OR(COUNTIF(S10,"L*"), COUNTIF(S10,"X*")),
         SUBSTITUTE(SUBSTITUTE(SUBSTITUTE(SUBSTITUTE(S10,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COUNTIF(S10, "*"&amp;$BN$3&amp;"*"),
           COUNTIF(S10, "*"&amp;$BN$4&amp;"*"),
           COUNTIF(S10, "*"&amp;$BN$5&amp;"*"),
           COUNTIF(S10, "*"&amp;$BN$6&amp;"*"),
           COUNTIF(S10, "*"&amp;$BN$7&amp;"*")
         ),
         FALSE,
         TRUE
       ),
       _xlpm.noDigits,
       SUM(--ISNUMBER(FIND({0,1,2,3,4,5,6,7,8,9}, _xlpm.cleaned))) = 0,
       _xlpm.cleaned &amp; IF(_xlpm.needsBR * _xlpm.noDigits, Data!CH52, "")
     ),
  "")
)</f>
        <v/>
      </c>
      <c r="T49" s="41" t="str" cm="1">
        <f t="array" ref="T49">IF(
  AND($Y$57=1, T67&lt;&gt;""),
  "O" &amp; Data!CI52,
  IF(T10&lt;&gt;"",
     _xlfn.LET(
       _xlpm.cleaned,
       IF(
         OR(COUNTIF(T10,"L*"), COUNTIF(T10,"X*")),
         SUBSTITUTE(SUBSTITUTE(SUBSTITUTE(SUBSTITUTE(T10,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COUNTIF(T10, "*"&amp;$BN$3&amp;"*"),
           COUNTIF(T10, "*"&amp;$BN$4&amp;"*"),
           COUNTIF(T10, "*"&amp;$BN$5&amp;"*"),
           COUNTIF(T10, "*"&amp;$BN$6&amp;"*"),
           COUNTIF(T10, "*"&amp;$BN$7&amp;"*")
         ),
         FALSE,
         TRUE
       ),
       _xlpm.noDigits,
       SUM(--ISNUMBER(FIND({0,1,2,3,4,5,6,7,8,9}, _xlpm.cleaned))) = 0,
       _xlpm.cleaned &amp; IF(_xlpm.needsBR * _xlpm.noDigits, Data!CI52, "")
     ),
  "")
)</f>
        <v/>
      </c>
      <c r="U49" s="41" t="str" cm="1">
        <f t="array" ref="U49">IF(
  AND($Y$57=1, U67&lt;&gt;""),
  "O" &amp; Data!CJ52,
  IF(U10&lt;&gt;"",
     _xlfn.LET(
       _xlpm.cleaned,
       IF(
         OR(COUNTIF(U10,"L*"), COUNTIF(U10,"X*")),
         SUBSTITUTE(SUBSTITUTE(SUBSTITUTE(SUBSTITUTE(U10,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COUNTIF(U10, "*"&amp;$BN$3&amp;"*"),
           COUNTIF(U10, "*"&amp;$BN$4&amp;"*"),
           COUNTIF(U10, "*"&amp;$BN$5&amp;"*"),
           COUNTIF(U10, "*"&amp;$BN$6&amp;"*"),
           COUNTIF(U10, "*"&amp;$BN$7&amp;"*")
         ),
         FALSE,
         TRUE
       ),
       _xlpm.noDigits,
       SUM(--ISNUMBER(FIND({0,1,2,3,4,5,6,7,8,9}, _xlpm.cleaned))) = 0,
       _xlpm.cleaned &amp; IF(_xlpm.needsBR * _xlpm.noDigits, Data!CJ52, "")
     ),
  "")
)</f>
        <v/>
      </c>
      <c r="V49" s="41" t="str" cm="1">
        <f t="array" ref="V49">IF(
  AND($Y$57=1, V67&lt;&gt;""),
  "O" &amp; Data!CK52,
  IF(V10&lt;&gt;"",
     _xlfn.LET(
       _xlpm.cleaned,
       IF(
         OR(COUNTIF(V10,"L*"), COUNTIF(V10,"X*")),
         SUBSTITUTE(SUBSTITUTE(SUBSTITUTE(SUBSTITUTE(V10,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COUNTIF(V10, "*"&amp;$BN$3&amp;"*"),
           COUNTIF(V10, "*"&amp;$BN$4&amp;"*"),
           COUNTIF(V10, "*"&amp;$BN$5&amp;"*"),
           COUNTIF(V10, "*"&amp;$BN$6&amp;"*"),
           COUNTIF(V10, "*"&amp;$BN$7&amp;"*")
         ),
         FALSE,
         TRUE
       ),
       _xlpm.noDigits,
       SUM(--ISNUMBER(FIND({0,1,2,3,4,5,6,7,8,9}, _xlpm.cleaned))) = 0,
       _xlpm.cleaned &amp; IF(_xlpm.needsBR * _xlpm.noDigits, Data!CK52, "")
     ),
  "")
)</f>
        <v/>
      </c>
      <c r="W49" s="41" t="str" cm="1">
        <f t="array" ref="W49">IF(
  AND($Y$57=1, W67&lt;&gt;""),
  "O" &amp; Data!CL52,
  IF(W10&lt;&gt;"",
     _xlfn.LET(
       _xlpm.cleaned,
       IF(
         OR(COUNTIF(W10,"L*"), COUNTIF(W10,"X*")),
         SUBSTITUTE(SUBSTITUTE(SUBSTITUTE(SUBSTITUTE(W10,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COUNTIF(W10, "*"&amp;$BN$3&amp;"*"),
           COUNTIF(W10, "*"&amp;$BN$4&amp;"*"),
           COUNTIF(W10, "*"&amp;$BN$5&amp;"*"),
           COUNTIF(W10, "*"&amp;$BN$6&amp;"*"),
           COUNTIF(W10, "*"&amp;$BN$7&amp;"*")
         ),
         FALSE,
         TRUE
       ),
       _xlpm.noDigits,
       SUM(--ISNUMBER(FIND({0,1,2,3,4,5,6,7,8,9}, _xlpm.cleaned))) = 0,
       _xlpm.cleaned &amp; IF(_xlpm.needsBR * _xlpm.noDigits, Data!CL52, "")
     ),
  "")
)</f>
        <v/>
      </c>
      <c r="X49" s="41" t="str" cm="1">
        <f t="array" ref="X49">IF(
  AND($Y$57=1, X67&lt;&gt;""),
  "O" &amp; Data!CM52,
  IF(X10&lt;&gt;"",
     _xlfn.LET(
       _xlpm.cleaned,
       IF(
         OR(COUNTIF(X10,"L*"), COUNTIF(X10,"X*")),
         SUBSTITUTE(SUBSTITUTE(SUBSTITUTE(SUBSTITUTE(X10,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COUNTIF(X10, "*"&amp;$BN$3&amp;"*"),
           COUNTIF(X10, "*"&amp;$BN$4&amp;"*"),
           COUNTIF(X10, "*"&amp;$BN$5&amp;"*"),
           COUNTIF(X10, "*"&amp;$BN$6&amp;"*"),
           COUNTIF(X10, "*"&amp;$BN$7&amp;"*")
         ),
         FALSE,
         TRUE
       ),
       _xlpm.noDigits,
       SUM(--ISNUMBER(FIND({0,1,2,3,4,5,6,7,8,9}, _xlpm.cleaned))) = 0,
       _xlpm.cleaned &amp; IF(_xlpm.needsBR * _xlpm.noDigits, Data!CM52, "")
     ),
  "")
)</f>
        <v/>
      </c>
      <c r="Y49" s="41" t="str" cm="1">
        <f t="array" ref="Y49">IF(
  AND($Y$57=1, Y67&lt;&gt;""),
  "O" &amp; Data!CN52,
  IF(Y10&lt;&gt;"",
     _xlfn.LET(
       _xlpm.cleaned,
       IF(
         OR(COUNTIF(Y10,"L*"), COUNTIF(Y10,"X*")),
         SUBSTITUTE(SUBSTITUTE(SUBSTITUTE(SUBSTITUTE(Y10,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COUNTIF(Y10, "*"&amp;$BN$3&amp;"*"),
           COUNTIF(Y10, "*"&amp;$BN$4&amp;"*"),
           COUNTIF(Y10, "*"&amp;$BN$5&amp;"*"),
           COUNTIF(Y10, "*"&amp;$BN$6&amp;"*"),
           COUNTIF(Y10, "*"&amp;$BN$7&amp;"*")
         ),
         FALSE,
         TRUE
       ),
       _xlpm.noDigits,
       SUM(--ISNUMBER(FIND({0,1,2,3,4,5,6,7,8,9}, _xlpm.cleaned))) = 0,
       _xlpm.cleaned &amp; IF(_xlpm.needsBR * _xlpm.noDigits, Data!CN52, "")
     ),
  "")
)</f>
        <v/>
      </c>
      <c r="Z49" s="41" t="str" cm="1">
        <f t="array" ref="Z49">IF(
  AND($Y$57=1, Z67&lt;&gt;""),
  "O" &amp; Data!CO52,
  IF(Z10&lt;&gt;"",
     _xlfn.LET(
       _xlpm.cleaned,
       IF(
         OR(COUNTIF(Z10,"L*"), COUNTIF(Z10,"X*")),
         SUBSTITUTE(SUBSTITUTE(SUBSTITUTE(SUBSTITUTE(Z10,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COUNTIF(Z10, "*"&amp;$BN$3&amp;"*"),
           COUNTIF(Z10, "*"&amp;$BN$4&amp;"*"),
           COUNTIF(Z10, "*"&amp;$BN$5&amp;"*"),
           COUNTIF(Z10, "*"&amp;$BN$6&amp;"*"),
           COUNTIF(Z10, "*"&amp;$BN$7&amp;"*")
         ),
         FALSE,
         TRUE
       ),
       _xlpm.noDigits,
       SUM(--ISNUMBER(FIND({0,1,2,3,4,5,6,7,8,9}, _xlpm.cleaned))) = 0,
       _xlpm.cleaned &amp; IF(_xlpm.needsBR * _xlpm.noDigits, Data!CO52, "")
     ),
  "")
)</f>
        <v/>
      </c>
      <c r="AA49" s="41" t="str" cm="1">
        <f t="array" ref="AA49">IF(
  AND($Y$57=1, AA67&lt;&gt;""),
  "O" &amp; Data!CP52,
  IF(AA10&lt;&gt;"",
     _xlfn.LET(
       _xlpm.cleaned,
       IF(
         OR(COUNTIF(AA10,"L*"), COUNTIF(AA10,"X*")),
         SUBSTITUTE(SUBSTITUTE(SUBSTITUTE(SUBSTITUTE(AA10,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COUNTIF(AA10, "*"&amp;$BN$3&amp;"*"),
           COUNTIF(AA10, "*"&amp;$BN$4&amp;"*"),
           COUNTIF(AA10, "*"&amp;$BN$5&amp;"*"),
           COUNTIF(AA10, "*"&amp;$BN$6&amp;"*"),
           COUNTIF(AA10, "*"&amp;$BN$7&amp;"*")
         ),
         FALSE,
         TRUE
       ),
       _xlpm.noDigits,
       SUM(--ISNUMBER(FIND({0,1,2,3,4,5,6,7,8,9}, _xlpm.cleaned))) = 0,
       _xlpm.cleaned &amp; IF(_xlpm.needsBR * _xlpm.noDigits, Data!CP52, "")
     ),
  "")
)</f>
        <v/>
      </c>
      <c r="AB49" s="41" t="str" cm="1">
        <f t="array" ref="AB49">IF(
  AND($Y$57=1, AB67&lt;&gt;""),
  "O" &amp; Data!CQ52,
  IF(AB10&lt;&gt;"",
     _xlfn.LET(
       _xlpm.cleaned,
       IF(
         OR(COUNTIF(AB10,"L*"), COUNTIF(AB10,"X*")),
         SUBSTITUTE(SUBSTITUTE(SUBSTITUTE(SUBSTITUTE(AB10,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COUNTIF(AB10, "*"&amp;$BN$3&amp;"*"),
           COUNTIF(AB10, "*"&amp;$BN$4&amp;"*"),
           COUNTIF(AB10, "*"&amp;$BN$5&amp;"*"),
           COUNTIF(AB10, "*"&amp;$BN$6&amp;"*"),
           COUNTIF(AB10, "*"&amp;$BN$7&amp;"*")
         ),
         FALSE,
         TRUE
       ),
       _xlpm.noDigits,
       SUM(--ISNUMBER(FIND({0,1,2,3,4,5,6,7,8,9}, _xlpm.cleaned))) = 0,
       _xlpm.cleaned &amp; IF(_xlpm.needsBR * _xlpm.noDigits, Data!CQ52, "")
     ),
  "")
)</f>
        <v/>
      </c>
      <c r="AC49" s="41" t="str" cm="1">
        <f t="array" ref="AC49">IF(
  AND($Y$57=1, AC67&lt;&gt;""),
  "O" &amp; Data!CR52,
  IF(AC10&lt;&gt;"",
     _xlfn.LET(
       _xlpm.cleaned,
       IF(
         OR(COUNTIF(AC10,"L*"), COUNTIF(AC10,"X*")),
         SUBSTITUTE(SUBSTITUTE(SUBSTITUTE(SUBSTITUTE(AC10,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COUNTIF(AC10, "*"&amp;$BN$3&amp;"*"),
           COUNTIF(AC10, "*"&amp;$BN$4&amp;"*"),
           COUNTIF(AC10, "*"&amp;$BN$5&amp;"*"),
           COUNTIF(AC10, "*"&amp;$BN$6&amp;"*"),
           COUNTIF(AC10, "*"&amp;$BN$7&amp;"*")
         ),
         FALSE,
         TRUE
       ),
       _xlpm.noDigits,
       SUM(--ISNUMBER(FIND({0,1,2,3,4,5,6,7,8,9}, _xlpm.cleaned))) = 0,
       _xlpm.cleaned &amp; IF(_xlpm.needsBR * _xlpm.noDigits, Data!CR52, "")
     ),
  "")
)</f>
        <v/>
      </c>
      <c r="AD49" s="41" t="str" cm="1">
        <f t="array" ref="AD49">IF(
  AND($Y$57=1, AD67&lt;&gt;""),
  "O" &amp; Data!CS52,
  IF(AD10&lt;&gt;"",
     _xlfn.LET(
       _xlpm.cleaned,
       IF(
         OR(COUNTIF(AD10,"L*"), COUNTIF(AD10,"X*")),
         SUBSTITUTE(SUBSTITUTE(SUBSTITUTE(SUBSTITUTE(AD10,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COUNTIF(AD10, "*"&amp;$BN$3&amp;"*"),
           COUNTIF(AD10, "*"&amp;$BN$4&amp;"*"),
           COUNTIF(AD10, "*"&amp;$BN$5&amp;"*"),
           COUNTIF(AD10, "*"&amp;$BN$6&amp;"*"),
           COUNTIF(AD10, "*"&amp;$BN$7&amp;"*")
         ),
         FALSE,
         TRUE
       ),
       _xlpm.noDigits,
       SUM(--ISNUMBER(FIND({0,1,2,3,4,5,6,7,8,9}, _xlpm.cleaned))) = 0,
       _xlpm.cleaned &amp; IF(_xlpm.needsBR * _xlpm.noDigits, Data!CS52, "")
     ),
  "")
)</f>
        <v/>
      </c>
      <c r="AE49" s="41" t="str" cm="1">
        <f t="array" ref="AE49">IF(
  AND($Y$57=1, AE67&lt;&gt;""),
  "O" &amp; Data!CT52,
  IF(AE10&lt;&gt;"",
     _xlfn.LET(
       _xlpm.cleaned,
       IF(
         OR(COUNTIF(AE10,"L*"), COUNTIF(AE10,"X*")),
         SUBSTITUTE(SUBSTITUTE(SUBSTITUTE(SUBSTITUTE(AE10,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COUNTIF(AE10, "*"&amp;$BN$3&amp;"*"),
           COUNTIF(AE10, "*"&amp;$BN$4&amp;"*"),
           COUNTIF(AE10, "*"&amp;$BN$5&amp;"*"),
           COUNTIF(AE10, "*"&amp;$BN$6&amp;"*"),
           COUNTIF(AE10, "*"&amp;$BN$7&amp;"*")
         ),
         FALSE,
         TRUE
       ),
       _xlpm.noDigits,
       SUM(--ISNUMBER(FIND({0,1,2,3,4,5,6,7,8,9}, _xlpm.cleaned))) = 0,
       _xlpm.cleaned &amp; IF(_xlpm.needsBR * _xlpm.noDigits, Data!CT52, "")
     ),
  "")
)</f>
        <v/>
      </c>
      <c r="AF49" s="41" t="str" cm="1">
        <f t="array" ref="AF49">IF(
  AND($Y$57=1, AF67&lt;&gt;""),
  "O" &amp; Data!CU52,
  IF(AF10&lt;&gt;"",
     _xlfn.LET(
       _xlpm.cleaned,
       IF(
         OR(COUNTIF(AF10,"L*"), COUNTIF(AF10,"X*")),
         SUBSTITUTE(SUBSTITUTE(SUBSTITUTE(SUBSTITUTE(AF10,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COUNTIF(AF10, "*"&amp;$BN$3&amp;"*"),
           COUNTIF(AF10, "*"&amp;$BN$4&amp;"*"),
           COUNTIF(AF10, "*"&amp;$BN$5&amp;"*"),
           COUNTIF(AF10, "*"&amp;$BN$6&amp;"*"),
           COUNTIF(AF10, "*"&amp;$BN$7&amp;"*")
         ),
         FALSE,
         TRUE
       ),
       _xlpm.noDigits,
       SUM(--ISNUMBER(FIND({0,1,2,3,4,5,6,7,8,9}, _xlpm.cleaned))) = 0,
       _xlpm.cleaned &amp; IF(_xlpm.needsBR * _xlpm.noDigits, Data!CU52, "")
     ),
  "")
)</f>
        <v/>
      </c>
      <c r="AG49" s="41" t="str" cm="1">
        <f t="array" ref="AG49">IF(
  AND($Y$57=1, AG67&lt;&gt;""),
  "O" &amp; Data!CV52,
  IF(AG10&lt;&gt;"",
     _xlfn.LET(
       _xlpm.cleaned,
       IF(
         OR(COUNTIF(AG10,"L*"), COUNTIF(AG10,"X*")),
         SUBSTITUTE(SUBSTITUTE(SUBSTITUTE(SUBSTITUTE(AG10,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COUNTIF(AG10, "*"&amp;$BN$3&amp;"*"),
           COUNTIF(AG10, "*"&amp;$BN$4&amp;"*"),
           COUNTIF(AG10, "*"&amp;$BN$5&amp;"*"),
           COUNTIF(AG10, "*"&amp;$BN$6&amp;"*"),
           COUNTIF(AG10, "*"&amp;$BN$7&amp;"*")
         ),
         FALSE,
         TRUE
       ),
       _xlpm.noDigits,
       SUM(--ISNUMBER(FIND({0,1,2,3,4,5,6,7,8,9}, _xlpm.cleaned))) = 0,
       _xlpm.cleaned &amp; IF(_xlpm.needsBR * _xlpm.noDigits, Data!CV52, "")
     ),
  "")
)</f>
        <v/>
      </c>
      <c r="AH49" s="41" t="str" cm="1">
        <f t="array" ref="AH49">IF(
  AND($Y$57=1, AH67&lt;&gt;""),
  "O" &amp; Data!CW52,
  IF(AH10&lt;&gt;"",
     _xlfn.LET(
       _xlpm.cleaned,
       IF(
         OR(COUNTIF(AH10,"L*"), COUNTIF(AH10,"X*")),
         SUBSTITUTE(SUBSTITUTE(SUBSTITUTE(SUBSTITUTE(AH10,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COUNTIF(AH10, "*"&amp;$BN$3&amp;"*"),
           COUNTIF(AH10, "*"&amp;$BN$4&amp;"*"),
           COUNTIF(AH10, "*"&amp;$BN$5&amp;"*"),
           COUNTIF(AH10, "*"&amp;$BN$6&amp;"*"),
           COUNTIF(AH10, "*"&amp;$BN$7&amp;"*")
         ),
         FALSE,
         TRUE
       ),
       _xlpm.noDigits,
       SUM(--ISNUMBER(FIND({0,1,2,3,4,5,6,7,8,9}, _xlpm.cleaned))) = 0,
       _xlpm.cleaned &amp; IF(_xlpm.needsBR * _xlpm.noDigits, Data!CW52, "")
     ),
  "")
)</f>
        <v/>
      </c>
      <c r="AI49" s="41" t="str" cm="1">
        <f t="array" ref="AI49">IF(
  AND($Y$57=1, AI67&lt;&gt;""),
  "O" &amp; Data!CX52,
  IF(AI10&lt;&gt;"",
     _xlfn.LET(
       _xlpm.cleaned,
       IF(
         OR(COUNTIF(AI10,"L*"), COUNTIF(AI10,"X*")),
         SUBSTITUTE(SUBSTITUTE(SUBSTITUTE(SUBSTITUTE(AI10,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COUNTIF(AI10, "*"&amp;$BN$3&amp;"*"),
           COUNTIF(AI10, "*"&amp;$BN$4&amp;"*"),
           COUNTIF(AI10, "*"&amp;$BN$5&amp;"*"),
           COUNTIF(AI10, "*"&amp;$BN$6&amp;"*"),
           COUNTIF(AI10, "*"&amp;$BN$7&amp;"*")
         ),
         FALSE,
         TRUE
       ),
       _xlpm.noDigits,
       SUM(--ISNUMBER(FIND({0,1,2,3,4,5,6,7,8,9}, _xlpm.cleaned))) = 0,
       _xlpm.cleaned &amp; IF(_xlpm.needsBR * _xlpm.noDigits, Data!CX52, "")
     ),
  "")
)</f>
        <v/>
      </c>
      <c r="AJ49" s="41" t="str" cm="1">
        <f t="array" ref="AJ49">IF(
  AND($Y$57=1, AJ67&lt;&gt;""),
  "O" &amp; Data!CY52,
  IF(AJ10&lt;&gt;"",
     _xlfn.LET(
       _xlpm.cleaned,
       IF(
         OR(COUNTIF(AJ10,"L*"), COUNTIF(AJ10,"X*")),
         SUBSTITUTE(SUBSTITUTE(SUBSTITUTE(SUBSTITUTE(AJ10,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COUNTIF(AJ10, "*"&amp;$BN$3&amp;"*"),
           COUNTIF(AJ10, "*"&amp;$BN$4&amp;"*"),
           COUNTIF(AJ10, "*"&amp;$BN$5&amp;"*"),
           COUNTIF(AJ10, "*"&amp;$BN$6&amp;"*"),
           COUNTIF(AJ10, "*"&amp;$BN$7&amp;"*")
         ),
         FALSE,
         TRUE
       ),
       _xlpm.noDigits,
       SUM(--ISNUMBER(FIND({0,1,2,3,4,5,6,7,8,9}, _xlpm.cleaned))) = 0,
       _xlpm.cleaned &amp; IF(_xlpm.needsBR * _xlpm.noDigits, Data!CY52, "")
     ),
  "")
)</f>
        <v/>
      </c>
    </row>
    <row r="50" spans="1:69" ht="23.25" customHeight="1" x14ac:dyDescent="0.35">
      <c r="A50" s="1196"/>
      <c r="B50" s="22">
        <v>8</v>
      </c>
      <c r="C50" s="41" t="str" cm="1">
        <f t="array" ref="C50">IF(
  AND($Y$57=1, C68&lt;&gt;""),
  "O" &amp; Data!BR53,
  IF(C11&lt;&gt;"",
     _xlfn.LET(
       _xlpm.cleaned,
       IF(
         OR(COUNTIF(C11,"L*"), COUNTIF(C11,"X*")),
         SUBSTITUTE(SUBSTITUTE(SUBSTITUTE(SUBSTITUTE(C11,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COUNTIF(C11, "*"&amp;$BN$3&amp;"*"),
           COUNTIF(C11, "*"&amp;$BN$4&amp;"*"),
           COUNTIF(C11, "*"&amp;$BN$5&amp;"*"),
           COUNTIF(C11, "*"&amp;$BN$6&amp;"*"),
           COUNTIF(C11, "*"&amp;$BN$7&amp;"*")
         ),
         FALSE,
         TRUE
       ),
       _xlpm.noDigits,
       SUM(--ISNUMBER(FIND({0,1,2,3,4,5,6,7,8,9}, _xlpm.cleaned))) = 0,
       _xlpm.cleaned &amp; IF(_xlpm.needsBR * _xlpm.noDigits, Data!BR53, "")
     ),
  "")
)</f>
        <v/>
      </c>
      <c r="D50" s="41" t="str" cm="1">
        <f t="array" ref="D50">IF(
  AND($Y$57=1, D68&lt;&gt;""),
  "O" &amp; Data!BS53,
  IF(D11&lt;&gt;"",
     _xlfn.LET(
       _xlpm.cleaned,
       IF(
         OR(COUNTIF(D11,"L*"), COUNTIF(D11,"X*")),
         SUBSTITUTE(SUBSTITUTE(SUBSTITUTE(SUBSTITUTE(D11,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COUNTIF(D11, "*"&amp;$BN$3&amp;"*"),
           COUNTIF(D11, "*"&amp;$BN$4&amp;"*"),
           COUNTIF(D11, "*"&amp;$BN$5&amp;"*"),
           COUNTIF(D11, "*"&amp;$BN$6&amp;"*"),
           COUNTIF(D11, "*"&amp;$BN$7&amp;"*")
         ),
         FALSE,
         TRUE
       ),
       _xlpm.noDigits,
       SUM(--ISNUMBER(FIND({0,1,2,3,4,5,6,7,8,9}, _xlpm.cleaned))) = 0,
       _xlpm.cleaned &amp; IF(_xlpm.needsBR * _xlpm.noDigits, Data!BS53, "")
     ),
  "")
)</f>
        <v/>
      </c>
      <c r="E50" s="41" t="str" cm="1">
        <f t="array" ref="E50">IF(
  AND($Y$57=1, E68&lt;&gt;""),
  "O" &amp; Data!BT53,
  IF(E11&lt;&gt;"",
     _xlfn.LET(
       _xlpm.cleaned,
       IF(
         OR(COUNTIF(E11,"L*"), COUNTIF(E11,"X*")),
         SUBSTITUTE(SUBSTITUTE(SUBSTITUTE(SUBSTITUTE(E11,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COUNTIF(E11, "*"&amp;$BN$3&amp;"*"),
           COUNTIF(E11, "*"&amp;$BN$4&amp;"*"),
           COUNTIF(E11, "*"&amp;$BN$5&amp;"*"),
           COUNTIF(E11, "*"&amp;$BN$6&amp;"*"),
           COUNTIF(E11, "*"&amp;$BN$7&amp;"*")
         ),
         FALSE,
         TRUE
       ),
       _xlpm.noDigits,
       SUM(--ISNUMBER(FIND({0,1,2,3,4,5,6,7,8,9}, _xlpm.cleaned))) = 0,
       _xlpm.cleaned &amp; IF(_xlpm.needsBR * _xlpm.noDigits, Data!BT53, "")
     ),
  "")
)</f>
        <v/>
      </c>
      <c r="F50" s="41" t="str" cm="1">
        <f t="array" ref="F50">IF(
  AND($Y$57=1, F68&lt;&gt;""),
  "O" &amp; Data!BU53,
  IF(F11&lt;&gt;"",
     _xlfn.LET(
       _xlpm.cleaned,
       IF(
         OR(COUNTIF(F11,"L*"), COUNTIF(F11,"X*")),
         SUBSTITUTE(SUBSTITUTE(SUBSTITUTE(SUBSTITUTE(F11,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COUNTIF(F11, "*"&amp;$BN$3&amp;"*"),
           COUNTIF(F11, "*"&amp;$BN$4&amp;"*"),
           COUNTIF(F11, "*"&amp;$BN$5&amp;"*"),
           COUNTIF(F11, "*"&amp;$BN$6&amp;"*"),
           COUNTIF(F11, "*"&amp;$BN$7&amp;"*")
         ),
         FALSE,
         TRUE
       ),
       _xlpm.noDigits,
       SUM(--ISNUMBER(FIND({0,1,2,3,4,5,6,7,8,9}, _xlpm.cleaned))) = 0,
       _xlpm.cleaned &amp; IF(_xlpm.needsBR * _xlpm.noDigits, Data!BU53, "")
     ),
  "")
)</f>
        <v/>
      </c>
      <c r="G50" s="41" t="str" cm="1">
        <f t="array" ref="G50">IF(
  AND($Y$57=1, G68&lt;&gt;""),
  "O" &amp; Data!BV53,
  IF(G11&lt;&gt;"",
     _xlfn.LET(
       _xlpm.cleaned,
       IF(
         OR(COUNTIF(G11,"L*"), COUNTIF(G11,"X*")),
         SUBSTITUTE(SUBSTITUTE(SUBSTITUTE(SUBSTITUTE(G11,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COUNTIF(G11, "*"&amp;$BN$3&amp;"*"),
           COUNTIF(G11, "*"&amp;$BN$4&amp;"*"),
           COUNTIF(G11, "*"&amp;$BN$5&amp;"*"),
           COUNTIF(G11, "*"&amp;$BN$6&amp;"*"),
           COUNTIF(G11, "*"&amp;$BN$7&amp;"*")
         ),
         FALSE,
         TRUE
       ),
       _xlpm.noDigits,
       SUM(--ISNUMBER(FIND({0,1,2,3,4,5,6,7,8,9}, _xlpm.cleaned))) = 0,
       _xlpm.cleaned &amp; IF(_xlpm.needsBR * _xlpm.noDigits, Data!BV53, "")
     ),
  "")
)</f>
        <v/>
      </c>
      <c r="H50" s="41" t="str" cm="1">
        <f t="array" ref="H50">IF(
  AND($Y$57=1, H68&lt;&gt;""),
  "O" &amp; Data!BW53,
  IF(H11&lt;&gt;"",
     _xlfn.LET(
       _xlpm.cleaned,
       IF(
         OR(COUNTIF(H11,"L*"), COUNTIF(H11,"X*")),
         SUBSTITUTE(SUBSTITUTE(SUBSTITUTE(SUBSTITUTE(H11,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COUNTIF(H11, "*"&amp;$BN$3&amp;"*"),
           COUNTIF(H11, "*"&amp;$BN$4&amp;"*"),
           COUNTIF(H11, "*"&amp;$BN$5&amp;"*"),
           COUNTIF(H11, "*"&amp;$BN$6&amp;"*"),
           COUNTIF(H11, "*"&amp;$BN$7&amp;"*")
         ),
         FALSE,
         TRUE
       ),
       _xlpm.noDigits,
       SUM(--ISNUMBER(FIND({0,1,2,3,4,5,6,7,8,9}, _xlpm.cleaned))) = 0,
       _xlpm.cleaned &amp; IF(_xlpm.needsBR * _xlpm.noDigits, Data!BW53, "")
     ),
  "")
)</f>
        <v/>
      </c>
      <c r="I50" s="41" t="str" cm="1">
        <f t="array" ref="I50">IF(
  AND($Y$57=1, I68&lt;&gt;""),
  "O" &amp; Data!BX53,
  IF(I11&lt;&gt;"",
     _xlfn.LET(
       _xlpm.cleaned,
       IF(
         OR(COUNTIF(I11,"L*"), COUNTIF(I11,"X*")),
         SUBSTITUTE(SUBSTITUTE(SUBSTITUTE(SUBSTITUTE(I11,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COUNTIF(I11, "*"&amp;$BN$3&amp;"*"),
           COUNTIF(I11, "*"&amp;$BN$4&amp;"*"),
           COUNTIF(I11, "*"&amp;$BN$5&amp;"*"),
           COUNTIF(I11, "*"&amp;$BN$6&amp;"*"),
           COUNTIF(I11, "*"&amp;$BN$7&amp;"*")
         ),
         FALSE,
         TRUE
       ),
       _xlpm.noDigits,
       SUM(--ISNUMBER(FIND({0,1,2,3,4,5,6,7,8,9}, _xlpm.cleaned))) = 0,
       _xlpm.cleaned &amp; IF(_xlpm.needsBR * _xlpm.noDigits, Data!BX53, "")
     ),
  "")
)</f>
        <v/>
      </c>
      <c r="J50" s="41" t="str" cm="1">
        <f t="array" ref="J50">IF(
  AND($Y$57=1, J68&lt;&gt;""),
  "O" &amp; Data!BY53,
  IF(J11&lt;&gt;"",
     _xlfn.LET(
       _xlpm.cleaned,
       IF(
         OR(COUNTIF(J11,"L*"), COUNTIF(J11,"X*")),
         SUBSTITUTE(SUBSTITUTE(SUBSTITUTE(SUBSTITUTE(J11,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COUNTIF(J11, "*"&amp;$BN$3&amp;"*"),
           COUNTIF(J11, "*"&amp;$BN$4&amp;"*"),
           COUNTIF(J11, "*"&amp;$BN$5&amp;"*"),
           COUNTIF(J11, "*"&amp;$BN$6&amp;"*"),
           COUNTIF(J11, "*"&amp;$BN$7&amp;"*")
         ),
         FALSE,
         TRUE
       ),
       _xlpm.noDigits,
       SUM(--ISNUMBER(FIND({0,1,2,3,4,5,6,7,8,9}, _xlpm.cleaned))) = 0,
       _xlpm.cleaned &amp; IF(_xlpm.needsBR * _xlpm.noDigits, Data!BY53, "")
     ),
  "")
)</f>
        <v/>
      </c>
      <c r="K50" s="41" t="str" cm="1">
        <f t="array" ref="K50">IF(
  AND($Y$57=1, K68&lt;&gt;""),
  "O" &amp; Data!BZ53,
  IF(K11&lt;&gt;"",
     _xlfn.LET(
       _xlpm.cleaned,
       IF(
         OR(COUNTIF(K11,"L*"), COUNTIF(K11,"X*")),
         SUBSTITUTE(SUBSTITUTE(SUBSTITUTE(SUBSTITUTE(K11,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COUNTIF(K11, "*"&amp;$BN$3&amp;"*"),
           COUNTIF(K11, "*"&amp;$BN$4&amp;"*"),
           COUNTIF(K11, "*"&amp;$BN$5&amp;"*"),
           COUNTIF(K11, "*"&amp;$BN$6&amp;"*"),
           COUNTIF(K11, "*"&amp;$BN$7&amp;"*")
         ),
         FALSE,
         TRUE
       ),
       _xlpm.noDigits,
       SUM(--ISNUMBER(FIND({0,1,2,3,4,5,6,7,8,9}, _xlpm.cleaned))) = 0,
       _xlpm.cleaned &amp; IF(_xlpm.needsBR * _xlpm.noDigits, Data!BZ53, "")
     ),
  "")
)</f>
        <v/>
      </c>
      <c r="L50" s="41" t="str" cm="1">
        <f t="array" ref="L50">IF(
  AND($Y$57=1, L68&lt;&gt;""),
  "O" &amp; Data!CA53,
  IF(L11&lt;&gt;"",
     _xlfn.LET(
       _xlpm.cleaned,
       IF(
         OR(COUNTIF(L11,"L*"), COUNTIF(L11,"X*")),
         SUBSTITUTE(SUBSTITUTE(SUBSTITUTE(SUBSTITUTE(L11,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COUNTIF(L11, "*"&amp;$BN$3&amp;"*"),
           COUNTIF(L11, "*"&amp;$BN$4&amp;"*"),
           COUNTIF(L11, "*"&amp;$BN$5&amp;"*"),
           COUNTIF(L11, "*"&amp;$BN$6&amp;"*"),
           COUNTIF(L11, "*"&amp;$BN$7&amp;"*")
         ),
         FALSE,
         TRUE
       ),
       _xlpm.noDigits,
       SUM(--ISNUMBER(FIND({0,1,2,3,4,5,6,7,8,9}, _xlpm.cleaned))) = 0,
       _xlpm.cleaned &amp; IF(_xlpm.needsBR * _xlpm.noDigits, Data!CA53, "")
     ),
  "")
)</f>
        <v/>
      </c>
      <c r="M50" s="41" t="str" cm="1">
        <f t="array" ref="M50">IF(
  AND($Y$57=1, M68&lt;&gt;""),
  "O" &amp; Data!CB53,
  IF(M11&lt;&gt;"",
     _xlfn.LET(
       _xlpm.cleaned,
       IF(
         OR(COUNTIF(M11,"L*"), COUNTIF(M11,"X*")),
         SUBSTITUTE(SUBSTITUTE(SUBSTITUTE(SUBSTITUTE(M11,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COUNTIF(M11, "*"&amp;$BN$3&amp;"*"),
           COUNTIF(M11, "*"&amp;$BN$4&amp;"*"),
           COUNTIF(M11, "*"&amp;$BN$5&amp;"*"),
           COUNTIF(M11, "*"&amp;$BN$6&amp;"*"),
           COUNTIF(M11, "*"&amp;$BN$7&amp;"*")
         ),
         FALSE,
         TRUE
       ),
       _xlpm.noDigits,
       SUM(--ISNUMBER(FIND({0,1,2,3,4,5,6,7,8,9}, _xlpm.cleaned))) = 0,
       _xlpm.cleaned &amp; IF(_xlpm.needsBR * _xlpm.noDigits, Data!CB53, "")
     ),
  "")
)</f>
        <v/>
      </c>
      <c r="N50" s="41" t="str" cm="1">
        <f t="array" ref="N50">IF(
  AND($Y$57=1, N68&lt;&gt;""),
  "O" &amp; Data!CC53,
  IF(N11&lt;&gt;"",
     _xlfn.LET(
       _xlpm.cleaned,
       IF(
         OR(COUNTIF(N11,"L*"), COUNTIF(N11,"X*")),
         SUBSTITUTE(SUBSTITUTE(SUBSTITUTE(SUBSTITUTE(N11,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COUNTIF(N11, "*"&amp;$BN$3&amp;"*"),
           COUNTIF(N11, "*"&amp;$BN$4&amp;"*"),
           COUNTIF(N11, "*"&amp;$BN$5&amp;"*"),
           COUNTIF(N11, "*"&amp;$BN$6&amp;"*"),
           COUNTIF(N11, "*"&amp;$BN$7&amp;"*")
         ),
         FALSE,
         TRUE
       ),
       _xlpm.noDigits,
       SUM(--ISNUMBER(FIND({0,1,2,3,4,5,6,7,8,9}, _xlpm.cleaned))) = 0,
       _xlpm.cleaned &amp; IF(_xlpm.needsBR * _xlpm.noDigits, Data!CC53, "")
     ),
  "")
)</f>
        <v/>
      </c>
      <c r="O50" s="41" t="str" cm="1">
        <f t="array" ref="O50">IF(
  AND($Y$57=1, O68&lt;&gt;""),
  "O" &amp; Data!CD53,
  IF(O11&lt;&gt;"",
     _xlfn.LET(
       _xlpm.cleaned,
       IF(
         OR(COUNTIF(O11,"L*"), COUNTIF(O11,"X*")),
         SUBSTITUTE(SUBSTITUTE(SUBSTITUTE(SUBSTITUTE(O11,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COUNTIF(O11, "*"&amp;$BN$3&amp;"*"),
           COUNTIF(O11, "*"&amp;$BN$4&amp;"*"),
           COUNTIF(O11, "*"&amp;$BN$5&amp;"*"),
           COUNTIF(O11, "*"&amp;$BN$6&amp;"*"),
           COUNTIF(O11, "*"&amp;$BN$7&amp;"*")
         ),
         FALSE,
         TRUE
       ),
       _xlpm.noDigits,
       SUM(--ISNUMBER(FIND({0,1,2,3,4,5,6,7,8,9}, _xlpm.cleaned))) = 0,
       _xlpm.cleaned &amp; IF(_xlpm.needsBR * _xlpm.noDigits, Data!CD53, "")
     ),
  "")
)</f>
        <v/>
      </c>
      <c r="P50" s="41" t="str" cm="1">
        <f t="array" ref="P50">IF(
  AND($Y$57=1, P68&lt;&gt;""),
  "O" &amp; Data!CE53,
  IF(P11&lt;&gt;"",
     _xlfn.LET(
       _xlpm.cleaned,
       IF(
         OR(COUNTIF(P11,"L*"), COUNTIF(P11,"X*")),
         SUBSTITUTE(SUBSTITUTE(SUBSTITUTE(SUBSTITUTE(P11,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COUNTIF(P11, "*"&amp;$BN$3&amp;"*"),
           COUNTIF(P11, "*"&amp;$BN$4&amp;"*"),
           COUNTIF(P11, "*"&amp;$BN$5&amp;"*"),
           COUNTIF(P11, "*"&amp;$BN$6&amp;"*"),
           COUNTIF(P11, "*"&amp;$BN$7&amp;"*")
         ),
         FALSE,
         TRUE
       ),
       _xlpm.noDigits,
       SUM(--ISNUMBER(FIND({0,1,2,3,4,5,6,7,8,9}, _xlpm.cleaned))) = 0,
       _xlpm.cleaned &amp; IF(_xlpm.needsBR * _xlpm.noDigits, Data!CE53, "")
     ),
  "")
)</f>
        <v/>
      </c>
      <c r="Q50" s="41" t="str" cm="1">
        <f t="array" ref="Q50">IF(
  AND($Y$57=1, Q68&lt;&gt;""),
  "O" &amp; Data!CF53,
  IF(Q11&lt;&gt;"",
     _xlfn.LET(
       _xlpm.cleaned,
       IF(
         OR(COUNTIF(Q11,"L*"), COUNTIF(Q11,"X*")),
         SUBSTITUTE(SUBSTITUTE(SUBSTITUTE(SUBSTITUTE(Q11,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COUNTIF(Q11, "*"&amp;$BN$3&amp;"*"),
           COUNTIF(Q11, "*"&amp;$BN$4&amp;"*"),
           COUNTIF(Q11, "*"&amp;$BN$5&amp;"*"),
           COUNTIF(Q11, "*"&amp;$BN$6&amp;"*"),
           COUNTIF(Q11, "*"&amp;$BN$7&amp;"*")
         ),
         FALSE,
         TRUE
       ),
       _xlpm.noDigits,
       SUM(--ISNUMBER(FIND({0,1,2,3,4,5,6,7,8,9}, _xlpm.cleaned))) = 0,
       _xlpm.cleaned &amp; IF(_xlpm.needsBR * _xlpm.noDigits, Data!CF53, "")
     ),
  "")
)</f>
        <v/>
      </c>
      <c r="R50" s="41" t="str" cm="1">
        <f t="array" ref="R50">IF(
  AND($Y$57=1, R68&lt;&gt;""),
  "O" &amp; Data!CG53,
  IF(R11&lt;&gt;"",
     _xlfn.LET(
       _xlpm.cleaned,
       IF(
         OR(COUNTIF(R11,"L*"), COUNTIF(R11,"X*")),
         SUBSTITUTE(SUBSTITUTE(SUBSTITUTE(SUBSTITUTE(R11,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COUNTIF(R11, "*"&amp;$BN$3&amp;"*"),
           COUNTIF(R11, "*"&amp;$BN$4&amp;"*"),
           COUNTIF(R11, "*"&amp;$BN$5&amp;"*"),
           COUNTIF(R11, "*"&amp;$BN$6&amp;"*"),
           COUNTIF(R11, "*"&amp;$BN$7&amp;"*")
         ),
         FALSE,
         TRUE
       ),
       _xlpm.noDigits,
       SUM(--ISNUMBER(FIND({0,1,2,3,4,5,6,7,8,9}, _xlpm.cleaned))) = 0,
       _xlpm.cleaned &amp; IF(_xlpm.needsBR * _xlpm.noDigits, Data!CG53, "")
     ),
  "")
)</f>
        <v/>
      </c>
      <c r="S50" s="41" t="str" cm="1">
        <f t="array" ref="S50">IF(
  AND($Y$57=1, S68&lt;&gt;""),
  "O" &amp; Data!CH53,
  IF(S11&lt;&gt;"",
     _xlfn.LET(
       _xlpm.cleaned,
       IF(
         OR(COUNTIF(S11,"L*"), COUNTIF(S11,"X*")),
         SUBSTITUTE(SUBSTITUTE(SUBSTITUTE(SUBSTITUTE(S11,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COUNTIF(S11, "*"&amp;$BN$3&amp;"*"),
           COUNTIF(S11, "*"&amp;$BN$4&amp;"*"),
           COUNTIF(S11, "*"&amp;$BN$5&amp;"*"),
           COUNTIF(S11, "*"&amp;$BN$6&amp;"*"),
           COUNTIF(S11, "*"&amp;$BN$7&amp;"*")
         ),
         FALSE,
         TRUE
       ),
       _xlpm.noDigits,
       SUM(--ISNUMBER(FIND({0,1,2,3,4,5,6,7,8,9}, _xlpm.cleaned))) = 0,
       _xlpm.cleaned &amp; IF(_xlpm.needsBR * _xlpm.noDigits, Data!CH53, "")
     ),
  "")
)</f>
        <v/>
      </c>
      <c r="T50" s="41" t="str" cm="1">
        <f t="array" ref="T50">IF(
  AND($Y$57=1, T68&lt;&gt;""),
  "O" &amp; Data!CI53,
  IF(T11&lt;&gt;"",
     _xlfn.LET(
       _xlpm.cleaned,
       IF(
         OR(COUNTIF(T11,"L*"), COUNTIF(T11,"X*")),
         SUBSTITUTE(SUBSTITUTE(SUBSTITUTE(SUBSTITUTE(T11,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COUNTIF(T11, "*"&amp;$BN$3&amp;"*"),
           COUNTIF(T11, "*"&amp;$BN$4&amp;"*"),
           COUNTIF(T11, "*"&amp;$BN$5&amp;"*"),
           COUNTIF(T11, "*"&amp;$BN$6&amp;"*"),
           COUNTIF(T11, "*"&amp;$BN$7&amp;"*")
         ),
         FALSE,
         TRUE
       ),
       _xlpm.noDigits,
       SUM(--ISNUMBER(FIND({0,1,2,3,4,5,6,7,8,9}, _xlpm.cleaned))) = 0,
       _xlpm.cleaned &amp; IF(_xlpm.needsBR * _xlpm.noDigits, Data!CI53, "")
     ),
  "")
)</f>
        <v/>
      </c>
      <c r="U50" s="41" t="str" cm="1">
        <f t="array" ref="U50">IF(
  AND($Y$57=1, U68&lt;&gt;""),
  "O" &amp; Data!CJ53,
  IF(U11&lt;&gt;"",
     _xlfn.LET(
       _xlpm.cleaned,
       IF(
         OR(COUNTIF(U11,"L*"), COUNTIF(U11,"X*")),
         SUBSTITUTE(SUBSTITUTE(SUBSTITUTE(SUBSTITUTE(U11,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COUNTIF(U11, "*"&amp;$BN$3&amp;"*"),
           COUNTIF(U11, "*"&amp;$BN$4&amp;"*"),
           COUNTIF(U11, "*"&amp;$BN$5&amp;"*"),
           COUNTIF(U11, "*"&amp;$BN$6&amp;"*"),
           COUNTIF(U11, "*"&amp;$BN$7&amp;"*")
         ),
         FALSE,
         TRUE
       ),
       _xlpm.noDigits,
       SUM(--ISNUMBER(FIND({0,1,2,3,4,5,6,7,8,9}, _xlpm.cleaned))) = 0,
       _xlpm.cleaned &amp; IF(_xlpm.needsBR * _xlpm.noDigits, Data!CJ53, "")
     ),
  "")
)</f>
        <v/>
      </c>
      <c r="V50" s="41" t="str" cm="1">
        <f t="array" ref="V50">IF(
  AND($Y$57=1, V68&lt;&gt;""),
  "O" &amp; Data!CK53,
  IF(V11&lt;&gt;"",
     _xlfn.LET(
       _xlpm.cleaned,
       IF(
         OR(COUNTIF(V11,"L*"), COUNTIF(V11,"X*")),
         SUBSTITUTE(SUBSTITUTE(SUBSTITUTE(SUBSTITUTE(V11,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COUNTIF(V11, "*"&amp;$BN$3&amp;"*"),
           COUNTIF(V11, "*"&amp;$BN$4&amp;"*"),
           COUNTIF(V11, "*"&amp;$BN$5&amp;"*"),
           COUNTIF(V11, "*"&amp;$BN$6&amp;"*"),
           COUNTIF(V11, "*"&amp;$BN$7&amp;"*")
         ),
         FALSE,
         TRUE
       ),
       _xlpm.noDigits,
       SUM(--ISNUMBER(FIND({0,1,2,3,4,5,6,7,8,9}, _xlpm.cleaned))) = 0,
       _xlpm.cleaned &amp; IF(_xlpm.needsBR * _xlpm.noDigits, Data!CK53, "")
     ),
  "")
)</f>
        <v/>
      </c>
      <c r="W50" s="41" t="str" cm="1">
        <f t="array" ref="W50">IF(
  AND($Y$57=1, W68&lt;&gt;""),
  "O" &amp; Data!CL53,
  IF(W11&lt;&gt;"",
     _xlfn.LET(
       _xlpm.cleaned,
       IF(
         OR(COUNTIF(W11,"L*"), COUNTIF(W11,"X*")),
         SUBSTITUTE(SUBSTITUTE(SUBSTITUTE(SUBSTITUTE(W11,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COUNTIF(W11, "*"&amp;$BN$3&amp;"*"),
           COUNTIF(W11, "*"&amp;$BN$4&amp;"*"),
           COUNTIF(W11, "*"&amp;$BN$5&amp;"*"),
           COUNTIF(W11, "*"&amp;$BN$6&amp;"*"),
           COUNTIF(W11, "*"&amp;$BN$7&amp;"*")
         ),
         FALSE,
         TRUE
       ),
       _xlpm.noDigits,
       SUM(--ISNUMBER(FIND({0,1,2,3,4,5,6,7,8,9}, _xlpm.cleaned))) = 0,
       _xlpm.cleaned &amp; IF(_xlpm.needsBR * _xlpm.noDigits, Data!CL53, "")
     ),
  "")
)</f>
        <v/>
      </c>
      <c r="X50" s="41" t="str" cm="1">
        <f t="array" ref="X50">IF(
  AND($Y$57=1, X68&lt;&gt;""),
  "O" &amp; Data!CM53,
  IF(X11&lt;&gt;"",
     _xlfn.LET(
       _xlpm.cleaned,
       IF(
         OR(COUNTIF(X11,"L*"), COUNTIF(X11,"X*")),
         SUBSTITUTE(SUBSTITUTE(SUBSTITUTE(SUBSTITUTE(X11,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COUNTIF(X11, "*"&amp;$BN$3&amp;"*"),
           COUNTIF(X11, "*"&amp;$BN$4&amp;"*"),
           COUNTIF(X11, "*"&amp;$BN$5&amp;"*"),
           COUNTIF(X11, "*"&amp;$BN$6&amp;"*"),
           COUNTIF(X11, "*"&amp;$BN$7&amp;"*")
         ),
         FALSE,
         TRUE
       ),
       _xlpm.noDigits,
       SUM(--ISNUMBER(FIND({0,1,2,3,4,5,6,7,8,9}, _xlpm.cleaned))) = 0,
       _xlpm.cleaned &amp; IF(_xlpm.needsBR * _xlpm.noDigits, Data!CM53, "")
     ),
  "")
)</f>
        <v/>
      </c>
      <c r="Y50" s="41" t="str" cm="1">
        <f t="array" ref="Y50">IF(
  AND($Y$57=1, Y68&lt;&gt;""),
  "O" &amp; Data!CN53,
  IF(Y11&lt;&gt;"",
     _xlfn.LET(
       _xlpm.cleaned,
       IF(
         OR(COUNTIF(Y11,"L*"), COUNTIF(Y11,"X*")),
         SUBSTITUTE(SUBSTITUTE(SUBSTITUTE(SUBSTITUTE(Y11,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COUNTIF(Y11, "*"&amp;$BN$3&amp;"*"),
           COUNTIF(Y11, "*"&amp;$BN$4&amp;"*"),
           COUNTIF(Y11, "*"&amp;$BN$5&amp;"*"),
           COUNTIF(Y11, "*"&amp;$BN$6&amp;"*"),
           COUNTIF(Y11, "*"&amp;$BN$7&amp;"*")
         ),
         FALSE,
         TRUE
       ),
       _xlpm.noDigits,
       SUM(--ISNUMBER(FIND({0,1,2,3,4,5,6,7,8,9}, _xlpm.cleaned))) = 0,
       _xlpm.cleaned &amp; IF(_xlpm.needsBR * _xlpm.noDigits, Data!CN53, "")
     ),
  "")
)</f>
        <v/>
      </c>
      <c r="Z50" s="41" t="str" cm="1">
        <f t="array" ref="Z50">IF(
  AND($Y$57=1, Z68&lt;&gt;""),
  "O" &amp; Data!CO53,
  IF(Z11&lt;&gt;"",
     _xlfn.LET(
       _xlpm.cleaned,
       IF(
         OR(COUNTIF(Z11,"L*"), COUNTIF(Z11,"X*")),
         SUBSTITUTE(SUBSTITUTE(SUBSTITUTE(SUBSTITUTE(Z11,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COUNTIF(Z11, "*"&amp;$BN$3&amp;"*"),
           COUNTIF(Z11, "*"&amp;$BN$4&amp;"*"),
           COUNTIF(Z11, "*"&amp;$BN$5&amp;"*"),
           COUNTIF(Z11, "*"&amp;$BN$6&amp;"*"),
           COUNTIF(Z11, "*"&amp;$BN$7&amp;"*")
         ),
         FALSE,
         TRUE
       ),
       _xlpm.noDigits,
       SUM(--ISNUMBER(FIND({0,1,2,3,4,5,6,7,8,9}, _xlpm.cleaned))) = 0,
       _xlpm.cleaned &amp; IF(_xlpm.needsBR * _xlpm.noDigits, Data!CO53, "")
     ),
  "")
)</f>
        <v/>
      </c>
      <c r="AA50" s="41" t="str" cm="1">
        <f t="array" ref="AA50">IF(
  AND($Y$57=1, AA68&lt;&gt;""),
  "O" &amp; Data!CP53,
  IF(AA11&lt;&gt;"",
     _xlfn.LET(
       _xlpm.cleaned,
       IF(
         OR(COUNTIF(AA11,"L*"), COUNTIF(AA11,"X*")),
         SUBSTITUTE(SUBSTITUTE(SUBSTITUTE(SUBSTITUTE(AA11,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COUNTIF(AA11, "*"&amp;$BN$3&amp;"*"),
           COUNTIF(AA11, "*"&amp;$BN$4&amp;"*"),
           COUNTIF(AA11, "*"&amp;$BN$5&amp;"*"),
           COUNTIF(AA11, "*"&amp;$BN$6&amp;"*"),
           COUNTIF(AA11, "*"&amp;$BN$7&amp;"*")
         ),
         FALSE,
         TRUE
       ),
       _xlpm.noDigits,
       SUM(--ISNUMBER(FIND({0,1,2,3,4,5,6,7,8,9}, _xlpm.cleaned))) = 0,
       _xlpm.cleaned &amp; IF(_xlpm.needsBR * _xlpm.noDigits, Data!CP53, "")
     ),
  "")
)</f>
        <v/>
      </c>
      <c r="AB50" s="41" t="str" cm="1">
        <f t="array" ref="AB50">IF(
  AND($Y$57=1, AB68&lt;&gt;""),
  "O" &amp; Data!CQ53,
  IF(AB11&lt;&gt;"",
     _xlfn.LET(
       _xlpm.cleaned,
       IF(
         OR(COUNTIF(AB11,"L*"), COUNTIF(AB11,"X*")),
         SUBSTITUTE(SUBSTITUTE(SUBSTITUTE(SUBSTITUTE(AB11,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COUNTIF(AB11, "*"&amp;$BN$3&amp;"*"),
           COUNTIF(AB11, "*"&amp;$BN$4&amp;"*"),
           COUNTIF(AB11, "*"&amp;$BN$5&amp;"*"),
           COUNTIF(AB11, "*"&amp;$BN$6&amp;"*"),
           COUNTIF(AB11, "*"&amp;$BN$7&amp;"*")
         ),
         FALSE,
         TRUE
       ),
       _xlpm.noDigits,
       SUM(--ISNUMBER(FIND({0,1,2,3,4,5,6,7,8,9}, _xlpm.cleaned))) = 0,
       _xlpm.cleaned &amp; IF(_xlpm.needsBR * _xlpm.noDigits, Data!CQ53, "")
     ),
  "")
)</f>
        <v/>
      </c>
      <c r="AC50" s="41" t="str" cm="1">
        <f t="array" ref="AC50">IF(
  AND($Y$57=1, AC68&lt;&gt;""),
  "O" &amp; Data!CR53,
  IF(AC11&lt;&gt;"",
     _xlfn.LET(
       _xlpm.cleaned,
       IF(
         OR(COUNTIF(AC11,"L*"), COUNTIF(AC11,"X*")),
         SUBSTITUTE(SUBSTITUTE(SUBSTITUTE(SUBSTITUTE(AC11,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COUNTIF(AC11, "*"&amp;$BN$3&amp;"*"),
           COUNTIF(AC11, "*"&amp;$BN$4&amp;"*"),
           COUNTIF(AC11, "*"&amp;$BN$5&amp;"*"),
           COUNTIF(AC11, "*"&amp;$BN$6&amp;"*"),
           COUNTIF(AC11, "*"&amp;$BN$7&amp;"*")
         ),
         FALSE,
         TRUE
       ),
       _xlpm.noDigits,
       SUM(--ISNUMBER(FIND({0,1,2,3,4,5,6,7,8,9}, _xlpm.cleaned))) = 0,
       _xlpm.cleaned &amp; IF(_xlpm.needsBR * _xlpm.noDigits, Data!CR53, "")
     ),
  "")
)</f>
        <v/>
      </c>
      <c r="AD50" s="41" t="str" cm="1">
        <f t="array" ref="AD50">IF(
  AND($Y$57=1, AD68&lt;&gt;""),
  "O" &amp; Data!CS53,
  IF(AD11&lt;&gt;"",
     _xlfn.LET(
       _xlpm.cleaned,
       IF(
         OR(COUNTIF(AD11,"L*"), COUNTIF(AD11,"X*")),
         SUBSTITUTE(SUBSTITUTE(SUBSTITUTE(SUBSTITUTE(AD11,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COUNTIF(AD11, "*"&amp;$BN$3&amp;"*"),
           COUNTIF(AD11, "*"&amp;$BN$4&amp;"*"),
           COUNTIF(AD11, "*"&amp;$BN$5&amp;"*"),
           COUNTIF(AD11, "*"&amp;$BN$6&amp;"*"),
           COUNTIF(AD11, "*"&amp;$BN$7&amp;"*")
         ),
         FALSE,
         TRUE
       ),
       _xlpm.noDigits,
       SUM(--ISNUMBER(FIND({0,1,2,3,4,5,6,7,8,9}, _xlpm.cleaned))) = 0,
       _xlpm.cleaned &amp; IF(_xlpm.needsBR * _xlpm.noDigits, Data!CS53, "")
     ),
  "")
)</f>
        <v/>
      </c>
      <c r="AE50" s="41" t="str" cm="1">
        <f t="array" ref="AE50">IF(
  AND($Y$57=1, AE68&lt;&gt;""),
  "O" &amp; Data!CT53,
  IF(AE11&lt;&gt;"",
     _xlfn.LET(
       _xlpm.cleaned,
       IF(
         OR(COUNTIF(AE11,"L*"), COUNTIF(AE11,"X*")),
         SUBSTITUTE(SUBSTITUTE(SUBSTITUTE(SUBSTITUTE(AE11,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COUNTIF(AE11, "*"&amp;$BN$3&amp;"*"),
           COUNTIF(AE11, "*"&amp;$BN$4&amp;"*"),
           COUNTIF(AE11, "*"&amp;$BN$5&amp;"*"),
           COUNTIF(AE11, "*"&amp;$BN$6&amp;"*"),
           COUNTIF(AE11, "*"&amp;$BN$7&amp;"*")
         ),
         FALSE,
         TRUE
       ),
       _xlpm.noDigits,
       SUM(--ISNUMBER(FIND({0,1,2,3,4,5,6,7,8,9}, _xlpm.cleaned))) = 0,
       _xlpm.cleaned &amp; IF(_xlpm.needsBR * _xlpm.noDigits, Data!CT53, "")
     ),
  "")
)</f>
        <v/>
      </c>
      <c r="AF50" s="41" t="str" cm="1">
        <f t="array" ref="AF50">IF(
  AND($Y$57=1, AF68&lt;&gt;""),
  "O" &amp; Data!CU53,
  IF(AF11&lt;&gt;"",
     _xlfn.LET(
       _xlpm.cleaned,
       IF(
         OR(COUNTIF(AF11,"L*"), COUNTIF(AF11,"X*")),
         SUBSTITUTE(SUBSTITUTE(SUBSTITUTE(SUBSTITUTE(AF11,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COUNTIF(AF11, "*"&amp;$BN$3&amp;"*"),
           COUNTIF(AF11, "*"&amp;$BN$4&amp;"*"),
           COUNTIF(AF11, "*"&amp;$BN$5&amp;"*"),
           COUNTIF(AF11, "*"&amp;$BN$6&amp;"*"),
           COUNTIF(AF11, "*"&amp;$BN$7&amp;"*")
         ),
         FALSE,
         TRUE
       ),
       _xlpm.noDigits,
       SUM(--ISNUMBER(FIND({0,1,2,3,4,5,6,7,8,9}, _xlpm.cleaned))) = 0,
       _xlpm.cleaned &amp; IF(_xlpm.needsBR * _xlpm.noDigits, Data!CU53, "")
     ),
  "")
)</f>
        <v/>
      </c>
      <c r="AG50" s="41" t="str" cm="1">
        <f t="array" ref="AG50">IF(
  AND($Y$57=1, AG68&lt;&gt;""),
  "O" &amp; Data!CV53,
  IF(AG11&lt;&gt;"",
     _xlfn.LET(
       _xlpm.cleaned,
       IF(
         OR(COUNTIF(AG11,"L*"), COUNTIF(AG11,"X*")),
         SUBSTITUTE(SUBSTITUTE(SUBSTITUTE(SUBSTITUTE(AG11,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COUNTIF(AG11, "*"&amp;$BN$3&amp;"*"),
           COUNTIF(AG11, "*"&amp;$BN$4&amp;"*"),
           COUNTIF(AG11, "*"&amp;$BN$5&amp;"*"),
           COUNTIF(AG11, "*"&amp;$BN$6&amp;"*"),
           COUNTIF(AG11, "*"&amp;$BN$7&amp;"*")
         ),
         FALSE,
         TRUE
       ),
       _xlpm.noDigits,
       SUM(--ISNUMBER(FIND({0,1,2,3,4,5,6,7,8,9}, _xlpm.cleaned))) = 0,
       _xlpm.cleaned &amp; IF(_xlpm.needsBR * _xlpm.noDigits, Data!CV53, "")
     ),
  "")
)</f>
        <v/>
      </c>
      <c r="AH50" s="41" t="str" cm="1">
        <f t="array" ref="AH50">IF(
  AND($Y$57=1, AH68&lt;&gt;""),
  "O" &amp; Data!CW53,
  IF(AH11&lt;&gt;"",
     _xlfn.LET(
       _xlpm.cleaned,
       IF(
         OR(COUNTIF(AH11,"L*"), COUNTIF(AH11,"X*")),
         SUBSTITUTE(SUBSTITUTE(SUBSTITUTE(SUBSTITUTE(AH11,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COUNTIF(AH11, "*"&amp;$BN$3&amp;"*"),
           COUNTIF(AH11, "*"&amp;$BN$4&amp;"*"),
           COUNTIF(AH11, "*"&amp;$BN$5&amp;"*"),
           COUNTIF(AH11, "*"&amp;$BN$6&amp;"*"),
           COUNTIF(AH11, "*"&amp;$BN$7&amp;"*")
         ),
         FALSE,
         TRUE
       ),
       _xlpm.noDigits,
       SUM(--ISNUMBER(FIND({0,1,2,3,4,5,6,7,8,9}, _xlpm.cleaned))) = 0,
       _xlpm.cleaned &amp; IF(_xlpm.needsBR * _xlpm.noDigits, Data!CW53, "")
     ),
  "")
)</f>
        <v/>
      </c>
      <c r="AI50" s="41" t="str" cm="1">
        <f t="array" ref="AI50">IF(
  AND($Y$57=1, AI68&lt;&gt;""),
  "O" &amp; Data!CX53,
  IF(AI11&lt;&gt;"",
     _xlfn.LET(
       _xlpm.cleaned,
       IF(
         OR(COUNTIF(AI11,"L*"), COUNTIF(AI11,"X*")),
         SUBSTITUTE(SUBSTITUTE(SUBSTITUTE(SUBSTITUTE(AI11,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COUNTIF(AI11, "*"&amp;$BN$3&amp;"*"),
           COUNTIF(AI11, "*"&amp;$BN$4&amp;"*"),
           COUNTIF(AI11, "*"&amp;$BN$5&amp;"*"),
           COUNTIF(AI11, "*"&amp;$BN$6&amp;"*"),
           COUNTIF(AI11, "*"&amp;$BN$7&amp;"*")
         ),
         FALSE,
         TRUE
       ),
       _xlpm.noDigits,
       SUM(--ISNUMBER(FIND({0,1,2,3,4,5,6,7,8,9}, _xlpm.cleaned))) = 0,
       _xlpm.cleaned &amp; IF(_xlpm.needsBR * _xlpm.noDigits, Data!CX53, "")
     ),
  "")
)</f>
        <v/>
      </c>
      <c r="AJ50" s="41" t="str" cm="1">
        <f t="array" ref="AJ50">IF(
  AND($Y$57=1, AJ68&lt;&gt;""),
  "O" &amp; Data!CY53,
  IF(AJ11&lt;&gt;"",
     _xlfn.LET(
       _xlpm.cleaned,
       IF(
         OR(COUNTIF(AJ11,"L*"), COUNTIF(AJ11,"X*")),
         SUBSTITUTE(SUBSTITUTE(SUBSTITUTE(SUBSTITUTE(AJ11,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COUNTIF(AJ11, "*"&amp;$BN$3&amp;"*"),
           COUNTIF(AJ11, "*"&amp;$BN$4&amp;"*"),
           COUNTIF(AJ11, "*"&amp;$BN$5&amp;"*"),
           COUNTIF(AJ11, "*"&amp;$BN$6&amp;"*"),
           COUNTIF(AJ11, "*"&amp;$BN$7&amp;"*")
         ),
         FALSE,
         TRUE
       ),
       _xlpm.noDigits,
       SUM(--ISNUMBER(FIND({0,1,2,3,4,5,6,7,8,9}, _xlpm.cleaned))) = 0,
       _xlpm.cleaned &amp; IF(_xlpm.needsBR * _xlpm.noDigits, Data!CY53, "")
     ),
  "")
)</f>
        <v/>
      </c>
    </row>
    <row r="51" spans="1:69" ht="23.25" customHeight="1" x14ac:dyDescent="0.35">
      <c r="A51" s="1196"/>
      <c r="B51" s="22">
        <v>9</v>
      </c>
      <c r="C51" s="41" t="str" cm="1">
        <f t="array" ref="C51">IF(
  AND($Y$57=1, C69&lt;&gt;""),
  "O" &amp; Data!BR54,
  IF(C12&lt;&gt;"",
     _xlfn.LET(
       _xlpm.cleaned,
       IF(
         OR(COUNTIF(C12,"L*"), COUNTIF(C12,"X*")),
         SUBSTITUTE(SUBSTITUTE(SUBSTITUTE(SUBSTITUTE(C12,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COUNTIF(C12, "*"&amp;$BN$3&amp;"*"),
           COUNTIF(C12, "*"&amp;$BN$4&amp;"*"),
           COUNTIF(C12, "*"&amp;$BN$5&amp;"*"),
           COUNTIF(C12, "*"&amp;$BN$6&amp;"*"),
           COUNTIF(C12, "*"&amp;$BN$7&amp;"*")
         ),
         FALSE,
         TRUE
       ),
       _xlpm.noDigits,
       SUM(--ISNUMBER(FIND({0,1,2,3,4,5,6,7,8,9}, _xlpm.cleaned))) = 0,
       _xlpm.cleaned &amp; IF(_xlpm.needsBR * _xlpm.noDigits, Data!BR54, "")
     ),
  "")
)</f>
        <v/>
      </c>
      <c r="D51" s="41" t="str" cm="1">
        <f t="array" ref="D51">IF(
  AND($Y$57=1, D69&lt;&gt;""),
  "O" &amp; Data!BS54,
  IF(D12&lt;&gt;"",
     _xlfn.LET(
       _xlpm.cleaned,
       IF(
         OR(COUNTIF(D12,"L*"), COUNTIF(D12,"X*")),
         SUBSTITUTE(SUBSTITUTE(SUBSTITUTE(SUBSTITUTE(D12,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COUNTIF(D12, "*"&amp;$BN$3&amp;"*"),
           COUNTIF(D12, "*"&amp;$BN$4&amp;"*"),
           COUNTIF(D12, "*"&amp;$BN$5&amp;"*"),
           COUNTIF(D12, "*"&amp;$BN$6&amp;"*"),
           COUNTIF(D12, "*"&amp;$BN$7&amp;"*")
         ),
         FALSE,
         TRUE
       ),
       _xlpm.noDigits,
       SUM(--ISNUMBER(FIND({0,1,2,3,4,5,6,7,8,9}, _xlpm.cleaned))) = 0,
       _xlpm.cleaned &amp; IF(_xlpm.needsBR * _xlpm.noDigits, Data!BS54, "")
     ),
  "")
)</f>
        <v/>
      </c>
      <c r="E51" s="41" t="str" cm="1">
        <f t="array" ref="E51">IF(
  AND($Y$57=1, E69&lt;&gt;""),
  "O" &amp; Data!BT54,
  IF(E12&lt;&gt;"",
     _xlfn.LET(
       _xlpm.cleaned,
       IF(
         OR(COUNTIF(E12,"L*"), COUNTIF(E12,"X*")),
         SUBSTITUTE(SUBSTITUTE(SUBSTITUTE(SUBSTITUTE(E12,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COUNTIF(E12, "*"&amp;$BN$3&amp;"*"),
           COUNTIF(E12, "*"&amp;$BN$4&amp;"*"),
           COUNTIF(E12, "*"&amp;$BN$5&amp;"*"),
           COUNTIF(E12, "*"&amp;$BN$6&amp;"*"),
           COUNTIF(E12, "*"&amp;$BN$7&amp;"*")
         ),
         FALSE,
         TRUE
       ),
       _xlpm.noDigits,
       SUM(--ISNUMBER(FIND({0,1,2,3,4,5,6,7,8,9}, _xlpm.cleaned))) = 0,
       _xlpm.cleaned &amp; IF(_xlpm.needsBR * _xlpm.noDigits, Data!BT54, "")
     ),
  "")
)</f>
        <v/>
      </c>
      <c r="F51" s="41" t="str" cm="1">
        <f t="array" ref="F51">IF(
  AND($Y$57=1, F69&lt;&gt;""),
  "O" &amp; Data!BU54,
  IF(F12&lt;&gt;"",
     _xlfn.LET(
       _xlpm.cleaned,
       IF(
         OR(COUNTIF(F12,"L*"), COUNTIF(F12,"X*")),
         SUBSTITUTE(SUBSTITUTE(SUBSTITUTE(SUBSTITUTE(F12,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COUNTIF(F12, "*"&amp;$BN$3&amp;"*"),
           COUNTIF(F12, "*"&amp;$BN$4&amp;"*"),
           COUNTIF(F12, "*"&amp;$BN$5&amp;"*"),
           COUNTIF(F12, "*"&amp;$BN$6&amp;"*"),
           COUNTIF(F12, "*"&amp;$BN$7&amp;"*")
         ),
         FALSE,
         TRUE
       ),
       _xlpm.noDigits,
       SUM(--ISNUMBER(FIND({0,1,2,3,4,5,6,7,8,9}, _xlpm.cleaned))) = 0,
       _xlpm.cleaned &amp; IF(_xlpm.needsBR * _xlpm.noDigits, Data!BU54, "")
     ),
  "")
)</f>
        <v/>
      </c>
      <c r="G51" s="41" t="str" cm="1">
        <f t="array" ref="G51">IF(
  AND($Y$57=1, G69&lt;&gt;""),
  "O" &amp; Data!BV54,
  IF(G12&lt;&gt;"",
     _xlfn.LET(
       _xlpm.cleaned,
       IF(
         OR(COUNTIF(G12,"L*"), COUNTIF(G12,"X*")),
         SUBSTITUTE(SUBSTITUTE(SUBSTITUTE(SUBSTITUTE(G12,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COUNTIF(G12, "*"&amp;$BN$3&amp;"*"),
           COUNTIF(G12, "*"&amp;$BN$4&amp;"*"),
           COUNTIF(G12, "*"&amp;$BN$5&amp;"*"),
           COUNTIF(G12, "*"&amp;$BN$6&amp;"*"),
           COUNTIF(G12, "*"&amp;$BN$7&amp;"*")
         ),
         FALSE,
         TRUE
       ),
       _xlpm.noDigits,
       SUM(--ISNUMBER(FIND({0,1,2,3,4,5,6,7,8,9}, _xlpm.cleaned))) = 0,
       _xlpm.cleaned &amp; IF(_xlpm.needsBR * _xlpm.noDigits, Data!BV54, "")
     ),
  "")
)</f>
        <v/>
      </c>
      <c r="H51" s="41" t="str" cm="1">
        <f t="array" ref="H51">IF(
  AND($Y$57=1, H69&lt;&gt;""),
  "O" &amp; Data!BW54,
  IF(H12&lt;&gt;"",
     _xlfn.LET(
       _xlpm.cleaned,
       IF(
         OR(COUNTIF(H12,"L*"), COUNTIF(H12,"X*")),
         SUBSTITUTE(SUBSTITUTE(SUBSTITUTE(SUBSTITUTE(H12,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COUNTIF(H12, "*"&amp;$BN$3&amp;"*"),
           COUNTIF(H12, "*"&amp;$BN$4&amp;"*"),
           COUNTIF(H12, "*"&amp;$BN$5&amp;"*"),
           COUNTIF(H12, "*"&amp;$BN$6&amp;"*"),
           COUNTIF(H12, "*"&amp;$BN$7&amp;"*")
         ),
         FALSE,
         TRUE
       ),
       _xlpm.noDigits,
       SUM(--ISNUMBER(FIND({0,1,2,3,4,5,6,7,8,9}, _xlpm.cleaned))) = 0,
       _xlpm.cleaned &amp; IF(_xlpm.needsBR * _xlpm.noDigits, Data!BW54, "")
     ),
  "")
)</f>
        <v/>
      </c>
      <c r="I51" s="41" t="str" cm="1">
        <f t="array" ref="I51">IF(
  AND($Y$57=1, I69&lt;&gt;""),
  "O" &amp; Data!BX54,
  IF(I12&lt;&gt;"",
     _xlfn.LET(
       _xlpm.cleaned,
       IF(
         OR(COUNTIF(I12,"L*"), COUNTIF(I12,"X*")),
         SUBSTITUTE(SUBSTITUTE(SUBSTITUTE(SUBSTITUTE(I12,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COUNTIF(I12, "*"&amp;$BN$3&amp;"*"),
           COUNTIF(I12, "*"&amp;$BN$4&amp;"*"),
           COUNTIF(I12, "*"&amp;$BN$5&amp;"*"),
           COUNTIF(I12, "*"&amp;$BN$6&amp;"*"),
           COUNTIF(I12, "*"&amp;$BN$7&amp;"*")
         ),
         FALSE,
         TRUE
       ),
       _xlpm.noDigits,
       SUM(--ISNUMBER(FIND({0,1,2,3,4,5,6,7,8,9}, _xlpm.cleaned))) = 0,
       _xlpm.cleaned &amp; IF(_xlpm.needsBR * _xlpm.noDigits, Data!BX54, "")
     ),
  "")
)</f>
        <v/>
      </c>
      <c r="J51" s="41" t="str" cm="1">
        <f t="array" ref="J51">IF(
  AND($Y$57=1, J69&lt;&gt;""),
  "O" &amp; Data!BY54,
  IF(J12&lt;&gt;"",
     _xlfn.LET(
       _xlpm.cleaned,
       IF(
         OR(COUNTIF(J12,"L*"), COUNTIF(J12,"X*")),
         SUBSTITUTE(SUBSTITUTE(SUBSTITUTE(SUBSTITUTE(J12,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COUNTIF(J12, "*"&amp;$BN$3&amp;"*"),
           COUNTIF(J12, "*"&amp;$BN$4&amp;"*"),
           COUNTIF(J12, "*"&amp;$BN$5&amp;"*"),
           COUNTIF(J12, "*"&amp;$BN$6&amp;"*"),
           COUNTIF(J12, "*"&amp;$BN$7&amp;"*")
         ),
         FALSE,
         TRUE
       ),
       _xlpm.noDigits,
       SUM(--ISNUMBER(FIND({0,1,2,3,4,5,6,7,8,9}, _xlpm.cleaned))) = 0,
       _xlpm.cleaned &amp; IF(_xlpm.needsBR * _xlpm.noDigits, Data!BY54, "")
     ),
  "")
)</f>
        <v/>
      </c>
      <c r="K51" s="41" t="str" cm="1">
        <f t="array" ref="K51">IF(
  AND($Y$57=1, K69&lt;&gt;""),
  "O" &amp; Data!BZ54,
  IF(K12&lt;&gt;"",
     _xlfn.LET(
       _xlpm.cleaned,
       IF(
         OR(COUNTIF(K12,"L*"), COUNTIF(K12,"X*")),
         SUBSTITUTE(SUBSTITUTE(SUBSTITUTE(SUBSTITUTE(K12,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COUNTIF(K12, "*"&amp;$BN$3&amp;"*"),
           COUNTIF(K12, "*"&amp;$BN$4&amp;"*"),
           COUNTIF(K12, "*"&amp;$BN$5&amp;"*"),
           COUNTIF(K12, "*"&amp;$BN$6&amp;"*"),
           COUNTIF(K12, "*"&amp;$BN$7&amp;"*")
         ),
         FALSE,
         TRUE
       ),
       _xlpm.noDigits,
       SUM(--ISNUMBER(FIND({0,1,2,3,4,5,6,7,8,9}, _xlpm.cleaned))) = 0,
       _xlpm.cleaned &amp; IF(_xlpm.needsBR * _xlpm.noDigits, Data!BZ54, "")
     ),
  "")
)</f>
        <v/>
      </c>
      <c r="L51" s="41" t="str" cm="1">
        <f t="array" ref="L51">IF(
  AND($Y$57=1, L69&lt;&gt;""),
  "O" &amp; Data!CA54,
  IF(L12&lt;&gt;"",
     _xlfn.LET(
       _xlpm.cleaned,
       IF(
         OR(COUNTIF(L12,"L*"), COUNTIF(L12,"X*")),
         SUBSTITUTE(SUBSTITUTE(SUBSTITUTE(SUBSTITUTE(L12,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COUNTIF(L12, "*"&amp;$BN$3&amp;"*"),
           COUNTIF(L12, "*"&amp;$BN$4&amp;"*"),
           COUNTIF(L12, "*"&amp;$BN$5&amp;"*"),
           COUNTIF(L12, "*"&amp;$BN$6&amp;"*"),
           COUNTIF(L12, "*"&amp;$BN$7&amp;"*")
         ),
         FALSE,
         TRUE
       ),
       _xlpm.noDigits,
       SUM(--ISNUMBER(FIND({0,1,2,3,4,5,6,7,8,9}, _xlpm.cleaned))) = 0,
       _xlpm.cleaned &amp; IF(_xlpm.needsBR * _xlpm.noDigits, Data!CA54, "")
     ),
  "")
)</f>
        <v/>
      </c>
      <c r="M51" s="41" t="str" cm="1">
        <f t="array" ref="M51">IF(
  AND($Y$57=1, M69&lt;&gt;""),
  "O" &amp; Data!CB54,
  IF(M12&lt;&gt;"",
     _xlfn.LET(
       _xlpm.cleaned,
       IF(
         OR(COUNTIF(M12,"L*"), COUNTIF(M12,"X*")),
         SUBSTITUTE(SUBSTITUTE(SUBSTITUTE(SUBSTITUTE(M12,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COUNTIF(M12, "*"&amp;$BN$3&amp;"*"),
           COUNTIF(M12, "*"&amp;$BN$4&amp;"*"),
           COUNTIF(M12, "*"&amp;$BN$5&amp;"*"),
           COUNTIF(M12, "*"&amp;$BN$6&amp;"*"),
           COUNTIF(M12, "*"&amp;$BN$7&amp;"*")
         ),
         FALSE,
         TRUE
       ),
       _xlpm.noDigits,
       SUM(--ISNUMBER(FIND({0,1,2,3,4,5,6,7,8,9}, _xlpm.cleaned))) = 0,
       _xlpm.cleaned &amp; IF(_xlpm.needsBR * _xlpm.noDigits, Data!CB54, "")
     ),
  "")
)</f>
        <v/>
      </c>
      <c r="N51" s="41" t="str" cm="1">
        <f t="array" ref="N51">IF(
  AND($Y$57=1, N69&lt;&gt;""),
  "O" &amp; Data!CC54,
  IF(N12&lt;&gt;"",
     _xlfn.LET(
       _xlpm.cleaned,
       IF(
         OR(COUNTIF(N12,"L*"), COUNTIF(N12,"X*")),
         SUBSTITUTE(SUBSTITUTE(SUBSTITUTE(SUBSTITUTE(N12,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COUNTIF(N12, "*"&amp;$BN$3&amp;"*"),
           COUNTIF(N12, "*"&amp;$BN$4&amp;"*"),
           COUNTIF(N12, "*"&amp;$BN$5&amp;"*"),
           COUNTIF(N12, "*"&amp;$BN$6&amp;"*"),
           COUNTIF(N12, "*"&amp;$BN$7&amp;"*")
         ),
         FALSE,
         TRUE
       ),
       _xlpm.noDigits,
       SUM(--ISNUMBER(FIND({0,1,2,3,4,5,6,7,8,9}, _xlpm.cleaned))) = 0,
       _xlpm.cleaned &amp; IF(_xlpm.needsBR * _xlpm.noDigits, Data!CC54, "")
     ),
  "")
)</f>
        <v/>
      </c>
      <c r="O51" s="41" t="str" cm="1">
        <f t="array" ref="O51">IF(
  AND($Y$57=1, O69&lt;&gt;""),
  "O" &amp; Data!CD54,
  IF(O12&lt;&gt;"",
     _xlfn.LET(
       _xlpm.cleaned,
       IF(
         OR(COUNTIF(O12,"L*"), COUNTIF(O12,"X*")),
         SUBSTITUTE(SUBSTITUTE(SUBSTITUTE(SUBSTITUTE(O12,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COUNTIF(O12, "*"&amp;$BN$3&amp;"*"),
           COUNTIF(O12, "*"&amp;$BN$4&amp;"*"),
           COUNTIF(O12, "*"&amp;$BN$5&amp;"*"),
           COUNTIF(O12, "*"&amp;$BN$6&amp;"*"),
           COUNTIF(O12, "*"&amp;$BN$7&amp;"*")
         ),
         FALSE,
         TRUE
       ),
       _xlpm.noDigits,
       SUM(--ISNUMBER(FIND({0,1,2,3,4,5,6,7,8,9}, _xlpm.cleaned))) = 0,
       _xlpm.cleaned &amp; IF(_xlpm.needsBR * _xlpm.noDigits, Data!CD54, "")
     ),
  "")
)</f>
        <v/>
      </c>
      <c r="P51" s="41" t="str" cm="1">
        <f t="array" ref="P51">IF(
  AND($Y$57=1, P69&lt;&gt;""),
  "O" &amp; Data!CE54,
  IF(P12&lt;&gt;"",
     _xlfn.LET(
       _xlpm.cleaned,
       IF(
         OR(COUNTIF(P12,"L*"), COUNTIF(P12,"X*")),
         SUBSTITUTE(SUBSTITUTE(SUBSTITUTE(SUBSTITUTE(P12,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COUNTIF(P12, "*"&amp;$BN$3&amp;"*"),
           COUNTIF(P12, "*"&amp;$BN$4&amp;"*"),
           COUNTIF(P12, "*"&amp;$BN$5&amp;"*"),
           COUNTIF(P12, "*"&amp;$BN$6&amp;"*"),
           COUNTIF(P12, "*"&amp;$BN$7&amp;"*")
         ),
         FALSE,
         TRUE
       ),
       _xlpm.noDigits,
       SUM(--ISNUMBER(FIND({0,1,2,3,4,5,6,7,8,9}, _xlpm.cleaned))) = 0,
       _xlpm.cleaned &amp; IF(_xlpm.needsBR * _xlpm.noDigits, Data!CE54, "")
     ),
  "")
)</f>
        <v/>
      </c>
      <c r="Q51" s="41" t="str" cm="1">
        <f t="array" ref="Q51">IF(
  AND($Y$57=1, Q69&lt;&gt;""),
  "O" &amp; Data!CF54,
  IF(Q12&lt;&gt;"",
     _xlfn.LET(
       _xlpm.cleaned,
       IF(
         OR(COUNTIF(Q12,"L*"), COUNTIF(Q12,"X*")),
         SUBSTITUTE(SUBSTITUTE(SUBSTITUTE(SUBSTITUTE(Q12,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COUNTIF(Q12, "*"&amp;$BN$3&amp;"*"),
           COUNTIF(Q12, "*"&amp;$BN$4&amp;"*"),
           COUNTIF(Q12, "*"&amp;$BN$5&amp;"*"),
           COUNTIF(Q12, "*"&amp;$BN$6&amp;"*"),
           COUNTIF(Q12, "*"&amp;$BN$7&amp;"*")
         ),
         FALSE,
         TRUE
       ),
       _xlpm.noDigits,
       SUM(--ISNUMBER(FIND({0,1,2,3,4,5,6,7,8,9}, _xlpm.cleaned))) = 0,
       _xlpm.cleaned &amp; IF(_xlpm.needsBR * _xlpm.noDigits, Data!CF54, "")
     ),
  "")
)</f>
        <v/>
      </c>
      <c r="R51" s="41" t="str" cm="1">
        <f t="array" ref="R51">IF(
  AND($Y$57=1, R69&lt;&gt;""),
  "O" &amp; Data!CG54,
  IF(R12&lt;&gt;"",
     _xlfn.LET(
       _xlpm.cleaned,
       IF(
         OR(COUNTIF(R12,"L*"), COUNTIF(R12,"X*")),
         SUBSTITUTE(SUBSTITUTE(SUBSTITUTE(SUBSTITUTE(R12,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COUNTIF(R12, "*"&amp;$BN$3&amp;"*"),
           COUNTIF(R12, "*"&amp;$BN$4&amp;"*"),
           COUNTIF(R12, "*"&amp;$BN$5&amp;"*"),
           COUNTIF(R12, "*"&amp;$BN$6&amp;"*"),
           COUNTIF(R12, "*"&amp;$BN$7&amp;"*")
         ),
         FALSE,
         TRUE
       ),
       _xlpm.noDigits,
       SUM(--ISNUMBER(FIND({0,1,2,3,4,5,6,7,8,9}, _xlpm.cleaned))) = 0,
       _xlpm.cleaned &amp; IF(_xlpm.needsBR * _xlpm.noDigits, Data!CG54, "")
     ),
  "")
)</f>
        <v/>
      </c>
      <c r="S51" s="41" t="str" cm="1">
        <f t="array" ref="S51">IF(
  AND($Y$57=1, S69&lt;&gt;""),
  "O" &amp; Data!CH54,
  IF(S12&lt;&gt;"",
     _xlfn.LET(
       _xlpm.cleaned,
       IF(
         OR(COUNTIF(S12,"L*"), COUNTIF(S12,"X*")),
         SUBSTITUTE(SUBSTITUTE(SUBSTITUTE(SUBSTITUTE(S12,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COUNTIF(S12, "*"&amp;$BN$3&amp;"*"),
           COUNTIF(S12, "*"&amp;$BN$4&amp;"*"),
           COUNTIF(S12, "*"&amp;$BN$5&amp;"*"),
           COUNTIF(S12, "*"&amp;$BN$6&amp;"*"),
           COUNTIF(S12, "*"&amp;$BN$7&amp;"*")
         ),
         FALSE,
         TRUE
       ),
       _xlpm.noDigits,
       SUM(--ISNUMBER(FIND({0,1,2,3,4,5,6,7,8,9}, _xlpm.cleaned))) = 0,
       _xlpm.cleaned &amp; IF(_xlpm.needsBR * _xlpm.noDigits, Data!CH54, "")
     ),
  "")
)</f>
        <v/>
      </c>
      <c r="T51" s="41" t="str" cm="1">
        <f t="array" ref="T51">IF(
  AND($Y$57=1, T69&lt;&gt;""),
  "O" &amp; Data!CI54,
  IF(T12&lt;&gt;"",
     _xlfn.LET(
       _xlpm.cleaned,
       IF(
         OR(COUNTIF(T12,"L*"), COUNTIF(T12,"X*")),
         SUBSTITUTE(SUBSTITUTE(SUBSTITUTE(SUBSTITUTE(T12,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COUNTIF(T12, "*"&amp;$BN$3&amp;"*"),
           COUNTIF(T12, "*"&amp;$BN$4&amp;"*"),
           COUNTIF(T12, "*"&amp;$BN$5&amp;"*"),
           COUNTIF(T12, "*"&amp;$BN$6&amp;"*"),
           COUNTIF(T12, "*"&amp;$BN$7&amp;"*")
         ),
         FALSE,
         TRUE
       ),
       _xlpm.noDigits,
       SUM(--ISNUMBER(FIND({0,1,2,3,4,5,6,7,8,9}, _xlpm.cleaned))) = 0,
       _xlpm.cleaned &amp; IF(_xlpm.needsBR * _xlpm.noDigits, Data!CI54, "")
     ),
  "")
)</f>
        <v/>
      </c>
      <c r="U51" s="41" t="str" cm="1">
        <f t="array" ref="U51">IF(
  AND($Y$57=1, U69&lt;&gt;""),
  "O" &amp; Data!CJ54,
  IF(U12&lt;&gt;"",
     _xlfn.LET(
       _xlpm.cleaned,
       IF(
         OR(COUNTIF(U12,"L*"), COUNTIF(U12,"X*")),
         SUBSTITUTE(SUBSTITUTE(SUBSTITUTE(SUBSTITUTE(U12,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COUNTIF(U12, "*"&amp;$BN$3&amp;"*"),
           COUNTIF(U12, "*"&amp;$BN$4&amp;"*"),
           COUNTIF(U12, "*"&amp;$BN$5&amp;"*"),
           COUNTIF(U12, "*"&amp;$BN$6&amp;"*"),
           COUNTIF(U12, "*"&amp;$BN$7&amp;"*")
         ),
         FALSE,
         TRUE
       ),
       _xlpm.noDigits,
       SUM(--ISNUMBER(FIND({0,1,2,3,4,5,6,7,8,9}, _xlpm.cleaned))) = 0,
       _xlpm.cleaned &amp; IF(_xlpm.needsBR * _xlpm.noDigits, Data!CJ54, "")
     ),
  "")
)</f>
        <v/>
      </c>
      <c r="V51" s="41" t="str" cm="1">
        <f t="array" ref="V51">IF(
  AND($Y$57=1, V69&lt;&gt;""),
  "O" &amp; Data!CK54,
  IF(V12&lt;&gt;"",
     _xlfn.LET(
       _xlpm.cleaned,
       IF(
         OR(COUNTIF(V12,"L*"), COUNTIF(V12,"X*")),
         SUBSTITUTE(SUBSTITUTE(SUBSTITUTE(SUBSTITUTE(V12,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COUNTIF(V12, "*"&amp;$BN$3&amp;"*"),
           COUNTIF(V12, "*"&amp;$BN$4&amp;"*"),
           COUNTIF(V12, "*"&amp;$BN$5&amp;"*"),
           COUNTIF(V12, "*"&amp;$BN$6&amp;"*"),
           COUNTIF(V12, "*"&amp;$BN$7&amp;"*")
         ),
         FALSE,
         TRUE
       ),
       _xlpm.noDigits,
       SUM(--ISNUMBER(FIND({0,1,2,3,4,5,6,7,8,9}, _xlpm.cleaned))) = 0,
       _xlpm.cleaned &amp; IF(_xlpm.needsBR * _xlpm.noDigits, Data!CK54, "")
     ),
  "")
)</f>
        <v/>
      </c>
      <c r="W51" s="41" t="str" cm="1">
        <f t="array" ref="W51">IF(
  AND($Y$57=1, W69&lt;&gt;""),
  "O" &amp; Data!CL54,
  IF(W12&lt;&gt;"",
     _xlfn.LET(
       _xlpm.cleaned,
       IF(
         OR(COUNTIF(W12,"L*"), COUNTIF(W12,"X*")),
         SUBSTITUTE(SUBSTITUTE(SUBSTITUTE(SUBSTITUTE(W12,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COUNTIF(W12, "*"&amp;$BN$3&amp;"*"),
           COUNTIF(W12, "*"&amp;$BN$4&amp;"*"),
           COUNTIF(W12, "*"&amp;$BN$5&amp;"*"),
           COUNTIF(W12, "*"&amp;$BN$6&amp;"*"),
           COUNTIF(W12, "*"&amp;$BN$7&amp;"*")
         ),
         FALSE,
         TRUE
       ),
       _xlpm.noDigits,
       SUM(--ISNUMBER(FIND({0,1,2,3,4,5,6,7,8,9}, _xlpm.cleaned))) = 0,
       _xlpm.cleaned &amp; IF(_xlpm.needsBR * _xlpm.noDigits, Data!CL54, "")
     ),
  "")
)</f>
        <v/>
      </c>
      <c r="X51" s="41" t="str" cm="1">
        <f t="array" ref="X51">IF(
  AND($Y$57=1, X69&lt;&gt;""),
  "O" &amp; Data!CM54,
  IF(X12&lt;&gt;"",
     _xlfn.LET(
       _xlpm.cleaned,
       IF(
         OR(COUNTIF(X12,"L*"), COUNTIF(X12,"X*")),
         SUBSTITUTE(SUBSTITUTE(SUBSTITUTE(SUBSTITUTE(X12,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COUNTIF(X12, "*"&amp;$BN$3&amp;"*"),
           COUNTIF(X12, "*"&amp;$BN$4&amp;"*"),
           COUNTIF(X12, "*"&amp;$BN$5&amp;"*"),
           COUNTIF(X12, "*"&amp;$BN$6&amp;"*"),
           COUNTIF(X12, "*"&amp;$BN$7&amp;"*")
         ),
         FALSE,
         TRUE
       ),
       _xlpm.noDigits,
       SUM(--ISNUMBER(FIND({0,1,2,3,4,5,6,7,8,9}, _xlpm.cleaned))) = 0,
       _xlpm.cleaned &amp; IF(_xlpm.needsBR * _xlpm.noDigits, Data!CM54, "")
     ),
  "")
)</f>
        <v/>
      </c>
      <c r="Y51" s="41" t="str" cm="1">
        <f t="array" ref="Y51">IF(
  AND($Y$57=1, Y69&lt;&gt;""),
  "O" &amp; Data!CN54,
  IF(Y12&lt;&gt;"",
     _xlfn.LET(
       _xlpm.cleaned,
       IF(
         OR(COUNTIF(Y12,"L*"), COUNTIF(Y12,"X*")),
         SUBSTITUTE(SUBSTITUTE(SUBSTITUTE(SUBSTITUTE(Y12,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COUNTIF(Y12, "*"&amp;$BN$3&amp;"*"),
           COUNTIF(Y12, "*"&amp;$BN$4&amp;"*"),
           COUNTIF(Y12, "*"&amp;$BN$5&amp;"*"),
           COUNTIF(Y12, "*"&amp;$BN$6&amp;"*"),
           COUNTIF(Y12, "*"&amp;$BN$7&amp;"*")
         ),
         FALSE,
         TRUE
       ),
       _xlpm.noDigits,
       SUM(--ISNUMBER(FIND({0,1,2,3,4,5,6,7,8,9}, _xlpm.cleaned))) = 0,
       _xlpm.cleaned &amp; IF(_xlpm.needsBR * _xlpm.noDigits, Data!CN54, "")
     ),
  "")
)</f>
        <v/>
      </c>
      <c r="Z51" s="41" t="str" cm="1">
        <f t="array" ref="Z51">IF(
  AND($Y$57=1, Z69&lt;&gt;""),
  "O" &amp; Data!CO54,
  IF(Z12&lt;&gt;"",
     _xlfn.LET(
       _xlpm.cleaned,
       IF(
         OR(COUNTIF(Z12,"L*"), COUNTIF(Z12,"X*")),
         SUBSTITUTE(SUBSTITUTE(SUBSTITUTE(SUBSTITUTE(Z12,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COUNTIF(Z12, "*"&amp;$BN$3&amp;"*"),
           COUNTIF(Z12, "*"&amp;$BN$4&amp;"*"),
           COUNTIF(Z12, "*"&amp;$BN$5&amp;"*"),
           COUNTIF(Z12, "*"&amp;$BN$6&amp;"*"),
           COUNTIF(Z12, "*"&amp;$BN$7&amp;"*")
         ),
         FALSE,
         TRUE
       ),
       _xlpm.noDigits,
       SUM(--ISNUMBER(FIND({0,1,2,3,4,5,6,7,8,9}, _xlpm.cleaned))) = 0,
       _xlpm.cleaned &amp; IF(_xlpm.needsBR * _xlpm.noDigits, Data!CO54, "")
     ),
  "")
)</f>
        <v/>
      </c>
      <c r="AA51" s="41" t="str" cm="1">
        <f t="array" ref="AA51">IF(
  AND($Y$57=1, AA69&lt;&gt;""),
  "O" &amp; Data!CP54,
  IF(AA12&lt;&gt;"",
     _xlfn.LET(
       _xlpm.cleaned,
       IF(
         OR(COUNTIF(AA12,"L*"), COUNTIF(AA12,"X*")),
         SUBSTITUTE(SUBSTITUTE(SUBSTITUTE(SUBSTITUTE(AA12,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COUNTIF(AA12, "*"&amp;$BN$3&amp;"*"),
           COUNTIF(AA12, "*"&amp;$BN$4&amp;"*"),
           COUNTIF(AA12, "*"&amp;$BN$5&amp;"*"),
           COUNTIF(AA12, "*"&amp;$BN$6&amp;"*"),
           COUNTIF(AA12, "*"&amp;$BN$7&amp;"*")
         ),
         FALSE,
         TRUE
       ),
       _xlpm.noDigits,
       SUM(--ISNUMBER(FIND({0,1,2,3,4,5,6,7,8,9}, _xlpm.cleaned))) = 0,
       _xlpm.cleaned &amp; IF(_xlpm.needsBR * _xlpm.noDigits, Data!CP54, "")
     ),
  "")
)</f>
        <v/>
      </c>
      <c r="AB51" s="41" t="str" cm="1">
        <f t="array" ref="AB51">IF(
  AND($Y$57=1, AB69&lt;&gt;""),
  "O" &amp; Data!CQ54,
  IF(AB12&lt;&gt;"",
     _xlfn.LET(
       _xlpm.cleaned,
       IF(
         OR(COUNTIF(AB12,"L*"), COUNTIF(AB12,"X*")),
         SUBSTITUTE(SUBSTITUTE(SUBSTITUTE(SUBSTITUTE(AB12,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COUNTIF(AB12, "*"&amp;$BN$3&amp;"*"),
           COUNTIF(AB12, "*"&amp;$BN$4&amp;"*"),
           COUNTIF(AB12, "*"&amp;$BN$5&amp;"*"),
           COUNTIF(AB12, "*"&amp;$BN$6&amp;"*"),
           COUNTIF(AB12, "*"&amp;$BN$7&amp;"*")
         ),
         FALSE,
         TRUE
       ),
       _xlpm.noDigits,
       SUM(--ISNUMBER(FIND({0,1,2,3,4,5,6,7,8,9}, _xlpm.cleaned))) = 0,
       _xlpm.cleaned &amp; IF(_xlpm.needsBR * _xlpm.noDigits, Data!CQ54, "")
     ),
  "")
)</f>
        <v/>
      </c>
      <c r="AC51" s="41" t="str" cm="1">
        <f t="array" ref="AC51">IF(
  AND($Y$57=1, AC69&lt;&gt;""),
  "O" &amp; Data!CR54,
  IF(AC12&lt;&gt;"",
     _xlfn.LET(
       _xlpm.cleaned,
       IF(
         OR(COUNTIF(AC12,"L*"), COUNTIF(AC12,"X*")),
         SUBSTITUTE(SUBSTITUTE(SUBSTITUTE(SUBSTITUTE(AC12,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COUNTIF(AC12, "*"&amp;$BN$3&amp;"*"),
           COUNTIF(AC12, "*"&amp;$BN$4&amp;"*"),
           COUNTIF(AC12, "*"&amp;$BN$5&amp;"*"),
           COUNTIF(AC12, "*"&amp;$BN$6&amp;"*"),
           COUNTIF(AC12, "*"&amp;$BN$7&amp;"*")
         ),
         FALSE,
         TRUE
       ),
       _xlpm.noDigits,
       SUM(--ISNUMBER(FIND({0,1,2,3,4,5,6,7,8,9}, _xlpm.cleaned))) = 0,
       _xlpm.cleaned &amp; IF(_xlpm.needsBR * _xlpm.noDigits, Data!CR54, "")
     ),
  "")
)</f>
        <v/>
      </c>
      <c r="AD51" s="41" t="str" cm="1">
        <f t="array" ref="AD51">IF(
  AND($Y$57=1, AD69&lt;&gt;""),
  "O" &amp; Data!CS54,
  IF(AD12&lt;&gt;"",
     _xlfn.LET(
       _xlpm.cleaned,
       IF(
         OR(COUNTIF(AD12,"L*"), COUNTIF(AD12,"X*")),
         SUBSTITUTE(SUBSTITUTE(SUBSTITUTE(SUBSTITUTE(AD12,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COUNTIF(AD12, "*"&amp;$BN$3&amp;"*"),
           COUNTIF(AD12, "*"&amp;$BN$4&amp;"*"),
           COUNTIF(AD12, "*"&amp;$BN$5&amp;"*"),
           COUNTIF(AD12, "*"&amp;$BN$6&amp;"*"),
           COUNTIF(AD12, "*"&amp;$BN$7&amp;"*")
         ),
         FALSE,
         TRUE
       ),
       _xlpm.noDigits,
       SUM(--ISNUMBER(FIND({0,1,2,3,4,5,6,7,8,9}, _xlpm.cleaned))) = 0,
       _xlpm.cleaned &amp; IF(_xlpm.needsBR * _xlpm.noDigits, Data!CS54, "")
     ),
  "")
)</f>
        <v/>
      </c>
      <c r="AE51" s="41" t="str" cm="1">
        <f t="array" ref="AE51">IF(
  AND($Y$57=1, AE69&lt;&gt;""),
  "O" &amp; Data!CT54,
  IF(AE12&lt;&gt;"",
     _xlfn.LET(
       _xlpm.cleaned,
       IF(
         OR(COUNTIF(AE12,"L*"), COUNTIF(AE12,"X*")),
         SUBSTITUTE(SUBSTITUTE(SUBSTITUTE(SUBSTITUTE(AE12,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COUNTIF(AE12, "*"&amp;$BN$3&amp;"*"),
           COUNTIF(AE12, "*"&amp;$BN$4&amp;"*"),
           COUNTIF(AE12, "*"&amp;$BN$5&amp;"*"),
           COUNTIF(AE12, "*"&amp;$BN$6&amp;"*"),
           COUNTIF(AE12, "*"&amp;$BN$7&amp;"*")
         ),
         FALSE,
         TRUE
       ),
       _xlpm.noDigits,
       SUM(--ISNUMBER(FIND({0,1,2,3,4,5,6,7,8,9}, _xlpm.cleaned))) = 0,
       _xlpm.cleaned &amp; IF(_xlpm.needsBR * _xlpm.noDigits, Data!CT54, "")
     ),
  "")
)</f>
        <v/>
      </c>
      <c r="AF51" s="41" t="str" cm="1">
        <f t="array" ref="AF51">IF(
  AND($Y$57=1, AF69&lt;&gt;""),
  "O" &amp; Data!CU54,
  IF(AF12&lt;&gt;"",
     _xlfn.LET(
       _xlpm.cleaned,
       IF(
         OR(COUNTIF(AF12,"L*"), COUNTIF(AF12,"X*")),
         SUBSTITUTE(SUBSTITUTE(SUBSTITUTE(SUBSTITUTE(AF12,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COUNTIF(AF12, "*"&amp;$BN$3&amp;"*"),
           COUNTIF(AF12, "*"&amp;$BN$4&amp;"*"),
           COUNTIF(AF12, "*"&amp;$BN$5&amp;"*"),
           COUNTIF(AF12, "*"&amp;$BN$6&amp;"*"),
           COUNTIF(AF12, "*"&amp;$BN$7&amp;"*")
         ),
         FALSE,
         TRUE
       ),
       _xlpm.noDigits,
       SUM(--ISNUMBER(FIND({0,1,2,3,4,5,6,7,8,9}, _xlpm.cleaned))) = 0,
       _xlpm.cleaned &amp; IF(_xlpm.needsBR * _xlpm.noDigits, Data!CU54, "")
     ),
  "")
)</f>
        <v/>
      </c>
      <c r="AG51" s="41" t="str" cm="1">
        <f t="array" ref="AG51">IF(
  AND($Y$57=1, AG69&lt;&gt;""),
  "O" &amp; Data!CV54,
  IF(AG12&lt;&gt;"",
     _xlfn.LET(
       _xlpm.cleaned,
       IF(
         OR(COUNTIF(AG12,"L*"), COUNTIF(AG12,"X*")),
         SUBSTITUTE(SUBSTITUTE(SUBSTITUTE(SUBSTITUTE(AG12,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COUNTIF(AG12, "*"&amp;$BN$3&amp;"*"),
           COUNTIF(AG12, "*"&amp;$BN$4&amp;"*"),
           COUNTIF(AG12, "*"&amp;$BN$5&amp;"*"),
           COUNTIF(AG12, "*"&amp;$BN$6&amp;"*"),
           COUNTIF(AG12, "*"&amp;$BN$7&amp;"*")
         ),
         FALSE,
         TRUE
       ),
       _xlpm.noDigits,
       SUM(--ISNUMBER(FIND({0,1,2,3,4,5,6,7,8,9}, _xlpm.cleaned))) = 0,
       _xlpm.cleaned &amp; IF(_xlpm.needsBR * _xlpm.noDigits, Data!CV54, "")
     ),
  "")
)</f>
        <v/>
      </c>
      <c r="AH51" s="41" t="str" cm="1">
        <f t="array" ref="AH51">IF(
  AND($Y$57=1, AH69&lt;&gt;""),
  "O" &amp; Data!CW54,
  IF(AH12&lt;&gt;"",
     _xlfn.LET(
       _xlpm.cleaned,
       IF(
         OR(COUNTIF(AH12,"L*"), COUNTIF(AH12,"X*")),
         SUBSTITUTE(SUBSTITUTE(SUBSTITUTE(SUBSTITUTE(AH12,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COUNTIF(AH12, "*"&amp;$BN$3&amp;"*"),
           COUNTIF(AH12, "*"&amp;$BN$4&amp;"*"),
           COUNTIF(AH12, "*"&amp;$BN$5&amp;"*"),
           COUNTIF(AH12, "*"&amp;$BN$6&amp;"*"),
           COUNTIF(AH12, "*"&amp;$BN$7&amp;"*")
         ),
         FALSE,
         TRUE
       ),
       _xlpm.noDigits,
       SUM(--ISNUMBER(FIND({0,1,2,3,4,5,6,7,8,9}, _xlpm.cleaned))) = 0,
       _xlpm.cleaned &amp; IF(_xlpm.needsBR * _xlpm.noDigits, Data!CW54, "")
     ),
  "")
)</f>
        <v/>
      </c>
      <c r="AI51" s="41" t="str" cm="1">
        <f t="array" ref="AI51">IF(
  AND($Y$57=1, AI69&lt;&gt;""),
  "O" &amp; Data!CX54,
  IF(AI12&lt;&gt;"",
     _xlfn.LET(
       _xlpm.cleaned,
       IF(
         OR(COUNTIF(AI12,"L*"), COUNTIF(AI12,"X*")),
         SUBSTITUTE(SUBSTITUTE(SUBSTITUTE(SUBSTITUTE(AI12,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COUNTIF(AI12, "*"&amp;$BN$3&amp;"*"),
           COUNTIF(AI12, "*"&amp;$BN$4&amp;"*"),
           COUNTIF(AI12, "*"&amp;$BN$5&amp;"*"),
           COUNTIF(AI12, "*"&amp;$BN$6&amp;"*"),
           COUNTIF(AI12, "*"&amp;$BN$7&amp;"*")
         ),
         FALSE,
         TRUE
       ),
       _xlpm.noDigits,
       SUM(--ISNUMBER(FIND({0,1,2,3,4,5,6,7,8,9}, _xlpm.cleaned))) = 0,
       _xlpm.cleaned &amp; IF(_xlpm.needsBR * _xlpm.noDigits, Data!CX54, "")
     ),
  "")
)</f>
        <v/>
      </c>
      <c r="AJ51" s="41" t="str" cm="1">
        <f t="array" ref="AJ51">IF(
  AND($Y$57=1, AJ69&lt;&gt;""),
  "O" &amp; Data!CY54,
  IF(AJ12&lt;&gt;"",
     _xlfn.LET(
       _xlpm.cleaned,
       IF(
         OR(COUNTIF(AJ12,"L*"), COUNTIF(AJ12,"X*")),
         SUBSTITUTE(SUBSTITUTE(SUBSTITUTE(SUBSTITUTE(AJ12,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COUNTIF(AJ12, "*"&amp;$BN$3&amp;"*"),
           COUNTIF(AJ12, "*"&amp;$BN$4&amp;"*"),
           COUNTIF(AJ12, "*"&amp;$BN$5&amp;"*"),
           COUNTIF(AJ12, "*"&amp;$BN$6&amp;"*"),
           COUNTIF(AJ12, "*"&amp;$BN$7&amp;"*")
         ),
         FALSE,
         TRUE
       ),
       _xlpm.noDigits,
       SUM(--ISNUMBER(FIND({0,1,2,3,4,5,6,7,8,9}, _xlpm.cleaned))) = 0,
       _xlpm.cleaned &amp; IF(_xlpm.needsBR * _xlpm.noDigits, Data!CY54, "")
     ),
  "")
)</f>
        <v/>
      </c>
    </row>
    <row r="52" spans="1:69" ht="23.25" customHeight="1" x14ac:dyDescent="0.35">
      <c r="A52" s="1196"/>
      <c r="B52" s="22">
        <v>10</v>
      </c>
      <c r="C52" s="41" t="str" cm="1">
        <f t="array" ref="C52">IF(
  AND($Y$57=1, C70&lt;&gt;""),
  "O" &amp; Data!BR55,
  IF(C13&lt;&gt;"",
     _xlfn.LET(
       _xlpm.cleaned,
       IF(
         OR(COUNTIF(C13,"L*"), COUNTIF(C13,"X*")),
         SUBSTITUTE(SUBSTITUTE(SUBSTITUTE(SUBSTITUTE(C13,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COUNTIF(C13, "*"&amp;$BN$3&amp;"*"),
           COUNTIF(C13, "*"&amp;$BN$4&amp;"*"),
           COUNTIF(C13, "*"&amp;$BN$5&amp;"*"),
           COUNTIF(C13, "*"&amp;$BN$6&amp;"*"),
           COUNTIF(C13, "*"&amp;$BN$7&amp;"*")
         ),
         FALSE,
         TRUE
       ),
       _xlpm.noDigits,
       SUM(--ISNUMBER(FIND({0,1,2,3,4,5,6,7,8,9}, _xlpm.cleaned))) = 0,
       _xlpm.cleaned &amp; IF(_xlpm.needsBR * _xlpm.noDigits, Data!BR55, "")
     ),
  "")
)</f>
        <v/>
      </c>
      <c r="D52" s="41" t="str" cm="1">
        <f t="array" ref="D52">IF(
  AND($Y$57=1, D70&lt;&gt;""),
  "O" &amp; Data!BS55,
  IF(D13&lt;&gt;"",
     _xlfn.LET(
       _xlpm.cleaned,
       IF(
         OR(COUNTIF(D13,"L*"), COUNTIF(D13,"X*")),
         SUBSTITUTE(SUBSTITUTE(SUBSTITUTE(SUBSTITUTE(D13,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COUNTIF(D13, "*"&amp;$BN$3&amp;"*"),
           COUNTIF(D13, "*"&amp;$BN$4&amp;"*"),
           COUNTIF(D13, "*"&amp;$BN$5&amp;"*"),
           COUNTIF(D13, "*"&amp;$BN$6&amp;"*"),
           COUNTIF(D13, "*"&amp;$BN$7&amp;"*")
         ),
         FALSE,
         TRUE
       ),
       _xlpm.noDigits,
       SUM(--ISNUMBER(FIND({0,1,2,3,4,5,6,7,8,9}, _xlpm.cleaned))) = 0,
       _xlpm.cleaned &amp; IF(_xlpm.needsBR * _xlpm.noDigits, Data!BS55, "")
     ),
  "")
)</f>
        <v/>
      </c>
      <c r="E52" s="41" t="str" cm="1">
        <f t="array" ref="E52">IF(
  AND($Y$57=1, E70&lt;&gt;""),
  "O" &amp; Data!BT55,
  IF(E13&lt;&gt;"",
     _xlfn.LET(
       _xlpm.cleaned,
       IF(
         OR(COUNTIF(E13,"L*"), COUNTIF(E13,"X*")),
         SUBSTITUTE(SUBSTITUTE(SUBSTITUTE(SUBSTITUTE(E13,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COUNTIF(E13, "*"&amp;$BN$3&amp;"*"),
           COUNTIF(E13, "*"&amp;$BN$4&amp;"*"),
           COUNTIF(E13, "*"&amp;$BN$5&amp;"*"),
           COUNTIF(E13, "*"&amp;$BN$6&amp;"*"),
           COUNTIF(E13, "*"&amp;$BN$7&amp;"*")
         ),
         FALSE,
         TRUE
       ),
       _xlpm.noDigits,
       SUM(--ISNUMBER(FIND({0,1,2,3,4,5,6,7,8,9}, _xlpm.cleaned))) = 0,
       _xlpm.cleaned &amp; IF(_xlpm.needsBR * _xlpm.noDigits, Data!BT55, "")
     ),
  "")
)</f>
        <v/>
      </c>
      <c r="F52" s="41" t="str" cm="1">
        <f t="array" ref="F52">IF(
  AND($Y$57=1, F70&lt;&gt;""),
  "O" &amp; Data!BU55,
  IF(F13&lt;&gt;"",
     _xlfn.LET(
       _xlpm.cleaned,
       IF(
         OR(COUNTIF(F13,"L*"), COUNTIF(F13,"X*")),
         SUBSTITUTE(SUBSTITUTE(SUBSTITUTE(SUBSTITUTE(F13,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COUNTIF(F13, "*"&amp;$BN$3&amp;"*"),
           COUNTIF(F13, "*"&amp;$BN$4&amp;"*"),
           COUNTIF(F13, "*"&amp;$BN$5&amp;"*"),
           COUNTIF(F13, "*"&amp;$BN$6&amp;"*"),
           COUNTIF(F13, "*"&amp;$BN$7&amp;"*")
         ),
         FALSE,
         TRUE
       ),
       _xlpm.noDigits,
       SUM(--ISNUMBER(FIND({0,1,2,3,4,5,6,7,8,9}, _xlpm.cleaned))) = 0,
       _xlpm.cleaned &amp; IF(_xlpm.needsBR * _xlpm.noDigits, Data!BU55, "")
     ),
  "")
)</f>
        <v/>
      </c>
      <c r="G52" s="41" t="str" cm="1">
        <f t="array" ref="G52">IF(
  AND($Y$57=1, G70&lt;&gt;""),
  "O" &amp; Data!BV55,
  IF(G13&lt;&gt;"",
     _xlfn.LET(
       _xlpm.cleaned,
       IF(
         OR(COUNTIF(G13,"L*"), COUNTIF(G13,"X*")),
         SUBSTITUTE(SUBSTITUTE(SUBSTITUTE(SUBSTITUTE(G13,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COUNTIF(G13, "*"&amp;$BN$3&amp;"*"),
           COUNTIF(G13, "*"&amp;$BN$4&amp;"*"),
           COUNTIF(G13, "*"&amp;$BN$5&amp;"*"),
           COUNTIF(G13, "*"&amp;$BN$6&amp;"*"),
           COUNTIF(G13, "*"&amp;$BN$7&amp;"*")
         ),
         FALSE,
         TRUE
       ),
       _xlpm.noDigits,
       SUM(--ISNUMBER(FIND({0,1,2,3,4,5,6,7,8,9}, _xlpm.cleaned))) = 0,
       _xlpm.cleaned &amp; IF(_xlpm.needsBR * _xlpm.noDigits, Data!BV55, "")
     ),
  "")
)</f>
        <v/>
      </c>
      <c r="H52" s="41" t="str" cm="1">
        <f t="array" ref="H52">IF(
  AND($Y$57=1, H70&lt;&gt;""),
  "O" &amp; Data!BW55,
  IF(H13&lt;&gt;"",
     _xlfn.LET(
       _xlpm.cleaned,
       IF(
         OR(COUNTIF(H13,"L*"), COUNTIF(H13,"X*")),
         SUBSTITUTE(SUBSTITUTE(SUBSTITUTE(SUBSTITUTE(H13,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COUNTIF(H13, "*"&amp;$BN$3&amp;"*"),
           COUNTIF(H13, "*"&amp;$BN$4&amp;"*"),
           COUNTIF(H13, "*"&amp;$BN$5&amp;"*"),
           COUNTIF(H13, "*"&amp;$BN$6&amp;"*"),
           COUNTIF(H13, "*"&amp;$BN$7&amp;"*")
         ),
         FALSE,
         TRUE
       ),
       _xlpm.noDigits,
       SUM(--ISNUMBER(FIND({0,1,2,3,4,5,6,7,8,9}, _xlpm.cleaned))) = 0,
       _xlpm.cleaned &amp; IF(_xlpm.needsBR * _xlpm.noDigits, Data!BW55, "")
     ),
  "")
)</f>
        <v/>
      </c>
      <c r="I52" s="41" t="str" cm="1">
        <f t="array" ref="I52">IF(
  AND($Y$57=1, I70&lt;&gt;""),
  "O" &amp; Data!BX55,
  IF(I13&lt;&gt;"",
     _xlfn.LET(
       _xlpm.cleaned,
       IF(
         OR(COUNTIF(I13,"L*"), COUNTIF(I13,"X*")),
         SUBSTITUTE(SUBSTITUTE(SUBSTITUTE(SUBSTITUTE(I13,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COUNTIF(I13, "*"&amp;$BN$3&amp;"*"),
           COUNTIF(I13, "*"&amp;$BN$4&amp;"*"),
           COUNTIF(I13, "*"&amp;$BN$5&amp;"*"),
           COUNTIF(I13, "*"&amp;$BN$6&amp;"*"),
           COUNTIF(I13, "*"&amp;$BN$7&amp;"*")
         ),
         FALSE,
         TRUE
       ),
       _xlpm.noDigits,
       SUM(--ISNUMBER(FIND({0,1,2,3,4,5,6,7,8,9}, _xlpm.cleaned))) = 0,
       _xlpm.cleaned &amp; IF(_xlpm.needsBR * _xlpm.noDigits, Data!BX55, "")
     ),
  "")
)</f>
        <v/>
      </c>
      <c r="J52" s="41" t="str" cm="1">
        <f t="array" ref="J52">IF(
  AND($Y$57=1, J70&lt;&gt;""),
  "O" &amp; Data!BY55,
  IF(J13&lt;&gt;"",
     _xlfn.LET(
       _xlpm.cleaned,
       IF(
         OR(COUNTIF(J13,"L*"), COUNTIF(J13,"X*")),
         SUBSTITUTE(SUBSTITUTE(SUBSTITUTE(SUBSTITUTE(J13,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COUNTIF(J13, "*"&amp;$BN$3&amp;"*"),
           COUNTIF(J13, "*"&amp;$BN$4&amp;"*"),
           COUNTIF(J13, "*"&amp;$BN$5&amp;"*"),
           COUNTIF(J13, "*"&amp;$BN$6&amp;"*"),
           COUNTIF(J13, "*"&amp;$BN$7&amp;"*")
         ),
         FALSE,
         TRUE
       ),
       _xlpm.noDigits,
       SUM(--ISNUMBER(FIND({0,1,2,3,4,5,6,7,8,9}, _xlpm.cleaned))) = 0,
       _xlpm.cleaned &amp; IF(_xlpm.needsBR * _xlpm.noDigits, Data!BY55, "")
     ),
  "")
)</f>
        <v/>
      </c>
      <c r="K52" s="41" t="str" cm="1">
        <f t="array" ref="K52">IF(
  AND($Y$57=1, K70&lt;&gt;""),
  "O" &amp; Data!BZ55,
  IF(K13&lt;&gt;"",
     _xlfn.LET(
       _xlpm.cleaned,
       IF(
         OR(COUNTIF(K13,"L*"), COUNTIF(K13,"X*")),
         SUBSTITUTE(SUBSTITUTE(SUBSTITUTE(SUBSTITUTE(K13,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COUNTIF(K13, "*"&amp;$BN$3&amp;"*"),
           COUNTIF(K13, "*"&amp;$BN$4&amp;"*"),
           COUNTIF(K13, "*"&amp;$BN$5&amp;"*"),
           COUNTIF(K13, "*"&amp;$BN$6&amp;"*"),
           COUNTIF(K13, "*"&amp;$BN$7&amp;"*")
         ),
         FALSE,
         TRUE
       ),
       _xlpm.noDigits,
       SUM(--ISNUMBER(FIND({0,1,2,3,4,5,6,7,8,9}, _xlpm.cleaned))) = 0,
       _xlpm.cleaned &amp; IF(_xlpm.needsBR * _xlpm.noDigits, Data!BZ55, "")
     ),
  "")
)</f>
        <v/>
      </c>
      <c r="L52" s="41" t="str" cm="1">
        <f t="array" ref="L52">IF(
  AND($Y$57=1, L70&lt;&gt;""),
  "O" &amp; Data!CA55,
  IF(L13&lt;&gt;"",
     _xlfn.LET(
       _xlpm.cleaned,
       IF(
         OR(COUNTIF(L13,"L*"), COUNTIF(L13,"X*")),
         SUBSTITUTE(SUBSTITUTE(SUBSTITUTE(SUBSTITUTE(L13,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COUNTIF(L13, "*"&amp;$BN$3&amp;"*"),
           COUNTIF(L13, "*"&amp;$BN$4&amp;"*"),
           COUNTIF(L13, "*"&amp;$BN$5&amp;"*"),
           COUNTIF(L13, "*"&amp;$BN$6&amp;"*"),
           COUNTIF(L13, "*"&amp;$BN$7&amp;"*")
         ),
         FALSE,
         TRUE
       ),
       _xlpm.noDigits,
       SUM(--ISNUMBER(FIND({0,1,2,3,4,5,6,7,8,9}, _xlpm.cleaned))) = 0,
       _xlpm.cleaned &amp; IF(_xlpm.needsBR * _xlpm.noDigits, Data!CA55, "")
     ),
  "")
)</f>
        <v/>
      </c>
      <c r="M52" s="41" t="str" cm="1">
        <f t="array" ref="M52">IF(
  AND($Y$57=1, M70&lt;&gt;""),
  "O" &amp; Data!CB55,
  IF(M13&lt;&gt;"",
     _xlfn.LET(
       _xlpm.cleaned,
       IF(
         OR(COUNTIF(M13,"L*"), COUNTIF(M13,"X*")),
         SUBSTITUTE(SUBSTITUTE(SUBSTITUTE(SUBSTITUTE(M13,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COUNTIF(M13, "*"&amp;$BN$3&amp;"*"),
           COUNTIF(M13, "*"&amp;$BN$4&amp;"*"),
           COUNTIF(M13, "*"&amp;$BN$5&amp;"*"),
           COUNTIF(M13, "*"&amp;$BN$6&amp;"*"),
           COUNTIF(M13, "*"&amp;$BN$7&amp;"*")
         ),
         FALSE,
         TRUE
       ),
       _xlpm.noDigits,
       SUM(--ISNUMBER(FIND({0,1,2,3,4,5,6,7,8,9}, _xlpm.cleaned))) = 0,
       _xlpm.cleaned &amp; IF(_xlpm.needsBR * _xlpm.noDigits, Data!CB55, "")
     ),
  "")
)</f>
        <v/>
      </c>
      <c r="N52" s="41" t="str" cm="1">
        <f t="array" ref="N52">IF(
  AND($Y$57=1, N70&lt;&gt;""),
  "O" &amp; Data!CC55,
  IF(N13&lt;&gt;"",
     _xlfn.LET(
       _xlpm.cleaned,
       IF(
         OR(COUNTIF(N13,"L*"), COUNTIF(N13,"X*")),
         SUBSTITUTE(SUBSTITUTE(SUBSTITUTE(SUBSTITUTE(N13,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COUNTIF(N13, "*"&amp;$BN$3&amp;"*"),
           COUNTIF(N13, "*"&amp;$BN$4&amp;"*"),
           COUNTIF(N13, "*"&amp;$BN$5&amp;"*"),
           COUNTIF(N13, "*"&amp;$BN$6&amp;"*"),
           COUNTIF(N13, "*"&amp;$BN$7&amp;"*")
         ),
         FALSE,
         TRUE
       ),
       _xlpm.noDigits,
       SUM(--ISNUMBER(FIND({0,1,2,3,4,5,6,7,8,9}, _xlpm.cleaned))) = 0,
       _xlpm.cleaned &amp; IF(_xlpm.needsBR * _xlpm.noDigits, Data!CC55, "")
     ),
  "")
)</f>
        <v/>
      </c>
      <c r="O52" s="41" t="str" cm="1">
        <f t="array" ref="O52">IF(
  AND($Y$57=1, O70&lt;&gt;""),
  "O" &amp; Data!CD55,
  IF(O13&lt;&gt;"",
     _xlfn.LET(
       _xlpm.cleaned,
       IF(
         OR(COUNTIF(O13,"L*"), COUNTIF(O13,"X*")),
         SUBSTITUTE(SUBSTITUTE(SUBSTITUTE(SUBSTITUTE(O13,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COUNTIF(O13, "*"&amp;$BN$3&amp;"*"),
           COUNTIF(O13, "*"&amp;$BN$4&amp;"*"),
           COUNTIF(O13, "*"&amp;$BN$5&amp;"*"),
           COUNTIF(O13, "*"&amp;$BN$6&amp;"*"),
           COUNTIF(O13, "*"&amp;$BN$7&amp;"*")
         ),
         FALSE,
         TRUE
       ),
       _xlpm.noDigits,
       SUM(--ISNUMBER(FIND({0,1,2,3,4,5,6,7,8,9}, _xlpm.cleaned))) = 0,
       _xlpm.cleaned &amp; IF(_xlpm.needsBR * _xlpm.noDigits, Data!CD55, "")
     ),
  "")
)</f>
        <v/>
      </c>
      <c r="P52" s="41" t="str" cm="1">
        <f t="array" ref="P52">IF(
  AND($Y$57=1, P70&lt;&gt;""),
  "O" &amp; Data!CE55,
  IF(P13&lt;&gt;"",
     _xlfn.LET(
       _xlpm.cleaned,
       IF(
         OR(COUNTIF(P13,"L*"), COUNTIF(P13,"X*")),
         SUBSTITUTE(SUBSTITUTE(SUBSTITUTE(SUBSTITUTE(P13,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COUNTIF(P13, "*"&amp;$BN$3&amp;"*"),
           COUNTIF(P13, "*"&amp;$BN$4&amp;"*"),
           COUNTIF(P13, "*"&amp;$BN$5&amp;"*"),
           COUNTIF(P13, "*"&amp;$BN$6&amp;"*"),
           COUNTIF(P13, "*"&amp;$BN$7&amp;"*")
         ),
         FALSE,
         TRUE
       ),
       _xlpm.noDigits,
       SUM(--ISNUMBER(FIND({0,1,2,3,4,5,6,7,8,9}, _xlpm.cleaned))) = 0,
       _xlpm.cleaned &amp; IF(_xlpm.needsBR * _xlpm.noDigits, Data!CE55, "")
     ),
  "")
)</f>
        <v/>
      </c>
      <c r="Q52" s="41" t="str" cm="1">
        <f t="array" ref="Q52">IF(
  AND($Y$57=1, Q70&lt;&gt;""),
  "O" &amp; Data!CF55,
  IF(Q13&lt;&gt;"",
     _xlfn.LET(
       _xlpm.cleaned,
       IF(
         OR(COUNTIF(Q13,"L*"), COUNTIF(Q13,"X*")),
         SUBSTITUTE(SUBSTITUTE(SUBSTITUTE(SUBSTITUTE(Q13,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COUNTIF(Q13, "*"&amp;$BN$3&amp;"*"),
           COUNTIF(Q13, "*"&amp;$BN$4&amp;"*"),
           COUNTIF(Q13, "*"&amp;$BN$5&amp;"*"),
           COUNTIF(Q13, "*"&amp;$BN$6&amp;"*"),
           COUNTIF(Q13, "*"&amp;$BN$7&amp;"*")
         ),
         FALSE,
         TRUE
       ),
       _xlpm.noDigits,
       SUM(--ISNUMBER(FIND({0,1,2,3,4,5,6,7,8,9}, _xlpm.cleaned))) = 0,
       _xlpm.cleaned &amp; IF(_xlpm.needsBR * _xlpm.noDigits, Data!CF55, "")
     ),
  "")
)</f>
        <v/>
      </c>
      <c r="R52" s="41" t="str" cm="1">
        <f t="array" ref="R52">IF(
  AND($Y$57=1, R70&lt;&gt;""),
  "O" &amp; Data!CG55,
  IF(R13&lt;&gt;"",
     _xlfn.LET(
       _xlpm.cleaned,
       IF(
         OR(COUNTIF(R13,"L*"), COUNTIF(R13,"X*")),
         SUBSTITUTE(SUBSTITUTE(SUBSTITUTE(SUBSTITUTE(R13,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COUNTIF(R13, "*"&amp;$BN$3&amp;"*"),
           COUNTIF(R13, "*"&amp;$BN$4&amp;"*"),
           COUNTIF(R13, "*"&amp;$BN$5&amp;"*"),
           COUNTIF(R13, "*"&amp;$BN$6&amp;"*"),
           COUNTIF(R13, "*"&amp;$BN$7&amp;"*")
         ),
         FALSE,
         TRUE
       ),
       _xlpm.noDigits,
       SUM(--ISNUMBER(FIND({0,1,2,3,4,5,6,7,8,9}, _xlpm.cleaned))) = 0,
       _xlpm.cleaned &amp; IF(_xlpm.needsBR * _xlpm.noDigits, Data!CG55, "")
     ),
  "")
)</f>
        <v/>
      </c>
      <c r="S52" s="41" t="str" cm="1">
        <f t="array" ref="S52">IF(
  AND($Y$57=1, S70&lt;&gt;""),
  "O" &amp; Data!CH55,
  IF(S13&lt;&gt;"",
     _xlfn.LET(
       _xlpm.cleaned,
       IF(
         OR(COUNTIF(S13,"L*"), COUNTIF(S13,"X*")),
         SUBSTITUTE(SUBSTITUTE(SUBSTITUTE(SUBSTITUTE(S13,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COUNTIF(S13, "*"&amp;$BN$3&amp;"*"),
           COUNTIF(S13, "*"&amp;$BN$4&amp;"*"),
           COUNTIF(S13, "*"&amp;$BN$5&amp;"*"),
           COUNTIF(S13, "*"&amp;$BN$6&amp;"*"),
           COUNTIF(S13, "*"&amp;$BN$7&amp;"*")
         ),
         FALSE,
         TRUE
       ),
       _xlpm.noDigits,
       SUM(--ISNUMBER(FIND({0,1,2,3,4,5,6,7,8,9}, _xlpm.cleaned))) = 0,
       _xlpm.cleaned &amp; IF(_xlpm.needsBR * _xlpm.noDigits, Data!CH55, "")
     ),
  "")
)</f>
        <v/>
      </c>
      <c r="T52" s="41" t="str" cm="1">
        <f t="array" ref="T52">IF(
  AND($Y$57=1, T70&lt;&gt;""),
  "O" &amp; Data!CI55,
  IF(T13&lt;&gt;"",
     _xlfn.LET(
       _xlpm.cleaned,
       IF(
         OR(COUNTIF(T13,"L*"), COUNTIF(T13,"X*")),
         SUBSTITUTE(SUBSTITUTE(SUBSTITUTE(SUBSTITUTE(T13,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COUNTIF(T13, "*"&amp;$BN$3&amp;"*"),
           COUNTIF(T13, "*"&amp;$BN$4&amp;"*"),
           COUNTIF(T13, "*"&amp;$BN$5&amp;"*"),
           COUNTIF(T13, "*"&amp;$BN$6&amp;"*"),
           COUNTIF(T13, "*"&amp;$BN$7&amp;"*")
         ),
         FALSE,
         TRUE
       ),
       _xlpm.noDigits,
       SUM(--ISNUMBER(FIND({0,1,2,3,4,5,6,7,8,9}, _xlpm.cleaned))) = 0,
       _xlpm.cleaned &amp; IF(_xlpm.needsBR * _xlpm.noDigits, Data!CI55, "")
     ),
  "")
)</f>
        <v/>
      </c>
      <c r="U52" s="41" t="str" cm="1">
        <f t="array" ref="U52">IF(
  AND($Y$57=1, U70&lt;&gt;""),
  "O" &amp; Data!CJ55,
  IF(U13&lt;&gt;"",
     _xlfn.LET(
       _xlpm.cleaned,
       IF(
         OR(COUNTIF(U13,"L*"), COUNTIF(U13,"X*")),
         SUBSTITUTE(SUBSTITUTE(SUBSTITUTE(SUBSTITUTE(U13,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COUNTIF(U13, "*"&amp;$BN$3&amp;"*"),
           COUNTIF(U13, "*"&amp;$BN$4&amp;"*"),
           COUNTIF(U13, "*"&amp;$BN$5&amp;"*"),
           COUNTIF(U13, "*"&amp;$BN$6&amp;"*"),
           COUNTIF(U13, "*"&amp;$BN$7&amp;"*")
         ),
         FALSE,
         TRUE
       ),
       _xlpm.noDigits,
       SUM(--ISNUMBER(FIND({0,1,2,3,4,5,6,7,8,9}, _xlpm.cleaned))) = 0,
       _xlpm.cleaned &amp; IF(_xlpm.needsBR * _xlpm.noDigits, Data!CJ55, "")
     ),
  "")
)</f>
        <v/>
      </c>
      <c r="V52" s="41" t="str" cm="1">
        <f t="array" ref="V52">IF(
  AND($Y$57=1, V70&lt;&gt;""),
  "O" &amp; Data!CK55,
  IF(V13&lt;&gt;"",
     _xlfn.LET(
       _xlpm.cleaned,
       IF(
         OR(COUNTIF(V13,"L*"), COUNTIF(V13,"X*")),
         SUBSTITUTE(SUBSTITUTE(SUBSTITUTE(SUBSTITUTE(V13,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COUNTIF(V13, "*"&amp;$BN$3&amp;"*"),
           COUNTIF(V13, "*"&amp;$BN$4&amp;"*"),
           COUNTIF(V13, "*"&amp;$BN$5&amp;"*"),
           COUNTIF(V13, "*"&amp;$BN$6&amp;"*"),
           COUNTIF(V13, "*"&amp;$BN$7&amp;"*")
         ),
         FALSE,
         TRUE
       ),
       _xlpm.noDigits,
       SUM(--ISNUMBER(FIND({0,1,2,3,4,5,6,7,8,9}, _xlpm.cleaned))) = 0,
       _xlpm.cleaned &amp; IF(_xlpm.needsBR * _xlpm.noDigits, Data!CK55, "")
     ),
  "")
)</f>
        <v/>
      </c>
      <c r="W52" s="41" t="str" cm="1">
        <f t="array" ref="W52">IF(
  AND($Y$57=1, W70&lt;&gt;""),
  "O" &amp; Data!CL55,
  IF(W13&lt;&gt;"",
     _xlfn.LET(
       _xlpm.cleaned,
       IF(
         OR(COUNTIF(W13,"L*"), COUNTIF(W13,"X*")),
         SUBSTITUTE(SUBSTITUTE(SUBSTITUTE(SUBSTITUTE(W13,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COUNTIF(W13, "*"&amp;$BN$3&amp;"*"),
           COUNTIF(W13, "*"&amp;$BN$4&amp;"*"),
           COUNTIF(W13, "*"&amp;$BN$5&amp;"*"),
           COUNTIF(W13, "*"&amp;$BN$6&amp;"*"),
           COUNTIF(W13, "*"&amp;$BN$7&amp;"*")
         ),
         FALSE,
         TRUE
       ),
       _xlpm.noDigits,
       SUM(--ISNUMBER(FIND({0,1,2,3,4,5,6,7,8,9}, _xlpm.cleaned))) = 0,
       _xlpm.cleaned &amp; IF(_xlpm.needsBR * _xlpm.noDigits, Data!CL55, "")
     ),
  "")
)</f>
        <v/>
      </c>
      <c r="X52" s="41" t="str" cm="1">
        <f t="array" ref="X52">IF(
  AND($Y$57=1, X70&lt;&gt;""),
  "O" &amp; Data!CM55,
  IF(X13&lt;&gt;"",
     _xlfn.LET(
       _xlpm.cleaned,
       IF(
         OR(COUNTIF(X13,"L*"), COUNTIF(X13,"X*")),
         SUBSTITUTE(SUBSTITUTE(SUBSTITUTE(SUBSTITUTE(X13,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COUNTIF(X13, "*"&amp;$BN$3&amp;"*"),
           COUNTIF(X13, "*"&amp;$BN$4&amp;"*"),
           COUNTIF(X13, "*"&amp;$BN$5&amp;"*"),
           COUNTIF(X13, "*"&amp;$BN$6&amp;"*"),
           COUNTIF(X13, "*"&amp;$BN$7&amp;"*")
         ),
         FALSE,
         TRUE
       ),
       _xlpm.noDigits,
       SUM(--ISNUMBER(FIND({0,1,2,3,4,5,6,7,8,9}, _xlpm.cleaned))) = 0,
       _xlpm.cleaned &amp; IF(_xlpm.needsBR * _xlpm.noDigits, Data!CM55, "")
     ),
  "")
)</f>
        <v/>
      </c>
      <c r="Y52" s="41" t="str" cm="1">
        <f t="array" ref="Y52">IF(
  AND($Y$57=1, Y70&lt;&gt;""),
  "O" &amp; Data!CN55,
  IF(Y13&lt;&gt;"",
     _xlfn.LET(
       _xlpm.cleaned,
       IF(
         OR(COUNTIF(Y13,"L*"), COUNTIF(Y13,"X*")),
         SUBSTITUTE(SUBSTITUTE(SUBSTITUTE(SUBSTITUTE(Y13,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COUNTIF(Y13, "*"&amp;$BN$3&amp;"*"),
           COUNTIF(Y13, "*"&amp;$BN$4&amp;"*"),
           COUNTIF(Y13, "*"&amp;$BN$5&amp;"*"),
           COUNTIF(Y13, "*"&amp;$BN$6&amp;"*"),
           COUNTIF(Y13, "*"&amp;$BN$7&amp;"*")
         ),
         FALSE,
         TRUE
       ),
       _xlpm.noDigits,
       SUM(--ISNUMBER(FIND({0,1,2,3,4,5,6,7,8,9}, _xlpm.cleaned))) = 0,
       _xlpm.cleaned &amp; IF(_xlpm.needsBR * _xlpm.noDigits, Data!CN55, "")
     ),
  "")
)</f>
        <v/>
      </c>
      <c r="Z52" s="41" t="str" cm="1">
        <f t="array" ref="Z52">IF(
  AND($Y$57=1, Z70&lt;&gt;""),
  "O" &amp; Data!CO55,
  IF(Z13&lt;&gt;"",
     _xlfn.LET(
       _xlpm.cleaned,
       IF(
         OR(COUNTIF(Z13,"L*"), COUNTIF(Z13,"X*")),
         SUBSTITUTE(SUBSTITUTE(SUBSTITUTE(SUBSTITUTE(Z13,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COUNTIF(Z13, "*"&amp;$BN$3&amp;"*"),
           COUNTIF(Z13, "*"&amp;$BN$4&amp;"*"),
           COUNTIF(Z13, "*"&amp;$BN$5&amp;"*"),
           COUNTIF(Z13, "*"&amp;$BN$6&amp;"*"),
           COUNTIF(Z13, "*"&amp;$BN$7&amp;"*")
         ),
         FALSE,
         TRUE
       ),
       _xlpm.noDigits,
       SUM(--ISNUMBER(FIND({0,1,2,3,4,5,6,7,8,9}, _xlpm.cleaned))) = 0,
       _xlpm.cleaned &amp; IF(_xlpm.needsBR * _xlpm.noDigits, Data!CO55, "")
     ),
  "")
)</f>
        <v/>
      </c>
      <c r="AA52" s="41" t="str" cm="1">
        <f t="array" ref="AA52">IF(
  AND($Y$57=1, AA70&lt;&gt;""),
  "O" &amp; Data!CP55,
  IF(AA13&lt;&gt;"",
     _xlfn.LET(
       _xlpm.cleaned,
       IF(
         OR(COUNTIF(AA13,"L*"), COUNTIF(AA13,"X*")),
         SUBSTITUTE(SUBSTITUTE(SUBSTITUTE(SUBSTITUTE(AA13,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COUNTIF(AA13, "*"&amp;$BN$3&amp;"*"),
           COUNTIF(AA13, "*"&amp;$BN$4&amp;"*"),
           COUNTIF(AA13, "*"&amp;$BN$5&amp;"*"),
           COUNTIF(AA13, "*"&amp;$BN$6&amp;"*"),
           COUNTIF(AA13, "*"&amp;$BN$7&amp;"*")
         ),
         FALSE,
         TRUE
       ),
       _xlpm.noDigits,
       SUM(--ISNUMBER(FIND({0,1,2,3,4,5,6,7,8,9}, _xlpm.cleaned))) = 0,
       _xlpm.cleaned &amp; IF(_xlpm.needsBR * _xlpm.noDigits, Data!CP55, "")
     ),
  "")
)</f>
        <v/>
      </c>
      <c r="AB52" s="41" t="str" cm="1">
        <f t="array" ref="AB52">IF(
  AND($Y$57=1, AB70&lt;&gt;""),
  "O" &amp; Data!CQ55,
  IF(AB13&lt;&gt;"",
     _xlfn.LET(
       _xlpm.cleaned,
       IF(
         OR(COUNTIF(AB13,"L*"), COUNTIF(AB13,"X*")),
         SUBSTITUTE(SUBSTITUTE(SUBSTITUTE(SUBSTITUTE(AB13,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COUNTIF(AB13, "*"&amp;$BN$3&amp;"*"),
           COUNTIF(AB13, "*"&amp;$BN$4&amp;"*"),
           COUNTIF(AB13, "*"&amp;$BN$5&amp;"*"),
           COUNTIF(AB13, "*"&amp;$BN$6&amp;"*"),
           COUNTIF(AB13, "*"&amp;$BN$7&amp;"*")
         ),
         FALSE,
         TRUE
       ),
       _xlpm.noDigits,
       SUM(--ISNUMBER(FIND({0,1,2,3,4,5,6,7,8,9}, _xlpm.cleaned))) = 0,
       _xlpm.cleaned &amp; IF(_xlpm.needsBR * _xlpm.noDigits, Data!CQ55, "")
     ),
  "")
)</f>
        <v/>
      </c>
      <c r="AC52" s="41" t="str" cm="1">
        <f t="array" ref="AC52">IF(
  AND($Y$57=1, AC70&lt;&gt;""),
  "O" &amp; Data!CR55,
  IF(AC13&lt;&gt;"",
     _xlfn.LET(
       _xlpm.cleaned,
       IF(
         OR(COUNTIF(AC13,"L*"), COUNTIF(AC13,"X*")),
         SUBSTITUTE(SUBSTITUTE(SUBSTITUTE(SUBSTITUTE(AC13,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COUNTIF(AC13, "*"&amp;$BN$3&amp;"*"),
           COUNTIF(AC13, "*"&amp;$BN$4&amp;"*"),
           COUNTIF(AC13, "*"&amp;$BN$5&amp;"*"),
           COUNTIF(AC13, "*"&amp;$BN$6&amp;"*"),
           COUNTIF(AC13, "*"&amp;$BN$7&amp;"*")
         ),
         FALSE,
         TRUE
       ),
       _xlpm.noDigits,
       SUM(--ISNUMBER(FIND({0,1,2,3,4,5,6,7,8,9}, _xlpm.cleaned))) = 0,
       _xlpm.cleaned &amp; IF(_xlpm.needsBR * _xlpm.noDigits, Data!CR55, "")
     ),
  "")
)</f>
        <v/>
      </c>
      <c r="AD52" s="41" t="str" cm="1">
        <f t="array" ref="AD52">IF(
  AND($Y$57=1, AD70&lt;&gt;""),
  "O" &amp; Data!CS55,
  IF(AD13&lt;&gt;"",
     _xlfn.LET(
       _xlpm.cleaned,
       IF(
         OR(COUNTIF(AD13,"L*"), COUNTIF(AD13,"X*")),
         SUBSTITUTE(SUBSTITUTE(SUBSTITUTE(SUBSTITUTE(AD13,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COUNTIF(AD13, "*"&amp;$BN$3&amp;"*"),
           COUNTIF(AD13, "*"&amp;$BN$4&amp;"*"),
           COUNTIF(AD13, "*"&amp;$BN$5&amp;"*"),
           COUNTIF(AD13, "*"&amp;$BN$6&amp;"*"),
           COUNTIF(AD13, "*"&amp;$BN$7&amp;"*")
         ),
         FALSE,
         TRUE
       ),
       _xlpm.noDigits,
       SUM(--ISNUMBER(FIND({0,1,2,3,4,5,6,7,8,9}, _xlpm.cleaned))) = 0,
       _xlpm.cleaned &amp; IF(_xlpm.needsBR * _xlpm.noDigits, Data!CS55, "")
     ),
  "")
)</f>
        <v/>
      </c>
      <c r="AE52" s="41" t="str" cm="1">
        <f t="array" ref="AE52">IF(
  AND($Y$57=1, AE70&lt;&gt;""),
  "O" &amp; Data!CT55,
  IF(AE13&lt;&gt;"",
     _xlfn.LET(
       _xlpm.cleaned,
       IF(
         OR(COUNTIF(AE13,"L*"), COUNTIF(AE13,"X*")),
         SUBSTITUTE(SUBSTITUTE(SUBSTITUTE(SUBSTITUTE(AE13,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COUNTIF(AE13, "*"&amp;$BN$3&amp;"*"),
           COUNTIF(AE13, "*"&amp;$BN$4&amp;"*"),
           COUNTIF(AE13, "*"&amp;$BN$5&amp;"*"),
           COUNTIF(AE13, "*"&amp;$BN$6&amp;"*"),
           COUNTIF(AE13, "*"&amp;$BN$7&amp;"*")
         ),
         FALSE,
         TRUE
       ),
       _xlpm.noDigits,
       SUM(--ISNUMBER(FIND({0,1,2,3,4,5,6,7,8,9}, _xlpm.cleaned))) = 0,
       _xlpm.cleaned &amp; IF(_xlpm.needsBR * _xlpm.noDigits, Data!CT55, "")
     ),
  "")
)</f>
        <v/>
      </c>
      <c r="AF52" s="41" t="str" cm="1">
        <f t="array" ref="AF52">IF(
  AND($Y$57=1, AF70&lt;&gt;""),
  "O" &amp; Data!CU55,
  IF(AF13&lt;&gt;"",
     _xlfn.LET(
       _xlpm.cleaned,
       IF(
         OR(COUNTIF(AF13,"L*"), COUNTIF(AF13,"X*")),
         SUBSTITUTE(SUBSTITUTE(SUBSTITUTE(SUBSTITUTE(AF13,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COUNTIF(AF13, "*"&amp;$BN$3&amp;"*"),
           COUNTIF(AF13, "*"&amp;$BN$4&amp;"*"),
           COUNTIF(AF13, "*"&amp;$BN$5&amp;"*"),
           COUNTIF(AF13, "*"&amp;$BN$6&amp;"*"),
           COUNTIF(AF13, "*"&amp;$BN$7&amp;"*")
         ),
         FALSE,
         TRUE
       ),
       _xlpm.noDigits,
       SUM(--ISNUMBER(FIND({0,1,2,3,4,5,6,7,8,9}, _xlpm.cleaned))) = 0,
       _xlpm.cleaned &amp; IF(_xlpm.needsBR * _xlpm.noDigits, Data!CU55, "")
     ),
  "")
)</f>
        <v/>
      </c>
      <c r="AG52" s="41" t="str" cm="1">
        <f t="array" ref="AG52">IF(
  AND($Y$57=1, AG70&lt;&gt;""),
  "O" &amp; Data!CV55,
  IF(AG13&lt;&gt;"",
     _xlfn.LET(
       _xlpm.cleaned,
       IF(
         OR(COUNTIF(AG13,"L*"), COUNTIF(AG13,"X*")),
         SUBSTITUTE(SUBSTITUTE(SUBSTITUTE(SUBSTITUTE(AG13,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COUNTIF(AG13, "*"&amp;$BN$3&amp;"*"),
           COUNTIF(AG13, "*"&amp;$BN$4&amp;"*"),
           COUNTIF(AG13, "*"&amp;$BN$5&amp;"*"),
           COUNTIF(AG13, "*"&amp;$BN$6&amp;"*"),
           COUNTIF(AG13, "*"&amp;$BN$7&amp;"*")
         ),
         FALSE,
         TRUE
       ),
       _xlpm.noDigits,
       SUM(--ISNUMBER(FIND({0,1,2,3,4,5,6,7,8,9}, _xlpm.cleaned))) = 0,
       _xlpm.cleaned &amp; IF(_xlpm.needsBR * _xlpm.noDigits, Data!CV55, "")
     ),
  "")
)</f>
        <v/>
      </c>
      <c r="AH52" s="41" t="str" cm="1">
        <f t="array" ref="AH52">IF(
  AND($Y$57=1, AH70&lt;&gt;""),
  "O" &amp; Data!CW55,
  IF(AH13&lt;&gt;"",
     _xlfn.LET(
       _xlpm.cleaned,
       IF(
         OR(COUNTIF(AH13,"L*"), COUNTIF(AH13,"X*")),
         SUBSTITUTE(SUBSTITUTE(SUBSTITUTE(SUBSTITUTE(AH13,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COUNTIF(AH13, "*"&amp;$BN$3&amp;"*"),
           COUNTIF(AH13, "*"&amp;$BN$4&amp;"*"),
           COUNTIF(AH13, "*"&amp;$BN$5&amp;"*"),
           COUNTIF(AH13, "*"&amp;$BN$6&amp;"*"),
           COUNTIF(AH13, "*"&amp;$BN$7&amp;"*")
         ),
         FALSE,
         TRUE
       ),
       _xlpm.noDigits,
       SUM(--ISNUMBER(FIND({0,1,2,3,4,5,6,7,8,9}, _xlpm.cleaned))) = 0,
       _xlpm.cleaned &amp; IF(_xlpm.needsBR * _xlpm.noDigits, Data!CW55, "")
     ),
  "")
)</f>
        <v/>
      </c>
      <c r="AI52" s="41" t="str" cm="1">
        <f t="array" ref="AI52">IF(
  AND($Y$57=1, AI70&lt;&gt;""),
  "O" &amp; Data!CX55,
  IF(AI13&lt;&gt;"",
     _xlfn.LET(
       _xlpm.cleaned,
       IF(
         OR(COUNTIF(AI13,"L*"), COUNTIF(AI13,"X*")),
         SUBSTITUTE(SUBSTITUTE(SUBSTITUTE(SUBSTITUTE(AI13,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COUNTIF(AI13, "*"&amp;$BN$3&amp;"*"),
           COUNTIF(AI13, "*"&amp;$BN$4&amp;"*"),
           COUNTIF(AI13, "*"&amp;$BN$5&amp;"*"),
           COUNTIF(AI13, "*"&amp;$BN$6&amp;"*"),
           COUNTIF(AI13, "*"&amp;$BN$7&amp;"*")
         ),
         FALSE,
         TRUE
       ),
       _xlpm.noDigits,
       SUM(--ISNUMBER(FIND({0,1,2,3,4,5,6,7,8,9}, _xlpm.cleaned))) = 0,
       _xlpm.cleaned &amp; IF(_xlpm.needsBR * _xlpm.noDigits, Data!CX55, "")
     ),
  "")
)</f>
        <v/>
      </c>
      <c r="AJ52" s="41" t="str" cm="1">
        <f t="array" ref="AJ52">IF(
  AND($Y$57=1, AJ70&lt;&gt;""),
  "O" &amp; Data!CY55,
  IF(AJ13&lt;&gt;"",
     _xlfn.LET(
       _xlpm.cleaned,
       IF(
         OR(COUNTIF(AJ13,"L*"), COUNTIF(AJ13,"X*")),
         SUBSTITUTE(SUBSTITUTE(SUBSTITUTE(SUBSTITUTE(AJ13,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COUNTIF(AJ13, "*"&amp;$BN$3&amp;"*"),
           COUNTIF(AJ13, "*"&amp;$BN$4&amp;"*"),
           COUNTIF(AJ13, "*"&amp;$BN$5&amp;"*"),
           COUNTIF(AJ13, "*"&amp;$BN$6&amp;"*"),
           COUNTIF(AJ13, "*"&amp;$BN$7&amp;"*")
         ),
         FALSE,
         TRUE
       ),
       _xlpm.noDigits,
       SUM(--ISNUMBER(FIND({0,1,2,3,4,5,6,7,8,9}, _xlpm.cleaned))) = 0,
       _xlpm.cleaned &amp; IF(_xlpm.needsBR * _xlpm.noDigits, Data!CY55, "")
     ),
  "")
)</f>
        <v/>
      </c>
    </row>
    <row r="53" spans="1:69" ht="23.25" customHeight="1" x14ac:dyDescent="0.35">
      <c r="A53" s="1196"/>
      <c r="B53" s="22">
        <v>11</v>
      </c>
      <c r="C53" s="41" t="str" cm="1">
        <f t="array" ref="C53">IF(
  AND($Y$57=1, C71&lt;&gt;""),
  "O" &amp; Data!BR56,
  IF(C14&lt;&gt;"",
     _xlfn.LET(
       _xlpm.cleaned,
       IF(
         OR(COUNTIF(C14,"L*"), COUNTIF(C14,"X*")),
         SUBSTITUTE(SUBSTITUTE(SUBSTITUTE(SUBSTITUTE(C14,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COUNTIF(C14, "*"&amp;$BN$3&amp;"*"),
           COUNTIF(C14, "*"&amp;$BN$4&amp;"*"),
           COUNTIF(C14, "*"&amp;$BN$5&amp;"*"),
           COUNTIF(C14, "*"&amp;$BN$6&amp;"*"),
           COUNTIF(C14, "*"&amp;$BN$7&amp;"*")
         ),
         FALSE,
         TRUE
       ),
       _xlpm.noDigits,
       SUM(--ISNUMBER(FIND({0,1,2,3,4,5,6,7,8,9}, _xlpm.cleaned))) = 0,
       _xlpm.cleaned &amp; IF(_xlpm.needsBR * _xlpm.noDigits, Data!BR56, "")
     ),
  "")
)</f>
        <v/>
      </c>
      <c r="D53" s="41" t="str" cm="1">
        <f t="array" ref="D53">IF(
  AND($Y$57=1, D71&lt;&gt;""),
  "O" &amp; Data!BS56,
  IF(D14&lt;&gt;"",
     _xlfn.LET(
       _xlpm.cleaned,
       IF(
         OR(COUNTIF(D14,"L*"), COUNTIF(D14,"X*")),
         SUBSTITUTE(SUBSTITUTE(SUBSTITUTE(SUBSTITUTE(D14,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COUNTIF(D14, "*"&amp;$BN$3&amp;"*"),
           COUNTIF(D14, "*"&amp;$BN$4&amp;"*"),
           COUNTIF(D14, "*"&amp;$BN$5&amp;"*"),
           COUNTIF(D14, "*"&amp;$BN$6&amp;"*"),
           COUNTIF(D14, "*"&amp;$BN$7&amp;"*")
         ),
         FALSE,
         TRUE
       ),
       _xlpm.noDigits,
       SUM(--ISNUMBER(FIND({0,1,2,3,4,5,6,7,8,9}, _xlpm.cleaned))) = 0,
       _xlpm.cleaned &amp; IF(_xlpm.needsBR * _xlpm.noDigits, Data!BS56, "")
     ),
  "")
)</f>
        <v/>
      </c>
      <c r="E53" s="41" t="str" cm="1">
        <f t="array" ref="E53">IF(
  AND($Y$57=1, E71&lt;&gt;""),
  "O" &amp; Data!BT56,
  IF(E14&lt;&gt;"",
     _xlfn.LET(
       _xlpm.cleaned,
       IF(
         OR(COUNTIF(E14,"L*"), COUNTIF(E14,"X*")),
         SUBSTITUTE(SUBSTITUTE(SUBSTITUTE(SUBSTITUTE(E14,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COUNTIF(E14, "*"&amp;$BN$3&amp;"*"),
           COUNTIF(E14, "*"&amp;$BN$4&amp;"*"),
           COUNTIF(E14, "*"&amp;$BN$5&amp;"*"),
           COUNTIF(E14, "*"&amp;$BN$6&amp;"*"),
           COUNTIF(E14, "*"&amp;$BN$7&amp;"*")
         ),
         FALSE,
         TRUE
       ),
       _xlpm.noDigits,
       SUM(--ISNUMBER(FIND({0,1,2,3,4,5,6,7,8,9}, _xlpm.cleaned))) = 0,
       _xlpm.cleaned &amp; IF(_xlpm.needsBR * _xlpm.noDigits, Data!BT56, "")
     ),
  "")
)</f>
        <v/>
      </c>
      <c r="F53" s="41" t="str" cm="1">
        <f t="array" ref="F53">IF(
  AND($Y$57=1, F71&lt;&gt;""),
  "O" &amp; Data!BU56,
  IF(F14&lt;&gt;"",
     _xlfn.LET(
       _xlpm.cleaned,
       IF(
         OR(COUNTIF(F14,"L*"), COUNTIF(F14,"X*")),
         SUBSTITUTE(SUBSTITUTE(SUBSTITUTE(SUBSTITUTE(F14,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COUNTIF(F14, "*"&amp;$BN$3&amp;"*"),
           COUNTIF(F14, "*"&amp;$BN$4&amp;"*"),
           COUNTIF(F14, "*"&amp;$BN$5&amp;"*"),
           COUNTIF(F14, "*"&amp;$BN$6&amp;"*"),
           COUNTIF(F14, "*"&amp;$BN$7&amp;"*")
         ),
         FALSE,
         TRUE
       ),
       _xlpm.noDigits,
       SUM(--ISNUMBER(FIND({0,1,2,3,4,5,6,7,8,9}, _xlpm.cleaned))) = 0,
       _xlpm.cleaned &amp; IF(_xlpm.needsBR * _xlpm.noDigits, Data!BU56, "")
     ),
  "")
)</f>
        <v/>
      </c>
      <c r="G53" s="41" t="str" cm="1">
        <f t="array" ref="G53">IF(
  AND($Y$57=1, G71&lt;&gt;""),
  "O" &amp; Data!BV56,
  IF(G14&lt;&gt;"",
     _xlfn.LET(
       _xlpm.cleaned,
       IF(
         OR(COUNTIF(G14,"L*"), COUNTIF(G14,"X*")),
         SUBSTITUTE(SUBSTITUTE(SUBSTITUTE(SUBSTITUTE(G14,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COUNTIF(G14, "*"&amp;$BN$3&amp;"*"),
           COUNTIF(G14, "*"&amp;$BN$4&amp;"*"),
           COUNTIF(G14, "*"&amp;$BN$5&amp;"*"),
           COUNTIF(G14, "*"&amp;$BN$6&amp;"*"),
           COUNTIF(G14, "*"&amp;$BN$7&amp;"*")
         ),
         FALSE,
         TRUE
       ),
       _xlpm.noDigits,
       SUM(--ISNUMBER(FIND({0,1,2,3,4,5,6,7,8,9}, _xlpm.cleaned))) = 0,
       _xlpm.cleaned &amp; IF(_xlpm.needsBR * _xlpm.noDigits, Data!BV56, "")
     ),
  "")
)</f>
        <v/>
      </c>
      <c r="H53" s="41" t="str" cm="1">
        <f t="array" ref="H53">IF(
  AND($Y$57=1, H71&lt;&gt;""),
  "O" &amp; Data!BW56,
  IF(H14&lt;&gt;"",
     _xlfn.LET(
       _xlpm.cleaned,
       IF(
         OR(COUNTIF(H14,"L*"), COUNTIF(H14,"X*")),
         SUBSTITUTE(SUBSTITUTE(SUBSTITUTE(SUBSTITUTE(H14,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COUNTIF(H14, "*"&amp;$BN$3&amp;"*"),
           COUNTIF(H14, "*"&amp;$BN$4&amp;"*"),
           COUNTIF(H14, "*"&amp;$BN$5&amp;"*"),
           COUNTIF(H14, "*"&amp;$BN$6&amp;"*"),
           COUNTIF(H14, "*"&amp;$BN$7&amp;"*")
         ),
         FALSE,
         TRUE
       ),
       _xlpm.noDigits,
       SUM(--ISNUMBER(FIND({0,1,2,3,4,5,6,7,8,9}, _xlpm.cleaned))) = 0,
       _xlpm.cleaned &amp; IF(_xlpm.needsBR * _xlpm.noDigits, Data!BW56, "")
     ),
  "")
)</f>
        <v/>
      </c>
      <c r="I53" s="41" t="str" cm="1">
        <f t="array" ref="I53">IF(
  AND($Y$57=1, I71&lt;&gt;""),
  "O" &amp; Data!BX56,
  IF(I14&lt;&gt;"",
     _xlfn.LET(
       _xlpm.cleaned,
       IF(
         OR(COUNTIF(I14,"L*"), COUNTIF(I14,"X*")),
         SUBSTITUTE(SUBSTITUTE(SUBSTITUTE(SUBSTITUTE(I14,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COUNTIF(I14, "*"&amp;$BN$3&amp;"*"),
           COUNTIF(I14, "*"&amp;$BN$4&amp;"*"),
           COUNTIF(I14, "*"&amp;$BN$5&amp;"*"),
           COUNTIF(I14, "*"&amp;$BN$6&amp;"*"),
           COUNTIF(I14, "*"&amp;$BN$7&amp;"*")
         ),
         FALSE,
         TRUE
       ),
       _xlpm.noDigits,
       SUM(--ISNUMBER(FIND({0,1,2,3,4,5,6,7,8,9}, _xlpm.cleaned))) = 0,
       _xlpm.cleaned &amp; IF(_xlpm.needsBR * _xlpm.noDigits, Data!BX56, "")
     ),
  "")
)</f>
        <v/>
      </c>
      <c r="J53" s="41" t="str" cm="1">
        <f t="array" ref="J53">IF(
  AND($Y$57=1, J71&lt;&gt;""),
  "O" &amp; Data!BY56,
  IF(J14&lt;&gt;"",
     _xlfn.LET(
       _xlpm.cleaned,
       IF(
         OR(COUNTIF(J14,"L*"), COUNTIF(J14,"X*")),
         SUBSTITUTE(SUBSTITUTE(SUBSTITUTE(SUBSTITUTE(J14,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COUNTIF(J14, "*"&amp;$BN$3&amp;"*"),
           COUNTIF(J14, "*"&amp;$BN$4&amp;"*"),
           COUNTIF(J14, "*"&amp;$BN$5&amp;"*"),
           COUNTIF(J14, "*"&amp;$BN$6&amp;"*"),
           COUNTIF(J14, "*"&amp;$BN$7&amp;"*")
         ),
         FALSE,
         TRUE
       ),
       _xlpm.noDigits,
       SUM(--ISNUMBER(FIND({0,1,2,3,4,5,6,7,8,9}, _xlpm.cleaned))) = 0,
       _xlpm.cleaned &amp; IF(_xlpm.needsBR * _xlpm.noDigits, Data!BY56, "")
     ),
  "")
)</f>
        <v/>
      </c>
      <c r="K53" s="41" t="str" cm="1">
        <f t="array" ref="K53">IF(
  AND($Y$57=1, K71&lt;&gt;""),
  "O" &amp; Data!BZ56,
  IF(K14&lt;&gt;"",
     _xlfn.LET(
       _xlpm.cleaned,
       IF(
         OR(COUNTIF(K14,"L*"), COUNTIF(K14,"X*")),
         SUBSTITUTE(SUBSTITUTE(SUBSTITUTE(SUBSTITUTE(K14,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COUNTIF(K14, "*"&amp;$BN$3&amp;"*"),
           COUNTIF(K14, "*"&amp;$BN$4&amp;"*"),
           COUNTIF(K14, "*"&amp;$BN$5&amp;"*"),
           COUNTIF(K14, "*"&amp;$BN$6&amp;"*"),
           COUNTIF(K14, "*"&amp;$BN$7&amp;"*")
         ),
         FALSE,
         TRUE
       ),
       _xlpm.noDigits,
       SUM(--ISNUMBER(FIND({0,1,2,3,4,5,6,7,8,9}, _xlpm.cleaned))) = 0,
       _xlpm.cleaned &amp; IF(_xlpm.needsBR * _xlpm.noDigits, Data!BZ56, "")
     ),
  "")
)</f>
        <v/>
      </c>
      <c r="L53" s="41" t="str" cm="1">
        <f t="array" ref="L53">IF(
  AND($Y$57=1, L71&lt;&gt;""),
  "O" &amp; Data!CA56,
  IF(L14&lt;&gt;"",
     _xlfn.LET(
       _xlpm.cleaned,
       IF(
         OR(COUNTIF(L14,"L*"), COUNTIF(L14,"X*")),
         SUBSTITUTE(SUBSTITUTE(SUBSTITUTE(SUBSTITUTE(L14,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COUNTIF(L14, "*"&amp;$BN$3&amp;"*"),
           COUNTIF(L14, "*"&amp;$BN$4&amp;"*"),
           COUNTIF(L14, "*"&amp;$BN$5&amp;"*"),
           COUNTIF(L14, "*"&amp;$BN$6&amp;"*"),
           COUNTIF(L14, "*"&amp;$BN$7&amp;"*")
         ),
         FALSE,
         TRUE
       ),
       _xlpm.noDigits,
       SUM(--ISNUMBER(FIND({0,1,2,3,4,5,6,7,8,9}, _xlpm.cleaned))) = 0,
       _xlpm.cleaned &amp; IF(_xlpm.needsBR * _xlpm.noDigits, Data!CA56, "")
     ),
  "")
)</f>
        <v/>
      </c>
      <c r="M53" s="41" t="str" cm="1">
        <f t="array" ref="M53">IF(
  AND($Y$57=1, M71&lt;&gt;""),
  "O" &amp; Data!CB56,
  IF(M14&lt;&gt;"",
     _xlfn.LET(
       _xlpm.cleaned,
       IF(
         OR(COUNTIF(M14,"L*"), COUNTIF(M14,"X*")),
         SUBSTITUTE(SUBSTITUTE(SUBSTITUTE(SUBSTITUTE(M14,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COUNTIF(M14, "*"&amp;$BN$3&amp;"*"),
           COUNTIF(M14, "*"&amp;$BN$4&amp;"*"),
           COUNTIF(M14, "*"&amp;$BN$5&amp;"*"),
           COUNTIF(M14, "*"&amp;$BN$6&amp;"*"),
           COUNTIF(M14, "*"&amp;$BN$7&amp;"*")
         ),
         FALSE,
         TRUE
       ),
       _xlpm.noDigits,
       SUM(--ISNUMBER(FIND({0,1,2,3,4,5,6,7,8,9}, _xlpm.cleaned))) = 0,
       _xlpm.cleaned &amp; IF(_xlpm.needsBR * _xlpm.noDigits, Data!CB56, "")
     ),
  "")
)</f>
        <v/>
      </c>
      <c r="N53" s="41" t="str" cm="1">
        <f t="array" ref="N53">IF(
  AND($Y$57=1, N71&lt;&gt;""),
  "O" &amp; Data!CC56,
  IF(N14&lt;&gt;"",
     _xlfn.LET(
       _xlpm.cleaned,
       IF(
         OR(COUNTIF(N14,"L*"), COUNTIF(N14,"X*")),
         SUBSTITUTE(SUBSTITUTE(SUBSTITUTE(SUBSTITUTE(N14,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COUNTIF(N14, "*"&amp;$BN$3&amp;"*"),
           COUNTIF(N14, "*"&amp;$BN$4&amp;"*"),
           COUNTIF(N14, "*"&amp;$BN$5&amp;"*"),
           COUNTIF(N14, "*"&amp;$BN$6&amp;"*"),
           COUNTIF(N14, "*"&amp;$BN$7&amp;"*")
         ),
         FALSE,
         TRUE
       ),
       _xlpm.noDigits,
       SUM(--ISNUMBER(FIND({0,1,2,3,4,5,6,7,8,9}, _xlpm.cleaned))) = 0,
       _xlpm.cleaned &amp; IF(_xlpm.needsBR * _xlpm.noDigits, Data!CC56, "")
     ),
  "")
)</f>
        <v/>
      </c>
      <c r="O53" s="41" t="str" cm="1">
        <f t="array" ref="O53">IF(
  AND($Y$57=1, O71&lt;&gt;""),
  "O" &amp; Data!CD56,
  IF(O14&lt;&gt;"",
     _xlfn.LET(
       _xlpm.cleaned,
       IF(
         OR(COUNTIF(O14,"L*"), COUNTIF(O14,"X*")),
         SUBSTITUTE(SUBSTITUTE(SUBSTITUTE(SUBSTITUTE(O14,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COUNTIF(O14, "*"&amp;$BN$3&amp;"*"),
           COUNTIF(O14, "*"&amp;$BN$4&amp;"*"),
           COUNTIF(O14, "*"&amp;$BN$5&amp;"*"),
           COUNTIF(O14, "*"&amp;$BN$6&amp;"*"),
           COUNTIF(O14, "*"&amp;$BN$7&amp;"*")
         ),
         FALSE,
         TRUE
       ),
       _xlpm.noDigits,
       SUM(--ISNUMBER(FIND({0,1,2,3,4,5,6,7,8,9}, _xlpm.cleaned))) = 0,
       _xlpm.cleaned &amp; IF(_xlpm.needsBR * _xlpm.noDigits, Data!CD56, "")
     ),
  "")
)</f>
        <v/>
      </c>
      <c r="P53" s="41" t="str" cm="1">
        <f t="array" ref="P53">IF(
  AND($Y$57=1, P71&lt;&gt;""),
  "O" &amp; Data!CE56,
  IF(P14&lt;&gt;"",
     _xlfn.LET(
       _xlpm.cleaned,
       IF(
         OR(COUNTIF(P14,"L*"), COUNTIF(P14,"X*")),
         SUBSTITUTE(SUBSTITUTE(SUBSTITUTE(SUBSTITUTE(P14,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COUNTIF(P14, "*"&amp;$BN$3&amp;"*"),
           COUNTIF(P14, "*"&amp;$BN$4&amp;"*"),
           COUNTIF(P14, "*"&amp;$BN$5&amp;"*"),
           COUNTIF(P14, "*"&amp;$BN$6&amp;"*"),
           COUNTIF(P14, "*"&amp;$BN$7&amp;"*")
         ),
         FALSE,
         TRUE
       ),
       _xlpm.noDigits,
       SUM(--ISNUMBER(FIND({0,1,2,3,4,5,6,7,8,9}, _xlpm.cleaned))) = 0,
       _xlpm.cleaned &amp; IF(_xlpm.needsBR * _xlpm.noDigits, Data!CE56, "")
     ),
  "")
)</f>
        <v/>
      </c>
      <c r="Q53" s="41" t="str" cm="1">
        <f t="array" ref="Q53">IF(
  AND($Y$57=1, Q71&lt;&gt;""),
  "O" &amp; Data!CF56,
  IF(Q14&lt;&gt;"",
     _xlfn.LET(
       _xlpm.cleaned,
       IF(
         OR(COUNTIF(Q14,"L*"), COUNTIF(Q14,"X*")),
         SUBSTITUTE(SUBSTITUTE(SUBSTITUTE(SUBSTITUTE(Q14,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COUNTIF(Q14, "*"&amp;$BN$3&amp;"*"),
           COUNTIF(Q14, "*"&amp;$BN$4&amp;"*"),
           COUNTIF(Q14, "*"&amp;$BN$5&amp;"*"),
           COUNTIF(Q14, "*"&amp;$BN$6&amp;"*"),
           COUNTIF(Q14, "*"&amp;$BN$7&amp;"*")
         ),
         FALSE,
         TRUE
       ),
       _xlpm.noDigits,
       SUM(--ISNUMBER(FIND({0,1,2,3,4,5,6,7,8,9}, _xlpm.cleaned))) = 0,
       _xlpm.cleaned &amp; IF(_xlpm.needsBR * _xlpm.noDigits, Data!CF56, "")
     ),
  "")
)</f>
        <v/>
      </c>
      <c r="R53" s="41" t="str" cm="1">
        <f t="array" ref="R53">IF(
  AND($Y$57=1, R71&lt;&gt;""),
  "O" &amp; Data!CG56,
  IF(R14&lt;&gt;"",
     _xlfn.LET(
       _xlpm.cleaned,
       IF(
         OR(COUNTIF(R14,"L*"), COUNTIF(R14,"X*")),
         SUBSTITUTE(SUBSTITUTE(SUBSTITUTE(SUBSTITUTE(R14,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COUNTIF(R14, "*"&amp;$BN$3&amp;"*"),
           COUNTIF(R14, "*"&amp;$BN$4&amp;"*"),
           COUNTIF(R14, "*"&amp;$BN$5&amp;"*"),
           COUNTIF(R14, "*"&amp;$BN$6&amp;"*"),
           COUNTIF(R14, "*"&amp;$BN$7&amp;"*")
         ),
         FALSE,
         TRUE
       ),
       _xlpm.noDigits,
       SUM(--ISNUMBER(FIND({0,1,2,3,4,5,6,7,8,9}, _xlpm.cleaned))) = 0,
       _xlpm.cleaned &amp; IF(_xlpm.needsBR * _xlpm.noDigits, Data!CG56, "")
     ),
  "")
)</f>
        <v/>
      </c>
      <c r="S53" s="41" t="str" cm="1">
        <f t="array" ref="S53">IF(
  AND($Y$57=1, S71&lt;&gt;""),
  "O" &amp; Data!CH56,
  IF(S14&lt;&gt;"",
     _xlfn.LET(
       _xlpm.cleaned,
       IF(
         OR(COUNTIF(S14,"L*"), COUNTIF(S14,"X*")),
         SUBSTITUTE(SUBSTITUTE(SUBSTITUTE(SUBSTITUTE(S14,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COUNTIF(S14, "*"&amp;$BN$3&amp;"*"),
           COUNTIF(S14, "*"&amp;$BN$4&amp;"*"),
           COUNTIF(S14, "*"&amp;$BN$5&amp;"*"),
           COUNTIF(S14, "*"&amp;$BN$6&amp;"*"),
           COUNTIF(S14, "*"&amp;$BN$7&amp;"*")
         ),
         FALSE,
         TRUE
       ),
       _xlpm.noDigits,
       SUM(--ISNUMBER(FIND({0,1,2,3,4,5,6,7,8,9}, _xlpm.cleaned))) = 0,
       _xlpm.cleaned &amp; IF(_xlpm.needsBR * _xlpm.noDigits, Data!CH56, "")
     ),
  "")
)</f>
        <v/>
      </c>
      <c r="T53" s="41" t="str" cm="1">
        <f t="array" ref="T53">IF(
  AND($Y$57=1, T71&lt;&gt;""),
  "O" &amp; Data!CI56,
  IF(T14&lt;&gt;"",
     _xlfn.LET(
       _xlpm.cleaned,
       IF(
         OR(COUNTIF(T14,"L*"), COUNTIF(T14,"X*")),
         SUBSTITUTE(SUBSTITUTE(SUBSTITUTE(SUBSTITUTE(T14,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COUNTIF(T14, "*"&amp;$BN$3&amp;"*"),
           COUNTIF(T14, "*"&amp;$BN$4&amp;"*"),
           COUNTIF(T14, "*"&amp;$BN$5&amp;"*"),
           COUNTIF(T14, "*"&amp;$BN$6&amp;"*"),
           COUNTIF(T14, "*"&amp;$BN$7&amp;"*")
         ),
         FALSE,
         TRUE
       ),
       _xlpm.noDigits,
       SUM(--ISNUMBER(FIND({0,1,2,3,4,5,6,7,8,9}, _xlpm.cleaned))) = 0,
       _xlpm.cleaned &amp; IF(_xlpm.needsBR * _xlpm.noDigits, Data!CI56, "")
     ),
  "")
)</f>
        <v/>
      </c>
      <c r="U53" s="41" t="str" cm="1">
        <f t="array" ref="U53">IF(
  AND($Y$57=1, U71&lt;&gt;""),
  "O" &amp; Data!CJ56,
  IF(U14&lt;&gt;"",
     _xlfn.LET(
       _xlpm.cleaned,
       IF(
         OR(COUNTIF(U14,"L*"), COUNTIF(U14,"X*")),
         SUBSTITUTE(SUBSTITUTE(SUBSTITUTE(SUBSTITUTE(U14,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COUNTIF(U14, "*"&amp;$BN$3&amp;"*"),
           COUNTIF(U14, "*"&amp;$BN$4&amp;"*"),
           COUNTIF(U14, "*"&amp;$BN$5&amp;"*"),
           COUNTIF(U14, "*"&amp;$BN$6&amp;"*"),
           COUNTIF(U14, "*"&amp;$BN$7&amp;"*")
         ),
         FALSE,
         TRUE
       ),
       _xlpm.noDigits,
       SUM(--ISNUMBER(FIND({0,1,2,3,4,5,6,7,8,9}, _xlpm.cleaned))) = 0,
       _xlpm.cleaned &amp; IF(_xlpm.needsBR * _xlpm.noDigits, Data!CJ56, "")
     ),
  "")
)</f>
        <v/>
      </c>
      <c r="V53" s="41" t="str" cm="1">
        <f t="array" ref="V53">IF(
  AND($Y$57=1, V71&lt;&gt;""),
  "O" &amp; Data!CK56,
  IF(V14&lt;&gt;"",
     _xlfn.LET(
       _xlpm.cleaned,
       IF(
         OR(COUNTIF(V14,"L*"), COUNTIF(V14,"X*")),
         SUBSTITUTE(SUBSTITUTE(SUBSTITUTE(SUBSTITUTE(V14,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COUNTIF(V14, "*"&amp;$BN$3&amp;"*"),
           COUNTIF(V14, "*"&amp;$BN$4&amp;"*"),
           COUNTIF(V14, "*"&amp;$BN$5&amp;"*"),
           COUNTIF(V14, "*"&amp;$BN$6&amp;"*"),
           COUNTIF(V14, "*"&amp;$BN$7&amp;"*")
         ),
         FALSE,
         TRUE
       ),
       _xlpm.noDigits,
       SUM(--ISNUMBER(FIND({0,1,2,3,4,5,6,7,8,9}, _xlpm.cleaned))) = 0,
       _xlpm.cleaned &amp; IF(_xlpm.needsBR * _xlpm.noDigits, Data!CK56, "")
     ),
  "")
)</f>
        <v/>
      </c>
      <c r="W53" s="41" t="str" cm="1">
        <f t="array" ref="W53">IF(
  AND($Y$57=1, W71&lt;&gt;""),
  "O" &amp; Data!CL56,
  IF(W14&lt;&gt;"",
     _xlfn.LET(
       _xlpm.cleaned,
       IF(
         OR(COUNTIF(W14,"L*"), COUNTIF(W14,"X*")),
         SUBSTITUTE(SUBSTITUTE(SUBSTITUTE(SUBSTITUTE(W14,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COUNTIF(W14, "*"&amp;$BN$3&amp;"*"),
           COUNTIF(W14, "*"&amp;$BN$4&amp;"*"),
           COUNTIF(W14, "*"&amp;$BN$5&amp;"*"),
           COUNTIF(W14, "*"&amp;$BN$6&amp;"*"),
           COUNTIF(W14, "*"&amp;$BN$7&amp;"*")
         ),
         FALSE,
         TRUE
       ),
       _xlpm.noDigits,
       SUM(--ISNUMBER(FIND({0,1,2,3,4,5,6,7,8,9}, _xlpm.cleaned))) = 0,
       _xlpm.cleaned &amp; IF(_xlpm.needsBR * _xlpm.noDigits, Data!CL56, "")
     ),
  "")
)</f>
        <v/>
      </c>
      <c r="X53" s="41" t="str" cm="1">
        <f t="array" ref="X53">IF(
  AND($Y$57=1, X71&lt;&gt;""),
  "O" &amp; Data!CM56,
  IF(X14&lt;&gt;"",
     _xlfn.LET(
       _xlpm.cleaned,
       IF(
         OR(COUNTIF(X14,"L*"), COUNTIF(X14,"X*")),
         SUBSTITUTE(SUBSTITUTE(SUBSTITUTE(SUBSTITUTE(X14,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COUNTIF(X14, "*"&amp;$BN$3&amp;"*"),
           COUNTIF(X14, "*"&amp;$BN$4&amp;"*"),
           COUNTIF(X14, "*"&amp;$BN$5&amp;"*"),
           COUNTIF(X14, "*"&amp;$BN$6&amp;"*"),
           COUNTIF(X14, "*"&amp;$BN$7&amp;"*")
         ),
         FALSE,
         TRUE
       ),
       _xlpm.noDigits,
       SUM(--ISNUMBER(FIND({0,1,2,3,4,5,6,7,8,9}, _xlpm.cleaned))) = 0,
       _xlpm.cleaned &amp; IF(_xlpm.needsBR * _xlpm.noDigits, Data!CM56, "")
     ),
  "")
)</f>
        <v/>
      </c>
      <c r="Y53" s="41" t="str" cm="1">
        <f t="array" ref="Y53">IF(
  AND($Y$57=1, Y71&lt;&gt;""),
  "O" &amp; Data!CN56,
  IF(Y14&lt;&gt;"",
     _xlfn.LET(
       _xlpm.cleaned,
       IF(
         OR(COUNTIF(Y14,"L*"), COUNTIF(Y14,"X*")),
         SUBSTITUTE(SUBSTITUTE(SUBSTITUTE(SUBSTITUTE(Y14,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COUNTIF(Y14, "*"&amp;$BN$3&amp;"*"),
           COUNTIF(Y14, "*"&amp;$BN$4&amp;"*"),
           COUNTIF(Y14, "*"&amp;$BN$5&amp;"*"),
           COUNTIF(Y14, "*"&amp;$BN$6&amp;"*"),
           COUNTIF(Y14, "*"&amp;$BN$7&amp;"*")
         ),
         FALSE,
         TRUE
       ),
       _xlpm.noDigits,
       SUM(--ISNUMBER(FIND({0,1,2,3,4,5,6,7,8,9}, _xlpm.cleaned))) = 0,
       _xlpm.cleaned &amp; IF(_xlpm.needsBR * _xlpm.noDigits, Data!CN56, "")
     ),
  "")
)</f>
        <v/>
      </c>
      <c r="Z53" s="41" t="str" cm="1">
        <f t="array" ref="Z53">IF(
  AND($Y$57=1, Z71&lt;&gt;""),
  "O" &amp; Data!CO56,
  IF(Z14&lt;&gt;"",
     _xlfn.LET(
       _xlpm.cleaned,
       IF(
         OR(COUNTIF(Z14,"L*"), COUNTIF(Z14,"X*")),
         SUBSTITUTE(SUBSTITUTE(SUBSTITUTE(SUBSTITUTE(Z14,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COUNTIF(Z14, "*"&amp;$BN$3&amp;"*"),
           COUNTIF(Z14, "*"&amp;$BN$4&amp;"*"),
           COUNTIF(Z14, "*"&amp;$BN$5&amp;"*"),
           COUNTIF(Z14, "*"&amp;$BN$6&amp;"*"),
           COUNTIF(Z14, "*"&amp;$BN$7&amp;"*")
         ),
         FALSE,
         TRUE
       ),
       _xlpm.noDigits,
       SUM(--ISNUMBER(FIND({0,1,2,3,4,5,6,7,8,9}, _xlpm.cleaned))) = 0,
       _xlpm.cleaned &amp; IF(_xlpm.needsBR * _xlpm.noDigits, Data!CO56, "")
     ),
  "")
)</f>
        <v/>
      </c>
      <c r="AA53" s="41" t="str" cm="1">
        <f t="array" ref="AA53">IF(
  AND($Y$57=1, AA71&lt;&gt;""),
  "O" &amp; Data!CP56,
  IF(AA14&lt;&gt;"",
     _xlfn.LET(
       _xlpm.cleaned,
       IF(
         OR(COUNTIF(AA14,"L*"), COUNTIF(AA14,"X*")),
         SUBSTITUTE(SUBSTITUTE(SUBSTITUTE(SUBSTITUTE(AA14,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COUNTIF(AA14, "*"&amp;$BN$3&amp;"*"),
           COUNTIF(AA14, "*"&amp;$BN$4&amp;"*"),
           COUNTIF(AA14, "*"&amp;$BN$5&amp;"*"),
           COUNTIF(AA14, "*"&amp;$BN$6&amp;"*"),
           COUNTIF(AA14, "*"&amp;$BN$7&amp;"*")
         ),
         FALSE,
         TRUE
       ),
       _xlpm.noDigits,
       SUM(--ISNUMBER(FIND({0,1,2,3,4,5,6,7,8,9}, _xlpm.cleaned))) = 0,
       _xlpm.cleaned &amp; IF(_xlpm.needsBR * _xlpm.noDigits, Data!CP56, "")
     ),
  "")
)</f>
        <v/>
      </c>
      <c r="AB53" s="41" t="str" cm="1">
        <f t="array" ref="AB53">IF(
  AND($Y$57=1, AB71&lt;&gt;""),
  "O" &amp; Data!CQ56,
  IF(AB14&lt;&gt;"",
     _xlfn.LET(
       _xlpm.cleaned,
       IF(
         OR(COUNTIF(AB14,"L*"), COUNTIF(AB14,"X*")),
         SUBSTITUTE(SUBSTITUTE(SUBSTITUTE(SUBSTITUTE(AB14,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COUNTIF(AB14, "*"&amp;$BN$3&amp;"*"),
           COUNTIF(AB14, "*"&amp;$BN$4&amp;"*"),
           COUNTIF(AB14, "*"&amp;$BN$5&amp;"*"),
           COUNTIF(AB14, "*"&amp;$BN$6&amp;"*"),
           COUNTIF(AB14, "*"&amp;$BN$7&amp;"*")
         ),
         FALSE,
         TRUE
       ),
       _xlpm.noDigits,
       SUM(--ISNUMBER(FIND({0,1,2,3,4,5,6,7,8,9}, _xlpm.cleaned))) = 0,
       _xlpm.cleaned &amp; IF(_xlpm.needsBR * _xlpm.noDigits, Data!CQ56, "")
     ),
  "")
)</f>
        <v/>
      </c>
      <c r="AC53" s="41" t="str" cm="1">
        <f t="array" ref="AC53">IF(
  AND($Y$57=1, AC71&lt;&gt;""),
  "O" &amp; Data!CR56,
  IF(AC14&lt;&gt;"",
     _xlfn.LET(
       _xlpm.cleaned,
       IF(
         OR(COUNTIF(AC14,"L*"), COUNTIF(AC14,"X*")),
         SUBSTITUTE(SUBSTITUTE(SUBSTITUTE(SUBSTITUTE(AC14,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COUNTIF(AC14, "*"&amp;$BN$3&amp;"*"),
           COUNTIF(AC14, "*"&amp;$BN$4&amp;"*"),
           COUNTIF(AC14, "*"&amp;$BN$5&amp;"*"),
           COUNTIF(AC14, "*"&amp;$BN$6&amp;"*"),
           COUNTIF(AC14, "*"&amp;$BN$7&amp;"*")
         ),
         FALSE,
         TRUE
       ),
       _xlpm.noDigits,
       SUM(--ISNUMBER(FIND({0,1,2,3,4,5,6,7,8,9}, _xlpm.cleaned))) = 0,
       _xlpm.cleaned &amp; IF(_xlpm.needsBR * _xlpm.noDigits, Data!CR56, "")
     ),
  "")
)</f>
        <v/>
      </c>
      <c r="AD53" s="41" t="str" cm="1">
        <f t="array" ref="AD53">IF(
  AND($Y$57=1, AD71&lt;&gt;""),
  "O" &amp; Data!CS56,
  IF(AD14&lt;&gt;"",
     _xlfn.LET(
       _xlpm.cleaned,
       IF(
         OR(COUNTIF(AD14,"L*"), COUNTIF(AD14,"X*")),
         SUBSTITUTE(SUBSTITUTE(SUBSTITUTE(SUBSTITUTE(AD14,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COUNTIF(AD14, "*"&amp;$BN$3&amp;"*"),
           COUNTIF(AD14, "*"&amp;$BN$4&amp;"*"),
           COUNTIF(AD14, "*"&amp;$BN$5&amp;"*"),
           COUNTIF(AD14, "*"&amp;$BN$6&amp;"*"),
           COUNTIF(AD14, "*"&amp;$BN$7&amp;"*")
         ),
         FALSE,
         TRUE
       ),
       _xlpm.noDigits,
       SUM(--ISNUMBER(FIND({0,1,2,3,4,5,6,7,8,9}, _xlpm.cleaned))) = 0,
       _xlpm.cleaned &amp; IF(_xlpm.needsBR * _xlpm.noDigits, Data!CS56, "")
     ),
  "")
)</f>
        <v/>
      </c>
      <c r="AE53" s="41" t="str" cm="1">
        <f t="array" ref="AE53">IF(
  AND($Y$57=1, AE71&lt;&gt;""),
  "O" &amp; Data!CT56,
  IF(AE14&lt;&gt;"",
     _xlfn.LET(
       _xlpm.cleaned,
       IF(
         OR(COUNTIF(AE14,"L*"), COUNTIF(AE14,"X*")),
         SUBSTITUTE(SUBSTITUTE(SUBSTITUTE(SUBSTITUTE(AE14,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COUNTIF(AE14, "*"&amp;$BN$3&amp;"*"),
           COUNTIF(AE14, "*"&amp;$BN$4&amp;"*"),
           COUNTIF(AE14, "*"&amp;$BN$5&amp;"*"),
           COUNTIF(AE14, "*"&amp;$BN$6&amp;"*"),
           COUNTIF(AE14, "*"&amp;$BN$7&amp;"*")
         ),
         FALSE,
         TRUE
       ),
       _xlpm.noDigits,
       SUM(--ISNUMBER(FIND({0,1,2,3,4,5,6,7,8,9}, _xlpm.cleaned))) = 0,
       _xlpm.cleaned &amp; IF(_xlpm.needsBR * _xlpm.noDigits, Data!CT56, "")
     ),
  "")
)</f>
        <v/>
      </c>
      <c r="AF53" s="41" t="str" cm="1">
        <f t="array" ref="AF53">IF(
  AND($Y$57=1, AF71&lt;&gt;""),
  "O" &amp; Data!CU56,
  IF(AF14&lt;&gt;"",
     _xlfn.LET(
       _xlpm.cleaned,
       IF(
         OR(COUNTIF(AF14,"L*"), COUNTIF(AF14,"X*")),
         SUBSTITUTE(SUBSTITUTE(SUBSTITUTE(SUBSTITUTE(AF14,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COUNTIF(AF14, "*"&amp;$BN$3&amp;"*"),
           COUNTIF(AF14, "*"&amp;$BN$4&amp;"*"),
           COUNTIF(AF14, "*"&amp;$BN$5&amp;"*"),
           COUNTIF(AF14, "*"&amp;$BN$6&amp;"*"),
           COUNTIF(AF14, "*"&amp;$BN$7&amp;"*")
         ),
         FALSE,
         TRUE
       ),
       _xlpm.noDigits,
       SUM(--ISNUMBER(FIND({0,1,2,3,4,5,6,7,8,9}, _xlpm.cleaned))) = 0,
       _xlpm.cleaned &amp; IF(_xlpm.needsBR * _xlpm.noDigits, Data!CU56, "")
     ),
  "")
)</f>
        <v/>
      </c>
      <c r="AG53" s="41" t="str" cm="1">
        <f t="array" ref="AG53">IF(
  AND($Y$57=1, AG71&lt;&gt;""),
  "O" &amp; Data!CV56,
  IF(AG14&lt;&gt;"",
     _xlfn.LET(
       _xlpm.cleaned,
       IF(
         OR(COUNTIF(AG14,"L*"), COUNTIF(AG14,"X*")),
         SUBSTITUTE(SUBSTITUTE(SUBSTITUTE(SUBSTITUTE(AG14,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COUNTIF(AG14, "*"&amp;$BN$3&amp;"*"),
           COUNTIF(AG14, "*"&amp;$BN$4&amp;"*"),
           COUNTIF(AG14, "*"&amp;$BN$5&amp;"*"),
           COUNTIF(AG14, "*"&amp;$BN$6&amp;"*"),
           COUNTIF(AG14, "*"&amp;$BN$7&amp;"*")
         ),
         FALSE,
         TRUE
       ),
       _xlpm.noDigits,
       SUM(--ISNUMBER(FIND({0,1,2,3,4,5,6,7,8,9}, _xlpm.cleaned))) = 0,
       _xlpm.cleaned &amp; IF(_xlpm.needsBR * _xlpm.noDigits, Data!CV56, "")
     ),
  "")
)</f>
        <v/>
      </c>
      <c r="AH53" s="41" t="str" cm="1">
        <f t="array" ref="AH53">IF(
  AND($Y$57=1, AH71&lt;&gt;""),
  "O" &amp; Data!CW56,
  IF(AH14&lt;&gt;"",
     _xlfn.LET(
       _xlpm.cleaned,
       IF(
         OR(COUNTIF(AH14,"L*"), COUNTIF(AH14,"X*")),
         SUBSTITUTE(SUBSTITUTE(SUBSTITUTE(SUBSTITUTE(AH14,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COUNTIF(AH14, "*"&amp;$BN$3&amp;"*"),
           COUNTIF(AH14, "*"&amp;$BN$4&amp;"*"),
           COUNTIF(AH14, "*"&amp;$BN$5&amp;"*"),
           COUNTIF(AH14, "*"&amp;$BN$6&amp;"*"),
           COUNTIF(AH14, "*"&amp;$BN$7&amp;"*")
         ),
         FALSE,
         TRUE
       ),
       _xlpm.noDigits,
       SUM(--ISNUMBER(FIND({0,1,2,3,4,5,6,7,8,9}, _xlpm.cleaned))) = 0,
       _xlpm.cleaned &amp; IF(_xlpm.needsBR * _xlpm.noDigits, Data!CW56, "")
     ),
  "")
)</f>
        <v/>
      </c>
      <c r="AI53" s="41" t="str" cm="1">
        <f t="array" ref="AI53">IF(
  AND($Y$57=1, AI71&lt;&gt;""),
  "O" &amp; Data!CX56,
  IF(AI14&lt;&gt;"",
     _xlfn.LET(
       _xlpm.cleaned,
       IF(
         OR(COUNTIF(AI14,"L*"), COUNTIF(AI14,"X*")),
         SUBSTITUTE(SUBSTITUTE(SUBSTITUTE(SUBSTITUTE(AI14,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COUNTIF(AI14, "*"&amp;$BN$3&amp;"*"),
           COUNTIF(AI14, "*"&amp;$BN$4&amp;"*"),
           COUNTIF(AI14, "*"&amp;$BN$5&amp;"*"),
           COUNTIF(AI14, "*"&amp;$BN$6&amp;"*"),
           COUNTIF(AI14, "*"&amp;$BN$7&amp;"*")
         ),
         FALSE,
         TRUE
       ),
       _xlpm.noDigits,
       SUM(--ISNUMBER(FIND({0,1,2,3,4,5,6,7,8,9}, _xlpm.cleaned))) = 0,
       _xlpm.cleaned &amp; IF(_xlpm.needsBR * _xlpm.noDigits, Data!CX56, "")
     ),
  "")
)</f>
        <v/>
      </c>
      <c r="AJ53" s="41" t="str" cm="1">
        <f t="array" ref="AJ53">IF(
  AND($Y$57=1, AJ71&lt;&gt;""),
  "O" &amp; Data!CY56,
  IF(AJ14&lt;&gt;"",
     _xlfn.LET(
       _xlpm.cleaned,
       IF(
         OR(COUNTIF(AJ14,"L*"), COUNTIF(AJ14,"X*")),
         SUBSTITUTE(SUBSTITUTE(SUBSTITUTE(SUBSTITUTE(AJ14,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COUNTIF(AJ14, "*"&amp;$BN$3&amp;"*"),
           COUNTIF(AJ14, "*"&amp;$BN$4&amp;"*"),
           COUNTIF(AJ14, "*"&amp;$BN$5&amp;"*"),
           COUNTIF(AJ14, "*"&amp;$BN$6&amp;"*"),
           COUNTIF(AJ14, "*"&amp;$BN$7&amp;"*")
         ),
         FALSE,
         TRUE
       ),
       _xlpm.noDigits,
       SUM(--ISNUMBER(FIND({0,1,2,3,4,5,6,7,8,9}, _xlpm.cleaned))) = 0,
       _xlpm.cleaned &amp; IF(_xlpm.needsBR * _xlpm.noDigits, Data!CY56, "")
     ),
  "")
)</f>
        <v/>
      </c>
    </row>
    <row r="54" spans="1:69" ht="24" customHeight="1" thickBot="1" x14ac:dyDescent="0.4">
      <c r="A54" s="1197"/>
      <c r="B54" s="23">
        <v>12</v>
      </c>
      <c r="C54" s="41" t="str" cm="1">
        <f t="array" ref="C54">IF(
  AND($Y$57=1, C72&lt;&gt;""),
  "O" &amp; Data!BR57,
  IF(C15&lt;&gt;"",
     _xlfn.LET(
       _xlpm.cleaned,
       IF(
         OR(COUNTIF(C15,"L*"), COUNTIF(C15,"X*")),
         SUBSTITUTE(SUBSTITUTE(SUBSTITUTE(SUBSTITUTE(C15,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COUNTIF(C15, "*"&amp;$BN$3&amp;"*"),
           COUNTIF(C15, "*"&amp;$BN$4&amp;"*"),
           COUNTIF(C15, "*"&amp;$BN$5&amp;"*"),
           COUNTIF(C15, "*"&amp;$BN$6&amp;"*"),
           COUNTIF(C15, "*"&amp;$BN$7&amp;"*")
         ),
         FALSE,
         TRUE
       ),
       _xlpm.noDigits,
       SUM(--ISNUMBER(FIND({0,1,2,3,4,5,6,7,8,9}, _xlpm.cleaned))) = 0,
       _xlpm.cleaned &amp; IF(_xlpm.needsBR * _xlpm.noDigits, Data!BR57, "")
     ),
  "")
)</f>
        <v/>
      </c>
      <c r="D54" s="41" t="str" cm="1">
        <f t="array" ref="D54">IF(
  AND($Y$57=1, D72&lt;&gt;""),
  "O" &amp; Data!BS57,
  IF(D15&lt;&gt;"",
     _xlfn.LET(
       _xlpm.cleaned,
       IF(
         OR(COUNTIF(D15,"L*"), COUNTIF(D15,"X*")),
         SUBSTITUTE(SUBSTITUTE(SUBSTITUTE(SUBSTITUTE(D15,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COUNTIF(D15, "*"&amp;$BN$3&amp;"*"),
           COUNTIF(D15, "*"&amp;$BN$4&amp;"*"),
           COUNTIF(D15, "*"&amp;$BN$5&amp;"*"),
           COUNTIF(D15, "*"&amp;$BN$6&amp;"*"),
           COUNTIF(D15, "*"&amp;$BN$7&amp;"*")
         ),
         FALSE,
         TRUE
       ),
       _xlpm.noDigits,
       SUM(--ISNUMBER(FIND({0,1,2,3,4,5,6,7,8,9}, _xlpm.cleaned))) = 0,
       _xlpm.cleaned &amp; IF(_xlpm.needsBR * _xlpm.noDigits, Data!BS57, "")
     ),
  "")
)</f>
        <v/>
      </c>
      <c r="E54" s="41" t="str" cm="1">
        <f t="array" ref="E54">IF(
  AND($Y$57=1, E72&lt;&gt;""),
  "O" &amp; Data!BT57,
  IF(E15&lt;&gt;"",
     _xlfn.LET(
       _xlpm.cleaned,
       IF(
         OR(COUNTIF(E15,"L*"), COUNTIF(E15,"X*")),
         SUBSTITUTE(SUBSTITUTE(SUBSTITUTE(SUBSTITUTE(E15,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COUNTIF(E15, "*"&amp;$BN$3&amp;"*"),
           COUNTIF(E15, "*"&amp;$BN$4&amp;"*"),
           COUNTIF(E15, "*"&amp;$BN$5&amp;"*"),
           COUNTIF(E15, "*"&amp;$BN$6&amp;"*"),
           COUNTIF(E15, "*"&amp;$BN$7&amp;"*")
         ),
         FALSE,
         TRUE
       ),
       _xlpm.noDigits,
       SUM(--ISNUMBER(FIND({0,1,2,3,4,5,6,7,8,9}, _xlpm.cleaned))) = 0,
       _xlpm.cleaned &amp; IF(_xlpm.needsBR * _xlpm.noDigits, Data!BT57, "")
     ),
  "")
)</f>
        <v/>
      </c>
      <c r="F54" s="41" t="str" cm="1">
        <f t="array" ref="F54">IF(
  AND($Y$57=1, F72&lt;&gt;""),
  "O" &amp; Data!BU57,
  IF(F15&lt;&gt;"",
     _xlfn.LET(
       _xlpm.cleaned,
       IF(
         OR(COUNTIF(F15,"L*"), COUNTIF(F15,"X*")),
         SUBSTITUTE(SUBSTITUTE(SUBSTITUTE(SUBSTITUTE(F15,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COUNTIF(F15, "*"&amp;$BN$3&amp;"*"),
           COUNTIF(F15, "*"&amp;$BN$4&amp;"*"),
           COUNTIF(F15, "*"&amp;$BN$5&amp;"*"),
           COUNTIF(F15, "*"&amp;$BN$6&amp;"*"),
           COUNTIF(F15, "*"&amp;$BN$7&amp;"*")
         ),
         FALSE,
         TRUE
       ),
       _xlpm.noDigits,
       SUM(--ISNUMBER(FIND({0,1,2,3,4,5,6,7,8,9}, _xlpm.cleaned))) = 0,
       _xlpm.cleaned &amp; IF(_xlpm.needsBR * _xlpm.noDigits, Data!BU57, "")
     ),
  "")
)</f>
        <v/>
      </c>
      <c r="G54" s="41" t="str" cm="1">
        <f t="array" ref="G54">IF(
  AND($Y$57=1, G72&lt;&gt;""),
  "O" &amp; Data!BV57,
  IF(G15&lt;&gt;"",
     _xlfn.LET(
       _xlpm.cleaned,
       IF(
         OR(COUNTIF(G15,"L*"), COUNTIF(G15,"X*")),
         SUBSTITUTE(SUBSTITUTE(SUBSTITUTE(SUBSTITUTE(G15,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COUNTIF(G15, "*"&amp;$BN$3&amp;"*"),
           COUNTIF(G15, "*"&amp;$BN$4&amp;"*"),
           COUNTIF(G15, "*"&amp;$BN$5&amp;"*"),
           COUNTIF(G15, "*"&amp;$BN$6&amp;"*"),
           COUNTIF(G15, "*"&amp;$BN$7&amp;"*")
         ),
         FALSE,
         TRUE
       ),
       _xlpm.noDigits,
       SUM(--ISNUMBER(FIND({0,1,2,3,4,5,6,7,8,9}, _xlpm.cleaned))) = 0,
       _xlpm.cleaned &amp; IF(_xlpm.needsBR * _xlpm.noDigits, Data!BV57, "")
     ),
  "")
)</f>
        <v/>
      </c>
      <c r="H54" s="41" t="str" cm="1">
        <f t="array" ref="H54">IF(
  AND($Y$57=1, H72&lt;&gt;""),
  "O" &amp; Data!BW57,
  IF(H15&lt;&gt;"",
     _xlfn.LET(
       _xlpm.cleaned,
       IF(
         OR(COUNTIF(H15,"L*"), COUNTIF(H15,"X*")),
         SUBSTITUTE(SUBSTITUTE(SUBSTITUTE(SUBSTITUTE(H15,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COUNTIF(H15, "*"&amp;$BN$3&amp;"*"),
           COUNTIF(H15, "*"&amp;$BN$4&amp;"*"),
           COUNTIF(H15, "*"&amp;$BN$5&amp;"*"),
           COUNTIF(H15, "*"&amp;$BN$6&amp;"*"),
           COUNTIF(H15, "*"&amp;$BN$7&amp;"*")
         ),
         FALSE,
         TRUE
       ),
       _xlpm.noDigits,
       SUM(--ISNUMBER(FIND({0,1,2,3,4,5,6,7,8,9}, _xlpm.cleaned))) = 0,
       _xlpm.cleaned &amp; IF(_xlpm.needsBR * _xlpm.noDigits, Data!BW57, "")
     ),
  "")
)</f>
        <v/>
      </c>
      <c r="I54" s="41" t="str" cm="1">
        <f t="array" ref="I54">IF(
  AND($Y$57=1, I72&lt;&gt;""),
  "O" &amp; Data!BX57,
  IF(I15&lt;&gt;"",
     _xlfn.LET(
       _xlpm.cleaned,
       IF(
         OR(COUNTIF(I15,"L*"), COUNTIF(I15,"X*")),
         SUBSTITUTE(SUBSTITUTE(SUBSTITUTE(SUBSTITUTE(I15,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COUNTIF(I15, "*"&amp;$BN$3&amp;"*"),
           COUNTIF(I15, "*"&amp;$BN$4&amp;"*"),
           COUNTIF(I15, "*"&amp;$BN$5&amp;"*"),
           COUNTIF(I15, "*"&amp;$BN$6&amp;"*"),
           COUNTIF(I15, "*"&amp;$BN$7&amp;"*")
         ),
         FALSE,
         TRUE
       ),
       _xlpm.noDigits,
       SUM(--ISNUMBER(FIND({0,1,2,3,4,5,6,7,8,9}, _xlpm.cleaned))) = 0,
       _xlpm.cleaned &amp; IF(_xlpm.needsBR * _xlpm.noDigits, Data!BX57, "")
     ),
  "")
)</f>
        <v/>
      </c>
      <c r="J54" s="41" t="str" cm="1">
        <f t="array" ref="J54">IF(
  AND($Y$57=1, J72&lt;&gt;""),
  "O" &amp; Data!BY57,
  IF(J15&lt;&gt;"",
     _xlfn.LET(
       _xlpm.cleaned,
       IF(
         OR(COUNTIF(J15,"L*"), COUNTIF(J15,"X*")),
         SUBSTITUTE(SUBSTITUTE(SUBSTITUTE(SUBSTITUTE(J15,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COUNTIF(J15, "*"&amp;$BN$3&amp;"*"),
           COUNTIF(J15, "*"&amp;$BN$4&amp;"*"),
           COUNTIF(J15, "*"&amp;$BN$5&amp;"*"),
           COUNTIF(J15, "*"&amp;$BN$6&amp;"*"),
           COUNTIF(J15, "*"&amp;$BN$7&amp;"*")
         ),
         FALSE,
         TRUE
       ),
       _xlpm.noDigits,
       SUM(--ISNUMBER(FIND({0,1,2,3,4,5,6,7,8,9}, _xlpm.cleaned))) = 0,
       _xlpm.cleaned &amp; IF(_xlpm.needsBR * _xlpm.noDigits, Data!BY57, "")
     ),
  "")
)</f>
        <v/>
      </c>
      <c r="K54" s="41" t="str" cm="1">
        <f t="array" ref="K54">IF(
  AND($Y$57=1, K72&lt;&gt;""),
  "O" &amp; Data!BZ57,
  IF(K15&lt;&gt;"",
     _xlfn.LET(
       _xlpm.cleaned,
       IF(
         OR(COUNTIF(K15,"L*"), COUNTIF(K15,"X*")),
         SUBSTITUTE(SUBSTITUTE(SUBSTITUTE(SUBSTITUTE(K15,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COUNTIF(K15, "*"&amp;$BN$3&amp;"*"),
           COUNTIF(K15, "*"&amp;$BN$4&amp;"*"),
           COUNTIF(K15, "*"&amp;$BN$5&amp;"*"),
           COUNTIF(K15, "*"&amp;$BN$6&amp;"*"),
           COUNTIF(K15, "*"&amp;$BN$7&amp;"*")
         ),
         FALSE,
         TRUE
       ),
       _xlpm.noDigits,
       SUM(--ISNUMBER(FIND({0,1,2,3,4,5,6,7,8,9}, _xlpm.cleaned))) = 0,
       _xlpm.cleaned &amp; IF(_xlpm.needsBR * _xlpm.noDigits, Data!BZ57, "")
     ),
  "")
)</f>
        <v/>
      </c>
      <c r="L54" s="41" t="str" cm="1">
        <f t="array" ref="L54">IF(
  AND($Y$57=1, L72&lt;&gt;""),
  "O" &amp; Data!CA57,
  IF(L15&lt;&gt;"",
     _xlfn.LET(
       _xlpm.cleaned,
       IF(
         OR(COUNTIF(L15,"L*"), COUNTIF(L15,"X*")),
         SUBSTITUTE(SUBSTITUTE(SUBSTITUTE(SUBSTITUTE(L15,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COUNTIF(L15, "*"&amp;$BN$3&amp;"*"),
           COUNTIF(L15, "*"&amp;$BN$4&amp;"*"),
           COUNTIF(L15, "*"&amp;$BN$5&amp;"*"),
           COUNTIF(L15, "*"&amp;$BN$6&amp;"*"),
           COUNTIF(L15, "*"&amp;$BN$7&amp;"*")
         ),
         FALSE,
         TRUE
       ),
       _xlpm.noDigits,
       SUM(--ISNUMBER(FIND({0,1,2,3,4,5,6,7,8,9}, _xlpm.cleaned))) = 0,
       _xlpm.cleaned &amp; IF(_xlpm.needsBR * _xlpm.noDigits, Data!CA57, "")
     ),
  "")
)</f>
        <v/>
      </c>
      <c r="M54" s="41" t="str" cm="1">
        <f t="array" ref="M54">IF(
  AND($Y$57=1, M72&lt;&gt;""),
  "O" &amp; Data!CB57,
  IF(M15&lt;&gt;"",
     _xlfn.LET(
       _xlpm.cleaned,
       IF(
         OR(COUNTIF(M15,"L*"), COUNTIF(M15,"X*")),
         SUBSTITUTE(SUBSTITUTE(SUBSTITUTE(SUBSTITUTE(M15,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COUNTIF(M15, "*"&amp;$BN$3&amp;"*"),
           COUNTIF(M15, "*"&amp;$BN$4&amp;"*"),
           COUNTIF(M15, "*"&amp;$BN$5&amp;"*"),
           COUNTIF(M15, "*"&amp;$BN$6&amp;"*"),
           COUNTIF(M15, "*"&amp;$BN$7&amp;"*")
         ),
         FALSE,
         TRUE
       ),
       _xlpm.noDigits,
       SUM(--ISNUMBER(FIND({0,1,2,3,4,5,6,7,8,9}, _xlpm.cleaned))) = 0,
       _xlpm.cleaned &amp; IF(_xlpm.needsBR * _xlpm.noDigits, Data!CB57, "")
     ),
  "")
)</f>
        <v/>
      </c>
      <c r="N54" s="41" t="str" cm="1">
        <f t="array" ref="N54">IF(
  AND($Y$57=1, N72&lt;&gt;""),
  "O" &amp; Data!CC57,
  IF(N15&lt;&gt;"",
     _xlfn.LET(
       _xlpm.cleaned,
       IF(
         OR(COUNTIF(N15,"L*"), COUNTIF(N15,"X*")),
         SUBSTITUTE(SUBSTITUTE(SUBSTITUTE(SUBSTITUTE(N15,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COUNTIF(N15, "*"&amp;$BN$3&amp;"*"),
           COUNTIF(N15, "*"&amp;$BN$4&amp;"*"),
           COUNTIF(N15, "*"&amp;$BN$5&amp;"*"),
           COUNTIF(N15, "*"&amp;$BN$6&amp;"*"),
           COUNTIF(N15, "*"&amp;$BN$7&amp;"*")
         ),
         FALSE,
         TRUE
       ),
       _xlpm.noDigits,
       SUM(--ISNUMBER(FIND({0,1,2,3,4,5,6,7,8,9}, _xlpm.cleaned))) = 0,
       _xlpm.cleaned &amp; IF(_xlpm.needsBR * _xlpm.noDigits, Data!CC57, "")
     ),
  "")
)</f>
        <v/>
      </c>
      <c r="O54" s="41" t="str" cm="1">
        <f t="array" ref="O54">IF(
  AND($Y$57=1, O72&lt;&gt;""),
  "O" &amp; Data!CD57,
  IF(O15&lt;&gt;"",
     _xlfn.LET(
       _xlpm.cleaned,
       IF(
         OR(COUNTIF(O15,"L*"), COUNTIF(O15,"X*")),
         SUBSTITUTE(SUBSTITUTE(SUBSTITUTE(SUBSTITUTE(O15,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COUNTIF(O15, "*"&amp;$BN$3&amp;"*"),
           COUNTIF(O15, "*"&amp;$BN$4&amp;"*"),
           COUNTIF(O15, "*"&amp;$BN$5&amp;"*"),
           COUNTIF(O15, "*"&amp;$BN$6&amp;"*"),
           COUNTIF(O15, "*"&amp;$BN$7&amp;"*")
         ),
         FALSE,
         TRUE
       ),
       _xlpm.noDigits,
       SUM(--ISNUMBER(FIND({0,1,2,3,4,5,6,7,8,9}, _xlpm.cleaned))) = 0,
       _xlpm.cleaned &amp; IF(_xlpm.needsBR * _xlpm.noDigits, Data!CD57, "")
     ),
  "")
)</f>
        <v/>
      </c>
      <c r="P54" s="41" t="str" cm="1">
        <f t="array" ref="P54">IF(
  AND($Y$57=1, P72&lt;&gt;""),
  "O" &amp; Data!CE57,
  IF(P15&lt;&gt;"",
     _xlfn.LET(
       _xlpm.cleaned,
       IF(
         OR(COUNTIF(P15,"L*"), COUNTIF(P15,"X*")),
         SUBSTITUTE(SUBSTITUTE(SUBSTITUTE(SUBSTITUTE(P15,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COUNTIF(P15, "*"&amp;$BN$3&amp;"*"),
           COUNTIF(P15, "*"&amp;$BN$4&amp;"*"),
           COUNTIF(P15, "*"&amp;$BN$5&amp;"*"),
           COUNTIF(P15, "*"&amp;$BN$6&amp;"*"),
           COUNTIF(P15, "*"&amp;$BN$7&amp;"*")
         ),
         FALSE,
         TRUE
       ),
       _xlpm.noDigits,
       SUM(--ISNUMBER(FIND({0,1,2,3,4,5,6,7,8,9}, _xlpm.cleaned))) = 0,
       _xlpm.cleaned &amp; IF(_xlpm.needsBR * _xlpm.noDigits, Data!CE57, "")
     ),
  "")
)</f>
        <v/>
      </c>
      <c r="Q54" s="41" t="str" cm="1">
        <f t="array" ref="Q54">IF(
  AND($Y$57=1, Q72&lt;&gt;""),
  "O" &amp; Data!CF57,
  IF(Q15&lt;&gt;"",
     _xlfn.LET(
       _xlpm.cleaned,
       IF(
         OR(COUNTIF(Q15,"L*"), COUNTIF(Q15,"X*")),
         SUBSTITUTE(SUBSTITUTE(SUBSTITUTE(SUBSTITUTE(Q15,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COUNTIF(Q15, "*"&amp;$BN$3&amp;"*"),
           COUNTIF(Q15, "*"&amp;$BN$4&amp;"*"),
           COUNTIF(Q15, "*"&amp;$BN$5&amp;"*"),
           COUNTIF(Q15, "*"&amp;$BN$6&amp;"*"),
           COUNTIF(Q15, "*"&amp;$BN$7&amp;"*")
         ),
         FALSE,
         TRUE
       ),
       _xlpm.noDigits,
       SUM(--ISNUMBER(FIND({0,1,2,3,4,5,6,7,8,9}, _xlpm.cleaned))) = 0,
       _xlpm.cleaned &amp; IF(_xlpm.needsBR * _xlpm.noDigits, Data!CF57, "")
     ),
  "")
)</f>
        <v/>
      </c>
      <c r="R54" s="41" t="str" cm="1">
        <f t="array" ref="R54">IF(
  AND($Y$57=1, R72&lt;&gt;""),
  "O" &amp; Data!CG57,
  IF(R15&lt;&gt;"",
     _xlfn.LET(
       _xlpm.cleaned,
       IF(
         OR(COUNTIF(R15,"L*"), COUNTIF(R15,"X*")),
         SUBSTITUTE(SUBSTITUTE(SUBSTITUTE(SUBSTITUTE(R15,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COUNTIF(R15, "*"&amp;$BN$3&amp;"*"),
           COUNTIF(R15, "*"&amp;$BN$4&amp;"*"),
           COUNTIF(R15, "*"&amp;$BN$5&amp;"*"),
           COUNTIF(R15, "*"&amp;$BN$6&amp;"*"),
           COUNTIF(R15, "*"&amp;$BN$7&amp;"*")
         ),
         FALSE,
         TRUE
       ),
       _xlpm.noDigits,
       SUM(--ISNUMBER(FIND({0,1,2,3,4,5,6,7,8,9}, _xlpm.cleaned))) = 0,
       _xlpm.cleaned &amp; IF(_xlpm.needsBR * _xlpm.noDigits, Data!CG57, "")
     ),
  "")
)</f>
        <v/>
      </c>
      <c r="S54" s="41" t="str" cm="1">
        <f t="array" ref="S54">IF(
  AND($Y$57=1, S72&lt;&gt;""),
  "O" &amp; Data!CH57,
  IF(S15&lt;&gt;"",
     _xlfn.LET(
       _xlpm.cleaned,
       IF(
         OR(COUNTIF(S15,"L*"), COUNTIF(S15,"X*")),
         SUBSTITUTE(SUBSTITUTE(SUBSTITUTE(SUBSTITUTE(S15,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COUNTIF(S15, "*"&amp;$BN$3&amp;"*"),
           COUNTIF(S15, "*"&amp;$BN$4&amp;"*"),
           COUNTIF(S15, "*"&amp;$BN$5&amp;"*"),
           COUNTIF(S15, "*"&amp;$BN$6&amp;"*"),
           COUNTIF(S15, "*"&amp;$BN$7&amp;"*")
         ),
         FALSE,
         TRUE
       ),
       _xlpm.noDigits,
       SUM(--ISNUMBER(FIND({0,1,2,3,4,5,6,7,8,9}, _xlpm.cleaned))) = 0,
       _xlpm.cleaned &amp; IF(_xlpm.needsBR * _xlpm.noDigits, Data!CH57, "")
     ),
  "")
)</f>
        <v/>
      </c>
      <c r="T54" s="41" t="str" cm="1">
        <f t="array" ref="T54">IF(
  AND($Y$57=1, T72&lt;&gt;""),
  "O" &amp; Data!CI57,
  IF(T15&lt;&gt;"",
     _xlfn.LET(
       _xlpm.cleaned,
       IF(
         OR(COUNTIF(T15,"L*"), COUNTIF(T15,"X*")),
         SUBSTITUTE(SUBSTITUTE(SUBSTITUTE(SUBSTITUTE(T15,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COUNTIF(T15, "*"&amp;$BN$3&amp;"*"),
           COUNTIF(T15, "*"&amp;$BN$4&amp;"*"),
           COUNTIF(T15, "*"&amp;$BN$5&amp;"*"),
           COUNTIF(T15, "*"&amp;$BN$6&amp;"*"),
           COUNTIF(T15, "*"&amp;$BN$7&amp;"*")
         ),
         FALSE,
         TRUE
       ),
       _xlpm.noDigits,
       SUM(--ISNUMBER(FIND({0,1,2,3,4,5,6,7,8,9}, _xlpm.cleaned))) = 0,
       _xlpm.cleaned &amp; IF(_xlpm.needsBR * _xlpm.noDigits, Data!CI57, "")
     ),
  "")
)</f>
        <v/>
      </c>
      <c r="U54" s="41" t="str" cm="1">
        <f t="array" ref="U54">IF(
  AND($Y$57=1, U72&lt;&gt;""),
  "O" &amp; Data!CJ57,
  IF(U15&lt;&gt;"",
     _xlfn.LET(
       _xlpm.cleaned,
       IF(
         OR(COUNTIF(U15,"L*"), COUNTIF(U15,"X*")),
         SUBSTITUTE(SUBSTITUTE(SUBSTITUTE(SUBSTITUTE(U15,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COUNTIF(U15, "*"&amp;$BN$3&amp;"*"),
           COUNTIF(U15, "*"&amp;$BN$4&amp;"*"),
           COUNTIF(U15, "*"&amp;$BN$5&amp;"*"),
           COUNTIF(U15, "*"&amp;$BN$6&amp;"*"),
           COUNTIF(U15, "*"&amp;$BN$7&amp;"*")
         ),
         FALSE,
         TRUE
       ),
       _xlpm.noDigits,
       SUM(--ISNUMBER(FIND({0,1,2,3,4,5,6,7,8,9}, _xlpm.cleaned))) = 0,
       _xlpm.cleaned &amp; IF(_xlpm.needsBR * _xlpm.noDigits, Data!CJ57, "")
     ),
  "")
)</f>
        <v/>
      </c>
      <c r="V54" s="41" t="str" cm="1">
        <f t="array" ref="V54">IF(
  AND($Y$57=1, V72&lt;&gt;""),
  "O" &amp; Data!CK57,
  IF(V15&lt;&gt;"",
     _xlfn.LET(
       _xlpm.cleaned,
       IF(
         OR(COUNTIF(V15,"L*"), COUNTIF(V15,"X*")),
         SUBSTITUTE(SUBSTITUTE(SUBSTITUTE(SUBSTITUTE(V15,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COUNTIF(V15, "*"&amp;$BN$3&amp;"*"),
           COUNTIF(V15, "*"&amp;$BN$4&amp;"*"),
           COUNTIF(V15, "*"&amp;$BN$5&amp;"*"),
           COUNTIF(V15, "*"&amp;$BN$6&amp;"*"),
           COUNTIF(V15, "*"&amp;$BN$7&amp;"*")
         ),
         FALSE,
         TRUE
       ),
       _xlpm.noDigits,
       SUM(--ISNUMBER(FIND({0,1,2,3,4,5,6,7,8,9}, _xlpm.cleaned))) = 0,
       _xlpm.cleaned &amp; IF(_xlpm.needsBR * _xlpm.noDigits, Data!CK57, "")
     ),
  "")
)</f>
        <v/>
      </c>
      <c r="W54" s="41" t="str" cm="1">
        <f t="array" ref="W54">IF(
  AND($Y$57=1, W72&lt;&gt;""),
  "O" &amp; Data!CL57,
  IF(W15&lt;&gt;"",
     _xlfn.LET(
       _xlpm.cleaned,
       IF(
         OR(COUNTIF(W15,"L*"), COUNTIF(W15,"X*")),
         SUBSTITUTE(SUBSTITUTE(SUBSTITUTE(SUBSTITUTE(W15,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COUNTIF(W15, "*"&amp;$BN$3&amp;"*"),
           COUNTIF(W15, "*"&amp;$BN$4&amp;"*"),
           COUNTIF(W15, "*"&amp;$BN$5&amp;"*"),
           COUNTIF(W15, "*"&amp;$BN$6&amp;"*"),
           COUNTIF(W15, "*"&amp;$BN$7&amp;"*")
         ),
         FALSE,
         TRUE
       ),
       _xlpm.noDigits,
       SUM(--ISNUMBER(FIND({0,1,2,3,4,5,6,7,8,9}, _xlpm.cleaned))) = 0,
       _xlpm.cleaned &amp; IF(_xlpm.needsBR * _xlpm.noDigits, Data!CL57, "")
     ),
  "")
)</f>
        <v/>
      </c>
      <c r="X54" s="41" t="str" cm="1">
        <f t="array" ref="X54">IF(
  AND($Y$57=1, X72&lt;&gt;""),
  "O" &amp; Data!CM57,
  IF(X15&lt;&gt;"",
     _xlfn.LET(
       _xlpm.cleaned,
       IF(
         OR(COUNTIF(X15,"L*"), COUNTIF(X15,"X*")),
         SUBSTITUTE(SUBSTITUTE(SUBSTITUTE(SUBSTITUTE(X15,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COUNTIF(X15, "*"&amp;$BN$3&amp;"*"),
           COUNTIF(X15, "*"&amp;$BN$4&amp;"*"),
           COUNTIF(X15, "*"&amp;$BN$5&amp;"*"),
           COUNTIF(X15, "*"&amp;$BN$6&amp;"*"),
           COUNTIF(X15, "*"&amp;$BN$7&amp;"*")
         ),
         FALSE,
         TRUE
       ),
       _xlpm.noDigits,
       SUM(--ISNUMBER(FIND({0,1,2,3,4,5,6,7,8,9}, _xlpm.cleaned))) = 0,
       _xlpm.cleaned &amp; IF(_xlpm.needsBR * _xlpm.noDigits, Data!CM57, "")
     ),
  "")
)</f>
        <v/>
      </c>
      <c r="Y54" s="41" t="str" cm="1">
        <f t="array" ref="Y54">IF(
  AND($Y$57=1, Y72&lt;&gt;""),
  "O" &amp; Data!CN57,
  IF(Y15&lt;&gt;"",
     _xlfn.LET(
       _xlpm.cleaned,
       IF(
         OR(COUNTIF(Y15,"L*"), COUNTIF(Y15,"X*")),
         SUBSTITUTE(SUBSTITUTE(SUBSTITUTE(SUBSTITUTE(Y15,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COUNTIF(Y15, "*"&amp;$BN$3&amp;"*"),
           COUNTIF(Y15, "*"&amp;$BN$4&amp;"*"),
           COUNTIF(Y15, "*"&amp;$BN$5&amp;"*"),
           COUNTIF(Y15, "*"&amp;$BN$6&amp;"*"),
           COUNTIF(Y15, "*"&amp;$BN$7&amp;"*")
         ),
         FALSE,
         TRUE
       ),
       _xlpm.noDigits,
       SUM(--ISNUMBER(FIND({0,1,2,3,4,5,6,7,8,9}, _xlpm.cleaned))) = 0,
       _xlpm.cleaned &amp; IF(_xlpm.needsBR * _xlpm.noDigits, Data!CN57, "")
     ),
  "")
)</f>
        <v/>
      </c>
      <c r="Z54" s="41" t="str" cm="1">
        <f t="array" ref="Z54">IF(
  AND($Y$57=1, Z72&lt;&gt;""),
  "O" &amp; Data!CO57,
  IF(Z15&lt;&gt;"",
     _xlfn.LET(
       _xlpm.cleaned,
       IF(
         OR(COUNTIF(Z15,"L*"), COUNTIF(Z15,"X*")),
         SUBSTITUTE(SUBSTITUTE(SUBSTITUTE(SUBSTITUTE(Z15,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COUNTIF(Z15, "*"&amp;$BN$3&amp;"*"),
           COUNTIF(Z15, "*"&amp;$BN$4&amp;"*"),
           COUNTIF(Z15, "*"&amp;$BN$5&amp;"*"),
           COUNTIF(Z15, "*"&amp;$BN$6&amp;"*"),
           COUNTIF(Z15, "*"&amp;$BN$7&amp;"*")
         ),
         FALSE,
         TRUE
       ),
       _xlpm.noDigits,
       SUM(--ISNUMBER(FIND({0,1,2,3,4,5,6,7,8,9}, _xlpm.cleaned))) = 0,
       _xlpm.cleaned &amp; IF(_xlpm.needsBR * _xlpm.noDigits, Data!CO57, "")
     ),
  "")
)</f>
        <v/>
      </c>
      <c r="AA54" s="41" t="str" cm="1">
        <f t="array" ref="AA54">IF(
  AND($Y$57=1, AA72&lt;&gt;""),
  "O" &amp; Data!CP57,
  IF(AA15&lt;&gt;"",
     _xlfn.LET(
       _xlpm.cleaned,
       IF(
         OR(COUNTIF(AA15,"L*"), COUNTIF(AA15,"X*")),
         SUBSTITUTE(SUBSTITUTE(SUBSTITUTE(SUBSTITUTE(AA15,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COUNTIF(AA15, "*"&amp;$BN$3&amp;"*"),
           COUNTIF(AA15, "*"&amp;$BN$4&amp;"*"),
           COUNTIF(AA15, "*"&amp;$BN$5&amp;"*"),
           COUNTIF(AA15, "*"&amp;$BN$6&amp;"*"),
           COUNTIF(AA15, "*"&amp;$BN$7&amp;"*")
         ),
         FALSE,
         TRUE
       ),
       _xlpm.noDigits,
       SUM(--ISNUMBER(FIND({0,1,2,3,4,5,6,7,8,9}, _xlpm.cleaned))) = 0,
       _xlpm.cleaned &amp; IF(_xlpm.needsBR * _xlpm.noDigits, Data!CP57, "")
     ),
  "")
)</f>
        <v/>
      </c>
      <c r="AB54" s="41" t="str" cm="1">
        <f t="array" ref="AB54">IF(
  AND($Y$57=1, AB72&lt;&gt;""),
  "O" &amp; Data!CQ57,
  IF(AB15&lt;&gt;"",
     _xlfn.LET(
       _xlpm.cleaned,
       IF(
         OR(COUNTIF(AB15,"L*"), COUNTIF(AB15,"X*")),
         SUBSTITUTE(SUBSTITUTE(SUBSTITUTE(SUBSTITUTE(AB15,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COUNTIF(AB15, "*"&amp;$BN$3&amp;"*"),
           COUNTIF(AB15, "*"&amp;$BN$4&amp;"*"),
           COUNTIF(AB15, "*"&amp;$BN$5&amp;"*"),
           COUNTIF(AB15, "*"&amp;$BN$6&amp;"*"),
           COUNTIF(AB15, "*"&amp;$BN$7&amp;"*")
         ),
         FALSE,
         TRUE
       ),
       _xlpm.noDigits,
       SUM(--ISNUMBER(FIND({0,1,2,3,4,5,6,7,8,9}, _xlpm.cleaned))) = 0,
       _xlpm.cleaned &amp; IF(_xlpm.needsBR * _xlpm.noDigits, Data!CQ57, "")
     ),
  "")
)</f>
        <v/>
      </c>
      <c r="AC54" s="41" t="str" cm="1">
        <f t="array" ref="AC54">IF(
  AND($Y$57=1, AC72&lt;&gt;""),
  "O" &amp; Data!CR57,
  IF(AC15&lt;&gt;"",
     _xlfn.LET(
       _xlpm.cleaned,
       IF(
         OR(COUNTIF(AC15,"L*"), COUNTIF(AC15,"X*")),
         SUBSTITUTE(SUBSTITUTE(SUBSTITUTE(SUBSTITUTE(AC15,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COUNTIF(AC15, "*"&amp;$BN$3&amp;"*"),
           COUNTIF(AC15, "*"&amp;$BN$4&amp;"*"),
           COUNTIF(AC15, "*"&amp;$BN$5&amp;"*"),
           COUNTIF(AC15, "*"&amp;$BN$6&amp;"*"),
           COUNTIF(AC15, "*"&amp;$BN$7&amp;"*")
         ),
         FALSE,
         TRUE
       ),
       _xlpm.noDigits,
       SUM(--ISNUMBER(FIND({0,1,2,3,4,5,6,7,8,9}, _xlpm.cleaned))) = 0,
       _xlpm.cleaned &amp; IF(_xlpm.needsBR * _xlpm.noDigits, Data!CR57, "")
     ),
  "")
)</f>
        <v/>
      </c>
      <c r="AD54" s="41" t="str" cm="1">
        <f t="array" ref="AD54">IF(
  AND($Y$57=1, AD72&lt;&gt;""),
  "O" &amp; Data!CS57,
  IF(AD15&lt;&gt;"",
     _xlfn.LET(
       _xlpm.cleaned,
       IF(
         OR(COUNTIF(AD15,"L*"), COUNTIF(AD15,"X*")),
         SUBSTITUTE(SUBSTITUTE(SUBSTITUTE(SUBSTITUTE(AD15,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COUNTIF(AD15, "*"&amp;$BN$3&amp;"*"),
           COUNTIF(AD15, "*"&amp;$BN$4&amp;"*"),
           COUNTIF(AD15, "*"&amp;$BN$5&amp;"*"),
           COUNTIF(AD15, "*"&amp;$BN$6&amp;"*"),
           COUNTIF(AD15, "*"&amp;$BN$7&amp;"*")
         ),
         FALSE,
         TRUE
       ),
       _xlpm.noDigits,
       SUM(--ISNUMBER(FIND({0,1,2,3,4,5,6,7,8,9}, _xlpm.cleaned))) = 0,
       _xlpm.cleaned &amp; IF(_xlpm.needsBR * _xlpm.noDigits, Data!CS57, "")
     ),
  "")
)</f>
        <v/>
      </c>
      <c r="AE54" s="41" t="str" cm="1">
        <f t="array" ref="AE54">IF(
  AND($Y$57=1, AE72&lt;&gt;""),
  "O" &amp; Data!CT57,
  IF(AE15&lt;&gt;"",
     _xlfn.LET(
       _xlpm.cleaned,
       IF(
         OR(COUNTIF(AE15,"L*"), COUNTIF(AE15,"X*")),
         SUBSTITUTE(SUBSTITUTE(SUBSTITUTE(SUBSTITUTE(AE15,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COUNTIF(AE15, "*"&amp;$BN$3&amp;"*"),
           COUNTIF(AE15, "*"&amp;$BN$4&amp;"*"),
           COUNTIF(AE15, "*"&amp;$BN$5&amp;"*"),
           COUNTIF(AE15, "*"&amp;$BN$6&amp;"*"),
           COUNTIF(AE15, "*"&amp;$BN$7&amp;"*")
         ),
         FALSE,
         TRUE
       ),
       _xlpm.noDigits,
       SUM(--ISNUMBER(FIND({0,1,2,3,4,5,6,7,8,9}, _xlpm.cleaned))) = 0,
       _xlpm.cleaned &amp; IF(_xlpm.needsBR * _xlpm.noDigits, Data!CT57, "")
     ),
  "")
)</f>
        <v/>
      </c>
      <c r="AF54" s="41" t="str" cm="1">
        <f t="array" ref="AF54">IF(
  AND($Y$57=1, AF72&lt;&gt;""),
  "O" &amp; Data!CU57,
  IF(AF15&lt;&gt;"",
     _xlfn.LET(
       _xlpm.cleaned,
       IF(
         OR(COUNTIF(AF15,"L*"), COUNTIF(AF15,"X*")),
         SUBSTITUTE(SUBSTITUTE(SUBSTITUTE(SUBSTITUTE(AF15,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COUNTIF(AF15, "*"&amp;$BN$3&amp;"*"),
           COUNTIF(AF15, "*"&amp;$BN$4&amp;"*"),
           COUNTIF(AF15, "*"&amp;$BN$5&amp;"*"),
           COUNTIF(AF15, "*"&amp;$BN$6&amp;"*"),
           COUNTIF(AF15, "*"&amp;$BN$7&amp;"*")
         ),
         FALSE,
         TRUE
       ),
       _xlpm.noDigits,
       SUM(--ISNUMBER(FIND({0,1,2,3,4,5,6,7,8,9}, _xlpm.cleaned))) = 0,
       _xlpm.cleaned &amp; IF(_xlpm.needsBR * _xlpm.noDigits, Data!CU57, "")
     ),
  "")
)</f>
        <v/>
      </c>
      <c r="AG54" s="41" t="str" cm="1">
        <f t="array" ref="AG54">IF(
  AND($Y$57=1, AG72&lt;&gt;""),
  "O" &amp; Data!CV57,
  IF(AG15&lt;&gt;"",
     _xlfn.LET(
       _xlpm.cleaned,
       IF(
         OR(COUNTIF(AG15,"L*"), COUNTIF(AG15,"X*")),
         SUBSTITUTE(SUBSTITUTE(SUBSTITUTE(SUBSTITUTE(AG15,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COUNTIF(AG15, "*"&amp;$BN$3&amp;"*"),
           COUNTIF(AG15, "*"&amp;$BN$4&amp;"*"),
           COUNTIF(AG15, "*"&amp;$BN$5&amp;"*"),
           COUNTIF(AG15, "*"&amp;$BN$6&amp;"*"),
           COUNTIF(AG15, "*"&amp;$BN$7&amp;"*")
         ),
         FALSE,
         TRUE
       ),
       _xlpm.noDigits,
       SUM(--ISNUMBER(FIND({0,1,2,3,4,5,6,7,8,9}, _xlpm.cleaned))) = 0,
       _xlpm.cleaned &amp; IF(_xlpm.needsBR * _xlpm.noDigits, Data!CV57, "")
     ),
  "")
)</f>
        <v/>
      </c>
      <c r="AH54" s="41" t="str" cm="1">
        <f t="array" ref="AH54">IF(
  AND($Y$57=1, AH72&lt;&gt;""),
  "O" &amp; Data!CW57,
  IF(AH15&lt;&gt;"",
     _xlfn.LET(
       _xlpm.cleaned,
       IF(
         OR(COUNTIF(AH15,"L*"), COUNTIF(AH15,"X*")),
         SUBSTITUTE(SUBSTITUTE(SUBSTITUTE(SUBSTITUTE(AH15,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COUNTIF(AH15, "*"&amp;$BN$3&amp;"*"),
           COUNTIF(AH15, "*"&amp;$BN$4&amp;"*"),
           COUNTIF(AH15, "*"&amp;$BN$5&amp;"*"),
           COUNTIF(AH15, "*"&amp;$BN$6&amp;"*"),
           COUNTIF(AH15, "*"&amp;$BN$7&amp;"*")
         ),
         FALSE,
         TRUE
       ),
       _xlpm.noDigits,
       SUM(--ISNUMBER(FIND({0,1,2,3,4,5,6,7,8,9}, _xlpm.cleaned))) = 0,
       _xlpm.cleaned &amp; IF(_xlpm.needsBR * _xlpm.noDigits, Data!CW57, "")
     ),
  "")
)</f>
        <v/>
      </c>
      <c r="AI54" s="41" t="str" cm="1">
        <f t="array" ref="AI54">IF(
  AND($Y$57=1, AI72&lt;&gt;""),
  "O" &amp; Data!CX57,
  IF(AI15&lt;&gt;"",
     _xlfn.LET(
       _xlpm.cleaned,
       IF(
         OR(COUNTIF(AI15,"L*"), COUNTIF(AI15,"X*")),
         SUBSTITUTE(SUBSTITUTE(SUBSTITUTE(SUBSTITUTE(AI15,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COUNTIF(AI15, "*"&amp;$BN$3&amp;"*"),
           COUNTIF(AI15, "*"&amp;$BN$4&amp;"*"),
           COUNTIF(AI15, "*"&amp;$BN$5&amp;"*"),
           COUNTIF(AI15, "*"&amp;$BN$6&amp;"*"),
           COUNTIF(AI15, "*"&amp;$BN$7&amp;"*")
         ),
         FALSE,
         TRUE
       ),
       _xlpm.noDigits,
       SUM(--ISNUMBER(FIND({0,1,2,3,4,5,6,7,8,9}, _xlpm.cleaned))) = 0,
       _xlpm.cleaned &amp; IF(_xlpm.needsBR * _xlpm.noDigits, Data!CX57, "")
     ),
  "")
)</f>
        <v/>
      </c>
      <c r="AJ54" s="41" t="str" cm="1">
        <f t="array" ref="AJ54">IF(
  AND($Y$57=1, AJ72&lt;&gt;""),
  "O" &amp; Data!CY57,
  IF(AJ15&lt;&gt;"",
     _xlfn.LET(
       _xlpm.cleaned,
       IF(
         OR(COUNTIF(AJ15,"L*"), COUNTIF(AJ15,"X*")),
         SUBSTITUTE(SUBSTITUTE(SUBSTITUTE(SUBSTITUTE(AJ15,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COUNTIF(AJ15, "*"&amp;$BN$3&amp;"*"),
           COUNTIF(AJ15, "*"&amp;$BN$4&amp;"*"),
           COUNTIF(AJ15, "*"&amp;$BN$5&amp;"*"),
           COUNTIF(AJ15, "*"&amp;$BN$6&amp;"*"),
           COUNTIF(AJ15, "*"&amp;$BN$7&amp;"*")
         ),
         FALSE,
         TRUE
       ),
       _xlpm.noDigits,
       SUM(--ISNUMBER(FIND({0,1,2,3,4,5,6,7,8,9}, _xlpm.cleaned))) = 0,
       _xlpm.cleaned &amp; IF(_xlpm.needsBR * _xlpm.noDigits, Data!CY57, "")
     ),
  "")
)</f>
        <v/>
      </c>
    </row>
    <row r="55" spans="1:69" ht="15" customHeight="1" x14ac:dyDescent="0.35"/>
    <row r="56" spans="1:69" ht="15.75" customHeight="1" thickBot="1" x14ac:dyDescent="0.4"/>
    <row r="57" spans="1:69" ht="10" customHeight="1" thickBot="1" x14ac:dyDescent="0.4">
      <c r="A57" s="1210" t="s">
        <v>135</v>
      </c>
      <c r="B57" s="1211"/>
      <c r="C57" s="1211"/>
      <c r="D57" s="1211"/>
      <c r="E57" s="1211"/>
      <c r="F57" s="1211"/>
      <c r="G57" s="1211"/>
      <c r="H57" s="1211"/>
      <c r="I57" s="1211"/>
      <c r="J57" s="1211"/>
      <c r="K57" s="1211"/>
      <c r="L57" s="1212"/>
      <c r="M57" s="1210" t="s">
        <v>782</v>
      </c>
      <c r="N57" s="1211"/>
      <c r="O57" s="1211"/>
      <c r="P57" s="1211"/>
      <c r="Q57" s="1211"/>
      <c r="R57" s="1211"/>
      <c r="S57" s="1211"/>
      <c r="T57" s="1211"/>
      <c r="U57" s="1211"/>
      <c r="V57" s="1211"/>
      <c r="W57" s="1211"/>
      <c r="X57" s="1212"/>
      <c r="Y57" s="101" t="str">
        <f>IF(Data!L3&lt;&gt;"",Data!L3," ")</f>
        <v xml:space="preserve"> </v>
      </c>
      <c r="Z57" s="1210"/>
      <c r="AA57" s="1211"/>
      <c r="AB57" s="1211"/>
      <c r="AC57" s="1211"/>
      <c r="AD57" s="1211"/>
      <c r="AE57" s="1211"/>
      <c r="AF57" s="1211"/>
      <c r="AG57" s="1211"/>
      <c r="AH57" s="1211"/>
      <c r="AI57" s="1212"/>
      <c r="AN57" s="83"/>
      <c r="AO57" s="83" t="s">
        <v>110</v>
      </c>
      <c r="AP57" s="83" t="s">
        <v>145</v>
      </c>
      <c r="AQ57" s="83" t="s">
        <v>136</v>
      </c>
      <c r="AR57" s="83" t="s">
        <v>137</v>
      </c>
      <c r="AS57" s="83" t="s">
        <v>138</v>
      </c>
      <c r="AT57" s="83" t="s">
        <v>139</v>
      </c>
      <c r="AU57" s="83" t="s">
        <v>140</v>
      </c>
      <c r="AV57" s="83" t="s">
        <v>299</v>
      </c>
      <c r="AW57" s="83" t="s">
        <v>300</v>
      </c>
      <c r="AX57" s="83" t="s">
        <v>301</v>
      </c>
      <c r="AY57" s="83" t="s">
        <v>302</v>
      </c>
      <c r="AZ57" s="83" t="s">
        <v>303</v>
      </c>
      <c r="BA57" s="83" t="s">
        <v>2491</v>
      </c>
      <c r="BB57" s="83" t="s">
        <v>2492</v>
      </c>
      <c r="BC57" s="83" t="s">
        <v>2493</v>
      </c>
      <c r="BD57" s="83" t="s">
        <v>2494</v>
      </c>
      <c r="BE57" s="83" t="s">
        <v>2495</v>
      </c>
      <c r="BF57" s="83" t="s">
        <v>2496</v>
      </c>
      <c r="BG57" s="83" t="s">
        <v>2497</v>
      </c>
      <c r="BH57" s="93"/>
      <c r="BI57" s="83" t="s">
        <v>21</v>
      </c>
    </row>
    <row r="58" spans="1:69" ht="24" customHeight="1" thickBot="1" x14ac:dyDescent="0.4">
      <c r="A58" s="34"/>
      <c r="B58" s="35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N58" s="60" t="s">
        <v>717</v>
      </c>
      <c r="AO58" s="93">
        <f>IF(COUNTIF($C$111:$AJ$122,"X"),COUNTIF($C$111:$AJ$122,"X"),0)</f>
        <v>0</v>
      </c>
      <c r="AP58" s="93">
        <f>IF(COUNTIF($C$111:$AJ$122,"X0"),COUNTIF($C$111:$AJ$122,"X0"),0)</f>
        <v>0</v>
      </c>
      <c r="AQ58" s="93">
        <f>IF(COUNTIF($C$111:$AJ$122,"X1"),COUNTIF($C$111:$AJ$122,"X1"),0)</f>
        <v>0</v>
      </c>
      <c r="AR58" s="93">
        <f>IF(COUNTIF($C$111:$AJ$122,"X2"),COUNTIF($C$111:$AJ$122,"X2"),0)</f>
        <v>0</v>
      </c>
      <c r="AS58" s="93">
        <f>IF(COUNTIF($C$111:$AJ$122,"X3"),COUNTIF($C$111:$AJ$122,"X3"),0)</f>
        <v>0</v>
      </c>
      <c r="AT58" s="93">
        <f>IF(COUNTIF($C$111:$AJ$122,"X4"),COUNTIF($C$111:$AJ$122,"X4"),0)</f>
        <v>0</v>
      </c>
      <c r="AU58" s="93">
        <f>IF(COUNTIF($C$111:$AJ$122,"X5"),COUNTIF($C$111:$AJ$122,"X5"),0)</f>
        <v>0</v>
      </c>
      <c r="AV58" s="93">
        <f>IF(COUNTIF($C$111:$AJ$122,"X6"),COUNTIF($C$111:$AJ$122,"X6"),0)</f>
        <v>0</v>
      </c>
      <c r="AW58" s="93">
        <f>IF(COUNTIF($C$111:$AJ$122,"X7"),COUNTIF($C$111:$AJ$122,"X7"),0)</f>
        <v>0</v>
      </c>
      <c r="AX58" s="93">
        <f>IF(COUNTIF($C$111:$AJ$122,"X8"),COUNTIF($C$111:$AJ$122,"X8"),0)</f>
        <v>0</v>
      </c>
      <c r="AY58" s="93">
        <f>IF(COUNTIF($C$111:$AJ$122,"X9"),COUNTIF($C$111:$AJ$122,"X9"),0)</f>
        <v>0</v>
      </c>
      <c r="AZ58" s="93">
        <f>IF(COUNTIF($C$111:$AJ$122,"X10"),COUNTIF($C$111:$AJ$122,"X10"),0)</f>
        <v>0</v>
      </c>
      <c r="BA58" s="93">
        <f>IF(COUNTIF($C$111:$AJ$122,"X11"),COUNTIF($C$111:$AJ$122,"X11"),0)</f>
        <v>0</v>
      </c>
      <c r="BB58" s="93">
        <f>IF(COUNTIF($C$111:$AJ$122,"X12"),COUNTIF($C$111:$AJ$122,"X12"),0)</f>
        <v>0</v>
      </c>
      <c r="BC58" s="93">
        <f>IF(COUNTIF($C$111:$AJ$122,"X13"),COUNTIF($C$111:$AJ$122,"X13"),0)</f>
        <v>0</v>
      </c>
      <c r="BD58" s="93">
        <f>IF(COUNTIF($C$111:$AJ$122,"X14"),COUNTIF($C$111:$AJ$122,"X14"),0)</f>
        <v>0</v>
      </c>
      <c r="BE58" s="93">
        <f>IF(COUNTIF($C$111:$AJ$122,"X15"),COUNTIF($C$111:$AJ$122,"X15"),0)</f>
        <v>0</v>
      </c>
      <c r="BF58" s="93">
        <f>IF(COUNTIF($C$111:$AJ$122,"X16"),COUNTIF($C$111:$AJ$122,"X16"),0)</f>
        <v>0</v>
      </c>
      <c r="BG58" s="93">
        <f>IF(COUNTIF($C$111:$AJ$122,"X17"),COUNTIF($C$111:$AJ$122,"X17"),0)</f>
        <v>0</v>
      </c>
      <c r="BH58" s="93"/>
      <c r="BI58" s="93">
        <f>SUM(AO58:BG58)</f>
        <v>0</v>
      </c>
      <c r="BN58" s="86" t="s">
        <v>108</v>
      </c>
      <c r="BO58" s="87" t="s">
        <v>4</v>
      </c>
      <c r="BP58" s="87" t="s">
        <v>5</v>
      </c>
      <c r="BQ58" s="88" t="s">
        <v>776</v>
      </c>
    </row>
    <row r="59" spans="1:69" ht="21" customHeight="1" thickBot="1" x14ac:dyDescent="0.4">
      <c r="A59" s="1202"/>
      <c r="B59" s="1203"/>
      <c r="C59" s="1207" t="s">
        <v>17</v>
      </c>
      <c r="D59" s="1207"/>
      <c r="E59" s="1207"/>
      <c r="F59" s="1207"/>
      <c r="G59" s="1207"/>
      <c r="H59" s="1207"/>
      <c r="I59" s="1207"/>
      <c r="J59" s="1207"/>
      <c r="K59" s="1207"/>
      <c r="L59" s="1207"/>
      <c r="M59" s="1207"/>
      <c r="N59" s="1207"/>
      <c r="O59" s="1207"/>
      <c r="P59" s="1207"/>
      <c r="Q59" s="1207"/>
      <c r="R59" s="1207"/>
      <c r="S59" s="1207"/>
      <c r="T59" s="1207"/>
      <c r="U59" s="1207"/>
      <c r="V59" s="1208"/>
      <c r="W59" s="6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8"/>
      <c r="AN59" s="60" t="s">
        <v>718</v>
      </c>
      <c r="AO59" s="93">
        <f>COUNTIF($C$111:$AJ$122,"*~*")</f>
        <v>0</v>
      </c>
      <c r="AP59" s="93">
        <f>COUNTIF($C$111:$AJ$122,"X~*0")</f>
        <v>0</v>
      </c>
      <c r="AQ59" s="93">
        <f>COUNTIF($C$111:$AJ$122,"X~*1")</f>
        <v>0</v>
      </c>
      <c r="AR59" s="93">
        <f>COUNTIF($C$111:$AJ$122,"X~*2")</f>
        <v>0</v>
      </c>
      <c r="AS59" s="93">
        <f>COUNTIF($C$111:$AJ$122,"X~*3")</f>
        <v>0</v>
      </c>
      <c r="AT59" s="93">
        <f>COUNTIF($C$111:$AJ$122,"X~*4")</f>
        <v>0</v>
      </c>
      <c r="AU59" s="93">
        <f>COUNTIF($C$111:$AJ$122,"X~*5")</f>
        <v>0</v>
      </c>
      <c r="AV59" s="93">
        <f>COUNTIF($C$111:$AJ$122,"X~*6")</f>
        <v>0</v>
      </c>
      <c r="AW59" s="93">
        <f>COUNTIF($C$111:$AJ$122,"X~*7")</f>
        <v>0</v>
      </c>
      <c r="AX59" s="93">
        <f>COUNTIF($C$111:$AJ$122,"X~*8")</f>
        <v>0</v>
      </c>
      <c r="AY59" s="93">
        <f>COUNTIF($C$111:$AJ$122,"X~*9")</f>
        <v>0</v>
      </c>
      <c r="AZ59" s="93">
        <f>COUNTIF($C$111:$AJ$122,"X~*10")</f>
        <v>0</v>
      </c>
      <c r="BA59" s="13">
        <f>COUNTIF($C$111:$AJ$122,"X~*11")</f>
        <v>0</v>
      </c>
      <c r="BB59" s="13">
        <f>COUNTIF($C$111:$AJ$122,"X~*12")</f>
        <v>0</v>
      </c>
      <c r="BC59" s="13">
        <f>COUNTIF($C$111:$AJ$122,"X~*13")</f>
        <v>0</v>
      </c>
      <c r="BD59" s="13">
        <f>COUNTIF($C$111:$AJ$122,"X~*14")</f>
        <v>0</v>
      </c>
      <c r="BE59" s="13">
        <f>COUNTIF($C$111:$AJ$122,"X~*15")</f>
        <v>0</v>
      </c>
      <c r="BF59" s="13">
        <f>COUNTIF($C$111:$AJ$122,"X~*16")</f>
        <v>0</v>
      </c>
      <c r="BG59" s="13">
        <f>COUNTIF($C$111:$AJ$122,"X~*17")</f>
        <v>0</v>
      </c>
      <c r="BH59" s="95"/>
      <c r="BI59" s="93">
        <f t="shared" ref="BI59:BI64" si="4">SUM(AO59:BG59)</f>
        <v>0</v>
      </c>
      <c r="BM59" s="69" t="s">
        <v>310</v>
      </c>
      <c r="BN59" s="70">
        <f>IF(MAX(Data!BI$46:BI$62)&lt;&gt;0,MAX(Data!$BI$46:$BI$62)+1,"")</f>
        <v>4</v>
      </c>
      <c r="BO59" s="36">
        <f>IF(Data!E4&lt;&gt;"",Data!E4,0)</f>
        <v>6</v>
      </c>
      <c r="BP59" s="36">
        <f>IF(Data!F4&lt;&gt;"",Data!F4,0)</f>
        <v>643738</v>
      </c>
      <c r="BQ59" s="89" t="str">
        <f>"To Replaced Cutter #"&amp;" "&amp;Data!G4</f>
        <v>To Replaced Cutter # 2</v>
      </c>
    </row>
    <row r="60" spans="1:69" ht="21" customHeight="1" thickBot="1" x14ac:dyDescent="0.4">
      <c r="A60" s="1204"/>
      <c r="B60" s="1205"/>
      <c r="C60" s="16">
        <v>1</v>
      </c>
      <c r="D60" s="17">
        <v>2</v>
      </c>
      <c r="E60" s="17">
        <v>3</v>
      </c>
      <c r="F60" s="17">
        <v>4</v>
      </c>
      <c r="G60" s="17">
        <v>5</v>
      </c>
      <c r="H60" s="17">
        <v>6</v>
      </c>
      <c r="I60" s="17">
        <v>7</v>
      </c>
      <c r="J60" s="17">
        <v>8</v>
      </c>
      <c r="K60" s="17">
        <v>9</v>
      </c>
      <c r="L60" s="17">
        <v>10</v>
      </c>
      <c r="M60" s="17">
        <v>11</v>
      </c>
      <c r="N60" s="17">
        <v>12</v>
      </c>
      <c r="O60" s="17">
        <v>13</v>
      </c>
      <c r="P60" s="17">
        <v>14</v>
      </c>
      <c r="Q60" s="17">
        <v>15</v>
      </c>
      <c r="R60" s="17">
        <v>16</v>
      </c>
      <c r="S60" s="17">
        <v>17</v>
      </c>
      <c r="T60" s="17">
        <v>18</v>
      </c>
      <c r="U60" s="17">
        <v>19</v>
      </c>
      <c r="V60" s="18">
        <v>20</v>
      </c>
      <c r="W60" s="17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20"/>
      <c r="AN60" s="60" t="s">
        <v>719</v>
      </c>
      <c r="AO60" s="93">
        <f>IF(COUNTIF($C$111:$AJ$122,"L"),COUNTIF($C$111:$AJ$122,"L"),0)</f>
        <v>0</v>
      </c>
      <c r="AP60" s="93">
        <f>IF(COUNTIF($C$111:$AJ$122,"L0"),COUNTIF($C$111:$AJ$122,"L0"),0)</f>
        <v>0</v>
      </c>
      <c r="AQ60" s="93">
        <f>IF(COUNTIF($C$111:$AJ$122,"L1"),COUNTIF($C$111:$AJ$122,"L1"),0)</f>
        <v>0</v>
      </c>
      <c r="AR60" s="93">
        <f>IF(COUNTIF($C$111:$AJ$122,"L2"),COUNTIF($C$111:$AJ$122,"L2"),0)</f>
        <v>0</v>
      </c>
      <c r="AS60" s="93">
        <f>IF(COUNTIF($C$111:$AJ$122,"L3"),COUNTIF($C$111:$AJ$122,"L3"),0)</f>
        <v>0</v>
      </c>
      <c r="AT60" s="93">
        <f>IF(COUNTIF($C$111:$AJ$122,"L4"),COUNTIF($C$111:$AJ$122,"L4"),0)</f>
        <v>0</v>
      </c>
      <c r="AU60" s="93">
        <f>IF(COUNTIF($C$111:$AJ$122,"L5"),COUNTIF($C$111:$AJ$122,"L5"),0)</f>
        <v>0</v>
      </c>
      <c r="AV60" s="93">
        <f>IF(COUNTIF($C$111:$AJ$122,"L6"),COUNTIF($C$111:$AJ$122,"L6"),0)</f>
        <v>0</v>
      </c>
      <c r="AW60" s="93">
        <f>IF(COUNTIF($C$111:$AJ$122,"L7"),COUNTIF($C$111:$AJ$122,"L7"),0)</f>
        <v>0</v>
      </c>
      <c r="AX60" s="93">
        <f>IF(COUNTIF($C$111:$AJ$122,"L8"),COUNTIF($C$111:$AJ$122,"L8"),0)</f>
        <v>0</v>
      </c>
      <c r="AY60" s="93">
        <f>IF(COUNTIF($C$111:$AJ$122,"L9"),COUNTIF($C$111:$AJ$122,"L9"),0)</f>
        <v>0</v>
      </c>
      <c r="AZ60" s="93">
        <f>IF(COUNTIF($C$111:$AJ$122,"L10"),COUNTIF($C$111:$AJ$122,"L10"),0)</f>
        <v>0</v>
      </c>
      <c r="BA60" s="93">
        <f>IF(COUNTIF($C$111:$AJ$122,"L11"),COUNTIF($C$111:$AJ$122,"L11"),0)</f>
        <v>0</v>
      </c>
      <c r="BB60" s="93">
        <f>IF(COUNTIF($C$111:$AJ$122,"L12"),COUNTIF($C$111:$AJ$122,"L12"),0)</f>
        <v>0</v>
      </c>
      <c r="BC60" s="93">
        <f>IF(COUNTIF($C$111:$AJ$122,"L13"),COUNTIF($C$111:$AJ$122,"L13"),0)</f>
        <v>0</v>
      </c>
      <c r="BD60" s="93">
        <f>IF(COUNTIF($C$111:$AJ$122,"L14"),COUNTIF($C$111:$AJ$122,"L14"),0)</f>
        <v>0</v>
      </c>
      <c r="BE60" s="93">
        <f>IF(COUNTIF($C$111:$AJ$122,"L15"),COUNTIF($C$111:$AJ$122,"L15"),0)</f>
        <v>0</v>
      </c>
      <c r="BF60" s="93">
        <f>IF(COUNTIF($C$111:$AJ$122,"L16"),COUNTIF($C$111:$AJ$122,"L16"),0)</f>
        <v>0</v>
      </c>
      <c r="BG60" s="93">
        <f>IF(COUNTIF($C$111:$AJ$122,"L17"),COUNTIF($C$111:$AJ$122,"L17"),0)</f>
        <v>0</v>
      </c>
      <c r="BH60" s="94"/>
      <c r="BI60" s="93">
        <f t="shared" si="4"/>
        <v>0</v>
      </c>
      <c r="BM60" s="69" t="s">
        <v>311</v>
      </c>
      <c r="BN60" s="70">
        <f>IFERROR(BN59+1,"")</f>
        <v>5</v>
      </c>
      <c r="BO60" s="36">
        <f>IF(Data!E5&lt;&gt;"",Data!E5,0)</f>
        <v>21</v>
      </c>
      <c r="BP60" s="36">
        <f>IF(Data!F5&lt;&gt;"",Data!F5,0)</f>
        <v>1126402</v>
      </c>
      <c r="BQ60" s="89" t="str">
        <f>"To Replaced Cutter #"&amp;" "&amp;Data!G5</f>
        <v>To Replaced Cutter # 1</v>
      </c>
    </row>
    <row r="61" spans="1:69" ht="23.25" customHeight="1" thickBot="1" x14ac:dyDescent="0.4">
      <c r="A61" s="1196" t="s">
        <v>18</v>
      </c>
      <c r="B61" s="21">
        <v>1</v>
      </c>
      <c r="C61" s="41" t="str">
        <f>IF('Eng. Cutter Entry'!C4&lt;&gt;"",'Eng. Cutter Entry'!C4,"")</f>
        <v/>
      </c>
      <c r="D61" s="41" t="str">
        <f>IF('Eng. Cutter Entry'!D4&lt;&gt;"",'Eng. Cutter Entry'!D4,"")</f>
        <v/>
      </c>
      <c r="E61" s="41" t="str">
        <f>IF('Eng. Cutter Entry'!E4&lt;&gt;"",'Eng. Cutter Entry'!E4,"")</f>
        <v/>
      </c>
      <c r="F61" s="41" t="str">
        <f>IF('Eng. Cutter Entry'!F4&lt;&gt;"",'Eng. Cutter Entry'!F4,"")</f>
        <v/>
      </c>
      <c r="G61" s="41" t="str">
        <f>IF('Eng. Cutter Entry'!G4&lt;&gt;"",'Eng. Cutter Entry'!G4,"")</f>
        <v/>
      </c>
      <c r="H61" s="41" t="str">
        <f>IF('Eng. Cutter Entry'!H4&lt;&gt;"",'Eng. Cutter Entry'!H4,"")</f>
        <v/>
      </c>
      <c r="I61" s="1022" t="str">
        <f>IF('Eng. Cutter Entry'!I4&lt;&gt;"",'Eng. Cutter Entry'!I4,"")</f>
        <v/>
      </c>
      <c r="J61" s="41" t="str">
        <f>IF('Eng. Cutter Entry'!J4&lt;&gt;"",'Eng. Cutter Entry'!J4,"")</f>
        <v/>
      </c>
      <c r="K61" s="41" t="str">
        <f>IF('Eng. Cutter Entry'!K4&lt;&gt;"",'Eng. Cutter Entry'!K4,"")</f>
        <v/>
      </c>
      <c r="L61" s="41" t="str">
        <f>IF('Eng. Cutter Entry'!L4&lt;&gt;"",'Eng. Cutter Entry'!L4,"")</f>
        <v/>
      </c>
      <c r="M61" s="41" t="str">
        <f>IF('Eng. Cutter Entry'!M4&lt;&gt;"",'Eng. Cutter Entry'!M4,"")</f>
        <v/>
      </c>
      <c r="N61" s="41" t="str">
        <f>IF('Eng. Cutter Entry'!N4&lt;&gt;"",'Eng. Cutter Entry'!N4,"")</f>
        <v/>
      </c>
      <c r="O61" s="41" t="str">
        <f>IF('Eng. Cutter Entry'!O4&lt;&gt;"",'Eng. Cutter Entry'!O4,"")</f>
        <v/>
      </c>
      <c r="P61" s="41" t="str">
        <f>IF('Eng. Cutter Entry'!P4&lt;&gt;"",'Eng. Cutter Entry'!P4,"")</f>
        <v/>
      </c>
      <c r="Q61" s="41" t="str">
        <f>IF('Eng. Cutter Entry'!Q4&lt;&gt;"",'Eng. Cutter Entry'!Q4,"")</f>
        <v/>
      </c>
      <c r="R61" s="41" t="str">
        <f>IF('Eng. Cutter Entry'!R4&lt;&gt;"",'Eng. Cutter Entry'!R4,"")</f>
        <v/>
      </c>
      <c r="S61" s="41" t="str">
        <f>IF('Eng. Cutter Entry'!S4&lt;&gt;"",'Eng. Cutter Entry'!S4,"")</f>
        <v/>
      </c>
      <c r="T61" s="41" t="str">
        <f>IF('Eng. Cutter Entry'!T4&lt;&gt;"",'Eng. Cutter Entry'!T4,"")</f>
        <v/>
      </c>
      <c r="U61" s="41" t="str">
        <f>IF('Eng. Cutter Entry'!U4&lt;&gt;"",'Eng. Cutter Entry'!U4,"")</f>
        <v/>
      </c>
      <c r="V61" s="41" t="str">
        <f>IF('Eng. Cutter Entry'!V4&lt;&gt;"",'Eng. Cutter Entry'!V4,"")</f>
        <v/>
      </c>
      <c r="W61" s="41" t="str">
        <f>IF('Eng. Cutter Entry'!W4&lt;&gt;"",'Eng. Cutter Entry'!W4,"")</f>
        <v/>
      </c>
      <c r="X61" s="41" t="str">
        <f>IF('Eng. Cutter Entry'!X4&lt;&gt;"",'Eng. Cutter Entry'!X4,"")</f>
        <v/>
      </c>
      <c r="Y61" s="41" t="str">
        <f>IF('Eng. Cutter Entry'!Y4&lt;&gt;"",'Eng. Cutter Entry'!Y4,"")</f>
        <v/>
      </c>
      <c r="Z61" s="41" t="str">
        <f>IF('Eng. Cutter Entry'!Z4&lt;&gt;"",'Eng. Cutter Entry'!Z4,"")</f>
        <v/>
      </c>
      <c r="AA61" s="41" t="str">
        <f>IF('Eng. Cutter Entry'!AA4&lt;&gt;"",'Eng. Cutter Entry'!AA4,"")</f>
        <v/>
      </c>
      <c r="AB61" s="41" t="str">
        <f>IF('Eng. Cutter Entry'!AB4&lt;&gt;"",'Eng. Cutter Entry'!AB4,"")</f>
        <v/>
      </c>
      <c r="AC61" s="41" t="str">
        <f>IF('Eng. Cutter Entry'!AC4&lt;&gt;"",'Eng. Cutter Entry'!AC4,"")</f>
        <v/>
      </c>
      <c r="AD61" s="41" t="str">
        <f>IF('Eng. Cutter Entry'!AD4&lt;&gt;"",'Eng. Cutter Entry'!AD4,"")</f>
        <v/>
      </c>
      <c r="AE61" s="41" t="str">
        <f>IF('Eng. Cutter Entry'!AE4&lt;&gt;"",'Eng. Cutter Entry'!AE4,"")</f>
        <v/>
      </c>
      <c r="AF61" s="41" t="str">
        <f>IF('Eng. Cutter Entry'!AF4&lt;&gt;"",'Eng. Cutter Entry'!AF4,"")</f>
        <v/>
      </c>
      <c r="AG61" s="41" t="str">
        <f>IF('Eng. Cutter Entry'!AG4&lt;&gt;"",'Eng. Cutter Entry'!AG4,"")</f>
        <v/>
      </c>
      <c r="AH61" s="41" t="str">
        <f>IF('Eng. Cutter Entry'!AH4&lt;&gt;"",'Eng. Cutter Entry'!AH4,"")</f>
        <v/>
      </c>
      <c r="AI61" s="41" t="str">
        <f>IF('Eng. Cutter Entry'!AI4&lt;&gt;"",'Eng. Cutter Entry'!AI4,"")</f>
        <v/>
      </c>
      <c r="AJ61" s="41" t="str">
        <f>IF('Eng. Cutter Entry'!AJ4&lt;&gt;"",'Eng. Cutter Entry'!AJ4,"")</f>
        <v/>
      </c>
      <c r="AK61" s="42"/>
      <c r="AL61" s="42" t="s">
        <v>110</v>
      </c>
      <c r="AN61" s="60" t="s">
        <v>720</v>
      </c>
      <c r="AO61" s="93">
        <f>COUNTIF($C$111:$AJ$122,"L~*")-COUNTIF($C$111:$AJ$122,"L")</f>
        <v>0</v>
      </c>
      <c r="AP61" s="93">
        <f>COUNTIF($C$111:$AJ$122,"L*0")-COUNTIF($C$111:$AJ$122,"L0")</f>
        <v>0</v>
      </c>
      <c r="AQ61" s="93">
        <f>COUNTIF($C$111:$AJ$122,"L*1")-COUNTIF($C$111:$AJ$122,"L1")</f>
        <v>0</v>
      </c>
      <c r="AR61" s="93">
        <f>COUNTIF($C$111:$AJ$122,"L*2")-COUNTIF($C$111:$AJ$122,"L2")</f>
        <v>0</v>
      </c>
      <c r="AS61" s="93">
        <f>COUNTIF($C$111:$AJ$122,"L*3")-COUNTIF($C$111:$AJ$122,"L3")</f>
        <v>0</v>
      </c>
      <c r="AT61" s="93">
        <f>COUNTIF($C$111:$AJ$122,"L*4")-COUNTIF($C$111:$AJ$122,"L4")</f>
        <v>0</v>
      </c>
      <c r="AU61" s="93">
        <f>COUNTIF($C$111:$AJ$122,"L*5")-COUNTIF($C$111:$AJ$122,"L5")</f>
        <v>0</v>
      </c>
      <c r="AV61" s="93">
        <f>COUNTIF($C$111:$AJ$122,"L*6")-COUNTIF($C$111:$AJ$122,"L6")</f>
        <v>0</v>
      </c>
      <c r="AW61" s="93">
        <f>COUNTIF($C$111:$AJ$122,"L*7")-COUNTIF($C$111:$AJ$122,"L7")</f>
        <v>0</v>
      </c>
      <c r="AX61" s="93">
        <f>COUNTIF($C$111:$AJ$122,"L*8")-COUNTIF($C$111:$AJ$122,"L8")</f>
        <v>0</v>
      </c>
      <c r="AY61" s="93">
        <f>COUNTIF($C$111:$AJ$122,"L*9")-COUNTIF($C$111:$AJ$122,"L9")</f>
        <v>0</v>
      </c>
      <c r="AZ61" s="93">
        <f>COUNTIF($C$111:$AJ$122,"L*10")-COUNTIF($C$111:$AJ$122,"L10")</f>
        <v>0</v>
      </c>
      <c r="BA61" s="93">
        <f>COUNTIF($C$111:$AJ$122,"L*11")-COUNTIF($C$111:$AJ$122,"L11")</f>
        <v>0</v>
      </c>
      <c r="BB61" s="93">
        <f>COUNTIF($C$111:$AJ$122,"L*12")-COUNTIF($C$111:$AJ$122,"L12")</f>
        <v>0</v>
      </c>
      <c r="BC61" s="93">
        <f>COUNTIF($C$111:$AJ$122,"L*13")-COUNTIF($C$111:$AJ$122,"L13")</f>
        <v>0</v>
      </c>
      <c r="BD61" s="93">
        <f>COUNTIF($C$111:$AJ$122,"L*14")-COUNTIF($C$111:$AJ$122,"L14")</f>
        <v>0</v>
      </c>
      <c r="BE61" s="93">
        <f>COUNTIF($C$111:$AJ$122,"L*15")-COUNTIF($C$111:$AJ$122,"L15")</f>
        <v>0</v>
      </c>
      <c r="BF61" s="93">
        <f>COUNTIF($C$111:$AJ$122,"L*16")-COUNTIF($C$111:$AJ$122,"L16")</f>
        <v>0</v>
      </c>
      <c r="BG61" s="93">
        <f>COUNTIF($C$111:$AJ$122,"L*17")-COUNTIF($C$111:$AJ$122,"L17")</f>
        <v>0</v>
      </c>
      <c r="BH61" s="94"/>
      <c r="BI61" s="93">
        <f t="shared" si="4"/>
        <v>0</v>
      </c>
      <c r="BM61" s="69" t="s">
        <v>312</v>
      </c>
      <c r="BN61" s="70">
        <f>IFERROR(BN60+1,"")</f>
        <v>6</v>
      </c>
      <c r="BO61" s="36">
        <f>IF(Data!E6&lt;&gt;"",Data!E6,0)</f>
        <v>0</v>
      </c>
      <c r="BP61" s="36">
        <f>IF(Data!F6&lt;&gt;"",Data!F6,0)</f>
        <v>0</v>
      </c>
      <c r="BQ61" s="89" t="str">
        <f>"To Replaced Cutter #"&amp;" "&amp;Data!G6</f>
        <v xml:space="preserve">To Replaced Cutter # </v>
      </c>
    </row>
    <row r="62" spans="1:69" ht="23.25" customHeight="1" thickBot="1" x14ac:dyDescent="0.4">
      <c r="A62" s="1196"/>
      <c r="B62" s="22">
        <v>2</v>
      </c>
      <c r="C62" s="41" t="str">
        <f>IF('Eng. Cutter Entry'!C5&lt;&gt;"",'Eng. Cutter Entry'!C5,"")</f>
        <v/>
      </c>
      <c r="D62" s="41" t="str">
        <f>IF('Eng. Cutter Entry'!D5&lt;&gt;"",'Eng. Cutter Entry'!D5,"")</f>
        <v/>
      </c>
      <c r="E62" s="41" t="str">
        <f>IF('Eng. Cutter Entry'!E5&lt;&gt;"",'Eng. Cutter Entry'!E5,"")</f>
        <v/>
      </c>
      <c r="F62" s="41" t="str">
        <f>IF('Eng. Cutter Entry'!F5&lt;&gt;"",'Eng. Cutter Entry'!F5,"")</f>
        <v/>
      </c>
      <c r="G62" s="41" t="str">
        <f>IF('Eng. Cutter Entry'!G5&lt;&gt;"",'Eng. Cutter Entry'!G5,"")</f>
        <v/>
      </c>
      <c r="H62" s="41" t="str">
        <f>IF('Eng. Cutter Entry'!H5&lt;&gt;"",'Eng. Cutter Entry'!H5,"")</f>
        <v/>
      </c>
      <c r="I62" s="41" t="str">
        <f>IF('Eng. Cutter Entry'!I5&lt;&gt;"",'Eng. Cutter Entry'!I5,"")</f>
        <v/>
      </c>
      <c r="J62" s="41" t="str">
        <f>IF('Eng. Cutter Entry'!J5&lt;&gt;"",'Eng. Cutter Entry'!J5,"")</f>
        <v/>
      </c>
      <c r="K62" s="41" t="str">
        <f>IF('Eng. Cutter Entry'!K5&lt;&gt;"",'Eng. Cutter Entry'!K5,"")</f>
        <v/>
      </c>
      <c r="L62" s="41" t="str">
        <f>IF('Eng. Cutter Entry'!L5&lt;&gt;"",'Eng. Cutter Entry'!L5,"")</f>
        <v/>
      </c>
      <c r="M62" s="41" t="str">
        <f>IF('Eng. Cutter Entry'!M5&lt;&gt;"",'Eng. Cutter Entry'!M5,"")</f>
        <v/>
      </c>
      <c r="N62" s="41" t="str">
        <f>IF('Eng. Cutter Entry'!N5&lt;&gt;"",'Eng. Cutter Entry'!N5,"")</f>
        <v/>
      </c>
      <c r="O62" s="41" t="str">
        <f>IF('Eng. Cutter Entry'!O5&lt;&gt;"",'Eng. Cutter Entry'!O5,"")</f>
        <v/>
      </c>
      <c r="P62" s="41" t="str">
        <f>IF('Eng. Cutter Entry'!P5&lt;&gt;"",'Eng. Cutter Entry'!P5,"")</f>
        <v/>
      </c>
      <c r="Q62" s="41" t="str">
        <f>IF('Eng. Cutter Entry'!Q5&lt;&gt;"",'Eng. Cutter Entry'!Q5,"")</f>
        <v/>
      </c>
      <c r="R62" s="41" t="str">
        <f>IF('Eng. Cutter Entry'!R5&lt;&gt;"",'Eng. Cutter Entry'!R5,"")</f>
        <v/>
      </c>
      <c r="S62" s="41" t="str">
        <f>IF('Eng. Cutter Entry'!S5&lt;&gt;"",'Eng. Cutter Entry'!S5,"")</f>
        <v/>
      </c>
      <c r="T62" s="41" t="str">
        <f>IF('Eng. Cutter Entry'!T5&lt;&gt;"",'Eng. Cutter Entry'!T5,"")</f>
        <v/>
      </c>
      <c r="U62" s="41" t="str">
        <f>IF('Eng. Cutter Entry'!U5&lt;&gt;"",'Eng. Cutter Entry'!U5,"")</f>
        <v/>
      </c>
      <c r="V62" s="41" t="str">
        <f>IF('Eng. Cutter Entry'!V5&lt;&gt;"",'Eng. Cutter Entry'!V5,"")</f>
        <v/>
      </c>
      <c r="W62" s="41" t="str">
        <f>IF('Eng. Cutter Entry'!W5&lt;&gt;"",'Eng. Cutter Entry'!W5,"")</f>
        <v/>
      </c>
      <c r="X62" s="41" t="str">
        <f>IF('Eng. Cutter Entry'!X5&lt;&gt;"",'Eng. Cutter Entry'!X5,"")</f>
        <v/>
      </c>
      <c r="Y62" s="41" t="str">
        <f>IF('Eng. Cutter Entry'!Y5&lt;&gt;"",'Eng. Cutter Entry'!Y5,"")</f>
        <v/>
      </c>
      <c r="Z62" s="41" t="str">
        <f>IF('Eng. Cutter Entry'!Z5&lt;&gt;"",'Eng. Cutter Entry'!Z5,"")</f>
        <v/>
      </c>
      <c r="AA62" s="41" t="str">
        <f>IF('Eng. Cutter Entry'!AA5&lt;&gt;"",'Eng. Cutter Entry'!AA5,"")</f>
        <v/>
      </c>
      <c r="AB62" s="41" t="str">
        <f>IF('Eng. Cutter Entry'!AB5&lt;&gt;"",'Eng. Cutter Entry'!AB5,"")</f>
        <v/>
      </c>
      <c r="AC62" s="41" t="str">
        <f>IF('Eng. Cutter Entry'!AC5&lt;&gt;"",'Eng. Cutter Entry'!AC5,"")</f>
        <v/>
      </c>
      <c r="AD62" s="41" t="str">
        <f>IF('Eng. Cutter Entry'!AD5&lt;&gt;"",'Eng. Cutter Entry'!AD5,"")</f>
        <v/>
      </c>
      <c r="AE62" s="41" t="str">
        <f>IF('Eng. Cutter Entry'!AE5&lt;&gt;"",'Eng. Cutter Entry'!AE5,"")</f>
        <v/>
      </c>
      <c r="AF62" s="41" t="str">
        <f>IF('Eng. Cutter Entry'!AF5&lt;&gt;"",'Eng. Cutter Entry'!AF5,"")</f>
        <v/>
      </c>
      <c r="AG62" s="41" t="str">
        <f>IF('Eng. Cutter Entry'!AG5&lt;&gt;"",'Eng. Cutter Entry'!AG5,"")</f>
        <v/>
      </c>
      <c r="AH62" s="41" t="str">
        <f>IF('Eng. Cutter Entry'!AH5&lt;&gt;"",'Eng. Cutter Entry'!AH5,"")</f>
        <v/>
      </c>
      <c r="AI62" s="41" t="str">
        <f>IF('Eng. Cutter Entry'!AI5&lt;&gt;"",'Eng. Cutter Entry'!AI5,"")</f>
        <v/>
      </c>
      <c r="AJ62" s="41" t="str">
        <f>IF('Eng. Cutter Entry'!AJ5&lt;&gt;"",'Eng. Cutter Entry'!AJ5,"")</f>
        <v/>
      </c>
      <c r="AK62" s="60" t="s">
        <v>306</v>
      </c>
      <c r="AL62" s="36">
        <f>COUNTIF($C$94:$AJ$105,"*P*")</f>
        <v>0</v>
      </c>
      <c r="AN62" s="60" t="s">
        <v>141</v>
      </c>
      <c r="AO62" s="93">
        <f>IF(COUNTIF($C$94:$AJ$105,"R"),COUNTIF($C$94:$AJ$105,"R"),0)</f>
        <v>0</v>
      </c>
      <c r="AP62" s="93">
        <f>IF(COUNTIF($C$94:$AJ$105,"R*"&amp;"*0*"),COUNTIF($C$94:$AJ$105,"R*"&amp;"*0*"),0)</f>
        <v>0</v>
      </c>
      <c r="AQ62" s="93">
        <f>IF(COUNTIF($C$94:$AJ$105,"R*"&amp;"*1*"),COUNTIF($C$94:$AJ$105,"R*"&amp;"*1*"),0)</f>
        <v>0</v>
      </c>
      <c r="AR62" s="93">
        <f>IF(COUNTIF($C$94:$AJ$105,"R*"&amp;"*2*"),COUNTIF($C$94:$AJ$105,"R*"&amp;"*2*"),0)</f>
        <v>0</v>
      </c>
      <c r="AS62" s="93">
        <f>IF(COUNTIF($C$94:$AJ$105,"R*"&amp;"*3*"),COUNTIF($C$94:$AJ$105,"R*"&amp;"*3*"),0)</f>
        <v>0</v>
      </c>
      <c r="AT62" s="93">
        <f>IF(COUNTIF($C$94:$AJ$105,"R*"&amp;"*4*"),COUNTIF($C$94:$AJ$105,"R*"&amp;"*4*"),0)</f>
        <v>0</v>
      </c>
      <c r="AU62" s="93">
        <f>IF(COUNTIF($C$94:$AJ$105,"R*"&amp;"*5*"),COUNTIF($C$94:$AJ$105,"R*"&amp;"*5*"),0)</f>
        <v>0</v>
      </c>
      <c r="AV62" s="93">
        <f>IF(COUNTIF($C$94:$AJ$105,"R*"&amp;"*6*"),COUNTIF($C$94:$AJ$105,"R*"&amp;"*6*"),0)</f>
        <v>0</v>
      </c>
      <c r="AW62" s="93">
        <f>IF(COUNTIF($C$94:$AJ$105,"R*"&amp;"*7*"),COUNTIF($C$94:$AJ$105,"R*"&amp;"*7*"),0)</f>
        <v>0</v>
      </c>
      <c r="AX62" s="93">
        <f>IF(COUNTIF($C$94:$AJ$105,"R*"&amp;"*8*"),COUNTIF($C$94:$AJ$105,"R*"&amp;"*8*"),0)</f>
        <v>0</v>
      </c>
      <c r="AY62" s="93">
        <f>IF(COUNTIF($C$94:$AJ$105,"R*"&amp;"*9*"),COUNTIF($C$94:$AJ$105,"R*"&amp;"*9*"),0)</f>
        <v>0</v>
      </c>
      <c r="AZ62" s="93">
        <f>IF(COUNTIF($C$94:$AJ$105,"R*"&amp;"*10*"),COUNTIF($C$94:$AJ$105,"R*"&amp;"*10*"),0)</f>
        <v>0</v>
      </c>
      <c r="BA62" s="93">
        <f>IF(COUNTIF($C$94:$AJ$105,"R*"&amp;"*11*"),COUNTIF($C$94:$AJ$105,"R*"&amp;"*11*"),0)</f>
        <v>0</v>
      </c>
      <c r="BB62" s="93">
        <f>IF(COUNTIF($C$94:$AJ$105,"R*"&amp;"*12*"),COUNTIF($C$94:$AJ$105,"R*"&amp;"*12*"),0)</f>
        <v>0</v>
      </c>
      <c r="BC62" s="93">
        <f>IF(COUNTIF($C$94:$AJ$105,"R*"&amp;"*13*"),COUNTIF($C$94:$AJ$105,"R*"&amp;"*13*"),0)</f>
        <v>0</v>
      </c>
      <c r="BD62" s="93">
        <f>IF(COUNTIF($C$94:$AJ$105,"R*"&amp;"*14*"),COUNTIF($C$94:$AJ$105,"R*"&amp;"*14*"),0)</f>
        <v>0</v>
      </c>
      <c r="BE62" s="93">
        <f>IF(COUNTIF($C$94:$AJ$105,"R*"&amp;"*15*"),COUNTIF($C$94:$AJ$105,"R*"&amp;"*15*"),0)</f>
        <v>0</v>
      </c>
      <c r="BF62" s="93">
        <f>IF(COUNTIF($C$94:$AJ$105,"R*"&amp;"*16*"),COUNTIF($C$94:$AJ$105,"R*"&amp;"*16*"),0)</f>
        <v>0</v>
      </c>
      <c r="BG62" s="93">
        <f>IF(COUNTIF($C$94:$AJ$105,"R*"&amp;"*17*"),COUNTIF($C$94:$AJ$105,"R*"&amp;"*17*"),0)</f>
        <v>0</v>
      </c>
      <c r="BH62" s="94"/>
      <c r="BI62" s="93">
        <f t="shared" si="4"/>
        <v>0</v>
      </c>
      <c r="BM62" s="69" t="s">
        <v>1261</v>
      </c>
      <c r="BN62" s="70">
        <f>IFERROR(BN61+1,"")</f>
        <v>7</v>
      </c>
      <c r="BO62" s="36">
        <f>IF(Data!E7&lt;&gt;"",Data!E7,0)</f>
        <v>0</v>
      </c>
      <c r="BP62" s="36">
        <f>IF(Data!F7&lt;&gt;"",Data!F7,0)</f>
        <v>0</v>
      </c>
      <c r="BQ62" s="89" t="str">
        <f>"To Replaced Cutter #"&amp;" "&amp;Data!G7</f>
        <v xml:space="preserve">To Replaced Cutter # </v>
      </c>
    </row>
    <row r="63" spans="1:69" ht="23.25" customHeight="1" x14ac:dyDescent="0.35">
      <c r="A63" s="1196"/>
      <c r="B63" s="22">
        <v>3</v>
      </c>
      <c r="C63" s="41" t="str">
        <f>IF('Eng. Cutter Entry'!C6&lt;&gt;"",'Eng. Cutter Entry'!C6,"")</f>
        <v/>
      </c>
      <c r="D63" s="41" t="str">
        <f>IF('Eng. Cutter Entry'!D6&lt;&gt;"",'Eng. Cutter Entry'!D6,"")</f>
        <v/>
      </c>
      <c r="E63" s="41" t="str">
        <f>IF('Eng. Cutter Entry'!E6&lt;&gt;"",'Eng. Cutter Entry'!E6,"")</f>
        <v/>
      </c>
      <c r="F63" s="41" t="str">
        <f>IF('Eng. Cutter Entry'!F6&lt;&gt;"",'Eng. Cutter Entry'!F6,"")</f>
        <v/>
      </c>
      <c r="G63" s="41" t="str">
        <f>IF('Eng. Cutter Entry'!G6&lt;&gt;"",'Eng. Cutter Entry'!G6,"")</f>
        <v/>
      </c>
      <c r="H63" s="41" t="str">
        <f>IF('Eng. Cutter Entry'!H6&lt;&gt;"",'Eng. Cutter Entry'!H6,"")</f>
        <v/>
      </c>
      <c r="I63" s="41" t="str">
        <f>IF('Eng. Cutter Entry'!I6&lt;&gt;"",'Eng. Cutter Entry'!I6,"")</f>
        <v/>
      </c>
      <c r="J63" s="41" t="str">
        <f>IF('Eng. Cutter Entry'!J6&lt;&gt;"",'Eng. Cutter Entry'!J6,"")</f>
        <v/>
      </c>
      <c r="K63" s="41" t="str">
        <f>IF('Eng. Cutter Entry'!K6&lt;&gt;"",'Eng. Cutter Entry'!K6,"")</f>
        <v/>
      </c>
      <c r="L63" s="41" t="str">
        <f>IF('Eng. Cutter Entry'!L6&lt;&gt;"",'Eng. Cutter Entry'!L6,"")</f>
        <v/>
      </c>
      <c r="M63" s="41" t="str">
        <f>IF('Eng. Cutter Entry'!M6&lt;&gt;"",'Eng. Cutter Entry'!M6,"")</f>
        <v/>
      </c>
      <c r="N63" s="41" t="str">
        <f>IF('Eng. Cutter Entry'!N6&lt;&gt;"",'Eng. Cutter Entry'!N6,"")</f>
        <v/>
      </c>
      <c r="O63" s="41" t="str">
        <f>IF('Eng. Cutter Entry'!O6&lt;&gt;"",'Eng. Cutter Entry'!O6,"")</f>
        <v/>
      </c>
      <c r="P63" s="41" t="str">
        <f>IF('Eng. Cutter Entry'!P6&lt;&gt;"",'Eng. Cutter Entry'!P6,"")</f>
        <v/>
      </c>
      <c r="Q63" s="41" t="str">
        <f>IF('Eng. Cutter Entry'!Q6&lt;&gt;"",'Eng. Cutter Entry'!Q6,"")</f>
        <v/>
      </c>
      <c r="R63" s="41" t="str">
        <f>IF('Eng. Cutter Entry'!R6&lt;&gt;"",'Eng. Cutter Entry'!R6,"")</f>
        <v/>
      </c>
      <c r="S63" s="41" t="str">
        <f>IF('Eng. Cutter Entry'!S6&lt;&gt;"",'Eng. Cutter Entry'!S6,"")</f>
        <v/>
      </c>
      <c r="T63" s="41" t="str">
        <f>IF('Eng. Cutter Entry'!T6&lt;&gt;"",'Eng. Cutter Entry'!T6,"")</f>
        <v/>
      </c>
      <c r="U63" s="41" t="str">
        <f>IF('Eng. Cutter Entry'!U6&lt;&gt;"",'Eng. Cutter Entry'!U6,"")</f>
        <v/>
      </c>
      <c r="V63" s="41" t="str">
        <f>IF('Eng. Cutter Entry'!V6&lt;&gt;"",'Eng. Cutter Entry'!V6,"")</f>
        <v/>
      </c>
      <c r="W63" s="41" t="str">
        <f>IF('Eng. Cutter Entry'!W6&lt;&gt;"",'Eng. Cutter Entry'!W6,"")</f>
        <v/>
      </c>
      <c r="X63" s="41" t="str">
        <f>IF('Eng. Cutter Entry'!X6&lt;&gt;"",'Eng. Cutter Entry'!X6,"")</f>
        <v/>
      </c>
      <c r="Y63" s="41" t="str">
        <f>IF('Eng. Cutter Entry'!Y6&lt;&gt;"",'Eng. Cutter Entry'!Y6,"")</f>
        <v/>
      </c>
      <c r="Z63" s="41" t="str">
        <f>IF('Eng. Cutter Entry'!Z6&lt;&gt;"",'Eng. Cutter Entry'!Z6,"")</f>
        <v/>
      </c>
      <c r="AA63" s="41" t="str">
        <f>IF('Eng. Cutter Entry'!AA6&lt;&gt;"",'Eng. Cutter Entry'!AA6,"")</f>
        <v/>
      </c>
      <c r="AB63" s="41" t="str">
        <f>IF('Eng. Cutter Entry'!AB6&lt;&gt;"",'Eng. Cutter Entry'!AB6,"")</f>
        <v/>
      </c>
      <c r="AC63" s="41" t="str">
        <f>IF('Eng. Cutter Entry'!AC6&lt;&gt;"",'Eng. Cutter Entry'!AC6,"")</f>
        <v/>
      </c>
      <c r="AD63" s="41" t="str">
        <f>IF('Eng. Cutter Entry'!AD6&lt;&gt;"",'Eng. Cutter Entry'!AD6,"")</f>
        <v/>
      </c>
      <c r="AE63" s="41" t="str">
        <f>IF('Eng. Cutter Entry'!AE6&lt;&gt;"",'Eng. Cutter Entry'!AE6,"")</f>
        <v/>
      </c>
      <c r="AF63" s="41" t="str">
        <f>IF('Eng. Cutter Entry'!AF6&lt;&gt;"",'Eng. Cutter Entry'!AF6,"")</f>
        <v/>
      </c>
      <c r="AG63" s="41" t="str">
        <f>IF('Eng. Cutter Entry'!AG6&lt;&gt;"",'Eng. Cutter Entry'!AG6,"")</f>
        <v/>
      </c>
      <c r="AH63" s="41" t="str">
        <f>IF('Eng. Cutter Entry'!AH6&lt;&gt;"",'Eng. Cutter Entry'!AH6,"")</f>
        <v/>
      </c>
      <c r="AI63" s="41" t="str">
        <f>IF('Eng. Cutter Entry'!AI6&lt;&gt;"",'Eng. Cutter Entry'!AI6,"")</f>
        <v/>
      </c>
      <c r="AJ63" s="41" t="str">
        <f>IF('Eng. Cutter Entry'!AJ6&lt;&gt;"",'Eng. Cutter Entry'!AJ6,"")</f>
        <v/>
      </c>
      <c r="AK63" s="60" t="s">
        <v>963</v>
      </c>
      <c r="AL63" s="36">
        <f>COUNTIF($C$94:$AJ$105,"*I*")</f>
        <v>0</v>
      </c>
      <c r="AN63" s="60" t="s">
        <v>143</v>
      </c>
      <c r="AO63" s="93">
        <f>IF(COUNTIF($C$94:$AJ$105,"S"),COUNTIF($C$94:$AJ$105,"S"),0)</f>
        <v>0</v>
      </c>
      <c r="AP63" s="93">
        <f>IF(COUNTIF($C$94:$AJ$105,"S*"&amp;"*0*"),COUNTIF($C$94:$AJ$105,"S*"&amp;"*0*"),0)</f>
        <v>0</v>
      </c>
      <c r="AQ63" s="93">
        <f>IF(COUNTIF($C$94:$AJ$105,"S*"&amp;"*1*"),COUNTIF($C$94:$AJ$105,"S*"&amp;"*1*"),0)</f>
        <v>0</v>
      </c>
      <c r="AR63" s="93">
        <f>IF(COUNTIF($C$94:$AJ$105,"S*"&amp;"*2*"),COUNTIF($C$94:$AJ$105,"S*"&amp;"*2*"),0)</f>
        <v>0</v>
      </c>
      <c r="AS63" s="93">
        <f>IF(COUNTIF($C$94:$AJ$105,"S*"&amp;"*3*"),COUNTIF($C$94:$AJ$105,"S*"&amp;"*3*"),0)</f>
        <v>0</v>
      </c>
      <c r="AT63" s="93">
        <f>IF(COUNTIF($C$94:$AJ$105,"S*"&amp;"*4*"),COUNTIF($C$94:$AJ$105,"S*"&amp;"*4*"),0)</f>
        <v>0</v>
      </c>
      <c r="AU63" s="93">
        <f>IF(COUNTIF($C$94:$AJ$105,"S*"&amp;"*5*"),COUNTIF($C$94:$AJ$105,"S*"&amp;"*5*"),0)</f>
        <v>0</v>
      </c>
      <c r="AV63" s="93">
        <f>IF(COUNTIF($C$94:$AJ$105,"S*"&amp;"*6*"),COUNTIF($C$94:$AJ$105,"S*"&amp;"*6*"),0)</f>
        <v>0</v>
      </c>
      <c r="AW63" s="93">
        <f>IF(COUNTIF($C$94:$AJ$105,"S*"&amp;"*7*"),COUNTIF($C$94:$AJ$105,"S*"&amp;"*7*"),0)</f>
        <v>0</v>
      </c>
      <c r="AX63" s="93">
        <f>IF(COUNTIF($C$94:$AJ$105,"S*"&amp;"*8*"),COUNTIF($C$94:$AJ$105,"S*"&amp;"*8*"),0)</f>
        <v>0</v>
      </c>
      <c r="AY63" s="93">
        <f>IF(COUNTIF($C$94:$AJ$105,"S*"&amp;"*9*"),COUNTIF($C$94:$AJ$105,"S*"&amp;"*9*"),0)</f>
        <v>0</v>
      </c>
      <c r="AZ63" s="93">
        <f>IF(COUNTIF($C$94:$AJ$105,"S*"&amp;"*10*"),COUNTIF($C$94:$AJ$105,"S*"&amp;"*10*"),0)</f>
        <v>0</v>
      </c>
      <c r="BA63" s="93">
        <f>IF(COUNTIF($C$94:$AJ$105,"S*"&amp;"*11*"),COUNTIF($C$94:$AJ$105,"S*"&amp;"*11*"),0)</f>
        <v>0</v>
      </c>
      <c r="BB63" s="93">
        <f>IF(COUNTIF($C$94:$AJ$105,"S*"&amp;"*12*"),COUNTIF($C$94:$AJ$105,"S*"&amp;"*12*"),0)</f>
        <v>0</v>
      </c>
      <c r="BC63" s="93">
        <f>IF(COUNTIF($C$94:$AJ$105,"S*"&amp;"*13*"),COUNTIF($C$94:$AJ$105,"S*"&amp;"*13*"),0)</f>
        <v>0</v>
      </c>
      <c r="BD63" s="93">
        <f>IF(COUNTIF($C$94:$AJ$105,"S*"&amp;"*14*"),COUNTIF($C$94:$AJ$105,"S*"&amp;"*14*"),0)</f>
        <v>0</v>
      </c>
      <c r="BE63" s="93">
        <f>IF(COUNTIF($C$94:$AJ$105,"S*"&amp;"*15*"),COUNTIF($C$94:$AJ$105,"S*"&amp;"*15*"),0)</f>
        <v>0</v>
      </c>
      <c r="BF63" s="93">
        <f>IF(COUNTIF($C$94:$AJ$105,"S*"&amp;"*16*"),COUNTIF($C$94:$AJ$105,"S*"&amp;"*16*"),0)</f>
        <v>0</v>
      </c>
      <c r="BG63" s="93">
        <f>IF(COUNTIF($C$94:$AJ$105,"S*"&amp;"*17*"),COUNTIF($C$94:$AJ$105,"S*"&amp;"*17*"),0)</f>
        <v>0</v>
      </c>
      <c r="BH63" s="93"/>
      <c r="BI63" s="93">
        <f t="shared" si="4"/>
        <v>0</v>
      </c>
      <c r="BM63" s="69" t="s">
        <v>1262</v>
      </c>
      <c r="BN63" s="70">
        <f>IFERROR(BN62+1,"")</f>
        <v>8</v>
      </c>
      <c r="BO63" s="36">
        <f>IF(Data!E8&lt;&gt;"",Data!E8,0)</f>
        <v>0</v>
      </c>
      <c r="BP63" s="36">
        <f>IF(Data!F8&lt;&gt;"",Data!F8,0)</f>
        <v>0</v>
      </c>
      <c r="BQ63" s="89" t="str">
        <f>"To Replaced Cutter #"&amp;" "&amp;Data!G8</f>
        <v xml:space="preserve">To Replaced Cutter # </v>
      </c>
    </row>
    <row r="64" spans="1:69" ht="23.25" customHeight="1" x14ac:dyDescent="0.35">
      <c r="A64" s="1196"/>
      <c r="B64" s="22">
        <v>4</v>
      </c>
      <c r="C64" s="41" t="str">
        <f>IF('Eng. Cutter Entry'!C7&lt;&gt;"",'Eng. Cutter Entry'!C7,"")</f>
        <v/>
      </c>
      <c r="D64" s="41" t="str">
        <f>IF('Eng. Cutter Entry'!D7&lt;&gt;"",'Eng. Cutter Entry'!D7,"")</f>
        <v/>
      </c>
      <c r="E64" s="41" t="str">
        <f>IF('Eng. Cutter Entry'!E7&lt;&gt;"",'Eng. Cutter Entry'!E7,"")</f>
        <v/>
      </c>
      <c r="F64" s="41" t="str">
        <f>IF('Eng. Cutter Entry'!F7&lt;&gt;"",'Eng. Cutter Entry'!F7,"")</f>
        <v/>
      </c>
      <c r="G64" s="41" t="str">
        <f>IF('Eng. Cutter Entry'!G7&lt;&gt;"",'Eng. Cutter Entry'!G7,"")</f>
        <v/>
      </c>
      <c r="H64" s="41" t="str">
        <f>IF('Eng. Cutter Entry'!H7&lt;&gt;"",'Eng. Cutter Entry'!H7,"")</f>
        <v/>
      </c>
      <c r="I64" s="41" t="str">
        <f>IF('Eng. Cutter Entry'!I7&lt;&gt;"",'Eng. Cutter Entry'!I7,"")</f>
        <v/>
      </c>
      <c r="J64" s="41" t="str">
        <f>IF('Eng. Cutter Entry'!J7&lt;&gt;"",'Eng. Cutter Entry'!J7,"")</f>
        <v/>
      </c>
      <c r="K64" s="41" t="str">
        <f>IF('Eng. Cutter Entry'!K7&lt;&gt;"",'Eng. Cutter Entry'!K7,"")</f>
        <v/>
      </c>
      <c r="L64" s="41" t="str">
        <f>IF('Eng. Cutter Entry'!L7&lt;&gt;"",'Eng. Cutter Entry'!L7,"")</f>
        <v/>
      </c>
      <c r="M64" s="41" t="str">
        <f>IF('Eng. Cutter Entry'!M7&lt;&gt;"",'Eng. Cutter Entry'!M7,"")</f>
        <v/>
      </c>
      <c r="N64" s="41" t="str">
        <f>IF('Eng. Cutter Entry'!N7&lt;&gt;"",'Eng. Cutter Entry'!N7,"")</f>
        <v/>
      </c>
      <c r="O64" s="41" t="str">
        <f>IF('Eng. Cutter Entry'!O7&lt;&gt;"",'Eng. Cutter Entry'!O7,"")</f>
        <v/>
      </c>
      <c r="P64" s="41" t="str">
        <f>IF('Eng. Cutter Entry'!P7&lt;&gt;"",'Eng. Cutter Entry'!P7,"")</f>
        <v/>
      </c>
      <c r="Q64" s="41" t="str">
        <f>IF('Eng. Cutter Entry'!Q7&lt;&gt;"",'Eng. Cutter Entry'!Q7,"")</f>
        <v/>
      </c>
      <c r="R64" s="41" t="str">
        <f>IF('Eng. Cutter Entry'!R7&lt;&gt;"",'Eng. Cutter Entry'!R7,"")</f>
        <v/>
      </c>
      <c r="S64" s="41" t="str">
        <f>IF('Eng. Cutter Entry'!S7&lt;&gt;"",'Eng. Cutter Entry'!S7,"")</f>
        <v/>
      </c>
      <c r="T64" s="41" t="str">
        <f>IF('Eng. Cutter Entry'!T7&lt;&gt;"",'Eng. Cutter Entry'!T7,"")</f>
        <v/>
      </c>
      <c r="U64" s="41" t="str">
        <f>IF('Eng. Cutter Entry'!U7&lt;&gt;"",'Eng. Cutter Entry'!U7,"")</f>
        <v/>
      </c>
      <c r="V64" s="41" t="str">
        <f>IF('Eng. Cutter Entry'!V7&lt;&gt;"",'Eng. Cutter Entry'!V7,"")</f>
        <v/>
      </c>
      <c r="W64" s="41" t="str">
        <f>IF('Eng. Cutter Entry'!W7&lt;&gt;"",'Eng. Cutter Entry'!W7,"")</f>
        <v/>
      </c>
      <c r="X64" s="41" t="str">
        <f>IF('Eng. Cutter Entry'!X7&lt;&gt;"",'Eng. Cutter Entry'!X7,"")</f>
        <v/>
      </c>
      <c r="Y64" s="41" t="str">
        <f>IF('Eng. Cutter Entry'!Y7&lt;&gt;"",'Eng. Cutter Entry'!Y7,"")</f>
        <v/>
      </c>
      <c r="Z64" s="41" t="str">
        <f>IF('Eng. Cutter Entry'!Z7&lt;&gt;"",'Eng. Cutter Entry'!Z7,"")</f>
        <v/>
      </c>
      <c r="AA64" s="41" t="str">
        <f>IF('Eng. Cutter Entry'!AA7&lt;&gt;"",'Eng. Cutter Entry'!AA7,"")</f>
        <v/>
      </c>
      <c r="AB64" s="41" t="str">
        <f>IF('Eng. Cutter Entry'!AB7&lt;&gt;"",'Eng. Cutter Entry'!AB7,"")</f>
        <v/>
      </c>
      <c r="AC64" s="41" t="str">
        <f>IF('Eng. Cutter Entry'!AC7&lt;&gt;"",'Eng. Cutter Entry'!AC7,"")</f>
        <v/>
      </c>
      <c r="AD64" s="41" t="str">
        <f>IF('Eng. Cutter Entry'!AD7&lt;&gt;"",'Eng. Cutter Entry'!AD7,"")</f>
        <v/>
      </c>
      <c r="AE64" s="41" t="str">
        <f>IF('Eng. Cutter Entry'!AE7&lt;&gt;"",'Eng. Cutter Entry'!AE7,"")</f>
        <v/>
      </c>
      <c r="AF64" s="41" t="str">
        <f>IF('Eng. Cutter Entry'!AF7&lt;&gt;"",'Eng. Cutter Entry'!AF7,"")</f>
        <v/>
      </c>
      <c r="AG64" s="41" t="str">
        <f>IF('Eng. Cutter Entry'!AG7&lt;&gt;"",'Eng. Cutter Entry'!AG7,"")</f>
        <v/>
      </c>
      <c r="AH64" s="41" t="str">
        <f>IF('Eng. Cutter Entry'!AH7&lt;&gt;"",'Eng. Cutter Entry'!AH7,"")</f>
        <v/>
      </c>
      <c r="AI64" s="41" t="str">
        <f>IF('Eng. Cutter Entry'!AI7&lt;&gt;"",'Eng. Cutter Entry'!AI7,"")</f>
        <v/>
      </c>
      <c r="AJ64" s="41" t="str">
        <f>IF('Eng. Cutter Entry'!AJ7&lt;&gt;"",'Eng. Cutter Entry'!AJ7,"")</f>
        <v/>
      </c>
      <c r="AK64" s="60" t="s">
        <v>309</v>
      </c>
      <c r="AL64" s="36">
        <f>SUM(C384:AJ395)</f>
        <v>0</v>
      </c>
      <c r="AN64" s="60" t="s">
        <v>144</v>
      </c>
      <c r="AO64" s="93">
        <f>IF(COUNTIF($C$111:$AJ$122,"F"),COUNTIF($C$111:$AJ$122,"F"),0)</f>
        <v>0</v>
      </c>
      <c r="AP64" s="93">
        <f>IF(COUNTIF($C$111:$AJ$122,"F*0"),COUNTIF($C$111:$AJ$122,"F*0"),0)</f>
        <v>0</v>
      </c>
      <c r="AQ64" s="93">
        <f>IF(COUNTIF($C$111:$AJ$122,"F*1"),COUNTIF($C$111:$AJ$122,"F*1"),0)</f>
        <v>0</v>
      </c>
      <c r="AR64" s="93">
        <f>IF(COUNTIF($C$111:$AJ$122,"F*2"),COUNTIF($C$111:$AJ$122,"F*2"),0)</f>
        <v>0</v>
      </c>
      <c r="AS64" s="93">
        <f>IF(COUNTIF($C$111:$AJ$122,"F*3"),COUNTIF($C$111:$AJ$122,"F*3"),0)</f>
        <v>0</v>
      </c>
      <c r="AT64" s="93">
        <f>IF(COUNTIF($C$111:$AJ$122,"F*4"),COUNTIF($C$111:$AJ$122,"F*4"),0)</f>
        <v>0</v>
      </c>
      <c r="AU64" s="93">
        <f>IF(COUNTIF($C$111:$AJ$122,"F*5"),COUNTIF($C$111:$AJ$122,"F*5"),0)</f>
        <v>0</v>
      </c>
      <c r="AV64" s="93">
        <f>IF(COUNTIF($C$111:$AJ$122,"F*6"),COUNTIF($C$111:$AJ$122,"F*6"),0)</f>
        <v>0</v>
      </c>
      <c r="AW64" s="93">
        <f>IF(COUNTIF($C$111:$AJ$122,"F*7"),COUNTIF($C$111:$AJ$122,"F*7"),0)</f>
        <v>0</v>
      </c>
      <c r="AX64" s="93">
        <f>IF(COUNTIF($C$111:$AJ$122,"F*8"),COUNTIF($C$111:$AJ$122,"F*8"),0)</f>
        <v>0</v>
      </c>
      <c r="AY64" s="93">
        <f>IF(COUNTIF($C$111:$AJ$122,"F*9"),COUNTIF($C$111:$AJ$122,"F*9"),0)</f>
        <v>0</v>
      </c>
      <c r="AZ64" s="93">
        <f>IF(COUNTIF($C$111:$AJ$122,"F*10"),COUNTIF($C$111:$AJ$122,"F*10"),0)</f>
        <v>0</v>
      </c>
      <c r="BA64" s="93">
        <f>IF(COUNTIF($C$111:$AJ$122,"F*11"),COUNTIF($C$111:$AJ$122,"F*11"),0)</f>
        <v>0</v>
      </c>
      <c r="BB64" s="93">
        <f>IF(COUNTIF($C$111:$AJ$122,"F*12"),COUNTIF($C$111:$AJ$122,"F*12"),0)</f>
        <v>0</v>
      </c>
      <c r="BC64" s="93">
        <f>IF(COUNTIF($C$111:$AJ$122,"F*13"),COUNTIF($C$111:$AJ$122,"F*13"),0)</f>
        <v>0</v>
      </c>
      <c r="BD64" s="93">
        <f>IF(COUNTIF($C$111:$AJ$122,"F*14"),COUNTIF($C$111:$AJ$122,"F*14"),0)</f>
        <v>0</v>
      </c>
      <c r="BE64" s="93">
        <f>IF(COUNTIF($C$111:$AJ$122,"F*15"),COUNTIF($C$111:$AJ$122,"F*15"),0)</f>
        <v>0</v>
      </c>
      <c r="BF64" s="93">
        <f>IF(COUNTIF($C$111:$AJ$122,"F*16"),COUNTIF($C$111:$AJ$122,"F*16"),0)</f>
        <v>0</v>
      </c>
      <c r="BG64" s="93">
        <f>IF(COUNTIF($C$111:$AJ$122,"F*17"),COUNTIF($C$111:$AJ$122,"F*17"),0)</f>
        <v>0</v>
      </c>
      <c r="BH64" s="93"/>
      <c r="BI64" s="93">
        <f t="shared" si="4"/>
        <v>0</v>
      </c>
    </row>
    <row r="65" spans="1:61" ht="23.25" customHeight="1" x14ac:dyDescent="0.35">
      <c r="A65" s="1196"/>
      <c r="B65" s="22">
        <v>5</v>
      </c>
      <c r="C65" s="41" t="str">
        <f>IF('Eng. Cutter Entry'!C8&lt;&gt;"",'Eng. Cutter Entry'!C8,"")</f>
        <v/>
      </c>
      <c r="D65" s="41" t="str">
        <f>IF('Eng. Cutter Entry'!D8&lt;&gt;"",'Eng. Cutter Entry'!D8,"")</f>
        <v/>
      </c>
      <c r="E65" s="41" t="str">
        <f>IF('Eng. Cutter Entry'!E8&lt;&gt;"",'Eng. Cutter Entry'!E8,"")</f>
        <v/>
      </c>
      <c r="F65" s="41" t="str">
        <f>IF('Eng. Cutter Entry'!F8&lt;&gt;"",'Eng. Cutter Entry'!F8,"")</f>
        <v/>
      </c>
      <c r="G65" s="41" t="str">
        <f>IF('Eng. Cutter Entry'!G8&lt;&gt;"",'Eng. Cutter Entry'!G8,"")</f>
        <v/>
      </c>
      <c r="H65" s="41" t="str">
        <f>IF('Eng. Cutter Entry'!H8&lt;&gt;"",'Eng. Cutter Entry'!H8,"")</f>
        <v/>
      </c>
      <c r="I65" s="41" t="str">
        <f>IF('Eng. Cutter Entry'!I8&lt;&gt;"",'Eng. Cutter Entry'!I8,"")</f>
        <v/>
      </c>
      <c r="J65" s="41" t="str">
        <f>IF('Eng. Cutter Entry'!J8&lt;&gt;"",'Eng. Cutter Entry'!J8,"")</f>
        <v/>
      </c>
      <c r="K65" s="41" t="str">
        <f>IF('Eng. Cutter Entry'!K8&lt;&gt;"",'Eng. Cutter Entry'!K8,"")</f>
        <v/>
      </c>
      <c r="L65" s="41" t="str">
        <f>IF('Eng. Cutter Entry'!L8&lt;&gt;"",'Eng. Cutter Entry'!L8,"")</f>
        <v/>
      </c>
      <c r="M65" s="41" t="str">
        <f>IF('Eng. Cutter Entry'!M8&lt;&gt;"",'Eng. Cutter Entry'!M8,"")</f>
        <v/>
      </c>
      <c r="N65" s="41" t="str">
        <f>IF('Eng. Cutter Entry'!N8&lt;&gt;"",'Eng. Cutter Entry'!N8,"")</f>
        <v/>
      </c>
      <c r="O65" s="41" t="str">
        <f>IF('Eng. Cutter Entry'!O8&lt;&gt;"",'Eng. Cutter Entry'!O8,"")</f>
        <v/>
      </c>
      <c r="P65" s="41" t="str">
        <f>IF('Eng. Cutter Entry'!P8&lt;&gt;"",'Eng. Cutter Entry'!P8,"")</f>
        <v/>
      </c>
      <c r="Q65" s="41" t="str">
        <f>IF('Eng. Cutter Entry'!Q8&lt;&gt;"",'Eng. Cutter Entry'!Q8,"")</f>
        <v/>
      </c>
      <c r="R65" s="41" t="str">
        <f>IF('Eng. Cutter Entry'!R8&lt;&gt;"",'Eng. Cutter Entry'!R8,"")</f>
        <v/>
      </c>
      <c r="S65" s="41" t="str">
        <f>IF('Eng. Cutter Entry'!S8&lt;&gt;"",'Eng. Cutter Entry'!S8,"")</f>
        <v/>
      </c>
      <c r="T65" s="41" t="str">
        <f>IF('Eng. Cutter Entry'!T8&lt;&gt;"",'Eng. Cutter Entry'!T8,"")</f>
        <v/>
      </c>
      <c r="U65" s="41" t="str">
        <f>IF('Eng. Cutter Entry'!U8&lt;&gt;"",'Eng. Cutter Entry'!U8,"")</f>
        <v/>
      </c>
      <c r="V65" s="41" t="str">
        <f>IF('Eng. Cutter Entry'!V8&lt;&gt;"",'Eng. Cutter Entry'!V8,"")</f>
        <v/>
      </c>
      <c r="W65" s="41" t="str">
        <f>IF('Eng. Cutter Entry'!W8&lt;&gt;"",'Eng. Cutter Entry'!W8,"")</f>
        <v/>
      </c>
      <c r="X65" s="41" t="str">
        <f>IF('Eng. Cutter Entry'!X8&lt;&gt;"",'Eng. Cutter Entry'!X8,"")</f>
        <v/>
      </c>
      <c r="Y65" s="41" t="str">
        <f>IF('Eng. Cutter Entry'!Y8&lt;&gt;"",'Eng. Cutter Entry'!Y8,"")</f>
        <v/>
      </c>
      <c r="Z65" s="41" t="str">
        <f>IF('Eng. Cutter Entry'!Z8&lt;&gt;"",'Eng. Cutter Entry'!Z8,"")</f>
        <v/>
      </c>
      <c r="AA65" s="41" t="str">
        <f>IF('Eng. Cutter Entry'!AA8&lt;&gt;"",'Eng. Cutter Entry'!AA8,"")</f>
        <v/>
      </c>
      <c r="AB65" s="41" t="str">
        <f>IF('Eng. Cutter Entry'!AB8&lt;&gt;"",'Eng. Cutter Entry'!AB8,"")</f>
        <v/>
      </c>
      <c r="AC65" s="41" t="str">
        <f>IF('Eng. Cutter Entry'!AC8&lt;&gt;"",'Eng. Cutter Entry'!AC8,"")</f>
        <v/>
      </c>
      <c r="AD65" s="41" t="str">
        <f>IF('Eng. Cutter Entry'!AD8&lt;&gt;"",'Eng. Cutter Entry'!AD8,"")</f>
        <v/>
      </c>
      <c r="AE65" s="41" t="str">
        <f>IF('Eng. Cutter Entry'!AE8&lt;&gt;"",'Eng. Cutter Entry'!AE8,"")</f>
        <v/>
      </c>
      <c r="AF65" s="41" t="str">
        <f>IF('Eng. Cutter Entry'!AF8&lt;&gt;"",'Eng. Cutter Entry'!AF8,"")</f>
        <v/>
      </c>
      <c r="AG65" s="41" t="str">
        <f>IF('Eng. Cutter Entry'!AG8&lt;&gt;"",'Eng. Cutter Entry'!AG8,"")</f>
        <v/>
      </c>
      <c r="AH65" s="41" t="str">
        <f>IF('Eng. Cutter Entry'!AH8&lt;&gt;"",'Eng. Cutter Entry'!AH8,"")</f>
        <v/>
      </c>
      <c r="AI65" s="41" t="str">
        <f>IF('Eng. Cutter Entry'!AI8&lt;&gt;"",'Eng. Cutter Entry'!AI8,"")</f>
        <v/>
      </c>
      <c r="AJ65" s="41" t="str">
        <f>IF('Eng. Cutter Entry'!AJ8&lt;&gt;"",'Eng. Cutter Entry'!AJ8,"")</f>
        <v/>
      </c>
      <c r="AK65" s="60" t="s">
        <v>308</v>
      </c>
      <c r="AL65" s="36">
        <f>COUNTIF($C$94:$AJ$105,"*B*")</f>
        <v>0</v>
      </c>
      <c r="AN65" s="60" t="s">
        <v>46</v>
      </c>
      <c r="AO65" s="93">
        <f>IF(COUNTIF($C$111:$AJ$122,"O"),COUNTIF($C$111:$AJ$122,"O"),0)</f>
        <v>0</v>
      </c>
      <c r="AP65" s="93">
        <f>IF(COUNTIF($C$111:$AJ$122,"O*0"),COUNTIF($C$111:$AJ$122,"O*0"),0)</f>
        <v>0</v>
      </c>
      <c r="AQ65" s="93">
        <f>IF(COUNTIF($C$111:$AJ$122,"O*1"),COUNTIF($C$111:$AJ$122,"O*1"),0)</f>
        <v>0</v>
      </c>
      <c r="AR65" s="93">
        <f>IF(COUNTIF($C$111:$AJ$122,"O*2"),COUNTIF($C$111:$AJ$122,"O*2"),0)</f>
        <v>0</v>
      </c>
      <c r="AS65" s="93">
        <f>IF(COUNTIF($C$111:$AJ$122,"O*3"),COUNTIF($C$111:$AJ$122,"O*3"),0)</f>
        <v>0</v>
      </c>
      <c r="AT65" s="93">
        <f>IF(COUNTIF($C$111:$AJ$122,"O*4"),COUNTIF($C$111:$AJ$122,"O*4"),0)</f>
        <v>0</v>
      </c>
      <c r="AU65" s="93">
        <f>IF(COUNTIF($C$111:$AJ$122,"O*5"),COUNTIF($C$111:$AJ$122,"O*5"),0)</f>
        <v>0</v>
      </c>
      <c r="AV65" s="93">
        <f>IF(COUNTIF($C$111:$AJ$122,"O*6"),COUNTIF($C$111:$AJ$122,"O*6"),0)</f>
        <v>0</v>
      </c>
      <c r="AW65" s="93">
        <f>IF(COUNTIF($C$111:$AJ$122,"O*7"),COUNTIF($C$111:$AJ$122,"O*7"),0)</f>
        <v>0</v>
      </c>
      <c r="AX65" s="93">
        <f>IF(COUNTIF($C$111:$AJ$122,"O*8"),COUNTIF($C$111:$AJ$122,"O*8"),0)</f>
        <v>0</v>
      </c>
      <c r="AY65" s="93">
        <f>IF(COUNTIF($C$111:$AJ$122,"O*9"),COUNTIF($C$111:$AJ$122,"O*9"),0)</f>
        <v>0</v>
      </c>
      <c r="AZ65" s="93">
        <f>IF(COUNTIF($C$111:$AJ$122,"O*10"),COUNTIF($C$111:$AJ$122,"O*10"),0)</f>
        <v>0</v>
      </c>
      <c r="BA65" s="93">
        <f>IF(COUNTIF($C$111:$AJ$122,"O*11"),COUNTIF($C$111:$AJ$122,"O*11"),0)</f>
        <v>0</v>
      </c>
      <c r="BB65" s="93">
        <f>IF(COUNTIF($C$111:$AJ$122,"O*12"),COUNTIF($C$111:$AJ$122,"O*12"),0)</f>
        <v>0</v>
      </c>
      <c r="BC65" s="93">
        <f>IF(COUNTIF($C$111:$AJ$122,"O*13"),COUNTIF($C$111:$AJ$122,"O*13"),0)</f>
        <v>0</v>
      </c>
      <c r="BD65" s="93">
        <f>IF(COUNTIF($C$111:$AJ$122,"O*14"),COUNTIF($C$111:$AJ$122,"O*14"),0)</f>
        <v>0</v>
      </c>
      <c r="BE65" s="93">
        <f>IF(COUNTIF($C$111:$AJ$122,"O*15"),COUNTIF($C$111:$AJ$122,"O*15"),0)</f>
        <v>0</v>
      </c>
      <c r="BF65" s="93">
        <f>IF(COUNTIF($C$111:$AJ$122,"O*16"),COUNTIF($C$111:$AJ$122,"O*16"),0)</f>
        <v>0</v>
      </c>
      <c r="BG65" s="93">
        <f>IF(COUNTIF($C$111:$AJ$122,"O*17"),COUNTIF($C$111:$AJ$122,"O*17"),0)</f>
        <v>0</v>
      </c>
      <c r="BH65" s="93"/>
      <c r="BI65" s="93">
        <f>SUM(AO65:BG65)</f>
        <v>0</v>
      </c>
    </row>
    <row r="66" spans="1:61" ht="23.25" customHeight="1" x14ac:dyDescent="0.35">
      <c r="A66" s="1196"/>
      <c r="B66" s="22">
        <v>6</v>
      </c>
      <c r="C66" s="41" t="str">
        <f>IF('Eng. Cutter Entry'!C9&lt;&gt;"",'Eng. Cutter Entry'!C9,"")</f>
        <v/>
      </c>
      <c r="D66" s="41" t="str">
        <f>IF('Eng. Cutter Entry'!D9&lt;&gt;"",'Eng. Cutter Entry'!D9,"")</f>
        <v/>
      </c>
      <c r="E66" s="41" t="str">
        <f>IF('Eng. Cutter Entry'!E9&lt;&gt;"",'Eng. Cutter Entry'!E9,"")</f>
        <v/>
      </c>
      <c r="F66" s="41" t="str">
        <f>IF('Eng. Cutter Entry'!F9&lt;&gt;"",'Eng. Cutter Entry'!F9,"")</f>
        <v/>
      </c>
      <c r="G66" s="41" t="str">
        <f>IF('Eng. Cutter Entry'!G9&lt;&gt;"",'Eng. Cutter Entry'!G9,"")</f>
        <v/>
      </c>
      <c r="H66" s="41" t="str">
        <f>IF('Eng. Cutter Entry'!H9&lt;&gt;"",'Eng. Cutter Entry'!H9,"")</f>
        <v/>
      </c>
      <c r="I66" s="41" t="str">
        <f>IF('Eng. Cutter Entry'!I9&lt;&gt;"",'Eng. Cutter Entry'!I9,"")</f>
        <v/>
      </c>
      <c r="J66" s="41" t="str">
        <f>IF('Eng. Cutter Entry'!J9&lt;&gt;"",'Eng. Cutter Entry'!J9,"")</f>
        <v/>
      </c>
      <c r="K66" s="41" t="str">
        <f>IF('Eng. Cutter Entry'!K9&lt;&gt;"",'Eng. Cutter Entry'!K9,"")</f>
        <v/>
      </c>
      <c r="L66" s="41" t="str">
        <f>IF('Eng. Cutter Entry'!L9&lt;&gt;"",'Eng. Cutter Entry'!L9,"")</f>
        <v/>
      </c>
      <c r="M66" s="41" t="str">
        <f>IF('Eng. Cutter Entry'!M9&lt;&gt;"",'Eng. Cutter Entry'!M9,"")</f>
        <v/>
      </c>
      <c r="N66" s="41" t="str">
        <f>IF('Eng. Cutter Entry'!N9&lt;&gt;"",'Eng. Cutter Entry'!N9,"")</f>
        <v/>
      </c>
      <c r="O66" s="41" t="str">
        <f>IF('Eng. Cutter Entry'!O9&lt;&gt;"",'Eng. Cutter Entry'!O9,"")</f>
        <v/>
      </c>
      <c r="P66" s="41" t="str">
        <f>IF('Eng. Cutter Entry'!P9&lt;&gt;"",'Eng. Cutter Entry'!P9,"")</f>
        <v/>
      </c>
      <c r="Q66" s="41" t="str">
        <f>IF('Eng. Cutter Entry'!Q9&lt;&gt;"",'Eng. Cutter Entry'!Q9,"")</f>
        <v/>
      </c>
      <c r="R66" s="41" t="str">
        <f>IF('Eng. Cutter Entry'!R9&lt;&gt;"",'Eng. Cutter Entry'!R9,"")</f>
        <v/>
      </c>
      <c r="S66" s="41" t="str">
        <f>IF('Eng. Cutter Entry'!S9&lt;&gt;"",'Eng. Cutter Entry'!S9,"")</f>
        <v/>
      </c>
      <c r="T66" s="41" t="str">
        <f>IF('Eng. Cutter Entry'!T9&lt;&gt;"",'Eng. Cutter Entry'!T9,"")</f>
        <v/>
      </c>
      <c r="U66" s="41" t="str">
        <f>IF('Eng. Cutter Entry'!U9&lt;&gt;"",'Eng. Cutter Entry'!U9,"")</f>
        <v/>
      </c>
      <c r="V66" s="41" t="str">
        <f>IF('Eng. Cutter Entry'!V9&lt;&gt;"",'Eng. Cutter Entry'!V9,"")</f>
        <v/>
      </c>
      <c r="W66" s="41" t="str">
        <f>IF('Eng. Cutter Entry'!W9&lt;&gt;"",'Eng. Cutter Entry'!W9,"")</f>
        <v/>
      </c>
      <c r="X66" s="41" t="str">
        <f>IF('Eng. Cutter Entry'!X9&lt;&gt;"",'Eng. Cutter Entry'!X9,"")</f>
        <v/>
      </c>
      <c r="Y66" s="41" t="str">
        <f>IF('Eng. Cutter Entry'!Y9&lt;&gt;"",'Eng. Cutter Entry'!Y9,"")</f>
        <v/>
      </c>
      <c r="Z66" s="41" t="str">
        <f>IF('Eng. Cutter Entry'!Z9&lt;&gt;"",'Eng. Cutter Entry'!Z9,"")</f>
        <v/>
      </c>
      <c r="AA66" s="41" t="str">
        <f>IF('Eng. Cutter Entry'!AA9&lt;&gt;"",'Eng. Cutter Entry'!AA9,"")</f>
        <v/>
      </c>
      <c r="AB66" s="41" t="str">
        <f>IF('Eng. Cutter Entry'!AB9&lt;&gt;"",'Eng. Cutter Entry'!AB9,"")</f>
        <v/>
      </c>
      <c r="AC66" s="41" t="str">
        <f>IF('Eng. Cutter Entry'!AC9&lt;&gt;"",'Eng. Cutter Entry'!AC9,"")</f>
        <v/>
      </c>
      <c r="AD66" s="41" t="str">
        <f>IF('Eng. Cutter Entry'!AD9&lt;&gt;"",'Eng. Cutter Entry'!AD9,"")</f>
        <v/>
      </c>
      <c r="AE66" s="41" t="str">
        <f>IF('Eng. Cutter Entry'!AE9&lt;&gt;"",'Eng. Cutter Entry'!AE9,"")</f>
        <v/>
      </c>
      <c r="AF66" s="41" t="str">
        <f>IF('Eng. Cutter Entry'!AF9&lt;&gt;"",'Eng. Cutter Entry'!AF9,"")</f>
        <v/>
      </c>
      <c r="AG66" s="41" t="str">
        <f>IF('Eng. Cutter Entry'!AG9&lt;&gt;"",'Eng. Cutter Entry'!AG9,"")</f>
        <v/>
      </c>
      <c r="AH66" s="41" t="str">
        <f>IF('Eng. Cutter Entry'!AH9&lt;&gt;"",'Eng. Cutter Entry'!AH9,"")</f>
        <v/>
      </c>
      <c r="AI66" s="41" t="str">
        <f>IF('Eng. Cutter Entry'!AI9&lt;&gt;"",'Eng. Cutter Entry'!AI9,"")</f>
        <v/>
      </c>
      <c r="AJ66" s="41" t="str">
        <f>IF('Eng. Cutter Entry'!AJ9&lt;&gt;"",'Eng. Cutter Entry'!AJ9,"")</f>
        <v/>
      </c>
      <c r="AK66" s="60"/>
      <c r="AL66" s="36"/>
      <c r="AN66" s="60" t="s">
        <v>732</v>
      </c>
      <c r="AO66" s="93"/>
      <c r="AP66" s="93"/>
      <c r="AQ66" s="93">
        <f>IF(COUNTIF($C$94:$AJ$105,"*P*1"),COUNTIF($C$94:$AJ$105,"*P*1"),0)</f>
        <v>0</v>
      </c>
      <c r="AR66" s="93">
        <f>IF(COUNTIF($C$94:$AJ$105,"*P*2"),COUNTIF($C$94:$AJ$105,"*P*2"),0)</f>
        <v>0</v>
      </c>
      <c r="AS66" s="93">
        <f>IF(COUNTIF($C$94:$AJ$105,"*P*3"),COUNTIF($C$94:$AJ$105,"*P*3"),0)</f>
        <v>0</v>
      </c>
      <c r="AT66" s="93">
        <f>IF(COUNTIF($C$94:$AJ$105,"*P*4"),COUNTIF($C$94:$AJ$105,"*P*4"),0)</f>
        <v>0</v>
      </c>
      <c r="AU66" s="93">
        <f>IF(COUNTIF($C$94:$AJ$105,"*P*5"),COUNTIF($C$94:$AJ$105,"*P*5"),0)</f>
        <v>0</v>
      </c>
      <c r="AV66" s="93">
        <f>IF(COUNTIF($C$94:$AJ$105,"*P*6"),COUNTIF($C$94:$AJ$105,"*P*6"),0)</f>
        <v>0</v>
      </c>
      <c r="AW66" s="93">
        <f>IF(COUNTIF($C$94:$AJ$105,"*P*7"),COUNTIF($C$94:$AJ$105,"*P*7"),0)</f>
        <v>0</v>
      </c>
      <c r="AX66" s="93">
        <f>IF(COUNTIF($C$94:$AJ$105,"*P*8"),COUNTIF($C$94:$AJ$105,"*P*8"),0)</f>
        <v>0</v>
      </c>
      <c r="AY66" s="93">
        <f>IF(COUNTIF($C$94:$AJ$105,"*P*9"),COUNTIF($C$94:$AJ$105,"*P*9"),0)</f>
        <v>0</v>
      </c>
      <c r="AZ66" s="93">
        <f>IF(COUNTIF($C$94:$AJ$105,"*P*10"),COUNTIF($C$94:$AJ$105,"*P*10"),0)</f>
        <v>0</v>
      </c>
      <c r="BA66" s="93">
        <f>IF(COUNTIF($C$94:$AJ$105,"*P*11"),COUNTIF($C$94:$AJ$105,"*P*11"),0)</f>
        <v>0</v>
      </c>
      <c r="BB66" s="93">
        <f>IF(COUNTIF($C$94:$AJ$105,"*P*12"),COUNTIF($C$94:$AJ$105,"*P*12"),0)</f>
        <v>0</v>
      </c>
      <c r="BC66" s="93">
        <f>IF(COUNTIF($C$94:$AJ$105,"*P*13"),COUNTIF($C$94:$AJ$105,"*P*13"),0)</f>
        <v>0</v>
      </c>
      <c r="BD66" s="93">
        <f>IF(COUNTIF($C$94:$AJ$105,"*P*14"),COUNTIF($C$94:$AJ$105,"*P*14"),0)</f>
        <v>0</v>
      </c>
      <c r="BE66" s="93">
        <f>IF(COUNTIF($C$94:$AJ$105,"*P*15"),COUNTIF($C$94:$AJ$105,"*P*15"),0)</f>
        <v>0</v>
      </c>
      <c r="BF66" s="93">
        <f>IF(COUNTIF($C$94:$AJ$105,"*P*16"),COUNTIF($C$94:$AJ$105,"*P*16"),0)</f>
        <v>0</v>
      </c>
      <c r="BG66" s="93">
        <f>IF(COUNTIF($C$94:$AJ$105,"*P*17"),COUNTIF($C$94:$AJ$105,"*P*17"),0)</f>
        <v>0</v>
      </c>
      <c r="BH66" s="93"/>
      <c r="BI66" s="93">
        <f>SUM(AO66:BG66)</f>
        <v>0</v>
      </c>
    </row>
    <row r="67" spans="1:61" ht="23.25" customHeight="1" x14ac:dyDescent="0.35">
      <c r="A67" s="1196"/>
      <c r="B67" s="22">
        <v>7</v>
      </c>
      <c r="C67" s="41" t="str">
        <f>IF('Eng. Cutter Entry'!C10&lt;&gt;"",'Eng. Cutter Entry'!C10,"")</f>
        <v/>
      </c>
      <c r="D67" s="41" t="str">
        <f>IF('Eng. Cutter Entry'!D10&lt;&gt;"",'Eng. Cutter Entry'!D10,"")</f>
        <v/>
      </c>
      <c r="E67" s="41" t="str">
        <f>IF('Eng. Cutter Entry'!E10&lt;&gt;"",'Eng. Cutter Entry'!E10,"")</f>
        <v/>
      </c>
      <c r="F67" s="41" t="str">
        <f>IF('Eng. Cutter Entry'!F10&lt;&gt;"",'Eng. Cutter Entry'!F10,"")</f>
        <v/>
      </c>
      <c r="G67" s="41" t="str">
        <f>IF('Eng. Cutter Entry'!G10&lt;&gt;"",'Eng. Cutter Entry'!G10,"")</f>
        <v/>
      </c>
      <c r="H67" s="41" t="str">
        <f>IF('Eng. Cutter Entry'!H10&lt;&gt;"",'Eng. Cutter Entry'!H10,"")</f>
        <v/>
      </c>
      <c r="I67" s="41" t="str">
        <f>IF('Eng. Cutter Entry'!I10&lt;&gt;"",'Eng. Cutter Entry'!I10,"")</f>
        <v/>
      </c>
      <c r="J67" s="41" t="str">
        <f>IF('Eng. Cutter Entry'!J10&lt;&gt;"",'Eng. Cutter Entry'!J10,"")</f>
        <v/>
      </c>
      <c r="K67" s="41" t="str">
        <f>IF('Eng. Cutter Entry'!K10&lt;&gt;"",'Eng. Cutter Entry'!K10,"")</f>
        <v/>
      </c>
      <c r="L67" s="41" t="str">
        <f>IF('Eng. Cutter Entry'!L10&lt;&gt;"",'Eng. Cutter Entry'!L10,"")</f>
        <v/>
      </c>
      <c r="M67" s="41" t="str">
        <f>IF('Eng. Cutter Entry'!M10&lt;&gt;"",'Eng. Cutter Entry'!M10,"")</f>
        <v/>
      </c>
      <c r="N67" s="41" t="str">
        <f>IF('Eng. Cutter Entry'!N10&lt;&gt;"",'Eng. Cutter Entry'!N10,"")</f>
        <v/>
      </c>
      <c r="O67" s="41" t="str">
        <f>IF('Eng. Cutter Entry'!O10&lt;&gt;"",'Eng. Cutter Entry'!O10,"")</f>
        <v/>
      </c>
      <c r="P67" s="41" t="str">
        <f>IF('Eng. Cutter Entry'!P10&lt;&gt;"",'Eng. Cutter Entry'!P10,"")</f>
        <v/>
      </c>
      <c r="Q67" s="41" t="str">
        <f>IF('Eng. Cutter Entry'!Q10&lt;&gt;"",'Eng. Cutter Entry'!Q10,"")</f>
        <v/>
      </c>
      <c r="R67" s="41" t="str">
        <f>IF('Eng. Cutter Entry'!R10&lt;&gt;"",'Eng. Cutter Entry'!R10,"")</f>
        <v/>
      </c>
      <c r="S67" s="41" t="str">
        <f>IF('Eng. Cutter Entry'!S10&lt;&gt;"",'Eng. Cutter Entry'!S10,"")</f>
        <v/>
      </c>
      <c r="T67" s="41" t="str">
        <f>IF('Eng. Cutter Entry'!T10&lt;&gt;"",'Eng. Cutter Entry'!T10,"")</f>
        <v/>
      </c>
      <c r="U67" s="41" t="str">
        <f>IF('Eng. Cutter Entry'!U10&lt;&gt;"",'Eng. Cutter Entry'!U10,"")</f>
        <v/>
      </c>
      <c r="V67" s="41" t="str">
        <f>IF('Eng. Cutter Entry'!V10&lt;&gt;"",'Eng. Cutter Entry'!V10,"")</f>
        <v/>
      </c>
      <c r="W67" s="41" t="str">
        <f>IF('Eng. Cutter Entry'!W10&lt;&gt;"",'Eng. Cutter Entry'!W10,"")</f>
        <v/>
      </c>
      <c r="X67" s="41" t="str">
        <f>IF('Eng. Cutter Entry'!X10&lt;&gt;"",'Eng. Cutter Entry'!X10,"")</f>
        <v/>
      </c>
      <c r="Y67" s="41" t="str">
        <f>IF('Eng. Cutter Entry'!Y10&lt;&gt;"",'Eng. Cutter Entry'!Y10,"")</f>
        <v/>
      </c>
      <c r="Z67" s="41" t="str">
        <f>IF('Eng. Cutter Entry'!Z10&lt;&gt;"",'Eng. Cutter Entry'!Z10,"")</f>
        <v/>
      </c>
      <c r="AA67" s="41" t="str">
        <f>IF('Eng. Cutter Entry'!AA10&lt;&gt;"",'Eng. Cutter Entry'!AA10,"")</f>
        <v/>
      </c>
      <c r="AB67" s="41" t="str">
        <f>IF('Eng. Cutter Entry'!AB10&lt;&gt;"",'Eng. Cutter Entry'!AB10,"")</f>
        <v/>
      </c>
      <c r="AC67" s="41" t="str">
        <f>IF('Eng. Cutter Entry'!AC10&lt;&gt;"",'Eng. Cutter Entry'!AC10,"")</f>
        <v/>
      </c>
      <c r="AD67" s="41" t="str">
        <f>IF('Eng. Cutter Entry'!AD10&lt;&gt;"",'Eng. Cutter Entry'!AD10,"")</f>
        <v/>
      </c>
      <c r="AE67" s="41" t="str">
        <f>IF('Eng. Cutter Entry'!AE10&lt;&gt;"",'Eng. Cutter Entry'!AE10,"")</f>
        <v/>
      </c>
      <c r="AF67" s="41" t="str">
        <f>IF('Eng. Cutter Entry'!AF10&lt;&gt;"",'Eng. Cutter Entry'!AF10,"")</f>
        <v/>
      </c>
      <c r="AG67" s="41" t="str">
        <f>IF('Eng. Cutter Entry'!AG10&lt;&gt;"",'Eng. Cutter Entry'!AG10,"")</f>
        <v/>
      </c>
      <c r="AH67" s="41" t="str">
        <f>IF('Eng. Cutter Entry'!AH10&lt;&gt;"",'Eng. Cutter Entry'!AH10,"")</f>
        <v/>
      </c>
      <c r="AI67" s="41" t="str">
        <f>IF('Eng. Cutter Entry'!AI10&lt;&gt;"",'Eng. Cutter Entry'!AI10,"")</f>
        <v/>
      </c>
      <c r="AJ67" s="41" t="str">
        <f>IF('Eng. Cutter Entry'!AJ10&lt;&gt;"",'Eng. Cutter Entry'!AJ10,"")</f>
        <v/>
      </c>
      <c r="AK67" s="60"/>
      <c r="AL67" s="36"/>
      <c r="AN67" s="60" t="s">
        <v>271</v>
      </c>
      <c r="AO67" s="93"/>
      <c r="AP67" s="93"/>
      <c r="AQ67" s="93">
        <f>IF(COUNTIF($C$94:$AJ$105,"*V*1"),COUNTIF($C$94:$AJ$105,"*V*1"),0)</f>
        <v>0</v>
      </c>
      <c r="AR67" s="93">
        <f>IF(COUNTIF($C$94:$AJ$105,"*V*2"),COUNTIF($C$94:$AJ$105,"*V*2"),0)</f>
        <v>0</v>
      </c>
      <c r="AS67" s="93">
        <f>IF(COUNTIF($C$94:$AJ$105,"*V*3"),COUNTIF($C$94:$AJ$105,"*V*3"),0)</f>
        <v>0</v>
      </c>
      <c r="AT67" s="93">
        <f>IF(COUNTIF($C$94:$AJ$105,"*V*4"),COUNTIF($C$94:$AJ$105,"*V*4"),0)</f>
        <v>0</v>
      </c>
      <c r="AU67" s="93">
        <f>IF(COUNTIF($C$94:$AJ$105,"*V*5"),COUNTIF($C$94:$AJ$105,"*V*5"),0)</f>
        <v>0</v>
      </c>
      <c r="AV67" s="93">
        <f>IF(COUNTIF($C$94:$AJ$105,"*V*6"),COUNTIF($C$94:$AJ$105,"*V*6"),0)</f>
        <v>0</v>
      </c>
      <c r="AW67" s="93">
        <f>IF(COUNTIF($C$94:$AJ$105,"*V*7"),COUNTIF($C$94:$AJ$105,"*V*7"),0)</f>
        <v>0</v>
      </c>
      <c r="AX67" s="93">
        <f>IF(COUNTIF($C$94:$AJ$105,"*V*8"),COUNTIF($C$94:$AJ$105,"*V*8"),0)</f>
        <v>0</v>
      </c>
      <c r="AY67" s="93">
        <f>IF(COUNTIF($C$94:$AJ$105,"*V*9"),COUNTIF($C$94:$AJ$105,"*V*9"),0)</f>
        <v>0</v>
      </c>
      <c r="AZ67" s="93">
        <f>IF(COUNTIF($C$94:$AJ$105,"*V*10"),COUNTIF($C$94:$AJ$105,"*V*10"),0)</f>
        <v>0</v>
      </c>
      <c r="BA67" s="93">
        <f>IF(COUNTIF($C$94:$AJ$105,"*V*11"),COUNTIF($C$94:$AJ$105,"*V*11"),0)</f>
        <v>0</v>
      </c>
      <c r="BB67" s="93">
        <f>IF(COUNTIF($C$94:$AJ$105,"*V*12"),COUNTIF($C$94:$AJ$105,"*V*12"),0)</f>
        <v>0</v>
      </c>
      <c r="BC67" s="93">
        <f>IF(COUNTIF($C$94:$AJ$105,"*V*13"),COUNTIF($C$94:$AJ$105,"*V*13"),0)</f>
        <v>0</v>
      </c>
      <c r="BD67" s="93">
        <f>IF(COUNTIF($C$94:$AJ$105,"*V*14"),COUNTIF($C$94:$AJ$105,"*V*14"),0)</f>
        <v>0</v>
      </c>
      <c r="BE67" s="93">
        <f>IF(COUNTIF($C$94:$AJ$105,"*V*15"),COUNTIF($C$94:$AJ$105,"*V*15"),0)</f>
        <v>0</v>
      </c>
      <c r="BF67" s="93">
        <f>IF(COUNTIF($C$94:$AJ$105,"*V*16"),COUNTIF($C$94:$AJ$105,"*V*16"),0)</f>
        <v>0</v>
      </c>
      <c r="BG67" s="93">
        <f>IF(COUNTIF($C$94:$AJ$105,"*V*17"),COUNTIF($C$94:$AJ$105,"*V*17"),0)</f>
        <v>0</v>
      </c>
      <c r="BH67" s="93"/>
      <c r="BI67" s="93">
        <f>SUM(AO67:BG67)</f>
        <v>0</v>
      </c>
    </row>
    <row r="68" spans="1:61" ht="23.25" customHeight="1" x14ac:dyDescent="0.35">
      <c r="A68" s="1196"/>
      <c r="B68" s="22">
        <v>8</v>
      </c>
      <c r="C68" s="41" t="str">
        <f>IF('Eng. Cutter Entry'!C11&lt;&gt;"",'Eng. Cutter Entry'!C11,"")</f>
        <v/>
      </c>
      <c r="D68" s="41" t="str">
        <f>IF('Eng. Cutter Entry'!D11&lt;&gt;"",'Eng. Cutter Entry'!D11,"")</f>
        <v/>
      </c>
      <c r="E68" s="41" t="str">
        <f>IF('Eng. Cutter Entry'!E11&lt;&gt;"",'Eng. Cutter Entry'!E11,"")</f>
        <v/>
      </c>
      <c r="F68" s="41" t="str">
        <f>IF('Eng. Cutter Entry'!F11&lt;&gt;"",'Eng. Cutter Entry'!F11,"")</f>
        <v/>
      </c>
      <c r="G68" s="41" t="str">
        <f>IF('Eng. Cutter Entry'!G11&lt;&gt;"",'Eng. Cutter Entry'!G11,"")</f>
        <v/>
      </c>
      <c r="H68" s="41" t="str">
        <f>IF('Eng. Cutter Entry'!H11&lt;&gt;"",'Eng. Cutter Entry'!H11,"")</f>
        <v/>
      </c>
      <c r="I68" s="41" t="str">
        <f>IF('Eng. Cutter Entry'!I11&lt;&gt;"",'Eng. Cutter Entry'!I11,"")</f>
        <v/>
      </c>
      <c r="J68" s="41" t="str">
        <f>IF('Eng. Cutter Entry'!J11&lt;&gt;"",'Eng. Cutter Entry'!J11,"")</f>
        <v/>
      </c>
      <c r="K68" s="41" t="str">
        <f>IF('Eng. Cutter Entry'!K11&lt;&gt;"",'Eng. Cutter Entry'!K11,"")</f>
        <v/>
      </c>
      <c r="L68" s="41" t="str">
        <f>IF('Eng. Cutter Entry'!L11&lt;&gt;"",'Eng. Cutter Entry'!L11,"")</f>
        <v/>
      </c>
      <c r="M68" s="41" t="str">
        <f>IF('Eng. Cutter Entry'!M11&lt;&gt;"",'Eng. Cutter Entry'!M11,"")</f>
        <v/>
      </c>
      <c r="N68" s="41" t="str">
        <f>IF('Eng. Cutter Entry'!N11&lt;&gt;"",'Eng. Cutter Entry'!N11,"")</f>
        <v/>
      </c>
      <c r="O68" s="41" t="str">
        <f>IF('Eng. Cutter Entry'!O11&lt;&gt;"",'Eng. Cutter Entry'!O11,"")</f>
        <v/>
      </c>
      <c r="P68" s="41" t="str">
        <f>IF('Eng. Cutter Entry'!P11&lt;&gt;"",'Eng. Cutter Entry'!P11,"")</f>
        <v/>
      </c>
      <c r="Q68" s="41" t="str">
        <f>IF('Eng. Cutter Entry'!Q11&lt;&gt;"",'Eng. Cutter Entry'!Q11,"")</f>
        <v/>
      </c>
      <c r="R68" s="41" t="str">
        <f>IF('Eng. Cutter Entry'!R11&lt;&gt;"",'Eng. Cutter Entry'!R11,"")</f>
        <v/>
      </c>
      <c r="S68" s="41" t="str">
        <f>IF('Eng. Cutter Entry'!S11&lt;&gt;"",'Eng. Cutter Entry'!S11,"")</f>
        <v/>
      </c>
      <c r="T68" s="41" t="str">
        <f>IF('Eng. Cutter Entry'!T11&lt;&gt;"",'Eng. Cutter Entry'!T11,"")</f>
        <v/>
      </c>
      <c r="U68" s="41" t="str">
        <f>IF('Eng. Cutter Entry'!U11&lt;&gt;"",'Eng. Cutter Entry'!U11,"")</f>
        <v/>
      </c>
      <c r="V68" s="41" t="str">
        <f>IF('Eng. Cutter Entry'!V11&lt;&gt;"",'Eng. Cutter Entry'!V11,"")</f>
        <v/>
      </c>
      <c r="W68" s="41" t="str">
        <f>IF('Eng. Cutter Entry'!W11&lt;&gt;"",'Eng. Cutter Entry'!W11,"")</f>
        <v/>
      </c>
      <c r="X68" s="41" t="str">
        <f>IF('Eng. Cutter Entry'!X11&lt;&gt;"",'Eng. Cutter Entry'!X11,"")</f>
        <v/>
      </c>
      <c r="Y68" s="41" t="str">
        <f>IF('Eng. Cutter Entry'!Y11&lt;&gt;"",'Eng. Cutter Entry'!Y11,"")</f>
        <v/>
      </c>
      <c r="Z68" s="41" t="str">
        <f>IF('Eng. Cutter Entry'!Z11&lt;&gt;"",'Eng. Cutter Entry'!Z11,"")</f>
        <v/>
      </c>
      <c r="AA68" s="41" t="str">
        <f>IF('Eng. Cutter Entry'!AA11&lt;&gt;"",'Eng. Cutter Entry'!AA11,"")</f>
        <v/>
      </c>
      <c r="AB68" s="41" t="str">
        <f>IF('Eng. Cutter Entry'!AB11&lt;&gt;"",'Eng. Cutter Entry'!AB11,"")</f>
        <v/>
      </c>
      <c r="AC68" s="41" t="str">
        <f>IF('Eng. Cutter Entry'!AC11&lt;&gt;"",'Eng. Cutter Entry'!AC11,"")</f>
        <v/>
      </c>
      <c r="AD68" s="41" t="str">
        <f>IF('Eng. Cutter Entry'!AD11&lt;&gt;"",'Eng. Cutter Entry'!AD11,"")</f>
        <v/>
      </c>
      <c r="AE68" s="41" t="str">
        <f>IF('Eng. Cutter Entry'!AE11&lt;&gt;"",'Eng. Cutter Entry'!AE11,"")</f>
        <v/>
      </c>
      <c r="AF68" s="41" t="str">
        <f>IF('Eng. Cutter Entry'!AF11&lt;&gt;"",'Eng. Cutter Entry'!AF11,"")</f>
        <v/>
      </c>
      <c r="AG68" s="41" t="str">
        <f>IF('Eng. Cutter Entry'!AG11&lt;&gt;"",'Eng. Cutter Entry'!AG11,"")</f>
        <v/>
      </c>
      <c r="AH68" s="41" t="str">
        <f>IF('Eng. Cutter Entry'!AH11&lt;&gt;"",'Eng. Cutter Entry'!AH11,"")</f>
        <v/>
      </c>
      <c r="AI68" s="41" t="str">
        <f>IF('Eng. Cutter Entry'!AI11&lt;&gt;"",'Eng. Cutter Entry'!AI11,"")</f>
        <v/>
      </c>
      <c r="AJ68" s="41" t="str">
        <f>IF('Eng. Cutter Entry'!AJ11&lt;&gt;"",'Eng. Cutter Entry'!AJ11,"")</f>
        <v/>
      </c>
      <c r="AN68" s="60" t="s">
        <v>146</v>
      </c>
      <c r="AO68" s="93"/>
      <c r="AP68" s="93"/>
      <c r="AQ68" s="93">
        <f>IF(COUNTIF($C$94:$AJ$105,"*B*1"),COUNTIF($C$94:$AJ$105,"*B*1"),0)</f>
        <v>0</v>
      </c>
      <c r="AR68" s="93">
        <f>IF(COUNTIF($C$94:$AJ$105,"*B*2"),COUNTIF($C$94:$AJ$105,"*B*2"),0)</f>
        <v>0</v>
      </c>
      <c r="AS68" s="93">
        <f>IF(COUNTIF($C$94:$AJ$105,"*B*3"),COUNTIF($C$94:$AJ$105,"*B*3"),0)</f>
        <v>0</v>
      </c>
      <c r="AT68" s="93">
        <f>IF(COUNTIF($C$94:$AJ$105,"*B*4"),COUNTIF($C$94:$AJ$105,"*B*4"),0)</f>
        <v>0</v>
      </c>
      <c r="AU68" s="93">
        <f>IF(COUNTIF($C$94:$AJ$105,"*B*5"),COUNTIF($C$94:$AJ$105,"*B*5"),0)</f>
        <v>0</v>
      </c>
      <c r="AV68" s="93">
        <f>IF(COUNTIF($C$94:$AJ$105,"*B*6"),COUNTIF($C$94:$AJ$105,"*B*6"),0)</f>
        <v>0</v>
      </c>
      <c r="AW68" s="93">
        <f>IF(COUNTIF($C$94:$AJ$105,"*B*7"),COUNTIF($C$94:$AJ$105,"*B*7"),0)</f>
        <v>0</v>
      </c>
      <c r="AX68" s="93">
        <f>IF(COUNTIF($C$94:$AJ$105,"*B*8"),COUNTIF($C$94:$AJ$105,"*B*8"),0)</f>
        <v>0</v>
      </c>
      <c r="AY68" s="93">
        <f>IF(COUNTIF($C$94:$AJ$105,"*B*9"),COUNTIF($C$94:$AJ$105,"*B*9"),0)</f>
        <v>0</v>
      </c>
      <c r="AZ68" s="93">
        <f>IF(COUNTIF($C$94:$AJ$105,"*B*10"),COUNTIF($C$94:$AJ$105,"*B*10"),0)</f>
        <v>0</v>
      </c>
      <c r="BA68" s="93">
        <f>IF(COUNTIF($C$94:$AJ$105,"*B*11"),COUNTIF($C$94:$AJ$105,"*B*11"),0)</f>
        <v>0</v>
      </c>
      <c r="BB68" s="93">
        <f>IF(COUNTIF($C$94:$AJ$105,"*B*12"),COUNTIF($C$94:$AJ$105,"*B*12"),0)</f>
        <v>0</v>
      </c>
      <c r="BC68" s="93">
        <f>IF(COUNTIF($C$94:$AJ$105,"*B*13"),COUNTIF($C$94:$AJ$105,"*B*13"),0)</f>
        <v>0</v>
      </c>
      <c r="BD68" s="93">
        <f>IF(COUNTIF($C$94:$AJ$105,"*B*14"),COUNTIF($C$94:$AJ$105,"*B*14"),0)</f>
        <v>0</v>
      </c>
      <c r="BE68" s="93">
        <f>IF(COUNTIF($C$94:$AJ$105,"*B*15"),COUNTIF($C$94:$AJ$105,"*B*15"),0)</f>
        <v>0</v>
      </c>
      <c r="BF68" s="93">
        <f>IF(COUNTIF($C$94:$AJ$105,"*B*16"),COUNTIF($C$94:$AJ$105,"*B*16"),0)</f>
        <v>0</v>
      </c>
      <c r="BG68" s="93">
        <f>IF(COUNTIF($C$94:$AJ$105,"*B*17"),COUNTIF($C$94:$AJ$105,"*B*17"),0)</f>
        <v>0</v>
      </c>
      <c r="BH68" s="93"/>
      <c r="BI68" s="93">
        <f>SUM(AO68:BG68)</f>
        <v>0</v>
      </c>
    </row>
    <row r="69" spans="1:61" ht="23.25" customHeight="1" x14ac:dyDescent="0.35">
      <c r="A69" s="1196"/>
      <c r="B69" s="22">
        <v>9</v>
      </c>
      <c r="C69" s="41" t="str">
        <f>IF('Eng. Cutter Entry'!C12&lt;&gt;"",'Eng. Cutter Entry'!C12,"")</f>
        <v/>
      </c>
      <c r="D69" s="41" t="str">
        <f>IF('Eng. Cutter Entry'!D12&lt;&gt;"",'Eng. Cutter Entry'!D12,"")</f>
        <v/>
      </c>
      <c r="E69" s="41" t="str">
        <f>IF('Eng. Cutter Entry'!E12&lt;&gt;"",'Eng. Cutter Entry'!E12,"")</f>
        <v/>
      </c>
      <c r="F69" s="41" t="str">
        <f>IF('Eng. Cutter Entry'!F12&lt;&gt;"",'Eng. Cutter Entry'!F12,"")</f>
        <v/>
      </c>
      <c r="G69" s="41" t="str">
        <f>IF('Eng. Cutter Entry'!G12&lt;&gt;"",'Eng. Cutter Entry'!G12,"")</f>
        <v/>
      </c>
      <c r="H69" s="41" t="str">
        <f>IF('Eng. Cutter Entry'!H12&lt;&gt;"",'Eng. Cutter Entry'!H12,"")</f>
        <v/>
      </c>
      <c r="I69" s="41" t="str">
        <f>IF('Eng. Cutter Entry'!I12&lt;&gt;"",'Eng. Cutter Entry'!I12,"")</f>
        <v/>
      </c>
      <c r="J69" s="41" t="str">
        <f>IF('Eng. Cutter Entry'!J12&lt;&gt;"",'Eng. Cutter Entry'!J12,"")</f>
        <v/>
      </c>
      <c r="K69" s="41" t="str">
        <f>IF('Eng. Cutter Entry'!K12&lt;&gt;"",'Eng. Cutter Entry'!K12,"")</f>
        <v/>
      </c>
      <c r="L69" s="41" t="str">
        <f>IF('Eng. Cutter Entry'!L12&lt;&gt;"",'Eng. Cutter Entry'!L12,"")</f>
        <v/>
      </c>
      <c r="M69" s="41" t="str">
        <f>IF('Eng. Cutter Entry'!M12&lt;&gt;"",'Eng. Cutter Entry'!M12,"")</f>
        <v/>
      </c>
      <c r="N69" s="41" t="str">
        <f>IF('Eng. Cutter Entry'!N12&lt;&gt;"",'Eng. Cutter Entry'!N12,"")</f>
        <v/>
      </c>
      <c r="O69" s="41" t="str">
        <f>IF('Eng. Cutter Entry'!O12&lt;&gt;"",'Eng. Cutter Entry'!O12,"")</f>
        <v/>
      </c>
      <c r="P69" s="41" t="str">
        <f>IF('Eng. Cutter Entry'!P12&lt;&gt;"",'Eng. Cutter Entry'!P12,"")</f>
        <v/>
      </c>
      <c r="Q69" s="41" t="str">
        <f>IF('Eng. Cutter Entry'!Q12&lt;&gt;"",'Eng. Cutter Entry'!Q12,"")</f>
        <v/>
      </c>
      <c r="R69" s="41" t="str">
        <f>IF('Eng. Cutter Entry'!R12&lt;&gt;"",'Eng. Cutter Entry'!R12,"")</f>
        <v/>
      </c>
      <c r="S69" s="41" t="str">
        <f>IF('Eng. Cutter Entry'!S12&lt;&gt;"",'Eng. Cutter Entry'!S12,"")</f>
        <v/>
      </c>
      <c r="T69" s="41" t="str">
        <f>IF('Eng. Cutter Entry'!T12&lt;&gt;"",'Eng. Cutter Entry'!T12,"")</f>
        <v/>
      </c>
      <c r="U69" s="41" t="str">
        <f>IF('Eng. Cutter Entry'!U12&lt;&gt;"",'Eng. Cutter Entry'!U12,"")</f>
        <v/>
      </c>
      <c r="V69" s="41" t="str">
        <f>IF('Eng. Cutter Entry'!V12&lt;&gt;"",'Eng. Cutter Entry'!V12,"")</f>
        <v/>
      </c>
      <c r="W69" s="41" t="str">
        <f>IF('Eng. Cutter Entry'!W12&lt;&gt;"",'Eng. Cutter Entry'!W12,"")</f>
        <v/>
      </c>
      <c r="X69" s="41" t="str">
        <f>IF('Eng. Cutter Entry'!X12&lt;&gt;"",'Eng. Cutter Entry'!X12,"")</f>
        <v/>
      </c>
      <c r="Y69" s="41" t="str">
        <f>IF('Eng. Cutter Entry'!Y12&lt;&gt;"",'Eng. Cutter Entry'!Y12,"")</f>
        <v/>
      </c>
      <c r="Z69" s="41" t="str">
        <f>IF('Eng. Cutter Entry'!Z12&lt;&gt;"",'Eng. Cutter Entry'!Z12,"")</f>
        <v/>
      </c>
      <c r="AA69" s="41" t="str">
        <f>IF('Eng. Cutter Entry'!AA12&lt;&gt;"",'Eng. Cutter Entry'!AA12,"")</f>
        <v/>
      </c>
      <c r="AB69" s="41" t="str">
        <f>IF('Eng. Cutter Entry'!AB12&lt;&gt;"",'Eng. Cutter Entry'!AB12,"")</f>
        <v/>
      </c>
      <c r="AC69" s="41" t="str">
        <f>IF('Eng. Cutter Entry'!AC12&lt;&gt;"",'Eng. Cutter Entry'!AC12,"")</f>
        <v/>
      </c>
      <c r="AD69" s="41" t="str">
        <f>IF('Eng. Cutter Entry'!AD12&lt;&gt;"",'Eng. Cutter Entry'!AD12,"")</f>
        <v/>
      </c>
      <c r="AE69" s="41" t="str">
        <f>IF('Eng. Cutter Entry'!AE12&lt;&gt;"",'Eng. Cutter Entry'!AE12,"")</f>
        <v/>
      </c>
      <c r="AF69" s="41" t="str">
        <f>IF('Eng. Cutter Entry'!AF12&lt;&gt;"",'Eng. Cutter Entry'!AF12,"")</f>
        <v/>
      </c>
      <c r="AG69" s="41" t="str">
        <f>IF('Eng. Cutter Entry'!AG12&lt;&gt;"",'Eng. Cutter Entry'!AG12,"")</f>
        <v/>
      </c>
      <c r="AH69" s="41" t="str">
        <f>IF('Eng. Cutter Entry'!AH12&lt;&gt;"",'Eng. Cutter Entry'!AH12,"")</f>
        <v/>
      </c>
      <c r="AI69" s="41" t="str">
        <f>IF('Eng. Cutter Entry'!AI12&lt;&gt;"",'Eng. Cutter Entry'!AI12,"")</f>
        <v/>
      </c>
      <c r="AJ69" s="41" t="str">
        <f>IF('Eng. Cutter Entry'!AJ12&lt;&gt;"",'Eng. Cutter Entry'!AJ12,"")</f>
        <v/>
      </c>
      <c r="AN69" s="93"/>
      <c r="AO69" s="93">
        <f>SUM(AO58:AO65)</f>
        <v>0</v>
      </c>
      <c r="AP69" s="93">
        <f>SUM(AP58:AP65)</f>
        <v>0</v>
      </c>
      <c r="AQ69" s="93">
        <f>SUM(AQ58:AQ65)</f>
        <v>0</v>
      </c>
      <c r="AR69" s="93">
        <f>SUM(AR58:AR65)</f>
        <v>0</v>
      </c>
      <c r="AS69" s="93">
        <f t="shared" ref="AS69:BG69" si="5">SUM(AS58:AS65)</f>
        <v>0</v>
      </c>
      <c r="AT69" s="93">
        <f t="shared" si="5"/>
        <v>0</v>
      </c>
      <c r="AU69" s="93">
        <f t="shared" si="5"/>
        <v>0</v>
      </c>
      <c r="AV69" s="93">
        <f t="shared" si="5"/>
        <v>0</v>
      </c>
      <c r="AW69" s="93">
        <f t="shared" si="5"/>
        <v>0</v>
      </c>
      <c r="AX69" s="93">
        <f t="shared" si="5"/>
        <v>0</v>
      </c>
      <c r="AY69" s="93">
        <f t="shared" si="5"/>
        <v>0</v>
      </c>
      <c r="AZ69" s="93">
        <f t="shared" si="5"/>
        <v>0</v>
      </c>
      <c r="BA69" s="93">
        <f t="shared" si="5"/>
        <v>0</v>
      </c>
      <c r="BB69" s="93">
        <f t="shared" si="5"/>
        <v>0</v>
      </c>
      <c r="BC69" s="93">
        <f t="shared" si="5"/>
        <v>0</v>
      </c>
      <c r="BD69" s="93">
        <f t="shared" si="5"/>
        <v>0</v>
      </c>
      <c r="BE69" s="93">
        <f t="shared" si="5"/>
        <v>0</v>
      </c>
      <c r="BF69" s="93">
        <f t="shared" si="5"/>
        <v>0</v>
      </c>
      <c r="BG69" s="93">
        <f t="shared" si="5"/>
        <v>0</v>
      </c>
      <c r="BH69" s="93"/>
      <c r="BI69" s="96">
        <f>SUM(BI58:BI65)</f>
        <v>0</v>
      </c>
    </row>
    <row r="70" spans="1:61" ht="23.25" customHeight="1" x14ac:dyDescent="0.35">
      <c r="A70" s="1196"/>
      <c r="B70" s="22">
        <v>10</v>
      </c>
      <c r="C70" s="41" t="str">
        <f>IF('Eng. Cutter Entry'!C13&lt;&gt;"",'Eng. Cutter Entry'!C13,"")</f>
        <v/>
      </c>
      <c r="D70" s="41" t="str">
        <f>IF('Eng. Cutter Entry'!D13&lt;&gt;"",'Eng. Cutter Entry'!D13,"")</f>
        <v/>
      </c>
      <c r="E70" s="41" t="str">
        <f>IF('Eng. Cutter Entry'!E13&lt;&gt;"",'Eng. Cutter Entry'!E13,"")</f>
        <v/>
      </c>
      <c r="F70" s="41" t="str">
        <f>IF('Eng. Cutter Entry'!F13&lt;&gt;"",'Eng. Cutter Entry'!F13,"")</f>
        <v/>
      </c>
      <c r="G70" s="41" t="str">
        <f>IF('Eng. Cutter Entry'!G13&lt;&gt;"",'Eng. Cutter Entry'!G13,"")</f>
        <v/>
      </c>
      <c r="H70" s="41" t="str">
        <f>IF('Eng. Cutter Entry'!H13&lt;&gt;"",'Eng. Cutter Entry'!H13,"")</f>
        <v/>
      </c>
      <c r="I70" s="41" t="str">
        <f>IF('Eng. Cutter Entry'!I13&lt;&gt;"",'Eng. Cutter Entry'!I13,"")</f>
        <v/>
      </c>
      <c r="J70" s="41" t="str">
        <f>IF('Eng. Cutter Entry'!J13&lt;&gt;"",'Eng. Cutter Entry'!J13,"")</f>
        <v/>
      </c>
      <c r="K70" s="41" t="str">
        <f>IF('Eng. Cutter Entry'!K13&lt;&gt;"",'Eng. Cutter Entry'!K13,"")</f>
        <v/>
      </c>
      <c r="L70" s="41" t="str">
        <f>IF('Eng. Cutter Entry'!L13&lt;&gt;"",'Eng. Cutter Entry'!L13,"")</f>
        <v/>
      </c>
      <c r="M70" s="41" t="str">
        <f>IF('Eng. Cutter Entry'!M13&lt;&gt;"",'Eng. Cutter Entry'!M13,"")</f>
        <v/>
      </c>
      <c r="N70" s="41" t="str">
        <f>IF('Eng. Cutter Entry'!N13&lt;&gt;"",'Eng. Cutter Entry'!N13,"")</f>
        <v/>
      </c>
      <c r="O70" s="41" t="str">
        <f>IF('Eng. Cutter Entry'!O13&lt;&gt;"",'Eng. Cutter Entry'!O13,"")</f>
        <v/>
      </c>
      <c r="P70" s="41" t="str">
        <f>IF('Eng. Cutter Entry'!P13&lt;&gt;"",'Eng. Cutter Entry'!P13,"")</f>
        <v/>
      </c>
      <c r="Q70" s="41" t="str">
        <f>IF('Eng. Cutter Entry'!Q13&lt;&gt;"",'Eng. Cutter Entry'!Q13,"")</f>
        <v/>
      </c>
      <c r="R70" s="41" t="str">
        <f>IF('Eng. Cutter Entry'!R13&lt;&gt;"",'Eng. Cutter Entry'!R13,"")</f>
        <v/>
      </c>
      <c r="S70" s="41" t="str">
        <f>IF('Eng. Cutter Entry'!S13&lt;&gt;"",'Eng. Cutter Entry'!S13,"")</f>
        <v/>
      </c>
      <c r="T70" s="41" t="str">
        <f>IF('Eng. Cutter Entry'!T13&lt;&gt;"",'Eng. Cutter Entry'!T13,"")</f>
        <v/>
      </c>
      <c r="U70" s="41" t="str">
        <f>IF('Eng. Cutter Entry'!U13&lt;&gt;"",'Eng. Cutter Entry'!U13,"")</f>
        <v/>
      </c>
      <c r="V70" s="41" t="str">
        <f>IF('Eng. Cutter Entry'!V13&lt;&gt;"",'Eng. Cutter Entry'!V13,"")</f>
        <v/>
      </c>
      <c r="W70" s="41" t="str">
        <f>IF('Eng. Cutter Entry'!W13&lt;&gt;"",'Eng. Cutter Entry'!W13,"")</f>
        <v/>
      </c>
      <c r="X70" s="41" t="str">
        <f>IF('Eng. Cutter Entry'!X13&lt;&gt;"",'Eng. Cutter Entry'!X13,"")</f>
        <v/>
      </c>
      <c r="Y70" s="41" t="str">
        <f>IF('Eng. Cutter Entry'!Y13&lt;&gt;"",'Eng. Cutter Entry'!Y13,"")</f>
        <v/>
      </c>
      <c r="Z70" s="41" t="str">
        <f>IF('Eng. Cutter Entry'!Z13&lt;&gt;"",'Eng. Cutter Entry'!Z13,"")</f>
        <v/>
      </c>
      <c r="AA70" s="41" t="str">
        <f>IF('Eng. Cutter Entry'!AA13&lt;&gt;"",'Eng. Cutter Entry'!AA13,"")</f>
        <v/>
      </c>
      <c r="AB70" s="41" t="str">
        <f>IF('Eng. Cutter Entry'!AB13&lt;&gt;"",'Eng. Cutter Entry'!AB13,"")</f>
        <v/>
      </c>
      <c r="AC70" s="41" t="str">
        <f>IF('Eng. Cutter Entry'!AC13&lt;&gt;"",'Eng. Cutter Entry'!AC13,"")</f>
        <v/>
      </c>
      <c r="AD70" s="41" t="str">
        <f>IF('Eng. Cutter Entry'!AD13&lt;&gt;"",'Eng. Cutter Entry'!AD13,"")</f>
        <v/>
      </c>
      <c r="AE70" s="41" t="str">
        <f>IF('Eng. Cutter Entry'!AE13&lt;&gt;"",'Eng. Cutter Entry'!AE13,"")</f>
        <v/>
      </c>
      <c r="AF70" s="41" t="str">
        <f>IF('Eng. Cutter Entry'!AF13&lt;&gt;"",'Eng. Cutter Entry'!AF13,"")</f>
        <v/>
      </c>
      <c r="AG70" s="41" t="str">
        <f>IF('Eng. Cutter Entry'!AG13&lt;&gt;"",'Eng. Cutter Entry'!AG13,"")</f>
        <v/>
      </c>
      <c r="AH70" s="41" t="str">
        <f>IF('Eng. Cutter Entry'!AH13&lt;&gt;"",'Eng. Cutter Entry'!AH13,"")</f>
        <v/>
      </c>
      <c r="AI70" s="41" t="str">
        <f>IF('Eng. Cutter Entry'!AI13&lt;&gt;"",'Eng. Cutter Entry'!AI13,"")</f>
        <v/>
      </c>
      <c r="AJ70" s="41" t="str">
        <f>IF('Eng. Cutter Entry'!AJ13&lt;&gt;"",'Eng. Cutter Entry'!AJ13,"")</f>
        <v/>
      </c>
      <c r="AN70" s="93"/>
      <c r="AO70" s="93">
        <v>0</v>
      </c>
      <c r="AP70" s="93">
        <v>0</v>
      </c>
      <c r="AQ70" s="93">
        <f>IF(1=$BN$59,$BO$59,IF(1=$BN$60,$BO$60,IF(1=$BN$61,$BO$61,IF(Data!$BK$46=0,0,Data!$BK$46-(COUNTIF($C$94:$AJ$105,"X*"&amp;$BN$59&amp;"*1")+COUNTIF($C$94:$AJ$105,"X*"&amp;$BN$60&amp;"*1")+COUNTIF($C$94:$AJ$105,"X*"&amp;$BN$61&amp;"*1"))-(COUNTIF($C$94:$AJ$105,"L*"&amp;$BN$59&amp;"*1")+COUNTIF($C$94:$AJ$105,"L*"&amp;$BN$60&amp;"*1")+COUNTIF($C$94:$AJ$105,"L*"&amp;$BN$61&amp;"*1"))))))</f>
        <v>33</v>
      </c>
      <c r="AR70" s="93">
        <f>IF(2=$BN$59,$BO$59,IF(2=$BN$60,$BO$60,IF(2=$BN$61,$BO$61,IF(Data!$BK$47=0,0,Data!$BK$47-(COUNTIF($C$94:$AJ$105,"X*"&amp;$BN$59&amp;"*2")+COUNTIF($C$94:$AJ$105,"X*"&amp;$BN$60&amp;"*2")+COUNTIF($C$94:$AJ$105,"X*"&amp;$BN$61&amp;"*2"))-(COUNTIF($C$94:$AJ$105,"L*"&amp;$BN$59&amp;"*2")+COUNTIF($C$94:$AJ$105,"L*"&amp;$BN$60&amp;"*2")+COUNTIF($C$94:$AJ$105,"L*"&amp;$BN$61&amp;"*2"))))))</f>
        <v>23</v>
      </c>
      <c r="AS70" s="93">
        <f>IF(3=$BN$59,$BO$59,IF(3=$BN$60,$BO$60,IF(3=$BN$61,$BO$61,IF(Data!$BK$48=0,0,Data!$BK$48-(COUNTIF($C$94:$AJ$105,"X*"&amp;$BN$59&amp;"*3")+COUNTIF($C$94:$AJ$105,"X*"&amp;$BN$60&amp;"*3")+COUNTIF($C$94:$AJ$105,"X*"&amp;$BN$61&amp;"*3"))-(COUNTIF($C$94:$AJ$105,"L*"&amp;$BN$59&amp;"*3")+COUNTIF($C$94:$AJ$105,"L*"&amp;$BN$60&amp;"*3")+COUNTIF($C$94:$AJ$105,"L*"&amp;$BN$61&amp;"*3"))))))</f>
        <v>6</v>
      </c>
      <c r="AT70" s="93">
        <f>IF(4=$BN$59,$BO$59,IF(4=$BN$60,$BO$60,IF(4=$BN$61,$BO$61,IF(Data!$BK$49=0,0,Data!$BK$49-(COUNTIF($C$94:$AJ$105,"X*"&amp;$BN$59&amp;"*4")+COUNTIF($C$94:$AJ$105,"X*"&amp;$BN$60&amp;"*4")+COUNTIF($C$94:$AJ$105,"X*"&amp;$BN$61&amp;"*4"))-(COUNTIF($C$94:$AJ$105,"L*"&amp;$BN$59&amp;"*4")+COUNTIF($C$94:$AJ$105,"L*"&amp;$BN$60&amp;"*4")+COUNTIF($C$94:$AJ$105,"L*"&amp;$BN$61&amp;"*4"))))))</f>
        <v>6</v>
      </c>
      <c r="AU70" s="93">
        <f>IF(5=$BN$59,$BO$59,IF(5=$BN$60,$BO$60,IF(5=$BN$61,$BO$61,IF(Data!$BK$50=0,0,Data!$BK$50-(COUNTIF($C$94:$AJ$105,"X*"&amp;$BN$59&amp;"*5")+COUNTIF($C$94:$AJ$105,"X*"&amp;$BN$60&amp;"*5")+COUNTIF($C$94:$AJ$105,"X*"&amp;$BN$61&amp;"*5"))-(COUNTIF($C$94:$AJ$105,"L*"&amp;$BN$59&amp;"*5")+COUNTIF($C$94:$AJ$105,"L*"&amp;$BN$60&amp;"*5")+COUNTIF($C$94:$AJ$105,"L*"&amp;$BN$61&amp;"*5"))))))</f>
        <v>21</v>
      </c>
      <c r="AV70" s="93">
        <f>IF(6=$BN$59,$BO$59,IF(6=$BN$60,$BO$60,IF(6=$BN$61,$BO$61,IF(Data!$BK$51=0,0,Data!$BK$51-(COUNTIF($C$94:$AJ$105,"X*"&amp;$BN$59&amp;"*6")+COUNTIF($C$94:$AJ$105,"X*"&amp;$BN$60&amp;"*6")+COUNTIF($C$94:$AJ$105,"X*"&amp;$BN$61&amp;"*6"))-(COUNTIF($C$94:$AJ$105,"L*"&amp;$BN$59&amp;"*6")+COUNTIF($C$94:$AJ$105,"L*"&amp;$BN$60&amp;"*6")+COUNTIF($C$94:$AJ$105,"L*"&amp;$BN$61&amp;"*6"))))))</f>
        <v>0</v>
      </c>
      <c r="AW70" s="93">
        <f>IF(7=$BN$59,$BO$59,IF(7=$BN$60,$BO$60,IF(7=$BN$61,$BO$61,IF(Data!$BK$52=0,0,Data!$BK$52-(COUNTIF($C$94:$AJ$105,"X*"&amp;$BN$59&amp;"*7")+COUNTIF($C$94:$AJ$105,"X*"&amp;$BN$60&amp;"*7")+COUNTIF($C$94:$AJ$105,"X*"&amp;$BN$61&amp;"*7"))-(COUNTIF($C$94:$AJ$105,"L*"&amp;$BN$59&amp;"*7")+COUNTIF($C$94:$AJ$105,"L*"&amp;$BN$60&amp;"*7")+COUNTIF($C$94:$AJ$105,"L*"&amp;$BN$61&amp;"*7"))))))</f>
        <v>0</v>
      </c>
      <c r="AX70" s="93">
        <f>IF(8=$BN$59,$BO$59,IF(8=$BN$60,$BO$60,IF(8=$BN$61,$BO$61,IF(Data!$BK$53=0,0,Data!$BK$53-(COUNTIF($C$94:$AJ$105,"X*"&amp;$BN$59&amp;"*8")+COUNTIF($C$94:$AJ$105,"X*"&amp;$BN$60&amp;"*8")+COUNTIF($C$94:$AJ$105,"X*"&amp;$BN$61&amp;"*8"))-(COUNTIF($C$94:$AJ$105,"L*"&amp;$BN$59&amp;"*8")+COUNTIF($C$94:$AJ$105,"L*"&amp;$BN$60&amp;"*8")+COUNTIF($C$94:$AJ$105,"L*"&amp;$BN$61&amp;"*8"))))))</f>
        <v>0</v>
      </c>
      <c r="AY70" s="93">
        <f>IF(9=$BN$59,$BO$59,IF(9=$BN$60,$BO$60,IF(9=$BN$61,$BO$61,IF(Data!$BK$54=0,0,Data!$BK$54-(COUNTIF($C$94:$AJ$105,"X*"&amp;$BN$59&amp;"*9")+COUNTIF($C$94:$AJ$105,"X*"&amp;$BN$60&amp;"*9")+COUNTIF($C$94:$AJ$105,"X*"&amp;$BN$61&amp;"*9"))-(COUNTIF($C$94:$AJ$105,"L*"&amp;$BN$59&amp;"*9")+COUNTIF($C$94:$AJ$105,"L*"&amp;$BN$60&amp;"*9")+COUNTIF($C$94:$AJ$105,"L*"&amp;$BN$61&amp;"*9"))))))</f>
        <v>0</v>
      </c>
      <c r="AZ70" s="93">
        <f>IF(10=$BN$59,$BO$59,IF(10=$BN$60,$BO$60,IF(10=$BN$61,$BO$61,IF(Data!$BK$55=0,0,Data!$BK$55-(COUNTIF($C$94:$AJ$105,"X*"&amp;$BN$59&amp;"*10")+COUNTIF($C$94:$AJ$105,"X*"&amp;$BN$60&amp;"*10")+COUNTIF($C$94:$AJ$105,"X*"&amp;$BN$61&amp;"*10"))-(COUNTIF($C$94:$AJ$105,"L*"&amp;$BN$59&amp;"*10")+COUNTIF($C$94:$AJ$105,"L*"&amp;$BN$60&amp;"*10")+COUNTIF($C$94:$AJ$105,"L*"&amp;$BN$61&amp;"*10"))))))</f>
        <v>0</v>
      </c>
      <c r="BA70" s="93">
        <f>IF(11=$BN$59,$BO$59,IF(11=$BN$60,$BO$60,IF(11=$BN$61,$BO$61,IF(Data!$BK$56=0,0,Data!$BK$56-(COUNTIF($C$94:$AJ$105,"X*"&amp;$BN$59&amp;"*11")+COUNTIF($C$94:$AJ$105,"X*"&amp;$BN$60&amp;"*11")+COUNTIF($C$94:$AJ$105,"X*"&amp;$BN$61&amp;"*11"))-(COUNTIF($C$94:$AJ$105,"L*"&amp;$BN$59&amp;"*11")+COUNTIF($C$94:$AJ$105,"L*"&amp;$BN$60&amp;"*11")+COUNTIF($C$94:$AJ$105,"L*"&amp;$BN$61&amp;"*11"))))))</f>
        <v>0</v>
      </c>
      <c r="BB70" s="93">
        <f>IF(12=$BN$59,$BO$59,IF(12=$BN$60,$BO$60,IF(12=$BN$61,$BO$61,IF(Data!$BK$57=0,0,Data!$BK$57-(COUNTIF($C$94:$AJ$105,"X*"&amp;$BN$59&amp;"*12")+COUNTIF($C$94:$AJ$105,"X*"&amp;$BN$60&amp;"*12")+COUNTIF($C$94:$AJ$105,"X*"&amp;$BN$61&amp;"*12"))-(COUNTIF($C$94:$AJ$105,"L*"&amp;$BN$59&amp;"*12")+COUNTIF($C$94:$AJ$105,"L*"&amp;$BN$60&amp;"*12")+COUNTIF($C$94:$AJ$105,"L*"&amp;$BN$61&amp;"*12"))))))</f>
        <v>0</v>
      </c>
      <c r="BC70" s="93">
        <f>IF(13=$BN$59,$BO$59,IF(13=$BN$60,$BO$60,IF(13=$BN$61,$BO$61,IF(Data!$BK$58=0,0,Data!$BK$58-(COUNTIF($C$94:$AJ$105,"X*"&amp;$BN$59&amp;"*13")+COUNTIF($C$94:$AJ$105,"X*"&amp;$BN$60&amp;"*13")+COUNTIF($C$94:$AJ$105,"X*"&amp;$BN$61&amp;"*13"))-(COUNTIF($C$94:$AJ$105,"L*"&amp;$BN$59&amp;"*13")+COUNTIF($C$94:$AJ$105,"L*"&amp;$BN$60&amp;"*13")+COUNTIF($C$94:$AJ$105,"L*"&amp;$BN$61&amp;"*13"))))))</f>
        <v>0</v>
      </c>
      <c r="BD70" s="93">
        <f>IF(14=$BN$59,$BO$59,IF(10=$BN$60,$BO$60,IF(14=$BN$61,$BO$61,IF(Data!$BK$59=0,0,Data!$BK$59-(COUNTIF($C$94:$AJ$105,"X*"&amp;$BN$59&amp;"*14")+COUNTIF($C$94:$AJ$105,"X*"&amp;$BN$60&amp;"*14")+COUNTIF($C$94:$AJ$105,"X*"&amp;$BN$61&amp;"*14"))-(COUNTIF($C$94:$AJ$105,"L*"&amp;$BN$59&amp;"*14")+COUNTIF($C$94:$AJ$105,"L*"&amp;$BN$60&amp;"*14")+COUNTIF($C$94:$AJ$105,"L*"&amp;$BN$61&amp;"*14"))))))</f>
        <v>0</v>
      </c>
      <c r="BE70" s="93">
        <f>IF(15=$BN$59,$BO$59,IF(15=$BN$60,$BO$60,IF(15=$BN$61,$BO$61,IF(Data!$BK$60=0,0,Data!$BK$60-(COUNTIF($C$94:$AJ$105,"X*"&amp;$BN$59&amp;"*15")+COUNTIF($C$94:$AJ$105,"X*"&amp;$BN$60&amp;"*15")+COUNTIF($C$94:$AJ$105,"X*"&amp;$BN$61&amp;"*15"))-(COUNTIF($C$94:$AJ$105,"L*"&amp;$BN$59&amp;"*15")+COUNTIF($C$94:$AJ$105,"L*"&amp;$BN$60&amp;"*15")+COUNTIF($C$94:$AJ$105,"L*"&amp;$BN$61&amp;"*15"))))))</f>
        <v>0</v>
      </c>
      <c r="BF70" s="93">
        <f>IF(16=$BN$59,$BO$59,IF(16=$BN$60,$BO$60,IF(16=$BN$61,$BO$61,IF(Data!$BK$61=0,0,Data!$BK$61-(COUNTIF($C$94:$AJ$105,"X*"&amp;$BN$59&amp;"*16")+COUNTIF($C$94:$AJ$105,"X*"&amp;$BN$60&amp;"*16")+COUNTIF($C$94:$AJ$105,"X*"&amp;$BN$61&amp;"*16"))-(COUNTIF($C$94:$AJ$105,"L*"&amp;$BN$59&amp;"*16")+COUNTIF($C$94:$AJ$105,"L*"&amp;$BN$60&amp;"*16")+COUNTIF($C$94:$AJ$105,"L*"&amp;$BN$61&amp;"*16"))))))</f>
        <v>0</v>
      </c>
      <c r="BG70" s="93">
        <f>IF(17=$BN$59,$BO$59,IF(17=$BN$60,$BO$60,IF(17=$BN$61,$BO$61,IF(Data!$BK$62=0,0,Data!$BK$62-(COUNTIF($C$94:$AJ$105,"X*"&amp;$BN$59&amp;"*17")+COUNTIF($C$94:$AJ$105,"X*"&amp;$BN$60&amp;"*17")+COUNTIF($C$94:$AJ$105,"X*"&amp;$BN$61&amp;"*17"))-(COUNTIF($C$94:$AJ$105,"L*"&amp;$BN$59&amp;"*17")+COUNTIF($C$94:$AJ$105,"L*"&amp;$BN$60&amp;"*17")+COUNTIF($C$94:$AJ$105,"L*"&amp;$BN$61&amp;"*17"))))))</f>
        <v>0</v>
      </c>
      <c r="BH70" s="83" t="s">
        <v>21</v>
      </c>
      <c r="BI70" s="83">
        <f>Data!BO63</f>
        <v>62</v>
      </c>
    </row>
    <row r="71" spans="1:61" ht="23.25" customHeight="1" x14ac:dyDescent="0.35">
      <c r="A71" s="1196"/>
      <c r="B71" s="22">
        <v>11</v>
      </c>
      <c r="C71" s="41" t="str">
        <f>IF('Eng. Cutter Entry'!C14&lt;&gt;"",'Eng. Cutter Entry'!C14,"")</f>
        <v/>
      </c>
      <c r="D71" s="41" t="str">
        <f>IF('Eng. Cutter Entry'!D14&lt;&gt;"",'Eng. Cutter Entry'!D14,"")</f>
        <v/>
      </c>
      <c r="E71" s="41" t="str">
        <f>IF('Eng. Cutter Entry'!E14&lt;&gt;"",'Eng. Cutter Entry'!E14,"")</f>
        <v/>
      </c>
      <c r="F71" s="41" t="str">
        <f>IF('Eng. Cutter Entry'!F14&lt;&gt;"",'Eng. Cutter Entry'!F14,"")</f>
        <v/>
      </c>
      <c r="G71" s="41" t="str">
        <f>IF('Eng. Cutter Entry'!G14&lt;&gt;"",'Eng. Cutter Entry'!G14,"")</f>
        <v/>
      </c>
      <c r="H71" s="41" t="str">
        <f>IF('Eng. Cutter Entry'!H14&lt;&gt;"",'Eng. Cutter Entry'!H14,"")</f>
        <v/>
      </c>
      <c r="I71" s="41" t="str">
        <f>IF('Eng. Cutter Entry'!I14&lt;&gt;"",'Eng. Cutter Entry'!I14,"")</f>
        <v/>
      </c>
      <c r="J71" s="41" t="str">
        <f>IF('Eng. Cutter Entry'!J14&lt;&gt;"",'Eng. Cutter Entry'!J14,"")</f>
        <v/>
      </c>
      <c r="K71" s="41" t="str">
        <f>IF('Eng. Cutter Entry'!K14&lt;&gt;"",'Eng. Cutter Entry'!K14,"")</f>
        <v/>
      </c>
      <c r="L71" s="41" t="str">
        <f>IF('Eng. Cutter Entry'!L14&lt;&gt;"",'Eng. Cutter Entry'!L14,"")</f>
        <v/>
      </c>
      <c r="M71" s="41" t="str">
        <f>IF('Eng. Cutter Entry'!M14&lt;&gt;"",'Eng. Cutter Entry'!M14,"")</f>
        <v/>
      </c>
      <c r="N71" s="41" t="str">
        <f>IF('Eng. Cutter Entry'!N14&lt;&gt;"",'Eng. Cutter Entry'!N14,"")</f>
        <v/>
      </c>
      <c r="O71" s="41" t="str">
        <f>IF('Eng. Cutter Entry'!O14&lt;&gt;"",'Eng. Cutter Entry'!O14,"")</f>
        <v/>
      </c>
      <c r="P71" s="41" t="str">
        <f>IF('Eng. Cutter Entry'!P14&lt;&gt;"",'Eng. Cutter Entry'!P14,"")</f>
        <v/>
      </c>
      <c r="Q71" s="41" t="str">
        <f>IF('Eng. Cutter Entry'!Q14&lt;&gt;"",'Eng. Cutter Entry'!Q14,"")</f>
        <v/>
      </c>
      <c r="R71" s="41" t="str">
        <f>IF('Eng. Cutter Entry'!R14&lt;&gt;"",'Eng. Cutter Entry'!R14,"")</f>
        <v/>
      </c>
      <c r="S71" s="41" t="str">
        <f>IF('Eng. Cutter Entry'!S14&lt;&gt;"",'Eng. Cutter Entry'!S14,"")</f>
        <v/>
      </c>
      <c r="T71" s="41" t="str">
        <f>IF('Eng. Cutter Entry'!T14&lt;&gt;"",'Eng. Cutter Entry'!T14,"")</f>
        <v/>
      </c>
      <c r="U71" s="41" t="str">
        <f>IF('Eng. Cutter Entry'!U14&lt;&gt;"",'Eng. Cutter Entry'!U14,"")</f>
        <v/>
      </c>
      <c r="V71" s="41" t="str">
        <f>IF('Eng. Cutter Entry'!V14&lt;&gt;"",'Eng. Cutter Entry'!V14,"")</f>
        <v/>
      </c>
      <c r="W71" s="41" t="str">
        <f>IF('Eng. Cutter Entry'!W14&lt;&gt;"",'Eng. Cutter Entry'!W14,"")</f>
        <v/>
      </c>
      <c r="X71" s="41" t="str">
        <f>IF('Eng. Cutter Entry'!X14&lt;&gt;"",'Eng. Cutter Entry'!X14,"")</f>
        <v/>
      </c>
      <c r="Y71" s="41" t="str">
        <f>IF('Eng. Cutter Entry'!Y14&lt;&gt;"",'Eng. Cutter Entry'!Y14,"")</f>
        <v/>
      </c>
      <c r="Z71" s="41" t="str">
        <f>IF('Eng. Cutter Entry'!Z14&lt;&gt;"",'Eng. Cutter Entry'!Z14,"")</f>
        <v/>
      </c>
      <c r="AA71" s="41" t="str">
        <f>IF('Eng. Cutter Entry'!AA14&lt;&gt;"",'Eng. Cutter Entry'!AA14,"")</f>
        <v/>
      </c>
      <c r="AB71" s="41" t="str">
        <f>IF('Eng. Cutter Entry'!AB14&lt;&gt;"",'Eng. Cutter Entry'!AB14,"")</f>
        <v/>
      </c>
      <c r="AC71" s="41" t="str">
        <f>IF('Eng. Cutter Entry'!AC14&lt;&gt;"",'Eng. Cutter Entry'!AC14,"")</f>
        <v/>
      </c>
      <c r="AD71" s="41" t="str">
        <f>IF('Eng. Cutter Entry'!AD14&lt;&gt;"",'Eng. Cutter Entry'!AD14,"")</f>
        <v/>
      </c>
      <c r="AE71" s="41" t="str">
        <f>IF('Eng. Cutter Entry'!AE14&lt;&gt;"",'Eng. Cutter Entry'!AE14,"")</f>
        <v/>
      </c>
      <c r="AF71" s="41" t="str">
        <f>IF('Eng. Cutter Entry'!AF14&lt;&gt;"",'Eng. Cutter Entry'!AF14,"")</f>
        <v/>
      </c>
      <c r="AG71" s="41" t="str">
        <f>IF('Eng. Cutter Entry'!AG14&lt;&gt;"",'Eng. Cutter Entry'!AG14,"")</f>
        <v/>
      </c>
      <c r="AH71" s="41" t="str">
        <f>IF('Eng. Cutter Entry'!AH14&lt;&gt;"",'Eng. Cutter Entry'!AH14,"")</f>
        <v/>
      </c>
      <c r="AI71" s="41" t="str">
        <f>IF('Eng. Cutter Entry'!AI14&lt;&gt;"",'Eng. Cutter Entry'!AI14,"")</f>
        <v/>
      </c>
      <c r="AJ71" s="41" t="str">
        <f>IF('Eng. Cutter Entry'!AJ14&lt;&gt;"",'Eng. Cutter Entry'!AJ14,"")</f>
        <v/>
      </c>
      <c r="AK71" t="s">
        <v>1543</v>
      </c>
      <c r="AN71" s="93"/>
      <c r="AO71" s="93" t="str">
        <f>IF(AO69=AO70,"True","Excessive Cutters")</f>
        <v>True</v>
      </c>
      <c r="AP71" s="93" t="str">
        <f>IF(AP69=AP70,"True","Excessive Cutters")</f>
        <v>True</v>
      </c>
      <c r="AQ71" s="93" t="str">
        <f>IF(AQ69=AQ70,"True","Imperfection")</f>
        <v>Imperfection</v>
      </c>
      <c r="AR71" s="93" t="str">
        <f>IF(AR69=AR70,"True","Imperfection")</f>
        <v>Imperfection</v>
      </c>
      <c r="AS71" s="93" t="str">
        <f>IF(AS69=AS70,"True","Imperfection")</f>
        <v>Imperfection</v>
      </c>
      <c r="AT71" s="93" t="str">
        <f>IF(AT69=AT70,"True","Imperfection")</f>
        <v>Imperfection</v>
      </c>
      <c r="AU71" s="93" t="str">
        <f>IF(AU69=AU70,"True","Imperfection")</f>
        <v>Imperfection</v>
      </c>
      <c r="AV71" s="93" t="str">
        <f>IF(AV69=AV70,"True","Excessive Cutters")</f>
        <v>True</v>
      </c>
      <c r="AW71" s="93" t="str">
        <f>IF(AW69=AW70,"True","Excessive Cutters")</f>
        <v>True</v>
      </c>
      <c r="AX71" s="93" t="str">
        <f>IF(AX69=AX70,"True","Imperfection")</f>
        <v>True</v>
      </c>
      <c r="AY71" s="93" t="str">
        <f>IF(AY69=AY70,"True","Imperfection")</f>
        <v>True</v>
      </c>
      <c r="AZ71" s="93" t="str">
        <f>IF(AZ69=AZ70,"True","Imperfection")</f>
        <v>True</v>
      </c>
      <c r="BA71" s="93" t="str">
        <f t="shared" ref="BA71:BG71" si="6">IF(BA69=BA70,"True","Imperfection")</f>
        <v>True</v>
      </c>
      <c r="BB71" s="93" t="str">
        <f t="shared" si="6"/>
        <v>True</v>
      </c>
      <c r="BC71" s="93" t="str">
        <f t="shared" si="6"/>
        <v>True</v>
      </c>
      <c r="BD71" s="93" t="str">
        <f t="shared" si="6"/>
        <v>True</v>
      </c>
      <c r="BE71" s="93" t="str">
        <f t="shared" si="6"/>
        <v>True</v>
      </c>
      <c r="BF71" s="93" t="str">
        <f t="shared" si="6"/>
        <v>True</v>
      </c>
      <c r="BG71" s="93" t="str">
        <f t="shared" si="6"/>
        <v>True</v>
      </c>
      <c r="BH71" s="93"/>
      <c r="BI71" s="93" t="str">
        <f>IF(BI69=BI70,"True","Quantity False")</f>
        <v>Quantity False</v>
      </c>
    </row>
    <row r="72" spans="1:61" ht="24" customHeight="1" thickBot="1" x14ac:dyDescent="0.4">
      <c r="A72" s="1197"/>
      <c r="B72" s="23">
        <v>12</v>
      </c>
      <c r="C72" s="41" t="str">
        <f>IF('Eng. Cutter Entry'!C15&lt;&gt;"",'Eng. Cutter Entry'!C15,"")</f>
        <v/>
      </c>
      <c r="D72" s="41" t="str">
        <f>IF('Eng. Cutter Entry'!D15&lt;&gt;"",'Eng. Cutter Entry'!D15,"")</f>
        <v/>
      </c>
      <c r="E72" s="41" t="str">
        <f>IF('Eng. Cutter Entry'!E15&lt;&gt;"",'Eng. Cutter Entry'!E15,"")</f>
        <v/>
      </c>
      <c r="F72" s="41" t="str">
        <f>IF('Eng. Cutter Entry'!F15&lt;&gt;"",'Eng. Cutter Entry'!F15,"")</f>
        <v/>
      </c>
      <c r="G72" s="41" t="str">
        <f>IF('Eng. Cutter Entry'!G15&lt;&gt;"",'Eng. Cutter Entry'!G15,"")</f>
        <v/>
      </c>
      <c r="H72" s="41" t="str">
        <f>IF('Eng. Cutter Entry'!H15&lt;&gt;"",'Eng. Cutter Entry'!H15,"")</f>
        <v/>
      </c>
      <c r="I72" s="41" t="str">
        <f>IF('Eng. Cutter Entry'!I15&lt;&gt;"",'Eng. Cutter Entry'!I15,"")</f>
        <v/>
      </c>
      <c r="J72" s="41" t="str">
        <f>IF('Eng. Cutter Entry'!J15&lt;&gt;"",'Eng. Cutter Entry'!J15,"")</f>
        <v/>
      </c>
      <c r="K72" s="41" t="str">
        <f>IF('Eng. Cutter Entry'!K15&lt;&gt;"",'Eng. Cutter Entry'!K15,"")</f>
        <v/>
      </c>
      <c r="L72" s="41" t="str">
        <f>IF('Eng. Cutter Entry'!L15&lt;&gt;"",'Eng. Cutter Entry'!L15,"")</f>
        <v/>
      </c>
      <c r="M72" s="41" t="str">
        <f>IF('Eng. Cutter Entry'!M15&lt;&gt;"",'Eng. Cutter Entry'!M15,"")</f>
        <v/>
      </c>
      <c r="N72" s="41" t="str">
        <f>IF('Eng. Cutter Entry'!N15&lt;&gt;"",'Eng. Cutter Entry'!N15,"")</f>
        <v/>
      </c>
      <c r="O72" s="41" t="str">
        <f>IF('Eng. Cutter Entry'!O15&lt;&gt;"",'Eng. Cutter Entry'!O15,"")</f>
        <v/>
      </c>
      <c r="P72" s="41" t="str">
        <f>IF('Eng. Cutter Entry'!P15&lt;&gt;"",'Eng. Cutter Entry'!P15,"")</f>
        <v/>
      </c>
      <c r="Q72" s="41" t="str">
        <f>IF('Eng. Cutter Entry'!Q15&lt;&gt;"",'Eng. Cutter Entry'!Q15,"")</f>
        <v/>
      </c>
      <c r="R72" s="41" t="str">
        <f>IF('Eng. Cutter Entry'!R15&lt;&gt;"",'Eng. Cutter Entry'!R15,"")</f>
        <v/>
      </c>
      <c r="S72" s="41" t="str">
        <f>IF('Eng. Cutter Entry'!S15&lt;&gt;"",'Eng. Cutter Entry'!S15,"")</f>
        <v/>
      </c>
      <c r="T72" s="41" t="str">
        <f>IF('Eng. Cutter Entry'!T15&lt;&gt;"",'Eng. Cutter Entry'!T15,"")</f>
        <v/>
      </c>
      <c r="U72" s="41" t="str">
        <f>IF('Eng. Cutter Entry'!U15&lt;&gt;"",'Eng. Cutter Entry'!U15,"")</f>
        <v/>
      </c>
      <c r="V72" s="41" t="str">
        <f>IF('Eng. Cutter Entry'!V15&lt;&gt;"",'Eng. Cutter Entry'!V15,"")</f>
        <v/>
      </c>
      <c r="W72" s="41" t="str">
        <f>IF('Eng. Cutter Entry'!W15&lt;&gt;"",'Eng. Cutter Entry'!W15,"")</f>
        <v/>
      </c>
      <c r="X72" s="41" t="str">
        <f>IF('Eng. Cutter Entry'!X15&lt;&gt;"",'Eng. Cutter Entry'!X15,"")</f>
        <v/>
      </c>
      <c r="Y72" s="41" t="str">
        <f>IF('Eng. Cutter Entry'!Y15&lt;&gt;"",'Eng. Cutter Entry'!Y15,"")</f>
        <v/>
      </c>
      <c r="Z72" s="41" t="str">
        <f>IF('Eng. Cutter Entry'!Z15&lt;&gt;"",'Eng. Cutter Entry'!Z15,"")</f>
        <v/>
      </c>
      <c r="AA72" s="41" t="str">
        <f>IF('Eng. Cutter Entry'!AA15&lt;&gt;"",'Eng. Cutter Entry'!AA15,"")</f>
        <v/>
      </c>
      <c r="AB72" s="41" t="str">
        <f>IF('Eng. Cutter Entry'!AB15&lt;&gt;"",'Eng. Cutter Entry'!AB15,"")</f>
        <v/>
      </c>
      <c r="AC72" s="41" t="str">
        <f>IF('Eng. Cutter Entry'!AC15&lt;&gt;"",'Eng. Cutter Entry'!AC15,"")</f>
        <v/>
      </c>
      <c r="AD72" s="41" t="str">
        <f>IF('Eng. Cutter Entry'!AD15&lt;&gt;"",'Eng. Cutter Entry'!AD15,"")</f>
        <v/>
      </c>
      <c r="AE72" s="41" t="str">
        <f>IF('Eng. Cutter Entry'!AE15&lt;&gt;"",'Eng. Cutter Entry'!AE15,"")</f>
        <v/>
      </c>
      <c r="AF72" s="41" t="str">
        <f>IF('Eng. Cutter Entry'!AF15&lt;&gt;"",'Eng. Cutter Entry'!AF15,"")</f>
        <v/>
      </c>
      <c r="AG72" s="41" t="str">
        <f>IF('Eng. Cutter Entry'!AG15&lt;&gt;"",'Eng. Cutter Entry'!AG15,"")</f>
        <v/>
      </c>
      <c r="AH72" s="41" t="str">
        <f>IF('Eng. Cutter Entry'!AH15&lt;&gt;"",'Eng. Cutter Entry'!AH15,"")</f>
        <v/>
      </c>
      <c r="AI72" s="41" t="str">
        <f>IF('Eng. Cutter Entry'!AI15&lt;&gt;"",'Eng. Cutter Entry'!AI15,"")</f>
        <v/>
      </c>
      <c r="AJ72" s="41" t="str">
        <f>IF('Eng. Cutter Entry'!AJ15&lt;&gt;"",'Eng. Cutter Entry'!AJ15,"")</f>
        <v/>
      </c>
      <c r="BC72" s="13"/>
      <c r="BD72" s="13"/>
      <c r="BE72" s="13"/>
      <c r="BF72" s="13"/>
      <c r="BG72" s="13"/>
      <c r="BH72" s="13"/>
      <c r="BI72" s="13"/>
    </row>
    <row r="73" spans="1:61" ht="24" customHeight="1" thickBot="1" x14ac:dyDescent="0.4">
      <c r="A73" s="34"/>
      <c r="B73" s="35"/>
      <c r="C73" s="1235" t="s">
        <v>799</v>
      </c>
      <c r="D73" s="1236"/>
      <c r="E73" s="1236"/>
      <c r="F73" s="1236"/>
      <c r="G73" s="1236"/>
      <c r="H73" s="1237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BC73" s="13"/>
      <c r="BD73" s="13"/>
      <c r="BE73" s="13"/>
      <c r="BF73" s="13"/>
      <c r="BG73" s="13"/>
      <c r="BH73" s="13"/>
      <c r="BI73" s="13"/>
    </row>
    <row r="74" spans="1:61" ht="24" customHeight="1" thickBot="1" x14ac:dyDescent="0.4">
      <c r="A74" s="34"/>
      <c r="B74" s="35"/>
      <c r="C74" s="1213" t="str">
        <f>CONCATENATE("Build up the following: ",AK179,AK200,AK221,IF(AN265&lt;&gt;"fins inbetween . ",AN265,""))</f>
        <v xml:space="preserve">Build up the following: </v>
      </c>
      <c r="D74" s="1214"/>
      <c r="E74" s="1214"/>
      <c r="F74" s="1214"/>
      <c r="G74" s="1214"/>
      <c r="H74" s="1214"/>
      <c r="I74" s="1214"/>
      <c r="J74" s="1214"/>
      <c r="K74" s="1214"/>
      <c r="L74" s="1214"/>
      <c r="M74" s="1214"/>
      <c r="N74" s="1214"/>
      <c r="O74" s="1214"/>
      <c r="P74" s="1214"/>
      <c r="Q74" s="1214"/>
      <c r="R74" s="1214"/>
      <c r="S74" s="1214"/>
      <c r="T74" s="1214"/>
      <c r="U74" s="1214"/>
      <c r="V74" s="1214"/>
      <c r="W74" s="1214"/>
      <c r="X74" s="1214"/>
      <c r="Y74" s="1214"/>
      <c r="Z74" s="1214"/>
      <c r="AA74" s="1214"/>
      <c r="AB74" s="1214"/>
      <c r="AC74" s="1214"/>
      <c r="AD74" s="1214"/>
      <c r="AE74" s="1214"/>
      <c r="AF74" s="1215"/>
      <c r="AG74" s="39"/>
      <c r="AH74" s="39"/>
      <c r="AI74" s="39"/>
      <c r="BC74" s="13"/>
      <c r="BD74" s="13"/>
      <c r="BE74" s="13"/>
      <c r="BF74" s="13"/>
      <c r="BG74" s="13"/>
      <c r="BH74" s="13"/>
      <c r="BI74" s="13"/>
    </row>
    <row r="75" spans="1:61" ht="23.25" customHeight="1" x14ac:dyDescent="0.35">
      <c r="A75" s="34"/>
      <c r="B75" s="35"/>
      <c r="AG75" s="39"/>
      <c r="AH75" s="39"/>
      <c r="AI75" s="39"/>
      <c r="AN75" s="83"/>
      <c r="AQ75" s="83" t="s">
        <v>136</v>
      </c>
      <c r="AR75" s="83" t="s">
        <v>137</v>
      </c>
      <c r="AS75" s="83" t="s">
        <v>138</v>
      </c>
      <c r="AT75" s="83" t="s">
        <v>139</v>
      </c>
      <c r="AU75" s="83" t="s">
        <v>140</v>
      </c>
      <c r="AV75" s="83" t="s">
        <v>299</v>
      </c>
      <c r="AW75" s="83" t="s">
        <v>300</v>
      </c>
      <c r="AX75" s="83" t="s">
        <v>301</v>
      </c>
      <c r="AY75" s="83" t="s">
        <v>302</v>
      </c>
      <c r="AZ75" s="83" t="s">
        <v>303</v>
      </c>
      <c r="BA75" s="83" t="s">
        <v>2491</v>
      </c>
      <c r="BB75" s="83" t="s">
        <v>2492</v>
      </c>
      <c r="BC75" s="83" t="s">
        <v>2493</v>
      </c>
      <c r="BD75" s="83" t="s">
        <v>2494</v>
      </c>
      <c r="BE75" s="83" t="s">
        <v>2495</v>
      </c>
      <c r="BF75" s="83" t="s">
        <v>2496</v>
      </c>
      <c r="BG75" s="83" t="s">
        <v>2497</v>
      </c>
      <c r="BH75" s="93"/>
      <c r="BI75" s="83" t="s">
        <v>21</v>
      </c>
    </row>
    <row r="76" spans="1:61" ht="23.25" customHeight="1" x14ac:dyDescent="0.35">
      <c r="A76" s="34"/>
      <c r="B76" s="35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N76" s="83"/>
      <c r="AQ76" s="83">
        <f t="shared" ref="AQ76:AZ76" si="7">SUM(AQ2:AQ5)</f>
        <v>0</v>
      </c>
      <c r="AR76" s="83">
        <f t="shared" si="7"/>
        <v>0</v>
      </c>
      <c r="AS76" s="83">
        <f t="shared" si="7"/>
        <v>6</v>
      </c>
      <c r="AT76" s="83">
        <f t="shared" si="7"/>
        <v>6</v>
      </c>
      <c r="AU76" s="83">
        <f t="shared" si="7"/>
        <v>21</v>
      </c>
      <c r="AV76" s="83">
        <f t="shared" si="7"/>
        <v>0</v>
      </c>
      <c r="AW76" s="83">
        <f t="shared" si="7"/>
        <v>0</v>
      </c>
      <c r="AX76" s="83">
        <f t="shared" si="7"/>
        <v>0</v>
      </c>
      <c r="AY76" s="83">
        <f t="shared" si="7"/>
        <v>0</v>
      </c>
      <c r="AZ76" s="83">
        <f t="shared" si="7"/>
        <v>0</v>
      </c>
      <c r="BA76" s="83">
        <f t="shared" ref="BA76:BG76" si="8">SUM(BA2:BA5)</f>
        <v>0</v>
      </c>
      <c r="BB76" s="83">
        <f t="shared" si="8"/>
        <v>0</v>
      </c>
      <c r="BC76" s="83">
        <f t="shared" si="8"/>
        <v>0</v>
      </c>
      <c r="BD76" s="83">
        <f t="shared" si="8"/>
        <v>0</v>
      </c>
      <c r="BE76" s="83">
        <f t="shared" si="8"/>
        <v>0</v>
      </c>
      <c r="BF76" s="83">
        <f t="shared" si="8"/>
        <v>0</v>
      </c>
      <c r="BG76" s="83">
        <f t="shared" si="8"/>
        <v>0</v>
      </c>
      <c r="BH76" s="93"/>
      <c r="BI76" s="83">
        <f>SUM(AQ76:BG76)</f>
        <v>33</v>
      </c>
    </row>
    <row r="77" spans="1:61" ht="24" customHeight="1" thickBot="1" x14ac:dyDescent="0.4">
      <c r="A77" s="34"/>
      <c r="B77" s="35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N77" s="59" t="s">
        <v>721</v>
      </c>
      <c r="AQ77" s="93">
        <f>IFERROR(AQ76*Data!$GQ2,0)</f>
        <v>0</v>
      </c>
      <c r="AR77" s="93">
        <f>IFERROR(AR76*Data!$GQ3,0)</f>
        <v>0</v>
      </c>
      <c r="AS77" s="93">
        <f>IFERROR(AS76*Data!$GQ4,0)</f>
        <v>600</v>
      </c>
      <c r="AT77" s="93">
        <f>IFERROR(AT76*Data!$GQ5,0)</f>
        <v>2982</v>
      </c>
      <c r="AU77" s="93">
        <f>IFERROR(AU76*Data!$GQ6,0)</f>
        <v>10437</v>
      </c>
      <c r="AV77" s="93">
        <f>IFERROR(AV76*Data!$GQ7,0)</f>
        <v>0</v>
      </c>
      <c r="AW77" s="93">
        <f>IFERROR(AW76*Data!$GQ8,0)</f>
        <v>0</v>
      </c>
      <c r="AX77" s="93">
        <f>IFERROR(AX76*Data!$GQ9,0)</f>
        <v>0</v>
      </c>
      <c r="AY77" s="93">
        <f>IFERROR(AY76*Data!$GQ10,0)</f>
        <v>0</v>
      </c>
      <c r="AZ77" s="93">
        <f>IFERROR(AZ76*Data!$GQ11,0)</f>
        <v>0</v>
      </c>
      <c r="BA77" s="93">
        <f>IFERROR(BA76*Data!$GQ12,0)</f>
        <v>0</v>
      </c>
      <c r="BB77" s="93">
        <f>IFERROR(BB76*Data!$GQ13,0)</f>
        <v>0</v>
      </c>
      <c r="BC77" s="93">
        <f>IFERROR(BC76*Data!$GQ14,0)</f>
        <v>0</v>
      </c>
      <c r="BD77" s="93">
        <f>IFERROR(BD76*Data!$GQ15,0)</f>
        <v>0</v>
      </c>
      <c r="BE77" s="93">
        <f>IFERROR(BE76*Data!$GQ16,0)</f>
        <v>0</v>
      </c>
      <c r="BF77" s="93">
        <f>IFERROR(BF76*Data!$GQ17,0)</f>
        <v>0</v>
      </c>
      <c r="BG77" s="93">
        <f>IFERROR(BG76*Data!$GQ18,0)</f>
        <v>0</v>
      </c>
      <c r="BH77" s="93"/>
      <c r="BI77" s="93">
        <f>SUM(AQ77:BG77)</f>
        <v>14019</v>
      </c>
    </row>
    <row r="78" spans="1:61" ht="24" customHeight="1" thickBot="1" x14ac:dyDescent="0.4">
      <c r="A78" s="34"/>
      <c r="B78" s="35"/>
      <c r="C78" s="1235" t="s">
        <v>798</v>
      </c>
      <c r="D78" s="1236"/>
      <c r="E78" s="1236"/>
      <c r="F78" s="1236"/>
      <c r="G78" s="1236"/>
      <c r="H78" s="1237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N78" s="59" t="s">
        <v>722</v>
      </c>
      <c r="AQ78" s="93">
        <f t="shared" ref="AQ78:BG78" si="9">IFERROR(AQ6*25,0)</f>
        <v>300</v>
      </c>
      <c r="AR78" s="93">
        <f t="shared" si="9"/>
        <v>325</v>
      </c>
      <c r="AS78" s="93">
        <f t="shared" si="9"/>
        <v>0</v>
      </c>
      <c r="AT78" s="93">
        <f t="shared" si="9"/>
        <v>0</v>
      </c>
      <c r="AU78" s="93">
        <f t="shared" si="9"/>
        <v>0</v>
      </c>
      <c r="AV78" s="93">
        <f t="shared" si="9"/>
        <v>0</v>
      </c>
      <c r="AW78" s="93">
        <f t="shared" si="9"/>
        <v>0</v>
      </c>
      <c r="AX78" s="93">
        <f t="shared" si="9"/>
        <v>0</v>
      </c>
      <c r="AY78" s="93">
        <f t="shared" si="9"/>
        <v>0</v>
      </c>
      <c r="AZ78" s="93">
        <f t="shared" si="9"/>
        <v>0</v>
      </c>
      <c r="BA78" s="93">
        <f t="shared" si="9"/>
        <v>0</v>
      </c>
      <c r="BB78" s="93">
        <f t="shared" si="9"/>
        <v>0</v>
      </c>
      <c r="BC78" s="93">
        <f t="shared" si="9"/>
        <v>0</v>
      </c>
      <c r="BD78" s="93">
        <f t="shared" si="9"/>
        <v>0</v>
      </c>
      <c r="BE78" s="93">
        <f t="shared" si="9"/>
        <v>0</v>
      </c>
      <c r="BF78" s="93">
        <f t="shared" si="9"/>
        <v>0</v>
      </c>
      <c r="BG78" s="93">
        <f t="shared" si="9"/>
        <v>0</v>
      </c>
      <c r="BH78" s="93"/>
      <c r="BI78" s="93">
        <f>SUM(AQ78:BG78)</f>
        <v>625</v>
      </c>
    </row>
    <row r="79" spans="1:61" ht="24" customHeight="1" thickBot="1" x14ac:dyDescent="0.4">
      <c r="A79" s="34"/>
      <c r="B79" s="35"/>
      <c r="C79" s="1213" t="str">
        <f>IF(C82&gt;24,CONCATENATE("Build up the following: ",AK284,AK305,AK326,IF(AN370&lt;&gt;"fins inbetween . ",AN370,"")),"")</f>
        <v/>
      </c>
      <c r="D79" s="1214"/>
      <c r="E79" s="1214"/>
      <c r="F79" s="1214"/>
      <c r="G79" s="1214"/>
      <c r="H79" s="1214"/>
      <c r="I79" s="1214"/>
      <c r="J79" s="1214"/>
      <c r="K79" s="1214"/>
      <c r="L79" s="1214"/>
      <c r="M79" s="1214"/>
      <c r="N79" s="1214"/>
      <c r="O79" s="1214"/>
      <c r="P79" s="1214"/>
      <c r="Q79" s="1214"/>
      <c r="R79" s="1214"/>
      <c r="S79" s="1214"/>
      <c r="T79" s="1214"/>
      <c r="U79" s="1214"/>
      <c r="V79" s="1214"/>
      <c r="W79" s="1214"/>
      <c r="X79" s="1214"/>
      <c r="Y79" s="1214"/>
      <c r="Z79" s="1214"/>
      <c r="AA79" s="1214"/>
      <c r="AB79" s="1214"/>
      <c r="AC79" s="1214"/>
      <c r="AD79" s="1214"/>
      <c r="AE79" s="1214"/>
      <c r="AF79" s="1215"/>
      <c r="AG79" s="39"/>
      <c r="AH79" s="39"/>
      <c r="AI79" s="39"/>
      <c r="BC79" s="13"/>
      <c r="BD79" s="13"/>
      <c r="BE79" s="13"/>
      <c r="BF79" s="13"/>
      <c r="BG79" s="13"/>
      <c r="BH79" s="13"/>
      <c r="BI79" s="13"/>
    </row>
    <row r="80" spans="1:61" ht="23.25" customHeight="1" x14ac:dyDescent="0.35">
      <c r="A80" s="34"/>
      <c r="B80" s="35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N80" s="59" t="s">
        <v>723</v>
      </c>
      <c r="AQ80" s="93">
        <f>SUM(AQ58:AQ61)</f>
        <v>0</v>
      </c>
      <c r="AR80" s="93">
        <f t="shared" ref="AR80:BG80" si="10">SUM(AR58:AR61)</f>
        <v>0</v>
      </c>
      <c r="AS80" s="93">
        <f t="shared" si="10"/>
        <v>0</v>
      </c>
      <c r="AT80" s="93">
        <f t="shared" si="10"/>
        <v>0</v>
      </c>
      <c r="AU80" s="93">
        <f t="shared" si="10"/>
        <v>0</v>
      </c>
      <c r="AV80" s="93">
        <f t="shared" si="10"/>
        <v>0</v>
      </c>
      <c r="AW80" s="93">
        <f t="shared" si="10"/>
        <v>0</v>
      </c>
      <c r="AX80" s="93">
        <f t="shared" si="10"/>
        <v>0</v>
      </c>
      <c r="AY80" s="93">
        <f t="shared" si="10"/>
        <v>0</v>
      </c>
      <c r="AZ80" s="93">
        <f t="shared" si="10"/>
        <v>0</v>
      </c>
      <c r="BA80" s="93">
        <f t="shared" si="10"/>
        <v>0</v>
      </c>
      <c r="BB80" s="93">
        <f t="shared" si="10"/>
        <v>0</v>
      </c>
      <c r="BC80" s="93">
        <f t="shared" si="10"/>
        <v>0</v>
      </c>
      <c r="BD80" s="93">
        <f t="shared" si="10"/>
        <v>0</v>
      </c>
      <c r="BE80" s="93">
        <f t="shared" si="10"/>
        <v>0</v>
      </c>
      <c r="BF80" s="93">
        <f t="shared" si="10"/>
        <v>0</v>
      </c>
      <c r="BG80" s="93">
        <f t="shared" si="10"/>
        <v>0</v>
      </c>
      <c r="BH80" s="93"/>
      <c r="BI80" s="93">
        <f>SUM(AQ80:BG80)</f>
        <v>0</v>
      </c>
    </row>
    <row r="81" spans="1:61" ht="10" customHeight="1" thickBot="1" x14ac:dyDescent="0.4">
      <c r="A81" s="34"/>
      <c r="B81" s="35"/>
      <c r="C81" s="39"/>
      <c r="D81" s="39"/>
      <c r="E81" s="39"/>
      <c r="F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N81" s="59" t="s">
        <v>725</v>
      </c>
      <c r="AQ81" s="93">
        <f>IFERROR(AQ80*Data!$GQ2,0)</f>
        <v>0</v>
      </c>
      <c r="AR81" s="93">
        <f>IFERROR(AR80*Data!$GQ3,0)</f>
        <v>0</v>
      </c>
      <c r="AS81" s="93">
        <f>IFERROR(AS80*Data!$GQ4,0)</f>
        <v>0</v>
      </c>
      <c r="AT81" s="93">
        <f>IFERROR(AT80*Data!$GQ5,0)</f>
        <v>0</v>
      </c>
      <c r="AU81" s="93">
        <f>IFERROR(AU80*Data!$GQ6,0)</f>
        <v>0</v>
      </c>
      <c r="AV81" s="93">
        <f>IFERROR(AV80*Data!$GQ7,0)</f>
        <v>0</v>
      </c>
      <c r="AW81" s="93">
        <f>IFERROR(AW80*Data!$GQ8,0)</f>
        <v>0</v>
      </c>
      <c r="AX81" s="93">
        <f>IFERROR(AX80*Data!$GQ9,0)</f>
        <v>0</v>
      </c>
      <c r="AY81" s="93">
        <f>IFERROR(AY80*Data!$GQ10,0)</f>
        <v>0</v>
      </c>
      <c r="AZ81" s="93">
        <f>IFERROR(AZ80*Data!$GQ11,0)</f>
        <v>0</v>
      </c>
      <c r="BA81" s="93">
        <f>IFERROR(BA80*Data!$GQ12,0)</f>
        <v>0</v>
      </c>
      <c r="BB81" s="93">
        <f>IFERROR(BB80*Data!$GQ13,0)</f>
        <v>0</v>
      </c>
      <c r="BC81" s="93">
        <f>IFERROR(BC80*Data!$GQ14,0)</f>
        <v>0</v>
      </c>
      <c r="BD81" s="93">
        <f>IFERROR(BD80*Data!$GQ15,0)</f>
        <v>0</v>
      </c>
      <c r="BE81" s="93">
        <f>IFERROR(BE80*Data!$GQ16,0)</f>
        <v>0</v>
      </c>
      <c r="BF81" s="93">
        <f>IFERROR(BF80*Data!$GQ17,0)</f>
        <v>0</v>
      </c>
      <c r="BG81" s="93">
        <f>IFERROR(BG80*Data!$GQ18,0)</f>
        <v>0</v>
      </c>
      <c r="BH81" s="93"/>
      <c r="BI81" s="93">
        <f>SUM(AQ81:BG81)</f>
        <v>0</v>
      </c>
    </row>
    <row r="82" spans="1:61" ht="24" customHeight="1" thickBot="1" x14ac:dyDescent="0.4">
      <c r="A82" s="34"/>
      <c r="B82" s="35"/>
      <c r="C82" s="1216">
        <f>LEN(C83)</f>
        <v>24</v>
      </c>
      <c r="D82" s="1217"/>
      <c r="E82" s="1217"/>
      <c r="F82" s="1217"/>
      <c r="G82" s="1217"/>
      <c r="H82" s="1217"/>
      <c r="I82" s="1217"/>
      <c r="J82" s="1217"/>
      <c r="K82" s="1217"/>
      <c r="L82" s="1217"/>
      <c r="M82" s="1217"/>
      <c r="N82" s="1217"/>
      <c r="O82" s="1217"/>
      <c r="P82" s="1217"/>
      <c r="Q82" s="1217"/>
      <c r="R82" s="1217"/>
      <c r="S82" s="1217"/>
      <c r="T82" s="1217"/>
      <c r="U82" s="1217"/>
      <c r="V82" s="1217"/>
      <c r="W82" s="1217"/>
      <c r="X82" s="1217"/>
      <c r="Y82" s="1217"/>
      <c r="Z82" s="1217"/>
      <c r="AA82" s="1217"/>
      <c r="AB82" s="1217"/>
      <c r="AC82" s="1217"/>
      <c r="AD82" s="1217"/>
      <c r="AE82" s="1217"/>
      <c r="AF82" s="1218"/>
      <c r="AG82" s="39"/>
      <c r="AH82" s="39"/>
      <c r="AI82" s="39"/>
      <c r="AN82" s="97"/>
      <c r="BC82" s="13"/>
      <c r="BD82" s="13"/>
      <c r="BE82" s="13"/>
      <c r="BF82" s="13"/>
      <c r="BG82" s="13"/>
      <c r="BH82" s="13"/>
      <c r="BI82" s="13"/>
    </row>
    <row r="83" spans="1:61" ht="24" customHeight="1" thickBot="1" x14ac:dyDescent="0.4">
      <c r="A83" s="34"/>
      <c r="B83" s="35"/>
      <c r="C83" s="1213" t="str">
        <f>CONCATENATE("Build up the following: ",AK284,AK305,AK326,IF(AN370&lt;&gt;"fins inbetween . ",AN370,""))</f>
        <v xml:space="preserve">Build up the following: </v>
      </c>
      <c r="D83" s="1214"/>
      <c r="E83" s="1214"/>
      <c r="F83" s="1214"/>
      <c r="G83" s="1214"/>
      <c r="H83" s="1214"/>
      <c r="I83" s="1214"/>
      <c r="J83" s="1214"/>
      <c r="K83" s="1214"/>
      <c r="L83" s="1214"/>
      <c r="M83" s="1214"/>
      <c r="N83" s="1214"/>
      <c r="O83" s="1214"/>
      <c r="P83" s="1214"/>
      <c r="Q83" s="1214"/>
      <c r="R83" s="1214"/>
      <c r="S83" s="1214"/>
      <c r="T83" s="1214"/>
      <c r="U83" s="1214"/>
      <c r="V83" s="1214"/>
      <c r="W83" s="1214"/>
      <c r="X83" s="1214"/>
      <c r="Y83" s="1214"/>
      <c r="Z83" s="1214"/>
      <c r="AA83" s="1214"/>
      <c r="AB83" s="1214"/>
      <c r="AC83" s="1214"/>
      <c r="AD83" s="1214"/>
      <c r="AE83" s="1214"/>
      <c r="AF83" s="1215"/>
      <c r="AG83" s="39"/>
      <c r="AH83" s="39"/>
      <c r="AI83" s="39"/>
      <c r="AN83" s="59" t="s">
        <v>724</v>
      </c>
      <c r="AQ83" s="93">
        <f>AQ62</f>
        <v>0</v>
      </c>
      <c r="AR83" s="93">
        <f t="shared" ref="AR83:BG83" si="11">AR62</f>
        <v>0</v>
      </c>
      <c r="AS83" s="93">
        <f t="shared" si="11"/>
        <v>0</v>
      </c>
      <c r="AT83" s="93">
        <f t="shared" si="11"/>
        <v>0</v>
      </c>
      <c r="AU83" s="93">
        <f t="shared" si="11"/>
        <v>0</v>
      </c>
      <c r="AV83" s="93">
        <f t="shared" si="11"/>
        <v>0</v>
      </c>
      <c r="AW83" s="93">
        <f t="shared" si="11"/>
        <v>0</v>
      </c>
      <c r="AX83" s="93">
        <f t="shared" si="11"/>
        <v>0</v>
      </c>
      <c r="AY83" s="93">
        <f t="shared" si="11"/>
        <v>0</v>
      </c>
      <c r="AZ83" s="93">
        <f t="shared" si="11"/>
        <v>0</v>
      </c>
      <c r="BA83" s="93">
        <f t="shared" si="11"/>
        <v>0</v>
      </c>
      <c r="BB83" s="93">
        <f t="shared" si="11"/>
        <v>0</v>
      </c>
      <c r="BC83" s="93">
        <f t="shared" si="11"/>
        <v>0</v>
      </c>
      <c r="BD83" s="93">
        <f t="shared" si="11"/>
        <v>0</v>
      </c>
      <c r="BE83" s="93">
        <f t="shared" si="11"/>
        <v>0</v>
      </c>
      <c r="BF83" s="93">
        <f t="shared" si="11"/>
        <v>0</v>
      </c>
      <c r="BG83" s="93">
        <f t="shared" si="11"/>
        <v>0</v>
      </c>
      <c r="BH83" s="93"/>
      <c r="BI83" s="93">
        <f>SUM(AQ83:BG83)</f>
        <v>0</v>
      </c>
    </row>
    <row r="84" spans="1:61" ht="23.25" customHeight="1" x14ac:dyDescent="0.35">
      <c r="A84" s="34"/>
      <c r="B84" s="35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N84" s="59" t="s">
        <v>726</v>
      </c>
      <c r="AQ84" s="93">
        <f t="shared" ref="AQ84:BG84" si="12">IFERROR(AQ83*25,0)</f>
        <v>0</v>
      </c>
      <c r="AR84" s="93">
        <f t="shared" si="12"/>
        <v>0</v>
      </c>
      <c r="AS84" s="93">
        <f t="shared" si="12"/>
        <v>0</v>
      </c>
      <c r="AT84" s="93">
        <f t="shared" si="12"/>
        <v>0</v>
      </c>
      <c r="AU84" s="93">
        <f t="shared" si="12"/>
        <v>0</v>
      </c>
      <c r="AV84" s="93">
        <f t="shared" si="12"/>
        <v>0</v>
      </c>
      <c r="AW84" s="93">
        <f t="shared" si="12"/>
        <v>0</v>
      </c>
      <c r="AX84" s="93">
        <f t="shared" si="12"/>
        <v>0</v>
      </c>
      <c r="AY84" s="93">
        <f t="shared" si="12"/>
        <v>0</v>
      </c>
      <c r="AZ84" s="93">
        <f t="shared" si="12"/>
        <v>0</v>
      </c>
      <c r="BA84" s="93">
        <f t="shared" si="12"/>
        <v>0</v>
      </c>
      <c r="BB84" s="93">
        <f t="shared" si="12"/>
        <v>0</v>
      </c>
      <c r="BC84" s="93">
        <f t="shared" si="12"/>
        <v>0</v>
      </c>
      <c r="BD84" s="93">
        <f t="shared" si="12"/>
        <v>0</v>
      </c>
      <c r="BE84" s="93">
        <f t="shared" si="12"/>
        <v>0</v>
      </c>
      <c r="BF84" s="93">
        <f t="shared" si="12"/>
        <v>0</v>
      </c>
      <c r="BG84" s="93">
        <f t="shared" si="12"/>
        <v>0</v>
      </c>
      <c r="BH84" s="94"/>
      <c r="BI84" s="93">
        <f>SUM(AQ84:BG84)</f>
        <v>0</v>
      </c>
    </row>
    <row r="85" spans="1:61" ht="23.25" customHeight="1" x14ac:dyDescent="0.35">
      <c r="A85" s="34"/>
      <c r="B85" s="35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N85" s="97"/>
      <c r="BC85" s="13"/>
      <c r="BD85" s="13"/>
      <c r="BE85" s="13"/>
      <c r="BF85" s="13"/>
      <c r="BG85" s="13"/>
      <c r="BH85" s="13"/>
      <c r="BI85" s="13"/>
    </row>
    <row r="86" spans="1:61" ht="23.25" customHeight="1" x14ac:dyDescent="0.35">
      <c r="A86" s="34"/>
      <c r="B86" s="35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N86" s="97"/>
      <c r="BC86" s="13"/>
      <c r="BD86" s="13"/>
      <c r="BE86" s="13"/>
      <c r="BF86" s="13"/>
      <c r="BG86" s="13"/>
      <c r="BH86" s="13"/>
      <c r="BI86" s="13"/>
    </row>
    <row r="87" spans="1:61" ht="23.25" customHeight="1" x14ac:dyDescent="0.35">
      <c r="A87" s="34"/>
      <c r="B87" s="35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N87" s="83"/>
      <c r="AQ87" s="83" t="s">
        <v>136</v>
      </c>
      <c r="AR87" s="83" t="s">
        <v>137</v>
      </c>
      <c r="AS87" s="83" t="s">
        <v>138</v>
      </c>
      <c r="AT87" s="83" t="s">
        <v>139</v>
      </c>
      <c r="AU87" s="83" t="s">
        <v>140</v>
      </c>
      <c r="AV87" s="83" t="s">
        <v>299</v>
      </c>
      <c r="AW87" s="83" t="s">
        <v>300</v>
      </c>
      <c r="AX87" s="83" t="s">
        <v>301</v>
      </c>
      <c r="AY87" s="83" t="s">
        <v>302</v>
      </c>
      <c r="AZ87" s="83" t="s">
        <v>303</v>
      </c>
      <c r="BA87" s="83" t="s">
        <v>2491</v>
      </c>
      <c r="BB87" s="83" t="s">
        <v>2492</v>
      </c>
      <c r="BC87" s="83" t="s">
        <v>2493</v>
      </c>
      <c r="BD87" s="83" t="s">
        <v>2494</v>
      </c>
      <c r="BE87" s="83" t="s">
        <v>2495</v>
      </c>
      <c r="BF87" s="83" t="s">
        <v>2496</v>
      </c>
      <c r="BG87" s="83" t="s">
        <v>2497</v>
      </c>
      <c r="BH87" s="93"/>
      <c r="BI87" s="83" t="s">
        <v>21</v>
      </c>
    </row>
    <row r="88" spans="1:61" ht="23.25" customHeight="1" x14ac:dyDescent="0.35">
      <c r="A88" s="34"/>
      <c r="B88" s="35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N88" s="59" t="s">
        <v>774</v>
      </c>
      <c r="AQ88" s="93">
        <f>IFERROR(AQ59*Data!$GQ2,0)</f>
        <v>0</v>
      </c>
      <c r="AR88" s="93">
        <f>IFERROR(AR59*Data!$GQ3,0)</f>
        <v>0</v>
      </c>
      <c r="AS88" s="93">
        <f>IFERROR(AS59*Data!$GQ4,0)</f>
        <v>0</v>
      </c>
      <c r="AT88" s="93">
        <f>IFERROR(AT59*Data!$GQ5,0)</f>
        <v>0</v>
      </c>
      <c r="AU88" s="93">
        <f>IFERROR(AU59*Data!$GQ6,0)</f>
        <v>0</v>
      </c>
      <c r="AV88" s="93">
        <f>IFERROR(AV59*Data!$GQ7,0)</f>
        <v>0</v>
      </c>
      <c r="AW88" s="93">
        <f>IFERROR(AW59*Data!$GQ8,0)</f>
        <v>0</v>
      </c>
      <c r="AX88" s="93">
        <f>IFERROR(AX59*Data!$GQ9,0)</f>
        <v>0</v>
      </c>
      <c r="AY88" s="93">
        <f>IFERROR(AY59*Data!$GQ10,0)</f>
        <v>0</v>
      </c>
      <c r="AZ88" s="93">
        <f>IFERROR(AZ59*Data!$GQ11,0)</f>
        <v>0</v>
      </c>
      <c r="BA88" s="93">
        <f>IFERROR(BA59*Data!$GQ11,0)</f>
        <v>0</v>
      </c>
      <c r="BB88" s="93">
        <f>IFERROR(BB59*Data!$GQ11,0)</f>
        <v>0</v>
      </c>
      <c r="BC88" s="93">
        <f>IFERROR(BC59*Data!$GQ11,0)</f>
        <v>0</v>
      </c>
      <c r="BD88" s="93">
        <f>IFERROR(BD59*Data!$GQ11,0)</f>
        <v>0</v>
      </c>
      <c r="BE88" s="93">
        <f>IFERROR(BE59*Data!$GQ11,0)</f>
        <v>0</v>
      </c>
      <c r="BF88" s="93">
        <f>IFERROR(BF59*Data!$GQ11,0)</f>
        <v>0</v>
      </c>
      <c r="BG88" s="93">
        <f>IFERROR(BG59*Data!$GQ11,0)</f>
        <v>0</v>
      </c>
      <c r="BH88" s="94"/>
      <c r="BI88" s="93">
        <f>SUM(AQ88:BG88)</f>
        <v>0</v>
      </c>
    </row>
    <row r="89" spans="1:61" ht="23.25" customHeight="1" x14ac:dyDescent="0.35">
      <c r="A89" s="34"/>
      <c r="B89" s="35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BC89" s="13"/>
      <c r="BD89" s="13"/>
      <c r="BE89" s="13"/>
      <c r="BF89" s="13"/>
      <c r="BG89" s="13"/>
      <c r="BH89" s="13"/>
      <c r="BI89" s="13"/>
    </row>
    <row r="90" spans="1:61" ht="23.25" customHeight="1" x14ac:dyDescent="0.35">
      <c r="A90" s="34"/>
      <c r="B90" s="35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</row>
    <row r="91" spans="1:61" ht="10" customHeight="1" thickBot="1" x14ac:dyDescent="0.4">
      <c r="A91" s="1209" t="s">
        <v>716</v>
      </c>
      <c r="B91" s="1209"/>
      <c r="C91" s="1209"/>
      <c r="D91" s="1209"/>
      <c r="E91" s="1209"/>
      <c r="F91" s="1209"/>
      <c r="G91" s="1209"/>
      <c r="H91" s="1209"/>
      <c r="I91" s="1209"/>
      <c r="J91" s="1209"/>
      <c r="K91" s="1209"/>
      <c r="L91" s="1209"/>
      <c r="M91" s="1209"/>
      <c r="N91" s="1209"/>
      <c r="O91" s="1209"/>
      <c r="P91" s="1209"/>
      <c r="Q91" s="1209"/>
      <c r="R91" s="1209"/>
      <c r="S91" s="1209"/>
      <c r="T91" s="1209"/>
      <c r="U91" s="1209"/>
      <c r="V91" s="1209"/>
      <c r="W91" s="1209"/>
      <c r="X91" s="1209"/>
      <c r="Y91" s="1209"/>
      <c r="Z91" s="1209"/>
      <c r="AA91" s="1209"/>
      <c r="AB91" s="1209"/>
      <c r="AC91" s="1209"/>
      <c r="AD91" s="1209"/>
      <c r="AE91" s="1209"/>
      <c r="AF91" s="1209"/>
      <c r="AG91" s="1209"/>
      <c r="AH91" s="1209"/>
      <c r="AI91" s="1209"/>
    </row>
    <row r="92" spans="1:61" ht="15.75" customHeight="1" thickBot="1" x14ac:dyDescent="0.4">
      <c r="A92" s="1202"/>
      <c r="B92" s="1203"/>
      <c r="C92" s="1206" t="s">
        <v>17</v>
      </c>
      <c r="D92" s="1207"/>
      <c r="E92" s="1207"/>
      <c r="F92" s="1207"/>
      <c r="G92" s="1207"/>
      <c r="H92" s="1207"/>
      <c r="I92" s="1207"/>
      <c r="J92" s="1207"/>
      <c r="K92" s="1207"/>
      <c r="L92" s="1207"/>
      <c r="M92" s="1207"/>
      <c r="N92" s="1207"/>
      <c r="O92" s="1207"/>
      <c r="P92" s="1207"/>
      <c r="Q92" s="1207"/>
      <c r="R92" s="1207"/>
      <c r="S92" s="1207"/>
      <c r="T92" s="1207"/>
      <c r="U92" s="1207"/>
      <c r="V92" s="1208"/>
      <c r="W92" s="6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8"/>
      <c r="AP92" s="1245" t="s">
        <v>108</v>
      </c>
      <c r="AQ92" s="1245" t="s">
        <v>40</v>
      </c>
      <c r="AR92" s="1245" t="s">
        <v>41</v>
      </c>
      <c r="AS92" s="1245" t="s">
        <v>42</v>
      </c>
      <c r="AT92" s="1244" t="s">
        <v>43</v>
      </c>
      <c r="AU92" s="1244"/>
      <c r="AV92" s="1244" t="s">
        <v>44</v>
      </c>
      <c r="AW92" s="1244"/>
    </row>
    <row r="93" spans="1:61" ht="26.25" customHeight="1" thickBot="1" x14ac:dyDescent="0.4">
      <c r="A93" s="1204"/>
      <c r="B93" s="1205"/>
      <c r="C93" s="16">
        <v>1</v>
      </c>
      <c r="D93" s="17">
        <v>2</v>
      </c>
      <c r="E93" s="17">
        <v>3</v>
      </c>
      <c r="F93" s="17">
        <v>4</v>
      </c>
      <c r="G93" s="17">
        <v>5</v>
      </c>
      <c r="H93" s="17">
        <v>6</v>
      </c>
      <c r="I93" s="17">
        <v>7</v>
      </c>
      <c r="J93" s="17">
        <v>8</v>
      </c>
      <c r="K93" s="17">
        <v>9</v>
      </c>
      <c r="L93" s="17">
        <v>10</v>
      </c>
      <c r="M93" s="17">
        <v>11</v>
      </c>
      <c r="N93" s="17">
        <v>12</v>
      </c>
      <c r="O93" s="17">
        <v>13</v>
      </c>
      <c r="P93" s="17">
        <v>14</v>
      </c>
      <c r="Q93" s="17">
        <v>15</v>
      </c>
      <c r="R93" s="17">
        <v>16</v>
      </c>
      <c r="S93" s="17">
        <v>17</v>
      </c>
      <c r="T93" s="17">
        <v>18</v>
      </c>
      <c r="U93" s="17">
        <v>19</v>
      </c>
      <c r="V93" s="18">
        <v>20</v>
      </c>
      <c r="W93" s="17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20"/>
      <c r="AP93" s="1245"/>
      <c r="AQ93" s="1245"/>
      <c r="AR93" s="1245"/>
      <c r="AS93" s="1245"/>
      <c r="AT93" s="1244"/>
      <c r="AU93" s="1244"/>
      <c r="AV93" s="98" t="s">
        <v>777</v>
      </c>
      <c r="AW93" s="98" t="s">
        <v>728</v>
      </c>
      <c r="AX93" s="98" t="s">
        <v>727</v>
      </c>
    </row>
    <row r="94" spans="1:61" ht="19.5" customHeight="1" thickBot="1" x14ac:dyDescent="0.4">
      <c r="A94" s="1196" t="s">
        <v>18</v>
      </c>
      <c r="B94" s="21">
        <v>1</v>
      </c>
      <c r="C94" s="41" t="str">
        <f>IF(AND($Y$57=1,C61&lt;&gt;""),"O"&amp; Data!BR46,IF(C61&lt;&gt;"",IF(OR(COUNTIF(C61,"L*"),COUNTIF(C61, "X*")),IF(AND(COUNTIF(C61,"*P*"),COUNTIF(C61,"*V*")),IF(COUNTIF(C61,"*R*"),SUBSTITUTE(SUBSTITUTE(C61,"P",""),"R","S")&amp; Data!BR46,SUBSTITUTE(C61,"P","")&amp; Data!BR46),IF(AND(COUNTIF(C61,"*P*"),COUNTIF(C61,"*R*")),SUBSTITUTE(C61,"R","S")&amp;Data!BR46,IF(AND(COUNTIF(C61,"*V*"),COUNTIF(C61,"*R*")),SUBSTITUTE(C61,"R","S")&amp;Data!BR46,C61 &amp; Data!BR46))),SUBSTITUTE(SUBSTITUTE(SUBSTITUTE(SUBSTITUTE(SUBSTITUTE(SUBSTITUTE(SUBSTITUTE(SUBSTITUTE(SUBSTITUTE(SUBSTITUTE(IF(AND(COUNTIF(C61,"*P*"),COUNTIF(C61,"*V*")),IF(COUNTIF(C61,"*R*"),SUBSTITUTE(SUBSTITUTE(C61,"P",""),"R","S"),SUBSTITUTE(C61,"P","")),IF(AND(COUNTIF(C61,"*P*"),COUNTIF(C61,"*R*")),SUBSTITUTE(C61,"R","S"),IF(AND(COUNTIF(C61,"*V*"),COUNTIF(C61,"*R*")),SUBSTITUTE(C61,"R","S"),C61))),"0",""),"1",""),"2",""),"3",""),"4",""),"5",""),"6",""),"7",""),"8",""),"9","")&amp; Data!BR46),""))</f>
        <v/>
      </c>
      <c r="D94" s="41" t="str">
        <f>IF(AND($Y$57=1,D61&lt;&gt;""),"O"&amp; Data!BS46,IF(D61&lt;&gt;"",IF(OR(COUNTIF(D61,"L*"),COUNTIF(D61, "X*")),IF(AND(COUNTIF(D61,"*P*"),COUNTIF(D61,"*V*")),IF(COUNTIF(D61,"*R*"),SUBSTITUTE(SUBSTITUTE(D61,"P",""),"R","S")&amp; Data!BS46,SUBSTITUTE(D61,"P","")&amp; Data!BS46),IF(AND(COUNTIF(D61,"*P*"),COUNTIF(D61,"*R*")),SUBSTITUTE(D61,"R","S")&amp;Data!BS46,IF(AND(COUNTIF(D61,"*V*"),COUNTIF(D61,"*R*")),SUBSTITUTE(D61,"R","S")&amp;Data!BS46,D61 &amp; Data!BS46))),SUBSTITUTE(SUBSTITUTE(SUBSTITUTE(SUBSTITUTE(SUBSTITUTE(SUBSTITUTE(SUBSTITUTE(SUBSTITUTE(SUBSTITUTE(SUBSTITUTE(IF(AND(COUNTIF(D61,"*P*"),COUNTIF(D61,"*V*")),IF(COUNTIF(D61,"*R*"),SUBSTITUTE(SUBSTITUTE(D61,"P",""),"R","S"),SUBSTITUTE(D61,"P","")),IF(AND(COUNTIF(D61,"*P*"),COUNTIF(D61,"*R*")),SUBSTITUTE(D61,"R","S"),IF(AND(COUNTIF(D61,"*V*"),COUNTIF(D61,"*R*")),SUBSTITUTE(D61,"R","S"),D61))),"0",""),"1",""),"2",""),"3",""),"4",""),"5",""),"6",""),"7",""),"8",""),"9","")&amp; Data!BS46),""))</f>
        <v/>
      </c>
      <c r="E94" s="41" t="str">
        <f>IF(AND($Y$57=1,E61&lt;&gt;""),"O"&amp; Data!BT46,IF(E61&lt;&gt;"",IF(OR(COUNTIF(E61,"L*"),COUNTIF(E61, "X*")),IF(AND(COUNTIF(E61,"*P*"),COUNTIF(E61,"*V*")),IF(COUNTIF(E61,"*R*"),SUBSTITUTE(SUBSTITUTE(E61,"P",""),"R","S")&amp; Data!BT46,SUBSTITUTE(E61,"P","")&amp; Data!BT46),IF(AND(COUNTIF(E61,"*P*"),COUNTIF(E61,"*R*")),SUBSTITUTE(E61,"R","S")&amp;Data!BT46,IF(AND(COUNTIF(E61,"*V*"),COUNTIF(E61,"*R*")),SUBSTITUTE(E61,"R","S")&amp;Data!BT46,E61 &amp; Data!BT46))),SUBSTITUTE(SUBSTITUTE(SUBSTITUTE(SUBSTITUTE(SUBSTITUTE(SUBSTITUTE(SUBSTITUTE(SUBSTITUTE(SUBSTITUTE(SUBSTITUTE(IF(AND(COUNTIF(E61,"*P*"),COUNTIF(E61,"*V*")),IF(COUNTIF(E61,"*R*"),SUBSTITUTE(SUBSTITUTE(E61,"P",""),"R","S"),SUBSTITUTE(E61,"P","")),IF(AND(COUNTIF(E61,"*P*"),COUNTIF(E61,"*R*")),SUBSTITUTE(E61,"R","S"),IF(AND(COUNTIF(E61,"*V*"),COUNTIF(E61,"*R*")),SUBSTITUTE(E61,"R","S"),E61))),"0",""),"1",""),"2",""),"3",""),"4",""),"5",""),"6",""),"7",""),"8",""),"9","")&amp; Data!BT46),""))</f>
        <v/>
      </c>
      <c r="F94" s="41" t="str">
        <f>IF(AND($Y$57=1,F61&lt;&gt;""),"O"&amp; Data!BU46,IF(F61&lt;&gt;"",IF(OR(COUNTIF(F61,"L*"),COUNTIF(F61, "X*")),IF(AND(COUNTIF(F61,"*P*"),COUNTIF(F61,"*V*")),IF(COUNTIF(F61,"*R*"),SUBSTITUTE(SUBSTITUTE(F61,"P",""),"R","S")&amp; Data!BU46,SUBSTITUTE(F61,"P","")&amp; Data!BU46),IF(AND(COUNTIF(F61,"*P*"),COUNTIF(F61,"*R*")),SUBSTITUTE(F61,"R","S")&amp;Data!BU46,IF(AND(COUNTIF(F61,"*V*"),COUNTIF(F61,"*R*")),SUBSTITUTE(F61,"R","S")&amp;Data!BU46,F61 &amp; Data!BU46))),SUBSTITUTE(SUBSTITUTE(SUBSTITUTE(SUBSTITUTE(SUBSTITUTE(SUBSTITUTE(SUBSTITUTE(SUBSTITUTE(SUBSTITUTE(SUBSTITUTE(IF(AND(COUNTIF(F61,"*P*"),COUNTIF(F61,"*V*")),IF(COUNTIF(F61,"*R*"),SUBSTITUTE(SUBSTITUTE(F61,"P",""),"R","S"),SUBSTITUTE(F61,"P","")),IF(AND(COUNTIF(F61,"*P*"),COUNTIF(F61,"*R*")),SUBSTITUTE(F61,"R","S"),IF(AND(COUNTIF(F61,"*V*"),COUNTIF(F61,"*R*")),SUBSTITUTE(F61,"R","S"),F61))),"0",""),"1",""),"2",""),"3",""),"4",""),"5",""),"6",""),"7",""),"8",""),"9","")&amp; Data!BU46),""))</f>
        <v/>
      </c>
      <c r="G94" s="41" t="str">
        <f>IF(AND($Y$57=1,G61&lt;&gt;""),"O"&amp; Data!BV46,IF(G61&lt;&gt;"",IF(OR(COUNTIF(G61,"L*"),COUNTIF(G61, "X*")),IF(AND(COUNTIF(G61,"*P*"),COUNTIF(G61,"*V*")),IF(COUNTIF(G61,"*R*"),SUBSTITUTE(SUBSTITUTE(G61,"P",""),"R","S")&amp; Data!BV46,SUBSTITUTE(G61,"P","")&amp; Data!BV46),IF(AND(COUNTIF(G61,"*P*"),COUNTIF(G61,"*R*")),SUBSTITUTE(G61,"R","S")&amp;Data!BV46,IF(AND(COUNTIF(G61,"*V*"),COUNTIF(G61,"*R*")),SUBSTITUTE(G61,"R","S")&amp;Data!BV46,G61 &amp; Data!BV46))),SUBSTITUTE(SUBSTITUTE(SUBSTITUTE(SUBSTITUTE(SUBSTITUTE(SUBSTITUTE(SUBSTITUTE(SUBSTITUTE(SUBSTITUTE(SUBSTITUTE(IF(AND(COUNTIF(G61,"*P*"),COUNTIF(G61,"*V*")),IF(COUNTIF(G61,"*R*"),SUBSTITUTE(SUBSTITUTE(G61,"P",""),"R","S"),SUBSTITUTE(G61,"P","")),IF(AND(COUNTIF(G61,"*P*"),COUNTIF(G61,"*R*")),SUBSTITUTE(G61,"R","S"),IF(AND(COUNTIF(G61,"*V*"),COUNTIF(G61,"*R*")),SUBSTITUTE(G61,"R","S"),G61))),"0",""),"1",""),"2",""),"3",""),"4",""),"5",""),"6",""),"7",""),"8",""),"9","")&amp; Data!BV46),""))</f>
        <v/>
      </c>
      <c r="H94" s="41" t="str">
        <f>IF(AND($Y$57=1,H61&lt;&gt;""),"O"&amp; Data!BW46,IF(H61&lt;&gt;"",IF(OR(COUNTIF(H61,"L*"),COUNTIF(H61, "X*")),IF(AND(COUNTIF(H61,"*P*"),COUNTIF(H61,"*V*")),IF(COUNTIF(H61,"*R*"),SUBSTITUTE(SUBSTITUTE(H61,"P",""),"R","S")&amp; Data!BW46,SUBSTITUTE(H61,"P","")&amp; Data!BW46),IF(AND(COUNTIF(H61,"*P*"),COUNTIF(H61,"*R*")),SUBSTITUTE(H61,"R","S")&amp;Data!BW46,IF(AND(COUNTIF(H61,"*V*"),COUNTIF(H61,"*R*")),SUBSTITUTE(H61,"R","S")&amp;Data!BW46,H61 &amp; Data!BW46))),SUBSTITUTE(SUBSTITUTE(SUBSTITUTE(SUBSTITUTE(SUBSTITUTE(SUBSTITUTE(SUBSTITUTE(SUBSTITUTE(SUBSTITUTE(SUBSTITUTE(IF(AND(COUNTIF(H61,"*P*"),COUNTIF(H61,"*V*")),IF(COUNTIF(H61,"*R*"),SUBSTITUTE(SUBSTITUTE(H61,"P",""),"R","S"),SUBSTITUTE(H61,"P","")),IF(AND(COUNTIF(H61,"*P*"),COUNTIF(H61,"*R*")),SUBSTITUTE(H61,"R","S"),IF(AND(COUNTIF(H61,"*V*"),COUNTIF(H61,"*R*")),SUBSTITUTE(H61,"R","S"),H61))),"0",""),"1",""),"2",""),"3",""),"4",""),"5",""),"6",""),"7",""),"8",""),"9","")&amp; Data!BW46),""))</f>
        <v/>
      </c>
      <c r="I94" s="41" t="str">
        <f>IF(AND($Y$57=1,I61&lt;&gt;""),"O"&amp; Data!BX46,IF(I61&lt;&gt;"",IF(OR(COUNTIF(I61,"L*"),COUNTIF(I61, "X*")),IF(AND(COUNTIF(I61,"*P*"),COUNTIF(I61,"*V*")),IF(COUNTIF(I61,"*R*"),SUBSTITUTE(SUBSTITUTE(I61,"P",""),"R","S")&amp; Data!BX46,SUBSTITUTE(I61,"P","")&amp; Data!BX46),IF(AND(COUNTIF(I61,"*P*"),COUNTIF(I61,"*R*")),SUBSTITUTE(I61,"R","S")&amp;Data!BX46,IF(AND(COUNTIF(I61,"*V*"),COUNTIF(I61,"*R*")),SUBSTITUTE(I61,"R","S")&amp;Data!BX46,I61 &amp; Data!BX46))),SUBSTITUTE(SUBSTITUTE(SUBSTITUTE(SUBSTITUTE(SUBSTITUTE(SUBSTITUTE(SUBSTITUTE(SUBSTITUTE(SUBSTITUTE(SUBSTITUTE(IF(AND(COUNTIF(I61,"*P*"),COUNTIF(I61,"*V*")),IF(COUNTIF(I61,"*R*"),SUBSTITUTE(SUBSTITUTE(I61,"P",""),"R","S"),SUBSTITUTE(I61,"P","")),IF(AND(COUNTIF(I61,"*P*"),COUNTIF(I61,"*R*")),SUBSTITUTE(I61,"R","S"),IF(AND(COUNTIF(I61,"*V*"),COUNTIF(I61,"*R*")),SUBSTITUTE(I61,"R","S"),I61))),"0",""),"1",""),"2",""),"3",""),"4",""),"5",""),"6",""),"7",""),"8",""),"9","")&amp; Data!BX46),""))</f>
        <v/>
      </c>
      <c r="J94" s="41" t="str">
        <f>IF(AND($Y$57=1,J61&lt;&gt;""),"O"&amp; Data!BY46,IF(J61&lt;&gt;"",IF(OR(COUNTIF(J61,"L*"),COUNTIF(J61, "X*")),IF(AND(COUNTIF(J61,"*P*"),COUNTIF(J61,"*V*")),IF(COUNTIF(J61,"*R*"),SUBSTITUTE(SUBSTITUTE(J61,"P",""),"R","S")&amp; Data!BY46,SUBSTITUTE(J61,"P","")&amp; Data!BY46),IF(AND(COUNTIF(J61,"*P*"),COUNTIF(J61,"*R*")),SUBSTITUTE(J61,"R","S")&amp;Data!BY46,IF(AND(COUNTIF(J61,"*V*"),COUNTIF(J61,"*R*")),SUBSTITUTE(J61,"R","S")&amp;Data!BY46,J61 &amp; Data!BY46))),SUBSTITUTE(SUBSTITUTE(SUBSTITUTE(SUBSTITUTE(SUBSTITUTE(SUBSTITUTE(SUBSTITUTE(SUBSTITUTE(SUBSTITUTE(SUBSTITUTE(IF(AND(COUNTIF(J61,"*P*"),COUNTIF(J61,"*V*")),IF(COUNTIF(J61,"*R*"),SUBSTITUTE(SUBSTITUTE(J61,"P",""),"R","S"),SUBSTITUTE(J61,"P","")),IF(AND(COUNTIF(J61,"*P*"),COUNTIF(J61,"*R*")),SUBSTITUTE(J61,"R","S"),IF(AND(COUNTIF(J61,"*V*"),COUNTIF(J61,"*R*")),SUBSTITUTE(J61,"R","S"),J61))),"0",""),"1",""),"2",""),"3",""),"4",""),"5",""),"6",""),"7",""),"8",""),"9","")&amp; Data!BY46),""))</f>
        <v/>
      </c>
      <c r="K94" s="41" t="str">
        <f>IF(AND($Y$57=1,K61&lt;&gt;""),"O"&amp; Data!BZ46,IF(K61&lt;&gt;"",IF(OR(COUNTIF(K61,"L*"),COUNTIF(K61, "X*")),IF(AND(COUNTIF(K61,"*P*"),COUNTIF(K61,"*V*")),IF(COUNTIF(K61,"*R*"),SUBSTITUTE(SUBSTITUTE(K61,"P",""),"R","S")&amp; Data!BZ46,SUBSTITUTE(K61,"P","")&amp; Data!BZ46),IF(AND(COUNTIF(K61,"*P*"),COUNTIF(K61,"*R*")),SUBSTITUTE(K61,"R","S")&amp;Data!BZ46,IF(AND(COUNTIF(K61,"*V*"),COUNTIF(K61,"*R*")),SUBSTITUTE(K61,"R","S")&amp;Data!BZ46,K61 &amp; Data!BZ46))),SUBSTITUTE(SUBSTITUTE(SUBSTITUTE(SUBSTITUTE(SUBSTITUTE(SUBSTITUTE(SUBSTITUTE(SUBSTITUTE(SUBSTITUTE(SUBSTITUTE(IF(AND(COUNTIF(K61,"*P*"),COUNTIF(K61,"*V*")),IF(COUNTIF(K61,"*R*"),SUBSTITUTE(SUBSTITUTE(K61,"P",""),"R","S"),SUBSTITUTE(K61,"P","")),IF(AND(COUNTIF(K61,"*P*"),COUNTIF(K61,"*R*")),SUBSTITUTE(K61,"R","S"),IF(AND(COUNTIF(K61,"*V*"),COUNTIF(K61,"*R*")),SUBSTITUTE(K61,"R","S"),K61))),"0",""),"1",""),"2",""),"3",""),"4",""),"5",""),"6",""),"7",""),"8",""),"9","")&amp; Data!BZ46),""))</f>
        <v/>
      </c>
      <c r="L94" s="41" t="str">
        <f>IF(AND($Y$57=1,L61&lt;&gt;""),"O"&amp; Data!CA46,IF(L61&lt;&gt;"",IF(OR(COUNTIF(L61,"L*"),COUNTIF(L61, "X*")),IF(AND(COUNTIF(L61,"*P*"),COUNTIF(L61,"*V*")),IF(COUNTIF(L61,"*R*"),SUBSTITUTE(SUBSTITUTE(L61,"P",""),"R","S")&amp; Data!CA46,SUBSTITUTE(L61,"P","")&amp; Data!CA46),IF(AND(COUNTIF(L61,"*P*"),COUNTIF(L61,"*R*")),SUBSTITUTE(L61,"R","S")&amp;Data!CA46,IF(AND(COUNTIF(L61,"*V*"),COUNTIF(L61,"*R*")),SUBSTITUTE(L61,"R","S")&amp;Data!CA46,L61 &amp; Data!CA46))),SUBSTITUTE(SUBSTITUTE(SUBSTITUTE(SUBSTITUTE(SUBSTITUTE(SUBSTITUTE(SUBSTITUTE(SUBSTITUTE(SUBSTITUTE(SUBSTITUTE(IF(AND(COUNTIF(L61,"*P*"),COUNTIF(L61,"*V*")),IF(COUNTIF(L61,"*R*"),SUBSTITUTE(SUBSTITUTE(L61,"P",""),"R","S"),SUBSTITUTE(L61,"P","")),IF(AND(COUNTIF(L61,"*P*"),COUNTIF(L61,"*R*")),SUBSTITUTE(L61,"R","S"),IF(AND(COUNTIF(L61,"*V*"),COUNTIF(L61,"*R*")),SUBSTITUTE(L61,"R","S"),L61))),"0",""),"1",""),"2",""),"3",""),"4",""),"5",""),"6",""),"7",""),"8",""),"9","")&amp; Data!CA46),""))</f>
        <v/>
      </c>
      <c r="M94" s="41" t="str">
        <f>IF(AND($Y$57=1,M61&lt;&gt;""),"O"&amp; Data!CB46,IF(M61&lt;&gt;"",IF(OR(COUNTIF(M61,"L*"),COUNTIF(M61, "X*")),IF(AND(COUNTIF(M61,"*P*"),COUNTIF(M61,"*V*")),IF(COUNTIF(M61,"*R*"),SUBSTITUTE(SUBSTITUTE(M61,"P",""),"R","S")&amp; Data!CB46,SUBSTITUTE(M61,"P","")&amp; Data!CB46),IF(AND(COUNTIF(M61,"*P*"),COUNTIF(M61,"*R*")),SUBSTITUTE(M61,"R","S")&amp;Data!CB46,IF(AND(COUNTIF(M61,"*V*"),COUNTIF(M61,"*R*")),SUBSTITUTE(M61,"R","S")&amp;Data!CB46,M61 &amp; Data!CB46))),SUBSTITUTE(SUBSTITUTE(SUBSTITUTE(SUBSTITUTE(SUBSTITUTE(SUBSTITUTE(SUBSTITUTE(SUBSTITUTE(SUBSTITUTE(SUBSTITUTE(IF(AND(COUNTIF(M61,"*P*"),COUNTIF(M61,"*V*")),IF(COUNTIF(M61,"*R*"),SUBSTITUTE(SUBSTITUTE(M61,"P",""),"R","S"),SUBSTITUTE(M61,"P","")),IF(AND(COUNTIF(M61,"*P*"),COUNTIF(M61,"*R*")),SUBSTITUTE(M61,"R","S"),IF(AND(COUNTIF(M61,"*V*"),COUNTIF(M61,"*R*")),SUBSTITUTE(M61,"R","S"),M61))),"0",""),"1",""),"2",""),"3",""),"4",""),"5",""),"6",""),"7",""),"8",""),"9","")&amp; Data!CB46),""))</f>
        <v/>
      </c>
      <c r="N94" s="41" t="str">
        <f>IF(AND($Y$57=1,N61&lt;&gt;""),"O"&amp; Data!CC46,IF(N61&lt;&gt;"",IF(OR(COUNTIF(N61,"L*"),COUNTIF(N61, "X*")),IF(AND(COUNTIF(N61,"*P*"),COUNTIF(N61,"*V*")),IF(COUNTIF(N61,"*R*"),SUBSTITUTE(SUBSTITUTE(N61,"P",""),"R","S")&amp; Data!CC46,SUBSTITUTE(N61,"P","")&amp; Data!CC46),IF(AND(COUNTIF(N61,"*P*"),COUNTIF(N61,"*R*")),SUBSTITUTE(N61,"R","S")&amp;Data!CC46,IF(AND(COUNTIF(N61,"*V*"),COUNTIF(N61,"*R*")),SUBSTITUTE(N61,"R","S")&amp;Data!CC46,N61 &amp; Data!CC46))),SUBSTITUTE(SUBSTITUTE(SUBSTITUTE(SUBSTITUTE(SUBSTITUTE(SUBSTITUTE(SUBSTITUTE(SUBSTITUTE(SUBSTITUTE(SUBSTITUTE(IF(AND(COUNTIF(N61,"*P*"),COUNTIF(N61,"*V*")),IF(COUNTIF(N61,"*R*"),SUBSTITUTE(SUBSTITUTE(N61,"P",""),"R","S"),SUBSTITUTE(N61,"P","")),IF(AND(COUNTIF(N61,"*P*"),COUNTIF(N61,"*R*")),SUBSTITUTE(N61,"R","S"),IF(AND(COUNTIF(N61,"*V*"),COUNTIF(N61,"*R*")),SUBSTITUTE(N61,"R","S"),N61))),"0",""),"1",""),"2",""),"3",""),"4",""),"5",""),"6",""),"7",""),"8",""),"9","")&amp; Data!CC46),""))</f>
        <v/>
      </c>
      <c r="O94" s="41" t="str">
        <f>IF(AND($Y$57=1,O61&lt;&gt;""),"O"&amp; Data!CD46,IF(O61&lt;&gt;"",IF(OR(COUNTIF(O61,"L*"),COUNTIF(O61, "X*")),IF(AND(COUNTIF(O61,"*P*"),COUNTIF(O61,"*V*")),IF(COUNTIF(O61,"*R*"),SUBSTITUTE(SUBSTITUTE(O61,"P",""),"R","S")&amp; Data!CD46,SUBSTITUTE(O61,"P","")&amp; Data!CD46),IF(AND(COUNTIF(O61,"*P*"),COUNTIF(O61,"*R*")),SUBSTITUTE(O61,"R","S")&amp;Data!CD46,IF(AND(COUNTIF(O61,"*V*"),COUNTIF(O61,"*R*")),SUBSTITUTE(O61,"R","S")&amp;Data!CD46,O61 &amp; Data!CD46))),SUBSTITUTE(SUBSTITUTE(SUBSTITUTE(SUBSTITUTE(SUBSTITUTE(SUBSTITUTE(SUBSTITUTE(SUBSTITUTE(SUBSTITUTE(SUBSTITUTE(IF(AND(COUNTIF(O61,"*P*"),COUNTIF(O61,"*V*")),IF(COUNTIF(O61,"*R*"),SUBSTITUTE(SUBSTITUTE(O61,"P",""),"R","S"),SUBSTITUTE(O61,"P","")),IF(AND(COUNTIF(O61,"*P*"),COUNTIF(O61,"*R*")),SUBSTITUTE(O61,"R","S"),IF(AND(COUNTIF(O61,"*V*"),COUNTIF(O61,"*R*")),SUBSTITUTE(O61,"R","S"),O61))),"0",""),"1",""),"2",""),"3",""),"4",""),"5",""),"6",""),"7",""),"8",""),"9","")&amp; Data!CD46),""))</f>
        <v/>
      </c>
      <c r="P94" s="41" t="str">
        <f>IF(AND($Y$57=1,P61&lt;&gt;""),"O"&amp; Data!CE46,IF(P61&lt;&gt;"",IF(OR(COUNTIF(P61,"L*"),COUNTIF(P61, "X*")),IF(AND(COUNTIF(P61,"*P*"),COUNTIF(P61,"*V*")),IF(COUNTIF(P61,"*R*"),SUBSTITUTE(SUBSTITUTE(P61,"P",""),"R","S")&amp; Data!CE46,SUBSTITUTE(P61,"P","")&amp; Data!CE46),IF(AND(COUNTIF(P61,"*P*"),COUNTIF(P61,"*R*")),SUBSTITUTE(P61,"R","S")&amp;Data!CE46,IF(AND(COUNTIF(P61,"*V*"),COUNTIF(P61,"*R*")),SUBSTITUTE(P61,"R","S")&amp;Data!CE46,P61 &amp; Data!CE46))),SUBSTITUTE(SUBSTITUTE(SUBSTITUTE(SUBSTITUTE(SUBSTITUTE(SUBSTITUTE(SUBSTITUTE(SUBSTITUTE(SUBSTITUTE(SUBSTITUTE(IF(AND(COUNTIF(P61,"*P*"),COUNTIF(P61,"*V*")),IF(COUNTIF(P61,"*R*"),SUBSTITUTE(SUBSTITUTE(P61,"P",""),"R","S"),SUBSTITUTE(P61,"P","")),IF(AND(COUNTIF(P61,"*P*"),COUNTIF(P61,"*R*")),SUBSTITUTE(P61,"R","S"),IF(AND(COUNTIF(P61,"*V*"),COUNTIF(P61,"*R*")),SUBSTITUTE(P61,"R","S"),P61))),"0",""),"1",""),"2",""),"3",""),"4",""),"5",""),"6",""),"7",""),"8",""),"9","")&amp; Data!CE46),""))</f>
        <v/>
      </c>
      <c r="Q94" s="41" t="str">
        <f>IF(AND($Y$57=1,Q61&lt;&gt;""),"O"&amp; Data!CF46,IF(Q61&lt;&gt;"",IF(OR(COUNTIF(Q61,"L*"),COUNTIF(Q61, "X*")),IF(AND(COUNTIF(Q61,"*P*"),COUNTIF(Q61,"*V*")),IF(COUNTIF(Q61,"*R*"),SUBSTITUTE(SUBSTITUTE(Q61,"P",""),"R","S")&amp; Data!CF46,SUBSTITUTE(Q61,"P","")&amp; Data!CF46),IF(AND(COUNTIF(Q61,"*P*"),COUNTIF(Q61,"*R*")),SUBSTITUTE(Q61,"R","S")&amp;Data!CF46,IF(AND(COUNTIF(Q61,"*V*"),COUNTIF(Q61,"*R*")),SUBSTITUTE(Q61,"R","S")&amp;Data!CF46,Q61 &amp; Data!CF46))),SUBSTITUTE(SUBSTITUTE(SUBSTITUTE(SUBSTITUTE(SUBSTITUTE(SUBSTITUTE(SUBSTITUTE(SUBSTITUTE(SUBSTITUTE(SUBSTITUTE(IF(AND(COUNTIF(Q61,"*P*"),COUNTIF(Q61,"*V*")),IF(COUNTIF(Q61,"*R*"),SUBSTITUTE(SUBSTITUTE(Q61,"P",""),"R","S"),SUBSTITUTE(Q61,"P","")),IF(AND(COUNTIF(Q61,"*P*"),COUNTIF(Q61,"*R*")),SUBSTITUTE(Q61,"R","S"),IF(AND(COUNTIF(Q61,"*V*"),COUNTIF(Q61,"*R*")),SUBSTITUTE(Q61,"R","S"),Q61))),"0",""),"1",""),"2",""),"3",""),"4",""),"5",""),"6",""),"7",""),"8",""),"9","")&amp; Data!CF46),""))</f>
        <v/>
      </c>
      <c r="R94" s="41" t="str">
        <f>IF(AND($Y$57=1,R61&lt;&gt;""),"O"&amp; Data!CG46,IF(R61&lt;&gt;"",IF(OR(COUNTIF(R61,"L*"),COUNTIF(R61, "X*")),IF(AND(COUNTIF(R61,"*P*"),COUNTIF(R61,"*V*")),IF(COUNTIF(R61,"*R*"),SUBSTITUTE(SUBSTITUTE(R61,"P",""),"R","S")&amp; Data!CG46,SUBSTITUTE(R61,"P","")&amp; Data!CG46),IF(AND(COUNTIF(R61,"*P*"),COUNTIF(R61,"*R*")),SUBSTITUTE(R61,"R","S")&amp;Data!CG46,IF(AND(COUNTIF(R61,"*V*"),COUNTIF(R61,"*R*")),SUBSTITUTE(R61,"R","S")&amp;Data!CG46,R61 &amp; Data!CG46))),SUBSTITUTE(SUBSTITUTE(SUBSTITUTE(SUBSTITUTE(SUBSTITUTE(SUBSTITUTE(SUBSTITUTE(SUBSTITUTE(SUBSTITUTE(SUBSTITUTE(IF(AND(COUNTIF(R61,"*P*"),COUNTIF(R61,"*V*")),IF(COUNTIF(R61,"*R*"),SUBSTITUTE(SUBSTITUTE(R61,"P",""),"R","S"),SUBSTITUTE(R61,"P","")),IF(AND(COUNTIF(R61,"*P*"),COUNTIF(R61,"*R*")),SUBSTITUTE(R61,"R","S"),IF(AND(COUNTIF(R61,"*V*"),COUNTIF(R61,"*R*")),SUBSTITUTE(R61,"R","S"),R61))),"0",""),"1",""),"2",""),"3",""),"4",""),"5",""),"6",""),"7",""),"8",""),"9","")&amp; Data!CG46),""))</f>
        <v/>
      </c>
      <c r="S94" s="41" t="str">
        <f>IF(AND($Y$57=1,S61&lt;&gt;""),"O"&amp; Data!CH46,IF(S61&lt;&gt;"",IF(OR(COUNTIF(S61,"L*"),COUNTIF(S61, "X*")),IF(AND(COUNTIF(S61,"*P*"),COUNTIF(S61,"*V*")),IF(COUNTIF(S61,"*R*"),SUBSTITUTE(SUBSTITUTE(S61,"P",""),"R","S")&amp; Data!CH46,SUBSTITUTE(S61,"P","")&amp; Data!CH46),IF(AND(COUNTIF(S61,"*P*"),COUNTIF(S61,"*R*")),SUBSTITUTE(S61,"R","S")&amp;Data!CH46,IF(AND(COUNTIF(S61,"*V*"),COUNTIF(S61,"*R*")),SUBSTITUTE(S61,"R","S")&amp;Data!CH46,S61 &amp; Data!CH46))),SUBSTITUTE(SUBSTITUTE(SUBSTITUTE(SUBSTITUTE(SUBSTITUTE(SUBSTITUTE(SUBSTITUTE(SUBSTITUTE(SUBSTITUTE(SUBSTITUTE(IF(AND(COUNTIF(S61,"*P*"),COUNTIF(S61,"*V*")),IF(COUNTIF(S61,"*R*"),SUBSTITUTE(SUBSTITUTE(S61,"P",""),"R","S"),SUBSTITUTE(S61,"P","")),IF(AND(COUNTIF(S61,"*P*"),COUNTIF(S61,"*R*")),SUBSTITUTE(S61,"R","S"),IF(AND(COUNTIF(S61,"*V*"),COUNTIF(S61,"*R*")),SUBSTITUTE(S61,"R","S"),S61))),"0",""),"1",""),"2",""),"3",""),"4",""),"5",""),"6",""),"7",""),"8",""),"9","")&amp; Data!CH46),""))</f>
        <v/>
      </c>
      <c r="T94" s="41" t="str">
        <f>IF(AND($Y$57=1,T61&lt;&gt;""),"O"&amp; Data!CI46,IF(T61&lt;&gt;"",IF(OR(COUNTIF(T61,"L*"),COUNTIF(T61, "X*")),IF(AND(COUNTIF(T61,"*P*"),COUNTIF(T61,"*V*")),IF(COUNTIF(T61,"*R*"),SUBSTITUTE(SUBSTITUTE(T61,"P",""),"R","S")&amp; Data!CI46,SUBSTITUTE(T61,"P","")&amp; Data!CI46),IF(AND(COUNTIF(T61,"*P*"),COUNTIF(T61,"*R*")),SUBSTITUTE(T61,"R","S")&amp;Data!CI46,IF(AND(COUNTIF(T61,"*V*"),COUNTIF(T61,"*R*")),SUBSTITUTE(T61,"R","S")&amp;Data!CI46,T61 &amp; Data!CI46))),SUBSTITUTE(SUBSTITUTE(SUBSTITUTE(SUBSTITUTE(SUBSTITUTE(SUBSTITUTE(SUBSTITUTE(SUBSTITUTE(SUBSTITUTE(SUBSTITUTE(IF(AND(COUNTIF(T61,"*P*"),COUNTIF(T61,"*V*")),IF(COUNTIF(T61,"*R*"),SUBSTITUTE(SUBSTITUTE(T61,"P",""),"R","S"),SUBSTITUTE(T61,"P","")),IF(AND(COUNTIF(T61,"*P*"),COUNTIF(T61,"*R*")),SUBSTITUTE(T61,"R","S"),IF(AND(COUNTIF(T61,"*V*"),COUNTIF(T61,"*R*")),SUBSTITUTE(T61,"R","S"),T61))),"0",""),"1",""),"2",""),"3",""),"4",""),"5",""),"6",""),"7",""),"8",""),"9","")&amp; Data!CI46),""))</f>
        <v/>
      </c>
      <c r="U94" s="41" t="str">
        <f>IF(AND($Y$57=1,U61&lt;&gt;""),"O"&amp; Data!CJ46,IF(U61&lt;&gt;"",IF(OR(COUNTIF(U61,"L*"),COUNTIF(U61, "X*")),IF(AND(COUNTIF(U61,"*P*"),COUNTIF(U61,"*V*")),IF(COUNTIF(U61,"*R*"),SUBSTITUTE(SUBSTITUTE(U61,"P",""),"R","S")&amp; Data!CJ46,SUBSTITUTE(U61,"P","")&amp; Data!CJ46),IF(AND(COUNTIF(U61,"*P*"),COUNTIF(U61,"*R*")),SUBSTITUTE(U61,"R","S")&amp;Data!CJ46,IF(AND(COUNTIF(U61,"*V*"),COUNTIF(U61,"*R*")),SUBSTITUTE(U61,"R","S")&amp;Data!CJ46,U61 &amp; Data!CJ46))),SUBSTITUTE(SUBSTITUTE(SUBSTITUTE(SUBSTITUTE(SUBSTITUTE(SUBSTITUTE(SUBSTITUTE(SUBSTITUTE(SUBSTITUTE(SUBSTITUTE(IF(AND(COUNTIF(U61,"*P*"),COUNTIF(U61,"*V*")),IF(COUNTIF(U61,"*R*"),SUBSTITUTE(SUBSTITUTE(U61,"P",""),"R","S"),SUBSTITUTE(U61,"P","")),IF(AND(COUNTIF(U61,"*P*"),COUNTIF(U61,"*R*")),SUBSTITUTE(U61,"R","S"),IF(AND(COUNTIF(U61,"*V*"),COUNTIF(U61,"*R*")),SUBSTITUTE(U61,"R","S"),U61))),"0",""),"1",""),"2",""),"3",""),"4",""),"5",""),"6",""),"7",""),"8",""),"9","")&amp; Data!CJ46),""))</f>
        <v/>
      </c>
      <c r="V94" s="41" t="str">
        <f>IF(AND($Y$57=1,V61&lt;&gt;""),"O"&amp; Data!CK46,IF(V61&lt;&gt;"",IF(OR(COUNTIF(V61,"L*"),COUNTIF(V61, "X*")),IF(AND(COUNTIF(V61,"*P*"),COUNTIF(V61,"*V*")),IF(COUNTIF(V61,"*R*"),SUBSTITUTE(SUBSTITUTE(V61,"P",""),"R","S")&amp; Data!CK46,SUBSTITUTE(V61,"P","")&amp; Data!CK46),IF(AND(COUNTIF(V61,"*P*"),COUNTIF(V61,"*R*")),SUBSTITUTE(V61,"R","S")&amp;Data!CK46,IF(AND(COUNTIF(V61,"*V*"),COUNTIF(V61,"*R*")),SUBSTITUTE(V61,"R","S")&amp;Data!CK46,V61 &amp; Data!CK46))),SUBSTITUTE(SUBSTITUTE(SUBSTITUTE(SUBSTITUTE(SUBSTITUTE(SUBSTITUTE(SUBSTITUTE(SUBSTITUTE(SUBSTITUTE(SUBSTITUTE(IF(AND(COUNTIF(V61,"*P*"),COUNTIF(V61,"*V*")),IF(COUNTIF(V61,"*R*"),SUBSTITUTE(SUBSTITUTE(V61,"P",""),"R","S"),SUBSTITUTE(V61,"P","")),IF(AND(COUNTIF(V61,"*P*"),COUNTIF(V61,"*R*")),SUBSTITUTE(V61,"R","S"),IF(AND(COUNTIF(V61,"*V*"),COUNTIF(V61,"*R*")),SUBSTITUTE(V61,"R","S"),V61))),"0",""),"1",""),"2",""),"3",""),"4",""),"5",""),"6",""),"7",""),"8",""),"9","")&amp; Data!CK46),""))</f>
        <v/>
      </c>
      <c r="W94" s="41" t="str">
        <f>IF(AND($Y$57=1,W61&lt;&gt;""),"O"&amp; Data!CL46,IF(W61&lt;&gt;"",IF(OR(COUNTIF(W61,"L*"),COUNTIF(W61, "X*")),IF(AND(COUNTIF(W61,"*P*"),COUNTIF(W61,"*V*")),IF(COUNTIF(W61,"*R*"),SUBSTITUTE(SUBSTITUTE(W61,"P",""),"R","S")&amp; Data!CL46,SUBSTITUTE(W61,"P","")&amp; Data!CL46),IF(AND(COUNTIF(W61,"*P*"),COUNTIF(W61,"*R*")),SUBSTITUTE(W61,"R","S")&amp;Data!CL46,IF(AND(COUNTIF(W61,"*V*"),COUNTIF(W61,"*R*")),SUBSTITUTE(W61,"R","S")&amp;Data!CL46,W61 &amp; Data!CL46))),SUBSTITUTE(SUBSTITUTE(SUBSTITUTE(SUBSTITUTE(SUBSTITUTE(SUBSTITUTE(SUBSTITUTE(SUBSTITUTE(SUBSTITUTE(SUBSTITUTE(IF(AND(COUNTIF(W61,"*P*"),COUNTIF(W61,"*V*")),IF(COUNTIF(W61,"*R*"),SUBSTITUTE(SUBSTITUTE(W61,"P",""),"R","S"),SUBSTITUTE(W61,"P","")),IF(AND(COUNTIF(W61,"*P*"),COUNTIF(W61,"*R*")),SUBSTITUTE(W61,"R","S"),IF(AND(COUNTIF(W61,"*V*"),COUNTIF(W61,"*R*")),SUBSTITUTE(W61,"R","S"),W61))),"0",""),"1",""),"2",""),"3",""),"4",""),"5",""),"6",""),"7",""),"8",""),"9","")&amp; Data!CL46),""))</f>
        <v/>
      </c>
      <c r="X94" s="41" t="str">
        <f>IF(AND($Y$57=1,X61&lt;&gt;""),"O"&amp; Data!CM46,IF(X61&lt;&gt;"",IF(OR(COUNTIF(X61,"L*"),COUNTIF(X61, "X*")),IF(AND(COUNTIF(X61,"*P*"),COUNTIF(X61,"*V*")),IF(COUNTIF(X61,"*R*"),SUBSTITUTE(SUBSTITUTE(X61,"P",""),"R","S")&amp; Data!CM46,SUBSTITUTE(X61,"P","")&amp; Data!CM46),IF(AND(COUNTIF(X61,"*P*"),COUNTIF(X61,"*R*")),SUBSTITUTE(X61,"R","S")&amp;Data!CM46,IF(AND(COUNTIF(X61,"*V*"),COUNTIF(X61,"*R*")),SUBSTITUTE(X61,"R","S")&amp;Data!CM46,X61 &amp; Data!CM46))),SUBSTITUTE(SUBSTITUTE(SUBSTITUTE(SUBSTITUTE(SUBSTITUTE(SUBSTITUTE(SUBSTITUTE(SUBSTITUTE(SUBSTITUTE(SUBSTITUTE(IF(AND(COUNTIF(X61,"*P*"),COUNTIF(X61,"*V*")),IF(COUNTIF(X61,"*R*"),SUBSTITUTE(SUBSTITUTE(X61,"P",""),"R","S"),SUBSTITUTE(X61,"P","")),IF(AND(COUNTIF(X61,"*P*"),COUNTIF(X61,"*R*")),SUBSTITUTE(X61,"R","S"),IF(AND(COUNTIF(X61,"*V*"),COUNTIF(X61,"*R*")),SUBSTITUTE(X61,"R","S"),X61))),"0",""),"1",""),"2",""),"3",""),"4",""),"5",""),"6",""),"7",""),"8",""),"9","")&amp; Data!CM46),""))</f>
        <v/>
      </c>
      <c r="Y94" s="41" t="str">
        <f>IF(AND($Y$57=1,Y61&lt;&gt;""),"O"&amp; Data!CN46,IF(Y61&lt;&gt;"",IF(OR(COUNTIF(Y61,"L*"),COUNTIF(Y61, "X*")),IF(AND(COUNTIF(Y61,"*P*"),COUNTIF(Y61,"*V*")),IF(COUNTIF(Y61,"*R*"),SUBSTITUTE(SUBSTITUTE(Y61,"P",""),"R","S")&amp; Data!CN46,SUBSTITUTE(Y61,"P","")&amp; Data!CN46),IF(AND(COUNTIF(Y61,"*P*"),COUNTIF(Y61,"*R*")),SUBSTITUTE(Y61,"R","S")&amp;Data!CN46,IF(AND(COUNTIF(Y61,"*V*"),COUNTIF(Y61,"*R*")),SUBSTITUTE(Y61,"R","S")&amp;Data!CN46,Y61 &amp; Data!CN46))),SUBSTITUTE(SUBSTITUTE(SUBSTITUTE(SUBSTITUTE(SUBSTITUTE(SUBSTITUTE(SUBSTITUTE(SUBSTITUTE(SUBSTITUTE(SUBSTITUTE(IF(AND(COUNTIF(Y61,"*P*"),COUNTIF(Y61,"*V*")),IF(COUNTIF(Y61,"*R*"),SUBSTITUTE(SUBSTITUTE(Y61,"P",""),"R","S"),SUBSTITUTE(Y61,"P","")),IF(AND(COUNTIF(Y61,"*P*"),COUNTIF(Y61,"*R*")),SUBSTITUTE(Y61,"R","S"),IF(AND(COUNTIF(Y61,"*V*"),COUNTIF(Y61,"*R*")),SUBSTITUTE(Y61,"R","S"),Y61))),"0",""),"1",""),"2",""),"3",""),"4",""),"5",""),"6",""),"7",""),"8",""),"9","")&amp; Data!CN46),""))</f>
        <v/>
      </c>
      <c r="Z94" s="41" t="str">
        <f>IF(AND($Y$57=1,Z61&lt;&gt;""),"O"&amp; Data!CO46,IF(Z61&lt;&gt;"",IF(OR(COUNTIF(Z61,"L*"),COUNTIF(Z61, "X*")),IF(AND(COUNTIF(Z61,"*P*"),COUNTIF(Z61,"*V*")),IF(COUNTIF(Z61,"*R*"),SUBSTITUTE(SUBSTITUTE(Z61,"P",""),"R","S")&amp; Data!CO46,SUBSTITUTE(Z61,"P","")&amp; Data!CO46),IF(AND(COUNTIF(Z61,"*P*"),COUNTIF(Z61,"*R*")),SUBSTITUTE(Z61,"R","S")&amp;Data!CO46,IF(AND(COUNTIF(Z61,"*V*"),COUNTIF(Z61,"*R*")),SUBSTITUTE(Z61,"R","S")&amp;Data!CO46,Z61 &amp; Data!CO46))),SUBSTITUTE(SUBSTITUTE(SUBSTITUTE(SUBSTITUTE(SUBSTITUTE(SUBSTITUTE(SUBSTITUTE(SUBSTITUTE(SUBSTITUTE(SUBSTITUTE(IF(AND(COUNTIF(Z61,"*P*"),COUNTIF(Z61,"*V*")),IF(COUNTIF(Z61,"*R*"),SUBSTITUTE(SUBSTITUTE(Z61,"P",""),"R","S"),SUBSTITUTE(Z61,"P","")),IF(AND(COUNTIF(Z61,"*P*"),COUNTIF(Z61,"*R*")),SUBSTITUTE(Z61,"R","S"),IF(AND(COUNTIF(Z61,"*V*"),COUNTIF(Z61,"*R*")),SUBSTITUTE(Z61,"R","S"),Z61))),"0",""),"1",""),"2",""),"3",""),"4",""),"5",""),"6",""),"7",""),"8",""),"9","")&amp; Data!CO46),""))</f>
        <v/>
      </c>
      <c r="AA94" s="41" t="str">
        <f>IF(AND($Y$57=1,AA61&lt;&gt;""),"O"&amp; Data!CP46,IF(AA61&lt;&gt;"",IF(OR(COUNTIF(AA61,"L*"),COUNTIF(AA61, "X*")),IF(AND(COUNTIF(AA61,"*P*"),COUNTIF(AA61,"*V*")),IF(COUNTIF(AA61,"*R*"),SUBSTITUTE(SUBSTITUTE(AA61,"P",""),"R","S")&amp; Data!CP46,SUBSTITUTE(AA61,"P","")&amp; Data!CP46),IF(AND(COUNTIF(AA61,"*P*"),COUNTIF(AA61,"*R*")),SUBSTITUTE(AA61,"R","S")&amp;Data!CP46,IF(AND(COUNTIF(AA61,"*V*"),COUNTIF(AA61,"*R*")),SUBSTITUTE(AA61,"R","S")&amp;Data!CP46,AA61 &amp; Data!CP46))),SUBSTITUTE(SUBSTITUTE(SUBSTITUTE(SUBSTITUTE(SUBSTITUTE(SUBSTITUTE(SUBSTITUTE(SUBSTITUTE(SUBSTITUTE(SUBSTITUTE(IF(AND(COUNTIF(AA61,"*P*"),COUNTIF(AA61,"*V*")),IF(COUNTIF(AA61,"*R*"),SUBSTITUTE(SUBSTITUTE(AA61,"P",""),"R","S"),SUBSTITUTE(AA61,"P","")),IF(AND(COUNTIF(AA61,"*P*"),COUNTIF(AA61,"*R*")),SUBSTITUTE(AA61,"R","S"),IF(AND(COUNTIF(AA61,"*V*"),COUNTIF(AA61,"*R*")),SUBSTITUTE(AA61,"R","S"),AA61))),"0",""),"1",""),"2",""),"3",""),"4",""),"5",""),"6",""),"7",""),"8",""),"9","")&amp; Data!CP46),""))</f>
        <v/>
      </c>
      <c r="AB94" s="41" t="str">
        <f>IF(AND($Y$57=1,AB61&lt;&gt;""),"O"&amp; Data!CQ46,IF(AB61&lt;&gt;"",IF(OR(COUNTIF(AB61,"L*"),COUNTIF(AB61, "X*")),IF(AND(COUNTIF(AB61,"*P*"),COUNTIF(AB61,"*V*")),IF(COUNTIF(AB61,"*R*"),SUBSTITUTE(SUBSTITUTE(AB61,"P",""),"R","S")&amp; Data!CQ46,SUBSTITUTE(AB61,"P","")&amp; Data!CQ46),IF(AND(COUNTIF(AB61,"*P*"),COUNTIF(AB61,"*R*")),SUBSTITUTE(AB61,"R","S")&amp;Data!CQ46,IF(AND(COUNTIF(AB61,"*V*"),COUNTIF(AB61,"*R*")),SUBSTITUTE(AB61,"R","S")&amp;Data!CQ46,AB61 &amp; Data!CQ46))),SUBSTITUTE(SUBSTITUTE(SUBSTITUTE(SUBSTITUTE(SUBSTITUTE(SUBSTITUTE(SUBSTITUTE(SUBSTITUTE(SUBSTITUTE(SUBSTITUTE(IF(AND(COUNTIF(AB61,"*P*"),COUNTIF(AB61,"*V*")),IF(COUNTIF(AB61,"*R*"),SUBSTITUTE(SUBSTITUTE(AB61,"P",""),"R","S"),SUBSTITUTE(AB61,"P","")),IF(AND(COUNTIF(AB61,"*P*"),COUNTIF(AB61,"*R*")),SUBSTITUTE(AB61,"R","S"),IF(AND(COUNTIF(AB61,"*V*"),COUNTIF(AB61,"*R*")),SUBSTITUTE(AB61,"R","S"),AB61))),"0",""),"1",""),"2",""),"3",""),"4",""),"5",""),"6",""),"7",""),"8",""),"9","")&amp; Data!CQ46),""))</f>
        <v/>
      </c>
      <c r="AC94" s="41" t="str">
        <f>IF(AND($Y$57=1,AC61&lt;&gt;""),"O"&amp; Data!CR46,IF(AC61&lt;&gt;"",IF(OR(COUNTIF(AC61,"L*"),COUNTIF(AC61, "X*")),IF(AND(COUNTIF(AC61,"*P*"),COUNTIF(AC61,"*V*")),IF(COUNTIF(AC61,"*R*"),SUBSTITUTE(SUBSTITUTE(AC61,"P",""),"R","S")&amp; Data!CR46,SUBSTITUTE(AC61,"P","")&amp; Data!CR46),IF(AND(COUNTIF(AC61,"*P*"),COUNTIF(AC61,"*R*")),SUBSTITUTE(AC61,"R","S")&amp;Data!CR46,IF(AND(COUNTIF(AC61,"*V*"),COUNTIF(AC61,"*R*")),SUBSTITUTE(AC61,"R","S")&amp;Data!CR46,AC61 &amp; Data!CR46))),SUBSTITUTE(SUBSTITUTE(SUBSTITUTE(SUBSTITUTE(SUBSTITUTE(SUBSTITUTE(SUBSTITUTE(SUBSTITUTE(SUBSTITUTE(SUBSTITUTE(IF(AND(COUNTIF(AC61,"*P*"),COUNTIF(AC61,"*V*")),IF(COUNTIF(AC61,"*R*"),SUBSTITUTE(SUBSTITUTE(AC61,"P",""),"R","S"),SUBSTITUTE(AC61,"P","")),IF(AND(COUNTIF(AC61,"*P*"),COUNTIF(AC61,"*R*")),SUBSTITUTE(AC61,"R","S"),IF(AND(COUNTIF(AC61,"*V*"),COUNTIF(AC61,"*R*")),SUBSTITUTE(AC61,"R","S"),AC61))),"0",""),"1",""),"2",""),"3",""),"4",""),"5",""),"6",""),"7",""),"8",""),"9","")&amp; Data!CR46),""))</f>
        <v/>
      </c>
      <c r="AD94" s="41" t="str">
        <f>IF(AND($Y$57=1,AD61&lt;&gt;""),"O"&amp; Data!CS46,IF(AD61&lt;&gt;"",IF(OR(COUNTIF(AD61,"L*"),COUNTIF(AD61, "X*")),IF(AND(COUNTIF(AD61,"*P*"),COUNTIF(AD61,"*V*")),IF(COUNTIF(AD61,"*R*"),SUBSTITUTE(SUBSTITUTE(AD61,"P",""),"R","S")&amp; Data!CS46,SUBSTITUTE(AD61,"P","")&amp; Data!CS46),IF(AND(COUNTIF(AD61,"*P*"),COUNTIF(AD61,"*R*")),SUBSTITUTE(AD61,"R","S")&amp;Data!CS46,IF(AND(COUNTIF(AD61,"*V*"),COUNTIF(AD61,"*R*")),SUBSTITUTE(AD61,"R","S")&amp;Data!CS46,AD61 &amp; Data!CS46))),SUBSTITUTE(SUBSTITUTE(SUBSTITUTE(SUBSTITUTE(SUBSTITUTE(SUBSTITUTE(SUBSTITUTE(SUBSTITUTE(SUBSTITUTE(SUBSTITUTE(IF(AND(COUNTIF(AD61,"*P*"),COUNTIF(AD61,"*V*")),IF(COUNTIF(AD61,"*R*"),SUBSTITUTE(SUBSTITUTE(AD61,"P",""),"R","S"),SUBSTITUTE(AD61,"P","")),IF(AND(COUNTIF(AD61,"*P*"),COUNTIF(AD61,"*R*")),SUBSTITUTE(AD61,"R","S"),IF(AND(COUNTIF(AD61,"*V*"),COUNTIF(AD61,"*R*")),SUBSTITUTE(AD61,"R","S"),AD61))),"0",""),"1",""),"2",""),"3",""),"4",""),"5",""),"6",""),"7",""),"8",""),"9","")&amp; Data!CS46),""))</f>
        <v/>
      </c>
      <c r="AE94" s="41" t="str">
        <f>IF(AND($Y$57=1,AE61&lt;&gt;""),"O"&amp; Data!CT46,IF(AE61&lt;&gt;"",IF(OR(COUNTIF(AE61,"L*"),COUNTIF(AE61, "X*")),IF(AND(COUNTIF(AE61,"*P*"),COUNTIF(AE61,"*V*")),IF(COUNTIF(AE61,"*R*"),SUBSTITUTE(SUBSTITUTE(AE61,"P",""),"R","S")&amp; Data!CT46,SUBSTITUTE(AE61,"P","")&amp; Data!CT46),IF(AND(COUNTIF(AE61,"*P*"),COUNTIF(AE61,"*R*")),SUBSTITUTE(AE61,"R","S")&amp;Data!CT46,IF(AND(COUNTIF(AE61,"*V*"),COUNTIF(AE61,"*R*")),SUBSTITUTE(AE61,"R","S")&amp;Data!CT46,AE61 &amp; Data!CT46))),SUBSTITUTE(SUBSTITUTE(SUBSTITUTE(SUBSTITUTE(SUBSTITUTE(SUBSTITUTE(SUBSTITUTE(SUBSTITUTE(SUBSTITUTE(SUBSTITUTE(IF(AND(COUNTIF(AE61,"*P*"),COUNTIF(AE61,"*V*")),IF(COUNTIF(AE61,"*R*"),SUBSTITUTE(SUBSTITUTE(AE61,"P",""),"R","S"),SUBSTITUTE(AE61,"P","")),IF(AND(COUNTIF(AE61,"*P*"),COUNTIF(AE61,"*R*")),SUBSTITUTE(AE61,"R","S"),IF(AND(COUNTIF(AE61,"*V*"),COUNTIF(AE61,"*R*")),SUBSTITUTE(AE61,"R","S"),AE61))),"0",""),"1",""),"2",""),"3",""),"4",""),"5",""),"6",""),"7",""),"8",""),"9","")&amp; Data!CT46),""))</f>
        <v/>
      </c>
      <c r="AF94" s="41" t="str">
        <f>IF(AND($Y$57=1,AF61&lt;&gt;""),"O"&amp; Data!CU46,IF(AF61&lt;&gt;"",IF(OR(COUNTIF(AF61,"L*"),COUNTIF(AF61, "X*")),IF(AND(COUNTIF(AF61,"*P*"),COUNTIF(AF61,"*V*")),IF(COUNTIF(AF61,"*R*"),SUBSTITUTE(SUBSTITUTE(AF61,"P",""),"R","S")&amp; Data!CU46,SUBSTITUTE(AF61,"P","")&amp; Data!CU46),IF(AND(COUNTIF(AF61,"*P*"),COUNTIF(AF61,"*R*")),SUBSTITUTE(AF61,"R","S")&amp;Data!CU46,IF(AND(COUNTIF(AF61,"*V*"),COUNTIF(AF61,"*R*")),SUBSTITUTE(AF61,"R","S")&amp;Data!CU46,AF61 &amp; Data!CU46))),SUBSTITUTE(SUBSTITUTE(SUBSTITUTE(SUBSTITUTE(SUBSTITUTE(SUBSTITUTE(SUBSTITUTE(SUBSTITUTE(SUBSTITUTE(SUBSTITUTE(IF(AND(COUNTIF(AF61,"*P*"),COUNTIF(AF61,"*V*")),IF(COUNTIF(AF61,"*R*"),SUBSTITUTE(SUBSTITUTE(AF61,"P",""),"R","S"),SUBSTITUTE(AF61,"P","")),IF(AND(COUNTIF(AF61,"*P*"),COUNTIF(AF61,"*R*")),SUBSTITUTE(AF61,"R","S"),IF(AND(COUNTIF(AF61,"*V*"),COUNTIF(AF61,"*R*")),SUBSTITUTE(AF61,"R","S"),AF61))),"0",""),"1",""),"2",""),"3",""),"4",""),"5",""),"6",""),"7",""),"8",""),"9","")&amp; Data!CU46),""))</f>
        <v/>
      </c>
      <c r="AG94" s="41" t="str">
        <f>IF(AND($Y$57=1,AG61&lt;&gt;""),"O"&amp; Data!CV46,IF(AG61&lt;&gt;"",IF(OR(COUNTIF(AG61,"L*"),COUNTIF(AG61, "X*")),IF(AND(COUNTIF(AG61,"*P*"),COUNTIF(AG61,"*V*")),IF(COUNTIF(AG61,"*R*"),SUBSTITUTE(SUBSTITUTE(AG61,"P",""),"R","S")&amp; Data!CV46,SUBSTITUTE(AG61,"P","")&amp; Data!CV46),IF(AND(COUNTIF(AG61,"*P*"),COUNTIF(AG61,"*R*")),SUBSTITUTE(AG61,"R","S")&amp;Data!CV46,IF(AND(COUNTIF(AG61,"*V*"),COUNTIF(AG61,"*R*")),SUBSTITUTE(AG61,"R","S")&amp;Data!CV46,AG61 &amp; Data!CV46))),SUBSTITUTE(SUBSTITUTE(SUBSTITUTE(SUBSTITUTE(SUBSTITUTE(SUBSTITUTE(SUBSTITUTE(SUBSTITUTE(SUBSTITUTE(SUBSTITUTE(IF(AND(COUNTIF(AG61,"*P*"),COUNTIF(AG61,"*V*")),IF(COUNTIF(AG61,"*R*"),SUBSTITUTE(SUBSTITUTE(AG61,"P",""),"R","S"),SUBSTITUTE(AG61,"P","")),IF(AND(COUNTIF(AG61,"*P*"),COUNTIF(AG61,"*R*")),SUBSTITUTE(AG61,"R","S"),IF(AND(COUNTIF(AG61,"*V*"),COUNTIF(AG61,"*R*")),SUBSTITUTE(AG61,"R","S"),AG61))),"0",""),"1",""),"2",""),"3",""),"4",""),"5",""),"6",""),"7",""),"8",""),"9","")&amp; Data!CV46),""))</f>
        <v/>
      </c>
      <c r="AH94" s="41" t="str">
        <f>IF(AND($Y$57=1,AH61&lt;&gt;""),"O"&amp; Data!CW46,IF(AH61&lt;&gt;"",IF(OR(COUNTIF(AH61,"L*"),COUNTIF(AH61, "X*")),IF(AND(COUNTIF(AH61,"*P*"),COUNTIF(AH61,"*V*")),IF(COUNTIF(AH61,"*R*"),SUBSTITUTE(SUBSTITUTE(AH61,"P",""),"R","S")&amp; Data!CW46,SUBSTITUTE(AH61,"P","")&amp; Data!CW46),IF(AND(COUNTIF(AH61,"*P*"),COUNTIF(AH61,"*R*")),SUBSTITUTE(AH61,"R","S")&amp;Data!CW46,IF(AND(COUNTIF(AH61,"*V*"),COUNTIF(AH61,"*R*")),SUBSTITUTE(AH61,"R","S")&amp;Data!CW46,AH61 &amp; Data!CW46))),SUBSTITUTE(SUBSTITUTE(SUBSTITUTE(SUBSTITUTE(SUBSTITUTE(SUBSTITUTE(SUBSTITUTE(SUBSTITUTE(SUBSTITUTE(SUBSTITUTE(IF(AND(COUNTIF(AH61,"*P*"),COUNTIF(AH61,"*V*")),IF(COUNTIF(AH61,"*R*"),SUBSTITUTE(SUBSTITUTE(AH61,"P",""),"R","S"),SUBSTITUTE(AH61,"P","")),IF(AND(COUNTIF(AH61,"*P*"),COUNTIF(AH61,"*R*")),SUBSTITUTE(AH61,"R","S"),IF(AND(COUNTIF(AH61,"*V*"),COUNTIF(AH61,"*R*")),SUBSTITUTE(AH61,"R","S"),AH61))),"0",""),"1",""),"2",""),"3",""),"4",""),"5",""),"6",""),"7",""),"8",""),"9","")&amp; Data!CW46),""))</f>
        <v/>
      </c>
      <c r="AI94" s="41" t="str">
        <f>IF(AND($Y$57=1,AI61&lt;&gt;""),"O"&amp; Data!CX46,IF(AI61&lt;&gt;"",IF(OR(COUNTIF(AI61,"L*"),COUNTIF(AI61, "X*")),IF(AND(COUNTIF(AI61,"*P*"),COUNTIF(AI61,"*V*")),IF(COUNTIF(AI61,"*R*"),SUBSTITUTE(SUBSTITUTE(AI61,"P",""),"R","S")&amp; Data!CX46,SUBSTITUTE(AI61,"P","")&amp; Data!CX46),IF(AND(COUNTIF(AI61,"*P*"),COUNTIF(AI61,"*R*")),SUBSTITUTE(AI61,"R","S")&amp;Data!CX46,IF(AND(COUNTIF(AI61,"*V*"),COUNTIF(AI61,"*R*")),SUBSTITUTE(AI61,"R","S")&amp;Data!CX46,AI61 &amp; Data!CX46))),SUBSTITUTE(SUBSTITUTE(SUBSTITUTE(SUBSTITUTE(SUBSTITUTE(SUBSTITUTE(SUBSTITUTE(SUBSTITUTE(SUBSTITUTE(SUBSTITUTE(IF(AND(COUNTIF(AI61,"*P*"),COUNTIF(AI61,"*V*")),IF(COUNTIF(AI61,"*R*"),SUBSTITUTE(SUBSTITUTE(AI61,"P",""),"R","S"),SUBSTITUTE(AI61,"P","")),IF(AND(COUNTIF(AI61,"*P*"),COUNTIF(AI61,"*R*")),SUBSTITUTE(AI61,"R","S"),IF(AND(COUNTIF(AI61,"*V*"),COUNTIF(AI61,"*R*")),SUBSTITUTE(AI61,"R","S"),AI61))),"0",""),"1",""),"2",""),"3",""),"4",""),"5",""),"6",""),"7",""),"8",""),"9","")&amp; Data!CX46),""))</f>
        <v/>
      </c>
      <c r="AJ94" s="41" t="str">
        <f>IF(AND($Y$57=1,AJ61&lt;&gt;""),"O"&amp; Data!CY46,IF(AJ61&lt;&gt;"",IF(OR(COUNTIF(AJ61,"L*"),COUNTIF(AJ61, "X*")),IF(AND(COUNTIF(AJ61,"*P*"),COUNTIF(AJ61,"*V*")),IF(COUNTIF(AJ61,"*R*"),SUBSTITUTE(SUBSTITUTE(AJ61,"P",""),"R","S")&amp; Data!CY46,SUBSTITUTE(AJ61,"P","")&amp; Data!CY46),IF(AND(COUNTIF(AJ61,"*P*"),COUNTIF(AJ61,"*R*")),SUBSTITUTE(AJ61,"R","S")&amp;Data!CY46,IF(AND(COUNTIF(AJ61,"*V*"),COUNTIF(AJ61,"*R*")),SUBSTITUTE(AJ61,"R","S")&amp;Data!CY46,AJ61 &amp; Data!CY46))),SUBSTITUTE(SUBSTITUTE(SUBSTITUTE(SUBSTITUTE(SUBSTITUTE(SUBSTITUTE(SUBSTITUTE(SUBSTITUTE(SUBSTITUTE(SUBSTITUTE(IF(AND(COUNTIF(AJ61,"*P*"),COUNTIF(AJ61,"*V*")),IF(COUNTIF(AJ61,"*R*"),SUBSTITUTE(SUBSTITUTE(AJ61,"P",""),"R","S"),SUBSTITUTE(AJ61,"P","")),IF(AND(COUNTIF(AJ61,"*P*"),COUNTIF(AJ61,"*R*")),SUBSTITUTE(AJ61,"R","S"),IF(AND(COUNTIF(AJ61,"*V*"),COUNTIF(AJ61,"*R*")),SUBSTITUTE(AJ61,"R","S"),AJ61))),"0",""),"1",""),"2",""),"3",""),"4",""),"5",""),"6",""),"7",""),"8",""),"9","")&amp; Data!CY46),""))</f>
        <v/>
      </c>
      <c r="AP94" s="99">
        <f>IF(Data!CX60&gt;0,IF(Data!CX60&lt;&gt;"", Data!CX60, " ")," ")</f>
        <v>1</v>
      </c>
      <c r="AQ94" s="99" t="str">
        <f>IF(AQ58+AQ59+AQ60+AQ61=0,"",AQ58+AQ59+AQ60+AQ61)</f>
        <v/>
      </c>
      <c r="AR94" s="99">
        <f>IF(Data!GK2&gt;0,IF(Data!GK2&lt;&gt;"",Data!GK2," ")," ")</f>
        <v>1613</v>
      </c>
      <c r="AS94" s="99">
        <f>IF(Data!GG2&gt;0,IF(Data!GG2&lt;&gt;"",Data!GG2," ")," ")</f>
        <v>1039060</v>
      </c>
      <c r="AT94" s="99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CT138  0.018"</v>
      </c>
      <c r="AU94" s="99" t="str">
        <f>IF(AND(Data!GR2&lt;&gt;"",Data!GR2&lt;&gt;0),Data!GR2,"")</f>
        <v/>
      </c>
      <c r="AV94" s="99" t="str">
        <f>IF(AQ59+AQ61=0,"",AQ59+AQ61)</f>
        <v/>
      </c>
      <c r="AW94" s="99" t="str">
        <f>IF(IFERROR(AQ94-AV94,AQ94)=0,"",IFERROR(AQ94-AV94,AQ94))</f>
        <v/>
      </c>
      <c r="AX94" s="100"/>
    </row>
    <row r="95" spans="1:61" ht="24" customHeight="1" thickBot="1" x14ac:dyDescent="0.4">
      <c r="A95" s="1196"/>
      <c r="B95" s="22">
        <v>2</v>
      </c>
      <c r="C95" s="41" t="str">
        <f>IF(AND($Y$57=1,C62&lt;&gt;""),"O"&amp; Data!BR47,IF(C62&lt;&gt;"",IF(OR(COUNTIF(C62,"L*"),COUNTIF(C62, "X*")),IF(AND(COUNTIF(C62,"*P*"),COUNTIF(C62,"*V*")),IF(COUNTIF(C62,"*R*"),SUBSTITUTE(SUBSTITUTE(C62,"P",""),"R","S")&amp; Data!BR47,SUBSTITUTE(C62,"P","")&amp; Data!BR47),IF(AND(COUNTIF(C62,"*P*"),COUNTIF(C62,"*R*")),SUBSTITUTE(C62,"R","S")&amp;Data!BR47,IF(AND(COUNTIF(C62,"*V*"),COUNTIF(C62,"*R*")),SUBSTITUTE(C62,"R","S")&amp;Data!BR47,C62 &amp; Data!BR47))),SUBSTITUTE(SUBSTITUTE(SUBSTITUTE(SUBSTITUTE(SUBSTITUTE(SUBSTITUTE(SUBSTITUTE(SUBSTITUTE(SUBSTITUTE(SUBSTITUTE(IF(AND(COUNTIF(C62,"*P*"),COUNTIF(C62,"*V*")),IF(COUNTIF(C62,"*R*"),SUBSTITUTE(SUBSTITUTE(C62,"P",""),"R","S"),SUBSTITUTE(C62,"P","")),IF(AND(COUNTIF(C62,"*P*"),COUNTIF(C62,"*R*")),SUBSTITUTE(C62,"R","S"),IF(AND(COUNTIF(C62,"*V*"),COUNTIF(C62,"*R*")),SUBSTITUTE(C62,"R","S"),C62))),"0",""),"1",""),"2",""),"3",""),"4",""),"5",""),"6",""),"7",""),"8",""),"9","")&amp; Data!BR47),""))</f>
        <v/>
      </c>
      <c r="D95" s="41" t="str">
        <f>IF(AND($Y$57=1,D62&lt;&gt;""),"O"&amp; Data!BS47,IF(D62&lt;&gt;"",IF(OR(COUNTIF(D62,"L*"),COUNTIF(D62, "X*")),IF(AND(COUNTIF(D62,"*P*"),COUNTIF(D62,"*V*")),IF(COUNTIF(D62,"*R*"),SUBSTITUTE(SUBSTITUTE(D62,"P",""),"R","S")&amp; Data!BS47,SUBSTITUTE(D62,"P","")&amp; Data!BS47),IF(AND(COUNTIF(D62,"*P*"),COUNTIF(D62,"*R*")),SUBSTITUTE(D62,"R","S")&amp;Data!BS47,IF(AND(COUNTIF(D62,"*V*"),COUNTIF(D62,"*R*")),SUBSTITUTE(D62,"R","S")&amp;Data!BS47,D62 &amp; Data!BS47))),SUBSTITUTE(SUBSTITUTE(SUBSTITUTE(SUBSTITUTE(SUBSTITUTE(SUBSTITUTE(SUBSTITUTE(SUBSTITUTE(SUBSTITUTE(SUBSTITUTE(IF(AND(COUNTIF(D62,"*P*"),COUNTIF(D62,"*V*")),IF(COUNTIF(D62,"*R*"),SUBSTITUTE(SUBSTITUTE(D62,"P",""),"R","S"),SUBSTITUTE(D62,"P","")),IF(AND(COUNTIF(D62,"*P*"),COUNTIF(D62,"*R*")),SUBSTITUTE(D62,"R","S"),IF(AND(COUNTIF(D62,"*V*"),COUNTIF(D62,"*R*")),SUBSTITUTE(D62,"R","S"),D62))),"0",""),"1",""),"2",""),"3",""),"4",""),"5",""),"6",""),"7",""),"8",""),"9","")&amp; Data!BS47),""))</f>
        <v/>
      </c>
      <c r="E95" s="41" t="str">
        <f>IF(AND($Y$57=1,E62&lt;&gt;""),"O"&amp; Data!BT47,IF(E62&lt;&gt;"",IF(OR(COUNTIF(E62,"L*"),COUNTIF(E62, "X*")),IF(AND(COUNTIF(E62,"*P*"),COUNTIF(E62,"*V*")),IF(COUNTIF(E62,"*R*"),SUBSTITUTE(SUBSTITUTE(E62,"P",""),"R","S")&amp; Data!BT47,SUBSTITUTE(E62,"P","")&amp; Data!BT47),IF(AND(COUNTIF(E62,"*P*"),COUNTIF(E62,"*R*")),SUBSTITUTE(E62,"R","S")&amp;Data!BT47,IF(AND(COUNTIF(E62,"*V*"),COUNTIF(E62,"*R*")),SUBSTITUTE(E62,"R","S")&amp;Data!BT47,E62 &amp; Data!BT47))),SUBSTITUTE(SUBSTITUTE(SUBSTITUTE(SUBSTITUTE(SUBSTITUTE(SUBSTITUTE(SUBSTITUTE(SUBSTITUTE(SUBSTITUTE(SUBSTITUTE(IF(AND(COUNTIF(E62,"*P*"),COUNTIF(E62,"*V*")),IF(COUNTIF(E62,"*R*"),SUBSTITUTE(SUBSTITUTE(E62,"P",""),"R","S"),SUBSTITUTE(E62,"P","")),IF(AND(COUNTIF(E62,"*P*"),COUNTIF(E62,"*R*")),SUBSTITUTE(E62,"R","S"),IF(AND(COUNTIF(E62,"*V*"),COUNTIF(E62,"*R*")),SUBSTITUTE(E62,"R","S"),E62))),"0",""),"1",""),"2",""),"3",""),"4",""),"5",""),"6",""),"7",""),"8",""),"9","")&amp; Data!BT47),""))</f>
        <v/>
      </c>
      <c r="F95" s="41" t="str">
        <f>IF(AND($Y$57=1,F62&lt;&gt;""),"O"&amp; Data!BU47,IF(F62&lt;&gt;"",IF(OR(COUNTIF(F62,"L*"),COUNTIF(F62, "X*")),IF(AND(COUNTIF(F62,"*P*"),COUNTIF(F62,"*V*")),IF(COUNTIF(F62,"*R*"),SUBSTITUTE(SUBSTITUTE(F62,"P",""),"R","S")&amp; Data!BU47,SUBSTITUTE(F62,"P","")&amp; Data!BU47),IF(AND(COUNTIF(F62,"*P*"),COUNTIF(F62,"*R*")),SUBSTITUTE(F62,"R","S")&amp;Data!BU47,IF(AND(COUNTIF(F62,"*V*"),COUNTIF(F62,"*R*")),SUBSTITUTE(F62,"R","S")&amp;Data!BU47,F62 &amp; Data!BU47))),SUBSTITUTE(SUBSTITUTE(SUBSTITUTE(SUBSTITUTE(SUBSTITUTE(SUBSTITUTE(SUBSTITUTE(SUBSTITUTE(SUBSTITUTE(SUBSTITUTE(IF(AND(COUNTIF(F62,"*P*"),COUNTIF(F62,"*V*")),IF(COUNTIF(F62,"*R*"),SUBSTITUTE(SUBSTITUTE(F62,"P",""),"R","S"),SUBSTITUTE(F62,"P","")),IF(AND(COUNTIF(F62,"*P*"),COUNTIF(F62,"*R*")),SUBSTITUTE(F62,"R","S"),IF(AND(COUNTIF(F62,"*V*"),COUNTIF(F62,"*R*")),SUBSTITUTE(F62,"R","S"),F62))),"0",""),"1",""),"2",""),"3",""),"4",""),"5",""),"6",""),"7",""),"8",""),"9","")&amp; Data!BU47),""))</f>
        <v/>
      </c>
      <c r="G95" s="41" t="str">
        <f>IF(AND($Y$57=1,G62&lt;&gt;""),"O"&amp; Data!BV47,IF(G62&lt;&gt;"",IF(OR(COUNTIF(G62,"L*"),COUNTIF(G62, "X*")),IF(AND(COUNTIF(G62,"*P*"),COUNTIF(G62,"*V*")),IF(COUNTIF(G62,"*R*"),SUBSTITUTE(SUBSTITUTE(G62,"P",""),"R","S")&amp; Data!BV47,SUBSTITUTE(G62,"P","")&amp; Data!BV47),IF(AND(COUNTIF(G62,"*P*"),COUNTIF(G62,"*R*")),SUBSTITUTE(G62,"R","S")&amp;Data!BV47,IF(AND(COUNTIF(G62,"*V*"),COUNTIF(G62,"*R*")),SUBSTITUTE(G62,"R","S")&amp;Data!BV47,G62 &amp; Data!BV47))),SUBSTITUTE(SUBSTITUTE(SUBSTITUTE(SUBSTITUTE(SUBSTITUTE(SUBSTITUTE(SUBSTITUTE(SUBSTITUTE(SUBSTITUTE(SUBSTITUTE(IF(AND(COUNTIF(G62,"*P*"),COUNTIF(G62,"*V*")),IF(COUNTIF(G62,"*R*"),SUBSTITUTE(SUBSTITUTE(G62,"P",""),"R","S"),SUBSTITUTE(G62,"P","")),IF(AND(COUNTIF(G62,"*P*"),COUNTIF(G62,"*R*")),SUBSTITUTE(G62,"R","S"),IF(AND(COUNTIF(G62,"*V*"),COUNTIF(G62,"*R*")),SUBSTITUTE(G62,"R","S"),G62))),"0",""),"1",""),"2",""),"3",""),"4",""),"5",""),"6",""),"7",""),"8",""),"9","")&amp; Data!BV47),""))</f>
        <v/>
      </c>
      <c r="H95" s="41" t="str">
        <f>IF(AND($Y$57=1,H62&lt;&gt;""),"O"&amp; Data!BW47,IF(H62&lt;&gt;"",IF(OR(COUNTIF(H62,"L*"),COUNTIF(H62, "X*")),IF(AND(COUNTIF(H62,"*P*"),COUNTIF(H62,"*V*")),IF(COUNTIF(H62,"*R*"),SUBSTITUTE(SUBSTITUTE(H62,"P",""),"R","S")&amp; Data!BW47,SUBSTITUTE(H62,"P","")&amp; Data!BW47),IF(AND(COUNTIF(H62,"*P*"),COUNTIF(H62,"*R*")),SUBSTITUTE(H62,"R","S")&amp;Data!BW47,IF(AND(COUNTIF(H62,"*V*"),COUNTIF(H62,"*R*")),SUBSTITUTE(H62,"R","S")&amp;Data!BW47,H62 &amp; Data!BW47))),SUBSTITUTE(SUBSTITUTE(SUBSTITUTE(SUBSTITUTE(SUBSTITUTE(SUBSTITUTE(SUBSTITUTE(SUBSTITUTE(SUBSTITUTE(SUBSTITUTE(IF(AND(COUNTIF(H62,"*P*"),COUNTIF(H62,"*V*")),IF(COUNTIF(H62,"*R*"),SUBSTITUTE(SUBSTITUTE(H62,"P",""),"R","S"),SUBSTITUTE(H62,"P","")),IF(AND(COUNTIF(H62,"*P*"),COUNTIF(H62,"*R*")),SUBSTITUTE(H62,"R","S"),IF(AND(COUNTIF(H62,"*V*"),COUNTIF(H62,"*R*")),SUBSTITUTE(H62,"R","S"),H62))),"0",""),"1",""),"2",""),"3",""),"4",""),"5",""),"6",""),"7",""),"8",""),"9","")&amp; Data!BW47),""))</f>
        <v/>
      </c>
      <c r="I95" s="41" t="str">
        <f>IF(AND($Y$57=1,I62&lt;&gt;""),"O"&amp; Data!BX47,IF(I62&lt;&gt;"",IF(OR(COUNTIF(I62,"L*"),COUNTIF(I62, "X*")),IF(AND(COUNTIF(I62,"*P*"),COUNTIF(I62,"*V*")),IF(COUNTIF(I62,"*R*"),SUBSTITUTE(SUBSTITUTE(I62,"P",""),"R","S")&amp; Data!BX47,SUBSTITUTE(I62,"P","")&amp; Data!BX47),IF(AND(COUNTIF(I62,"*P*"),COUNTIF(I62,"*R*")),SUBSTITUTE(I62,"R","S")&amp;Data!BX47,IF(AND(COUNTIF(I62,"*V*"),COUNTIF(I62,"*R*")),SUBSTITUTE(I62,"R","S")&amp;Data!BX47,I62 &amp; Data!BX47))),SUBSTITUTE(SUBSTITUTE(SUBSTITUTE(SUBSTITUTE(SUBSTITUTE(SUBSTITUTE(SUBSTITUTE(SUBSTITUTE(SUBSTITUTE(SUBSTITUTE(IF(AND(COUNTIF(I62,"*P*"),COUNTIF(I62,"*V*")),IF(COUNTIF(I62,"*R*"),SUBSTITUTE(SUBSTITUTE(I62,"P",""),"R","S"),SUBSTITUTE(I62,"P","")),IF(AND(COUNTIF(I62,"*P*"),COUNTIF(I62,"*R*")),SUBSTITUTE(I62,"R","S"),IF(AND(COUNTIF(I62,"*V*"),COUNTIF(I62,"*R*")),SUBSTITUTE(I62,"R","S"),I62))),"0",""),"1",""),"2",""),"3",""),"4",""),"5",""),"6",""),"7",""),"8",""),"9","")&amp; Data!BX47),""))</f>
        <v/>
      </c>
      <c r="J95" s="41" t="str">
        <f>IF(AND($Y$57=1,J62&lt;&gt;""),"O"&amp; Data!BY47,IF(J62&lt;&gt;"",IF(OR(COUNTIF(J62,"L*"),COUNTIF(J62, "X*")),IF(AND(COUNTIF(J62,"*P*"),COUNTIF(J62,"*V*")),IF(COUNTIF(J62,"*R*"),SUBSTITUTE(SUBSTITUTE(J62,"P",""),"R","S")&amp; Data!BY47,SUBSTITUTE(J62,"P","")&amp; Data!BY47),IF(AND(COUNTIF(J62,"*P*"),COUNTIF(J62,"*R*")),SUBSTITUTE(J62,"R","S")&amp;Data!BY47,IF(AND(COUNTIF(J62,"*V*"),COUNTIF(J62,"*R*")),SUBSTITUTE(J62,"R","S")&amp;Data!BY47,J62 &amp; Data!BY47))),SUBSTITUTE(SUBSTITUTE(SUBSTITUTE(SUBSTITUTE(SUBSTITUTE(SUBSTITUTE(SUBSTITUTE(SUBSTITUTE(SUBSTITUTE(SUBSTITUTE(IF(AND(COUNTIF(J62,"*P*"),COUNTIF(J62,"*V*")),IF(COUNTIF(J62,"*R*"),SUBSTITUTE(SUBSTITUTE(J62,"P",""),"R","S"),SUBSTITUTE(J62,"P","")),IF(AND(COUNTIF(J62,"*P*"),COUNTIF(J62,"*R*")),SUBSTITUTE(J62,"R","S"),IF(AND(COUNTIF(J62,"*V*"),COUNTIF(J62,"*R*")),SUBSTITUTE(J62,"R","S"),J62))),"0",""),"1",""),"2",""),"3",""),"4",""),"5",""),"6",""),"7",""),"8",""),"9","")&amp; Data!BY47),""))</f>
        <v/>
      </c>
      <c r="K95" s="41" t="str">
        <f>IF(AND($Y$57=1,K62&lt;&gt;""),"O"&amp; Data!BZ47,IF(K62&lt;&gt;"",IF(OR(COUNTIF(K62,"L*"),COUNTIF(K62, "X*")),IF(AND(COUNTIF(K62,"*P*"),COUNTIF(K62,"*V*")),IF(COUNTIF(K62,"*R*"),SUBSTITUTE(SUBSTITUTE(K62,"P",""),"R","S")&amp; Data!BZ47,SUBSTITUTE(K62,"P","")&amp; Data!BZ47),IF(AND(COUNTIF(K62,"*P*"),COUNTIF(K62,"*R*")),SUBSTITUTE(K62,"R","S")&amp;Data!BZ47,IF(AND(COUNTIF(K62,"*V*"),COUNTIF(K62,"*R*")),SUBSTITUTE(K62,"R","S")&amp;Data!BZ47,K62 &amp; Data!BZ47))),SUBSTITUTE(SUBSTITUTE(SUBSTITUTE(SUBSTITUTE(SUBSTITUTE(SUBSTITUTE(SUBSTITUTE(SUBSTITUTE(SUBSTITUTE(SUBSTITUTE(IF(AND(COUNTIF(K62,"*P*"),COUNTIF(K62,"*V*")),IF(COUNTIF(K62,"*R*"),SUBSTITUTE(SUBSTITUTE(K62,"P",""),"R","S"),SUBSTITUTE(K62,"P","")),IF(AND(COUNTIF(K62,"*P*"),COUNTIF(K62,"*R*")),SUBSTITUTE(K62,"R","S"),IF(AND(COUNTIF(K62,"*V*"),COUNTIF(K62,"*R*")),SUBSTITUTE(K62,"R","S"),K62))),"0",""),"1",""),"2",""),"3",""),"4",""),"5",""),"6",""),"7",""),"8",""),"9","")&amp; Data!BZ47),""))</f>
        <v/>
      </c>
      <c r="L95" s="41" t="str">
        <f>IF(AND($Y$57=1,L62&lt;&gt;""),"O"&amp; Data!CA47,IF(L62&lt;&gt;"",IF(OR(COUNTIF(L62,"L*"),COUNTIF(L62, "X*")),IF(AND(COUNTIF(L62,"*P*"),COUNTIF(L62,"*V*")),IF(COUNTIF(L62,"*R*"),SUBSTITUTE(SUBSTITUTE(L62,"P",""),"R","S")&amp; Data!CA47,SUBSTITUTE(L62,"P","")&amp; Data!CA47),IF(AND(COUNTIF(L62,"*P*"),COUNTIF(L62,"*R*")),SUBSTITUTE(L62,"R","S")&amp;Data!CA47,IF(AND(COUNTIF(L62,"*V*"),COUNTIF(L62,"*R*")),SUBSTITUTE(L62,"R","S")&amp;Data!CA47,L62 &amp; Data!CA47))),SUBSTITUTE(SUBSTITUTE(SUBSTITUTE(SUBSTITUTE(SUBSTITUTE(SUBSTITUTE(SUBSTITUTE(SUBSTITUTE(SUBSTITUTE(SUBSTITUTE(IF(AND(COUNTIF(L62,"*P*"),COUNTIF(L62,"*V*")),IF(COUNTIF(L62,"*R*"),SUBSTITUTE(SUBSTITUTE(L62,"P",""),"R","S"),SUBSTITUTE(L62,"P","")),IF(AND(COUNTIF(L62,"*P*"),COUNTIF(L62,"*R*")),SUBSTITUTE(L62,"R","S"),IF(AND(COUNTIF(L62,"*V*"),COUNTIF(L62,"*R*")),SUBSTITUTE(L62,"R","S"),L62))),"0",""),"1",""),"2",""),"3",""),"4",""),"5",""),"6",""),"7",""),"8",""),"9","")&amp; Data!CA47),""))</f>
        <v/>
      </c>
      <c r="M95" s="41" t="str">
        <f>IF(AND($Y$57=1,M62&lt;&gt;""),"O"&amp; Data!CB47,IF(M62&lt;&gt;"",IF(OR(COUNTIF(M62,"L*"),COUNTIF(M62, "X*")),IF(AND(COUNTIF(M62,"*P*"),COUNTIF(M62,"*V*")),IF(COUNTIF(M62,"*R*"),SUBSTITUTE(SUBSTITUTE(M62,"P",""),"R","S")&amp; Data!CB47,SUBSTITUTE(M62,"P","")&amp; Data!CB47),IF(AND(COUNTIF(M62,"*P*"),COUNTIF(M62,"*R*")),SUBSTITUTE(M62,"R","S")&amp;Data!CB47,IF(AND(COUNTIF(M62,"*V*"),COUNTIF(M62,"*R*")),SUBSTITUTE(M62,"R","S")&amp;Data!CB47,M62 &amp; Data!CB47))),SUBSTITUTE(SUBSTITUTE(SUBSTITUTE(SUBSTITUTE(SUBSTITUTE(SUBSTITUTE(SUBSTITUTE(SUBSTITUTE(SUBSTITUTE(SUBSTITUTE(IF(AND(COUNTIF(M62,"*P*"),COUNTIF(M62,"*V*")),IF(COUNTIF(M62,"*R*"),SUBSTITUTE(SUBSTITUTE(M62,"P",""),"R","S"),SUBSTITUTE(M62,"P","")),IF(AND(COUNTIF(M62,"*P*"),COUNTIF(M62,"*R*")),SUBSTITUTE(M62,"R","S"),IF(AND(COUNTIF(M62,"*V*"),COUNTIF(M62,"*R*")),SUBSTITUTE(M62,"R","S"),M62))),"0",""),"1",""),"2",""),"3",""),"4",""),"5",""),"6",""),"7",""),"8",""),"9","")&amp; Data!CB47),""))</f>
        <v/>
      </c>
      <c r="N95" s="41" t="str">
        <f>IF(AND($Y$57=1,N62&lt;&gt;""),"O"&amp; Data!CC47,IF(N62&lt;&gt;"",IF(OR(COUNTIF(N62,"L*"),COUNTIF(N62, "X*")),IF(AND(COUNTIF(N62,"*P*"),COUNTIF(N62,"*V*")),IF(COUNTIF(N62,"*R*"),SUBSTITUTE(SUBSTITUTE(N62,"P",""),"R","S")&amp; Data!CC47,SUBSTITUTE(N62,"P","")&amp; Data!CC47),IF(AND(COUNTIF(N62,"*P*"),COUNTIF(N62,"*R*")),SUBSTITUTE(N62,"R","S")&amp;Data!CC47,IF(AND(COUNTIF(N62,"*V*"),COUNTIF(N62,"*R*")),SUBSTITUTE(N62,"R","S")&amp;Data!CC47,N62 &amp; Data!CC47))),SUBSTITUTE(SUBSTITUTE(SUBSTITUTE(SUBSTITUTE(SUBSTITUTE(SUBSTITUTE(SUBSTITUTE(SUBSTITUTE(SUBSTITUTE(SUBSTITUTE(IF(AND(COUNTIF(N62,"*P*"),COUNTIF(N62,"*V*")),IF(COUNTIF(N62,"*R*"),SUBSTITUTE(SUBSTITUTE(N62,"P",""),"R","S"),SUBSTITUTE(N62,"P","")),IF(AND(COUNTIF(N62,"*P*"),COUNTIF(N62,"*R*")),SUBSTITUTE(N62,"R","S"),IF(AND(COUNTIF(N62,"*V*"),COUNTIF(N62,"*R*")),SUBSTITUTE(N62,"R","S"),N62))),"0",""),"1",""),"2",""),"3",""),"4",""),"5",""),"6",""),"7",""),"8",""),"9","")&amp; Data!CC47),""))</f>
        <v/>
      </c>
      <c r="O95" s="41" t="str">
        <f>IF(AND($Y$57=1,O62&lt;&gt;""),"O"&amp; Data!CD47,IF(O62&lt;&gt;"",IF(OR(COUNTIF(O62,"L*"),COUNTIF(O62, "X*")),IF(AND(COUNTIF(O62,"*P*"),COUNTIF(O62,"*V*")),IF(COUNTIF(O62,"*R*"),SUBSTITUTE(SUBSTITUTE(O62,"P",""),"R","S")&amp; Data!CD47,SUBSTITUTE(O62,"P","")&amp; Data!CD47),IF(AND(COUNTIF(O62,"*P*"),COUNTIF(O62,"*R*")),SUBSTITUTE(O62,"R","S")&amp;Data!CD47,IF(AND(COUNTIF(O62,"*V*"),COUNTIF(O62,"*R*")),SUBSTITUTE(O62,"R","S")&amp;Data!CD47,O62 &amp; Data!CD47))),SUBSTITUTE(SUBSTITUTE(SUBSTITUTE(SUBSTITUTE(SUBSTITUTE(SUBSTITUTE(SUBSTITUTE(SUBSTITUTE(SUBSTITUTE(SUBSTITUTE(IF(AND(COUNTIF(O62,"*P*"),COUNTIF(O62,"*V*")),IF(COUNTIF(O62,"*R*"),SUBSTITUTE(SUBSTITUTE(O62,"P",""),"R","S"),SUBSTITUTE(O62,"P","")),IF(AND(COUNTIF(O62,"*P*"),COUNTIF(O62,"*R*")),SUBSTITUTE(O62,"R","S"),IF(AND(COUNTIF(O62,"*V*"),COUNTIF(O62,"*R*")),SUBSTITUTE(O62,"R","S"),O62))),"0",""),"1",""),"2",""),"3",""),"4",""),"5",""),"6",""),"7",""),"8",""),"9","")&amp; Data!CD47),""))</f>
        <v/>
      </c>
      <c r="P95" s="41" t="str">
        <f>IF(AND($Y$57=1,P62&lt;&gt;""),"O"&amp; Data!CE47,IF(P62&lt;&gt;"",IF(OR(COUNTIF(P62,"L*"),COUNTIF(P62, "X*")),IF(AND(COUNTIF(P62,"*P*"),COUNTIF(P62,"*V*")),IF(COUNTIF(P62,"*R*"),SUBSTITUTE(SUBSTITUTE(P62,"P",""),"R","S")&amp; Data!CE47,SUBSTITUTE(P62,"P","")&amp; Data!CE47),IF(AND(COUNTIF(P62,"*P*"),COUNTIF(P62,"*R*")),SUBSTITUTE(P62,"R","S")&amp;Data!CE47,IF(AND(COUNTIF(P62,"*V*"),COUNTIF(P62,"*R*")),SUBSTITUTE(P62,"R","S")&amp;Data!CE47,P62 &amp; Data!CE47))),SUBSTITUTE(SUBSTITUTE(SUBSTITUTE(SUBSTITUTE(SUBSTITUTE(SUBSTITUTE(SUBSTITUTE(SUBSTITUTE(SUBSTITUTE(SUBSTITUTE(IF(AND(COUNTIF(P62,"*P*"),COUNTIF(P62,"*V*")),IF(COUNTIF(P62,"*R*"),SUBSTITUTE(SUBSTITUTE(P62,"P",""),"R","S"),SUBSTITUTE(P62,"P","")),IF(AND(COUNTIF(P62,"*P*"),COUNTIF(P62,"*R*")),SUBSTITUTE(P62,"R","S"),IF(AND(COUNTIF(P62,"*V*"),COUNTIF(P62,"*R*")),SUBSTITUTE(P62,"R","S"),P62))),"0",""),"1",""),"2",""),"3",""),"4",""),"5",""),"6",""),"7",""),"8",""),"9","")&amp; Data!CE47),""))</f>
        <v/>
      </c>
      <c r="Q95" s="41" t="str">
        <f>IF(AND($Y$57=1,Q62&lt;&gt;""),"O"&amp; Data!CF47,IF(Q62&lt;&gt;"",IF(OR(COUNTIF(Q62,"L*"),COUNTIF(Q62, "X*")),IF(AND(COUNTIF(Q62,"*P*"),COUNTIF(Q62,"*V*")),IF(COUNTIF(Q62,"*R*"),SUBSTITUTE(SUBSTITUTE(Q62,"P",""),"R","S")&amp; Data!CF47,SUBSTITUTE(Q62,"P","")&amp; Data!CF47),IF(AND(COUNTIF(Q62,"*P*"),COUNTIF(Q62,"*R*")),SUBSTITUTE(Q62,"R","S")&amp;Data!CF47,IF(AND(COUNTIF(Q62,"*V*"),COUNTIF(Q62,"*R*")),SUBSTITUTE(Q62,"R","S")&amp;Data!CF47,Q62 &amp; Data!CF47))),SUBSTITUTE(SUBSTITUTE(SUBSTITUTE(SUBSTITUTE(SUBSTITUTE(SUBSTITUTE(SUBSTITUTE(SUBSTITUTE(SUBSTITUTE(SUBSTITUTE(IF(AND(COUNTIF(Q62,"*P*"),COUNTIF(Q62,"*V*")),IF(COUNTIF(Q62,"*R*"),SUBSTITUTE(SUBSTITUTE(Q62,"P",""),"R","S"),SUBSTITUTE(Q62,"P","")),IF(AND(COUNTIF(Q62,"*P*"),COUNTIF(Q62,"*R*")),SUBSTITUTE(Q62,"R","S"),IF(AND(COUNTIF(Q62,"*V*"),COUNTIF(Q62,"*R*")),SUBSTITUTE(Q62,"R","S"),Q62))),"0",""),"1",""),"2",""),"3",""),"4",""),"5",""),"6",""),"7",""),"8",""),"9","")&amp; Data!CF47),""))</f>
        <v/>
      </c>
      <c r="R95" s="41" t="str">
        <f>IF(AND($Y$57=1,R62&lt;&gt;""),"O"&amp; Data!CG47,IF(R62&lt;&gt;"",IF(OR(COUNTIF(R62,"L*"),COUNTIF(R62, "X*")),IF(AND(COUNTIF(R62,"*P*"),COUNTIF(R62,"*V*")),IF(COUNTIF(R62,"*R*"),SUBSTITUTE(SUBSTITUTE(R62,"P",""),"R","S")&amp; Data!CG47,SUBSTITUTE(R62,"P","")&amp; Data!CG47),IF(AND(COUNTIF(R62,"*P*"),COUNTIF(R62,"*R*")),SUBSTITUTE(R62,"R","S")&amp;Data!CG47,IF(AND(COUNTIF(R62,"*V*"),COUNTIF(R62,"*R*")),SUBSTITUTE(R62,"R","S")&amp;Data!CG47,R62 &amp; Data!CG47))),SUBSTITUTE(SUBSTITUTE(SUBSTITUTE(SUBSTITUTE(SUBSTITUTE(SUBSTITUTE(SUBSTITUTE(SUBSTITUTE(SUBSTITUTE(SUBSTITUTE(IF(AND(COUNTIF(R62,"*P*"),COUNTIF(R62,"*V*")),IF(COUNTIF(R62,"*R*"),SUBSTITUTE(SUBSTITUTE(R62,"P",""),"R","S"),SUBSTITUTE(R62,"P","")),IF(AND(COUNTIF(R62,"*P*"),COUNTIF(R62,"*R*")),SUBSTITUTE(R62,"R","S"),IF(AND(COUNTIF(R62,"*V*"),COUNTIF(R62,"*R*")),SUBSTITUTE(R62,"R","S"),R62))),"0",""),"1",""),"2",""),"3",""),"4",""),"5",""),"6",""),"7",""),"8",""),"9","")&amp; Data!CG47),""))</f>
        <v/>
      </c>
      <c r="S95" s="41" t="str">
        <f>IF(AND($Y$57=1,S62&lt;&gt;""),"O"&amp; Data!CH47,IF(S62&lt;&gt;"",IF(OR(COUNTIF(S62,"L*"),COUNTIF(S62, "X*")),IF(AND(COUNTIF(S62,"*P*"),COUNTIF(S62,"*V*")),IF(COUNTIF(S62,"*R*"),SUBSTITUTE(SUBSTITUTE(S62,"P",""),"R","S")&amp; Data!CH47,SUBSTITUTE(S62,"P","")&amp; Data!CH47),IF(AND(COUNTIF(S62,"*P*"),COUNTIF(S62,"*R*")),SUBSTITUTE(S62,"R","S")&amp;Data!CH47,IF(AND(COUNTIF(S62,"*V*"),COUNTIF(S62,"*R*")),SUBSTITUTE(S62,"R","S")&amp;Data!CH47,S62 &amp; Data!CH47))),SUBSTITUTE(SUBSTITUTE(SUBSTITUTE(SUBSTITUTE(SUBSTITUTE(SUBSTITUTE(SUBSTITUTE(SUBSTITUTE(SUBSTITUTE(SUBSTITUTE(IF(AND(COUNTIF(S62,"*P*"),COUNTIF(S62,"*V*")),IF(COUNTIF(S62,"*R*"),SUBSTITUTE(SUBSTITUTE(S62,"P",""),"R","S"),SUBSTITUTE(S62,"P","")),IF(AND(COUNTIF(S62,"*P*"),COUNTIF(S62,"*R*")),SUBSTITUTE(S62,"R","S"),IF(AND(COUNTIF(S62,"*V*"),COUNTIF(S62,"*R*")),SUBSTITUTE(S62,"R","S"),S62))),"0",""),"1",""),"2",""),"3",""),"4",""),"5",""),"6",""),"7",""),"8",""),"9","")&amp; Data!CH47),""))</f>
        <v/>
      </c>
      <c r="T95" s="41" t="str">
        <f>IF(AND($Y$57=1,T62&lt;&gt;""),"O"&amp; Data!CI47,IF(T62&lt;&gt;"",IF(OR(COUNTIF(T62,"L*"),COUNTIF(T62, "X*")),IF(AND(COUNTIF(T62,"*P*"),COUNTIF(T62,"*V*")),IF(COUNTIF(T62,"*R*"),SUBSTITUTE(SUBSTITUTE(T62,"P",""),"R","S")&amp; Data!CI47,SUBSTITUTE(T62,"P","")&amp; Data!CI47),IF(AND(COUNTIF(T62,"*P*"),COUNTIF(T62,"*R*")),SUBSTITUTE(T62,"R","S")&amp;Data!CI47,IF(AND(COUNTIF(T62,"*V*"),COUNTIF(T62,"*R*")),SUBSTITUTE(T62,"R","S")&amp;Data!CI47,T62 &amp; Data!CI47))),SUBSTITUTE(SUBSTITUTE(SUBSTITUTE(SUBSTITUTE(SUBSTITUTE(SUBSTITUTE(SUBSTITUTE(SUBSTITUTE(SUBSTITUTE(SUBSTITUTE(IF(AND(COUNTIF(T62,"*P*"),COUNTIF(T62,"*V*")),IF(COUNTIF(T62,"*R*"),SUBSTITUTE(SUBSTITUTE(T62,"P",""),"R","S"),SUBSTITUTE(T62,"P","")),IF(AND(COUNTIF(T62,"*P*"),COUNTIF(T62,"*R*")),SUBSTITUTE(T62,"R","S"),IF(AND(COUNTIF(T62,"*V*"),COUNTIF(T62,"*R*")),SUBSTITUTE(T62,"R","S"),T62))),"0",""),"1",""),"2",""),"3",""),"4",""),"5",""),"6",""),"7",""),"8",""),"9","")&amp; Data!CI47),""))</f>
        <v/>
      </c>
      <c r="U95" s="41" t="str">
        <f>IF(AND($Y$57=1,U62&lt;&gt;""),"O"&amp; Data!CJ47,IF(U62&lt;&gt;"",IF(OR(COUNTIF(U62,"L*"),COUNTIF(U62, "X*")),IF(AND(COUNTIF(U62,"*P*"),COUNTIF(U62,"*V*")),IF(COUNTIF(U62,"*R*"),SUBSTITUTE(SUBSTITUTE(U62,"P",""),"R","S")&amp; Data!CJ47,SUBSTITUTE(U62,"P","")&amp; Data!CJ47),IF(AND(COUNTIF(U62,"*P*"),COUNTIF(U62,"*R*")),SUBSTITUTE(U62,"R","S")&amp;Data!CJ47,IF(AND(COUNTIF(U62,"*V*"),COUNTIF(U62,"*R*")),SUBSTITUTE(U62,"R","S")&amp;Data!CJ47,U62 &amp; Data!CJ47))),SUBSTITUTE(SUBSTITUTE(SUBSTITUTE(SUBSTITUTE(SUBSTITUTE(SUBSTITUTE(SUBSTITUTE(SUBSTITUTE(SUBSTITUTE(SUBSTITUTE(IF(AND(COUNTIF(U62,"*P*"),COUNTIF(U62,"*V*")),IF(COUNTIF(U62,"*R*"),SUBSTITUTE(SUBSTITUTE(U62,"P",""),"R","S"),SUBSTITUTE(U62,"P","")),IF(AND(COUNTIF(U62,"*P*"),COUNTIF(U62,"*R*")),SUBSTITUTE(U62,"R","S"),IF(AND(COUNTIF(U62,"*V*"),COUNTIF(U62,"*R*")),SUBSTITUTE(U62,"R","S"),U62))),"0",""),"1",""),"2",""),"3",""),"4",""),"5",""),"6",""),"7",""),"8",""),"9","")&amp; Data!CJ47),""))</f>
        <v/>
      </c>
      <c r="V95" s="41" t="str">
        <f>IF(AND($Y$57=1,V62&lt;&gt;""),"O"&amp; Data!CK47,IF(V62&lt;&gt;"",IF(OR(COUNTIF(V62,"L*"),COUNTIF(V62, "X*")),IF(AND(COUNTIF(V62,"*P*"),COUNTIF(V62,"*V*")),IF(COUNTIF(V62,"*R*"),SUBSTITUTE(SUBSTITUTE(V62,"P",""),"R","S")&amp; Data!CK47,SUBSTITUTE(V62,"P","")&amp; Data!CK47),IF(AND(COUNTIF(V62,"*P*"),COUNTIF(V62,"*R*")),SUBSTITUTE(V62,"R","S")&amp;Data!CK47,IF(AND(COUNTIF(V62,"*V*"),COUNTIF(V62,"*R*")),SUBSTITUTE(V62,"R","S")&amp;Data!CK47,V62 &amp; Data!CK47))),SUBSTITUTE(SUBSTITUTE(SUBSTITUTE(SUBSTITUTE(SUBSTITUTE(SUBSTITUTE(SUBSTITUTE(SUBSTITUTE(SUBSTITUTE(SUBSTITUTE(IF(AND(COUNTIF(V62,"*P*"),COUNTIF(V62,"*V*")),IF(COUNTIF(V62,"*R*"),SUBSTITUTE(SUBSTITUTE(V62,"P",""),"R","S"),SUBSTITUTE(V62,"P","")),IF(AND(COUNTIF(V62,"*P*"),COUNTIF(V62,"*R*")),SUBSTITUTE(V62,"R","S"),IF(AND(COUNTIF(V62,"*V*"),COUNTIF(V62,"*R*")),SUBSTITUTE(V62,"R","S"),V62))),"0",""),"1",""),"2",""),"3",""),"4",""),"5",""),"6",""),"7",""),"8",""),"9","")&amp; Data!CK47),""))</f>
        <v/>
      </c>
      <c r="W95" s="41" t="str">
        <f>IF(AND($Y$57=1,W62&lt;&gt;""),"O"&amp; Data!CL47,IF(W62&lt;&gt;"",IF(OR(COUNTIF(W62,"L*"),COUNTIF(W62, "X*")),IF(AND(COUNTIF(W62,"*P*"),COUNTIF(W62,"*V*")),IF(COUNTIF(W62,"*R*"),SUBSTITUTE(SUBSTITUTE(W62,"P",""),"R","S")&amp; Data!CL47,SUBSTITUTE(W62,"P","")&amp; Data!CL47),IF(AND(COUNTIF(W62,"*P*"),COUNTIF(W62,"*R*")),SUBSTITUTE(W62,"R","S")&amp;Data!CL47,IF(AND(COUNTIF(W62,"*V*"),COUNTIF(W62,"*R*")),SUBSTITUTE(W62,"R","S")&amp;Data!CL47,W62 &amp; Data!CL47))),SUBSTITUTE(SUBSTITUTE(SUBSTITUTE(SUBSTITUTE(SUBSTITUTE(SUBSTITUTE(SUBSTITUTE(SUBSTITUTE(SUBSTITUTE(SUBSTITUTE(IF(AND(COUNTIF(W62,"*P*"),COUNTIF(W62,"*V*")),IF(COUNTIF(W62,"*R*"),SUBSTITUTE(SUBSTITUTE(W62,"P",""),"R","S"),SUBSTITUTE(W62,"P","")),IF(AND(COUNTIF(W62,"*P*"),COUNTIF(W62,"*R*")),SUBSTITUTE(W62,"R","S"),IF(AND(COUNTIF(W62,"*V*"),COUNTIF(W62,"*R*")),SUBSTITUTE(W62,"R","S"),W62))),"0",""),"1",""),"2",""),"3",""),"4",""),"5",""),"6",""),"7",""),"8",""),"9","")&amp; Data!CL47),""))</f>
        <v/>
      </c>
      <c r="X95" s="41" t="str">
        <f>IF(AND($Y$57=1,X62&lt;&gt;""),"O"&amp; Data!CM47,IF(X62&lt;&gt;"",IF(OR(COUNTIF(X62,"L*"),COUNTIF(X62, "X*")),IF(AND(COUNTIF(X62,"*P*"),COUNTIF(X62,"*V*")),IF(COUNTIF(X62,"*R*"),SUBSTITUTE(SUBSTITUTE(X62,"P",""),"R","S")&amp; Data!CM47,SUBSTITUTE(X62,"P","")&amp; Data!CM47),IF(AND(COUNTIF(X62,"*P*"),COUNTIF(X62,"*R*")),SUBSTITUTE(X62,"R","S")&amp;Data!CM47,IF(AND(COUNTIF(X62,"*V*"),COUNTIF(X62,"*R*")),SUBSTITUTE(X62,"R","S")&amp;Data!CM47,X62 &amp; Data!CM47))),SUBSTITUTE(SUBSTITUTE(SUBSTITUTE(SUBSTITUTE(SUBSTITUTE(SUBSTITUTE(SUBSTITUTE(SUBSTITUTE(SUBSTITUTE(SUBSTITUTE(IF(AND(COUNTIF(X62,"*P*"),COUNTIF(X62,"*V*")),IF(COUNTIF(X62,"*R*"),SUBSTITUTE(SUBSTITUTE(X62,"P",""),"R","S"),SUBSTITUTE(X62,"P","")),IF(AND(COUNTIF(X62,"*P*"),COUNTIF(X62,"*R*")),SUBSTITUTE(X62,"R","S"),IF(AND(COUNTIF(X62,"*V*"),COUNTIF(X62,"*R*")),SUBSTITUTE(X62,"R","S"),X62))),"0",""),"1",""),"2",""),"3",""),"4",""),"5",""),"6",""),"7",""),"8",""),"9","")&amp; Data!CM47),""))</f>
        <v/>
      </c>
      <c r="Y95" s="41" t="str">
        <f>IF(AND($Y$57=1,Y62&lt;&gt;""),"O"&amp; Data!CN47,IF(Y62&lt;&gt;"",IF(OR(COUNTIF(Y62,"L*"),COUNTIF(Y62, "X*")),IF(AND(COUNTIF(Y62,"*P*"),COUNTIF(Y62,"*V*")),IF(COUNTIF(Y62,"*R*"),SUBSTITUTE(SUBSTITUTE(Y62,"P",""),"R","S")&amp; Data!CN47,SUBSTITUTE(Y62,"P","")&amp; Data!CN47),IF(AND(COUNTIF(Y62,"*P*"),COUNTIF(Y62,"*R*")),SUBSTITUTE(Y62,"R","S")&amp;Data!CN47,IF(AND(COUNTIF(Y62,"*V*"),COUNTIF(Y62,"*R*")),SUBSTITUTE(Y62,"R","S")&amp;Data!CN47,Y62 &amp; Data!CN47))),SUBSTITUTE(SUBSTITUTE(SUBSTITUTE(SUBSTITUTE(SUBSTITUTE(SUBSTITUTE(SUBSTITUTE(SUBSTITUTE(SUBSTITUTE(SUBSTITUTE(IF(AND(COUNTIF(Y62,"*P*"),COUNTIF(Y62,"*V*")),IF(COUNTIF(Y62,"*R*"),SUBSTITUTE(SUBSTITUTE(Y62,"P",""),"R","S"),SUBSTITUTE(Y62,"P","")),IF(AND(COUNTIF(Y62,"*P*"),COUNTIF(Y62,"*R*")),SUBSTITUTE(Y62,"R","S"),IF(AND(COUNTIF(Y62,"*V*"),COUNTIF(Y62,"*R*")),SUBSTITUTE(Y62,"R","S"),Y62))),"0",""),"1",""),"2",""),"3",""),"4",""),"5",""),"6",""),"7",""),"8",""),"9","")&amp; Data!CN47),""))</f>
        <v/>
      </c>
      <c r="Z95" s="41" t="str">
        <f>IF(AND($Y$57=1,Z62&lt;&gt;""),"O"&amp; Data!CO47,IF(Z62&lt;&gt;"",IF(OR(COUNTIF(Z62,"L*"),COUNTIF(Z62, "X*")),IF(AND(COUNTIF(Z62,"*P*"),COUNTIF(Z62,"*V*")),IF(COUNTIF(Z62,"*R*"),SUBSTITUTE(SUBSTITUTE(Z62,"P",""),"R","S")&amp; Data!CO47,SUBSTITUTE(Z62,"P","")&amp; Data!CO47),IF(AND(COUNTIF(Z62,"*P*"),COUNTIF(Z62,"*R*")),SUBSTITUTE(Z62,"R","S")&amp;Data!CO47,IF(AND(COUNTIF(Z62,"*V*"),COUNTIF(Z62,"*R*")),SUBSTITUTE(Z62,"R","S")&amp;Data!CO47,Z62 &amp; Data!CO47))),SUBSTITUTE(SUBSTITUTE(SUBSTITUTE(SUBSTITUTE(SUBSTITUTE(SUBSTITUTE(SUBSTITUTE(SUBSTITUTE(SUBSTITUTE(SUBSTITUTE(IF(AND(COUNTIF(Z62,"*P*"),COUNTIF(Z62,"*V*")),IF(COUNTIF(Z62,"*R*"),SUBSTITUTE(SUBSTITUTE(Z62,"P",""),"R","S"),SUBSTITUTE(Z62,"P","")),IF(AND(COUNTIF(Z62,"*P*"),COUNTIF(Z62,"*R*")),SUBSTITUTE(Z62,"R","S"),IF(AND(COUNTIF(Z62,"*V*"),COUNTIF(Z62,"*R*")),SUBSTITUTE(Z62,"R","S"),Z62))),"0",""),"1",""),"2",""),"3",""),"4",""),"5",""),"6",""),"7",""),"8",""),"9","")&amp; Data!CO47),""))</f>
        <v/>
      </c>
      <c r="AA95" s="41" t="str">
        <f>IF(AND($Y$57=1,AA62&lt;&gt;""),"O"&amp; Data!CP47,IF(AA62&lt;&gt;"",IF(OR(COUNTIF(AA62,"L*"),COUNTIF(AA62, "X*")),IF(AND(COUNTIF(AA62,"*P*"),COUNTIF(AA62,"*V*")),IF(COUNTIF(AA62,"*R*"),SUBSTITUTE(SUBSTITUTE(AA62,"P",""),"R","S")&amp; Data!CP47,SUBSTITUTE(AA62,"P","")&amp; Data!CP47),IF(AND(COUNTIF(AA62,"*P*"),COUNTIF(AA62,"*R*")),SUBSTITUTE(AA62,"R","S")&amp;Data!CP47,IF(AND(COUNTIF(AA62,"*V*"),COUNTIF(AA62,"*R*")),SUBSTITUTE(AA62,"R","S")&amp;Data!CP47,AA62 &amp; Data!CP47))),SUBSTITUTE(SUBSTITUTE(SUBSTITUTE(SUBSTITUTE(SUBSTITUTE(SUBSTITUTE(SUBSTITUTE(SUBSTITUTE(SUBSTITUTE(SUBSTITUTE(IF(AND(COUNTIF(AA62,"*P*"),COUNTIF(AA62,"*V*")),IF(COUNTIF(AA62,"*R*"),SUBSTITUTE(SUBSTITUTE(AA62,"P",""),"R","S"),SUBSTITUTE(AA62,"P","")),IF(AND(COUNTIF(AA62,"*P*"),COUNTIF(AA62,"*R*")),SUBSTITUTE(AA62,"R","S"),IF(AND(COUNTIF(AA62,"*V*"),COUNTIF(AA62,"*R*")),SUBSTITUTE(AA62,"R","S"),AA62))),"0",""),"1",""),"2",""),"3",""),"4",""),"5",""),"6",""),"7",""),"8",""),"9","")&amp; Data!CP47),""))</f>
        <v/>
      </c>
      <c r="AB95" s="41" t="str">
        <f>IF(AND($Y$57=1,AB62&lt;&gt;""),"O"&amp; Data!CQ47,IF(AB62&lt;&gt;"",IF(OR(COUNTIF(AB62,"L*"),COUNTIF(AB62, "X*")),IF(AND(COUNTIF(AB62,"*P*"),COUNTIF(AB62,"*V*")),IF(COUNTIF(AB62,"*R*"),SUBSTITUTE(SUBSTITUTE(AB62,"P",""),"R","S")&amp; Data!CQ47,SUBSTITUTE(AB62,"P","")&amp; Data!CQ47),IF(AND(COUNTIF(AB62,"*P*"),COUNTIF(AB62,"*R*")),SUBSTITUTE(AB62,"R","S")&amp;Data!CQ47,IF(AND(COUNTIF(AB62,"*V*"),COUNTIF(AB62,"*R*")),SUBSTITUTE(AB62,"R","S")&amp;Data!CQ47,AB62 &amp; Data!CQ47))),SUBSTITUTE(SUBSTITUTE(SUBSTITUTE(SUBSTITUTE(SUBSTITUTE(SUBSTITUTE(SUBSTITUTE(SUBSTITUTE(SUBSTITUTE(SUBSTITUTE(IF(AND(COUNTIF(AB62,"*P*"),COUNTIF(AB62,"*V*")),IF(COUNTIF(AB62,"*R*"),SUBSTITUTE(SUBSTITUTE(AB62,"P",""),"R","S"),SUBSTITUTE(AB62,"P","")),IF(AND(COUNTIF(AB62,"*P*"),COUNTIF(AB62,"*R*")),SUBSTITUTE(AB62,"R","S"),IF(AND(COUNTIF(AB62,"*V*"),COUNTIF(AB62,"*R*")),SUBSTITUTE(AB62,"R","S"),AB62))),"0",""),"1",""),"2",""),"3",""),"4",""),"5",""),"6",""),"7",""),"8",""),"9","")&amp; Data!CQ47),""))</f>
        <v/>
      </c>
      <c r="AC95" s="41" t="str">
        <f>IF(AND($Y$57=1,AC62&lt;&gt;""),"O"&amp; Data!CR47,IF(AC62&lt;&gt;"",IF(OR(COUNTIF(AC62,"L*"),COUNTIF(AC62, "X*")),IF(AND(COUNTIF(AC62,"*P*"),COUNTIF(AC62,"*V*")),IF(COUNTIF(AC62,"*R*"),SUBSTITUTE(SUBSTITUTE(AC62,"P",""),"R","S")&amp; Data!CR47,SUBSTITUTE(AC62,"P","")&amp; Data!CR47),IF(AND(COUNTIF(AC62,"*P*"),COUNTIF(AC62,"*R*")),SUBSTITUTE(AC62,"R","S")&amp;Data!CR47,IF(AND(COUNTIF(AC62,"*V*"),COUNTIF(AC62,"*R*")),SUBSTITUTE(AC62,"R","S")&amp;Data!CR47,AC62 &amp; Data!CR47))),SUBSTITUTE(SUBSTITUTE(SUBSTITUTE(SUBSTITUTE(SUBSTITUTE(SUBSTITUTE(SUBSTITUTE(SUBSTITUTE(SUBSTITUTE(SUBSTITUTE(IF(AND(COUNTIF(AC62,"*P*"),COUNTIF(AC62,"*V*")),IF(COUNTIF(AC62,"*R*"),SUBSTITUTE(SUBSTITUTE(AC62,"P",""),"R","S"),SUBSTITUTE(AC62,"P","")),IF(AND(COUNTIF(AC62,"*P*"),COUNTIF(AC62,"*R*")),SUBSTITUTE(AC62,"R","S"),IF(AND(COUNTIF(AC62,"*V*"),COUNTIF(AC62,"*R*")),SUBSTITUTE(AC62,"R","S"),AC62))),"0",""),"1",""),"2",""),"3",""),"4",""),"5",""),"6",""),"7",""),"8",""),"9","")&amp; Data!CR47),""))</f>
        <v/>
      </c>
      <c r="AD95" s="41" t="str">
        <f>IF(AND($Y$57=1,AD62&lt;&gt;""),"O"&amp; Data!CS47,IF(AD62&lt;&gt;"",IF(OR(COUNTIF(AD62,"L*"),COUNTIF(AD62, "X*")),IF(AND(COUNTIF(AD62,"*P*"),COUNTIF(AD62,"*V*")),IF(COUNTIF(AD62,"*R*"),SUBSTITUTE(SUBSTITUTE(AD62,"P",""),"R","S")&amp; Data!CS47,SUBSTITUTE(AD62,"P","")&amp; Data!CS47),IF(AND(COUNTIF(AD62,"*P*"),COUNTIF(AD62,"*R*")),SUBSTITUTE(AD62,"R","S")&amp;Data!CS47,IF(AND(COUNTIF(AD62,"*V*"),COUNTIF(AD62,"*R*")),SUBSTITUTE(AD62,"R","S")&amp;Data!CS47,AD62 &amp; Data!CS47))),SUBSTITUTE(SUBSTITUTE(SUBSTITUTE(SUBSTITUTE(SUBSTITUTE(SUBSTITUTE(SUBSTITUTE(SUBSTITUTE(SUBSTITUTE(SUBSTITUTE(IF(AND(COUNTIF(AD62,"*P*"),COUNTIF(AD62,"*V*")),IF(COUNTIF(AD62,"*R*"),SUBSTITUTE(SUBSTITUTE(AD62,"P",""),"R","S"),SUBSTITUTE(AD62,"P","")),IF(AND(COUNTIF(AD62,"*P*"),COUNTIF(AD62,"*R*")),SUBSTITUTE(AD62,"R","S"),IF(AND(COUNTIF(AD62,"*V*"),COUNTIF(AD62,"*R*")),SUBSTITUTE(AD62,"R","S"),AD62))),"0",""),"1",""),"2",""),"3",""),"4",""),"5",""),"6",""),"7",""),"8",""),"9","")&amp; Data!CS47),""))</f>
        <v/>
      </c>
      <c r="AE95" s="41" t="str">
        <f>IF(AND($Y$57=1,AE62&lt;&gt;""),"O"&amp; Data!CT47,IF(AE62&lt;&gt;"",IF(OR(COUNTIF(AE62,"L*"),COUNTIF(AE62, "X*")),IF(AND(COUNTIF(AE62,"*P*"),COUNTIF(AE62,"*V*")),IF(COUNTIF(AE62,"*R*"),SUBSTITUTE(SUBSTITUTE(AE62,"P",""),"R","S")&amp; Data!CT47,SUBSTITUTE(AE62,"P","")&amp; Data!CT47),IF(AND(COUNTIF(AE62,"*P*"),COUNTIF(AE62,"*R*")),SUBSTITUTE(AE62,"R","S")&amp;Data!CT47,IF(AND(COUNTIF(AE62,"*V*"),COUNTIF(AE62,"*R*")),SUBSTITUTE(AE62,"R","S")&amp;Data!CT47,AE62 &amp; Data!CT47))),SUBSTITUTE(SUBSTITUTE(SUBSTITUTE(SUBSTITUTE(SUBSTITUTE(SUBSTITUTE(SUBSTITUTE(SUBSTITUTE(SUBSTITUTE(SUBSTITUTE(IF(AND(COUNTIF(AE62,"*P*"),COUNTIF(AE62,"*V*")),IF(COUNTIF(AE62,"*R*"),SUBSTITUTE(SUBSTITUTE(AE62,"P",""),"R","S"),SUBSTITUTE(AE62,"P","")),IF(AND(COUNTIF(AE62,"*P*"),COUNTIF(AE62,"*R*")),SUBSTITUTE(AE62,"R","S"),IF(AND(COUNTIF(AE62,"*V*"),COUNTIF(AE62,"*R*")),SUBSTITUTE(AE62,"R","S"),AE62))),"0",""),"1",""),"2",""),"3",""),"4",""),"5",""),"6",""),"7",""),"8",""),"9","")&amp; Data!CT47),""))</f>
        <v/>
      </c>
      <c r="AF95" s="41" t="str">
        <f>IF(AND($Y$57=1,AF62&lt;&gt;""),"O"&amp; Data!CU47,IF(AF62&lt;&gt;"",IF(OR(COUNTIF(AF62,"L*"),COUNTIF(AF62, "X*")),IF(AND(COUNTIF(AF62,"*P*"),COUNTIF(AF62,"*V*")),IF(COUNTIF(AF62,"*R*"),SUBSTITUTE(SUBSTITUTE(AF62,"P",""),"R","S")&amp; Data!CU47,SUBSTITUTE(AF62,"P","")&amp; Data!CU47),IF(AND(COUNTIF(AF62,"*P*"),COUNTIF(AF62,"*R*")),SUBSTITUTE(AF62,"R","S")&amp;Data!CU47,IF(AND(COUNTIF(AF62,"*V*"),COUNTIF(AF62,"*R*")),SUBSTITUTE(AF62,"R","S")&amp;Data!CU47,AF62 &amp; Data!CU47))),SUBSTITUTE(SUBSTITUTE(SUBSTITUTE(SUBSTITUTE(SUBSTITUTE(SUBSTITUTE(SUBSTITUTE(SUBSTITUTE(SUBSTITUTE(SUBSTITUTE(IF(AND(COUNTIF(AF62,"*P*"),COUNTIF(AF62,"*V*")),IF(COUNTIF(AF62,"*R*"),SUBSTITUTE(SUBSTITUTE(AF62,"P",""),"R","S"),SUBSTITUTE(AF62,"P","")),IF(AND(COUNTIF(AF62,"*P*"),COUNTIF(AF62,"*R*")),SUBSTITUTE(AF62,"R","S"),IF(AND(COUNTIF(AF62,"*V*"),COUNTIF(AF62,"*R*")),SUBSTITUTE(AF62,"R","S"),AF62))),"0",""),"1",""),"2",""),"3",""),"4",""),"5",""),"6",""),"7",""),"8",""),"9","")&amp; Data!CU47),""))</f>
        <v/>
      </c>
      <c r="AG95" s="41" t="str">
        <f>IF(AND($Y$57=1,AG62&lt;&gt;""),"O"&amp; Data!CV47,IF(AG62&lt;&gt;"",IF(OR(COUNTIF(AG62,"L*"),COUNTIF(AG62, "X*")),IF(AND(COUNTIF(AG62,"*P*"),COUNTIF(AG62,"*V*")),IF(COUNTIF(AG62,"*R*"),SUBSTITUTE(SUBSTITUTE(AG62,"P",""),"R","S")&amp; Data!CV47,SUBSTITUTE(AG62,"P","")&amp; Data!CV47),IF(AND(COUNTIF(AG62,"*P*"),COUNTIF(AG62,"*R*")),SUBSTITUTE(AG62,"R","S")&amp;Data!CV47,IF(AND(COUNTIF(AG62,"*V*"),COUNTIF(AG62,"*R*")),SUBSTITUTE(AG62,"R","S")&amp;Data!CV47,AG62 &amp; Data!CV47))),SUBSTITUTE(SUBSTITUTE(SUBSTITUTE(SUBSTITUTE(SUBSTITUTE(SUBSTITUTE(SUBSTITUTE(SUBSTITUTE(SUBSTITUTE(SUBSTITUTE(IF(AND(COUNTIF(AG62,"*P*"),COUNTIF(AG62,"*V*")),IF(COUNTIF(AG62,"*R*"),SUBSTITUTE(SUBSTITUTE(AG62,"P",""),"R","S"),SUBSTITUTE(AG62,"P","")),IF(AND(COUNTIF(AG62,"*P*"),COUNTIF(AG62,"*R*")),SUBSTITUTE(AG62,"R","S"),IF(AND(COUNTIF(AG62,"*V*"),COUNTIF(AG62,"*R*")),SUBSTITUTE(AG62,"R","S"),AG62))),"0",""),"1",""),"2",""),"3",""),"4",""),"5",""),"6",""),"7",""),"8",""),"9","")&amp; Data!CV47),""))</f>
        <v/>
      </c>
      <c r="AH95" s="41" t="str">
        <f>IF(AND($Y$57=1,AH62&lt;&gt;""),"O"&amp; Data!CW47,IF(AH62&lt;&gt;"",IF(OR(COUNTIF(AH62,"L*"),COUNTIF(AH62, "X*")),IF(AND(COUNTIF(AH62,"*P*"),COUNTIF(AH62,"*V*")),IF(COUNTIF(AH62,"*R*"),SUBSTITUTE(SUBSTITUTE(AH62,"P",""),"R","S")&amp; Data!CW47,SUBSTITUTE(AH62,"P","")&amp; Data!CW47),IF(AND(COUNTIF(AH62,"*P*"),COUNTIF(AH62,"*R*")),SUBSTITUTE(AH62,"R","S")&amp;Data!CW47,IF(AND(COUNTIF(AH62,"*V*"),COUNTIF(AH62,"*R*")),SUBSTITUTE(AH62,"R","S")&amp;Data!CW47,AH62 &amp; Data!CW47))),SUBSTITUTE(SUBSTITUTE(SUBSTITUTE(SUBSTITUTE(SUBSTITUTE(SUBSTITUTE(SUBSTITUTE(SUBSTITUTE(SUBSTITUTE(SUBSTITUTE(IF(AND(COUNTIF(AH62,"*P*"),COUNTIF(AH62,"*V*")),IF(COUNTIF(AH62,"*R*"),SUBSTITUTE(SUBSTITUTE(AH62,"P",""),"R","S"),SUBSTITUTE(AH62,"P","")),IF(AND(COUNTIF(AH62,"*P*"),COUNTIF(AH62,"*R*")),SUBSTITUTE(AH62,"R","S"),IF(AND(COUNTIF(AH62,"*V*"),COUNTIF(AH62,"*R*")),SUBSTITUTE(AH62,"R","S"),AH62))),"0",""),"1",""),"2",""),"3",""),"4",""),"5",""),"6",""),"7",""),"8",""),"9","")&amp; Data!CW47),""))</f>
        <v/>
      </c>
      <c r="AI95" s="41" t="str">
        <f>IF(AND($Y$57=1,AI62&lt;&gt;""),"O"&amp; Data!CX47,IF(AI62&lt;&gt;"",IF(OR(COUNTIF(AI62,"L*"),COUNTIF(AI62, "X*")),IF(AND(COUNTIF(AI62,"*P*"),COUNTIF(AI62,"*V*")),IF(COUNTIF(AI62,"*R*"),SUBSTITUTE(SUBSTITUTE(AI62,"P",""),"R","S")&amp; Data!CX47,SUBSTITUTE(AI62,"P","")&amp; Data!CX47),IF(AND(COUNTIF(AI62,"*P*"),COUNTIF(AI62,"*R*")),SUBSTITUTE(AI62,"R","S")&amp;Data!CX47,IF(AND(COUNTIF(AI62,"*V*"),COUNTIF(AI62,"*R*")),SUBSTITUTE(AI62,"R","S")&amp;Data!CX47,AI62 &amp; Data!CX47))),SUBSTITUTE(SUBSTITUTE(SUBSTITUTE(SUBSTITUTE(SUBSTITUTE(SUBSTITUTE(SUBSTITUTE(SUBSTITUTE(SUBSTITUTE(SUBSTITUTE(IF(AND(COUNTIF(AI62,"*P*"),COUNTIF(AI62,"*V*")),IF(COUNTIF(AI62,"*R*"),SUBSTITUTE(SUBSTITUTE(AI62,"P",""),"R","S"),SUBSTITUTE(AI62,"P","")),IF(AND(COUNTIF(AI62,"*P*"),COUNTIF(AI62,"*R*")),SUBSTITUTE(AI62,"R","S"),IF(AND(COUNTIF(AI62,"*V*"),COUNTIF(AI62,"*R*")),SUBSTITUTE(AI62,"R","S"),AI62))),"0",""),"1",""),"2",""),"3",""),"4",""),"5",""),"6",""),"7",""),"8",""),"9","")&amp; Data!CX47),""))</f>
        <v/>
      </c>
      <c r="AJ95" s="41" t="str">
        <f>IF(AND($Y$57=1,AJ62&lt;&gt;""),"O"&amp; Data!CY47,IF(AJ62&lt;&gt;"",IF(OR(COUNTIF(AJ62,"L*"),COUNTIF(AJ62, "X*")),IF(AND(COUNTIF(AJ62,"*P*"),COUNTIF(AJ62,"*V*")),IF(COUNTIF(AJ62,"*R*"),SUBSTITUTE(SUBSTITUTE(AJ62,"P",""),"R","S")&amp; Data!CY47,SUBSTITUTE(AJ62,"P","")&amp; Data!CY47),IF(AND(COUNTIF(AJ62,"*P*"),COUNTIF(AJ62,"*R*")),SUBSTITUTE(AJ62,"R","S")&amp;Data!CY47,IF(AND(COUNTIF(AJ62,"*V*"),COUNTIF(AJ62,"*R*")),SUBSTITUTE(AJ62,"R","S")&amp;Data!CY47,AJ62 &amp; Data!CY47))),SUBSTITUTE(SUBSTITUTE(SUBSTITUTE(SUBSTITUTE(SUBSTITUTE(SUBSTITUTE(SUBSTITUTE(SUBSTITUTE(SUBSTITUTE(SUBSTITUTE(IF(AND(COUNTIF(AJ62,"*P*"),COUNTIF(AJ62,"*V*")),IF(COUNTIF(AJ62,"*R*"),SUBSTITUTE(SUBSTITUTE(AJ62,"P",""),"R","S"),SUBSTITUTE(AJ62,"P","")),IF(AND(COUNTIF(AJ62,"*P*"),COUNTIF(AJ62,"*R*")),SUBSTITUTE(AJ62,"R","S"),IF(AND(COUNTIF(AJ62,"*V*"),COUNTIF(AJ62,"*R*")),SUBSTITUTE(AJ62,"R","S"),AJ62))),"0",""),"1",""),"2",""),"3",""),"4",""),"5",""),"6",""),"7",""),"8",""),"9","")&amp; Data!CY47),""))</f>
        <v/>
      </c>
      <c r="AP95" s="99">
        <f>IF(Data!CX61&gt;0,IF(Data!CX61&lt;&gt;"", Data!CX61, " ")," ")</f>
        <v>2</v>
      </c>
      <c r="AQ95" s="99" t="str">
        <f>IF(AR58+AR59+AR60+AR61=0,"",AR58+AR59+AR60+AR61)</f>
        <v/>
      </c>
      <c r="AR95" s="99">
        <f>IF(Data!GK3&gt;0,IF(Data!GK3&lt;&gt;"",Data!GK3," ")," ")</f>
        <v>1608</v>
      </c>
      <c r="AS95" s="99">
        <f>IF(Data!GG3&gt;0,IF(Data!GG3&lt;&gt;"",Data!GG3," ")," ")</f>
        <v>1130197</v>
      </c>
      <c r="AT95" s="99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CT182  0.018</v>
      </c>
      <c r="AU95" s="99" t="str">
        <f>IF(AND(Data!GR3&lt;&gt;"",Data!GR3&lt;&gt;0),Data!GR3,"")</f>
        <v/>
      </c>
      <c r="AV95" s="99" t="str">
        <f>IF(AR59+AR61=0,"",AR59+AR61)</f>
        <v/>
      </c>
      <c r="AW95" s="99" t="str">
        <f t="shared" ref="AW95:AW100" si="13">IF(IFERROR(AQ95-AV95,AQ95)=0,"",IFERROR(AQ95-AV95,AQ95))</f>
        <v/>
      </c>
      <c r="AX95" s="100"/>
    </row>
    <row r="96" spans="1:61" ht="24" customHeight="1" thickBot="1" x14ac:dyDescent="0.4">
      <c r="A96" s="1196"/>
      <c r="B96" s="22">
        <v>3</v>
      </c>
      <c r="C96" s="41" t="str">
        <f>IF(AND($Y$57=1,C63&lt;&gt;""),"O"&amp; Data!BR48,IF(C63&lt;&gt;"",IF(OR(COUNTIF(C63,"L*"),COUNTIF(C63, "X*")),IF(AND(COUNTIF(C63,"*P*"),COUNTIF(C63,"*V*")),IF(COUNTIF(C63,"*R*"),SUBSTITUTE(SUBSTITUTE(C63,"P",""),"R","S")&amp; Data!BR48,SUBSTITUTE(C63,"P","")&amp; Data!BR48),IF(AND(COUNTIF(C63,"*P*"),COUNTIF(C63,"*R*")),SUBSTITUTE(C63,"R","S")&amp;Data!BR48,IF(AND(COUNTIF(C63,"*V*"),COUNTIF(C63,"*R*")),SUBSTITUTE(C63,"R","S")&amp;Data!BR48,C63 &amp; Data!BR48))),SUBSTITUTE(SUBSTITUTE(SUBSTITUTE(SUBSTITUTE(SUBSTITUTE(SUBSTITUTE(SUBSTITUTE(SUBSTITUTE(SUBSTITUTE(SUBSTITUTE(IF(AND(COUNTIF(C63,"*P*"),COUNTIF(C63,"*V*")),IF(COUNTIF(C63,"*R*"),SUBSTITUTE(SUBSTITUTE(C63,"P",""),"R","S"),SUBSTITUTE(C63,"P","")),IF(AND(COUNTIF(C63,"*P*"),COUNTIF(C63,"*R*")),SUBSTITUTE(C63,"R","S"),IF(AND(COUNTIF(C63,"*V*"),COUNTIF(C63,"*R*")),SUBSTITUTE(C63,"R","S"),C63))),"0",""),"1",""),"2",""),"3",""),"4",""),"5",""),"6",""),"7",""),"8",""),"9","")&amp; Data!BR48),""))</f>
        <v/>
      </c>
      <c r="D96" s="41" t="str">
        <f>IF(AND($Y$57=1,D63&lt;&gt;""),"O"&amp; Data!BS48,IF(D63&lt;&gt;"",IF(OR(COUNTIF(D63,"L*"),COUNTIF(D63, "X*")),IF(AND(COUNTIF(D63,"*P*"),COUNTIF(D63,"*V*")),IF(COUNTIF(D63,"*R*"),SUBSTITUTE(SUBSTITUTE(D63,"P",""),"R","S")&amp; Data!BS48,SUBSTITUTE(D63,"P","")&amp; Data!BS48),IF(AND(COUNTIF(D63,"*P*"),COUNTIF(D63,"*R*")),SUBSTITUTE(D63,"R","S")&amp;Data!BS48,IF(AND(COUNTIF(D63,"*V*"),COUNTIF(D63,"*R*")),SUBSTITUTE(D63,"R","S")&amp;Data!BS48,D63 &amp; Data!BS48))),SUBSTITUTE(SUBSTITUTE(SUBSTITUTE(SUBSTITUTE(SUBSTITUTE(SUBSTITUTE(SUBSTITUTE(SUBSTITUTE(SUBSTITUTE(SUBSTITUTE(IF(AND(COUNTIF(D63,"*P*"),COUNTIF(D63,"*V*")),IF(COUNTIF(D63,"*R*"),SUBSTITUTE(SUBSTITUTE(D63,"P",""),"R","S"),SUBSTITUTE(D63,"P","")),IF(AND(COUNTIF(D63,"*P*"),COUNTIF(D63,"*R*")),SUBSTITUTE(D63,"R","S"),IF(AND(COUNTIF(D63,"*V*"),COUNTIF(D63,"*R*")),SUBSTITUTE(D63,"R","S"),D63))),"0",""),"1",""),"2",""),"3",""),"4",""),"5",""),"6",""),"7",""),"8",""),"9","")&amp; Data!BS48),""))</f>
        <v/>
      </c>
      <c r="E96" s="41" t="str">
        <f>IF(AND($Y$57=1,E63&lt;&gt;""),"O"&amp; Data!BT48,IF(E63&lt;&gt;"",IF(OR(COUNTIF(E63,"L*"),COUNTIF(E63, "X*")),IF(AND(COUNTIF(E63,"*P*"),COUNTIF(E63,"*V*")),IF(COUNTIF(E63,"*R*"),SUBSTITUTE(SUBSTITUTE(E63,"P",""),"R","S")&amp; Data!BT48,SUBSTITUTE(E63,"P","")&amp; Data!BT48),IF(AND(COUNTIF(E63,"*P*"),COUNTIF(E63,"*R*")),SUBSTITUTE(E63,"R","S")&amp;Data!BT48,IF(AND(COUNTIF(E63,"*V*"),COUNTIF(E63,"*R*")),SUBSTITUTE(E63,"R","S")&amp;Data!BT48,E63 &amp; Data!BT48))),SUBSTITUTE(SUBSTITUTE(SUBSTITUTE(SUBSTITUTE(SUBSTITUTE(SUBSTITUTE(SUBSTITUTE(SUBSTITUTE(SUBSTITUTE(SUBSTITUTE(IF(AND(COUNTIF(E63,"*P*"),COUNTIF(E63,"*V*")),IF(COUNTIF(E63,"*R*"),SUBSTITUTE(SUBSTITUTE(E63,"P",""),"R","S"),SUBSTITUTE(E63,"P","")),IF(AND(COUNTIF(E63,"*P*"),COUNTIF(E63,"*R*")),SUBSTITUTE(E63,"R","S"),IF(AND(COUNTIF(E63,"*V*"),COUNTIF(E63,"*R*")),SUBSTITUTE(E63,"R","S"),E63))),"0",""),"1",""),"2",""),"3",""),"4",""),"5",""),"6",""),"7",""),"8",""),"9","")&amp; Data!BT48),""))</f>
        <v/>
      </c>
      <c r="F96" s="41" t="str">
        <f>IF(AND($Y$57=1,F63&lt;&gt;""),"O"&amp; Data!BU48,IF(F63&lt;&gt;"",IF(OR(COUNTIF(F63,"L*"),COUNTIF(F63, "X*")),IF(AND(COUNTIF(F63,"*P*"),COUNTIF(F63,"*V*")),IF(COUNTIF(F63,"*R*"),SUBSTITUTE(SUBSTITUTE(F63,"P",""),"R","S")&amp; Data!BU48,SUBSTITUTE(F63,"P","")&amp; Data!BU48),IF(AND(COUNTIF(F63,"*P*"),COUNTIF(F63,"*R*")),SUBSTITUTE(F63,"R","S")&amp;Data!BU48,IF(AND(COUNTIF(F63,"*V*"),COUNTIF(F63,"*R*")),SUBSTITUTE(F63,"R","S")&amp;Data!BU48,F63 &amp; Data!BU48))),SUBSTITUTE(SUBSTITUTE(SUBSTITUTE(SUBSTITUTE(SUBSTITUTE(SUBSTITUTE(SUBSTITUTE(SUBSTITUTE(SUBSTITUTE(SUBSTITUTE(IF(AND(COUNTIF(F63,"*P*"),COUNTIF(F63,"*V*")),IF(COUNTIF(F63,"*R*"),SUBSTITUTE(SUBSTITUTE(F63,"P",""),"R","S"),SUBSTITUTE(F63,"P","")),IF(AND(COUNTIF(F63,"*P*"),COUNTIF(F63,"*R*")),SUBSTITUTE(F63,"R","S"),IF(AND(COUNTIF(F63,"*V*"),COUNTIF(F63,"*R*")),SUBSTITUTE(F63,"R","S"),F63))),"0",""),"1",""),"2",""),"3",""),"4",""),"5",""),"6",""),"7",""),"8",""),"9","")&amp; Data!BU48),""))</f>
        <v/>
      </c>
      <c r="G96" s="41" t="str">
        <f>IF(AND($Y$57=1,G63&lt;&gt;""),"O"&amp; Data!BV48,IF(G63&lt;&gt;"",IF(OR(COUNTIF(G63,"L*"),COUNTIF(G63, "X*")),IF(AND(COUNTIF(G63,"*P*"),COUNTIF(G63,"*V*")),IF(COUNTIF(G63,"*R*"),SUBSTITUTE(SUBSTITUTE(G63,"P",""),"R","S")&amp; Data!BV48,SUBSTITUTE(G63,"P","")&amp; Data!BV48),IF(AND(COUNTIF(G63,"*P*"),COUNTIF(G63,"*R*")),SUBSTITUTE(G63,"R","S")&amp;Data!BV48,IF(AND(COUNTIF(G63,"*V*"),COUNTIF(G63,"*R*")),SUBSTITUTE(G63,"R","S")&amp;Data!BV48,G63 &amp; Data!BV48))),SUBSTITUTE(SUBSTITUTE(SUBSTITUTE(SUBSTITUTE(SUBSTITUTE(SUBSTITUTE(SUBSTITUTE(SUBSTITUTE(SUBSTITUTE(SUBSTITUTE(IF(AND(COUNTIF(G63,"*P*"),COUNTIF(G63,"*V*")),IF(COUNTIF(G63,"*R*"),SUBSTITUTE(SUBSTITUTE(G63,"P",""),"R","S"),SUBSTITUTE(G63,"P","")),IF(AND(COUNTIF(G63,"*P*"),COUNTIF(G63,"*R*")),SUBSTITUTE(G63,"R","S"),IF(AND(COUNTIF(G63,"*V*"),COUNTIF(G63,"*R*")),SUBSTITUTE(G63,"R","S"),G63))),"0",""),"1",""),"2",""),"3",""),"4",""),"5",""),"6",""),"7",""),"8",""),"9","")&amp; Data!BV48),""))</f>
        <v/>
      </c>
      <c r="H96" s="41" t="str">
        <f>IF(AND($Y$57=1,H63&lt;&gt;""),"O"&amp; Data!BW48,IF(H63&lt;&gt;"",IF(OR(COUNTIF(H63,"L*"),COUNTIF(H63, "X*")),IF(AND(COUNTIF(H63,"*P*"),COUNTIF(H63,"*V*")),IF(COUNTIF(H63,"*R*"),SUBSTITUTE(SUBSTITUTE(H63,"P",""),"R","S")&amp; Data!BW48,SUBSTITUTE(H63,"P","")&amp; Data!BW48),IF(AND(COUNTIF(H63,"*P*"),COUNTIF(H63,"*R*")),SUBSTITUTE(H63,"R","S")&amp;Data!BW48,IF(AND(COUNTIF(H63,"*V*"),COUNTIF(H63,"*R*")),SUBSTITUTE(H63,"R","S")&amp;Data!BW48,H63 &amp; Data!BW48))),SUBSTITUTE(SUBSTITUTE(SUBSTITUTE(SUBSTITUTE(SUBSTITUTE(SUBSTITUTE(SUBSTITUTE(SUBSTITUTE(SUBSTITUTE(SUBSTITUTE(IF(AND(COUNTIF(H63,"*P*"),COUNTIF(H63,"*V*")),IF(COUNTIF(H63,"*R*"),SUBSTITUTE(SUBSTITUTE(H63,"P",""),"R","S"),SUBSTITUTE(H63,"P","")),IF(AND(COUNTIF(H63,"*P*"),COUNTIF(H63,"*R*")),SUBSTITUTE(H63,"R","S"),IF(AND(COUNTIF(H63,"*V*"),COUNTIF(H63,"*R*")),SUBSTITUTE(H63,"R","S"),H63))),"0",""),"1",""),"2",""),"3",""),"4",""),"5",""),"6",""),"7",""),"8",""),"9","")&amp; Data!BW48),""))</f>
        <v/>
      </c>
      <c r="I96" s="41" t="str">
        <f>IF(AND($Y$57=1,I63&lt;&gt;""),"O"&amp; Data!BX48,IF(I63&lt;&gt;"",IF(OR(COUNTIF(I63,"L*"),COUNTIF(I63, "X*")),IF(AND(COUNTIF(I63,"*P*"),COUNTIF(I63,"*V*")),IF(COUNTIF(I63,"*R*"),SUBSTITUTE(SUBSTITUTE(I63,"P",""),"R","S")&amp; Data!BX48,SUBSTITUTE(I63,"P","")&amp; Data!BX48),IF(AND(COUNTIF(I63,"*P*"),COUNTIF(I63,"*R*")),SUBSTITUTE(I63,"R","S")&amp;Data!BX48,IF(AND(COUNTIF(I63,"*V*"),COUNTIF(I63,"*R*")),SUBSTITUTE(I63,"R","S")&amp;Data!BX48,I63 &amp; Data!BX48))),SUBSTITUTE(SUBSTITUTE(SUBSTITUTE(SUBSTITUTE(SUBSTITUTE(SUBSTITUTE(SUBSTITUTE(SUBSTITUTE(SUBSTITUTE(SUBSTITUTE(IF(AND(COUNTIF(I63,"*P*"),COUNTIF(I63,"*V*")),IF(COUNTIF(I63,"*R*"),SUBSTITUTE(SUBSTITUTE(I63,"P",""),"R","S"),SUBSTITUTE(I63,"P","")),IF(AND(COUNTIF(I63,"*P*"),COUNTIF(I63,"*R*")),SUBSTITUTE(I63,"R","S"),IF(AND(COUNTIF(I63,"*V*"),COUNTIF(I63,"*R*")),SUBSTITUTE(I63,"R","S"),I63))),"0",""),"1",""),"2",""),"3",""),"4",""),"5",""),"6",""),"7",""),"8",""),"9","")&amp; Data!BX48),""))</f>
        <v/>
      </c>
      <c r="J96" s="41" t="str">
        <f>IF(AND($Y$57=1,J63&lt;&gt;""),"O"&amp; Data!BY48,IF(J63&lt;&gt;"",IF(OR(COUNTIF(J63,"L*"),COUNTIF(J63, "X*")),IF(AND(COUNTIF(J63,"*P*"),COUNTIF(J63,"*V*")),IF(COUNTIF(J63,"*R*"),SUBSTITUTE(SUBSTITUTE(J63,"P",""),"R","S")&amp; Data!BY48,SUBSTITUTE(J63,"P","")&amp; Data!BY48),IF(AND(COUNTIF(J63,"*P*"),COUNTIF(J63,"*R*")),SUBSTITUTE(J63,"R","S")&amp;Data!BY48,IF(AND(COUNTIF(J63,"*V*"),COUNTIF(J63,"*R*")),SUBSTITUTE(J63,"R","S")&amp;Data!BY48,J63 &amp; Data!BY48))),SUBSTITUTE(SUBSTITUTE(SUBSTITUTE(SUBSTITUTE(SUBSTITUTE(SUBSTITUTE(SUBSTITUTE(SUBSTITUTE(SUBSTITUTE(SUBSTITUTE(IF(AND(COUNTIF(J63,"*P*"),COUNTIF(J63,"*V*")),IF(COUNTIF(J63,"*R*"),SUBSTITUTE(SUBSTITUTE(J63,"P",""),"R","S"),SUBSTITUTE(J63,"P","")),IF(AND(COUNTIF(J63,"*P*"),COUNTIF(J63,"*R*")),SUBSTITUTE(J63,"R","S"),IF(AND(COUNTIF(J63,"*V*"),COUNTIF(J63,"*R*")),SUBSTITUTE(J63,"R","S"),J63))),"0",""),"1",""),"2",""),"3",""),"4",""),"5",""),"6",""),"7",""),"8",""),"9","")&amp; Data!BY48),""))</f>
        <v/>
      </c>
      <c r="K96" s="41" t="str">
        <f>IF(AND($Y$57=1,K63&lt;&gt;""),"O"&amp; Data!BZ48,IF(K63&lt;&gt;"",IF(OR(COUNTIF(K63,"L*"),COUNTIF(K63, "X*")),IF(AND(COUNTIF(K63,"*P*"),COUNTIF(K63,"*V*")),IF(COUNTIF(K63,"*R*"),SUBSTITUTE(SUBSTITUTE(K63,"P",""),"R","S")&amp; Data!BZ48,SUBSTITUTE(K63,"P","")&amp; Data!BZ48),IF(AND(COUNTIF(K63,"*P*"),COUNTIF(K63,"*R*")),SUBSTITUTE(K63,"R","S")&amp;Data!BZ48,IF(AND(COUNTIF(K63,"*V*"),COUNTIF(K63,"*R*")),SUBSTITUTE(K63,"R","S")&amp;Data!BZ48,K63 &amp; Data!BZ48))),SUBSTITUTE(SUBSTITUTE(SUBSTITUTE(SUBSTITUTE(SUBSTITUTE(SUBSTITUTE(SUBSTITUTE(SUBSTITUTE(SUBSTITUTE(SUBSTITUTE(IF(AND(COUNTIF(K63,"*P*"),COUNTIF(K63,"*V*")),IF(COUNTIF(K63,"*R*"),SUBSTITUTE(SUBSTITUTE(K63,"P",""),"R","S"),SUBSTITUTE(K63,"P","")),IF(AND(COUNTIF(K63,"*P*"),COUNTIF(K63,"*R*")),SUBSTITUTE(K63,"R","S"),IF(AND(COUNTIF(K63,"*V*"),COUNTIF(K63,"*R*")),SUBSTITUTE(K63,"R","S"),K63))),"0",""),"1",""),"2",""),"3",""),"4",""),"5",""),"6",""),"7",""),"8",""),"9","")&amp; Data!BZ48),""))</f>
        <v/>
      </c>
      <c r="L96" s="41" t="str">
        <f>IF(AND($Y$57=1,L63&lt;&gt;""),"O"&amp; Data!CA48,IF(L63&lt;&gt;"",IF(OR(COUNTIF(L63,"L*"),COUNTIF(L63, "X*")),IF(AND(COUNTIF(L63,"*P*"),COUNTIF(L63,"*V*")),IF(COUNTIF(L63,"*R*"),SUBSTITUTE(SUBSTITUTE(L63,"P",""),"R","S")&amp; Data!CA48,SUBSTITUTE(L63,"P","")&amp; Data!CA48),IF(AND(COUNTIF(L63,"*P*"),COUNTIF(L63,"*R*")),SUBSTITUTE(L63,"R","S")&amp;Data!CA48,IF(AND(COUNTIF(L63,"*V*"),COUNTIF(L63,"*R*")),SUBSTITUTE(L63,"R","S")&amp;Data!CA48,L63 &amp; Data!CA48))),SUBSTITUTE(SUBSTITUTE(SUBSTITUTE(SUBSTITUTE(SUBSTITUTE(SUBSTITUTE(SUBSTITUTE(SUBSTITUTE(SUBSTITUTE(SUBSTITUTE(IF(AND(COUNTIF(L63,"*P*"),COUNTIF(L63,"*V*")),IF(COUNTIF(L63,"*R*"),SUBSTITUTE(SUBSTITUTE(L63,"P",""),"R","S"),SUBSTITUTE(L63,"P","")),IF(AND(COUNTIF(L63,"*P*"),COUNTIF(L63,"*R*")),SUBSTITUTE(L63,"R","S"),IF(AND(COUNTIF(L63,"*V*"),COUNTIF(L63,"*R*")),SUBSTITUTE(L63,"R","S"),L63))),"0",""),"1",""),"2",""),"3",""),"4",""),"5",""),"6",""),"7",""),"8",""),"9","")&amp; Data!CA48),""))</f>
        <v/>
      </c>
      <c r="M96" s="41" t="str">
        <f>IF(AND($Y$57=1,M63&lt;&gt;""),"O"&amp; Data!CB48,IF(M63&lt;&gt;"",IF(OR(COUNTIF(M63,"L*"),COUNTIF(M63, "X*")),IF(AND(COUNTIF(M63,"*P*"),COUNTIF(M63,"*V*")),IF(COUNTIF(M63,"*R*"),SUBSTITUTE(SUBSTITUTE(M63,"P",""),"R","S")&amp; Data!CB48,SUBSTITUTE(M63,"P","")&amp; Data!CB48),IF(AND(COUNTIF(M63,"*P*"),COUNTIF(M63,"*R*")),SUBSTITUTE(M63,"R","S")&amp;Data!CB48,IF(AND(COUNTIF(M63,"*V*"),COUNTIF(M63,"*R*")),SUBSTITUTE(M63,"R","S")&amp;Data!CB48,M63 &amp; Data!CB48))),SUBSTITUTE(SUBSTITUTE(SUBSTITUTE(SUBSTITUTE(SUBSTITUTE(SUBSTITUTE(SUBSTITUTE(SUBSTITUTE(SUBSTITUTE(SUBSTITUTE(IF(AND(COUNTIF(M63,"*P*"),COUNTIF(M63,"*V*")),IF(COUNTIF(M63,"*R*"),SUBSTITUTE(SUBSTITUTE(M63,"P",""),"R","S"),SUBSTITUTE(M63,"P","")),IF(AND(COUNTIF(M63,"*P*"),COUNTIF(M63,"*R*")),SUBSTITUTE(M63,"R","S"),IF(AND(COUNTIF(M63,"*V*"),COUNTIF(M63,"*R*")),SUBSTITUTE(M63,"R","S"),M63))),"0",""),"1",""),"2",""),"3",""),"4",""),"5",""),"6",""),"7",""),"8",""),"9","")&amp; Data!CB48),""))</f>
        <v/>
      </c>
      <c r="N96" s="41" t="str">
        <f>IF(AND($Y$57=1,N63&lt;&gt;""),"O"&amp; Data!CC48,IF(N63&lt;&gt;"",IF(OR(COUNTIF(N63,"L*"),COUNTIF(N63, "X*")),IF(AND(COUNTIF(N63,"*P*"),COUNTIF(N63,"*V*")),IF(COUNTIF(N63,"*R*"),SUBSTITUTE(SUBSTITUTE(N63,"P",""),"R","S")&amp; Data!CC48,SUBSTITUTE(N63,"P","")&amp; Data!CC48),IF(AND(COUNTIF(N63,"*P*"),COUNTIF(N63,"*R*")),SUBSTITUTE(N63,"R","S")&amp;Data!CC48,IF(AND(COUNTIF(N63,"*V*"),COUNTIF(N63,"*R*")),SUBSTITUTE(N63,"R","S")&amp;Data!CC48,N63 &amp; Data!CC48))),SUBSTITUTE(SUBSTITUTE(SUBSTITUTE(SUBSTITUTE(SUBSTITUTE(SUBSTITUTE(SUBSTITUTE(SUBSTITUTE(SUBSTITUTE(SUBSTITUTE(IF(AND(COUNTIF(N63,"*P*"),COUNTIF(N63,"*V*")),IF(COUNTIF(N63,"*R*"),SUBSTITUTE(SUBSTITUTE(N63,"P",""),"R","S"),SUBSTITUTE(N63,"P","")),IF(AND(COUNTIF(N63,"*P*"),COUNTIF(N63,"*R*")),SUBSTITUTE(N63,"R","S"),IF(AND(COUNTIF(N63,"*V*"),COUNTIF(N63,"*R*")),SUBSTITUTE(N63,"R","S"),N63))),"0",""),"1",""),"2",""),"3",""),"4",""),"5",""),"6",""),"7",""),"8",""),"9","")&amp; Data!CC48),""))</f>
        <v/>
      </c>
      <c r="O96" s="41" t="str">
        <f>IF(AND($Y$57=1,O63&lt;&gt;""),"O"&amp; Data!CD48,IF(O63&lt;&gt;"",IF(OR(COUNTIF(O63,"L*"),COUNTIF(O63, "X*")),IF(AND(COUNTIF(O63,"*P*"),COUNTIF(O63,"*V*")),IF(COUNTIF(O63,"*R*"),SUBSTITUTE(SUBSTITUTE(O63,"P",""),"R","S")&amp; Data!CD48,SUBSTITUTE(O63,"P","")&amp; Data!CD48),IF(AND(COUNTIF(O63,"*P*"),COUNTIF(O63,"*R*")),SUBSTITUTE(O63,"R","S")&amp;Data!CD48,IF(AND(COUNTIF(O63,"*V*"),COUNTIF(O63,"*R*")),SUBSTITUTE(O63,"R","S")&amp;Data!CD48,O63 &amp; Data!CD48))),SUBSTITUTE(SUBSTITUTE(SUBSTITUTE(SUBSTITUTE(SUBSTITUTE(SUBSTITUTE(SUBSTITUTE(SUBSTITUTE(SUBSTITUTE(SUBSTITUTE(IF(AND(COUNTIF(O63,"*P*"),COUNTIF(O63,"*V*")),IF(COUNTIF(O63,"*R*"),SUBSTITUTE(SUBSTITUTE(O63,"P",""),"R","S"),SUBSTITUTE(O63,"P","")),IF(AND(COUNTIF(O63,"*P*"),COUNTIF(O63,"*R*")),SUBSTITUTE(O63,"R","S"),IF(AND(COUNTIF(O63,"*V*"),COUNTIF(O63,"*R*")),SUBSTITUTE(O63,"R","S"),O63))),"0",""),"1",""),"2",""),"3",""),"4",""),"5",""),"6",""),"7",""),"8",""),"9","")&amp; Data!CD48),""))</f>
        <v/>
      </c>
      <c r="P96" s="41" t="str">
        <f>IF(AND($Y$57=1,P63&lt;&gt;""),"O"&amp; Data!CE48,IF(P63&lt;&gt;"",IF(OR(COUNTIF(P63,"L*"),COUNTIF(P63, "X*")),IF(AND(COUNTIF(P63,"*P*"),COUNTIF(P63,"*V*")),IF(COUNTIF(P63,"*R*"),SUBSTITUTE(SUBSTITUTE(P63,"P",""),"R","S")&amp; Data!CE48,SUBSTITUTE(P63,"P","")&amp; Data!CE48),IF(AND(COUNTIF(P63,"*P*"),COUNTIF(P63,"*R*")),SUBSTITUTE(P63,"R","S")&amp;Data!CE48,IF(AND(COUNTIF(P63,"*V*"),COUNTIF(P63,"*R*")),SUBSTITUTE(P63,"R","S")&amp;Data!CE48,P63 &amp; Data!CE48))),SUBSTITUTE(SUBSTITUTE(SUBSTITUTE(SUBSTITUTE(SUBSTITUTE(SUBSTITUTE(SUBSTITUTE(SUBSTITUTE(SUBSTITUTE(SUBSTITUTE(IF(AND(COUNTIF(P63,"*P*"),COUNTIF(P63,"*V*")),IF(COUNTIF(P63,"*R*"),SUBSTITUTE(SUBSTITUTE(P63,"P",""),"R","S"),SUBSTITUTE(P63,"P","")),IF(AND(COUNTIF(P63,"*P*"),COUNTIF(P63,"*R*")),SUBSTITUTE(P63,"R","S"),IF(AND(COUNTIF(P63,"*V*"),COUNTIF(P63,"*R*")),SUBSTITUTE(P63,"R","S"),P63))),"0",""),"1",""),"2",""),"3",""),"4",""),"5",""),"6",""),"7",""),"8",""),"9","")&amp; Data!CE48),""))</f>
        <v/>
      </c>
      <c r="Q96" s="41" t="str">
        <f>IF(AND($Y$57=1,Q63&lt;&gt;""),"O"&amp; Data!CF48,IF(Q63&lt;&gt;"",IF(OR(COUNTIF(Q63,"L*"),COUNTIF(Q63, "X*")),IF(AND(COUNTIF(Q63,"*P*"),COUNTIF(Q63,"*V*")),IF(COUNTIF(Q63,"*R*"),SUBSTITUTE(SUBSTITUTE(Q63,"P",""),"R","S")&amp; Data!CF48,SUBSTITUTE(Q63,"P","")&amp; Data!CF48),IF(AND(COUNTIF(Q63,"*P*"),COUNTIF(Q63,"*R*")),SUBSTITUTE(Q63,"R","S")&amp;Data!CF48,IF(AND(COUNTIF(Q63,"*V*"),COUNTIF(Q63,"*R*")),SUBSTITUTE(Q63,"R","S")&amp;Data!CF48,Q63 &amp; Data!CF48))),SUBSTITUTE(SUBSTITUTE(SUBSTITUTE(SUBSTITUTE(SUBSTITUTE(SUBSTITUTE(SUBSTITUTE(SUBSTITUTE(SUBSTITUTE(SUBSTITUTE(IF(AND(COUNTIF(Q63,"*P*"),COUNTIF(Q63,"*V*")),IF(COUNTIF(Q63,"*R*"),SUBSTITUTE(SUBSTITUTE(Q63,"P",""),"R","S"),SUBSTITUTE(Q63,"P","")),IF(AND(COUNTIF(Q63,"*P*"),COUNTIF(Q63,"*R*")),SUBSTITUTE(Q63,"R","S"),IF(AND(COUNTIF(Q63,"*V*"),COUNTIF(Q63,"*R*")),SUBSTITUTE(Q63,"R","S"),Q63))),"0",""),"1",""),"2",""),"3",""),"4",""),"5",""),"6",""),"7",""),"8",""),"9","")&amp; Data!CF48),""))</f>
        <v/>
      </c>
      <c r="R96" s="41" t="str">
        <f>IF(AND($Y$57=1,R63&lt;&gt;""),"O"&amp; Data!CG48,IF(R63&lt;&gt;"",IF(OR(COUNTIF(R63,"L*"),COUNTIF(R63, "X*")),IF(AND(COUNTIF(R63,"*P*"),COUNTIF(R63,"*V*")),IF(COUNTIF(R63,"*R*"),SUBSTITUTE(SUBSTITUTE(R63,"P",""),"R","S")&amp; Data!CG48,SUBSTITUTE(R63,"P","")&amp; Data!CG48),IF(AND(COUNTIF(R63,"*P*"),COUNTIF(R63,"*R*")),SUBSTITUTE(R63,"R","S")&amp;Data!CG48,IF(AND(COUNTIF(R63,"*V*"),COUNTIF(R63,"*R*")),SUBSTITUTE(R63,"R","S")&amp;Data!CG48,R63 &amp; Data!CG48))),SUBSTITUTE(SUBSTITUTE(SUBSTITUTE(SUBSTITUTE(SUBSTITUTE(SUBSTITUTE(SUBSTITUTE(SUBSTITUTE(SUBSTITUTE(SUBSTITUTE(IF(AND(COUNTIF(R63,"*P*"),COUNTIF(R63,"*V*")),IF(COUNTIF(R63,"*R*"),SUBSTITUTE(SUBSTITUTE(R63,"P",""),"R","S"),SUBSTITUTE(R63,"P","")),IF(AND(COUNTIF(R63,"*P*"),COUNTIF(R63,"*R*")),SUBSTITUTE(R63,"R","S"),IF(AND(COUNTIF(R63,"*V*"),COUNTIF(R63,"*R*")),SUBSTITUTE(R63,"R","S"),R63))),"0",""),"1",""),"2",""),"3",""),"4",""),"5",""),"6",""),"7",""),"8",""),"9","")&amp; Data!CG48),""))</f>
        <v/>
      </c>
      <c r="S96" s="41" t="str">
        <f>IF(AND($Y$57=1,S63&lt;&gt;""),"O"&amp; Data!CH48,IF(S63&lt;&gt;"",IF(OR(COUNTIF(S63,"L*"),COUNTIF(S63, "X*")),IF(AND(COUNTIF(S63,"*P*"),COUNTIF(S63,"*V*")),IF(COUNTIF(S63,"*R*"),SUBSTITUTE(SUBSTITUTE(S63,"P",""),"R","S")&amp; Data!CH48,SUBSTITUTE(S63,"P","")&amp; Data!CH48),IF(AND(COUNTIF(S63,"*P*"),COUNTIF(S63,"*R*")),SUBSTITUTE(S63,"R","S")&amp;Data!CH48,IF(AND(COUNTIF(S63,"*V*"),COUNTIF(S63,"*R*")),SUBSTITUTE(S63,"R","S")&amp;Data!CH48,S63 &amp; Data!CH48))),SUBSTITUTE(SUBSTITUTE(SUBSTITUTE(SUBSTITUTE(SUBSTITUTE(SUBSTITUTE(SUBSTITUTE(SUBSTITUTE(SUBSTITUTE(SUBSTITUTE(IF(AND(COUNTIF(S63,"*P*"),COUNTIF(S63,"*V*")),IF(COUNTIF(S63,"*R*"),SUBSTITUTE(SUBSTITUTE(S63,"P",""),"R","S"),SUBSTITUTE(S63,"P","")),IF(AND(COUNTIF(S63,"*P*"),COUNTIF(S63,"*R*")),SUBSTITUTE(S63,"R","S"),IF(AND(COUNTIF(S63,"*V*"),COUNTIF(S63,"*R*")),SUBSTITUTE(S63,"R","S"),S63))),"0",""),"1",""),"2",""),"3",""),"4",""),"5",""),"6",""),"7",""),"8",""),"9","")&amp; Data!CH48),""))</f>
        <v/>
      </c>
      <c r="T96" s="41" t="str">
        <f>IF(AND($Y$57=1,T63&lt;&gt;""),"O"&amp; Data!CI48,IF(T63&lt;&gt;"",IF(OR(COUNTIF(T63,"L*"),COUNTIF(T63, "X*")),IF(AND(COUNTIF(T63,"*P*"),COUNTIF(T63,"*V*")),IF(COUNTIF(T63,"*R*"),SUBSTITUTE(SUBSTITUTE(T63,"P",""),"R","S")&amp; Data!CI48,SUBSTITUTE(T63,"P","")&amp; Data!CI48),IF(AND(COUNTIF(T63,"*P*"),COUNTIF(T63,"*R*")),SUBSTITUTE(T63,"R","S")&amp;Data!CI48,IF(AND(COUNTIF(T63,"*V*"),COUNTIF(T63,"*R*")),SUBSTITUTE(T63,"R","S")&amp;Data!CI48,T63 &amp; Data!CI48))),SUBSTITUTE(SUBSTITUTE(SUBSTITUTE(SUBSTITUTE(SUBSTITUTE(SUBSTITUTE(SUBSTITUTE(SUBSTITUTE(SUBSTITUTE(SUBSTITUTE(IF(AND(COUNTIF(T63,"*P*"),COUNTIF(T63,"*V*")),IF(COUNTIF(T63,"*R*"),SUBSTITUTE(SUBSTITUTE(T63,"P",""),"R","S"),SUBSTITUTE(T63,"P","")),IF(AND(COUNTIF(T63,"*P*"),COUNTIF(T63,"*R*")),SUBSTITUTE(T63,"R","S"),IF(AND(COUNTIF(T63,"*V*"),COUNTIF(T63,"*R*")),SUBSTITUTE(T63,"R","S"),T63))),"0",""),"1",""),"2",""),"3",""),"4",""),"5",""),"6",""),"7",""),"8",""),"9","")&amp; Data!CI48),""))</f>
        <v/>
      </c>
      <c r="U96" s="41" t="str">
        <f>IF(AND($Y$57=1,U63&lt;&gt;""),"O"&amp; Data!CJ48,IF(U63&lt;&gt;"",IF(OR(COUNTIF(U63,"L*"),COUNTIF(U63, "X*")),IF(AND(COUNTIF(U63,"*P*"),COUNTIF(U63,"*V*")),IF(COUNTIF(U63,"*R*"),SUBSTITUTE(SUBSTITUTE(U63,"P",""),"R","S")&amp; Data!CJ48,SUBSTITUTE(U63,"P","")&amp; Data!CJ48),IF(AND(COUNTIF(U63,"*P*"),COUNTIF(U63,"*R*")),SUBSTITUTE(U63,"R","S")&amp;Data!CJ48,IF(AND(COUNTIF(U63,"*V*"),COUNTIF(U63,"*R*")),SUBSTITUTE(U63,"R","S")&amp;Data!CJ48,U63 &amp; Data!CJ48))),SUBSTITUTE(SUBSTITUTE(SUBSTITUTE(SUBSTITUTE(SUBSTITUTE(SUBSTITUTE(SUBSTITUTE(SUBSTITUTE(SUBSTITUTE(SUBSTITUTE(IF(AND(COUNTIF(U63,"*P*"),COUNTIF(U63,"*V*")),IF(COUNTIF(U63,"*R*"),SUBSTITUTE(SUBSTITUTE(U63,"P",""),"R","S"),SUBSTITUTE(U63,"P","")),IF(AND(COUNTIF(U63,"*P*"),COUNTIF(U63,"*R*")),SUBSTITUTE(U63,"R","S"),IF(AND(COUNTIF(U63,"*V*"),COUNTIF(U63,"*R*")),SUBSTITUTE(U63,"R","S"),U63))),"0",""),"1",""),"2",""),"3",""),"4",""),"5",""),"6",""),"7",""),"8",""),"9","")&amp; Data!CJ48),""))</f>
        <v/>
      </c>
      <c r="V96" s="41" t="str">
        <f>IF(AND($Y$57=1,V63&lt;&gt;""),"O"&amp; Data!CK48,IF(V63&lt;&gt;"",IF(OR(COUNTIF(V63,"L*"),COUNTIF(V63, "X*")),IF(AND(COUNTIF(V63,"*P*"),COUNTIF(V63,"*V*")),IF(COUNTIF(V63,"*R*"),SUBSTITUTE(SUBSTITUTE(V63,"P",""),"R","S")&amp; Data!CK48,SUBSTITUTE(V63,"P","")&amp; Data!CK48),IF(AND(COUNTIF(V63,"*P*"),COUNTIF(V63,"*R*")),SUBSTITUTE(V63,"R","S")&amp;Data!CK48,IF(AND(COUNTIF(V63,"*V*"),COUNTIF(V63,"*R*")),SUBSTITUTE(V63,"R","S")&amp;Data!CK48,V63 &amp; Data!CK48))),SUBSTITUTE(SUBSTITUTE(SUBSTITUTE(SUBSTITUTE(SUBSTITUTE(SUBSTITUTE(SUBSTITUTE(SUBSTITUTE(SUBSTITUTE(SUBSTITUTE(IF(AND(COUNTIF(V63,"*P*"),COUNTIF(V63,"*V*")),IF(COUNTIF(V63,"*R*"),SUBSTITUTE(SUBSTITUTE(V63,"P",""),"R","S"),SUBSTITUTE(V63,"P","")),IF(AND(COUNTIF(V63,"*P*"),COUNTIF(V63,"*R*")),SUBSTITUTE(V63,"R","S"),IF(AND(COUNTIF(V63,"*V*"),COUNTIF(V63,"*R*")),SUBSTITUTE(V63,"R","S"),V63))),"0",""),"1",""),"2",""),"3",""),"4",""),"5",""),"6",""),"7",""),"8",""),"9","")&amp; Data!CK48),""))</f>
        <v/>
      </c>
      <c r="W96" s="41" t="str">
        <f>IF(AND($Y$57=1,W63&lt;&gt;""),"O"&amp; Data!CL48,IF(W63&lt;&gt;"",IF(OR(COUNTIF(W63,"L*"),COUNTIF(W63, "X*")),IF(AND(COUNTIF(W63,"*P*"),COUNTIF(W63,"*V*")),IF(COUNTIF(W63,"*R*"),SUBSTITUTE(SUBSTITUTE(W63,"P",""),"R","S")&amp; Data!CL48,SUBSTITUTE(W63,"P","")&amp; Data!CL48),IF(AND(COUNTIF(W63,"*P*"),COUNTIF(W63,"*R*")),SUBSTITUTE(W63,"R","S")&amp;Data!CL48,IF(AND(COUNTIF(W63,"*V*"),COUNTIF(W63,"*R*")),SUBSTITUTE(W63,"R","S")&amp;Data!CL48,W63 &amp; Data!CL48))),SUBSTITUTE(SUBSTITUTE(SUBSTITUTE(SUBSTITUTE(SUBSTITUTE(SUBSTITUTE(SUBSTITUTE(SUBSTITUTE(SUBSTITUTE(SUBSTITUTE(IF(AND(COUNTIF(W63,"*P*"),COUNTIF(W63,"*V*")),IF(COUNTIF(W63,"*R*"),SUBSTITUTE(SUBSTITUTE(W63,"P",""),"R","S"),SUBSTITUTE(W63,"P","")),IF(AND(COUNTIF(W63,"*P*"),COUNTIF(W63,"*R*")),SUBSTITUTE(W63,"R","S"),IF(AND(COUNTIF(W63,"*V*"),COUNTIF(W63,"*R*")),SUBSTITUTE(W63,"R","S"),W63))),"0",""),"1",""),"2",""),"3",""),"4",""),"5",""),"6",""),"7",""),"8",""),"9","")&amp; Data!CL48),""))</f>
        <v/>
      </c>
      <c r="X96" s="41" t="str">
        <f>IF(AND($Y$57=1,X63&lt;&gt;""),"O"&amp; Data!CM48,IF(X63&lt;&gt;"",IF(OR(COUNTIF(X63,"L*"),COUNTIF(X63, "X*")),IF(AND(COUNTIF(X63,"*P*"),COUNTIF(X63,"*V*")),IF(COUNTIF(X63,"*R*"),SUBSTITUTE(SUBSTITUTE(X63,"P",""),"R","S")&amp; Data!CM48,SUBSTITUTE(X63,"P","")&amp; Data!CM48),IF(AND(COUNTIF(X63,"*P*"),COUNTIF(X63,"*R*")),SUBSTITUTE(X63,"R","S")&amp;Data!CM48,IF(AND(COUNTIF(X63,"*V*"),COUNTIF(X63,"*R*")),SUBSTITUTE(X63,"R","S")&amp;Data!CM48,X63 &amp; Data!CM48))),SUBSTITUTE(SUBSTITUTE(SUBSTITUTE(SUBSTITUTE(SUBSTITUTE(SUBSTITUTE(SUBSTITUTE(SUBSTITUTE(SUBSTITUTE(SUBSTITUTE(IF(AND(COUNTIF(X63,"*P*"),COUNTIF(X63,"*V*")),IF(COUNTIF(X63,"*R*"),SUBSTITUTE(SUBSTITUTE(X63,"P",""),"R","S"),SUBSTITUTE(X63,"P","")),IF(AND(COUNTIF(X63,"*P*"),COUNTIF(X63,"*R*")),SUBSTITUTE(X63,"R","S"),IF(AND(COUNTIF(X63,"*V*"),COUNTIF(X63,"*R*")),SUBSTITUTE(X63,"R","S"),X63))),"0",""),"1",""),"2",""),"3",""),"4",""),"5",""),"6",""),"7",""),"8",""),"9","")&amp; Data!CM48),""))</f>
        <v/>
      </c>
      <c r="Y96" s="41" t="str">
        <f>IF(AND($Y$57=1,Y63&lt;&gt;""),"O"&amp; Data!CN48,IF(Y63&lt;&gt;"",IF(OR(COUNTIF(Y63,"L*"),COUNTIF(Y63, "X*")),IF(AND(COUNTIF(Y63,"*P*"),COUNTIF(Y63,"*V*")),IF(COUNTIF(Y63,"*R*"),SUBSTITUTE(SUBSTITUTE(Y63,"P",""),"R","S")&amp; Data!CN48,SUBSTITUTE(Y63,"P","")&amp; Data!CN48),IF(AND(COUNTIF(Y63,"*P*"),COUNTIF(Y63,"*R*")),SUBSTITUTE(Y63,"R","S")&amp;Data!CN48,IF(AND(COUNTIF(Y63,"*V*"),COUNTIF(Y63,"*R*")),SUBSTITUTE(Y63,"R","S")&amp;Data!CN48,Y63 &amp; Data!CN48))),SUBSTITUTE(SUBSTITUTE(SUBSTITUTE(SUBSTITUTE(SUBSTITUTE(SUBSTITUTE(SUBSTITUTE(SUBSTITUTE(SUBSTITUTE(SUBSTITUTE(IF(AND(COUNTIF(Y63,"*P*"),COUNTIF(Y63,"*V*")),IF(COUNTIF(Y63,"*R*"),SUBSTITUTE(SUBSTITUTE(Y63,"P",""),"R","S"),SUBSTITUTE(Y63,"P","")),IF(AND(COUNTIF(Y63,"*P*"),COUNTIF(Y63,"*R*")),SUBSTITUTE(Y63,"R","S"),IF(AND(COUNTIF(Y63,"*V*"),COUNTIF(Y63,"*R*")),SUBSTITUTE(Y63,"R","S"),Y63))),"0",""),"1",""),"2",""),"3",""),"4",""),"5",""),"6",""),"7",""),"8",""),"9","")&amp; Data!CN48),""))</f>
        <v/>
      </c>
      <c r="Z96" s="41" t="str">
        <f>IF(AND($Y$57=1,Z63&lt;&gt;""),"O"&amp; Data!CO48,IF(Z63&lt;&gt;"",IF(OR(COUNTIF(Z63,"L*"),COUNTIF(Z63, "X*")),IF(AND(COUNTIF(Z63,"*P*"),COUNTIF(Z63,"*V*")),IF(COUNTIF(Z63,"*R*"),SUBSTITUTE(SUBSTITUTE(Z63,"P",""),"R","S")&amp; Data!CO48,SUBSTITUTE(Z63,"P","")&amp; Data!CO48),IF(AND(COUNTIF(Z63,"*P*"),COUNTIF(Z63,"*R*")),SUBSTITUTE(Z63,"R","S")&amp;Data!CO48,IF(AND(COUNTIF(Z63,"*V*"),COUNTIF(Z63,"*R*")),SUBSTITUTE(Z63,"R","S")&amp;Data!CO48,Z63 &amp; Data!CO48))),SUBSTITUTE(SUBSTITUTE(SUBSTITUTE(SUBSTITUTE(SUBSTITUTE(SUBSTITUTE(SUBSTITUTE(SUBSTITUTE(SUBSTITUTE(SUBSTITUTE(IF(AND(COUNTIF(Z63,"*P*"),COUNTIF(Z63,"*V*")),IF(COUNTIF(Z63,"*R*"),SUBSTITUTE(SUBSTITUTE(Z63,"P",""),"R","S"),SUBSTITUTE(Z63,"P","")),IF(AND(COUNTIF(Z63,"*P*"),COUNTIF(Z63,"*R*")),SUBSTITUTE(Z63,"R","S"),IF(AND(COUNTIF(Z63,"*V*"),COUNTIF(Z63,"*R*")),SUBSTITUTE(Z63,"R","S"),Z63))),"0",""),"1",""),"2",""),"3",""),"4",""),"5",""),"6",""),"7",""),"8",""),"9","")&amp; Data!CO48),""))</f>
        <v/>
      </c>
      <c r="AA96" s="41" t="str">
        <f>IF(AND($Y$57=1,AA63&lt;&gt;""),"O"&amp; Data!CP48,IF(AA63&lt;&gt;"",IF(OR(COUNTIF(AA63,"L*"),COUNTIF(AA63, "X*")),IF(AND(COUNTIF(AA63,"*P*"),COUNTIF(AA63,"*V*")),IF(COUNTIF(AA63,"*R*"),SUBSTITUTE(SUBSTITUTE(AA63,"P",""),"R","S")&amp; Data!CP48,SUBSTITUTE(AA63,"P","")&amp; Data!CP48),IF(AND(COUNTIF(AA63,"*P*"),COUNTIF(AA63,"*R*")),SUBSTITUTE(AA63,"R","S")&amp;Data!CP48,IF(AND(COUNTIF(AA63,"*V*"),COUNTIF(AA63,"*R*")),SUBSTITUTE(AA63,"R","S")&amp;Data!CP48,AA63 &amp; Data!CP48))),SUBSTITUTE(SUBSTITUTE(SUBSTITUTE(SUBSTITUTE(SUBSTITUTE(SUBSTITUTE(SUBSTITUTE(SUBSTITUTE(SUBSTITUTE(SUBSTITUTE(IF(AND(COUNTIF(AA63,"*P*"),COUNTIF(AA63,"*V*")),IF(COUNTIF(AA63,"*R*"),SUBSTITUTE(SUBSTITUTE(AA63,"P",""),"R","S"),SUBSTITUTE(AA63,"P","")),IF(AND(COUNTIF(AA63,"*P*"),COUNTIF(AA63,"*R*")),SUBSTITUTE(AA63,"R","S"),IF(AND(COUNTIF(AA63,"*V*"),COUNTIF(AA63,"*R*")),SUBSTITUTE(AA63,"R","S"),AA63))),"0",""),"1",""),"2",""),"3",""),"4",""),"5",""),"6",""),"7",""),"8",""),"9","")&amp; Data!CP48),""))</f>
        <v/>
      </c>
      <c r="AB96" s="41" t="str">
        <f>IF(AND($Y$57=1,AB63&lt;&gt;""),"O"&amp; Data!CQ48,IF(AB63&lt;&gt;"",IF(OR(COUNTIF(AB63,"L*"),COUNTIF(AB63, "X*")),IF(AND(COUNTIF(AB63,"*P*"),COUNTIF(AB63,"*V*")),IF(COUNTIF(AB63,"*R*"),SUBSTITUTE(SUBSTITUTE(AB63,"P",""),"R","S")&amp; Data!CQ48,SUBSTITUTE(AB63,"P","")&amp; Data!CQ48),IF(AND(COUNTIF(AB63,"*P*"),COUNTIF(AB63,"*R*")),SUBSTITUTE(AB63,"R","S")&amp;Data!CQ48,IF(AND(COUNTIF(AB63,"*V*"),COUNTIF(AB63,"*R*")),SUBSTITUTE(AB63,"R","S")&amp;Data!CQ48,AB63 &amp; Data!CQ48))),SUBSTITUTE(SUBSTITUTE(SUBSTITUTE(SUBSTITUTE(SUBSTITUTE(SUBSTITUTE(SUBSTITUTE(SUBSTITUTE(SUBSTITUTE(SUBSTITUTE(IF(AND(COUNTIF(AB63,"*P*"),COUNTIF(AB63,"*V*")),IF(COUNTIF(AB63,"*R*"),SUBSTITUTE(SUBSTITUTE(AB63,"P",""),"R","S"),SUBSTITUTE(AB63,"P","")),IF(AND(COUNTIF(AB63,"*P*"),COUNTIF(AB63,"*R*")),SUBSTITUTE(AB63,"R","S"),IF(AND(COUNTIF(AB63,"*V*"),COUNTIF(AB63,"*R*")),SUBSTITUTE(AB63,"R","S"),AB63))),"0",""),"1",""),"2",""),"3",""),"4",""),"5",""),"6",""),"7",""),"8",""),"9","")&amp; Data!CQ48),""))</f>
        <v/>
      </c>
      <c r="AC96" s="41" t="str">
        <f>IF(AND($Y$57=1,AC63&lt;&gt;""),"O"&amp; Data!CR48,IF(AC63&lt;&gt;"",IF(OR(COUNTIF(AC63,"L*"),COUNTIF(AC63, "X*")),IF(AND(COUNTIF(AC63,"*P*"),COUNTIF(AC63,"*V*")),IF(COUNTIF(AC63,"*R*"),SUBSTITUTE(SUBSTITUTE(AC63,"P",""),"R","S")&amp; Data!CR48,SUBSTITUTE(AC63,"P","")&amp; Data!CR48),IF(AND(COUNTIF(AC63,"*P*"),COUNTIF(AC63,"*R*")),SUBSTITUTE(AC63,"R","S")&amp;Data!CR48,IF(AND(COUNTIF(AC63,"*V*"),COUNTIF(AC63,"*R*")),SUBSTITUTE(AC63,"R","S")&amp;Data!CR48,AC63 &amp; Data!CR48))),SUBSTITUTE(SUBSTITUTE(SUBSTITUTE(SUBSTITUTE(SUBSTITUTE(SUBSTITUTE(SUBSTITUTE(SUBSTITUTE(SUBSTITUTE(SUBSTITUTE(IF(AND(COUNTIF(AC63,"*P*"),COUNTIF(AC63,"*V*")),IF(COUNTIF(AC63,"*R*"),SUBSTITUTE(SUBSTITUTE(AC63,"P",""),"R","S"),SUBSTITUTE(AC63,"P","")),IF(AND(COUNTIF(AC63,"*P*"),COUNTIF(AC63,"*R*")),SUBSTITUTE(AC63,"R","S"),IF(AND(COUNTIF(AC63,"*V*"),COUNTIF(AC63,"*R*")),SUBSTITUTE(AC63,"R","S"),AC63))),"0",""),"1",""),"2",""),"3",""),"4",""),"5",""),"6",""),"7",""),"8",""),"9","")&amp; Data!CR48),""))</f>
        <v/>
      </c>
      <c r="AD96" s="41" t="str">
        <f>IF(AND($Y$57=1,AD63&lt;&gt;""),"O"&amp; Data!CS48,IF(AD63&lt;&gt;"",IF(OR(COUNTIF(AD63,"L*"),COUNTIF(AD63, "X*")),IF(AND(COUNTIF(AD63,"*P*"),COUNTIF(AD63,"*V*")),IF(COUNTIF(AD63,"*R*"),SUBSTITUTE(SUBSTITUTE(AD63,"P",""),"R","S")&amp; Data!CS48,SUBSTITUTE(AD63,"P","")&amp; Data!CS48),IF(AND(COUNTIF(AD63,"*P*"),COUNTIF(AD63,"*R*")),SUBSTITUTE(AD63,"R","S")&amp;Data!CS48,IF(AND(COUNTIF(AD63,"*V*"),COUNTIF(AD63,"*R*")),SUBSTITUTE(AD63,"R","S")&amp;Data!CS48,AD63 &amp; Data!CS48))),SUBSTITUTE(SUBSTITUTE(SUBSTITUTE(SUBSTITUTE(SUBSTITUTE(SUBSTITUTE(SUBSTITUTE(SUBSTITUTE(SUBSTITUTE(SUBSTITUTE(IF(AND(COUNTIF(AD63,"*P*"),COUNTIF(AD63,"*V*")),IF(COUNTIF(AD63,"*R*"),SUBSTITUTE(SUBSTITUTE(AD63,"P",""),"R","S"),SUBSTITUTE(AD63,"P","")),IF(AND(COUNTIF(AD63,"*P*"),COUNTIF(AD63,"*R*")),SUBSTITUTE(AD63,"R","S"),IF(AND(COUNTIF(AD63,"*V*"),COUNTIF(AD63,"*R*")),SUBSTITUTE(AD63,"R","S"),AD63))),"0",""),"1",""),"2",""),"3",""),"4",""),"5",""),"6",""),"7",""),"8",""),"9","")&amp; Data!CS48),""))</f>
        <v/>
      </c>
      <c r="AE96" s="41" t="str">
        <f>IF(AND($Y$57=1,AE63&lt;&gt;""),"O"&amp; Data!CT48,IF(AE63&lt;&gt;"",IF(OR(COUNTIF(AE63,"L*"),COUNTIF(AE63, "X*")),IF(AND(COUNTIF(AE63,"*P*"),COUNTIF(AE63,"*V*")),IF(COUNTIF(AE63,"*R*"),SUBSTITUTE(SUBSTITUTE(AE63,"P",""),"R","S")&amp; Data!CT48,SUBSTITUTE(AE63,"P","")&amp; Data!CT48),IF(AND(COUNTIF(AE63,"*P*"),COUNTIF(AE63,"*R*")),SUBSTITUTE(AE63,"R","S")&amp;Data!CT48,IF(AND(COUNTIF(AE63,"*V*"),COUNTIF(AE63,"*R*")),SUBSTITUTE(AE63,"R","S")&amp;Data!CT48,AE63 &amp; Data!CT48))),SUBSTITUTE(SUBSTITUTE(SUBSTITUTE(SUBSTITUTE(SUBSTITUTE(SUBSTITUTE(SUBSTITUTE(SUBSTITUTE(SUBSTITUTE(SUBSTITUTE(IF(AND(COUNTIF(AE63,"*P*"),COUNTIF(AE63,"*V*")),IF(COUNTIF(AE63,"*R*"),SUBSTITUTE(SUBSTITUTE(AE63,"P",""),"R","S"),SUBSTITUTE(AE63,"P","")),IF(AND(COUNTIF(AE63,"*P*"),COUNTIF(AE63,"*R*")),SUBSTITUTE(AE63,"R","S"),IF(AND(COUNTIF(AE63,"*V*"),COUNTIF(AE63,"*R*")),SUBSTITUTE(AE63,"R","S"),AE63))),"0",""),"1",""),"2",""),"3",""),"4",""),"5",""),"6",""),"7",""),"8",""),"9","")&amp; Data!CT48),""))</f>
        <v/>
      </c>
      <c r="AF96" s="41" t="str">
        <f>IF(AND($Y$57=1,AF63&lt;&gt;""),"O"&amp; Data!CU48,IF(AF63&lt;&gt;"",IF(OR(COUNTIF(AF63,"L*"),COUNTIF(AF63, "X*")),IF(AND(COUNTIF(AF63,"*P*"),COUNTIF(AF63,"*V*")),IF(COUNTIF(AF63,"*R*"),SUBSTITUTE(SUBSTITUTE(AF63,"P",""),"R","S")&amp; Data!CU48,SUBSTITUTE(AF63,"P","")&amp; Data!CU48),IF(AND(COUNTIF(AF63,"*P*"),COUNTIF(AF63,"*R*")),SUBSTITUTE(AF63,"R","S")&amp;Data!CU48,IF(AND(COUNTIF(AF63,"*V*"),COUNTIF(AF63,"*R*")),SUBSTITUTE(AF63,"R","S")&amp;Data!CU48,AF63 &amp; Data!CU48))),SUBSTITUTE(SUBSTITUTE(SUBSTITUTE(SUBSTITUTE(SUBSTITUTE(SUBSTITUTE(SUBSTITUTE(SUBSTITUTE(SUBSTITUTE(SUBSTITUTE(IF(AND(COUNTIF(AF63,"*P*"),COUNTIF(AF63,"*V*")),IF(COUNTIF(AF63,"*R*"),SUBSTITUTE(SUBSTITUTE(AF63,"P",""),"R","S"),SUBSTITUTE(AF63,"P","")),IF(AND(COUNTIF(AF63,"*P*"),COUNTIF(AF63,"*R*")),SUBSTITUTE(AF63,"R","S"),IF(AND(COUNTIF(AF63,"*V*"),COUNTIF(AF63,"*R*")),SUBSTITUTE(AF63,"R","S"),AF63))),"0",""),"1",""),"2",""),"3",""),"4",""),"5",""),"6",""),"7",""),"8",""),"9","")&amp; Data!CU48),""))</f>
        <v/>
      </c>
      <c r="AG96" s="41" t="str">
        <f>IF(AND($Y$57=1,AG63&lt;&gt;""),"O"&amp; Data!CV48,IF(AG63&lt;&gt;"",IF(OR(COUNTIF(AG63,"L*"),COUNTIF(AG63, "X*")),IF(AND(COUNTIF(AG63,"*P*"),COUNTIF(AG63,"*V*")),IF(COUNTIF(AG63,"*R*"),SUBSTITUTE(SUBSTITUTE(AG63,"P",""),"R","S")&amp; Data!CV48,SUBSTITUTE(AG63,"P","")&amp; Data!CV48),IF(AND(COUNTIF(AG63,"*P*"),COUNTIF(AG63,"*R*")),SUBSTITUTE(AG63,"R","S")&amp;Data!CV48,IF(AND(COUNTIF(AG63,"*V*"),COUNTIF(AG63,"*R*")),SUBSTITUTE(AG63,"R","S")&amp;Data!CV48,AG63 &amp; Data!CV48))),SUBSTITUTE(SUBSTITUTE(SUBSTITUTE(SUBSTITUTE(SUBSTITUTE(SUBSTITUTE(SUBSTITUTE(SUBSTITUTE(SUBSTITUTE(SUBSTITUTE(IF(AND(COUNTIF(AG63,"*P*"),COUNTIF(AG63,"*V*")),IF(COUNTIF(AG63,"*R*"),SUBSTITUTE(SUBSTITUTE(AG63,"P",""),"R","S"),SUBSTITUTE(AG63,"P","")),IF(AND(COUNTIF(AG63,"*P*"),COUNTIF(AG63,"*R*")),SUBSTITUTE(AG63,"R","S"),IF(AND(COUNTIF(AG63,"*V*"),COUNTIF(AG63,"*R*")),SUBSTITUTE(AG63,"R","S"),AG63))),"0",""),"1",""),"2",""),"3",""),"4",""),"5",""),"6",""),"7",""),"8",""),"9","")&amp; Data!CV48),""))</f>
        <v/>
      </c>
      <c r="AH96" s="41" t="str">
        <f>IF(AND($Y$57=1,AH63&lt;&gt;""),"O"&amp; Data!CW48,IF(AH63&lt;&gt;"",IF(OR(COUNTIF(AH63,"L*"),COUNTIF(AH63, "X*")),IF(AND(COUNTIF(AH63,"*P*"),COUNTIF(AH63,"*V*")),IF(COUNTIF(AH63,"*R*"),SUBSTITUTE(SUBSTITUTE(AH63,"P",""),"R","S")&amp; Data!CW48,SUBSTITUTE(AH63,"P","")&amp; Data!CW48),IF(AND(COUNTIF(AH63,"*P*"),COUNTIF(AH63,"*R*")),SUBSTITUTE(AH63,"R","S")&amp;Data!CW48,IF(AND(COUNTIF(AH63,"*V*"),COUNTIF(AH63,"*R*")),SUBSTITUTE(AH63,"R","S")&amp;Data!CW48,AH63 &amp; Data!CW48))),SUBSTITUTE(SUBSTITUTE(SUBSTITUTE(SUBSTITUTE(SUBSTITUTE(SUBSTITUTE(SUBSTITUTE(SUBSTITUTE(SUBSTITUTE(SUBSTITUTE(IF(AND(COUNTIF(AH63,"*P*"),COUNTIF(AH63,"*V*")),IF(COUNTIF(AH63,"*R*"),SUBSTITUTE(SUBSTITUTE(AH63,"P",""),"R","S"),SUBSTITUTE(AH63,"P","")),IF(AND(COUNTIF(AH63,"*P*"),COUNTIF(AH63,"*R*")),SUBSTITUTE(AH63,"R","S"),IF(AND(COUNTIF(AH63,"*V*"),COUNTIF(AH63,"*R*")),SUBSTITUTE(AH63,"R","S"),AH63))),"0",""),"1",""),"2",""),"3",""),"4",""),"5",""),"6",""),"7",""),"8",""),"9","")&amp; Data!CW48),""))</f>
        <v/>
      </c>
      <c r="AI96" s="41" t="str">
        <f>IF(AND($Y$57=1,AI63&lt;&gt;""),"O"&amp; Data!CX48,IF(AI63&lt;&gt;"",IF(OR(COUNTIF(AI63,"L*"),COUNTIF(AI63, "X*")),IF(AND(COUNTIF(AI63,"*P*"),COUNTIF(AI63,"*V*")),IF(COUNTIF(AI63,"*R*"),SUBSTITUTE(SUBSTITUTE(AI63,"P",""),"R","S")&amp; Data!CX48,SUBSTITUTE(AI63,"P","")&amp; Data!CX48),IF(AND(COUNTIF(AI63,"*P*"),COUNTIF(AI63,"*R*")),SUBSTITUTE(AI63,"R","S")&amp;Data!CX48,IF(AND(COUNTIF(AI63,"*V*"),COUNTIF(AI63,"*R*")),SUBSTITUTE(AI63,"R","S")&amp;Data!CX48,AI63 &amp; Data!CX48))),SUBSTITUTE(SUBSTITUTE(SUBSTITUTE(SUBSTITUTE(SUBSTITUTE(SUBSTITUTE(SUBSTITUTE(SUBSTITUTE(SUBSTITUTE(SUBSTITUTE(IF(AND(COUNTIF(AI63,"*P*"),COUNTIF(AI63,"*V*")),IF(COUNTIF(AI63,"*R*"),SUBSTITUTE(SUBSTITUTE(AI63,"P",""),"R","S"),SUBSTITUTE(AI63,"P","")),IF(AND(COUNTIF(AI63,"*P*"),COUNTIF(AI63,"*R*")),SUBSTITUTE(AI63,"R","S"),IF(AND(COUNTIF(AI63,"*V*"),COUNTIF(AI63,"*R*")),SUBSTITUTE(AI63,"R","S"),AI63))),"0",""),"1",""),"2",""),"3",""),"4",""),"5",""),"6",""),"7",""),"8",""),"9","")&amp; Data!CX48),""))</f>
        <v/>
      </c>
      <c r="AJ96" s="41" t="str">
        <f>IF(AND($Y$57=1,AJ63&lt;&gt;""),"O"&amp; Data!CY48,IF(AJ63&lt;&gt;"",IF(OR(COUNTIF(AJ63,"L*"),COUNTIF(AJ63, "X*")),IF(AND(COUNTIF(AJ63,"*P*"),COUNTIF(AJ63,"*V*")),IF(COUNTIF(AJ63,"*R*"),SUBSTITUTE(SUBSTITUTE(AJ63,"P",""),"R","S")&amp; Data!CY48,SUBSTITUTE(AJ63,"P","")&amp; Data!CY48),IF(AND(COUNTIF(AJ63,"*P*"),COUNTIF(AJ63,"*R*")),SUBSTITUTE(AJ63,"R","S")&amp;Data!CY48,IF(AND(COUNTIF(AJ63,"*V*"),COUNTIF(AJ63,"*R*")),SUBSTITUTE(AJ63,"R","S")&amp;Data!CY48,AJ63 &amp; Data!CY48))),SUBSTITUTE(SUBSTITUTE(SUBSTITUTE(SUBSTITUTE(SUBSTITUTE(SUBSTITUTE(SUBSTITUTE(SUBSTITUTE(SUBSTITUTE(SUBSTITUTE(IF(AND(COUNTIF(AJ63,"*P*"),COUNTIF(AJ63,"*V*")),IF(COUNTIF(AJ63,"*R*"),SUBSTITUTE(SUBSTITUTE(AJ63,"P",""),"R","S"),SUBSTITUTE(AJ63,"P","")),IF(AND(COUNTIF(AJ63,"*P*"),COUNTIF(AJ63,"*R*")),SUBSTITUTE(AJ63,"R","S"),IF(AND(COUNTIF(AJ63,"*V*"),COUNTIF(AJ63,"*R*")),SUBSTITUTE(AJ63,"R","S"),AJ63))),"0",""),"1",""),"2",""),"3",""),"4",""),"5",""),"6",""),"7",""),"8",""),"9","")&amp; Data!CY48),""))</f>
        <v/>
      </c>
      <c r="AP96" s="99">
        <f>IF(Data!CX62&gt;0,IF(Data!CX62&lt;&gt;"", Data!CX62, " ")," ")</f>
        <v>3</v>
      </c>
      <c r="AQ96" s="99" t="str">
        <f>IF(AS58+AS59+AS60+AS61=0,"",AS58+AS59+AS60+AS61)</f>
        <v/>
      </c>
      <c r="AR96" s="99">
        <f>IF(Data!GK4&gt;0,IF(Data!GK4&lt;&gt;"",Data!GK4," ")," ")</f>
        <v>1308</v>
      </c>
      <c r="AS96" s="99">
        <f>IF(Data!GG4&gt;0,IF(Data!GG4&lt;&gt;"",Data!GG4," ")," ")</f>
        <v>418525</v>
      </c>
      <c r="AT96" s="99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AU96" s="99" t="str">
        <f>IF(AND(Data!GR4&lt;&gt;"",Data!GR4&lt;&gt;0),Data!GR4,"")</f>
        <v/>
      </c>
      <c r="AV96" s="99" t="str">
        <f>IF(AS59+AS61=0,"",AS59+AS61)</f>
        <v/>
      </c>
      <c r="AW96" s="99" t="str">
        <f t="shared" si="13"/>
        <v/>
      </c>
      <c r="AX96" s="100"/>
    </row>
    <row r="97" spans="1:54" ht="24" customHeight="1" thickBot="1" x14ac:dyDescent="0.4">
      <c r="A97" s="1196"/>
      <c r="B97" s="22">
        <v>4</v>
      </c>
      <c r="C97" s="41" t="str">
        <f>IF(AND($Y$57=1,C64&lt;&gt;""),"O"&amp; Data!BR49,IF(C64&lt;&gt;"",IF(OR(COUNTIF(C64,"L*"),COUNTIF(C64, "X*")),IF(AND(COUNTIF(C64,"*P*"),COUNTIF(C64,"*V*")),IF(COUNTIF(C64,"*R*"),SUBSTITUTE(SUBSTITUTE(C64,"P",""),"R","S")&amp; Data!BR49,SUBSTITUTE(C64,"P","")&amp; Data!BR49),IF(AND(COUNTIF(C64,"*P*"),COUNTIF(C64,"*R*")),SUBSTITUTE(C64,"R","S")&amp;Data!BR49,IF(AND(COUNTIF(C64,"*V*"),COUNTIF(C64,"*R*")),SUBSTITUTE(C64,"R","S")&amp;Data!BR49,C64 &amp; Data!BR49))),SUBSTITUTE(SUBSTITUTE(SUBSTITUTE(SUBSTITUTE(SUBSTITUTE(SUBSTITUTE(SUBSTITUTE(SUBSTITUTE(SUBSTITUTE(SUBSTITUTE(IF(AND(COUNTIF(C64,"*P*"),COUNTIF(C64,"*V*")),IF(COUNTIF(C64,"*R*"),SUBSTITUTE(SUBSTITUTE(C64,"P",""),"R","S"),SUBSTITUTE(C64,"P","")),IF(AND(COUNTIF(C64,"*P*"),COUNTIF(C64,"*R*")),SUBSTITUTE(C64,"R","S"),IF(AND(COUNTIF(C64,"*V*"),COUNTIF(C64,"*R*")),SUBSTITUTE(C64,"R","S"),C64))),"0",""),"1",""),"2",""),"3",""),"4",""),"5",""),"6",""),"7",""),"8",""),"9","")&amp; Data!BR49),""))</f>
        <v/>
      </c>
      <c r="D97" s="41" t="str">
        <f>IF(AND($Y$57=1,D64&lt;&gt;""),"O"&amp; Data!BS49,IF(D64&lt;&gt;"",IF(OR(COUNTIF(D64,"L*"),COUNTIF(D64, "X*")),IF(AND(COUNTIF(D64,"*P*"),COUNTIF(D64,"*V*")),IF(COUNTIF(D64,"*R*"),SUBSTITUTE(SUBSTITUTE(D64,"P",""),"R","S")&amp; Data!BS49,SUBSTITUTE(D64,"P","")&amp; Data!BS49),IF(AND(COUNTIF(D64,"*P*"),COUNTIF(D64,"*R*")),SUBSTITUTE(D64,"R","S")&amp;Data!BS49,IF(AND(COUNTIF(D64,"*V*"),COUNTIF(D64,"*R*")),SUBSTITUTE(D64,"R","S")&amp;Data!BS49,D64 &amp; Data!BS49))),SUBSTITUTE(SUBSTITUTE(SUBSTITUTE(SUBSTITUTE(SUBSTITUTE(SUBSTITUTE(SUBSTITUTE(SUBSTITUTE(SUBSTITUTE(SUBSTITUTE(IF(AND(COUNTIF(D64,"*P*"),COUNTIF(D64,"*V*")),IF(COUNTIF(D64,"*R*"),SUBSTITUTE(SUBSTITUTE(D64,"P",""),"R","S"),SUBSTITUTE(D64,"P","")),IF(AND(COUNTIF(D64,"*P*"),COUNTIF(D64,"*R*")),SUBSTITUTE(D64,"R","S"),IF(AND(COUNTIF(D64,"*V*"),COUNTIF(D64,"*R*")),SUBSTITUTE(D64,"R","S"),D64))),"0",""),"1",""),"2",""),"3",""),"4",""),"5",""),"6",""),"7",""),"8",""),"9","")&amp; Data!BS49),""))</f>
        <v/>
      </c>
      <c r="E97" s="41" t="str">
        <f>IF(AND($Y$57=1,E64&lt;&gt;""),"O"&amp; Data!BT49,IF(E64&lt;&gt;"",IF(OR(COUNTIF(E64,"L*"),COUNTIF(E64, "X*")),IF(AND(COUNTIF(E64,"*P*"),COUNTIF(E64,"*V*")),IF(COUNTIF(E64,"*R*"),SUBSTITUTE(SUBSTITUTE(E64,"P",""),"R","S")&amp; Data!BT49,SUBSTITUTE(E64,"P","")&amp; Data!BT49),IF(AND(COUNTIF(E64,"*P*"),COUNTIF(E64,"*R*")),SUBSTITUTE(E64,"R","S")&amp;Data!BT49,IF(AND(COUNTIF(E64,"*V*"),COUNTIF(E64,"*R*")),SUBSTITUTE(E64,"R","S")&amp;Data!BT49,E64 &amp; Data!BT49))),SUBSTITUTE(SUBSTITUTE(SUBSTITUTE(SUBSTITUTE(SUBSTITUTE(SUBSTITUTE(SUBSTITUTE(SUBSTITUTE(SUBSTITUTE(SUBSTITUTE(IF(AND(COUNTIF(E64,"*P*"),COUNTIF(E64,"*V*")),IF(COUNTIF(E64,"*R*"),SUBSTITUTE(SUBSTITUTE(E64,"P",""),"R","S"),SUBSTITUTE(E64,"P","")),IF(AND(COUNTIF(E64,"*P*"),COUNTIF(E64,"*R*")),SUBSTITUTE(E64,"R","S"),IF(AND(COUNTIF(E64,"*V*"),COUNTIF(E64,"*R*")),SUBSTITUTE(E64,"R","S"),E64))),"0",""),"1",""),"2",""),"3",""),"4",""),"5",""),"6",""),"7",""),"8",""),"9","")&amp; Data!BT49),""))</f>
        <v/>
      </c>
      <c r="F97" s="41" t="str">
        <f>IF(AND($Y$57=1,F64&lt;&gt;""),"O"&amp; Data!BU49,IF(F64&lt;&gt;"",IF(OR(COUNTIF(F64,"L*"),COUNTIF(F64, "X*")),IF(AND(COUNTIF(F64,"*P*"),COUNTIF(F64,"*V*")),IF(COUNTIF(F64,"*R*"),SUBSTITUTE(SUBSTITUTE(F64,"P",""),"R","S")&amp; Data!BU49,SUBSTITUTE(F64,"P","")&amp; Data!BU49),IF(AND(COUNTIF(F64,"*P*"),COUNTIF(F64,"*R*")),SUBSTITUTE(F64,"R","S")&amp;Data!BU49,IF(AND(COUNTIF(F64,"*V*"),COUNTIF(F64,"*R*")),SUBSTITUTE(F64,"R","S")&amp;Data!BU49,F64 &amp; Data!BU49))),SUBSTITUTE(SUBSTITUTE(SUBSTITUTE(SUBSTITUTE(SUBSTITUTE(SUBSTITUTE(SUBSTITUTE(SUBSTITUTE(SUBSTITUTE(SUBSTITUTE(IF(AND(COUNTIF(F64,"*P*"),COUNTIF(F64,"*V*")),IF(COUNTIF(F64,"*R*"),SUBSTITUTE(SUBSTITUTE(F64,"P",""),"R","S"),SUBSTITUTE(F64,"P","")),IF(AND(COUNTIF(F64,"*P*"),COUNTIF(F64,"*R*")),SUBSTITUTE(F64,"R","S"),IF(AND(COUNTIF(F64,"*V*"),COUNTIF(F64,"*R*")),SUBSTITUTE(F64,"R","S"),F64))),"0",""),"1",""),"2",""),"3",""),"4",""),"5",""),"6",""),"7",""),"8",""),"9","")&amp; Data!BU49),""))</f>
        <v/>
      </c>
      <c r="G97" s="41" t="str">
        <f>IF(AND($Y$57=1,G64&lt;&gt;""),"O"&amp; Data!BV49,IF(G64&lt;&gt;"",IF(OR(COUNTIF(G64,"L*"),COUNTIF(G64, "X*")),IF(AND(COUNTIF(G64,"*P*"),COUNTIF(G64,"*V*")),IF(COUNTIF(G64,"*R*"),SUBSTITUTE(SUBSTITUTE(G64,"P",""),"R","S")&amp; Data!BV49,SUBSTITUTE(G64,"P","")&amp; Data!BV49),IF(AND(COUNTIF(G64,"*P*"),COUNTIF(G64,"*R*")),SUBSTITUTE(G64,"R","S")&amp;Data!BV49,IF(AND(COUNTIF(G64,"*V*"),COUNTIF(G64,"*R*")),SUBSTITUTE(G64,"R","S")&amp;Data!BV49,G64 &amp; Data!BV49))),SUBSTITUTE(SUBSTITUTE(SUBSTITUTE(SUBSTITUTE(SUBSTITUTE(SUBSTITUTE(SUBSTITUTE(SUBSTITUTE(SUBSTITUTE(SUBSTITUTE(IF(AND(COUNTIF(G64,"*P*"),COUNTIF(G64,"*V*")),IF(COUNTIF(G64,"*R*"),SUBSTITUTE(SUBSTITUTE(G64,"P",""),"R","S"),SUBSTITUTE(G64,"P","")),IF(AND(COUNTIF(G64,"*P*"),COUNTIF(G64,"*R*")),SUBSTITUTE(G64,"R","S"),IF(AND(COUNTIF(G64,"*V*"),COUNTIF(G64,"*R*")),SUBSTITUTE(G64,"R","S"),G64))),"0",""),"1",""),"2",""),"3",""),"4",""),"5",""),"6",""),"7",""),"8",""),"9","")&amp; Data!BV49),""))</f>
        <v/>
      </c>
      <c r="H97" s="41" t="str">
        <f>IF(AND($Y$57=1,H64&lt;&gt;""),"O"&amp; Data!BW49,IF(H64&lt;&gt;"",IF(OR(COUNTIF(H64,"L*"),COUNTIF(H64, "X*")),IF(AND(COUNTIF(H64,"*P*"),COUNTIF(H64,"*V*")),IF(COUNTIF(H64,"*R*"),SUBSTITUTE(SUBSTITUTE(H64,"P",""),"R","S")&amp; Data!BW49,SUBSTITUTE(H64,"P","")&amp; Data!BW49),IF(AND(COUNTIF(H64,"*P*"),COUNTIF(H64,"*R*")),SUBSTITUTE(H64,"R","S")&amp;Data!BW49,IF(AND(COUNTIF(H64,"*V*"),COUNTIF(H64,"*R*")),SUBSTITUTE(H64,"R","S")&amp;Data!BW49,H64 &amp; Data!BW49))),SUBSTITUTE(SUBSTITUTE(SUBSTITUTE(SUBSTITUTE(SUBSTITUTE(SUBSTITUTE(SUBSTITUTE(SUBSTITUTE(SUBSTITUTE(SUBSTITUTE(IF(AND(COUNTIF(H64,"*P*"),COUNTIF(H64,"*V*")),IF(COUNTIF(H64,"*R*"),SUBSTITUTE(SUBSTITUTE(H64,"P",""),"R","S"),SUBSTITUTE(H64,"P","")),IF(AND(COUNTIF(H64,"*P*"),COUNTIF(H64,"*R*")),SUBSTITUTE(H64,"R","S"),IF(AND(COUNTIF(H64,"*V*"),COUNTIF(H64,"*R*")),SUBSTITUTE(H64,"R","S"),H64))),"0",""),"1",""),"2",""),"3",""),"4",""),"5",""),"6",""),"7",""),"8",""),"9","")&amp; Data!BW49),""))</f>
        <v/>
      </c>
      <c r="I97" s="41" t="str">
        <f>IF(AND($Y$57=1,I64&lt;&gt;""),"O"&amp; Data!BX49,IF(I64&lt;&gt;"",IF(OR(COUNTIF(I64,"L*"),COUNTIF(I64, "X*")),IF(AND(COUNTIF(I64,"*P*"),COUNTIF(I64,"*V*")),IF(COUNTIF(I64,"*R*"),SUBSTITUTE(SUBSTITUTE(I64,"P",""),"R","S")&amp; Data!BX49,SUBSTITUTE(I64,"P","")&amp; Data!BX49),IF(AND(COUNTIF(I64,"*P*"),COUNTIF(I64,"*R*")),SUBSTITUTE(I64,"R","S")&amp;Data!BX49,IF(AND(COUNTIF(I64,"*V*"),COUNTIF(I64,"*R*")),SUBSTITUTE(I64,"R","S")&amp;Data!BX49,I64 &amp; Data!BX49))),SUBSTITUTE(SUBSTITUTE(SUBSTITUTE(SUBSTITUTE(SUBSTITUTE(SUBSTITUTE(SUBSTITUTE(SUBSTITUTE(SUBSTITUTE(SUBSTITUTE(IF(AND(COUNTIF(I64,"*P*"),COUNTIF(I64,"*V*")),IF(COUNTIF(I64,"*R*"),SUBSTITUTE(SUBSTITUTE(I64,"P",""),"R","S"),SUBSTITUTE(I64,"P","")),IF(AND(COUNTIF(I64,"*P*"),COUNTIF(I64,"*R*")),SUBSTITUTE(I64,"R","S"),IF(AND(COUNTIF(I64,"*V*"),COUNTIF(I64,"*R*")),SUBSTITUTE(I64,"R","S"),I64))),"0",""),"1",""),"2",""),"3",""),"4",""),"5",""),"6",""),"7",""),"8",""),"9","")&amp; Data!BX49),""))</f>
        <v/>
      </c>
      <c r="J97" s="41" t="str">
        <f>IF(AND($Y$57=1,J64&lt;&gt;""),"O"&amp; Data!BY49,IF(J64&lt;&gt;"",IF(OR(COUNTIF(J64,"L*"),COUNTIF(J64, "X*")),IF(AND(COUNTIF(J64,"*P*"),COUNTIF(J64,"*V*")),IF(COUNTIF(J64,"*R*"),SUBSTITUTE(SUBSTITUTE(J64,"P",""),"R","S")&amp; Data!BY49,SUBSTITUTE(J64,"P","")&amp; Data!BY49),IF(AND(COUNTIF(J64,"*P*"),COUNTIF(J64,"*R*")),SUBSTITUTE(J64,"R","S")&amp;Data!BY49,IF(AND(COUNTIF(J64,"*V*"),COUNTIF(J64,"*R*")),SUBSTITUTE(J64,"R","S")&amp;Data!BY49,J64 &amp; Data!BY49))),SUBSTITUTE(SUBSTITUTE(SUBSTITUTE(SUBSTITUTE(SUBSTITUTE(SUBSTITUTE(SUBSTITUTE(SUBSTITUTE(SUBSTITUTE(SUBSTITUTE(IF(AND(COUNTIF(J64,"*P*"),COUNTIF(J64,"*V*")),IF(COUNTIF(J64,"*R*"),SUBSTITUTE(SUBSTITUTE(J64,"P",""),"R","S"),SUBSTITUTE(J64,"P","")),IF(AND(COUNTIF(J64,"*P*"),COUNTIF(J64,"*R*")),SUBSTITUTE(J64,"R","S"),IF(AND(COUNTIF(J64,"*V*"),COUNTIF(J64,"*R*")),SUBSTITUTE(J64,"R","S"),J64))),"0",""),"1",""),"2",""),"3",""),"4",""),"5",""),"6",""),"7",""),"8",""),"9","")&amp; Data!BY49),""))</f>
        <v/>
      </c>
      <c r="K97" s="41" t="str">
        <f>IF(AND($Y$57=1,K64&lt;&gt;""),"O"&amp; Data!BZ49,IF(K64&lt;&gt;"",IF(OR(COUNTIF(K64,"L*"),COUNTIF(K64, "X*")),IF(AND(COUNTIF(K64,"*P*"),COUNTIF(K64,"*V*")),IF(COUNTIF(K64,"*R*"),SUBSTITUTE(SUBSTITUTE(K64,"P",""),"R","S")&amp; Data!BZ49,SUBSTITUTE(K64,"P","")&amp; Data!BZ49),IF(AND(COUNTIF(K64,"*P*"),COUNTIF(K64,"*R*")),SUBSTITUTE(K64,"R","S")&amp;Data!BZ49,IF(AND(COUNTIF(K64,"*V*"),COUNTIF(K64,"*R*")),SUBSTITUTE(K64,"R","S")&amp;Data!BZ49,K64 &amp; Data!BZ49))),SUBSTITUTE(SUBSTITUTE(SUBSTITUTE(SUBSTITUTE(SUBSTITUTE(SUBSTITUTE(SUBSTITUTE(SUBSTITUTE(SUBSTITUTE(SUBSTITUTE(IF(AND(COUNTIF(K64,"*P*"),COUNTIF(K64,"*V*")),IF(COUNTIF(K64,"*R*"),SUBSTITUTE(SUBSTITUTE(K64,"P",""),"R","S"),SUBSTITUTE(K64,"P","")),IF(AND(COUNTIF(K64,"*P*"),COUNTIF(K64,"*R*")),SUBSTITUTE(K64,"R","S"),IF(AND(COUNTIF(K64,"*V*"),COUNTIF(K64,"*R*")),SUBSTITUTE(K64,"R","S"),K64))),"0",""),"1",""),"2",""),"3",""),"4",""),"5",""),"6",""),"7",""),"8",""),"9","")&amp; Data!BZ49),""))</f>
        <v/>
      </c>
      <c r="L97" s="41" t="str">
        <f>IF(AND($Y$57=1,L64&lt;&gt;""),"O"&amp; Data!CA49,IF(L64&lt;&gt;"",IF(OR(COUNTIF(L64,"L*"),COUNTIF(L64, "X*")),IF(AND(COUNTIF(L64,"*P*"),COUNTIF(L64,"*V*")),IF(COUNTIF(L64,"*R*"),SUBSTITUTE(SUBSTITUTE(L64,"P",""),"R","S")&amp; Data!CA49,SUBSTITUTE(L64,"P","")&amp; Data!CA49),IF(AND(COUNTIF(L64,"*P*"),COUNTIF(L64,"*R*")),SUBSTITUTE(L64,"R","S")&amp;Data!CA49,IF(AND(COUNTIF(L64,"*V*"),COUNTIF(L64,"*R*")),SUBSTITUTE(L64,"R","S")&amp;Data!CA49,L64 &amp; Data!CA49))),SUBSTITUTE(SUBSTITUTE(SUBSTITUTE(SUBSTITUTE(SUBSTITUTE(SUBSTITUTE(SUBSTITUTE(SUBSTITUTE(SUBSTITUTE(SUBSTITUTE(IF(AND(COUNTIF(L64,"*P*"),COUNTIF(L64,"*V*")),IF(COUNTIF(L64,"*R*"),SUBSTITUTE(SUBSTITUTE(L64,"P",""),"R","S"),SUBSTITUTE(L64,"P","")),IF(AND(COUNTIF(L64,"*P*"),COUNTIF(L64,"*R*")),SUBSTITUTE(L64,"R","S"),IF(AND(COUNTIF(L64,"*V*"),COUNTIF(L64,"*R*")),SUBSTITUTE(L64,"R","S"),L64))),"0",""),"1",""),"2",""),"3",""),"4",""),"5",""),"6",""),"7",""),"8",""),"9","")&amp; Data!CA49),""))</f>
        <v/>
      </c>
      <c r="M97" s="41" t="str">
        <f>IF(AND($Y$57=1,M64&lt;&gt;""),"O"&amp; Data!CB49,IF(M64&lt;&gt;"",IF(OR(COUNTIF(M64,"L*"),COUNTIF(M64, "X*")),IF(AND(COUNTIF(M64,"*P*"),COUNTIF(M64,"*V*")),IF(COUNTIF(M64,"*R*"),SUBSTITUTE(SUBSTITUTE(M64,"P",""),"R","S")&amp; Data!CB49,SUBSTITUTE(M64,"P","")&amp; Data!CB49),IF(AND(COUNTIF(M64,"*P*"),COUNTIF(M64,"*R*")),SUBSTITUTE(M64,"R","S")&amp;Data!CB49,IF(AND(COUNTIF(M64,"*V*"),COUNTIF(M64,"*R*")),SUBSTITUTE(M64,"R","S")&amp;Data!CB49,M64 &amp; Data!CB49))),SUBSTITUTE(SUBSTITUTE(SUBSTITUTE(SUBSTITUTE(SUBSTITUTE(SUBSTITUTE(SUBSTITUTE(SUBSTITUTE(SUBSTITUTE(SUBSTITUTE(IF(AND(COUNTIF(M64,"*P*"),COUNTIF(M64,"*V*")),IF(COUNTIF(M64,"*R*"),SUBSTITUTE(SUBSTITUTE(M64,"P",""),"R","S"),SUBSTITUTE(M64,"P","")),IF(AND(COUNTIF(M64,"*P*"),COUNTIF(M64,"*R*")),SUBSTITUTE(M64,"R","S"),IF(AND(COUNTIF(M64,"*V*"),COUNTIF(M64,"*R*")),SUBSTITUTE(M64,"R","S"),M64))),"0",""),"1",""),"2",""),"3",""),"4",""),"5",""),"6",""),"7",""),"8",""),"9","")&amp; Data!CB49),""))</f>
        <v/>
      </c>
      <c r="N97" s="41" t="str">
        <f>IF(AND($Y$57=1,N64&lt;&gt;""),"O"&amp; Data!CC49,IF(N64&lt;&gt;"",IF(OR(COUNTIF(N64,"L*"),COUNTIF(N64, "X*")),IF(AND(COUNTIF(N64,"*P*"),COUNTIF(N64,"*V*")),IF(COUNTIF(N64,"*R*"),SUBSTITUTE(SUBSTITUTE(N64,"P",""),"R","S")&amp; Data!CC49,SUBSTITUTE(N64,"P","")&amp; Data!CC49),IF(AND(COUNTIF(N64,"*P*"),COUNTIF(N64,"*R*")),SUBSTITUTE(N64,"R","S")&amp;Data!CC49,IF(AND(COUNTIF(N64,"*V*"),COUNTIF(N64,"*R*")),SUBSTITUTE(N64,"R","S")&amp;Data!CC49,N64 &amp; Data!CC49))),SUBSTITUTE(SUBSTITUTE(SUBSTITUTE(SUBSTITUTE(SUBSTITUTE(SUBSTITUTE(SUBSTITUTE(SUBSTITUTE(SUBSTITUTE(SUBSTITUTE(IF(AND(COUNTIF(N64,"*P*"),COUNTIF(N64,"*V*")),IF(COUNTIF(N64,"*R*"),SUBSTITUTE(SUBSTITUTE(N64,"P",""),"R","S"),SUBSTITUTE(N64,"P","")),IF(AND(COUNTIF(N64,"*P*"),COUNTIF(N64,"*R*")),SUBSTITUTE(N64,"R","S"),IF(AND(COUNTIF(N64,"*V*"),COUNTIF(N64,"*R*")),SUBSTITUTE(N64,"R","S"),N64))),"0",""),"1",""),"2",""),"3",""),"4",""),"5",""),"6",""),"7",""),"8",""),"9","")&amp; Data!CC49),""))</f>
        <v/>
      </c>
      <c r="O97" s="41" t="str">
        <f>IF(AND($Y$57=1,O64&lt;&gt;""),"O"&amp; Data!CD49,IF(O64&lt;&gt;"",IF(OR(COUNTIF(O64,"L*"),COUNTIF(O64, "X*")),IF(AND(COUNTIF(O64,"*P*"),COUNTIF(O64,"*V*")),IF(COUNTIF(O64,"*R*"),SUBSTITUTE(SUBSTITUTE(O64,"P",""),"R","S")&amp; Data!CD49,SUBSTITUTE(O64,"P","")&amp; Data!CD49),IF(AND(COUNTIF(O64,"*P*"),COUNTIF(O64,"*R*")),SUBSTITUTE(O64,"R","S")&amp;Data!CD49,IF(AND(COUNTIF(O64,"*V*"),COUNTIF(O64,"*R*")),SUBSTITUTE(O64,"R","S")&amp;Data!CD49,O64 &amp; Data!CD49))),SUBSTITUTE(SUBSTITUTE(SUBSTITUTE(SUBSTITUTE(SUBSTITUTE(SUBSTITUTE(SUBSTITUTE(SUBSTITUTE(SUBSTITUTE(SUBSTITUTE(IF(AND(COUNTIF(O64,"*P*"),COUNTIF(O64,"*V*")),IF(COUNTIF(O64,"*R*"),SUBSTITUTE(SUBSTITUTE(O64,"P",""),"R","S"),SUBSTITUTE(O64,"P","")),IF(AND(COUNTIF(O64,"*P*"),COUNTIF(O64,"*R*")),SUBSTITUTE(O64,"R","S"),IF(AND(COUNTIF(O64,"*V*"),COUNTIF(O64,"*R*")),SUBSTITUTE(O64,"R","S"),O64))),"0",""),"1",""),"2",""),"3",""),"4",""),"5",""),"6",""),"7",""),"8",""),"9","")&amp; Data!CD49),""))</f>
        <v/>
      </c>
      <c r="P97" s="41" t="str">
        <f>IF(AND($Y$57=1,P64&lt;&gt;""),"O"&amp; Data!CE49,IF(P64&lt;&gt;"",IF(OR(COUNTIF(P64,"L*"),COUNTIF(P64, "X*")),IF(AND(COUNTIF(P64,"*P*"),COUNTIF(P64,"*V*")),IF(COUNTIF(P64,"*R*"),SUBSTITUTE(SUBSTITUTE(P64,"P",""),"R","S")&amp; Data!CE49,SUBSTITUTE(P64,"P","")&amp; Data!CE49),IF(AND(COUNTIF(P64,"*P*"),COUNTIF(P64,"*R*")),SUBSTITUTE(P64,"R","S")&amp;Data!CE49,IF(AND(COUNTIF(P64,"*V*"),COUNTIF(P64,"*R*")),SUBSTITUTE(P64,"R","S")&amp;Data!CE49,P64 &amp; Data!CE49))),SUBSTITUTE(SUBSTITUTE(SUBSTITUTE(SUBSTITUTE(SUBSTITUTE(SUBSTITUTE(SUBSTITUTE(SUBSTITUTE(SUBSTITUTE(SUBSTITUTE(IF(AND(COUNTIF(P64,"*P*"),COUNTIF(P64,"*V*")),IF(COUNTIF(P64,"*R*"),SUBSTITUTE(SUBSTITUTE(P64,"P",""),"R","S"),SUBSTITUTE(P64,"P","")),IF(AND(COUNTIF(P64,"*P*"),COUNTIF(P64,"*R*")),SUBSTITUTE(P64,"R","S"),IF(AND(COUNTIF(P64,"*V*"),COUNTIF(P64,"*R*")),SUBSTITUTE(P64,"R","S"),P64))),"0",""),"1",""),"2",""),"3",""),"4",""),"5",""),"6",""),"7",""),"8",""),"9","")&amp; Data!CE49),""))</f>
        <v/>
      </c>
      <c r="Q97" s="41" t="str">
        <f>IF(AND($Y$57=1,Q64&lt;&gt;""),"O"&amp; Data!CF49,IF(Q64&lt;&gt;"",IF(OR(COUNTIF(Q64,"L*"),COUNTIF(Q64, "X*")),IF(AND(COUNTIF(Q64,"*P*"),COUNTIF(Q64,"*V*")),IF(COUNTIF(Q64,"*R*"),SUBSTITUTE(SUBSTITUTE(Q64,"P",""),"R","S")&amp; Data!CF49,SUBSTITUTE(Q64,"P","")&amp; Data!CF49),IF(AND(COUNTIF(Q64,"*P*"),COUNTIF(Q64,"*R*")),SUBSTITUTE(Q64,"R","S")&amp;Data!CF49,IF(AND(COUNTIF(Q64,"*V*"),COUNTIF(Q64,"*R*")),SUBSTITUTE(Q64,"R","S")&amp;Data!CF49,Q64 &amp; Data!CF49))),SUBSTITUTE(SUBSTITUTE(SUBSTITUTE(SUBSTITUTE(SUBSTITUTE(SUBSTITUTE(SUBSTITUTE(SUBSTITUTE(SUBSTITUTE(SUBSTITUTE(IF(AND(COUNTIF(Q64,"*P*"),COUNTIF(Q64,"*V*")),IF(COUNTIF(Q64,"*R*"),SUBSTITUTE(SUBSTITUTE(Q64,"P",""),"R","S"),SUBSTITUTE(Q64,"P","")),IF(AND(COUNTIF(Q64,"*P*"),COUNTIF(Q64,"*R*")),SUBSTITUTE(Q64,"R","S"),IF(AND(COUNTIF(Q64,"*V*"),COUNTIF(Q64,"*R*")),SUBSTITUTE(Q64,"R","S"),Q64))),"0",""),"1",""),"2",""),"3",""),"4",""),"5",""),"6",""),"7",""),"8",""),"9","")&amp; Data!CF49),""))</f>
        <v/>
      </c>
      <c r="R97" s="41" t="str">
        <f>IF(AND($Y$57=1,R64&lt;&gt;""),"O"&amp; Data!CG49,IF(R64&lt;&gt;"",IF(OR(COUNTIF(R64,"L*"),COUNTIF(R64, "X*")),IF(AND(COUNTIF(R64,"*P*"),COUNTIF(R64,"*V*")),IF(COUNTIF(R64,"*R*"),SUBSTITUTE(SUBSTITUTE(R64,"P",""),"R","S")&amp; Data!CG49,SUBSTITUTE(R64,"P","")&amp; Data!CG49),IF(AND(COUNTIF(R64,"*P*"),COUNTIF(R64,"*R*")),SUBSTITUTE(R64,"R","S")&amp;Data!CG49,IF(AND(COUNTIF(R64,"*V*"),COUNTIF(R64,"*R*")),SUBSTITUTE(R64,"R","S")&amp;Data!CG49,R64 &amp; Data!CG49))),SUBSTITUTE(SUBSTITUTE(SUBSTITUTE(SUBSTITUTE(SUBSTITUTE(SUBSTITUTE(SUBSTITUTE(SUBSTITUTE(SUBSTITUTE(SUBSTITUTE(IF(AND(COUNTIF(R64,"*P*"),COUNTIF(R64,"*V*")),IF(COUNTIF(R64,"*R*"),SUBSTITUTE(SUBSTITUTE(R64,"P",""),"R","S"),SUBSTITUTE(R64,"P","")),IF(AND(COUNTIF(R64,"*P*"),COUNTIF(R64,"*R*")),SUBSTITUTE(R64,"R","S"),IF(AND(COUNTIF(R64,"*V*"),COUNTIF(R64,"*R*")),SUBSTITUTE(R64,"R","S"),R64))),"0",""),"1",""),"2",""),"3",""),"4",""),"5",""),"6",""),"7",""),"8",""),"9","")&amp; Data!CG49),""))</f>
        <v/>
      </c>
      <c r="S97" s="41" t="str">
        <f>IF(AND($Y$57=1,S64&lt;&gt;""),"O"&amp; Data!CH49,IF(S64&lt;&gt;"",IF(OR(COUNTIF(S64,"L*"),COUNTIF(S64, "X*")),IF(AND(COUNTIF(S64,"*P*"),COUNTIF(S64,"*V*")),IF(COUNTIF(S64,"*R*"),SUBSTITUTE(SUBSTITUTE(S64,"P",""),"R","S")&amp; Data!CH49,SUBSTITUTE(S64,"P","")&amp; Data!CH49),IF(AND(COUNTIF(S64,"*P*"),COUNTIF(S64,"*R*")),SUBSTITUTE(S64,"R","S")&amp;Data!CH49,IF(AND(COUNTIF(S64,"*V*"),COUNTIF(S64,"*R*")),SUBSTITUTE(S64,"R","S")&amp;Data!CH49,S64 &amp; Data!CH49))),SUBSTITUTE(SUBSTITUTE(SUBSTITUTE(SUBSTITUTE(SUBSTITUTE(SUBSTITUTE(SUBSTITUTE(SUBSTITUTE(SUBSTITUTE(SUBSTITUTE(IF(AND(COUNTIF(S64,"*P*"),COUNTIF(S64,"*V*")),IF(COUNTIF(S64,"*R*"),SUBSTITUTE(SUBSTITUTE(S64,"P",""),"R","S"),SUBSTITUTE(S64,"P","")),IF(AND(COUNTIF(S64,"*P*"),COUNTIF(S64,"*R*")),SUBSTITUTE(S64,"R","S"),IF(AND(COUNTIF(S64,"*V*"),COUNTIF(S64,"*R*")),SUBSTITUTE(S64,"R","S"),S64))),"0",""),"1",""),"2",""),"3",""),"4",""),"5",""),"6",""),"7",""),"8",""),"9","")&amp; Data!CH49),""))</f>
        <v/>
      </c>
      <c r="T97" s="41" t="str">
        <f>IF(AND($Y$57=1,T64&lt;&gt;""),"O"&amp; Data!CI49,IF(T64&lt;&gt;"",IF(OR(COUNTIF(T64,"L*"),COUNTIF(T64, "X*")),IF(AND(COUNTIF(T64,"*P*"),COUNTIF(T64,"*V*")),IF(COUNTIF(T64,"*R*"),SUBSTITUTE(SUBSTITUTE(T64,"P",""),"R","S")&amp; Data!CI49,SUBSTITUTE(T64,"P","")&amp; Data!CI49),IF(AND(COUNTIF(T64,"*P*"),COUNTIF(T64,"*R*")),SUBSTITUTE(T64,"R","S")&amp;Data!CI49,IF(AND(COUNTIF(T64,"*V*"),COUNTIF(T64,"*R*")),SUBSTITUTE(T64,"R","S")&amp;Data!CI49,T64 &amp; Data!CI49))),SUBSTITUTE(SUBSTITUTE(SUBSTITUTE(SUBSTITUTE(SUBSTITUTE(SUBSTITUTE(SUBSTITUTE(SUBSTITUTE(SUBSTITUTE(SUBSTITUTE(IF(AND(COUNTIF(T64,"*P*"),COUNTIF(T64,"*V*")),IF(COUNTIF(T64,"*R*"),SUBSTITUTE(SUBSTITUTE(T64,"P",""),"R","S"),SUBSTITUTE(T64,"P","")),IF(AND(COUNTIF(T64,"*P*"),COUNTIF(T64,"*R*")),SUBSTITUTE(T64,"R","S"),IF(AND(COUNTIF(T64,"*V*"),COUNTIF(T64,"*R*")),SUBSTITUTE(T64,"R","S"),T64))),"0",""),"1",""),"2",""),"3",""),"4",""),"5",""),"6",""),"7",""),"8",""),"9","")&amp; Data!CI49),""))</f>
        <v/>
      </c>
      <c r="U97" s="41" t="str">
        <f>IF(AND($Y$57=1,U64&lt;&gt;""),"O"&amp; Data!CJ49,IF(U64&lt;&gt;"",IF(OR(COUNTIF(U64,"L*"),COUNTIF(U64, "X*")),IF(AND(COUNTIF(U64,"*P*"),COUNTIF(U64,"*V*")),IF(COUNTIF(U64,"*R*"),SUBSTITUTE(SUBSTITUTE(U64,"P",""),"R","S")&amp; Data!CJ49,SUBSTITUTE(U64,"P","")&amp; Data!CJ49),IF(AND(COUNTIF(U64,"*P*"),COUNTIF(U64,"*R*")),SUBSTITUTE(U64,"R","S")&amp;Data!CJ49,IF(AND(COUNTIF(U64,"*V*"),COUNTIF(U64,"*R*")),SUBSTITUTE(U64,"R","S")&amp;Data!CJ49,U64 &amp; Data!CJ49))),SUBSTITUTE(SUBSTITUTE(SUBSTITUTE(SUBSTITUTE(SUBSTITUTE(SUBSTITUTE(SUBSTITUTE(SUBSTITUTE(SUBSTITUTE(SUBSTITUTE(IF(AND(COUNTIF(U64,"*P*"),COUNTIF(U64,"*V*")),IF(COUNTIF(U64,"*R*"),SUBSTITUTE(SUBSTITUTE(U64,"P",""),"R","S"),SUBSTITUTE(U64,"P","")),IF(AND(COUNTIF(U64,"*P*"),COUNTIF(U64,"*R*")),SUBSTITUTE(U64,"R","S"),IF(AND(COUNTIF(U64,"*V*"),COUNTIF(U64,"*R*")),SUBSTITUTE(U64,"R","S"),U64))),"0",""),"1",""),"2",""),"3",""),"4",""),"5",""),"6",""),"7",""),"8",""),"9","")&amp; Data!CJ49),""))</f>
        <v/>
      </c>
      <c r="V97" s="41" t="str">
        <f>IF(AND($Y$57=1,V64&lt;&gt;""),"O"&amp; Data!CK49,IF(V64&lt;&gt;"",IF(OR(COUNTIF(V64,"L*"),COUNTIF(V64, "X*")),IF(AND(COUNTIF(V64,"*P*"),COUNTIF(V64,"*V*")),IF(COUNTIF(V64,"*R*"),SUBSTITUTE(SUBSTITUTE(V64,"P",""),"R","S")&amp; Data!CK49,SUBSTITUTE(V64,"P","")&amp; Data!CK49),IF(AND(COUNTIF(V64,"*P*"),COUNTIF(V64,"*R*")),SUBSTITUTE(V64,"R","S")&amp;Data!CK49,IF(AND(COUNTIF(V64,"*V*"),COUNTIF(V64,"*R*")),SUBSTITUTE(V64,"R","S")&amp;Data!CK49,V64 &amp; Data!CK49))),SUBSTITUTE(SUBSTITUTE(SUBSTITUTE(SUBSTITUTE(SUBSTITUTE(SUBSTITUTE(SUBSTITUTE(SUBSTITUTE(SUBSTITUTE(SUBSTITUTE(IF(AND(COUNTIF(V64,"*P*"),COUNTIF(V64,"*V*")),IF(COUNTIF(V64,"*R*"),SUBSTITUTE(SUBSTITUTE(V64,"P",""),"R","S"),SUBSTITUTE(V64,"P","")),IF(AND(COUNTIF(V64,"*P*"),COUNTIF(V64,"*R*")),SUBSTITUTE(V64,"R","S"),IF(AND(COUNTIF(V64,"*V*"),COUNTIF(V64,"*R*")),SUBSTITUTE(V64,"R","S"),V64))),"0",""),"1",""),"2",""),"3",""),"4",""),"5",""),"6",""),"7",""),"8",""),"9","")&amp; Data!CK49),""))</f>
        <v/>
      </c>
      <c r="W97" s="41" t="str">
        <f>IF(AND($Y$57=1,W64&lt;&gt;""),"O"&amp; Data!CL49,IF(W64&lt;&gt;"",IF(OR(COUNTIF(W64,"L*"),COUNTIF(W64, "X*")),IF(AND(COUNTIF(W64,"*P*"),COUNTIF(W64,"*V*")),IF(COUNTIF(W64,"*R*"),SUBSTITUTE(SUBSTITUTE(W64,"P",""),"R","S")&amp; Data!CL49,SUBSTITUTE(W64,"P","")&amp; Data!CL49),IF(AND(COUNTIF(W64,"*P*"),COUNTIF(W64,"*R*")),SUBSTITUTE(W64,"R","S")&amp;Data!CL49,IF(AND(COUNTIF(W64,"*V*"),COUNTIF(W64,"*R*")),SUBSTITUTE(W64,"R","S")&amp;Data!CL49,W64 &amp; Data!CL49))),SUBSTITUTE(SUBSTITUTE(SUBSTITUTE(SUBSTITUTE(SUBSTITUTE(SUBSTITUTE(SUBSTITUTE(SUBSTITUTE(SUBSTITUTE(SUBSTITUTE(IF(AND(COUNTIF(W64,"*P*"),COUNTIF(W64,"*V*")),IF(COUNTIF(W64,"*R*"),SUBSTITUTE(SUBSTITUTE(W64,"P",""),"R","S"),SUBSTITUTE(W64,"P","")),IF(AND(COUNTIF(W64,"*P*"),COUNTIF(W64,"*R*")),SUBSTITUTE(W64,"R","S"),IF(AND(COUNTIF(W64,"*V*"),COUNTIF(W64,"*R*")),SUBSTITUTE(W64,"R","S"),W64))),"0",""),"1",""),"2",""),"3",""),"4",""),"5",""),"6",""),"7",""),"8",""),"9","")&amp; Data!CL49),""))</f>
        <v/>
      </c>
      <c r="X97" s="41" t="str">
        <f>IF(AND($Y$57=1,X64&lt;&gt;""),"O"&amp; Data!CM49,IF(X64&lt;&gt;"",IF(OR(COUNTIF(X64,"L*"),COUNTIF(X64, "X*")),IF(AND(COUNTIF(X64,"*P*"),COUNTIF(X64,"*V*")),IF(COUNTIF(X64,"*R*"),SUBSTITUTE(SUBSTITUTE(X64,"P",""),"R","S")&amp; Data!CM49,SUBSTITUTE(X64,"P","")&amp; Data!CM49),IF(AND(COUNTIF(X64,"*P*"),COUNTIF(X64,"*R*")),SUBSTITUTE(X64,"R","S")&amp;Data!CM49,IF(AND(COUNTIF(X64,"*V*"),COUNTIF(X64,"*R*")),SUBSTITUTE(X64,"R","S")&amp;Data!CM49,X64 &amp; Data!CM49))),SUBSTITUTE(SUBSTITUTE(SUBSTITUTE(SUBSTITUTE(SUBSTITUTE(SUBSTITUTE(SUBSTITUTE(SUBSTITUTE(SUBSTITUTE(SUBSTITUTE(IF(AND(COUNTIF(X64,"*P*"),COUNTIF(X64,"*V*")),IF(COUNTIF(X64,"*R*"),SUBSTITUTE(SUBSTITUTE(X64,"P",""),"R","S"),SUBSTITUTE(X64,"P","")),IF(AND(COUNTIF(X64,"*P*"),COUNTIF(X64,"*R*")),SUBSTITUTE(X64,"R","S"),IF(AND(COUNTIF(X64,"*V*"),COUNTIF(X64,"*R*")),SUBSTITUTE(X64,"R","S"),X64))),"0",""),"1",""),"2",""),"3",""),"4",""),"5",""),"6",""),"7",""),"8",""),"9","")&amp; Data!CM49),""))</f>
        <v/>
      </c>
      <c r="Y97" s="41" t="str">
        <f>IF(AND($Y$57=1,Y64&lt;&gt;""),"O"&amp; Data!CN49,IF(Y64&lt;&gt;"",IF(OR(COUNTIF(Y64,"L*"),COUNTIF(Y64, "X*")),IF(AND(COUNTIF(Y64,"*P*"),COUNTIF(Y64,"*V*")),IF(COUNTIF(Y64,"*R*"),SUBSTITUTE(SUBSTITUTE(Y64,"P",""),"R","S")&amp; Data!CN49,SUBSTITUTE(Y64,"P","")&amp; Data!CN49),IF(AND(COUNTIF(Y64,"*P*"),COUNTIF(Y64,"*R*")),SUBSTITUTE(Y64,"R","S")&amp;Data!CN49,IF(AND(COUNTIF(Y64,"*V*"),COUNTIF(Y64,"*R*")),SUBSTITUTE(Y64,"R","S")&amp;Data!CN49,Y64 &amp; Data!CN49))),SUBSTITUTE(SUBSTITUTE(SUBSTITUTE(SUBSTITUTE(SUBSTITUTE(SUBSTITUTE(SUBSTITUTE(SUBSTITUTE(SUBSTITUTE(SUBSTITUTE(IF(AND(COUNTIF(Y64,"*P*"),COUNTIF(Y64,"*V*")),IF(COUNTIF(Y64,"*R*"),SUBSTITUTE(SUBSTITUTE(Y64,"P",""),"R","S"),SUBSTITUTE(Y64,"P","")),IF(AND(COUNTIF(Y64,"*P*"),COUNTIF(Y64,"*R*")),SUBSTITUTE(Y64,"R","S"),IF(AND(COUNTIF(Y64,"*V*"),COUNTIF(Y64,"*R*")),SUBSTITUTE(Y64,"R","S"),Y64))),"0",""),"1",""),"2",""),"3",""),"4",""),"5",""),"6",""),"7",""),"8",""),"9","")&amp; Data!CN49),""))</f>
        <v/>
      </c>
      <c r="Z97" s="41" t="str">
        <f>IF(AND($Y$57=1,Z64&lt;&gt;""),"O"&amp; Data!CO49,IF(Z64&lt;&gt;"",IF(OR(COUNTIF(Z64,"L*"),COUNTIF(Z64, "X*")),IF(AND(COUNTIF(Z64,"*P*"),COUNTIF(Z64,"*V*")),IF(COUNTIF(Z64,"*R*"),SUBSTITUTE(SUBSTITUTE(Z64,"P",""),"R","S")&amp; Data!CO49,SUBSTITUTE(Z64,"P","")&amp; Data!CO49),IF(AND(COUNTIF(Z64,"*P*"),COUNTIF(Z64,"*R*")),SUBSTITUTE(Z64,"R","S")&amp;Data!CO49,IF(AND(COUNTIF(Z64,"*V*"),COUNTIF(Z64,"*R*")),SUBSTITUTE(Z64,"R","S")&amp;Data!CO49,Z64 &amp; Data!CO49))),SUBSTITUTE(SUBSTITUTE(SUBSTITUTE(SUBSTITUTE(SUBSTITUTE(SUBSTITUTE(SUBSTITUTE(SUBSTITUTE(SUBSTITUTE(SUBSTITUTE(IF(AND(COUNTIF(Z64,"*P*"),COUNTIF(Z64,"*V*")),IF(COUNTIF(Z64,"*R*"),SUBSTITUTE(SUBSTITUTE(Z64,"P",""),"R","S"),SUBSTITUTE(Z64,"P","")),IF(AND(COUNTIF(Z64,"*P*"),COUNTIF(Z64,"*R*")),SUBSTITUTE(Z64,"R","S"),IF(AND(COUNTIF(Z64,"*V*"),COUNTIF(Z64,"*R*")),SUBSTITUTE(Z64,"R","S"),Z64))),"0",""),"1",""),"2",""),"3",""),"4",""),"5",""),"6",""),"7",""),"8",""),"9","")&amp; Data!CO49),""))</f>
        <v/>
      </c>
      <c r="AA97" s="41" t="str">
        <f>IF(AND($Y$57=1,AA64&lt;&gt;""),"O"&amp; Data!CP49,IF(AA64&lt;&gt;"",IF(OR(COUNTIF(AA64,"L*"),COUNTIF(AA64, "X*")),IF(AND(COUNTIF(AA64,"*P*"),COUNTIF(AA64,"*V*")),IF(COUNTIF(AA64,"*R*"),SUBSTITUTE(SUBSTITUTE(AA64,"P",""),"R","S")&amp; Data!CP49,SUBSTITUTE(AA64,"P","")&amp; Data!CP49),IF(AND(COUNTIF(AA64,"*P*"),COUNTIF(AA64,"*R*")),SUBSTITUTE(AA64,"R","S")&amp;Data!CP49,IF(AND(COUNTIF(AA64,"*V*"),COUNTIF(AA64,"*R*")),SUBSTITUTE(AA64,"R","S")&amp;Data!CP49,AA64 &amp; Data!CP49))),SUBSTITUTE(SUBSTITUTE(SUBSTITUTE(SUBSTITUTE(SUBSTITUTE(SUBSTITUTE(SUBSTITUTE(SUBSTITUTE(SUBSTITUTE(SUBSTITUTE(IF(AND(COUNTIF(AA64,"*P*"),COUNTIF(AA64,"*V*")),IF(COUNTIF(AA64,"*R*"),SUBSTITUTE(SUBSTITUTE(AA64,"P",""),"R","S"),SUBSTITUTE(AA64,"P","")),IF(AND(COUNTIF(AA64,"*P*"),COUNTIF(AA64,"*R*")),SUBSTITUTE(AA64,"R","S"),IF(AND(COUNTIF(AA64,"*V*"),COUNTIF(AA64,"*R*")),SUBSTITUTE(AA64,"R","S"),AA64))),"0",""),"1",""),"2",""),"3",""),"4",""),"5",""),"6",""),"7",""),"8",""),"9","")&amp; Data!CP49),""))</f>
        <v/>
      </c>
      <c r="AB97" s="41" t="str">
        <f>IF(AND($Y$57=1,AB64&lt;&gt;""),"O"&amp; Data!CQ49,IF(AB64&lt;&gt;"",IF(OR(COUNTIF(AB64,"L*"),COUNTIF(AB64, "X*")),IF(AND(COUNTIF(AB64,"*P*"),COUNTIF(AB64,"*V*")),IF(COUNTIF(AB64,"*R*"),SUBSTITUTE(SUBSTITUTE(AB64,"P",""),"R","S")&amp; Data!CQ49,SUBSTITUTE(AB64,"P","")&amp; Data!CQ49),IF(AND(COUNTIF(AB64,"*P*"),COUNTIF(AB64,"*R*")),SUBSTITUTE(AB64,"R","S")&amp;Data!CQ49,IF(AND(COUNTIF(AB64,"*V*"),COUNTIF(AB64,"*R*")),SUBSTITUTE(AB64,"R","S")&amp;Data!CQ49,AB64 &amp; Data!CQ49))),SUBSTITUTE(SUBSTITUTE(SUBSTITUTE(SUBSTITUTE(SUBSTITUTE(SUBSTITUTE(SUBSTITUTE(SUBSTITUTE(SUBSTITUTE(SUBSTITUTE(IF(AND(COUNTIF(AB64,"*P*"),COUNTIF(AB64,"*V*")),IF(COUNTIF(AB64,"*R*"),SUBSTITUTE(SUBSTITUTE(AB64,"P",""),"R","S"),SUBSTITUTE(AB64,"P","")),IF(AND(COUNTIF(AB64,"*P*"),COUNTIF(AB64,"*R*")),SUBSTITUTE(AB64,"R","S"),IF(AND(COUNTIF(AB64,"*V*"),COUNTIF(AB64,"*R*")),SUBSTITUTE(AB64,"R","S"),AB64))),"0",""),"1",""),"2",""),"3",""),"4",""),"5",""),"6",""),"7",""),"8",""),"9","")&amp; Data!CQ49),""))</f>
        <v/>
      </c>
      <c r="AC97" s="41" t="str">
        <f>IF(AND($Y$57=1,AC64&lt;&gt;""),"O"&amp; Data!CR49,IF(AC64&lt;&gt;"",IF(OR(COUNTIF(AC64,"L*"),COUNTIF(AC64, "X*")),IF(AND(COUNTIF(AC64,"*P*"),COUNTIF(AC64,"*V*")),IF(COUNTIF(AC64,"*R*"),SUBSTITUTE(SUBSTITUTE(AC64,"P",""),"R","S")&amp; Data!CR49,SUBSTITUTE(AC64,"P","")&amp; Data!CR49),IF(AND(COUNTIF(AC64,"*P*"),COUNTIF(AC64,"*R*")),SUBSTITUTE(AC64,"R","S")&amp;Data!CR49,IF(AND(COUNTIF(AC64,"*V*"),COUNTIF(AC64,"*R*")),SUBSTITUTE(AC64,"R","S")&amp;Data!CR49,AC64 &amp; Data!CR49))),SUBSTITUTE(SUBSTITUTE(SUBSTITUTE(SUBSTITUTE(SUBSTITUTE(SUBSTITUTE(SUBSTITUTE(SUBSTITUTE(SUBSTITUTE(SUBSTITUTE(IF(AND(COUNTIF(AC64,"*P*"),COUNTIF(AC64,"*V*")),IF(COUNTIF(AC64,"*R*"),SUBSTITUTE(SUBSTITUTE(AC64,"P",""),"R","S"),SUBSTITUTE(AC64,"P","")),IF(AND(COUNTIF(AC64,"*P*"),COUNTIF(AC64,"*R*")),SUBSTITUTE(AC64,"R","S"),IF(AND(COUNTIF(AC64,"*V*"),COUNTIF(AC64,"*R*")),SUBSTITUTE(AC64,"R","S"),AC64))),"0",""),"1",""),"2",""),"3",""),"4",""),"5",""),"6",""),"7",""),"8",""),"9","")&amp; Data!CR49),""))</f>
        <v/>
      </c>
      <c r="AD97" s="41" t="str">
        <f>IF(AND($Y$57=1,AD64&lt;&gt;""),"O"&amp; Data!CS49,IF(AD64&lt;&gt;"",IF(OR(COUNTIF(AD64,"L*"),COUNTIF(AD64, "X*")),IF(AND(COUNTIF(AD64,"*P*"),COUNTIF(AD64,"*V*")),IF(COUNTIF(AD64,"*R*"),SUBSTITUTE(SUBSTITUTE(AD64,"P",""),"R","S")&amp; Data!CS49,SUBSTITUTE(AD64,"P","")&amp; Data!CS49),IF(AND(COUNTIF(AD64,"*P*"),COUNTIF(AD64,"*R*")),SUBSTITUTE(AD64,"R","S")&amp;Data!CS49,IF(AND(COUNTIF(AD64,"*V*"),COUNTIF(AD64,"*R*")),SUBSTITUTE(AD64,"R","S")&amp;Data!CS49,AD64 &amp; Data!CS49))),SUBSTITUTE(SUBSTITUTE(SUBSTITUTE(SUBSTITUTE(SUBSTITUTE(SUBSTITUTE(SUBSTITUTE(SUBSTITUTE(SUBSTITUTE(SUBSTITUTE(IF(AND(COUNTIF(AD64,"*P*"),COUNTIF(AD64,"*V*")),IF(COUNTIF(AD64,"*R*"),SUBSTITUTE(SUBSTITUTE(AD64,"P",""),"R","S"),SUBSTITUTE(AD64,"P","")),IF(AND(COUNTIF(AD64,"*P*"),COUNTIF(AD64,"*R*")),SUBSTITUTE(AD64,"R","S"),IF(AND(COUNTIF(AD64,"*V*"),COUNTIF(AD64,"*R*")),SUBSTITUTE(AD64,"R","S"),AD64))),"0",""),"1",""),"2",""),"3",""),"4",""),"5",""),"6",""),"7",""),"8",""),"9","")&amp; Data!CS49),""))</f>
        <v/>
      </c>
      <c r="AE97" s="41" t="str">
        <f>IF(AND($Y$57=1,AE64&lt;&gt;""),"O"&amp; Data!CT49,IF(AE64&lt;&gt;"",IF(OR(COUNTIF(AE64,"L*"),COUNTIF(AE64, "X*")),IF(AND(COUNTIF(AE64,"*P*"),COUNTIF(AE64,"*V*")),IF(COUNTIF(AE64,"*R*"),SUBSTITUTE(SUBSTITUTE(AE64,"P",""),"R","S")&amp; Data!CT49,SUBSTITUTE(AE64,"P","")&amp; Data!CT49),IF(AND(COUNTIF(AE64,"*P*"),COUNTIF(AE64,"*R*")),SUBSTITUTE(AE64,"R","S")&amp;Data!CT49,IF(AND(COUNTIF(AE64,"*V*"),COUNTIF(AE64,"*R*")),SUBSTITUTE(AE64,"R","S")&amp;Data!CT49,AE64 &amp; Data!CT49))),SUBSTITUTE(SUBSTITUTE(SUBSTITUTE(SUBSTITUTE(SUBSTITUTE(SUBSTITUTE(SUBSTITUTE(SUBSTITUTE(SUBSTITUTE(SUBSTITUTE(IF(AND(COUNTIF(AE64,"*P*"),COUNTIF(AE64,"*V*")),IF(COUNTIF(AE64,"*R*"),SUBSTITUTE(SUBSTITUTE(AE64,"P",""),"R","S"),SUBSTITUTE(AE64,"P","")),IF(AND(COUNTIF(AE64,"*P*"),COUNTIF(AE64,"*R*")),SUBSTITUTE(AE64,"R","S"),IF(AND(COUNTIF(AE64,"*V*"),COUNTIF(AE64,"*R*")),SUBSTITUTE(AE64,"R","S"),AE64))),"0",""),"1",""),"2",""),"3",""),"4",""),"5",""),"6",""),"7",""),"8",""),"9","")&amp; Data!CT49),""))</f>
        <v/>
      </c>
      <c r="AF97" s="41" t="str">
        <f>IF(AND($Y$57=1,AF64&lt;&gt;""),"O"&amp; Data!CU49,IF(AF64&lt;&gt;"",IF(OR(COUNTIF(AF64,"L*"),COUNTIF(AF64, "X*")),IF(AND(COUNTIF(AF64,"*P*"),COUNTIF(AF64,"*V*")),IF(COUNTIF(AF64,"*R*"),SUBSTITUTE(SUBSTITUTE(AF64,"P",""),"R","S")&amp; Data!CU49,SUBSTITUTE(AF64,"P","")&amp; Data!CU49),IF(AND(COUNTIF(AF64,"*P*"),COUNTIF(AF64,"*R*")),SUBSTITUTE(AF64,"R","S")&amp;Data!CU49,IF(AND(COUNTIF(AF64,"*V*"),COUNTIF(AF64,"*R*")),SUBSTITUTE(AF64,"R","S")&amp;Data!CU49,AF64 &amp; Data!CU49))),SUBSTITUTE(SUBSTITUTE(SUBSTITUTE(SUBSTITUTE(SUBSTITUTE(SUBSTITUTE(SUBSTITUTE(SUBSTITUTE(SUBSTITUTE(SUBSTITUTE(IF(AND(COUNTIF(AF64,"*P*"),COUNTIF(AF64,"*V*")),IF(COUNTIF(AF64,"*R*"),SUBSTITUTE(SUBSTITUTE(AF64,"P",""),"R","S"),SUBSTITUTE(AF64,"P","")),IF(AND(COUNTIF(AF64,"*P*"),COUNTIF(AF64,"*R*")),SUBSTITUTE(AF64,"R","S"),IF(AND(COUNTIF(AF64,"*V*"),COUNTIF(AF64,"*R*")),SUBSTITUTE(AF64,"R","S"),AF64))),"0",""),"1",""),"2",""),"3",""),"4",""),"5",""),"6",""),"7",""),"8",""),"9","")&amp; Data!CU49),""))</f>
        <v/>
      </c>
      <c r="AG97" s="41" t="str">
        <f>IF(AND($Y$57=1,AG64&lt;&gt;""),"O"&amp; Data!CV49,IF(AG64&lt;&gt;"",IF(OR(COUNTIF(AG64,"L*"),COUNTIF(AG64, "X*")),IF(AND(COUNTIF(AG64,"*P*"),COUNTIF(AG64,"*V*")),IF(COUNTIF(AG64,"*R*"),SUBSTITUTE(SUBSTITUTE(AG64,"P",""),"R","S")&amp; Data!CV49,SUBSTITUTE(AG64,"P","")&amp; Data!CV49),IF(AND(COUNTIF(AG64,"*P*"),COUNTIF(AG64,"*R*")),SUBSTITUTE(AG64,"R","S")&amp;Data!CV49,IF(AND(COUNTIF(AG64,"*V*"),COUNTIF(AG64,"*R*")),SUBSTITUTE(AG64,"R","S")&amp;Data!CV49,AG64 &amp; Data!CV49))),SUBSTITUTE(SUBSTITUTE(SUBSTITUTE(SUBSTITUTE(SUBSTITUTE(SUBSTITUTE(SUBSTITUTE(SUBSTITUTE(SUBSTITUTE(SUBSTITUTE(IF(AND(COUNTIF(AG64,"*P*"),COUNTIF(AG64,"*V*")),IF(COUNTIF(AG64,"*R*"),SUBSTITUTE(SUBSTITUTE(AG64,"P",""),"R","S"),SUBSTITUTE(AG64,"P","")),IF(AND(COUNTIF(AG64,"*P*"),COUNTIF(AG64,"*R*")),SUBSTITUTE(AG64,"R","S"),IF(AND(COUNTIF(AG64,"*V*"),COUNTIF(AG64,"*R*")),SUBSTITUTE(AG64,"R","S"),AG64))),"0",""),"1",""),"2",""),"3",""),"4",""),"5",""),"6",""),"7",""),"8",""),"9","")&amp; Data!CV49),""))</f>
        <v/>
      </c>
      <c r="AH97" s="41" t="str">
        <f>IF(AND($Y$57=1,AH64&lt;&gt;""),"O"&amp; Data!CW49,IF(AH64&lt;&gt;"",IF(OR(COUNTIF(AH64,"L*"),COUNTIF(AH64, "X*")),IF(AND(COUNTIF(AH64,"*P*"),COUNTIF(AH64,"*V*")),IF(COUNTIF(AH64,"*R*"),SUBSTITUTE(SUBSTITUTE(AH64,"P",""),"R","S")&amp; Data!CW49,SUBSTITUTE(AH64,"P","")&amp; Data!CW49),IF(AND(COUNTIF(AH64,"*P*"),COUNTIF(AH64,"*R*")),SUBSTITUTE(AH64,"R","S")&amp;Data!CW49,IF(AND(COUNTIF(AH64,"*V*"),COUNTIF(AH64,"*R*")),SUBSTITUTE(AH64,"R","S")&amp;Data!CW49,AH64 &amp; Data!CW49))),SUBSTITUTE(SUBSTITUTE(SUBSTITUTE(SUBSTITUTE(SUBSTITUTE(SUBSTITUTE(SUBSTITUTE(SUBSTITUTE(SUBSTITUTE(SUBSTITUTE(IF(AND(COUNTIF(AH64,"*P*"),COUNTIF(AH64,"*V*")),IF(COUNTIF(AH64,"*R*"),SUBSTITUTE(SUBSTITUTE(AH64,"P",""),"R","S"),SUBSTITUTE(AH64,"P","")),IF(AND(COUNTIF(AH64,"*P*"),COUNTIF(AH64,"*R*")),SUBSTITUTE(AH64,"R","S"),IF(AND(COUNTIF(AH64,"*V*"),COUNTIF(AH64,"*R*")),SUBSTITUTE(AH64,"R","S"),AH64))),"0",""),"1",""),"2",""),"3",""),"4",""),"5",""),"6",""),"7",""),"8",""),"9","")&amp; Data!CW49),""))</f>
        <v/>
      </c>
      <c r="AI97" s="41" t="str">
        <f>IF(AND($Y$57=1,AI64&lt;&gt;""),"O"&amp; Data!CX49,IF(AI64&lt;&gt;"",IF(OR(COUNTIF(AI64,"L*"),COUNTIF(AI64, "X*")),IF(AND(COUNTIF(AI64,"*P*"),COUNTIF(AI64,"*V*")),IF(COUNTIF(AI64,"*R*"),SUBSTITUTE(SUBSTITUTE(AI64,"P",""),"R","S")&amp; Data!CX49,SUBSTITUTE(AI64,"P","")&amp; Data!CX49),IF(AND(COUNTIF(AI64,"*P*"),COUNTIF(AI64,"*R*")),SUBSTITUTE(AI64,"R","S")&amp;Data!CX49,IF(AND(COUNTIF(AI64,"*V*"),COUNTIF(AI64,"*R*")),SUBSTITUTE(AI64,"R","S")&amp;Data!CX49,AI64 &amp; Data!CX49))),SUBSTITUTE(SUBSTITUTE(SUBSTITUTE(SUBSTITUTE(SUBSTITUTE(SUBSTITUTE(SUBSTITUTE(SUBSTITUTE(SUBSTITUTE(SUBSTITUTE(IF(AND(COUNTIF(AI64,"*P*"),COUNTIF(AI64,"*V*")),IF(COUNTIF(AI64,"*R*"),SUBSTITUTE(SUBSTITUTE(AI64,"P",""),"R","S"),SUBSTITUTE(AI64,"P","")),IF(AND(COUNTIF(AI64,"*P*"),COUNTIF(AI64,"*R*")),SUBSTITUTE(AI64,"R","S"),IF(AND(COUNTIF(AI64,"*V*"),COUNTIF(AI64,"*R*")),SUBSTITUTE(AI64,"R","S"),AI64))),"0",""),"1",""),"2",""),"3",""),"4",""),"5",""),"6",""),"7",""),"8",""),"9","")&amp; Data!CX49),""))</f>
        <v/>
      </c>
      <c r="AJ97" s="41" t="str">
        <f>IF(AND($Y$57=1,AJ64&lt;&gt;""),"O"&amp; Data!CY49,IF(AJ64&lt;&gt;"",IF(OR(COUNTIF(AJ64,"L*"),COUNTIF(AJ64, "X*")),IF(AND(COUNTIF(AJ64,"*P*"),COUNTIF(AJ64,"*V*")),IF(COUNTIF(AJ64,"*R*"),SUBSTITUTE(SUBSTITUTE(AJ64,"P",""),"R","S")&amp; Data!CY49,SUBSTITUTE(AJ64,"P","")&amp; Data!CY49),IF(AND(COUNTIF(AJ64,"*P*"),COUNTIF(AJ64,"*R*")),SUBSTITUTE(AJ64,"R","S")&amp;Data!CY49,IF(AND(COUNTIF(AJ64,"*V*"),COUNTIF(AJ64,"*R*")),SUBSTITUTE(AJ64,"R","S")&amp;Data!CY49,AJ64 &amp; Data!CY49))),SUBSTITUTE(SUBSTITUTE(SUBSTITUTE(SUBSTITUTE(SUBSTITUTE(SUBSTITUTE(SUBSTITUTE(SUBSTITUTE(SUBSTITUTE(SUBSTITUTE(IF(AND(COUNTIF(AJ64,"*P*"),COUNTIF(AJ64,"*V*")),IF(COUNTIF(AJ64,"*R*"),SUBSTITUTE(SUBSTITUTE(AJ64,"P",""),"R","S"),SUBSTITUTE(AJ64,"P","")),IF(AND(COUNTIF(AJ64,"*P*"),COUNTIF(AJ64,"*R*")),SUBSTITUTE(AJ64,"R","S"),IF(AND(COUNTIF(AJ64,"*V*"),COUNTIF(AJ64,"*R*")),SUBSTITUTE(AJ64,"R","S"),AJ64))),"0",""),"1",""),"2",""),"3",""),"4",""),"5",""),"6",""),"7",""),"8",""),"9","")&amp; Data!CY49),""))</f>
        <v/>
      </c>
      <c r="AP97" s="99">
        <f>IF(Data!CX63&gt;0,IF(Data!CX63&lt;&gt;"", Data!CX63, " ")," ")</f>
        <v>4</v>
      </c>
      <c r="AQ97" s="99" t="str">
        <f>IF(AT58+AT59+AT60+AT61=0,"",AT58+AT59+AT60+AT61)</f>
        <v/>
      </c>
      <c r="AR97" s="99">
        <f>IF(Data!GK5&gt;0,IF(Data!GK5&lt;&gt;"",Data!GK5," ")," ")</f>
        <v>1608</v>
      </c>
      <c r="AS97" s="99">
        <f>IF(Data!GG5&gt;0,IF(Data!GG5&lt;&gt;"",Data!GG5," ")," ")</f>
        <v>643738</v>
      </c>
      <c r="AT97" s="99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CT70  0.018"</v>
      </c>
      <c r="AU97" s="99" t="str">
        <f>IF(AND(Data!GR5&lt;&gt;"",Data!GR5&lt;&gt;0),Data!GR5,"")</f>
        <v/>
      </c>
      <c r="AV97" s="99" t="str">
        <f>IF(AT59+AT61=0,"",AT59+AT61)</f>
        <v/>
      </c>
      <c r="AW97" s="99" t="str">
        <f t="shared" si="13"/>
        <v/>
      </c>
      <c r="AX97" s="100"/>
    </row>
    <row r="98" spans="1:54" ht="24" customHeight="1" thickBot="1" x14ac:dyDescent="0.4">
      <c r="A98" s="1196"/>
      <c r="B98" s="22">
        <v>5</v>
      </c>
      <c r="C98" s="41" t="str">
        <f>IF(AND($Y$57=1,C65&lt;&gt;""),"O"&amp; Data!BR50,IF(C65&lt;&gt;"",IF(OR(COUNTIF(C65,"L*"),COUNTIF(C65, "X*")),IF(AND(COUNTIF(C65,"*P*"),COUNTIF(C65,"*V*")),IF(COUNTIF(C65,"*R*"),SUBSTITUTE(SUBSTITUTE(C65,"P",""),"R","S")&amp; Data!BR50,SUBSTITUTE(C65,"P","")&amp; Data!BR50),IF(AND(COUNTIF(C65,"*P*"),COUNTIF(C65,"*R*")),SUBSTITUTE(C65,"R","S")&amp;Data!BR50,IF(AND(COUNTIF(C65,"*V*"),COUNTIF(C65,"*R*")),SUBSTITUTE(C65,"R","S")&amp;Data!BR50,C65 &amp; Data!BR50))),SUBSTITUTE(SUBSTITUTE(SUBSTITUTE(SUBSTITUTE(SUBSTITUTE(SUBSTITUTE(SUBSTITUTE(SUBSTITUTE(SUBSTITUTE(SUBSTITUTE(IF(AND(COUNTIF(C65,"*P*"),COUNTIF(C65,"*V*")),IF(COUNTIF(C65,"*R*"),SUBSTITUTE(SUBSTITUTE(C65,"P",""),"R","S"),SUBSTITUTE(C65,"P","")),IF(AND(COUNTIF(C65,"*P*"),COUNTIF(C65,"*R*")),SUBSTITUTE(C65,"R","S"),IF(AND(COUNTIF(C65,"*V*"),COUNTIF(C65,"*R*")),SUBSTITUTE(C65,"R","S"),C65))),"0",""),"1",""),"2",""),"3",""),"4",""),"5",""),"6",""),"7",""),"8",""),"9","")&amp; Data!BR50),""))</f>
        <v/>
      </c>
      <c r="D98" s="41" t="str">
        <f>IF(AND($Y$57=1,D65&lt;&gt;""),"O"&amp; Data!BS50,IF(D65&lt;&gt;"",IF(OR(COUNTIF(D65,"L*"),COUNTIF(D65, "X*")),IF(AND(COUNTIF(D65,"*P*"),COUNTIF(D65,"*V*")),IF(COUNTIF(D65,"*R*"),SUBSTITUTE(SUBSTITUTE(D65,"P",""),"R","S")&amp; Data!BS50,SUBSTITUTE(D65,"P","")&amp; Data!BS50),IF(AND(COUNTIF(D65,"*P*"),COUNTIF(D65,"*R*")),SUBSTITUTE(D65,"R","S")&amp;Data!BS50,IF(AND(COUNTIF(D65,"*V*"),COUNTIF(D65,"*R*")),SUBSTITUTE(D65,"R","S")&amp;Data!BS50,D65 &amp; Data!BS50))),SUBSTITUTE(SUBSTITUTE(SUBSTITUTE(SUBSTITUTE(SUBSTITUTE(SUBSTITUTE(SUBSTITUTE(SUBSTITUTE(SUBSTITUTE(SUBSTITUTE(IF(AND(COUNTIF(D65,"*P*"),COUNTIF(D65,"*V*")),IF(COUNTIF(D65,"*R*"),SUBSTITUTE(SUBSTITUTE(D65,"P",""),"R","S"),SUBSTITUTE(D65,"P","")),IF(AND(COUNTIF(D65,"*P*"),COUNTIF(D65,"*R*")),SUBSTITUTE(D65,"R","S"),IF(AND(COUNTIF(D65,"*V*"),COUNTIF(D65,"*R*")),SUBSTITUTE(D65,"R","S"),D65))),"0",""),"1",""),"2",""),"3",""),"4",""),"5",""),"6",""),"7",""),"8",""),"9","")&amp; Data!BS50),""))</f>
        <v/>
      </c>
      <c r="E98" s="41" t="str">
        <f>IF(AND($Y$57=1,E65&lt;&gt;""),"O"&amp; Data!BT50,IF(E65&lt;&gt;"",IF(OR(COUNTIF(E65,"L*"),COUNTIF(E65, "X*")),IF(AND(COUNTIF(E65,"*P*"),COUNTIF(E65,"*V*")),IF(COUNTIF(E65,"*R*"),SUBSTITUTE(SUBSTITUTE(E65,"P",""),"R","S")&amp; Data!BT50,SUBSTITUTE(E65,"P","")&amp; Data!BT50),IF(AND(COUNTIF(E65,"*P*"),COUNTIF(E65,"*R*")),SUBSTITUTE(E65,"R","S")&amp;Data!BT50,IF(AND(COUNTIF(E65,"*V*"),COUNTIF(E65,"*R*")),SUBSTITUTE(E65,"R","S")&amp;Data!BT50,E65 &amp; Data!BT50))),SUBSTITUTE(SUBSTITUTE(SUBSTITUTE(SUBSTITUTE(SUBSTITUTE(SUBSTITUTE(SUBSTITUTE(SUBSTITUTE(SUBSTITUTE(SUBSTITUTE(IF(AND(COUNTIF(E65,"*P*"),COUNTIF(E65,"*V*")),IF(COUNTIF(E65,"*R*"),SUBSTITUTE(SUBSTITUTE(E65,"P",""),"R","S"),SUBSTITUTE(E65,"P","")),IF(AND(COUNTIF(E65,"*P*"),COUNTIF(E65,"*R*")),SUBSTITUTE(E65,"R","S"),IF(AND(COUNTIF(E65,"*V*"),COUNTIF(E65,"*R*")),SUBSTITUTE(E65,"R","S"),E65))),"0",""),"1",""),"2",""),"3",""),"4",""),"5",""),"6",""),"7",""),"8",""),"9","")&amp; Data!BT50),""))</f>
        <v/>
      </c>
      <c r="F98" s="41" t="str">
        <f>IF(AND($Y$57=1,F65&lt;&gt;""),"O"&amp; Data!BU50,IF(F65&lt;&gt;"",IF(OR(COUNTIF(F65,"L*"),COUNTIF(F65, "X*")),IF(AND(COUNTIF(F65,"*P*"),COUNTIF(F65,"*V*")),IF(COUNTIF(F65,"*R*"),SUBSTITUTE(SUBSTITUTE(F65,"P",""),"R","S")&amp; Data!BU50,SUBSTITUTE(F65,"P","")&amp; Data!BU50),IF(AND(COUNTIF(F65,"*P*"),COUNTIF(F65,"*R*")),SUBSTITUTE(F65,"R","S")&amp;Data!BU50,IF(AND(COUNTIF(F65,"*V*"),COUNTIF(F65,"*R*")),SUBSTITUTE(F65,"R","S")&amp;Data!BU50,F65 &amp; Data!BU50))),SUBSTITUTE(SUBSTITUTE(SUBSTITUTE(SUBSTITUTE(SUBSTITUTE(SUBSTITUTE(SUBSTITUTE(SUBSTITUTE(SUBSTITUTE(SUBSTITUTE(IF(AND(COUNTIF(F65,"*P*"),COUNTIF(F65,"*V*")),IF(COUNTIF(F65,"*R*"),SUBSTITUTE(SUBSTITUTE(F65,"P",""),"R","S"),SUBSTITUTE(F65,"P","")),IF(AND(COUNTIF(F65,"*P*"),COUNTIF(F65,"*R*")),SUBSTITUTE(F65,"R","S"),IF(AND(COUNTIF(F65,"*V*"),COUNTIF(F65,"*R*")),SUBSTITUTE(F65,"R","S"),F65))),"0",""),"1",""),"2",""),"3",""),"4",""),"5",""),"6",""),"7",""),"8",""),"9","")&amp; Data!BU50),""))</f>
        <v/>
      </c>
      <c r="G98" s="41" t="str">
        <f>IF(AND($Y$57=1,G65&lt;&gt;""),"O"&amp; Data!BV50,IF(G65&lt;&gt;"",IF(OR(COUNTIF(G65,"L*"),COUNTIF(G65, "X*")),IF(AND(COUNTIF(G65,"*P*"),COUNTIF(G65,"*V*")),IF(COUNTIF(G65,"*R*"),SUBSTITUTE(SUBSTITUTE(G65,"P",""),"R","S")&amp; Data!BV50,SUBSTITUTE(G65,"P","")&amp; Data!BV50),IF(AND(COUNTIF(G65,"*P*"),COUNTIF(G65,"*R*")),SUBSTITUTE(G65,"R","S")&amp;Data!BV50,IF(AND(COUNTIF(G65,"*V*"),COUNTIF(G65,"*R*")),SUBSTITUTE(G65,"R","S")&amp;Data!BV50,G65 &amp; Data!BV50))),SUBSTITUTE(SUBSTITUTE(SUBSTITUTE(SUBSTITUTE(SUBSTITUTE(SUBSTITUTE(SUBSTITUTE(SUBSTITUTE(SUBSTITUTE(SUBSTITUTE(IF(AND(COUNTIF(G65,"*P*"),COUNTIF(G65,"*V*")),IF(COUNTIF(G65,"*R*"),SUBSTITUTE(SUBSTITUTE(G65,"P",""),"R","S"),SUBSTITUTE(G65,"P","")),IF(AND(COUNTIF(G65,"*P*"),COUNTIF(G65,"*R*")),SUBSTITUTE(G65,"R","S"),IF(AND(COUNTIF(G65,"*V*"),COUNTIF(G65,"*R*")),SUBSTITUTE(G65,"R","S"),G65))),"0",""),"1",""),"2",""),"3",""),"4",""),"5",""),"6",""),"7",""),"8",""),"9","")&amp; Data!BV50),""))</f>
        <v/>
      </c>
      <c r="H98" s="41" t="str">
        <f>IF(AND($Y$57=1,H65&lt;&gt;""),"O"&amp; Data!BW50,IF(H65&lt;&gt;"",IF(OR(COUNTIF(H65,"L*"),COUNTIF(H65, "X*")),IF(AND(COUNTIF(H65,"*P*"),COUNTIF(H65,"*V*")),IF(COUNTIF(H65,"*R*"),SUBSTITUTE(SUBSTITUTE(H65,"P",""),"R","S")&amp; Data!BW50,SUBSTITUTE(H65,"P","")&amp; Data!BW50),IF(AND(COUNTIF(H65,"*P*"),COUNTIF(H65,"*R*")),SUBSTITUTE(H65,"R","S")&amp;Data!BW50,IF(AND(COUNTIF(H65,"*V*"),COUNTIF(H65,"*R*")),SUBSTITUTE(H65,"R","S")&amp;Data!BW50,H65 &amp; Data!BW50))),SUBSTITUTE(SUBSTITUTE(SUBSTITUTE(SUBSTITUTE(SUBSTITUTE(SUBSTITUTE(SUBSTITUTE(SUBSTITUTE(SUBSTITUTE(SUBSTITUTE(IF(AND(COUNTIF(H65,"*P*"),COUNTIF(H65,"*V*")),IF(COUNTIF(H65,"*R*"),SUBSTITUTE(SUBSTITUTE(H65,"P",""),"R","S"),SUBSTITUTE(H65,"P","")),IF(AND(COUNTIF(H65,"*P*"),COUNTIF(H65,"*R*")),SUBSTITUTE(H65,"R","S"),IF(AND(COUNTIF(H65,"*V*"),COUNTIF(H65,"*R*")),SUBSTITUTE(H65,"R","S"),H65))),"0",""),"1",""),"2",""),"3",""),"4",""),"5",""),"6",""),"7",""),"8",""),"9","")&amp; Data!BW50),""))</f>
        <v/>
      </c>
      <c r="I98" s="41" t="str">
        <f>IF(AND($Y$57=1,I65&lt;&gt;""),"O"&amp; Data!BX50,IF(I65&lt;&gt;"",IF(OR(COUNTIF(I65,"L*"),COUNTIF(I65, "X*")),IF(AND(COUNTIF(I65,"*P*"),COUNTIF(I65,"*V*")),IF(COUNTIF(I65,"*R*"),SUBSTITUTE(SUBSTITUTE(I65,"P",""),"R","S")&amp; Data!BX50,SUBSTITUTE(I65,"P","")&amp; Data!BX50),IF(AND(COUNTIF(I65,"*P*"),COUNTIF(I65,"*R*")),SUBSTITUTE(I65,"R","S")&amp;Data!BX50,IF(AND(COUNTIF(I65,"*V*"),COUNTIF(I65,"*R*")),SUBSTITUTE(I65,"R","S")&amp;Data!BX50,I65 &amp; Data!BX50))),SUBSTITUTE(SUBSTITUTE(SUBSTITUTE(SUBSTITUTE(SUBSTITUTE(SUBSTITUTE(SUBSTITUTE(SUBSTITUTE(SUBSTITUTE(SUBSTITUTE(IF(AND(COUNTIF(I65,"*P*"),COUNTIF(I65,"*V*")),IF(COUNTIF(I65,"*R*"),SUBSTITUTE(SUBSTITUTE(I65,"P",""),"R","S"),SUBSTITUTE(I65,"P","")),IF(AND(COUNTIF(I65,"*P*"),COUNTIF(I65,"*R*")),SUBSTITUTE(I65,"R","S"),IF(AND(COUNTIF(I65,"*V*"),COUNTIF(I65,"*R*")),SUBSTITUTE(I65,"R","S"),I65))),"0",""),"1",""),"2",""),"3",""),"4",""),"5",""),"6",""),"7",""),"8",""),"9","")&amp; Data!BX50),""))</f>
        <v/>
      </c>
      <c r="J98" s="41" t="str">
        <f>IF(AND($Y$57=1,J65&lt;&gt;""),"O"&amp; Data!BY50,IF(J65&lt;&gt;"",IF(OR(COUNTIF(J65,"L*"),COUNTIF(J65, "X*")),IF(AND(COUNTIF(J65,"*P*"),COUNTIF(J65,"*V*")),IF(COUNTIF(J65,"*R*"),SUBSTITUTE(SUBSTITUTE(J65,"P",""),"R","S")&amp; Data!BY50,SUBSTITUTE(J65,"P","")&amp; Data!BY50),IF(AND(COUNTIF(J65,"*P*"),COUNTIF(J65,"*R*")),SUBSTITUTE(J65,"R","S")&amp;Data!BY50,IF(AND(COUNTIF(J65,"*V*"),COUNTIF(J65,"*R*")),SUBSTITUTE(J65,"R","S")&amp;Data!BY50,J65 &amp; Data!BY50))),SUBSTITUTE(SUBSTITUTE(SUBSTITUTE(SUBSTITUTE(SUBSTITUTE(SUBSTITUTE(SUBSTITUTE(SUBSTITUTE(SUBSTITUTE(SUBSTITUTE(IF(AND(COUNTIF(J65,"*P*"),COUNTIF(J65,"*V*")),IF(COUNTIF(J65,"*R*"),SUBSTITUTE(SUBSTITUTE(J65,"P",""),"R","S"),SUBSTITUTE(J65,"P","")),IF(AND(COUNTIF(J65,"*P*"),COUNTIF(J65,"*R*")),SUBSTITUTE(J65,"R","S"),IF(AND(COUNTIF(J65,"*V*"),COUNTIF(J65,"*R*")),SUBSTITUTE(J65,"R","S"),J65))),"0",""),"1",""),"2",""),"3",""),"4",""),"5",""),"6",""),"7",""),"8",""),"9","")&amp; Data!BY50),""))</f>
        <v/>
      </c>
      <c r="K98" s="41" t="str">
        <f>IF(AND($Y$57=1,K65&lt;&gt;""),"O"&amp; Data!BZ50,IF(K65&lt;&gt;"",IF(OR(COUNTIF(K65,"L*"),COUNTIF(K65, "X*")),IF(AND(COUNTIF(K65,"*P*"),COUNTIF(K65,"*V*")),IF(COUNTIF(K65,"*R*"),SUBSTITUTE(SUBSTITUTE(K65,"P",""),"R","S")&amp; Data!BZ50,SUBSTITUTE(K65,"P","")&amp; Data!BZ50),IF(AND(COUNTIF(K65,"*P*"),COUNTIF(K65,"*R*")),SUBSTITUTE(K65,"R","S")&amp;Data!BZ50,IF(AND(COUNTIF(K65,"*V*"),COUNTIF(K65,"*R*")),SUBSTITUTE(K65,"R","S")&amp;Data!BZ50,K65 &amp; Data!BZ50))),SUBSTITUTE(SUBSTITUTE(SUBSTITUTE(SUBSTITUTE(SUBSTITUTE(SUBSTITUTE(SUBSTITUTE(SUBSTITUTE(SUBSTITUTE(SUBSTITUTE(IF(AND(COUNTIF(K65,"*P*"),COUNTIF(K65,"*V*")),IF(COUNTIF(K65,"*R*"),SUBSTITUTE(SUBSTITUTE(K65,"P",""),"R","S"),SUBSTITUTE(K65,"P","")),IF(AND(COUNTIF(K65,"*P*"),COUNTIF(K65,"*R*")),SUBSTITUTE(K65,"R","S"),IF(AND(COUNTIF(K65,"*V*"),COUNTIF(K65,"*R*")),SUBSTITUTE(K65,"R","S"),K65))),"0",""),"1",""),"2",""),"3",""),"4",""),"5",""),"6",""),"7",""),"8",""),"9","")&amp; Data!BZ50),""))</f>
        <v/>
      </c>
      <c r="L98" s="41" t="str">
        <f>IF(AND($Y$57=1,L65&lt;&gt;""),"O"&amp; Data!CA50,IF(L65&lt;&gt;"",IF(OR(COUNTIF(L65,"L*"),COUNTIF(L65, "X*")),IF(AND(COUNTIF(L65,"*P*"),COUNTIF(L65,"*V*")),IF(COUNTIF(L65,"*R*"),SUBSTITUTE(SUBSTITUTE(L65,"P",""),"R","S")&amp; Data!CA50,SUBSTITUTE(L65,"P","")&amp; Data!CA50),IF(AND(COUNTIF(L65,"*P*"),COUNTIF(L65,"*R*")),SUBSTITUTE(L65,"R","S")&amp;Data!CA50,IF(AND(COUNTIF(L65,"*V*"),COUNTIF(L65,"*R*")),SUBSTITUTE(L65,"R","S")&amp;Data!CA50,L65 &amp; Data!CA50))),SUBSTITUTE(SUBSTITUTE(SUBSTITUTE(SUBSTITUTE(SUBSTITUTE(SUBSTITUTE(SUBSTITUTE(SUBSTITUTE(SUBSTITUTE(SUBSTITUTE(IF(AND(COUNTIF(L65,"*P*"),COUNTIF(L65,"*V*")),IF(COUNTIF(L65,"*R*"),SUBSTITUTE(SUBSTITUTE(L65,"P",""),"R","S"),SUBSTITUTE(L65,"P","")),IF(AND(COUNTIF(L65,"*P*"),COUNTIF(L65,"*R*")),SUBSTITUTE(L65,"R","S"),IF(AND(COUNTIF(L65,"*V*"),COUNTIF(L65,"*R*")),SUBSTITUTE(L65,"R","S"),L65))),"0",""),"1",""),"2",""),"3",""),"4",""),"5",""),"6",""),"7",""),"8",""),"9","")&amp; Data!CA50),""))</f>
        <v/>
      </c>
      <c r="M98" s="41" t="str">
        <f>IF(AND($Y$57=1,M65&lt;&gt;""),"O"&amp; Data!CB50,IF(M65&lt;&gt;"",IF(OR(COUNTIF(M65,"L*"),COUNTIF(M65, "X*")),IF(AND(COUNTIF(M65,"*P*"),COUNTIF(M65,"*V*")),IF(COUNTIF(M65,"*R*"),SUBSTITUTE(SUBSTITUTE(M65,"P",""),"R","S")&amp; Data!CB50,SUBSTITUTE(M65,"P","")&amp; Data!CB50),IF(AND(COUNTIF(M65,"*P*"),COUNTIF(M65,"*R*")),SUBSTITUTE(M65,"R","S")&amp;Data!CB50,IF(AND(COUNTIF(M65,"*V*"),COUNTIF(M65,"*R*")),SUBSTITUTE(M65,"R","S")&amp;Data!CB50,M65 &amp; Data!CB50))),SUBSTITUTE(SUBSTITUTE(SUBSTITUTE(SUBSTITUTE(SUBSTITUTE(SUBSTITUTE(SUBSTITUTE(SUBSTITUTE(SUBSTITUTE(SUBSTITUTE(IF(AND(COUNTIF(M65,"*P*"),COUNTIF(M65,"*V*")),IF(COUNTIF(M65,"*R*"),SUBSTITUTE(SUBSTITUTE(M65,"P",""),"R","S"),SUBSTITUTE(M65,"P","")),IF(AND(COUNTIF(M65,"*P*"),COUNTIF(M65,"*R*")),SUBSTITUTE(M65,"R","S"),IF(AND(COUNTIF(M65,"*V*"),COUNTIF(M65,"*R*")),SUBSTITUTE(M65,"R","S"),M65))),"0",""),"1",""),"2",""),"3",""),"4",""),"5",""),"6",""),"7",""),"8",""),"9","")&amp; Data!CB50),""))</f>
        <v/>
      </c>
      <c r="N98" s="41" t="str">
        <f>IF(AND($Y$57=1,N65&lt;&gt;""),"O"&amp; Data!CC50,IF(N65&lt;&gt;"",IF(OR(COUNTIF(N65,"L*"),COUNTIF(N65, "X*")),IF(AND(COUNTIF(N65,"*P*"),COUNTIF(N65,"*V*")),IF(COUNTIF(N65,"*R*"),SUBSTITUTE(SUBSTITUTE(N65,"P",""),"R","S")&amp; Data!CC50,SUBSTITUTE(N65,"P","")&amp; Data!CC50),IF(AND(COUNTIF(N65,"*P*"),COUNTIF(N65,"*R*")),SUBSTITUTE(N65,"R","S")&amp;Data!CC50,IF(AND(COUNTIF(N65,"*V*"),COUNTIF(N65,"*R*")),SUBSTITUTE(N65,"R","S")&amp;Data!CC50,N65 &amp; Data!CC50))),SUBSTITUTE(SUBSTITUTE(SUBSTITUTE(SUBSTITUTE(SUBSTITUTE(SUBSTITUTE(SUBSTITUTE(SUBSTITUTE(SUBSTITUTE(SUBSTITUTE(IF(AND(COUNTIF(N65,"*P*"),COUNTIF(N65,"*V*")),IF(COUNTIF(N65,"*R*"),SUBSTITUTE(SUBSTITUTE(N65,"P",""),"R","S"),SUBSTITUTE(N65,"P","")),IF(AND(COUNTIF(N65,"*P*"),COUNTIF(N65,"*R*")),SUBSTITUTE(N65,"R","S"),IF(AND(COUNTIF(N65,"*V*"),COUNTIF(N65,"*R*")),SUBSTITUTE(N65,"R","S"),N65))),"0",""),"1",""),"2",""),"3",""),"4",""),"5",""),"6",""),"7",""),"8",""),"9","")&amp; Data!CC50),""))</f>
        <v/>
      </c>
      <c r="O98" s="41" t="str">
        <f>IF(AND($Y$57=1,O65&lt;&gt;""),"O"&amp; Data!CD50,IF(O65&lt;&gt;"",IF(OR(COUNTIF(O65,"L*"),COUNTIF(O65, "X*")),IF(AND(COUNTIF(O65,"*P*"),COUNTIF(O65,"*V*")),IF(COUNTIF(O65,"*R*"),SUBSTITUTE(SUBSTITUTE(O65,"P",""),"R","S")&amp; Data!CD50,SUBSTITUTE(O65,"P","")&amp; Data!CD50),IF(AND(COUNTIF(O65,"*P*"),COUNTIF(O65,"*R*")),SUBSTITUTE(O65,"R","S")&amp;Data!CD50,IF(AND(COUNTIF(O65,"*V*"),COUNTIF(O65,"*R*")),SUBSTITUTE(O65,"R","S")&amp;Data!CD50,O65 &amp; Data!CD50))),SUBSTITUTE(SUBSTITUTE(SUBSTITUTE(SUBSTITUTE(SUBSTITUTE(SUBSTITUTE(SUBSTITUTE(SUBSTITUTE(SUBSTITUTE(SUBSTITUTE(IF(AND(COUNTIF(O65,"*P*"),COUNTIF(O65,"*V*")),IF(COUNTIF(O65,"*R*"),SUBSTITUTE(SUBSTITUTE(O65,"P",""),"R","S"),SUBSTITUTE(O65,"P","")),IF(AND(COUNTIF(O65,"*P*"),COUNTIF(O65,"*R*")),SUBSTITUTE(O65,"R","S"),IF(AND(COUNTIF(O65,"*V*"),COUNTIF(O65,"*R*")),SUBSTITUTE(O65,"R","S"),O65))),"0",""),"1",""),"2",""),"3",""),"4",""),"5",""),"6",""),"7",""),"8",""),"9","")&amp; Data!CD50),""))</f>
        <v/>
      </c>
      <c r="P98" s="41" t="str">
        <f>IF(AND($Y$57=1,P65&lt;&gt;""),"O"&amp; Data!CE50,IF(P65&lt;&gt;"",IF(OR(COUNTIF(P65,"L*"),COUNTIF(P65, "X*")),IF(AND(COUNTIF(P65,"*P*"),COUNTIF(P65,"*V*")),IF(COUNTIF(P65,"*R*"),SUBSTITUTE(SUBSTITUTE(P65,"P",""),"R","S")&amp; Data!CE50,SUBSTITUTE(P65,"P","")&amp; Data!CE50),IF(AND(COUNTIF(P65,"*P*"),COUNTIF(P65,"*R*")),SUBSTITUTE(P65,"R","S")&amp;Data!CE50,IF(AND(COUNTIF(P65,"*V*"),COUNTIF(P65,"*R*")),SUBSTITUTE(P65,"R","S")&amp;Data!CE50,P65 &amp; Data!CE50))),SUBSTITUTE(SUBSTITUTE(SUBSTITUTE(SUBSTITUTE(SUBSTITUTE(SUBSTITUTE(SUBSTITUTE(SUBSTITUTE(SUBSTITUTE(SUBSTITUTE(IF(AND(COUNTIF(P65,"*P*"),COUNTIF(P65,"*V*")),IF(COUNTIF(P65,"*R*"),SUBSTITUTE(SUBSTITUTE(P65,"P",""),"R","S"),SUBSTITUTE(P65,"P","")),IF(AND(COUNTIF(P65,"*P*"),COUNTIF(P65,"*R*")),SUBSTITUTE(P65,"R","S"),IF(AND(COUNTIF(P65,"*V*"),COUNTIF(P65,"*R*")),SUBSTITUTE(P65,"R","S"),P65))),"0",""),"1",""),"2",""),"3",""),"4",""),"5",""),"6",""),"7",""),"8",""),"9","")&amp; Data!CE50),""))</f>
        <v/>
      </c>
      <c r="Q98" s="41" t="str">
        <f>IF(AND($Y$57=1,Q65&lt;&gt;""),"O"&amp; Data!CF50,IF(Q65&lt;&gt;"",IF(OR(COUNTIF(Q65,"L*"),COUNTIF(Q65, "X*")),IF(AND(COUNTIF(Q65,"*P*"),COUNTIF(Q65,"*V*")),IF(COUNTIF(Q65,"*R*"),SUBSTITUTE(SUBSTITUTE(Q65,"P",""),"R","S")&amp; Data!CF50,SUBSTITUTE(Q65,"P","")&amp; Data!CF50),IF(AND(COUNTIF(Q65,"*P*"),COUNTIF(Q65,"*R*")),SUBSTITUTE(Q65,"R","S")&amp;Data!CF50,IF(AND(COUNTIF(Q65,"*V*"),COUNTIF(Q65,"*R*")),SUBSTITUTE(Q65,"R","S")&amp;Data!CF50,Q65 &amp; Data!CF50))),SUBSTITUTE(SUBSTITUTE(SUBSTITUTE(SUBSTITUTE(SUBSTITUTE(SUBSTITUTE(SUBSTITUTE(SUBSTITUTE(SUBSTITUTE(SUBSTITUTE(IF(AND(COUNTIF(Q65,"*P*"),COUNTIF(Q65,"*V*")),IF(COUNTIF(Q65,"*R*"),SUBSTITUTE(SUBSTITUTE(Q65,"P",""),"R","S"),SUBSTITUTE(Q65,"P","")),IF(AND(COUNTIF(Q65,"*P*"),COUNTIF(Q65,"*R*")),SUBSTITUTE(Q65,"R","S"),IF(AND(COUNTIF(Q65,"*V*"),COUNTIF(Q65,"*R*")),SUBSTITUTE(Q65,"R","S"),Q65))),"0",""),"1",""),"2",""),"3",""),"4",""),"5",""),"6",""),"7",""),"8",""),"9","")&amp; Data!CF50),""))</f>
        <v/>
      </c>
      <c r="R98" s="41" t="str">
        <f>IF(AND($Y$57=1,R65&lt;&gt;""),"O"&amp; Data!CG50,IF(R65&lt;&gt;"",IF(OR(COUNTIF(R65,"L*"),COUNTIF(R65, "X*")),IF(AND(COUNTIF(R65,"*P*"),COUNTIF(R65,"*V*")),IF(COUNTIF(R65,"*R*"),SUBSTITUTE(SUBSTITUTE(R65,"P",""),"R","S")&amp; Data!CG50,SUBSTITUTE(R65,"P","")&amp; Data!CG50),IF(AND(COUNTIF(R65,"*P*"),COUNTIF(R65,"*R*")),SUBSTITUTE(R65,"R","S")&amp;Data!CG50,IF(AND(COUNTIF(R65,"*V*"),COUNTIF(R65,"*R*")),SUBSTITUTE(R65,"R","S")&amp;Data!CG50,R65 &amp; Data!CG50))),SUBSTITUTE(SUBSTITUTE(SUBSTITUTE(SUBSTITUTE(SUBSTITUTE(SUBSTITUTE(SUBSTITUTE(SUBSTITUTE(SUBSTITUTE(SUBSTITUTE(IF(AND(COUNTIF(R65,"*P*"),COUNTIF(R65,"*V*")),IF(COUNTIF(R65,"*R*"),SUBSTITUTE(SUBSTITUTE(R65,"P",""),"R","S"),SUBSTITUTE(R65,"P","")),IF(AND(COUNTIF(R65,"*P*"),COUNTIF(R65,"*R*")),SUBSTITUTE(R65,"R","S"),IF(AND(COUNTIF(R65,"*V*"),COUNTIF(R65,"*R*")),SUBSTITUTE(R65,"R","S"),R65))),"0",""),"1",""),"2",""),"3",""),"4",""),"5",""),"6",""),"7",""),"8",""),"9","")&amp; Data!CG50),""))</f>
        <v/>
      </c>
      <c r="S98" s="41" t="str">
        <f>IF(AND($Y$57=1,S65&lt;&gt;""),"O"&amp; Data!CH50,IF(S65&lt;&gt;"",IF(OR(COUNTIF(S65,"L*"),COUNTIF(S65, "X*")),IF(AND(COUNTIF(S65,"*P*"),COUNTIF(S65,"*V*")),IF(COUNTIF(S65,"*R*"),SUBSTITUTE(SUBSTITUTE(S65,"P",""),"R","S")&amp; Data!CH50,SUBSTITUTE(S65,"P","")&amp; Data!CH50),IF(AND(COUNTIF(S65,"*P*"),COUNTIF(S65,"*R*")),SUBSTITUTE(S65,"R","S")&amp;Data!CH50,IF(AND(COUNTIF(S65,"*V*"),COUNTIF(S65,"*R*")),SUBSTITUTE(S65,"R","S")&amp;Data!CH50,S65 &amp; Data!CH50))),SUBSTITUTE(SUBSTITUTE(SUBSTITUTE(SUBSTITUTE(SUBSTITUTE(SUBSTITUTE(SUBSTITUTE(SUBSTITUTE(SUBSTITUTE(SUBSTITUTE(IF(AND(COUNTIF(S65,"*P*"),COUNTIF(S65,"*V*")),IF(COUNTIF(S65,"*R*"),SUBSTITUTE(SUBSTITUTE(S65,"P",""),"R","S"),SUBSTITUTE(S65,"P","")),IF(AND(COUNTIF(S65,"*P*"),COUNTIF(S65,"*R*")),SUBSTITUTE(S65,"R","S"),IF(AND(COUNTIF(S65,"*V*"),COUNTIF(S65,"*R*")),SUBSTITUTE(S65,"R","S"),S65))),"0",""),"1",""),"2",""),"3",""),"4",""),"5",""),"6",""),"7",""),"8",""),"9","")&amp; Data!CH50),""))</f>
        <v/>
      </c>
      <c r="T98" s="41" t="str">
        <f>IF(AND($Y$57=1,T65&lt;&gt;""),"O"&amp; Data!CI50,IF(T65&lt;&gt;"",IF(OR(COUNTIF(T65,"L*"),COUNTIF(T65, "X*")),IF(AND(COUNTIF(T65,"*P*"),COUNTIF(T65,"*V*")),IF(COUNTIF(T65,"*R*"),SUBSTITUTE(SUBSTITUTE(T65,"P",""),"R","S")&amp; Data!CI50,SUBSTITUTE(T65,"P","")&amp; Data!CI50),IF(AND(COUNTIF(T65,"*P*"),COUNTIF(T65,"*R*")),SUBSTITUTE(T65,"R","S")&amp;Data!CI50,IF(AND(COUNTIF(T65,"*V*"),COUNTIF(T65,"*R*")),SUBSTITUTE(T65,"R","S")&amp;Data!CI50,T65 &amp; Data!CI50))),SUBSTITUTE(SUBSTITUTE(SUBSTITUTE(SUBSTITUTE(SUBSTITUTE(SUBSTITUTE(SUBSTITUTE(SUBSTITUTE(SUBSTITUTE(SUBSTITUTE(IF(AND(COUNTIF(T65,"*P*"),COUNTIF(T65,"*V*")),IF(COUNTIF(T65,"*R*"),SUBSTITUTE(SUBSTITUTE(T65,"P",""),"R","S"),SUBSTITUTE(T65,"P","")),IF(AND(COUNTIF(T65,"*P*"),COUNTIF(T65,"*R*")),SUBSTITUTE(T65,"R","S"),IF(AND(COUNTIF(T65,"*V*"),COUNTIF(T65,"*R*")),SUBSTITUTE(T65,"R","S"),T65))),"0",""),"1",""),"2",""),"3",""),"4",""),"5",""),"6",""),"7",""),"8",""),"9","")&amp; Data!CI50),""))</f>
        <v/>
      </c>
      <c r="U98" s="41" t="str">
        <f>IF(AND($Y$57=1,U65&lt;&gt;""),"O"&amp; Data!CJ50,IF(U65&lt;&gt;"",IF(OR(COUNTIF(U65,"L*"),COUNTIF(U65, "X*")),IF(AND(COUNTIF(U65,"*P*"),COUNTIF(U65,"*V*")),IF(COUNTIF(U65,"*R*"),SUBSTITUTE(SUBSTITUTE(U65,"P",""),"R","S")&amp; Data!CJ50,SUBSTITUTE(U65,"P","")&amp; Data!CJ50),IF(AND(COUNTIF(U65,"*P*"),COUNTIF(U65,"*R*")),SUBSTITUTE(U65,"R","S")&amp;Data!CJ50,IF(AND(COUNTIF(U65,"*V*"),COUNTIF(U65,"*R*")),SUBSTITUTE(U65,"R","S")&amp;Data!CJ50,U65 &amp; Data!CJ50))),SUBSTITUTE(SUBSTITUTE(SUBSTITUTE(SUBSTITUTE(SUBSTITUTE(SUBSTITUTE(SUBSTITUTE(SUBSTITUTE(SUBSTITUTE(SUBSTITUTE(IF(AND(COUNTIF(U65,"*P*"),COUNTIF(U65,"*V*")),IF(COUNTIF(U65,"*R*"),SUBSTITUTE(SUBSTITUTE(U65,"P",""),"R","S"),SUBSTITUTE(U65,"P","")),IF(AND(COUNTIF(U65,"*P*"),COUNTIF(U65,"*R*")),SUBSTITUTE(U65,"R","S"),IF(AND(COUNTIF(U65,"*V*"),COUNTIF(U65,"*R*")),SUBSTITUTE(U65,"R","S"),U65))),"0",""),"1",""),"2",""),"3",""),"4",""),"5",""),"6",""),"7",""),"8",""),"9","")&amp; Data!CJ50),""))</f>
        <v/>
      </c>
      <c r="V98" s="41" t="str">
        <f>IF(AND($Y$57=1,V65&lt;&gt;""),"O"&amp; Data!CK50,IF(V65&lt;&gt;"",IF(OR(COUNTIF(V65,"L*"),COUNTIF(V65, "X*")),IF(AND(COUNTIF(V65,"*P*"),COUNTIF(V65,"*V*")),IF(COUNTIF(V65,"*R*"),SUBSTITUTE(SUBSTITUTE(V65,"P",""),"R","S")&amp; Data!CK50,SUBSTITUTE(V65,"P","")&amp; Data!CK50),IF(AND(COUNTIF(V65,"*P*"),COUNTIF(V65,"*R*")),SUBSTITUTE(V65,"R","S")&amp;Data!CK50,IF(AND(COUNTIF(V65,"*V*"),COUNTIF(V65,"*R*")),SUBSTITUTE(V65,"R","S")&amp;Data!CK50,V65 &amp; Data!CK50))),SUBSTITUTE(SUBSTITUTE(SUBSTITUTE(SUBSTITUTE(SUBSTITUTE(SUBSTITUTE(SUBSTITUTE(SUBSTITUTE(SUBSTITUTE(SUBSTITUTE(IF(AND(COUNTIF(V65,"*P*"),COUNTIF(V65,"*V*")),IF(COUNTIF(V65,"*R*"),SUBSTITUTE(SUBSTITUTE(V65,"P",""),"R","S"),SUBSTITUTE(V65,"P","")),IF(AND(COUNTIF(V65,"*P*"),COUNTIF(V65,"*R*")),SUBSTITUTE(V65,"R","S"),IF(AND(COUNTIF(V65,"*V*"),COUNTIF(V65,"*R*")),SUBSTITUTE(V65,"R","S"),V65))),"0",""),"1",""),"2",""),"3",""),"4",""),"5",""),"6",""),"7",""),"8",""),"9","")&amp; Data!CK50),""))</f>
        <v/>
      </c>
      <c r="W98" s="41" t="str">
        <f>IF(AND($Y$57=1,W65&lt;&gt;""),"O"&amp; Data!CL50,IF(W65&lt;&gt;"",IF(OR(COUNTIF(W65,"L*"),COUNTIF(W65, "X*")),IF(AND(COUNTIF(W65,"*P*"),COUNTIF(W65,"*V*")),IF(COUNTIF(W65,"*R*"),SUBSTITUTE(SUBSTITUTE(W65,"P",""),"R","S")&amp; Data!CL50,SUBSTITUTE(W65,"P","")&amp; Data!CL50),IF(AND(COUNTIF(W65,"*P*"),COUNTIF(W65,"*R*")),SUBSTITUTE(W65,"R","S")&amp;Data!CL50,IF(AND(COUNTIF(W65,"*V*"),COUNTIF(W65,"*R*")),SUBSTITUTE(W65,"R","S")&amp;Data!CL50,W65 &amp; Data!CL50))),SUBSTITUTE(SUBSTITUTE(SUBSTITUTE(SUBSTITUTE(SUBSTITUTE(SUBSTITUTE(SUBSTITUTE(SUBSTITUTE(SUBSTITUTE(SUBSTITUTE(IF(AND(COUNTIF(W65,"*P*"),COUNTIF(W65,"*V*")),IF(COUNTIF(W65,"*R*"),SUBSTITUTE(SUBSTITUTE(W65,"P",""),"R","S"),SUBSTITUTE(W65,"P","")),IF(AND(COUNTIF(W65,"*P*"),COUNTIF(W65,"*R*")),SUBSTITUTE(W65,"R","S"),IF(AND(COUNTIF(W65,"*V*"),COUNTIF(W65,"*R*")),SUBSTITUTE(W65,"R","S"),W65))),"0",""),"1",""),"2",""),"3",""),"4",""),"5",""),"6",""),"7",""),"8",""),"9","")&amp; Data!CL50),""))</f>
        <v/>
      </c>
      <c r="X98" s="41" t="str">
        <f>IF(AND($Y$57=1,X65&lt;&gt;""),"O"&amp; Data!CM50,IF(X65&lt;&gt;"",IF(OR(COUNTIF(X65,"L*"),COUNTIF(X65, "X*")),IF(AND(COUNTIF(X65,"*P*"),COUNTIF(X65,"*V*")),IF(COUNTIF(X65,"*R*"),SUBSTITUTE(SUBSTITUTE(X65,"P",""),"R","S")&amp; Data!CM50,SUBSTITUTE(X65,"P","")&amp; Data!CM50),IF(AND(COUNTIF(X65,"*P*"),COUNTIF(X65,"*R*")),SUBSTITUTE(X65,"R","S")&amp;Data!CM50,IF(AND(COUNTIF(X65,"*V*"),COUNTIF(X65,"*R*")),SUBSTITUTE(X65,"R","S")&amp;Data!CM50,X65 &amp; Data!CM50))),SUBSTITUTE(SUBSTITUTE(SUBSTITUTE(SUBSTITUTE(SUBSTITUTE(SUBSTITUTE(SUBSTITUTE(SUBSTITUTE(SUBSTITUTE(SUBSTITUTE(IF(AND(COUNTIF(X65,"*P*"),COUNTIF(X65,"*V*")),IF(COUNTIF(X65,"*R*"),SUBSTITUTE(SUBSTITUTE(X65,"P",""),"R","S"),SUBSTITUTE(X65,"P","")),IF(AND(COUNTIF(X65,"*P*"),COUNTIF(X65,"*R*")),SUBSTITUTE(X65,"R","S"),IF(AND(COUNTIF(X65,"*V*"),COUNTIF(X65,"*R*")),SUBSTITUTE(X65,"R","S"),X65))),"0",""),"1",""),"2",""),"3",""),"4",""),"5",""),"6",""),"7",""),"8",""),"9","")&amp; Data!CM50),""))</f>
        <v/>
      </c>
      <c r="Y98" s="41" t="str">
        <f>IF(AND($Y$57=1,Y65&lt;&gt;""),"O"&amp; Data!CN50,IF(Y65&lt;&gt;"",IF(OR(COUNTIF(Y65,"L*"),COUNTIF(Y65, "X*")),IF(AND(COUNTIF(Y65,"*P*"),COUNTIF(Y65,"*V*")),IF(COUNTIF(Y65,"*R*"),SUBSTITUTE(SUBSTITUTE(Y65,"P",""),"R","S")&amp; Data!CN50,SUBSTITUTE(Y65,"P","")&amp; Data!CN50),IF(AND(COUNTIF(Y65,"*P*"),COUNTIF(Y65,"*R*")),SUBSTITUTE(Y65,"R","S")&amp;Data!CN50,IF(AND(COUNTIF(Y65,"*V*"),COUNTIF(Y65,"*R*")),SUBSTITUTE(Y65,"R","S")&amp;Data!CN50,Y65 &amp; Data!CN50))),SUBSTITUTE(SUBSTITUTE(SUBSTITUTE(SUBSTITUTE(SUBSTITUTE(SUBSTITUTE(SUBSTITUTE(SUBSTITUTE(SUBSTITUTE(SUBSTITUTE(IF(AND(COUNTIF(Y65,"*P*"),COUNTIF(Y65,"*V*")),IF(COUNTIF(Y65,"*R*"),SUBSTITUTE(SUBSTITUTE(Y65,"P",""),"R","S"),SUBSTITUTE(Y65,"P","")),IF(AND(COUNTIF(Y65,"*P*"),COUNTIF(Y65,"*R*")),SUBSTITUTE(Y65,"R","S"),IF(AND(COUNTIF(Y65,"*V*"),COUNTIF(Y65,"*R*")),SUBSTITUTE(Y65,"R","S"),Y65))),"0",""),"1",""),"2",""),"3",""),"4",""),"5",""),"6",""),"7",""),"8",""),"9","")&amp; Data!CN50),""))</f>
        <v/>
      </c>
      <c r="Z98" s="41" t="str">
        <f>IF(AND($Y$57=1,Z65&lt;&gt;""),"O"&amp; Data!CO50,IF(Z65&lt;&gt;"",IF(OR(COUNTIF(Z65,"L*"),COUNTIF(Z65, "X*")),IF(AND(COUNTIF(Z65,"*P*"),COUNTIF(Z65,"*V*")),IF(COUNTIF(Z65,"*R*"),SUBSTITUTE(SUBSTITUTE(Z65,"P",""),"R","S")&amp; Data!CO50,SUBSTITUTE(Z65,"P","")&amp; Data!CO50),IF(AND(COUNTIF(Z65,"*P*"),COUNTIF(Z65,"*R*")),SUBSTITUTE(Z65,"R","S")&amp;Data!CO50,IF(AND(COUNTIF(Z65,"*V*"),COUNTIF(Z65,"*R*")),SUBSTITUTE(Z65,"R","S")&amp;Data!CO50,Z65 &amp; Data!CO50))),SUBSTITUTE(SUBSTITUTE(SUBSTITUTE(SUBSTITUTE(SUBSTITUTE(SUBSTITUTE(SUBSTITUTE(SUBSTITUTE(SUBSTITUTE(SUBSTITUTE(IF(AND(COUNTIF(Z65,"*P*"),COUNTIF(Z65,"*V*")),IF(COUNTIF(Z65,"*R*"),SUBSTITUTE(SUBSTITUTE(Z65,"P",""),"R","S"),SUBSTITUTE(Z65,"P","")),IF(AND(COUNTIF(Z65,"*P*"),COUNTIF(Z65,"*R*")),SUBSTITUTE(Z65,"R","S"),IF(AND(COUNTIF(Z65,"*V*"),COUNTIF(Z65,"*R*")),SUBSTITUTE(Z65,"R","S"),Z65))),"0",""),"1",""),"2",""),"3",""),"4",""),"5",""),"6",""),"7",""),"8",""),"9","")&amp; Data!CO50),""))</f>
        <v/>
      </c>
      <c r="AA98" s="41" t="str">
        <f>IF(AND($Y$57=1,AA65&lt;&gt;""),"O"&amp; Data!CP50,IF(AA65&lt;&gt;"",IF(OR(COUNTIF(AA65,"L*"),COUNTIF(AA65, "X*")),IF(AND(COUNTIF(AA65,"*P*"),COUNTIF(AA65,"*V*")),IF(COUNTIF(AA65,"*R*"),SUBSTITUTE(SUBSTITUTE(AA65,"P",""),"R","S")&amp; Data!CP50,SUBSTITUTE(AA65,"P","")&amp; Data!CP50),IF(AND(COUNTIF(AA65,"*P*"),COUNTIF(AA65,"*R*")),SUBSTITUTE(AA65,"R","S")&amp;Data!CP50,IF(AND(COUNTIF(AA65,"*V*"),COUNTIF(AA65,"*R*")),SUBSTITUTE(AA65,"R","S")&amp;Data!CP50,AA65 &amp; Data!CP50))),SUBSTITUTE(SUBSTITUTE(SUBSTITUTE(SUBSTITUTE(SUBSTITUTE(SUBSTITUTE(SUBSTITUTE(SUBSTITUTE(SUBSTITUTE(SUBSTITUTE(IF(AND(COUNTIF(AA65,"*P*"),COUNTIF(AA65,"*V*")),IF(COUNTIF(AA65,"*R*"),SUBSTITUTE(SUBSTITUTE(AA65,"P",""),"R","S"),SUBSTITUTE(AA65,"P","")),IF(AND(COUNTIF(AA65,"*P*"),COUNTIF(AA65,"*R*")),SUBSTITUTE(AA65,"R","S"),IF(AND(COUNTIF(AA65,"*V*"),COUNTIF(AA65,"*R*")),SUBSTITUTE(AA65,"R","S"),AA65))),"0",""),"1",""),"2",""),"3",""),"4",""),"5",""),"6",""),"7",""),"8",""),"9","")&amp; Data!CP50),""))</f>
        <v/>
      </c>
      <c r="AB98" s="41" t="str">
        <f>IF(AND($Y$57=1,AB65&lt;&gt;""),"O"&amp; Data!CQ50,IF(AB65&lt;&gt;"",IF(OR(COUNTIF(AB65,"L*"),COUNTIF(AB65, "X*")),IF(AND(COUNTIF(AB65,"*P*"),COUNTIF(AB65,"*V*")),IF(COUNTIF(AB65,"*R*"),SUBSTITUTE(SUBSTITUTE(AB65,"P",""),"R","S")&amp; Data!CQ50,SUBSTITUTE(AB65,"P","")&amp; Data!CQ50),IF(AND(COUNTIF(AB65,"*P*"),COUNTIF(AB65,"*R*")),SUBSTITUTE(AB65,"R","S")&amp;Data!CQ50,IF(AND(COUNTIF(AB65,"*V*"),COUNTIF(AB65,"*R*")),SUBSTITUTE(AB65,"R","S")&amp;Data!CQ50,AB65 &amp; Data!CQ50))),SUBSTITUTE(SUBSTITUTE(SUBSTITUTE(SUBSTITUTE(SUBSTITUTE(SUBSTITUTE(SUBSTITUTE(SUBSTITUTE(SUBSTITUTE(SUBSTITUTE(IF(AND(COUNTIF(AB65,"*P*"),COUNTIF(AB65,"*V*")),IF(COUNTIF(AB65,"*R*"),SUBSTITUTE(SUBSTITUTE(AB65,"P",""),"R","S"),SUBSTITUTE(AB65,"P","")),IF(AND(COUNTIF(AB65,"*P*"),COUNTIF(AB65,"*R*")),SUBSTITUTE(AB65,"R","S"),IF(AND(COUNTIF(AB65,"*V*"),COUNTIF(AB65,"*R*")),SUBSTITUTE(AB65,"R","S"),AB65))),"0",""),"1",""),"2",""),"3",""),"4",""),"5",""),"6",""),"7",""),"8",""),"9","")&amp; Data!CQ50),""))</f>
        <v/>
      </c>
      <c r="AC98" s="41" t="str">
        <f>IF(AND($Y$57=1,AC65&lt;&gt;""),"O"&amp; Data!CR50,IF(AC65&lt;&gt;"",IF(OR(COUNTIF(AC65,"L*"),COUNTIF(AC65, "X*")),IF(AND(COUNTIF(AC65,"*P*"),COUNTIF(AC65,"*V*")),IF(COUNTIF(AC65,"*R*"),SUBSTITUTE(SUBSTITUTE(AC65,"P",""),"R","S")&amp; Data!CR50,SUBSTITUTE(AC65,"P","")&amp; Data!CR50),IF(AND(COUNTIF(AC65,"*P*"),COUNTIF(AC65,"*R*")),SUBSTITUTE(AC65,"R","S")&amp;Data!CR50,IF(AND(COUNTIF(AC65,"*V*"),COUNTIF(AC65,"*R*")),SUBSTITUTE(AC65,"R","S")&amp;Data!CR50,AC65 &amp; Data!CR50))),SUBSTITUTE(SUBSTITUTE(SUBSTITUTE(SUBSTITUTE(SUBSTITUTE(SUBSTITUTE(SUBSTITUTE(SUBSTITUTE(SUBSTITUTE(SUBSTITUTE(IF(AND(COUNTIF(AC65,"*P*"),COUNTIF(AC65,"*V*")),IF(COUNTIF(AC65,"*R*"),SUBSTITUTE(SUBSTITUTE(AC65,"P",""),"R","S"),SUBSTITUTE(AC65,"P","")),IF(AND(COUNTIF(AC65,"*P*"),COUNTIF(AC65,"*R*")),SUBSTITUTE(AC65,"R","S"),IF(AND(COUNTIF(AC65,"*V*"),COUNTIF(AC65,"*R*")),SUBSTITUTE(AC65,"R","S"),AC65))),"0",""),"1",""),"2",""),"3",""),"4",""),"5",""),"6",""),"7",""),"8",""),"9","")&amp; Data!CR50),""))</f>
        <v/>
      </c>
      <c r="AD98" s="41" t="str">
        <f>IF(AND($Y$57=1,AD65&lt;&gt;""),"O"&amp; Data!CS50,IF(AD65&lt;&gt;"",IF(OR(COUNTIF(AD65,"L*"),COUNTIF(AD65, "X*")),IF(AND(COUNTIF(AD65,"*P*"),COUNTIF(AD65,"*V*")),IF(COUNTIF(AD65,"*R*"),SUBSTITUTE(SUBSTITUTE(AD65,"P",""),"R","S")&amp; Data!CS50,SUBSTITUTE(AD65,"P","")&amp; Data!CS50),IF(AND(COUNTIF(AD65,"*P*"),COUNTIF(AD65,"*R*")),SUBSTITUTE(AD65,"R","S")&amp;Data!CS50,IF(AND(COUNTIF(AD65,"*V*"),COUNTIF(AD65,"*R*")),SUBSTITUTE(AD65,"R","S")&amp;Data!CS50,AD65 &amp; Data!CS50))),SUBSTITUTE(SUBSTITUTE(SUBSTITUTE(SUBSTITUTE(SUBSTITUTE(SUBSTITUTE(SUBSTITUTE(SUBSTITUTE(SUBSTITUTE(SUBSTITUTE(IF(AND(COUNTIF(AD65,"*P*"),COUNTIF(AD65,"*V*")),IF(COUNTIF(AD65,"*R*"),SUBSTITUTE(SUBSTITUTE(AD65,"P",""),"R","S"),SUBSTITUTE(AD65,"P","")),IF(AND(COUNTIF(AD65,"*P*"),COUNTIF(AD65,"*R*")),SUBSTITUTE(AD65,"R","S"),IF(AND(COUNTIF(AD65,"*V*"),COUNTIF(AD65,"*R*")),SUBSTITUTE(AD65,"R","S"),AD65))),"0",""),"1",""),"2",""),"3",""),"4",""),"5",""),"6",""),"7",""),"8",""),"9","")&amp; Data!CS50),""))</f>
        <v/>
      </c>
      <c r="AE98" s="41" t="str">
        <f>IF(AND($Y$57=1,AE65&lt;&gt;""),"O"&amp; Data!CT50,IF(AE65&lt;&gt;"",IF(OR(COUNTIF(AE65,"L*"),COUNTIF(AE65, "X*")),IF(AND(COUNTIF(AE65,"*P*"),COUNTIF(AE65,"*V*")),IF(COUNTIF(AE65,"*R*"),SUBSTITUTE(SUBSTITUTE(AE65,"P",""),"R","S")&amp; Data!CT50,SUBSTITUTE(AE65,"P","")&amp; Data!CT50),IF(AND(COUNTIF(AE65,"*P*"),COUNTIF(AE65,"*R*")),SUBSTITUTE(AE65,"R","S")&amp;Data!CT50,IF(AND(COUNTIF(AE65,"*V*"),COUNTIF(AE65,"*R*")),SUBSTITUTE(AE65,"R","S")&amp;Data!CT50,AE65 &amp; Data!CT50))),SUBSTITUTE(SUBSTITUTE(SUBSTITUTE(SUBSTITUTE(SUBSTITUTE(SUBSTITUTE(SUBSTITUTE(SUBSTITUTE(SUBSTITUTE(SUBSTITUTE(IF(AND(COUNTIF(AE65,"*P*"),COUNTIF(AE65,"*V*")),IF(COUNTIF(AE65,"*R*"),SUBSTITUTE(SUBSTITUTE(AE65,"P",""),"R","S"),SUBSTITUTE(AE65,"P","")),IF(AND(COUNTIF(AE65,"*P*"),COUNTIF(AE65,"*R*")),SUBSTITUTE(AE65,"R","S"),IF(AND(COUNTIF(AE65,"*V*"),COUNTIF(AE65,"*R*")),SUBSTITUTE(AE65,"R","S"),AE65))),"0",""),"1",""),"2",""),"3",""),"4",""),"5",""),"6",""),"7",""),"8",""),"9","")&amp; Data!CT50),""))</f>
        <v/>
      </c>
      <c r="AF98" s="41" t="str">
        <f>IF(AND($Y$57=1,AF65&lt;&gt;""),"O"&amp; Data!CU50,IF(AF65&lt;&gt;"",IF(OR(COUNTIF(AF65,"L*"),COUNTIF(AF65, "X*")),IF(AND(COUNTIF(AF65,"*P*"),COUNTIF(AF65,"*V*")),IF(COUNTIF(AF65,"*R*"),SUBSTITUTE(SUBSTITUTE(AF65,"P",""),"R","S")&amp; Data!CU50,SUBSTITUTE(AF65,"P","")&amp; Data!CU50),IF(AND(COUNTIF(AF65,"*P*"),COUNTIF(AF65,"*R*")),SUBSTITUTE(AF65,"R","S")&amp;Data!CU50,IF(AND(COUNTIF(AF65,"*V*"),COUNTIF(AF65,"*R*")),SUBSTITUTE(AF65,"R","S")&amp;Data!CU50,AF65 &amp; Data!CU50))),SUBSTITUTE(SUBSTITUTE(SUBSTITUTE(SUBSTITUTE(SUBSTITUTE(SUBSTITUTE(SUBSTITUTE(SUBSTITUTE(SUBSTITUTE(SUBSTITUTE(IF(AND(COUNTIF(AF65,"*P*"),COUNTIF(AF65,"*V*")),IF(COUNTIF(AF65,"*R*"),SUBSTITUTE(SUBSTITUTE(AF65,"P",""),"R","S"),SUBSTITUTE(AF65,"P","")),IF(AND(COUNTIF(AF65,"*P*"),COUNTIF(AF65,"*R*")),SUBSTITUTE(AF65,"R","S"),IF(AND(COUNTIF(AF65,"*V*"),COUNTIF(AF65,"*R*")),SUBSTITUTE(AF65,"R","S"),AF65))),"0",""),"1",""),"2",""),"3",""),"4",""),"5",""),"6",""),"7",""),"8",""),"9","")&amp; Data!CU50),""))</f>
        <v/>
      </c>
      <c r="AG98" s="41" t="str">
        <f>IF(AND($Y$57=1,AG65&lt;&gt;""),"O"&amp; Data!CV50,IF(AG65&lt;&gt;"",IF(OR(COUNTIF(AG65,"L*"),COUNTIF(AG65, "X*")),IF(AND(COUNTIF(AG65,"*P*"),COUNTIF(AG65,"*V*")),IF(COUNTIF(AG65,"*R*"),SUBSTITUTE(SUBSTITUTE(AG65,"P",""),"R","S")&amp; Data!CV50,SUBSTITUTE(AG65,"P","")&amp; Data!CV50),IF(AND(COUNTIF(AG65,"*P*"),COUNTIF(AG65,"*R*")),SUBSTITUTE(AG65,"R","S")&amp;Data!CV50,IF(AND(COUNTIF(AG65,"*V*"),COUNTIF(AG65,"*R*")),SUBSTITUTE(AG65,"R","S")&amp;Data!CV50,AG65 &amp; Data!CV50))),SUBSTITUTE(SUBSTITUTE(SUBSTITUTE(SUBSTITUTE(SUBSTITUTE(SUBSTITUTE(SUBSTITUTE(SUBSTITUTE(SUBSTITUTE(SUBSTITUTE(IF(AND(COUNTIF(AG65,"*P*"),COUNTIF(AG65,"*V*")),IF(COUNTIF(AG65,"*R*"),SUBSTITUTE(SUBSTITUTE(AG65,"P",""),"R","S"),SUBSTITUTE(AG65,"P","")),IF(AND(COUNTIF(AG65,"*P*"),COUNTIF(AG65,"*R*")),SUBSTITUTE(AG65,"R","S"),IF(AND(COUNTIF(AG65,"*V*"),COUNTIF(AG65,"*R*")),SUBSTITUTE(AG65,"R","S"),AG65))),"0",""),"1",""),"2",""),"3",""),"4",""),"5",""),"6",""),"7",""),"8",""),"9","")&amp; Data!CV50),""))</f>
        <v/>
      </c>
      <c r="AH98" s="41" t="str">
        <f>IF(AND($Y$57=1,AH65&lt;&gt;""),"O"&amp; Data!CW50,IF(AH65&lt;&gt;"",IF(OR(COUNTIF(AH65,"L*"),COUNTIF(AH65, "X*")),IF(AND(COUNTIF(AH65,"*P*"),COUNTIF(AH65,"*V*")),IF(COUNTIF(AH65,"*R*"),SUBSTITUTE(SUBSTITUTE(AH65,"P",""),"R","S")&amp; Data!CW50,SUBSTITUTE(AH65,"P","")&amp; Data!CW50),IF(AND(COUNTIF(AH65,"*P*"),COUNTIF(AH65,"*R*")),SUBSTITUTE(AH65,"R","S")&amp;Data!CW50,IF(AND(COUNTIF(AH65,"*V*"),COUNTIF(AH65,"*R*")),SUBSTITUTE(AH65,"R","S")&amp;Data!CW50,AH65 &amp; Data!CW50))),SUBSTITUTE(SUBSTITUTE(SUBSTITUTE(SUBSTITUTE(SUBSTITUTE(SUBSTITUTE(SUBSTITUTE(SUBSTITUTE(SUBSTITUTE(SUBSTITUTE(IF(AND(COUNTIF(AH65,"*P*"),COUNTIF(AH65,"*V*")),IF(COUNTIF(AH65,"*R*"),SUBSTITUTE(SUBSTITUTE(AH65,"P",""),"R","S"),SUBSTITUTE(AH65,"P","")),IF(AND(COUNTIF(AH65,"*P*"),COUNTIF(AH65,"*R*")),SUBSTITUTE(AH65,"R","S"),IF(AND(COUNTIF(AH65,"*V*"),COUNTIF(AH65,"*R*")),SUBSTITUTE(AH65,"R","S"),AH65))),"0",""),"1",""),"2",""),"3",""),"4",""),"5",""),"6",""),"7",""),"8",""),"9","")&amp; Data!CW50),""))</f>
        <v/>
      </c>
      <c r="AI98" s="41" t="str">
        <f>IF(AND($Y$57=1,AI65&lt;&gt;""),"O"&amp; Data!CX50,IF(AI65&lt;&gt;"",IF(OR(COUNTIF(AI65,"L*"),COUNTIF(AI65, "X*")),IF(AND(COUNTIF(AI65,"*P*"),COUNTIF(AI65,"*V*")),IF(COUNTIF(AI65,"*R*"),SUBSTITUTE(SUBSTITUTE(AI65,"P",""),"R","S")&amp; Data!CX50,SUBSTITUTE(AI65,"P","")&amp; Data!CX50),IF(AND(COUNTIF(AI65,"*P*"),COUNTIF(AI65,"*R*")),SUBSTITUTE(AI65,"R","S")&amp;Data!CX50,IF(AND(COUNTIF(AI65,"*V*"),COUNTIF(AI65,"*R*")),SUBSTITUTE(AI65,"R","S")&amp;Data!CX50,AI65 &amp; Data!CX50))),SUBSTITUTE(SUBSTITUTE(SUBSTITUTE(SUBSTITUTE(SUBSTITUTE(SUBSTITUTE(SUBSTITUTE(SUBSTITUTE(SUBSTITUTE(SUBSTITUTE(IF(AND(COUNTIF(AI65,"*P*"),COUNTIF(AI65,"*V*")),IF(COUNTIF(AI65,"*R*"),SUBSTITUTE(SUBSTITUTE(AI65,"P",""),"R","S"),SUBSTITUTE(AI65,"P","")),IF(AND(COUNTIF(AI65,"*P*"),COUNTIF(AI65,"*R*")),SUBSTITUTE(AI65,"R","S"),IF(AND(COUNTIF(AI65,"*V*"),COUNTIF(AI65,"*R*")),SUBSTITUTE(AI65,"R","S"),AI65))),"0",""),"1",""),"2",""),"3",""),"4",""),"5",""),"6",""),"7",""),"8",""),"9","")&amp; Data!CX50),""))</f>
        <v/>
      </c>
      <c r="AJ98" s="41" t="str">
        <f>IF(AND($Y$57=1,AJ65&lt;&gt;""),"O"&amp; Data!CY50,IF(AJ65&lt;&gt;"",IF(OR(COUNTIF(AJ65,"L*"),COUNTIF(AJ65, "X*")),IF(AND(COUNTIF(AJ65,"*P*"),COUNTIF(AJ65,"*V*")),IF(COUNTIF(AJ65,"*R*"),SUBSTITUTE(SUBSTITUTE(AJ65,"P",""),"R","S")&amp; Data!CY50,SUBSTITUTE(AJ65,"P","")&amp; Data!CY50),IF(AND(COUNTIF(AJ65,"*P*"),COUNTIF(AJ65,"*R*")),SUBSTITUTE(AJ65,"R","S")&amp;Data!CY50,IF(AND(COUNTIF(AJ65,"*V*"),COUNTIF(AJ65,"*R*")),SUBSTITUTE(AJ65,"R","S")&amp;Data!CY50,AJ65 &amp; Data!CY50))),SUBSTITUTE(SUBSTITUTE(SUBSTITUTE(SUBSTITUTE(SUBSTITUTE(SUBSTITUTE(SUBSTITUTE(SUBSTITUTE(SUBSTITUTE(SUBSTITUTE(IF(AND(COUNTIF(AJ65,"*P*"),COUNTIF(AJ65,"*V*")),IF(COUNTIF(AJ65,"*R*"),SUBSTITUTE(SUBSTITUTE(AJ65,"P",""),"R","S"),SUBSTITUTE(AJ65,"P","")),IF(AND(COUNTIF(AJ65,"*P*"),COUNTIF(AJ65,"*R*")),SUBSTITUTE(AJ65,"R","S"),IF(AND(COUNTIF(AJ65,"*V*"),COUNTIF(AJ65,"*R*")),SUBSTITUTE(AJ65,"R","S"),AJ65))),"0",""),"1",""),"2",""),"3",""),"4",""),"5",""),"6",""),"7",""),"8",""),"9","")&amp; Data!CY50),""))</f>
        <v/>
      </c>
      <c r="AP98" s="99">
        <f>IF(Data!CX64&gt;0,IF(Data!CX64&lt;&gt;"", Data!CX64, " ")," ")</f>
        <v>5</v>
      </c>
      <c r="AQ98" s="99" t="str">
        <f>IF(AU58+AU59+AU60+AU61=0,"",AU58+AU59+AU60+AU61)</f>
        <v/>
      </c>
      <c r="AR98" s="99">
        <f>IF(Data!GK6&gt;0,IF(Data!GK6&lt;&gt;"",Data!GK6," ")," ")</f>
        <v>1613</v>
      </c>
      <c r="AS98" s="99">
        <f>IF(Data!GG6&gt;0,IF(Data!GG6&lt;&gt;"",Data!GG6," ")," ")</f>
        <v>1126402</v>
      </c>
      <c r="AT98" s="99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>CT421  18-60</v>
      </c>
      <c r="AU98" s="99" t="str">
        <f>IF(AND(Data!GR6&lt;&gt;"",Data!GR6&lt;&gt;0),Data!GR6,"")</f>
        <v/>
      </c>
      <c r="AV98" s="99" t="str">
        <f>IF(AU59+AU61=0,"",AU59+AU61)</f>
        <v/>
      </c>
      <c r="AW98" s="99" t="str">
        <f t="shared" si="13"/>
        <v/>
      </c>
      <c r="AX98" s="100"/>
    </row>
    <row r="99" spans="1:54" ht="24" customHeight="1" thickBot="1" x14ac:dyDescent="0.4">
      <c r="A99" s="1196"/>
      <c r="B99" s="22">
        <v>6</v>
      </c>
      <c r="C99" s="41" t="str">
        <f>IF(AND($Y$57=1,C66&lt;&gt;""),"O"&amp; Data!BR51,IF(C66&lt;&gt;"",IF(OR(COUNTIF(C66,"L*"),COUNTIF(C66, "X*")),IF(AND(COUNTIF(C66,"*P*"),COUNTIF(C66,"*V*")),IF(COUNTIF(C66,"*R*"),SUBSTITUTE(SUBSTITUTE(C66,"P",""),"R","S")&amp; Data!BR51,SUBSTITUTE(C66,"P","")&amp; Data!BR51),IF(AND(COUNTIF(C66,"*P*"),COUNTIF(C66,"*R*")),SUBSTITUTE(C66,"R","S")&amp;Data!BR51,IF(AND(COUNTIF(C66,"*V*"),COUNTIF(C66,"*R*")),SUBSTITUTE(C66,"R","S")&amp;Data!BR51,C66 &amp; Data!BR51))),SUBSTITUTE(SUBSTITUTE(SUBSTITUTE(SUBSTITUTE(SUBSTITUTE(SUBSTITUTE(SUBSTITUTE(SUBSTITUTE(SUBSTITUTE(SUBSTITUTE(IF(AND(COUNTIF(C66,"*P*"),COUNTIF(C66,"*V*")),IF(COUNTIF(C66,"*R*"),SUBSTITUTE(SUBSTITUTE(C66,"P",""),"R","S"),SUBSTITUTE(C66,"P","")),IF(AND(COUNTIF(C66,"*P*"),COUNTIF(C66,"*R*")),SUBSTITUTE(C66,"R","S"),IF(AND(COUNTIF(C66,"*V*"),COUNTIF(C66,"*R*")),SUBSTITUTE(C66,"R","S"),C66))),"0",""),"1",""),"2",""),"3",""),"4",""),"5",""),"6",""),"7",""),"8",""),"9","")&amp; Data!BR51),""))</f>
        <v/>
      </c>
      <c r="D99" s="41" t="str">
        <f>IF(AND($Y$57=1,D66&lt;&gt;""),"O"&amp; Data!BS51,IF(D66&lt;&gt;"",IF(OR(COUNTIF(D66,"L*"),COUNTIF(D66, "X*")),IF(AND(COUNTIF(D66,"*P*"),COUNTIF(D66,"*V*")),IF(COUNTIF(D66,"*R*"),SUBSTITUTE(SUBSTITUTE(D66,"P",""),"R","S")&amp; Data!BS51,SUBSTITUTE(D66,"P","")&amp; Data!BS51),IF(AND(COUNTIF(D66,"*P*"),COUNTIF(D66,"*R*")),SUBSTITUTE(D66,"R","S")&amp;Data!BS51,IF(AND(COUNTIF(D66,"*V*"),COUNTIF(D66,"*R*")),SUBSTITUTE(D66,"R","S")&amp;Data!BS51,D66 &amp; Data!BS51))),SUBSTITUTE(SUBSTITUTE(SUBSTITUTE(SUBSTITUTE(SUBSTITUTE(SUBSTITUTE(SUBSTITUTE(SUBSTITUTE(SUBSTITUTE(SUBSTITUTE(IF(AND(COUNTIF(D66,"*P*"),COUNTIF(D66,"*V*")),IF(COUNTIF(D66,"*R*"),SUBSTITUTE(SUBSTITUTE(D66,"P",""),"R","S"),SUBSTITUTE(D66,"P","")),IF(AND(COUNTIF(D66,"*P*"),COUNTIF(D66,"*R*")),SUBSTITUTE(D66,"R","S"),IF(AND(COUNTIF(D66,"*V*"),COUNTIF(D66,"*R*")),SUBSTITUTE(D66,"R","S"),D66))),"0",""),"1",""),"2",""),"3",""),"4",""),"5",""),"6",""),"7",""),"8",""),"9","")&amp; Data!BS51),""))</f>
        <v/>
      </c>
      <c r="E99" s="41" t="str">
        <f>IF(AND($Y$57=1,E66&lt;&gt;""),"O"&amp; Data!BT51,IF(E66&lt;&gt;"",IF(OR(COUNTIF(E66,"L*"),COUNTIF(E66, "X*")),IF(AND(COUNTIF(E66,"*P*"),COUNTIF(E66,"*V*")),IF(COUNTIF(E66,"*R*"),SUBSTITUTE(SUBSTITUTE(E66,"P",""),"R","S")&amp; Data!BT51,SUBSTITUTE(E66,"P","")&amp; Data!BT51),IF(AND(COUNTIF(E66,"*P*"),COUNTIF(E66,"*R*")),SUBSTITUTE(E66,"R","S")&amp;Data!BT51,IF(AND(COUNTIF(E66,"*V*"),COUNTIF(E66,"*R*")),SUBSTITUTE(E66,"R","S")&amp;Data!BT51,E66 &amp; Data!BT51))),SUBSTITUTE(SUBSTITUTE(SUBSTITUTE(SUBSTITUTE(SUBSTITUTE(SUBSTITUTE(SUBSTITUTE(SUBSTITUTE(SUBSTITUTE(SUBSTITUTE(IF(AND(COUNTIF(E66,"*P*"),COUNTIF(E66,"*V*")),IF(COUNTIF(E66,"*R*"),SUBSTITUTE(SUBSTITUTE(E66,"P",""),"R","S"),SUBSTITUTE(E66,"P","")),IF(AND(COUNTIF(E66,"*P*"),COUNTIF(E66,"*R*")),SUBSTITUTE(E66,"R","S"),IF(AND(COUNTIF(E66,"*V*"),COUNTIF(E66,"*R*")),SUBSTITUTE(E66,"R","S"),E66))),"0",""),"1",""),"2",""),"3",""),"4",""),"5",""),"6",""),"7",""),"8",""),"9","")&amp; Data!BT51),""))</f>
        <v/>
      </c>
      <c r="F99" s="41" t="str">
        <f>IF(AND($Y$57=1,F66&lt;&gt;""),"O"&amp; Data!BU51,IF(F66&lt;&gt;"",IF(OR(COUNTIF(F66,"L*"),COUNTIF(F66, "X*")),IF(AND(COUNTIF(F66,"*P*"),COUNTIF(F66,"*V*")),IF(COUNTIF(F66,"*R*"),SUBSTITUTE(SUBSTITUTE(F66,"P",""),"R","S")&amp; Data!BU51,SUBSTITUTE(F66,"P","")&amp; Data!BU51),IF(AND(COUNTIF(F66,"*P*"),COUNTIF(F66,"*R*")),SUBSTITUTE(F66,"R","S")&amp;Data!BU51,IF(AND(COUNTIF(F66,"*V*"),COUNTIF(F66,"*R*")),SUBSTITUTE(F66,"R","S")&amp;Data!BU51,F66 &amp; Data!BU51))),SUBSTITUTE(SUBSTITUTE(SUBSTITUTE(SUBSTITUTE(SUBSTITUTE(SUBSTITUTE(SUBSTITUTE(SUBSTITUTE(SUBSTITUTE(SUBSTITUTE(IF(AND(COUNTIF(F66,"*P*"),COUNTIF(F66,"*V*")),IF(COUNTIF(F66,"*R*"),SUBSTITUTE(SUBSTITUTE(F66,"P",""),"R","S"),SUBSTITUTE(F66,"P","")),IF(AND(COUNTIF(F66,"*P*"),COUNTIF(F66,"*R*")),SUBSTITUTE(F66,"R","S"),IF(AND(COUNTIF(F66,"*V*"),COUNTIF(F66,"*R*")),SUBSTITUTE(F66,"R","S"),F66))),"0",""),"1",""),"2",""),"3",""),"4",""),"5",""),"6",""),"7",""),"8",""),"9","")&amp; Data!BU51),""))</f>
        <v/>
      </c>
      <c r="G99" s="41" t="str">
        <f>IF(AND($Y$57=1,G66&lt;&gt;""),"O"&amp; Data!BV51,IF(G66&lt;&gt;"",IF(OR(COUNTIF(G66,"L*"),COUNTIF(G66, "X*")),IF(AND(COUNTIF(G66,"*P*"),COUNTIF(G66,"*V*")),IF(COUNTIF(G66,"*R*"),SUBSTITUTE(SUBSTITUTE(G66,"P",""),"R","S")&amp; Data!BV51,SUBSTITUTE(G66,"P","")&amp; Data!BV51),IF(AND(COUNTIF(G66,"*P*"),COUNTIF(G66,"*R*")),SUBSTITUTE(G66,"R","S")&amp;Data!BV51,IF(AND(COUNTIF(G66,"*V*"),COUNTIF(G66,"*R*")),SUBSTITUTE(G66,"R","S")&amp;Data!BV51,G66 &amp; Data!BV51))),SUBSTITUTE(SUBSTITUTE(SUBSTITUTE(SUBSTITUTE(SUBSTITUTE(SUBSTITUTE(SUBSTITUTE(SUBSTITUTE(SUBSTITUTE(SUBSTITUTE(IF(AND(COUNTIF(G66,"*P*"),COUNTIF(G66,"*V*")),IF(COUNTIF(G66,"*R*"),SUBSTITUTE(SUBSTITUTE(G66,"P",""),"R","S"),SUBSTITUTE(G66,"P","")),IF(AND(COUNTIF(G66,"*P*"),COUNTIF(G66,"*R*")),SUBSTITUTE(G66,"R","S"),IF(AND(COUNTIF(G66,"*V*"),COUNTIF(G66,"*R*")),SUBSTITUTE(G66,"R","S"),G66))),"0",""),"1",""),"2",""),"3",""),"4",""),"5",""),"6",""),"7",""),"8",""),"9","")&amp; Data!BV51),""))</f>
        <v/>
      </c>
      <c r="H99" s="41" t="str">
        <f>IF(AND($Y$57=1,H66&lt;&gt;""),"O"&amp; Data!BW51,IF(H66&lt;&gt;"",IF(OR(COUNTIF(H66,"L*"),COUNTIF(H66, "X*")),IF(AND(COUNTIF(H66,"*P*"),COUNTIF(H66,"*V*")),IF(COUNTIF(H66,"*R*"),SUBSTITUTE(SUBSTITUTE(H66,"P",""),"R","S")&amp; Data!BW51,SUBSTITUTE(H66,"P","")&amp; Data!BW51),IF(AND(COUNTIF(H66,"*P*"),COUNTIF(H66,"*R*")),SUBSTITUTE(H66,"R","S")&amp;Data!BW51,IF(AND(COUNTIF(H66,"*V*"),COUNTIF(H66,"*R*")),SUBSTITUTE(H66,"R","S")&amp;Data!BW51,H66 &amp; Data!BW51))),SUBSTITUTE(SUBSTITUTE(SUBSTITUTE(SUBSTITUTE(SUBSTITUTE(SUBSTITUTE(SUBSTITUTE(SUBSTITUTE(SUBSTITUTE(SUBSTITUTE(IF(AND(COUNTIF(H66,"*P*"),COUNTIF(H66,"*V*")),IF(COUNTIF(H66,"*R*"),SUBSTITUTE(SUBSTITUTE(H66,"P",""),"R","S"),SUBSTITUTE(H66,"P","")),IF(AND(COUNTIF(H66,"*P*"),COUNTIF(H66,"*R*")),SUBSTITUTE(H66,"R","S"),IF(AND(COUNTIF(H66,"*V*"),COUNTIF(H66,"*R*")),SUBSTITUTE(H66,"R","S"),H66))),"0",""),"1",""),"2",""),"3",""),"4",""),"5",""),"6",""),"7",""),"8",""),"9","")&amp; Data!BW51),""))</f>
        <v/>
      </c>
      <c r="I99" s="41" t="str">
        <f>IF(AND($Y$57=1,I66&lt;&gt;""),"O"&amp; Data!BX51,IF(I66&lt;&gt;"",IF(OR(COUNTIF(I66,"L*"),COUNTIF(I66, "X*")),IF(AND(COUNTIF(I66,"*P*"),COUNTIF(I66,"*V*")),IF(COUNTIF(I66,"*R*"),SUBSTITUTE(SUBSTITUTE(I66,"P",""),"R","S")&amp; Data!BX51,SUBSTITUTE(I66,"P","")&amp; Data!BX51),IF(AND(COUNTIF(I66,"*P*"),COUNTIF(I66,"*R*")),SUBSTITUTE(I66,"R","S")&amp;Data!BX51,IF(AND(COUNTIF(I66,"*V*"),COUNTIF(I66,"*R*")),SUBSTITUTE(I66,"R","S")&amp;Data!BX51,I66 &amp; Data!BX51))),SUBSTITUTE(SUBSTITUTE(SUBSTITUTE(SUBSTITUTE(SUBSTITUTE(SUBSTITUTE(SUBSTITUTE(SUBSTITUTE(SUBSTITUTE(SUBSTITUTE(IF(AND(COUNTIF(I66,"*P*"),COUNTIF(I66,"*V*")),IF(COUNTIF(I66,"*R*"),SUBSTITUTE(SUBSTITUTE(I66,"P",""),"R","S"),SUBSTITUTE(I66,"P","")),IF(AND(COUNTIF(I66,"*P*"),COUNTIF(I66,"*R*")),SUBSTITUTE(I66,"R","S"),IF(AND(COUNTIF(I66,"*V*"),COUNTIF(I66,"*R*")),SUBSTITUTE(I66,"R","S"),I66))),"0",""),"1",""),"2",""),"3",""),"4",""),"5",""),"6",""),"7",""),"8",""),"9","")&amp; Data!BX51),""))</f>
        <v/>
      </c>
      <c r="J99" s="41" t="str">
        <f>IF(AND($Y$57=1,J66&lt;&gt;""),"O"&amp; Data!BY51,IF(J66&lt;&gt;"",IF(OR(COUNTIF(J66,"L*"),COUNTIF(J66, "X*")),IF(AND(COUNTIF(J66,"*P*"),COUNTIF(J66,"*V*")),IF(COUNTIF(J66,"*R*"),SUBSTITUTE(SUBSTITUTE(J66,"P",""),"R","S")&amp; Data!BY51,SUBSTITUTE(J66,"P","")&amp; Data!BY51),IF(AND(COUNTIF(J66,"*P*"),COUNTIF(J66,"*R*")),SUBSTITUTE(J66,"R","S")&amp;Data!BY51,IF(AND(COUNTIF(J66,"*V*"),COUNTIF(J66,"*R*")),SUBSTITUTE(J66,"R","S")&amp;Data!BY51,J66 &amp; Data!BY51))),SUBSTITUTE(SUBSTITUTE(SUBSTITUTE(SUBSTITUTE(SUBSTITUTE(SUBSTITUTE(SUBSTITUTE(SUBSTITUTE(SUBSTITUTE(SUBSTITUTE(IF(AND(COUNTIF(J66,"*P*"),COUNTIF(J66,"*V*")),IF(COUNTIF(J66,"*R*"),SUBSTITUTE(SUBSTITUTE(J66,"P",""),"R","S"),SUBSTITUTE(J66,"P","")),IF(AND(COUNTIF(J66,"*P*"),COUNTIF(J66,"*R*")),SUBSTITUTE(J66,"R","S"),IF(AND(COUNTIF(J66,"*V*"),COUNTIF(J66,"*R*")),SUBSTITUTE(J66,"R","S"),J66))),"0",""),"1",""),"2",""),"3",""),"4",""),"5",""),"6",""),"7",""),"8",""),"9","")&amp; Data!BY51),""))</f>
        <v/>
      </c>
      <c r="K99" s="41" t="str">
        <f>IF(AND($Y$57=1,K66&lt;&gt;""),"O"&amp; Data!BZ51,IF(K66&lt;&gt;"",IF(OR(COUNTIF(K66,"L*"),COUNTIF(K66, "X*")),IF(AND(COUNTIF(K66,"*P*"),COUNTIF(K66,"*V*")),IF(COUNTIF(K66,"*R*"),SUBSTITUTE(SUBSTITUTE(K66,"P",""),"R","S")&amp; Data!BZ51,SUBSTITUTE(K66,"P","")&amp; Data!BZ51),IF(AND(COUNTIF(K66,"*P*"),COUNTIF(K66,"*R*")),SUBSTITUTE(K66,"R","S")&amp;Data!BZ51,IF(AND(COUNTIF(K66,"*V*"),COUNTIF(K66,"*R*")),SUBSTITUTE(K66,"R","S")&amp;Data!BZ51,K66 &amp; Data!BZ51))),SUBSTITUTE(SUBSTITUTE(SUBSTITUTE(SUBSTITUTE(SUBSTITUTE(SUBSTITUTE(SUBSTITUTE(SUBSTITUTE(SUBSTITUTE(SUBSTITUTE(IF(AND(COUNTIF(K66,"*P*"),COUNTIF(K66,"*V*")),IF(COUNTIF(K66,"*R*"),SUBSTITUTE(SUBSTITUTE(K66,"P",""),"R","S"),SUBSTITUTE(K66,"P","")),IF(AND(COUNTIF(K66,"*P*"),COUNTIF(K66,"*R*")),SUBSTITUTE(K66,"R","S"),IF(AND(COUNTIF(K66,"*V*"),COUNTIF(K66,"*R*")),SUBSTITUTE(K66,"R","S"),K66))),"0",""),"1",""),"2",""),"3",""),"4",""),"5",""),"6",""),"7",""),"8",""),"9","")&amp; Data!BZ51),""))</f>
        <v/>
      </c>
      <c r="L99" s="41" t="str">
        <f>IF(AND($Y$57=1,L66&lt;&gt;""),"O"&amp; Data!CA51,IF(L66&lt;&gt;"",IF(OR(COUNTIF(L66,"L*"),COUNTIF(L66, "X*")),IF(AND(COUNTIF(L66,"*P*"),COUNTIF(L66,"*V*")),IF(COUNTIF(L66,"*R*"),SUBSTITUTE(SUBSTITUTE(L66,"P",""),"R","S")&amp; Data!CA51,SUBSTITUTE(L66,"P","")&amp; Data!CA51),IF(AND(COUNTIF(L66,"*P*"),COUNTIF(L66,"*R*")),SUBSTITUTE(L66,"R","S")&amp;Data!CA51,IF(AND(COUNTIF(L66,"*V*"),COUNTIF(L66,"*R*")),SUBSTITUTE(L66,"R","S")&amp;Data!CA51,L66 &amp; Data!CA51))),SUBSTITUTE(SUBSTITUTE(SUBSTITUTE(SUBSTITUTE(SUBSTITUTE(SUBSTITUTE(SUBSTITUTE(SUBSTITUTE(SUBSTITUTE(SUBSTITUTE(IF(AND(COUNTIF(L66,"*P*"),COUNTIF(L66,"*V*")),IF(COUNTIF(L66,"*R*"),SUBSTITUTE(SUBSTITUTE(L66,"P",""),"R","S"),SUBSTITUTE(L66,"P","")),IF(AND(COUNTIF(L66,"*P*"),COUNTIF(L66,"*R*")),SUBSTITUTE(L66,"R","S"),IF(AND(COUNTIF(L66,"*V*"),COUNTIF(L66,"*R*")),SUBSTITUTE(L66,"R","S"),L66))),"0",""),"1",""),"2",""),"3",""),"4",""),"5",""),"6",""),"7",""),"8",""),"9","")&amp; Data!CA51),""))</f>
        <v/>
      </c>
      <c r="M99" s="41" t="str">
        <f>IF(AND($Y$57=1,M66&lt;&gt;""),"O"&amp; Data!CB51,IF(M66&lt;&gt;"",IF(OR(COUNTIF(M66,"L*"),COUNTIF(M66, "X*")),IF(AND(COUNTIF(M66,"*P*"),COUNTIF(M66,"*V*")),IF(COUNTIF(M66,"*R*"),SUBSTITUTE(SUBSTITUTE(M66,"P",""),"R","S")&amp; Data!CB51,SUBSTITUTE(M66,"P","")&amp; Data!CB51),IF(AND(COUNTIF(M66,"*P*"),COUNTIF(M66,"*R*")),SUBSTITUTE(M66,"R","S")&amp;Data!CB51,IF(AND(COUNTIF(M66,"*V*"),COUNTIF(M66,"*R*")),SUBSTITUTE(M66,"R","S")&amp;Data!CB51,M66 &amp; Data!CB51))),SUBSTITUTE(SUBSTITUTE(SUBSTITUTE(SUBSTITUTE(SUBSTITUTE(SUBSTITUTE(SUBSTITUTE(SUBSTITUTE(SUBSTITUTE(SUBSTITUTE(IF(AND(COUNTIF(M66,"*P*"),COUNTIF(M66,"*V*")),IF(COUNTIF(M66,"*R*"),SUBSTITUTE(SUBSTITUTE(M66,"P",""),"R","S"),SUBSTITUTE(M66,"P","")),IF(AND(COUNTIF(M66,"*P*"),COUNTIF(M66,"*R*")),SUBSTITUTE(M66,"R","S"),IF(AND(COUNTIF(M66,"*V*"),COUNTIF(M66,"*R*")),SUBSTITUTE(M66,"R","S"),M66))),"0",""),"1",""),"2",""),"3",""),"4",""),"5",""),"6",""),"7",""),"8",""),"9","")&amp; Data!CB51),""))</f>
        <v/>
      </c>
      <c r="N99" s="41" t="str">
        <f>IF(AND($Y$57=1,N66&lt;&gt;""),"O"&amp; Data!CC51,IF(N66&lt;&gt;"",IF(OR(COUNTIF(N66,"L*"),COUNTIF(N66, "X*")),IF(AND(COUNTIF(N66,"*P*"),COUNTIF(N66,"*V*")),IF(COUNTIF(N66,"*R*"),SUBSTITUTE(SUBSTITUTE(N66,"P",""),"R","S")&amp; Data!CC51,SUBSTITUTE(N66,"P","")&amp; Data!CC51),IF(AND(COUNTIF(N66,"*P*"),COUNTIF(N66,"*R*")),SUBSTITUTE(N66,"R","S")&amp;Data!CC51,IF(AND(COUNTIF(N66,"*V*"),COUNTIF(N66,"*R*")),SUBSTITUTE(N66,"R","S")&amp;Data!CC51,N66 &amp; Data!CC51))),SUBSTITUTE(SUBSTITUTE(SUBSTITUTE(SUBSTITUTE(SUBSTITUTE(SUBSTITUTE(SUBSTITUTE(SUBSTITUTE(SUBSTITUTE(SUBSTITUTE(IF(AND(COUNTIF(N66,"*P*"),COUNTIF(N66,"*V*")),IF(COUNTIF(N66,"*R*"),SUBSTITUTE(SUBSTITUTE(N66,"P",""),"R","S"),SUBSTITUTE(N66,"P","")),IF(AND(COUNTIF(N66,"*P*"),COUNTIF(N66,"*R*")),SUBSTITUTE(N66,"R","S"),IF(AND(COUNTIF(N66,"*V*"),COUNTIF(N66,"*R*")),SUBSTITUTE(N66,"R","S"),N66))),"0",""),"1",""),"2",""),"3",""),"4",""),"5",""),"6",""),"7",""),"8",""),"9","")&amp; Data!CC51),""))</f>
        <v/>
      </c>
      <c r="O99" s="41" t="str">
        <f>IF(AND($Y$57=1,O66&lt;&gt;""),"O"&amp; Data!CD51,IF(O66&lt;&gt;"",IF(OR(COUNTIF(O66,"L*"),COUNTIF(O66, "X*")),IF(AND(COUNTIF(O66,"*P*"),COUNTIF(O66,"*V*")),IF(COUNTIF(O66,"*R*"),SUBSTITUTE(SUBSTITUTE(O66,"P",""),"R","S")&amp; Data!CD51,SUBSTITUTE(O66,"P","")&amp; Data!CD51),IF(AND(COUNTIF(O66,"*P*"),COUNTIF(O66,"*R*")),SUBSTITUTE(O66,"R","S")&amp;Data!CD51,IF(AND(COUNTIF(O66,"*V*"),COUNTIF(O66,"*R*")),SUBSTITUTE(O66,"R","S")&amp;Data!CD51,O66 &amp; Data!CD51))),SUBSTITUTE(SUBSTITUTE(SUBSTITUTE(SUBSTITUTE(SUBSTITUTE(SUBSTITUTE(SUBSTITUTE(SUBSTITUTE(SUBSTITUTE(SUBSTITUTE(IF(AND(COUNTIF(O66,"*P*"),COUNTIF(O66,"*V*")),IF(COUNTIF(O66,"*R*"),SUBSTITUTE(SUBSTITUTE(O66,"P",""),"R","S"),SUBSTITUTE(O66,"P","")),IF(AND(COUNTIF(O66,"*P*"),COUNTIF(O66,"*R*")),SUBSTITUTE(O66,"R","S"),IF(AND(COUNTIF(O66,"*V*"),COUNTIF(O66,"*R*")),SUBSTITUTE(O66,"R","S"),O66))),"0",""),"1",""),"2",""),"3",""),"4",""),"5",""),"6",""),"7",""),"8",""),"9","")&amp; Data!CD51),""))</f>
        <v/>
      </c>
      <c r="P99" s="41" t="str">
        <f>IF(AND($Y$57=1,P66&lt;&gt;""),"O"&amp; Data!CE51,IF(P66&lt;&gt;"",IF(OR(COUNTIF(P66,"L*"),COUNTIF(P66, "X*")),IF(AND(COUNTIF(P66,"*P*"),COUNTIF(P66,"*V*")),IF(COUNTIF(P66,"*R*"),SUBSTITUTE(SUBSTITUTE(P66,"P",""),"R","S")&amp; Data!CE51,SUBSTITUTE(P66,"P","")&amp; Data!CE51),IF(AND(COUNTIF(P66,"*P*"),COUNTIF(P66,"*R*")),SUBSTITUTE(P66,"R","S")&amp;Data!CE51,IF(AND(COUNTIF(P66,"*V*"),COUNTIF(P66,"*R*")),SUBSTITUTE(P66,"R","S")&amp;Data!CE51,P66 &amp; Data!CE51))),SUBSTITUTE(SUBSTITUTE(SUBSTITUTE(SUBSTITUTE(SUBSTITUTE(SUBSTITUTE(SUBSTITUTE(SUBSTITUTE(SUBSTITUTE(SUBSTITUTE(IF(AND(COUNTIF(P66,"*P*"),COUNTIF(P66,"*V*")),IF(COUNTIF(P66,"*R*"),SUBSTITUTE(SUBSTITUTE(P66,"P",""),"R","S"),SUBSTITUTE(P66,"P","")),IF(AND(COUNTIF(P66,"*P*"),COUNTIF(P66,"*R*")),SUBSTITUTE(P66,"R","S"),IF(AND(COUNTIF(P66,"*V*"),COUNTIF(P66,"*R*")),SUBSTITUTE(P66,"R","S"),P66))),"0",""),"1",""),"2",""),"3",""),"4",""),"5",""),"6",""),"7",""),"8",""),"9","")&amp; Data!CE51),""))</f>
        <v/>
      </c>
      <c r="Q99" s="41" t="str">
        <f>IF(AND($Y$57=1,Q66&lt;&gt;""),"O"&amp; Data!CF51,IF(Q66&lt;&gt;"",IF(OR(COUNTIF(Q66,"L*"),COUNTIF(Q66, "X*")),IF(AND(COUNTIF(Q66,"*P*"),COUNTIF(Q66,"*V*")),IF(COUNTIF(Q66,"*R*"),SUBSTITUTE(SUBSTITUTE(Q66,"P",""),"R","S")&amp; Data!CF51,SUBSTITUTE(Q66,"P","")&amp; Data!CF51),IF(AND(COUNTIF(Q66,"*P*"),COUNTIF(Q66,"*R*")),SUBSTITUTE(Q66,"R","S")&amp;Data!CF51,IF(AND(COUNTIF(Q66,"*V*"),COUNTIF(Q66,"*R*")),SUBSTITUTE(Q66,"R","S")&amp;Data!CF51,Q66 &amp; Data!CF51))),SUBSTITUTE(SUBSTITUTE(SUBSTITUTE(SUBSTITUTE(SUBSTITUTE(SUBSTITUTE(SUBSTITUTE(SUBSTITUTE(SUBSTITUTE(SUBSTITUTE(IF(AND(COUNTIF(Q66,"*P*"),COUNTIF(Q66,"*V*")),IF(COUNTIF(Q66,"*R*"),SUBSTITUTE(SUBSTITUTE(Q66,"P",""),"R","S"),SUBSTITUTE(Q66,"P","")),IF(AND(COUNTIF(Q66,"*P*"),COUNTIF(Q66,"*R*")),SUBSTITUTE(Q66,"R","S"),IF(AND(COUNTIF(Q66,"*V*"),COUNTIF(Q66,"*R*")),SUBSTITUTE(Q66,"R","S"),Q66))),"0",""),"1",""),"2",""),"3",""),"4",""),"5",""),"6",""),"7",""),"8",""),"9","")&amp; Data!CF51),""))</f>
        <v/>
      </c>
      <c r="R99" s="41" t="str">
        <f>IF(AND($Y$57=1,R66&lt;&gt;""),"O"&amp; Data!CG51,IF(R66&lt;&gt;"",IF(OR(COUNTIF(R66,"L*"),COUNTIF(R66, "X*")),IF(AND(COUNTIF(R66,"*P*"),COUNTIF(R66,"*V*")),IF(COUNTIF(R66,"*R*"),SUBSTITUTE(SUBSTITUTE(R66,"P",""),"R","S")&amp; Data!CG51,SUBSTITUTE(R66,"P","")&amp; Data!CG51),IF(AND(COUNTIF(R66,"*P*"),COUNTIF(R66,"*R*")),SUBSTITUTE(R66,"R","S")&amp;Data!CG51,IF(AND(COUNTIF(R66,"*V*"),COUNTIF(R66,"*R*")),SUBSTITUTE(R66,"R","S")&amp;Data!CG51,R66 &amp; Data!CG51))),SUBSTITUTE(SUBSTITUTE(SUBSTITUTE(SUBSTITUTE(SUBSTITUTE(SUBSTITUTE(SUBSTITUTE(SUBSTITUTE(SUBSTITUTE(SUBSTITUTE(IF(AND(COUNTIF(R66,"*P*"),COUNTIF(R66,"*V*")),IF(COUNTIF(R66,"*R*"),SUBSTITUTE(SUBSTITUTE(R66,"P",""),"R","S"),SUBSTITUTE(R66,"P","")),IF(AND(COUNTIF(R66,"*P*"),COUNTIF(R66,"*R*")),SUBSTITUTE(R66,"R","S"),IF(AND(COUNTIF(R66,"*V*"),COUNTIF(R66,"*R*")),SUBSTITUTE(R66,"R","S"),R66))),"0",""),"1",""),"2",""),"3",""),"4",""),"5",""),"6",""),"7",""),"8",""),"9","")&amp; Data!CG51),""))</f>
        <v/>
      </c>
      <c r="S99" s="41" t="str">
        <f>IF(AND($Y$57=1,S66&lt;&gt;""),"O"&amp; Data!CH51,IF(S66&lt;&gt;"",IF(OR(COUNTIF(S66,"L*"),COUNTIF(S66, "X*")),IF(AND(COUNTIF(S66,"*P*"),COUNTIF(S66,"*V*")),IF(COUNTIF(S66,"*R*"),SUBSTITUTE(SUBSTITUTE(S66,"P",""),"R","S")&amp; Data!CH51,SUBSTITUTE(S66,"P","")&amp; Data!CH51),IF(AND(COUNTIF(S66,"*P*"),COUNTIF(S66,"*R*")),SUBSTITUTE(S66,"R","S")&amp;Data!CH51,IF(AND(COUNTIF(S66,"*V*"),COUNTIF(S66,"*R*")),SUBSTITUTE(S66,"R","S")&amp;Data!CH51,S66 &amp; Data!CH51))),SUBSTITUTE(SUBSTITUTE(SUBSTITUTE(SUBSTITUTE(SUBSTITUTE(SUBSTITUTE(SUBSTITUTE(SUBSTITUTE(SUBSTITUTE(SUBSTITUTE(IF(AND(COUNTIF(S66,"*P*"),COUNTIF(S66,"*V*")),IF(COUNTIF(S66,"*R*"),SUBSTITUTE(SUBSTITUTE(S66,"P",""),"R","S"),SUBSTITUTE(S66,"P","")),IF(AND(COUNTIF(S66,"*P*"),COUNTIF(S66,"*R*")),SUBSTITUTE(S66,"R","S"),IF(AND(COUNTIF(S66,"*V*"),COUNTIF(S66,"*R*")),SUBSTITUTE(S66,"R","S"),S66))),"0",""),"1",""),"2",""),"3",""),"4",""),"5",""),"6",""),"7",""),"8",""),"9","")&amp; Data!CH51),""))</f>
        <v/>
      </c>
      <c r="T99" s="41" t="str">
        <f>IF(AND($Y$57=1,T66&lt;&gt;""),"O"&amp; Data!CI51,IF(T66&lt;&gt;"",IF(OR(COUNTIF(T66,"L*"),COUNTIF(T66, "X*")),IF(AND(COUNTIF(T66,"*P*"),COUNTIF(T66,"*V*")),IF(COUNTIF(T66,"*R*"),SUBSTITUTE(SUBSTITUTE(T66,"P",""),"R","S")&amp; Data!CI51,SUBSTITUTE(T66,"P","")&amp; Data!CI51),IF(AND(COUNTIF(T66,"*P*"),COUNTIF(T66,"*R*")),SUBSTITUTE(T66,"R","S")&amp;Data!CI51,IF(AND(COUNTIF(T66,"*V*"),COUNTIF(T66,"*R*")),SUBSTITUTE(T66,"R","S")&amp;Data!CI51,T66 &amp; Data!CI51))),SUBSTITUTE(SUBSTITUTE(SUBSTITUTE(SUBSTITUTE(SUBSTITUTE(SUBSTITUTE(SUBSTITUTE(SUBSTITUTE(SUBSTITUTE(SUBSTITUTE(IF(AND(COUNTIF(T66,"*P*"),COUNTIF(T66,"*V*")),IF(COUNTIF(T66,"*R*"),SUBSTITUTE(SUBSTITUTE(T66,"P",""),"R","S"),SUBSTITUTE(T66,"P","")),IF(AND(COUNTIF(T66,"*P*"),COUNTIF(T66,"*R*")),SUBSTITUTE(T66,"R","S"),IF(AND(COUNTIF(T66,"*V*"),COUNTIF(T66,"*R*")),SUBSTITUTE(T66,"R","S"),T66))),"0",""),"1",""),"2",""),"3",""),"4",""),"5",""),"6",""),"7",""),"8",""),"9","")&amp; Data!CI51),""))</f>
        <v/>
      </c>
      <c r="U99" s="41" t="str">
        <f>IF(AND($Y$57=1,U66&lt;&gt;""),"O"&amp; Data!CJ51,IF(U66&lt;&gt;"",IF(OR(COUNTIF(U66,"L*"),COUNTIF(U66, "X*")),IF(AND(COUNTIF(U66,"*P*"),COUNTIF(U66,"*V*")),IF(COUNTIF(U66,"*R*"),SUBSTITUTE(SUBSTITUTE(U66,"P",""),"R","S")&amp; Data!CJ51,SUBSTITUTE(U66,"P","")&amp; Data!CJ51),IF(AND(COUNTIF(U66,"*P*"),COUNTIF(U66,"*R*")),SUBSTITUTE(U66,"R","S")&amp;Data!CJ51,IF(AND(COUNTIF(U66,"*V*"),COUNTIF(U66,"*R*")),SUBSTITUTE(U66,"R","S")&amp;Data!CJ51,U66 &amp; Data!CJ51))),SUBSTITUTE(SUBSTITUTE(SUBSTITUTE(SUBSTITUTE(SUBSTITUTE(SUBSTITUTE(SUBSTITUTE(SUBSTITUTE(SUBSTITUTE(SUBSTITUTE(IF(AND(COUNTIF(U66,"*P*"),COUNTIF(U66,"*V*")),IF(COUNTIF(U66,"*R*"),SUBSTITUTE(SUBSTITUTE(U66,"P",""),"R","S"),SUBSTITUTE(U66,"P","")),IF(AND(COUNTIF(U66,"*P*"),COUNTIF(U66,"*R*")),SUBSTITUTE(U66,"R","S"),IF(AND(COUNTIF(U66,"*V*"),COUNTIF(U66,"*R*")),SUBSTITUTE(U66,"R","S"),U66))),"0",""),"1",""),"2",""),"3",""),"4",""),"5",""),"6",""),"7",""),"8",""),"9","")&amp; Data!CJ51),""))</f>
        <v/>
      </c>
      <c r="V99" s="41" t="str">
        <f>IF(AND($Y$57=1,V66&lt;&gt;""),"O"&amp; Data!CK51,IF(V66&lt;&gt;"",IF(OR(COUNTIF(V66,"L*"),COUNTIF(V66, "X*")),IF(AND(COUNTIF(V66,"*P*"),COUNTIF(V66,"*V*")),IF(COUNTIF(V66,"*R*"),SUBSTITUTE(SUBSTITUTE(V66,"P",""),"R","S")&amp; Data!CK51,SUBSTITUTE(V66,"P","")&amp; Data!CK51),IF(AND(COUNTIF(V66,"*P*"),COUNTIF(V66,"*R*")),SUBSTITUTE(V66,"R","S")&amp;Data!CK51,IF(AND(COUNTIF(V66,"*V*"),COUNTIF(V66,"*R*")),SUBSTITUTE(V66,"R","S")&amp;Data!CK51,V66 &amp; Data!CK51))),SUBSTITUTE(SUBSTITUTE(SUBSTITUTE(SUBSTITUTE(SUBSTITUTE(SUBSTITUTE(SUBSTITUTE(SUBSTITUTE(SUBSTITUTE(SUBSTITUTE(IF(AND(COUNTIF(V66,"*P*"),COUNTIF(V66,"*V*")),IF(COUNTIF(V66,"*R*"),SUBSTITUTE(SUBSTITUTE(V66,"P",""),"R","S"),SUBSTITUTE(V66,"P","")),IF(AND(COUNTIF(V66,"*P*"),COUNTIF(V66,"*R*")),SUBSTITUTE(V66,"R","S"),IF(AND(COUNTIF(V66,"*V*"),COUNTIF(V66,"*R*")),SUBSTITUTE(V66,"R","S"),V66))),"0",""),"1",""),"2",""),"3",""),"4",""),"5",""),"6",""),"7",""),"8",""),"9","")&amp; Data!CK51),""))</f>
        <v/>
      </c>
      <c r="W99" s="41" t="str">
        <f>IF(AND($Y$57=1,W66&lt;&gt;""),"O"&amp; Data!CL51,IF(W66&lt;&gt;"",IF(OR(COUNTIF(W66,"L*"),COUNTIF(W66, "X*")),IF(AND(COUNTIF(W66,"*P*"),COUNTIF(W66,"*V*")),IF(COUNTIF(W66,"*R*"),SUBSTITUTE(SUBSTITUTE(W66,"P",""),"R","S")&amp; Data!CL51,SUBSTITUTE(W66,"P","")&amp; Data!CL51),IF(AND(COUNTIF(W66,"*P*"),COUNTIF(W66,"*R*")),SUBSTITUTE(W66,"R","S")&amp;Data!CL51,IF(AND(COUNTIF(W66,"*V*"),COUNTIF(W66,"*R*")),SUBSTITUTE(W66,"R","S")&amp;Data!CL51,W66 &amp; Data!CL51))),SUBSTITUTE(SUBSTITUTE(SUBSTITUTE(SUBSTITUTE(SUBSTITUTE(SUBSTITUTE(SUBSTITUTE(SUBSTITUTE(SUBSTITUTE(SUBSTITUTE(IF(AND(COUNTIF(W66,"*P*"),COUNTIF(W66,"*V*")),IF(COUNTIF(W66,"*R*"),SUBSTITUTE(SUBSTITUTE(W66,"P",""),"R","S"),SUBSTITUTE(W66,"P","")),IF(AND(COUNTIF(W66,"*P*"),COUNTIF(W66,"*R*")),SUBSTITUTE(W66,"R","S"),IF(AND(COUNTIF(W66,"*V*"),COUNTIF(W66,"*R*")),SUBSTITUTE(W66,"R","S"),W66))),"0",""),"1",""),"2",""),"3",""),"4",""),"5",""),"6",""),"7",""),"8",""),"9","")&amp; Data!CL51),""))</f>
        <v/>
      </c>
      <c r="X99" s="41" t="str">
        <f>IF(AND($Y$57=1,X66&lt;&gt;""),"O"&amp; Data!CM51,IF(X66&lt;&gt;"",IF(OR(COUNTIF(X66,"L*"),COUNTIF(X66, "X*")),IF(AND(COUNTIF(X66,"*P*"),COUNTIF(X66,"*V*")),IF(COUNTIF(X66,"*R*"),SUBSTITUTE(SUBSTITUTE(X66,"P",""),"R","S")&amp; Data!CM51,SUBSTITUTE(X66,"P","")&amp; Data!CM51),IF(AND(COUNTIF(X66,"*P*"),COUNTIF(X66,"*R*")),SUBSTITUTE(X66,"R","S")&amp;Data!CM51,IF(AND(COUNTIF(X66,"*V*"),COUNTIF(X66,"*R*")),SUBSTITUTE(X66,"R","S")&amp;Data!CM51,X66 &amp; Data!CM51))),SUBSTITUTE(SUBSTITUTE(SUBSTITUTE(SUBSTITUTE(SUBSTITUTE(SUBSTITUTE(SUBSTITUTE(SUBSTITUTE(SUBSTITUTE(SUBSTITUTE(IF(AND(COUNTIF(X66,"*P*"),COUNTIF(X66,"*V*")),IF(COUNTIF(X66,"*R*"),SUBSTITUTE(SUBSTITUTE(X66,"P",""),"R","S"),SUBSTITUTE(X66,"P","")),IF(AND(COUNTIF(X66,"*P*"),COUNTIF(X66,"*R*")),SUBSTITUTE(X66,"R","S"),IF(AND(COUNTIF(X66,"*V*"),COUNTIF(X66,"*R*")),SUBSTITUTE(X66,"R","S"),X66))),"0",""),"1",""),"2",""),"3",""),"4",""),"5",""),"6",""),"7",""),"8",""),"9","")&amp; Data!CM51),""))</f>
        <v/>
      </c>
      <c r="Y99" s="41" t="str">
        <f>IF(AND($Y$57=1,Y66&lt;&gt;""),"O"&amp; Data!CN51,IF(Y66&lt;&gt;"",IF(OR(COUNTIF(Y66,"L*"),COUNTIF(Y66, "X*")),IF(AND(COUNTIF(Y66,"*P*"),COUNTIF(Y66,"*V*")),IF(COUNTIF(Y66,"*R*"),SUBSTITUTE(SUBSTITUTE(Y66,"P",""),"R","S")&amp; Data!CN51,SUBSTITUTE(Y66,"P","")&amp; Data!CN51),IF(AND(COUNTIF(Y66,"*P*"),COUNTIF(Y66,"*R*")),SUBSTITUTE(Y66,"R","S")&amp;Data!CN51,IF(AND(COUNTIF(Y66,"*V*"),COUNTIF(Y66,"*R*")),SUBSTITUTE(Y66,"R","S")&amp;Data!CN51,Y66 &amp; Data!CN51))),SUBSTITUTE(SUBSTITUTE(SUBSTITUTE(SUBSTITUTE(SUBSTITUTE(SUBSTITUTE(SUBSTITUTE(SUBSTITUTE(SUBSTITUTE(SUBSTITUTE(IF(AND(COUNTIF(Y66,"*P*"),COUNTIF(Y66,"*V*")),IF(COUNTIF(Y66,"*R*"),SUBSTITUTE(SUBSTITUTE(Y66,"P",""),"R","S"),SUBSTITUTE(Y66,"P","")),IF(AND(COUNTIF(Y66,"*P*"),COUNTIF(Y66,"*R*")),SUBSTITUTE(Y66,"R","S"),IF(AND(COUNTIF(Y66,"*V*"),COUNTIF(Y66,"*R*")),SUBSTITUTE(Y66,"R","S"),Y66))),"0",""),"1",""),"2",""),"3",""),"4",""),"5",""),"6",""),"7",""),"8",""),"9","")&amp; Data!CN51),""))</f>
        <v/>
      </c>
      <c r="Z99" s="41" t="str">
        <f>IF(AND($Y$57=1,Z66&lt;&gt;""),"O"&amp; Data!CO51,IF(Z66&lt;&gt;"",IF(OR(COUNTIF(Z66,"L*"),COUNTIF(Z66, "X*")),IF(AND(COUNTIF(Z66,"*P*"),COUNTIF(Z66,"*V*")),IF(COUNTIF(Z66,"*R*"),SUBSTITUTE(SUBSTITUTE(Z66,"P",""),"R","S")&amp; Data!CO51,SUBSTITUTE(Z66,"P","")&amp; Data!CO51),IF(AND(COUNTIF(Z66,"*P*"),COUNTIF(Z66,"*R*")),SUBSTITUTE(Z66,"R","S")&amp;Data!CO51,IF(AND(COUNTIF(Z66,"*V*"),COUNTIF(Z66,"*R*")),SUBSTITUTE(Z66,"R","S")&amp;Data!CO51,Z66 &amp; Data!CO51))),SUBSTITUTE(SUBSTITUTE(SUBSTITUTE(SUBSTITUTE(SUBSTITUTE(SUBSTITUTE(SUBSTITUTE(SUBSTITUTE(SUBSTITUTE(SUBSTITUTE(IF(AND(COUNTIF(Z66,"*P*"),COUNTIF(Z66,"*V*")),IF(COUNTIF(Z66,"*R*"),SUBSTITUTE(SUBSTITUTE(Z66,"P",""),"R","S"),SUBSTITUTE(Z66,"P","")),IF(AND(COUNTIF(Z66,"*P*"),COUNTIF(Z66,"*R*")),SUBSTITUTE(Z66,"R","S"),IF(AND(COUNTIF(Z66,"*V*"),COUNTIF(Z66,"*R*")),SUBSTITUTE(Z66,"R","S"),Z66))),"0",""),"1",""),"2",""),"3",""),"4",""),"5",""),"6",""),"7",""),"8",""),"9","")&amp; Data!CO51),""))</f>
        <v/>
      </c>
      <c r="AA99" s="41" t="str">
        <f>IF(AND($Y$57=1,AA66&lt;&gt;""),"O"&amp; Data!CP51,IF(AA66&lt;&gt;"",IF(OR(COUNTIF(AA66,"L*"),COUNTIF(AA66, "X*")),IF(AND(COUNTIF(AA66,"*P*"),COUNTIF(AA66,"*V*")),IF(COUNTIF(AA66,"*R*"),SUBSTITUTE(SUBSTITUTE(AA66,"P",""),"R","S")&amp; Data!CP51,SUBSTITUTE(AA66,"P","")&amp; Data!CP51),IF(AND(COUNTIF(AA66,"*P*"),COUNTIF(AA66,"*R*")),SUBSTITUTE(AA66,"R","S")&amp;Data!CP51,IF(AND(COUNTIF(AA66,"*V*"),COUNTIF(AA66,"*R*")),SUBSTITUTE(AA66,"R","S")&amp;Data!CP51,AA66 &amp; Data!CP51))),SUBSTITUTE(SUBSTITUTE(SUBSTITUTE(SUBSTITUTE(SUBSTITUTE(SUBSTITUTE(SUBSTITUTE(SUBSTITUTE(SUBSTITUTE(SUBSTITUTE(IF(AND(COUNTIF(AA66,"*P*"),COUNTIF(AA66,"*V*")),IF(COUNTIF(AA66,"*R*"),SUBSTITUTE(SUBSTITUTE(AA66,"P",""),"R","S"),SUBSTITUTE(AA66,"P","")),IF(AND(COUNTIF(AA66,"*P*"),COUNTIF(AA66,"*R*")),SUBSTITUTE(AA66,"R","S"),IF(AND(COUNTIF(AA66,"*V*"),COUNTIF(AA66,"*R*")),SUBSTITUTE(AA66,"R","S"),AA66))),"0",""),"1",""),"2",""),"3",""),"4",""),"5",""),"6",""),"7",""),"8",""),"9","")&amp; Data!CP51),""))</f>
        <v/>
      </c>
      <c r="AB99" s="41" t="str">
        <f>IF(AND($Y$57=1,AB66&lt;&gt;""),"O"&amp; Data!CQ51,IF(AB66&lt;&gt;"",IF(OR(COUNTIF(AB66,"L*"),COUNTIF(AB66, "X*")),IF(AND(COUNTIF(AB66,"*P*"),COUNTIF(AB66,"*V*")),IF(COUNTIF(AB66,"*R*"),SUBSTITUTE(SUBSTITUTE(AB66,"P",""),"R","S")&amp; Data!CQ51,SUBSTITUTE(AB66,"P","")&amp; Data!CQ51),IF(AND(COUNTIF(AB66,"*P*"),COUNTIF(AB66,"*R*")),SUBSTITUTE(AB66,"R","S")&amp;Data!CQ51,IF(AND(COUNTIF(AB66,"*V*"),COUNTIF(AB66,"*R*")),SUBSTITUTE(AB66,"R","S")&amp;Data!CQ51,AB66 &amp; Data!CQ51))),SUBSTITUTE(SUBSTITUTE(SUBSTITUTE(SUBSTITUTE(SUBSTITUTE(SUBSTITUTE(SUBSTITUTE(SUBSTITUTE(SUBSTITUTE(SUBSTITUTE(IF(AND(COUNTIF(AB66,"*P*"),COUNTIF(AB66,"*V*")),IF(COUNTIF(AB66,"*R*"),SUBSTITUTE(SUBSTITUTE(AB66,"P",""),"R","S"),SUBSTITUTE(AB66,"P","")),IF(AND(COUNTIF(AB66,"*P*"),COUNTIF(AB66,"*R*")),SUBSTITUTE(AB66,"R","S"),IF(AND(COUNTIF(AB66,"*V*"),COUNTIF(AB66,"*R*")),SUBSTITUTE(AB66,"R","S"),AB66))),"0",""),"1",""),"2",""),"3",""),"4",""),"5",""),"6",""),"7",""),"8",""),"9","")&amp; Data!CQ51),""))</f>
        <v/>
      </c>
      <c r="AC99" s="41" t="str">
        <f>IF(AND($Y$57=1,AC66&lt;&gt;""),"O"&amp; Data!CR51,IF(AC66&lt;&gt;"",IF(OR(COUNTIF(AC66,"L*"),COUNTIF(AC66, "X*")),IF(AND(COUNTIF(AC66,"*P*"),COUNTIF(AC66,"*V*")),IF(COUNTIF(AC66,"*R*"),SUBSTITUTE(SUBSTITUTE(AC66,"P",""),"R","S")&amp; Data!CR51,SUBSTITUTE(AC66,"P","")&amp; Data!CR51),IF(AND(COUNTIF(AC66,"*P*"),COUNTIF(AC66,"*R*")),SUBSTITUTE(AC66,"R","S")&amp;Data!CR51,IF(AND(COUNTIF(AC66,"*V*"),COUNTIF(AC66,"*R*")),SUBSTITUTE(AC66,"R","S")&amp;Data!CR51,AC66 &amp; Data!CR51))),SUBSTITUTE(SUBSTITUTE(SUBSTITUTE(SUBSTITUTE(SUBSTITUTE(SUBSTITUTE(SUBSTITUTE(SUBSTITUTE(SUBSTITUTE(SUBSTITUTE(IF(AND(COUNTIF(AC66,"*P*"),COUNTIF(AC66,"*V*")),IF(COUNTIF(AC66,"*R*"),SUBSTITUTE(SUBSTITUTE(AC66,"P",""),"R","S"),SUBSTITUTE(AC66,"P","")),IF(AND(COUNTIF(AC66,"*P*"),COUNTIF(AC66,"*R*")),SUBSTITUTE(AC66,"R","S"),IF(AND(COUNTIF(AC66,"*V*"),COUNTIF(AC66,"*R*")),SUBSTITUTE(AC66,"R","S"),AC66))),"0",""),"1",""),"2",""),"3",""),"4",""),"5",""),"6",""),"7",""),"8",""),"9","")&amp; Data!CR51),""))</f>
        <v/>
      </c>
      <c r="AD99" s="41" t="str">
        <f>IF(AND($Y$57=1,AD66&lt;&gt;""),"O"&amp; Data!CS51,IF(AD66&lt;&gt;"",IF(OR(COUNTIF(AD66,"L*"),COUNTIF(AD66, "X*")),IF(AND(COUNTIF(AD66,"*P*"),COUNTIF(AD66,"*V*")),IF(COUNTIF(AD66,"*R*"),SUBSTITUTE(SUBSTITUTE(AD66,"P",""),"R","S")&amp; Data!CS51,SUBSTITUTE(AD66,"P","")&amp; Data!CS51),IF(AND(COUNTIF(AD66,"*P*"),COUNTIF(AD66,"*R*")),SUBSTITUTE(AD66,"R","S")&amp;Data!CS51,IF(AND(COUNTIF(AD66,"*V*"),COUNTIF(AD66,"*R*")),SUBSTITUTE(AD66,"R","S")&amp;Data!CS51,AD66 &amp; Data!CS51))),SUBSTITUTE(SUBSTITUTE(SUBSTITUTE(SUBSTITUTE(SUBSTITUTE(SUBSTITUTE(SUBSTITUTE(SUBSTITUTE(SUBSTITUTE(SUBSTITUTE(IF(AND(COUNTIF(AD66,"*P*"),COUNTIF(AD66,"*V*")),IF(COUNTIF(AD66,"*R*"),SUBSTITUTE(SUBSTITUTE(AD66,"P",""),"R","S"),SUBSTITUTE(AD66,"P","")),IF(AND(COUNTIF(AD66,"*P*"),COUNTIF(AD66,"*R*")),SUBSTITUTE(AD66,"R","S"),IF(AND(COUNTIF(AD66,"*V*"),COUNTIF(AD66,"*R*")),SUBSTITUTE(AD66,"R","S"),AD66))),"0",""),"1",""),"2",""),"3",""),"4",""),"5",""),"6",""),"7",""),"8",""),"9","")&amp; Data!CS51),""))</f>
        <v/>
      </c>
      <c r="AE99" s="41" t="str">
        <f>IF(AND($Y$57=1,AE66&lt;&gt;""),"O"&amp; Data!CT51,IF(AE66&lt;&gt;"",IF(OR(COUNTIF(AE66,"L*"),COUNTIF(AE66, "X*")),IF(AND(COUNTIF(AE66,"*P*"),COUNTIF(AE66,"*V*")),IF(COUNTIF(AE66,"*R*"),SUBSTITUTE(SUBSTITUTE(AE66,"P",""),"R","S")&amp; Data!CT51,SUBSTITUTE(AE66,"P","")&amp; Data!CT51),IF(AND(COUNTIF(AE66,"*P*"),COUNTIF(AE66,"*R*")),SUBSTITUTE(AE66,"R","S")&amp;Data!CT51,IF(AND(COUNTIF(AE66,"*V*"),COUNTIF(AE66,"*R*")),SUBSTITUTE(AE66,"R","S")&amp;Data!CT51,AE66 &amp; Data!CT51))),SUBSTITUTE(SUBSTITUTE(SUBSTITUTE(SUBSTITUTE(SUBSTITUTE(SUBSTITUTE(SUBSTITUTE(SUBSTITUTE(SUBSTITUTE(SUBSTITUTE(IF(AND(COUNTIF(AE66,"*P*"),COUNTIF(AE66,"*V*")),IF(COUNTIF(AE66,"*R*"),SUBSTITUTE(SUBSTITUTE(AE66,"P",""),"R","S"),SUBSTITUTE(AE66,"P","")),IF(AND(COUNTIF(AE66,"*P*"),COUNTIF(AE66,"*R*")),SUBSTITUTE(AE66,"R","S"),IF(AND(COUNTIF(AE66,"*V*"),COUNTIF(AE66,"*R*")),SUBSTITUTE(AE66,"R","S"),AE66))),"0",""),"1",""),"2",""),"3",""),"4",""),"5",""),"6",""),"7",""),"8",""),"9","")&amp; Data!CT51),""))</f>
        <v/>
      </c>
      <c r="AF99" s="41" t="str">
        <f>IF(AND($Y$57=1,AF66&lt;&gt;""),"O"&amp; Data!CU51,IF(AF66&lt;&gt;"",IF(OR(COUNTIF(AF66,"L*"),COUNTIF(AF66, "X*")),IF(AND(COUNTIF(AF66,"*P*"),COUNTIF(AF66,"*V*")),IF(COUNTIF(AF66,"*R*"),SUBSTITUTE(SUBSTITUTE(AF66,"P",""),"R","S")&amp; Data!CU51,SUBSTITUTE(AF66,"P","")&amp; Data!CU51),IF(AND(COUNTIF(AF66,"*P*"),COUNTIF(AF66,"*R*")),SUBSTITUTE(AF66,"R","S")&amp;Data!CU51,IF(AND(COUNTIF(AF66,"*V*"),COUNTIF(AF66,"*R*")),SUBSTITUTE(AF66,"R","S")&amp;Data!CU51,AF66 &amp; Data!CU51))),SUBSTITUTE(SUBSTITUTE(SUBSTITUTE(SUBSTITUTE(SUBSTITUTE(SUBSTITUTE(SUBSTITUTE(SUBSTITUTE(SUBSTITUTE(SUBSTITUTE(IF(AND(COUNTIF(AF66,"*P*"),COUNTIF(AF66,"*V*")),IF(COUNTIF(AF66,"*R*"),SUBSTITUTE(SUBSTITUTE(AF66,"P",""),"R","S"),SUBSTITUTE(AF66,"P","")),IF(AND(COUNTIF(AF66,"*P*"),COUNTIF(AF66,"*R*")),SUBSTITUTE(AF66,"R","S"),IF(AND(COUNTIF(AF66,"*V*"),COUNTIF(AF66,"*R*")),SUBSTITUTE(AF66,"R","S"),AF66))),"0",""),"1",""),"2",""),"3",""),"4",""),"5",""),"6",""),"7",""),"8",""),"9","")&amp; Data!CU51),""))</f>
        <v/>
      </c>
      <c r="AG99" s="41" t="str">
        <f>IF(AND($Y$57=1,AG66&lt;&gt;""),"O"&amp; Data!CV51,IF(AG66&lt;&gt;"",IF(OR(COUNTIF(AG66,"L*"),COUNTIF(AG66, "X*")),IF(AND(COUNTIF(AG66,"*P*"),COUNTIF(AG66,"*V*")),IF(COUNTIF(AG66,"*R*"),SUBSTITUTE(SUBSTITUTE(AG66,"P",""),"R","S")&amp; Data!CV51,SUBSTITUTE(AG66,"P","")&amp; Data!CV51),IF(AND(COUNTIF(AG66,"*P*"),COUNTIF(AG66,"*R*")),SUBSTITUTE(AG66,"R","S")&amp;Data!CV51,IF(AND(COUNTIF(AG66,"*V*"),COUNTIF(AG66,"*R*")),SUBSTITUTE(AG66,"R","S")&amp;Data!CV51,AG66 &amp; Data!CV51))),SUBSTITUTE(SUBSTITUTE(SUBSTITUTE(SUBSTITUTE(SUBSTITUTE(SUBSTITUTE(SUBSTITUTE(SUBSTITUTE(SUBSTITUTE(SUBSTITUTE(IF(AND(COUNTIF(AG66,"*P*"),COUNTIF(AG66,"*V*")),IF(COUNTIF(AG66,"*R*"),SUBSTITUTE(SUBSTITUTE(AG66,"P",""),"R","S"),SUBSTITUTE(AG66,"P","")),IF(AND(COUNTIF(AG66,"*P*"),COUNTIF(AG66,"*R*")),SUBSTITUTE(AG66,"R","S"),IF(AND(COUNTIF(AG66,"*V*"),COUNTIF(AG66,"*R*")),SUBSTITUTE(AG66,"R","S"),AG66))),"0",""),"1",""),"2",""),"3",""),"4",""),"5",""),"6",""),"7",""),"8",""),"9","")&amp; Data!CV51),""))</f>
        <v/>
      </c>
      <c r="AH99" s="41" t="str">
        <f>IF(AND($Y$57=1,AH66&lt;&gt;""),"O"&amp; Data!CW51,IF(AH66&lt;&gt;"",IF(OR(COUNTIF(AH66,"L*"),COUNTIF(AH66, "X*")),IF(AND(COUNTIF(AH66,"*P*"),COUNTIF(AH66,"*V*")),IF(COUNTIF(AH66,"*R*"),SUBSTITUTE(SUBSTITUTE(AH66,"P",""),"R","S")&amp; Data!CW51,SUBSTITUTE(AH66,"P","")&amp; Data!CW51),IF(AND(COUNTIF(AH66,"*P*"),COUNTIF(AH66,"*R*")),SUBSTITUTE(AH66,"R","S")&amp;Data!CW51,IF(AND(COUNTIF(AH66,"*V*"),COUNTIF(AH66,"*R*")),SUBSTITUTE(AH66,"R","S")&amp;Data!CW51,AH66 &amp; Data!CW51))),SUBSTITUTE(SUBSTITUTE(SUBSTITUTE(SUBSTITUTE(SUBSTITUTE(SUBSTITUTE(SUBSTITUTE(SUBSTITUTE(SUBSTITUTE(SUBSTITUTE(IF(AND(COUNTIF(AH66,"*P*"),COUNTIF(AH66,"*V*")),IF(COUNTIF(AH66,"*R*"),SUBSTITUTE(SUBSTITUTE(AH66,"P",""),"R","S"),SUBSTITUTE(AH66,"P","")),IF(AND(COUNTIF(AH66,"*P*"),COUNTIF(AH66,"*R*")),SUBSTITUTE(AH66,"R","S"),IF(AND(COUNTIF(AH66,"*V*"),COUNTIF(AH66,"*R*")),SUBSTITUTE(AH66,"R","S"),AH66))),"0",""),"1",""),"2",""),"3",""),"4",""),"5",""),"6",""),"7",""),"8",""),"9","")&amp; Data!CW51),""))</f>
        <v/>
      </c>
      <c r="AI99" s="41" t="str">
        <f>IF(AND($Y$57=1,AI66&lt;&gt;""),"O"&amp; Data!CX51,IF(AI66&lt;&gt;"",IF(OR(COUNTIF(AI66,"L*"),COUNTIF(AI66, "X*")),IF(AND(COUNTIF(AI66,"*P*"),COUNTIF(AI66,"*V*")),IF(COUNTIF(AI66,"*R*"),SUBSTITUTE(SUBSTITUTE(AI66,"P",""),"R","S")&amp; Data!CX51,SUBSTITUTE(AI66,"P","")&amp; Data!CX51),IF(AND(COUNTIF(AI66,"*P*"),COUNTIF(AI66,"*R*")),SUBSTITUTE(AI66,"R","S")&amp;Data!CX51,IF(AND(COUNTIF(AI66,"*V*"),COUNTIF(AI66,"*R*")),SUBSTITUTE(AI66,"R","S")&amp;Data!CX51,AI66 &amp; Data!CX51))),SUBSTITUTE(SUBSTITUTE(SUBSTITUTE(SUBSTITUTE(SUBSTITUTE(SUBSTITUTE(SUBSTITUTE(SUBSTITUTE(SUBSTITUTE(SUBSTITUTE(IF(AND(COUNTIF(AI66,"*P*"),COUNTIF(AI66,"*V*")),IF(COUNTIF(AI66,"*R*"),SUBSTITUTE(SUBSTITUTE(AI66,"P",""),"R","S"),SUBSTITUTE(AI66,"P","")),IF(AND(COUNTIF(AI66,"*P*"),COUNTIF(AI66,"*R*")),SUBSTITUTE(AI66,"R","S"),IF(AND(COUNTIF(AI66,"*V*"),COUNTIF(AI66,"*R*")),SUBSTITUTE(AI66,"R","S"),AI66))),"0",""),"1",""),"2",""),"3",""),"4",""),"5",""),"6",""),"7",""),"8",""),"9","")&amp; Data!CX51),""))</f>
        <v/>
      </c>
      <c r="AJ99" s="41" t="str">
        <f>IF(AND($Y$57=1,AJ66&lt;&gt;""),"O"&amp; Data!CY51,IF(AJ66&lt;&gt;"",IF(OR(COUNTIF(AJ66,"L*"),COUNTIF(AJ66, "X*")),IF(AND(COUNTIF(AJ66,"*P*"),COUNTIF(AJ66,"*V*")),IF(COUNTIF(AJ66,"*R*"),SUBSTITUTE(SUBSTITUTE(AJ66,"P",""),"R","S")&amp; Data!CY51,SUBSTITUTE(AJ66,"P","")&amp; Data!CY51),IF(AND(COUNTIF(AJ66,"*P*"),COUNTIF(AJ66,"*R*")),SUBSTITUTE(AJ66,"R","S")&amp;Data!CY51,IF(AND(COUNTIF(AJ66,"*V*"),COUNTIF(AJ66,"*R*")),SUBSTITUTE(AJ66,"R","S")&amp;Data!CY51,AJ66 &amp; Data!CY51))),SUBSTITUTE(SUBSTITUTE(SUBSTITUTE(SUBSTITUTE(SUBSTITUTE(SUBSTITUTE(SUBSTITUTE(SUBSTITUTE(SUBSTITUTE(SUBSTITUTE(IF(AND(COUNTIF(AJ66,"*P*"),COUNTIF(AJ66,"*V*")),IF(COUNTIF(AJ66,"*R*"),SUBSTITUTE(SUBSTITUTE(AJ66,"P",""),"R","S"),SUBSTITUTE(AJ66,"P","")),IF(AND(COUNTIF(AJ66,"*P*"),COUNTIF(AJ66,"*R*")),SUBSTITUTE(AJ66,"R","S"),IF(AND(COUNTIF(AJ66,"*V*"),COUNTIF(AJ66,"*R*")),SUBSTITUTE(AJ66,"R","S"),AJ66))),"0",""),"1",""),"2",""),"3",""),"4",""),"5",""),"6",""),"7",""),"8",""),"9","")&amp; Data!CY51),""))</f>
        <v/>
      </c>
      <c r="AP99" s="99">
        <f>IF(Data!CX65&gt;0,IF(Data!CX65&lt;&gt;"", Data!CX65, " ")," ")</f>
        <v>6</v>
      </c>
      <c r="AQ99" s="99" t="str">
        <f>IF(AV58+AV59+AV60+AV61=0,"",AV58+AV59+AV60+AV61)</f>
        <v/>
      </c>
      <c r="AR99" s="99" t="str">
        <f>IF(Data!GK7&gt;0,IF(Data!GK7&lt;&gt;"",Data!GK7," ")," ")</f>
        <v xml:space="preserve"> </v>
      </c>
      <c r="AS99" s="99" t="str">
        <f>IF(Data!GG7&gt;0,IF(Data!GG7&lt;&gt;"",Data!GG7," ")," ")</f>
        <v xml:space="preserve"> </v>
      </c>
      <c r="AT99" s="99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AU99" s="99" t="str">
        <f>IF(AND(Data!GR7&lt;&gt;"",Data!GR7&lt;&gt;0),Data!GR7,"")</f>
        <v/>
      </c>
      <c r="AV99" s="99" t="str">
        <f>IF(AV59+AV61=0,"",AV59+AV61)</f>
        <v/>
      </c>
      <c r="AW99" s="99" t="str">
        <f t="shared" si="13"/>
        <v/>
      </c>
      <c r="AX99" s="100"/>
    </row>
    <row r="100" spans="1:54" ht="24" customHeight="1" thickBot="1" x14ac:dyDescent="0.4">
      <c r="A100" s="1196"/>
      <c r="B100" s="22">
        <v>7</v>
      </c>
      <c r="C100" s="41" t="str">
        <f>IF(AND($Y$57=1,C67&lt;&gt;""),"O"&amp; Data!BR52,IF(C67&lt;&gt;"",IF(OR(COUNTIF(C67,"L*"),COUNTIF(C67, "X*")),IF(AND(COUNTIF(C67,"*P*"),COUNTIF(C67,"*V*")),IF(COUNTIF(C67,"*R*"),SUBSTITUTE(SUBSTITUTE(C67,"P",""),"R","S")&amp; Data!BR52,SUBSTITUTE(C67,"P","")&amp; Data!BR52),IF(AND(COUNTIF(C67,"*P*"),COUNTIF(C67,"*R*")),SUBSTITUTE(C67,"R","S")&amp;Data!BR52,IF(AND(COUNTIF(C67,"*V*"),COUNTIF(C67,"*R*")),SUBSTITUTE(C67,"R","S")&amp;Data!BR52,C67 &amp; Data!BR52))),SUBSTITUTE(SUBSTITUTE(SUBSTITUTE(SUBSTITUTE(SUBSTITUTE(SUBSTITUTE(SUBSTITUTE(SUBSTITUTE(SUBSTITUTE(SUBSTITUTE(IF(AND(COUNTIF(C67,"*P*"),COUNTIF(C67,"*V*")),IF(COUNTIF(C67,"*R*"),SUBSTITUTE(SUBSTITUTE(C67,"P",""),"R","S"),SUBSTITUTE(C67,"P","")),IF(AND(COUNTIF(C67,"*P*"),COUNTIF(C67,"*R*")),SUBSTITUTE(C67,"R","S"),IF(AND(COUNTIF(C67,"*V*"),COUNTIF(C67,"*R*")),SUBSTITUTE(C67,"R","S"),C67))),"0",""),"1",""),"2",""),"3",""),"4",""),"5",""),"6",""),"7",""),"8",""),"9","")&amp; Data!BR52),""))</f>
        <v/>
      </c>
      <c r="D100" s="41" t="str">
        <f>IF(AND($Y$57=1,D67&lt;&gt;""),"O"&amp; Data!BS52,IF(D67&lt;&gt;"",IF(OR(COUNTIF(D67,"L*"),COUNTIF(D67, "X*")),IF(AND(COUNTIF(D67,"*P*"),COUNTIF(D67,"*V*")),IF(COUNTIF(D67,"*R*"),SUBSTITUTE(SUBSTITUTE(D67,"P",""),"R","S")&amp; Data!BS52,SUBSTITUTE(D67,"P","")&amp; Data!BS52),IF(AND(COUNTIF(D67,"*P*"),COUNTIF(D67,"*R*")),SUBSTITUTE(D67,"R","S")&amp;Data!BS52,IF(AND(COUNTIF(D67,"*V*"),COUNTIF(D67,"*R*")),SUBSTITUTE(D67,"R","S")&amp;Data!BS52,D67 &amp; Data!BS52))),SUBSTITUTE(SUBSTITUTE(SUBSTITUTE(SUBSTITUTE(SUBSTITUTE(SUBSTITUTE(SUBSTITUTE(SUBSTITUTE(SUBSTITUTE(SUBSTITUTE(IF(AND(COUNTIF(D67,"*P*"),COUNTIF(D67,"*V*")),IF(COUNTIF(D67,"*R*"),SUBSTITUTE(SUBSTITUTE(D67,"P",""),"R","S"),SUBSTITUTE(D67,"P","")),IF(AND(COUNTIF(D67,"*P*"),COUNTIF(D67,"*R*")),SUBSTITUTE(D67,"R","S"),IF(AND(COUNTIF(D67,"*V*"),COUNTIF(D67,"*R*")),SUBSTITUTE(D67,"R","S"),D67))),"0",""),"1",""),"2",""),"3",""),"4",""),"5",""),"6",""),"7",""),"8",""),"9","")&amp; Data!BS52),""))</f>
        <v/>
      </c>
      <c r="E100" s="41" t="str">
        <f>IF(AND($Y$57=1,E67&lt;&gt;""),"O"&amp; Data!BT52,IF(E67&lt;&gt;"",IF(OR(COUNTIF(E67,"L*"),COUNTIF(E67, "X*")),IF(AND(COUNTIF(E67,"*P*"),COUNTIF(E67,"*V*")),IF(COUNTIF(E67,"*R*"),SUBSTITUTE(SUBSTITUTE(E67,"P",""),"R","S")&amp; Data!BT52,SUBSTITUTE(E67,"P","")&amp; Data!BT52),IF(AND(COUNTIF(E67,"*P*"),COUNTIF(E67,"*R*")),SUBSTITUTE(E67,"R","S")&amp;Data!BT52,IF(AND(COUNTIF(E67,"*V*"),COUNTIF(E67,"*R*")),SUBSTITUTE(E67,"R","S")&amp;Data!BT52,E67 &amp; Data!BT52))),SUBSTITUTE(SUBSTITUTE(SUBSTITUTE(SUBSTITUTE(SUBSTITUTE(SUBSTITUTE(SUBSTITUTE(SUBSTITUTE(SUBSTITUTE(SUBSTITUTE(IF(AND(COUNTIF(E67,"*P*"),COUNTIF(E67,"*V*")),IF(COUNTIF(E67,"*R*"),SUBSTITUTE(SUBSTITUTE(E67,"P",""),"R","S"),SUBSTITUTE(E67,"P","")),IF(AND(COUNTIF(E67,"*P*"),COUNTIF(E67,"*R*")),SUBSTITUTE(E67,"R","S"),IF(AND(COUNTIF(E67,"*V*"),COUNTIF(E67,"*R*")),SUBSTITUTE(E67,"R","S"),E67))),"0",""),"1",""),"2",""),"3",""),"4",""),"5",""),"6",""),"7",""),"8",""),"9","")&amp; Data!BT52),""))</f>
        <v/>
      </c>
      <c r="F100" s="41" t="str">
        <f>IF(AND($Y$57=1,F67&lt;&gt;""),"O"&amp; Data!BU52,IF(F67&lt;&gt;"",IF(OR(COUNTIF(F67,"L*"),COUNTIF(F67, "X*")),IF(AND(COUNTIF(F67,"*P*"),COUNTIF(F67,"*V*")),IF(COUNTIF(F67,"*R*"),SUBSTITUTE(SUBSTITUTE(F67,"P",""),"R","S")&amp; Data!BU52,SUBSTITUTE(F67,"P","")&amp; Data!BU52),IF(AND(COUNTIF(F67,"*P*"),COUNTIF(F67,"*R*")),SUBSTITUTE(F67,"R","S")&amp;Data!BU52,IF(AND(COUNTIF(F67,"*V*"),COUNTIF(F67,"*R*")),SUBSTITUTE(F67,"R","S")&amp;Data!BU52,F67 &amp; Data!BU52))),SUBSTITUTE(SUBSTITUTE(SUBSTITUTE(SUBSTITUTE(SUBSTITUTE(SUBSTITUTE(SUBSTITUTE(SUBSTITUTE(SUBSTITUTE(SUBSTITUTE(IF(AND(COUNTIF(F67,"*P*"),COUNTIF(F67,"*V*")),IF(COUNTIF(F67,"*R*"),SUBSTITUTE(SUBSTITUTE(F67,"P",""),"R","S"),SUBSTITUTE(F67,"P","")),IF(AND(COUNTIF(F67,"*P*"),COUNTIF(F67,"*R*")),SUBSTITUTE(F67,"R","S"),IF(AND(COUNTIF(F67,"*V*"),COUNTIF(F67,"*R*")),SUBSTITUTE(F67,"R","S"),F67))),"0",""),"1",""),"2",""),"3",""),"4",""),"5",""),"6",""),"7",""),"8",""),"9","")&amp; Data!BU52),""))</f>
        <v/>
      </c>
      <c r="G100" s="41" t="str">
        <f>IF(AND($Y$57=1,G67&lt;&gt;""),"O"&amp; Data!BV52,IF(G67&lt;&gt;"",IF(OR(COUNTIF(G67,"L*"),COUNTIF(G67, "X*")),IF(AND(COUNTIF(G67,"*P*"),COUNTIF(G67,"*V*")),IF(COUNTIF(G67,"*R*"),SUBSTITUTE(SUBSTITUTE(G67,"P",""),"R","S")&amp; Data!BV52,SUBSTITUTE(G67,"P","")&amp; Data!BV52),IF(AND(COUNTIF(G67,"*P*"),COUNTIF(G67,"*R*")),SUBSTITUTE(G67,"R","S")&amp;Data!BV52,IF(AND(COUNTIF(G67,"*V*"),COUNTIF(G67,"*R*")),SUBSTITUTE(G67,"R","S")&amp;Data!BV52,G67 &amp; Data!BV52))),SUBSTITUTE(SUBSTITUTE(SUBSTITUTE(SUBSTITUTE(SUBSTITUTE(SUBSTITUTE(SUBSTITUTE(SUBSTITUTE(SUBSTITUTE(SUBSTITUTE(IF(AND(COUNTIF(G67,"*P*"),COUNTIF(G67,"*V*")),IF(COUNTIF(G67,"*R*"),SUBSTITUTE(SUBSTITUTE(G67,"P",""),"R","S"),SUBSTITUTE(G67,"P","")),IF(AND(COUNTIF(G67,"*P*"),COUNTIF(G67,"*R*")),SUBSTITUTE(G67,"R","S"),IF(AND(COUNTIF(G67,"*V*"),COUNTIF(G67,"*R*")),SUBSTITUTE(G67,"R","S"),G67))),"0",""),"1",""),"2",""),"3",""),"4",""),"5",""),"6",""),"7",""),"8",""),"9","")&amp; Data!BV52),""))</f>
        <v/>
      </c>
      <c r="H100" s="41" t="str">
        <f>IF(AND($Y$57=1,H67&lt;&gt;""),"O"&amp; Data!BW52,IF(H67&lt;&gt;"",IF(OR(COUNTIF(H67,"L*"),COUNTIF(H67, "X*")),IF(AND(COUNTIF(H67,"*P*"),COUNTIF(H67,"*V*")),IF(COUNTIF(H67,"*R*"),SUBSTITUTE(SUBSTITUTE(H67,"P",""),"R","S")&amp; Data!BW52,SUBSTITUTE(H67,"P","")&amp; Data!BW52),IF(AND(COUNTIF(H67,"*P*"),COUNTIF(H67,"*R*")),SUBSTITUTE(H67,"R","S")&amp;Data!BW52,IF(AND(COUNTIF(H67,"*V*"),COUNTIF(H67,"*R*")),SUBSTITUTE(H67,"R","S")&amp;Data!BW52,H67 &amp; Data!BW52))),SUBSTITUTE(SUBSTITUTE(SUBSTITUTE(SUBSTITUTE(SUBSTITUTE(SUBSTITUTE(SUBSTITUTE(SUBSTITUTE(SUBSTITUTE(SUBSTITUTE(IF(AND(COUNTIF(H67,"*P*"),COUNTIF(H67,"*V*")),IF(COUNTIF(H67,"*R*"),SUBSTITUTE(SUBSTITUTE(H67,"P",""),"R","S"),SUBSTITUTE(H67,"P","")),IF(AND(COUNTIF(H67,"*P*"),COUNTIF(H67,"*R*")),SUBSTITUTE(H67,"R","S"),IF(AND(COUNTIF(H67,"*V*"),COUNTIF(H67,"*R*")),SUBSTITUTE(H67,"R","S"),H67))),"0",""),"1",""),"2",""),"3",""),"4",""),"5",""),"6",""),"7",""),"8",""),"9","")&amp; Data!BW52),""))</f>
        <v/>
      </c>
      <c r="I100" s="41" t="str">
        <f>IF(AND($Y$57=1,I67&lt;&gt;""),"O"&amp; Data!BX52,IF(I67&lt;&gt;"",IF(OR(COUNTIF(I67,"L*"),COUNTIF(I67, "X*")),IF(AND(COUNTIF(I67,"*P*"),COUNTIF(I67,"*V*")),IF(COUNTIF(I67,"*R*"),SUBSTITUTE(SUBSTITUTE(I67,"P",""),"R","S")&amp; Data!BX52,SUBSTITUTE(I67,"P","")&amp; Data!BX52),IF(AND(COUNTIF(I67,"*P*"),COUNTIF(I67,"*R*")),SUBSTITUTE(I67,"R","S")&amp;Data!BX52,IF(AND(COUNTIF(I67,"*V*"),COUNTIF(I67,"*R*")),SUBSTITUTE(I67,"R","S")&amp;Data!BX52,I67 &amp; Data!BX52))),SUBSTITUTE(SUBSTITUTE(SUBSTITUTE(SUBSTITUTE(SUBSTITUTE(SUBSTITUTE(SUBSTITUTE(SUBSTITUTE(SUBSTITUTE(SUBSTITUTE(IF(AND(COUNTIF(I67,"*P*"),COUNTIF(I67,"*V*")),IF(COUNTIF(I67,"*R*"),SUBSTITUTE(SUBSTITUTE(I67,"P",""),"R","S"),SUBSTITUTE(I67,"P","")),IF(AND(COUNTIF(I67,"*P*"),COUNTIF(I67,"*R*")),SUBSTITUTE(I67,"R","S"),IF(AND(COUNTIF(I67,"*V*"),COUNTIF(I67,"*R*")),SUBSTITUTE(I67,"R","S"),I67))),"0",""),"1",""),"2",""),"3",""),"4",""),"5",""),"6",""),"7",""),"8",""),"9","")&amp; Data!BX52),""))</f>
        <v/>
      </c>
      <c r="J100" s="41" t="str">
        <f>IF(AND($Y$57=1,J67&lt;&gt;""),"O"&amp; Data!BY52,IF(J67&lt;&gt;"",IF(OR(COUNTIF(J67,"L*"),COUNTIF(J67, "X*")),IF(AND(COUNTIF(J67,"*P*"),COUNTIF(J67,"*V*")),IF(COUNTIF(J67,"*R*"),SUBSTITUTE(SUBSTITUTE(J67,"P",""),"R","S")&amp; Data!BY52,SUBSTITUTE(J67,"P","")&amp; Data!BY52),IF(AND(COUNTIF(J67,"*P*"),COUNTIF(J67,"*R*")),SUBSTITUTE(J67,"R","S")&amp;Data!BY52,IF(AND(COUNTIF(J67,"*V*"),COUNTIF(J67,"*R*")),SUBSTITUTE(J67,"R","S")&amp;Data!BY52,J67 &amp; Data!BY52))),SUBSTITUTE(SUBSTITUTE(SUBSTITUTE(SUBSTITUTE(SUBSTITUTE(SUBSTITUTE(SUBSTITUTE(SUBSTITUTE(SUBSTITUTE(SUBSTITUTE(IF(AND(COUNTIF(J67,"*P*"),COUNTIF(J67,"*V*")),IF(COUNTIF(J67,"*R*"),SUBSTITUTE(SUBSTITUTE(J67,"P",""),"R","S"),SUBSTITUTE(J67,"P","")),IF(AND(COUNTIF(J67,"*P*"),COUNTIF(J67,"*R*")),SUBSTITUTE(J67,"R","S"),IF(AND(COUNTIF(J67,"*V*"),COUNTIF(J67,"*R*")),SUBSTITUTE(J67,"R","S"),J67))),"0",""),"1",""),"2",""),"3",""),"4",""),"5",""),"6",""),"7",""),"8",""),"9","")&amp; Data!BY52),""))</f>
        <v/>
      </c>
      <c r="K100" s="41" t="str">
        <f>IF(AND($Y$57=1,K67&lt;&gt;""),"O"&amp; Data!BZ52,IF(K67&lt;&gt;"",IF(OR(COUNTIF(K67,"L*"),COUNTIF(K67, "X*")),IF(AND(COUNTIF(K67,"*P*"),COUNTIF(K67,"*V*")),IF(COUNTIF(K67,"*R*"),SUBSTITUTE(SUBSTITUTE(K67,"P",""),"R","S")&amp; Data!BZ52,SUBSTITUTE(K67,"P","")&amp; Data!BZ52),IF(AND(COUNTIF(K67,"*P*"),COUNTIF(K67,"*R*")),SUBSTITUTE(K67,"R","S")&amp;Data!BZ52,IF(AND(COUNTIF(K67,"*V*"),COUNTIF(K67,"*R*")),SUBSTITUTE(K67,"R","S")&amp;Data!BZ52,K67 &amp; Data!BZ52))),SUBSTITUTE(SUBSTITUTE(SUBSTITUTE(SUBSTITUTE(SUBSTITUTE(SUBSTITUTE(SUBSTITUTE(SUBSTITUTE(SUBSTITUTE(SUBSTITUTE(IF(AND(COUNTIF(K67,"*P*"),COUNTIF(K67,"*V*")),IF(COUNTIF(K67,"*R*"),SUBSTITUTE(SUBSTITUTE(K67,"P",""),"R","S"),SUBSTITUTE(K67,"P","")),IF(AND(COUNTIF(K67,"*P*"),COUNTIF(K67,"*R*")),SUBSTITUTE(K67,"R","S"),IF(AND(COUNTIF(K67,"*V*"),COUNTIF(K67,"*R*")),SUBSTITUTE(K67,"R","S"),K67))),"0",""),"1",""),"2",""),"3",""),"4",""),"5",""),"6",""),"7",""),"8",""),"9","")&amp; Data!BZ52),""))</f>
        <v/>
      </c>
      <c r="L100" s="41" t="str">
        <f>IF(AND($Y$57=1,L67&lt;&gt;""),"O"&amp; Data!CA52,IF(L67&lt;&gt;"",IF(OR(COUNTIF(L67,"L*"),COUNTIF(L67, "X*")),IF(AND(COUNTIF(L67,"*P*"),COUNTIF(L67,"*V*")),IF(COUNTIF(L67,"*R*"),SUBSTITUTE(SUBSTITUTE(L67,"P",""),"R","S")&amp; Data!CA52,SUBSTITUTE(L67,"P","")&amp; Data!CA52),IF(AND(COUNTIF(L67,"*P*"),COUNTIF(L67,"*R*")),SUBSTITUTE(L67,"R","S")&amp;Data!CA52,IF(AND(COUNTIF(L67,"*V*"),COUNTIF(L67,"*R*")),SUBSTITUTE(L67,"R","S")&amp;Data!CA52,L67 &amp; Data!CA52))),SUBSTITUTE(SUBSTITUTE(SUBSTITUTE(SUBSTITUTE(SUBSTITUTE(SUBSTITUTE(SUBSTITUTE(SUBSTITUTE(SUBSTITUTE(SUBSTITUTE(IF(AND(COUNTIF(L67,"*P*"),COUNTIF(L67,"*V*")),IF(COUNTIF(L67,"*R*"),SUBSTITUTE(SUBSTITUTE(L67,"P",""),"R","S"),SUBSTITUTE(L67,"P","")),IF(AND(COUNTIF(L67,"*P*"),COUNTIF(L67,"*R*")),SUBSTITUTE(L67,"R","S"),IF(AND(COUNTIF(L67,"*V*"),COUNTIF(L67,"*R*")),SUBSTITUTE(L67,"R","S"),L67))),"0",""),"1",""),"2",""),"3",""),"4",""),"5",""),"6",""),"7",""),"8",""),"9","")&amp; Data!CA52),""))</f>
        <v/>
      </c>
      <c r="M100" s="41" t="str">
        <f>IF(AND($Y$57=1,M67&lt;&gt;""),"O"&amp; Data!CB52,IF(M67&lt;&gt;"",IF(OR(COUNTIF(M67,"L*"),COUNTIF(M67, "X*")),IF(AND(COUNTIF(M67,"*P*"),COUNTIF(M67,"*V*")),IF(COUNTIF(M67,"*R*"),SUBSTITUTE(SUBSTITUTE(M67,"P",""),"R","S")&amp; Data!CB52,SUBSTITUTE(M67,"P","")&amp; Data!CB52),IF(AND(COUNTIF(M67,"*P*"),COUNTIF(M67,"*R*")),SUBSTITUTE(M67,"R","S")&amp;Data!CB52,IF(AND(COUNTIF(M67,"*V*"),COUNTIF(M67,"*R*")),SUBSTITUTE(M67,"R","S")&amp;Data!CB52,M67 &amp; Data!CB52))),SUBSTITUTE(SUBSTITUTE(SUBSTITUTE(SUBSTITUTE(SUBSTITUTE(SUBSTITUTE(SUBSTITUTE(SUBSTITUTE(SUBSTITUTE(SUBSTITUTE(IF(AND(COUNTIF(M67,"*P*"),COUNTIF(M67,"*V*")),IF(COUNTIF(M67,"*R*"),SUBSTITUTE(SUBSTITUTE(M67,"P",""),"R","S"),SUBSTITUTE(M67,"P","")),IF(AND(COUNTIF(M67,"*P*"),COUNTIF(M67,"*R*")),SUBSTITUTE(M67,"R","S"),IF(AND(COUNTIF(M67,"*V*"),COUNTIF(M67,"*R*")),SUBSTITUTE(M67,"R","S"),M67))),"0",""),"1",""),"2",""),"3",""),"4",""),"5",""),"6",""),"7",""),"8",""),"9","")&amp; Data!CB52),""))</f>
        <v/>
      </c>
      <c r="N100" s="41" t="str">
        <f>IF(AND($Y$57=1,N67&lt;&gt;""),"O"&amp; Data!CC52,IF(N67&lt;&gt;"",IF(OR(COUNTIF(N67,"L*"),COUNTIF(N67, "X*")),IF(AND(COUNTIF(N67,"*P*"),COUNTIF(N67,"*V*")),IF(COUNTIF(N67,"*R*"),SUBSTITUTE(SUBSTITUTE(N67,"P",""),"R","S")&amp; Data!CC52,SUBSTITUTE(N67,"P","")&amp; Data!CC52),IF(AND(COUNTIF(N67,"*P*"),COUNTIF(N67,"*R*")),SUBSTITUTE(N67,"R","S")&amp;Data!CC52,IF(AND(COUNTIF(N67,"*V*"),COUNTIF(N67,"*R*")),SUBSTITUTE(N67,"R","S")&amp;Data!CC52,N67 &amp; Data!CC52))),SUBSTITUTE(SUBSTITUTE(SUBSTITUTE(SUBSTITUTE(SUBSTITUTE(SUBSTITUTE(SUBSTITUTE(SUBSTITUTE(SUBSTITUTE(SUBSTITUTE(IF(AND(COUNTIF(N67,"*P*"),COUNTIF(N67,"*V*")),IF(COUNTIF(N67,"*R*"),SUBSTITUTE(SUBSTITUTE(N67,"P",""),"R","S"),SUBSTITUTE(N67,"P","")),IF(AND(COUNTIF(N67,"*P*"),COUNTIF(N67,"*R*")),SUBSTITUTE(N67,"R","S"),IF(AND(COUNTIF(N67,"*V*"),COUNTIF(N67,"*R*")),SUBSTITUTE(N67,"R","S"),N67))),"0",""),"1",""),"2",""),"3",""),"4",""),"5",""),"6",""),"7",""),"8",""),"9","")&amp; Data!CC52),""))</f>
        <v/>
      </c>
      <c r="O100" s="41" t="str">
        <f>IF(AND($Y$57=1,O67&lt;&gt;""),"O"&amp; Data!CD52,IF(O67&lt;&gt;"",IF(OR(COUNTIF(O67,"L*"),COUNTIF(O67, "X*")),IF(AND(COUNTIF(O67,"*P*"),COUNTIF(O67,"*V*")),IF(COUNTIF(O67,"*R*"),SUBSTITUTE(SUBSTITUTE(O67,"P",""),"R","S")&amp; Data!CD52,SUBSTITUTE(O67,"P","")&amp; Data!CD52),IF(AND(COUNTIF(O67,"*P*"),COUNTIF(O67,"*R*")),SUBSTITUTE(O67,"R","S")&amp;Data!CD52,IF(AND(COUNTIF(O67,"*V*"),COUNTIF(O67,"*R*")),SUBSTITUTE(O67,"R","S")&amp;Data!CD52,O67 &amp; Data!CD52))),SUBSTITUTE(SUBSTITUTE(SUBSTITUTE(SUBSTITUTE(SUBSTITUTE(SUBSTITUTE(SUBSTITUTE(SUBSTITUTE(SUBSTITUTE(SUBSTITUTE(IF(AND(COUNTIF(O67,"*P*"),COUNTIF(O67,"*V*")),IF(COUNTIF(O67,"*R*"),SUBSTITUTE(SUBSTITUTE(O67,"P",""),"R","S"),SUBSTITUTE(O67,"P","")),IF(AND(COUNTIF(O67,"*P*"),COUNTIF(O67,"*R*")),SUBSTITUTE(O67,"R","S"),IF(AND(COUNTIF(O67,"*V*"),COUNTIF(O67,"*R*")),SUBSTITUTE(O67,"R","S"),O67))),"0",""),"1",""),"2",""),"3",""),"4",""),"5",""),"6",""),"7",""),"8",""),"9","")&amp; Data!CD52),""))</f>
        <v/>
      </c>
      <c r="P100" s="41" t="str">
        <f>IF(AND($Y$57=1,P67&lt;&gt;""),"O"&amp; Data!CE52,IF(P67&lt;&gt;"",IF(OR(COUNTIF(P67,"L*"),COUNTIF(P67, "X*")),IF(AND(COUNTIF(P67,"*P*"),COUNTIF(P67,"*V*")),IF(COUNTIF(P67,"*R*"),SUBSTITUTE(SUBSTITUTE(P67,"P",""),"R","S")&amp; Data!CE52,SUBSTITUTE(P67,"P","")&amp; Data!CE52),IF(AND(COUNTIF(P67,"*P*"),COUNTIF(P67,"*R*")),SUBSTITUTE(P67,"R","S")&amp;Data!CE52,IF(AND(COUNTIF(P67,"*V*"),COUNTIF(P67,"*R*")),SUBSTITUTE(P67,"R","S")&amp;Data!CE52,P67 &amp; Data!CE52))),SUBSTITUTE(SUBSTITUTE(SUBSTITUTE(SUBSTITUTE(SUBSTITUTE(SUBSTITUTE(SUBSTITUTE(SUBSTITUTE(SUBSTITUTE(SUBSTITUTE(IF(AND(COUNTIF(P67,"*P*"),COUNTIF(P67,"*V*")),IF(COUNTIF(P67,"*R*"),SUBSTITUTE(SUBSTITUTE(P67,"P",""),"R","S"),SUBSTITUTE(P67,"P","")),IF(AND(COUNTIF(P67,"*P*"),COUNTIF(P67,"*R*")),SUBSTITUTE(P67,"R","S"),IF(AND(COUNTIF(P67,"*V*"),COUNTIF(P67,"*R*")),SUBSTITUTE(P67,"R","S"),P67))),"0",""),"1",""),"2",""),"3",""),"4",""),"5",""),"6",""),"7",""),"8",""),"9","")&amp; Data!CE52),""))</f>
        <v/>
      </c>
      <c r="Q100" s="41" t="str">
        <f>IF(AND($Y$57=1,Q67&lt;&gt;""),"O"&amp; Data!CF52,IF(Q67&lt;&gt;"",IF(OR(COUNTIF(Q67,"L*"),COUNTIF(Q67, "X*")),IF(AND(COUNTIF(Q67,"*P*"),COUNTIF(Q67,"*V*")),IF(COUNTIF(Q67,"*R*"),SUBSTITUTE(SUBSTITUTE(Q67,"P",""),"R","S")&amp; Data!CF52,SUBSTITUTE(Q67,"P","")&amp; Data!CF52),IF(AND(COUNTIF(Q67,"*P*"),COUNTIF(Q67,"*R*")),SUBSTITUTE(Q67,"R","S")&amp;Data!CF52,IF(AND(COUNTIF(Q67,"*V*"),COUNTIF(Q67,"*R*")),SUBSTITUTE(Q67,"R","S")&amp;Data!CF52,Q67 &amp; Data!CF52))),SUBSTITUTE(SUBSTITUTE(SUBSTITUTE(SUBSTITUTE(SUBSTITUTE(SUBSTITUTE(SUBSTITUTE(SUBSTITUTE(SUBSTITUTE(SUBSTITUTE(IF(AND(COUNTIF(Q67,"*P*"),COUNTIF(Q67,"*V*")),IF(COUNTIF(Q67,"*R*"),SUBSTITUTE(SUBSTITUTE(Q67,"P",""),"R","S"),SUBSTITUTE(Q67,"P","")),IF(AND(COUNTIF(Q67,"*P*"),COUNTIF(Q67,"*R*")),SUBSTITUTE(Q67,"R","S"),IF(AND(COUNTIF(Q67,"*V*"),COUNTIF(Q67,"*R*")),SUBSTITUTE(Q67,"R","S"),Q67))),"0",""),"1",""),"2",""),"3",""),"4",""),"5",""),"6",""),"7",""),"8",""),"9","")&amp; Data!CF52),""))</f>
        <v/>
      </c>
      <c r="R100" s="41" t="str">
        <f>IF(AND($Y$57=1,R67&lt;&gt;""),"O"&amp; Data!CG52,IF(R67&lt;&gt;"",IF(OR(COUNTIF(R67,"L*"),COUNTIF(R67, "X*")),IF(AND(COUNTIF(R67,"*P*"),COUNTIF(R67,"*V*")),IF(COUNTIF(R67,"*R*"),SUBSTITUTE(SUBSTITUTE(R67,"P",""),"R","S")&amp; Data!CG52,SUBSTITUTE(R67,"P","")&amp; Data!CG52),IF(AND(COUNTIF(R67,"*P*"),COUNTIF(R67,"*R*")),SUBSTITUTE(R67,"R","S")&amp;Data!CG52,IF(AND(COUNTIF(R67,"*V*"),COUNTIF(R67,"*R*")),SUBSTITUTE(R67,"R","S")&amp;Data!CG52,R67 &amp; Data!CG52))),SUBSTITUTE(SUBSTITUTE(SUBSTITUTE(SUBSTITUTE(SUBSTITUTE(SUBSTITUTE(SUBSTITUTE(SUBSTITUTE(SUBSTITUTE(SUBSTITUTE(IF(AND(COUNTIF(R67,"*P*"),COUNTIF(R67,"*V*")),IF(COUNTIF(R67,"*R*"),SUBSTITUTE(SUBSTITUTE(R67,"P",""),"R","S"),SUBSTITUTE(R67,"P","")),IF(AND(COUNTIF(R67,"*P*"),COUNTIF(R67,"*R*")),SUBSTITUTE(R67,"R","S"),IF(AND(COUNTIF(R67,"*V*"),COUNTIF(R67,"*R*")),SUBSTITUTE(R67,"R","S"),R67))),"0",""),"1",""),"2",""),"3",""),"4",""),"5",""),"6",""),"7",""),"8",""),"9","")&amp; Data!CG52),""))</f>
        <v/>
      </c>
      <c r="S100" s="41" t="str">
        <f>IF(AND($Y$57=1,S67&lt;&gt;""),"O"&amp; Data!CH52,IF(S67&lt;&gt;"",IF(OR(COUNTIF(S67,"L*"),COUNTIF(S67, "X*")),IF(AND(COUNTIF(S67,"*P*"),COUNTIF(S67,"*V*")),IF(COUNTIF(S67,"*R*"),SUBSTITUTE(SUBSTITUTE(S67,"P",""),"R","S")&amp; Data!CH52,SUBSTITUTE(S67,"P","")&amp; Data!CH52),IF(AND(COUNTIF(S67,"*P*"),COUNTIF(S67,"*R*")),SUBSTITUTE(S67,"R","S")&amp;Data!CH52,IF(AND(COUNTIF(S67,"*V*"),COUNTIF(S67,"*R*")),SUBSTITUTE(S67,"R","S")&amp;Data!CH52,S67 &amp; Data!CH52))),SUBSTITUTE(SUBSTITUTE(SUBSTITUTE(SUBSTITUTE(SUBSTITUTE(SUBSTITUTE(SUBSTITUTE(SUBSTITUTE(SUBSTITUTE(SUBSTITUTE(IF(AND(COUNTIF(S67,"*P*"),COUNTIF(S67,"*V*")),IF(COUNTIF(S67,"*R*"),SUBSTITUTE(SUBSTITUTE(S67,"P",""),"R","S"),SUBSTITUTE(S67,"P","")),IF(AND(COUNTIF(S67,"*P*"),COUNTIF(S67,"*R*")),SUBSTITUTE(S67,"R","S"),IF(AND(COUNTIF(S67,"*V*"),COUNTIF(S67,"*R*")),SUBSTITUTE(S67,"R","S"),S67))),"0",""),"1",""),"2",""),"3",""),"4",""),"5",""),"6",""),"7",""),"8",""),"9","")&amp; Data!CH52),""))</f>
        <v/>
      </c>
      <c r="T100" s="41" t="str">
        <f>IF(AND($Y$57=1,T67&lt;&gt;""),"O"&amp; Data!CI52,IF(T67&lt;&gt;"",IF(OR(COUNTIF(T67,"L*"),COUNTIF(T67, "X*")),IF(AND(COUNTIF(T67,"*P*"),COUNTIF(T67,"*V*")),IF(COUNTIF(T67,"*R*"),SUBSTITUTE(SUBSTITUTE(T67,"P",""),"R","S")&amp; Data!CI52,SUBSTITUTE(T67,"P","")&amp; Data!CI52),IF(AND(COUNTIF(T67,"*P*"),COUNTIF(T67,"*R*")),SUBSTITUTE(T67,"R","S")&amp;Data!CI52,IF(AND(COUNTIF(T67,"*V*"),COUNTIF(T67,"*R*")),SUBSTITUTE(T67,"R","S")&amp;Data!CI52,T67 &amp; Data!CI52))),SUBSTITUTE(SUBSTITUTE(SUBSTITUTE(SUBSTITUTE(SUBSTITUTE(SUBSTITUTE(SUBSTITUTE(SUBSTITUTE(SUBSTITUTE(SUBSTITUTE(IF(AND(COUNTIF(T67,"*P*"),COUNTIF(T67,"*V*")),IF(COUNTIF(T67,"*R*"),SUBSTITUTE(SUBSTITUTE(T67,"P",""),"R","S"),SUBSTITUTE(T67,"P","")),IF(AND(COUNTIF(T67,"*P*"),COUNTIF(T67,"*R*")),SUBSTITUTE(T67,"R","S"),IF(AND(COUNTIF(T67,"*V*"),COUNTIF(T67,"*R*")),SUBSTITUTE(T67,"R","S"),T67))),"0",""),"1",""),"2",""),"3",""),"4",""),"5",""),"6",""),"7",""),"8",""),"9","")&amp; Data!CI52),""))</f>
        <v/>
      </c>
      <c r="U100" s="41" t="str">
        <f>IF(AND($Y$57=1,U67&lt;&gt;""),"O"&amp; Data!CJ52,IF(U67&lt;&gt;"",IF(OR(COUNTIF(U67,"L*"),COUNTIF(U67, "X*")),IF(AND(COUNTIF(U67,"*P*"),COUNTIF(U67,"*V*")),IF(COUNTIF(U67,"*R*"),SUBSTITUTE(SUBSTITUTE(U67,"P",""),"R","S")&amp; Data!CJ52,SUBSTITUTE(U67,"P","")&amp; Data!CJ52),IF(AND(COUNTIF(U67,"*P*"),COUNTIF(U67,"*R*")),SUBSTITUTE(U67,"R","S")&amp;Data!CJ52,IF(AND(COUNTIF(U67,"*V*"),COUNTIF(U67,"*R*")),SUBSTITUTE(U67,"R","S")&amp;Data!CJ52,U67 &amp; Data!CJ52))),SUBSTITUTE(SUBSTITUTE(SUBSTITUTE(SUBSTITUTE(SUBSTITUTE(SUBSTITUTE(SUBSTITUTE(SUBSTITUTE(SUBSTITUTE(SUBSTITUTE(IF(AND(COUNTIF(U67,"*P*"),COUNTIF(U67,"*V*")),IF(COUNTIF(U67,"*R*"),SUBSTITUTE(SUBSTITUTE(U67,"P",""),"R","S"),SUBSTITUTE(U67,"P","")),IF(AND(COUNTIF(U67,"*P*"),COUNTIF(U67,"*R*")),SUBSTITUTE(U67,"R","S"),IF(AND(COUNTIF(U67,"*V*"),COUNTIF(U67,"*R*")),SUBSTITUTE(U67,"R","S"),U67))),"0",""),"1",""),"2",""),"3",""),"4",""),"5",""),"6",""),"7",""),"8",""),"9","")&amp; Data!CJ52),""))</f>
        <v/>
      </c>
      <c r="V100" s="41" t="str">
        <f>IF(AND($Y$57=1,V67&lt;&gt;""),"O"&amp; Data!CK52,IF(V67&lt;&gt;"",IF(OR(COUNTIF(V67,"L*"),COUNTIF(V67, "X*")),IF(AND(COUNTIF(V67,"*P*"),COUNTIF(V67,"*V*")),IF(COUNTIF(V67,"*R*"),SUBSTITUTE(SUBSTITUTE(V67,"P",""),"R","S")&amp; Data!CK52,SUBSTITUTE(V67,"P","")&amp; Data!CK52),IF(AND(COUNTIF(V67,"*P*"),COUNTIF(V67,"*R*")),SUBSTITUTE(V67,"R","S")&amp;Data!CK52,IF(AND(COUNTIF(V67,"*V*"),COUNTIF(V67,"*R*")),SUBSTITUTE(V67,"R","S")&amp;Data!CK52,V67 &amp; Data!CK52))),SUBSTITUTE(SUBSTITUTE(SUBSTITUTE(SUBSTITUTE(SUBSTITUTE(SUBSTITUTE(SUBSTITUTE(SUBSTITUTE(SUBSTITUTE(SUBSTITUTE(IF(AND(COUNTIF(V67,"*P*"),COUNTIF(V67,"*V*")),IF(COUNTIF(V67,"*R*"),SUBSTITUTE(SUBSTITUTE(V67,"P",""),"R","S"),SUBSTITUTE(V67,"P","")),IF(AND(COUNTIF(V67,"*P*"),COUNTIF(V67,"*R*")),SUBSTITUTE(V67,"R","S"),IF(AND(COUNTIF(V67,"*V*"),COUNTIF(V67,"*R*")),SUBSTITUTE(V67,"R","S"),V67))),"0",""),"1",""),"2",""),"3",""),"4",""),"5",""),"6",""),"7",""),"8",""),"9","")&amp; Data!CK52),""))</f>
        <v/>
      </c>
      <c r="W100" s="41" t="str">
        <f>IF(AND($Y$57=1,W67&lt;&gt;""),"O"&amp; Data!CL52,IF(W67&lt;&gt;"",IF(OR(COUNTIF(W67,"L*"),COUNTIF(W67, "X*")),IF(AND(COUNTIF(W67,"*P*"),COUNTIF(W67,"*V*")),IF(COUNTIF(W67,"*R*"),SUBSTITUTE(SUBSTITUTE(W67,"P",""),"R","S")&amp; Data!CL52,SUBSTITUTE(W67,"P","")&amp; Data!CL52),IF(AND(COUNTIF(W67,"*P*"),COUNTIF(W67,"*R*")),SUBSTITUTE(W67,"R","S")&amp;Data!CL52,IF(AND(COUNTIF(W67,"*V*"),COUNTIF(W67,"*R*")),SUBSTITUTE(W67,"R","S")&amp;Data!CL52,W67 &amp; Data!CL52))),SUBSTITUTE(SUBSTITUTE(SUBSTITUTE(SUBSTITUTE(SUBSTITUTE(SUBSTITUTE(SUBSTITUTE(SUBSTITUTE(SUBSTITUTE(SUBSTITUTE(IF(AND(COUNTIF(W67,"*P*"),COUNTIF(W67,"*V*")),IF(COUNTIF(W67,"*R*"),SUBSTITUTE(SUBSTITUTE(W67,"P",""),"R","S"),SUBSTITUTE(W67,"P","")),IF(AND(COUNTIF(W67,"*P*"),COUNTIF(W67,"*R*")),SUBSTITUTE(W67,"R","S"),IF(AND(COUNTIF(W67,"*V*"),COUNTIF(W67,"*R*")),SUBSTITUTE(W67,"R","S"),W67))),"0",""),"1",""),"2",""),"3",""),"4",""),"5",""),"6",""),"7",""),"8",""),"9","")&amp; Data!CL52),""))</f>
        <v/>
      </c>
      <c r="X100" s="41" t="str">
        <f>IF(AND($Y$57=1,X67&lt;&gt;""),"O"&amp; Data!CM52,IF(X67&lt;&gt;"",IF(OR(COUNTIF(X67,"L*"),COUNTIF(X67, "X*")),IF(AND(COUNTIF(X67,"*P*"),COUNTIF(X67,"*V*")),IF(COUNTIF(X67,"*R*"),SUBSTITUTE(SUBSTITUTE(X67,"P",""),"R","S")&amp; Data!CM52,SUBSTITUTE(X67,"P","")&amp; Data!CM52),IF(AND(COUNTIF(X67,"*P*"),COUNTIF(X67,"*R*")),SUBSTITUTE(X67,"R","S")&amp;Data!CM52,IF(AND(COUNTIF(X67,"*V*"),COUNTIF(X67,"*R*")),SUBSTITUTE(X67,"R","S")&amp;Data!CM52,X67 &amp; Data!CM52))),SUBSTITUTE(SUBSTITUTE(SUBSTITUTE(SUBSTITUTE(SUBSTITUTE(SUBSTITUTE(SUBSTITUTE(SUBSTITUTE(SUBSTITUTE(SUBSTITUTE(IF(AND(COUNTIF(X67,"*P*"),COUNTIF(X67,"*V*")),IF(COUNTIF(X67,"*R*"),SUBSTITUTE(SUBSTITUTE(X67,"P",""),"R","S"),SUBSTITUTE(X67,"P","")),IF(AND(COUNTIF(X67,"*P*"),COUNTIF(X67,"*R*")),SUBSTITUTE(X67,"R","S"),IF(AND(COUNTIF(X67,"*V*"),COUNTIF(X67,"*R*")),SUBSTITUTE(X67,"R","S"),X67))),"0",""),"1",""),"2",""),"3",""),"4",""),"5",""),"6",""),"7",""),"8",""),"9","")&amp; Data!CM52),""))</f>
        <v/>
      </c>
      <c r="Y100" s="41" t="str">
        <f>IF(AND($Y$57=1,Y67&lt;&gt;""),"O"&amp; Data!CN52,IF(Y67&lt;&gt;"",IF(OR(COUNTIF(Y67,"L*"),COUNTIF(Y67, "X*")),IF(AND(COUNTIF(Y67,"*P*"),COUNTIF(Y67,"*V*")),IF(COUNTIF(Y67,"*R*"),SUBSTITUTE(SUBSTITUTE(Y67,"P",""),"R","S")&amp; Data!CN52,SUBSTITUTE(Y67,"P","")&amp; Data!CN52),IF(AND(COUNTIF(Y67,"*P*"),COUNTIF(Y67,"*R*")),SUBSTITUTE(Y67,"R","S")&amp;Data!CN52,IF(AND(COUNTIF(Y67,"*V*"),COUNTIF(Y67,"*R*")),SUBSTITUTE(Y67,"R","S")&amp;Data!CN52,Y67 &amp; Data!CN52))),SUBSTITUTE(SUBSTITUTE(SUBSTITUTE(SUBSTITUTE(SUBSTITUTE(SUBSTITUTE(SUBSTITUTE(SUBSTITUTE(SUBSTITUTE(SUBSTITUTE(IF(AND(COUNTIF(Y67,"*P*"),COUNTIF(Y67,"*V*")),IF(COUNTIF(Y67,"*R*"),SUBSTITUTE(SUBSTITUTE(Y67,"P",""),"R","S"),SUBSTITUTE(Y67,"P","")),IF(AND(COUNTIF(Y67,"*P*"),COUNTIF(Y67,"*R*")),SUBSTITUTE(Y67,"R","S"),IF(AND(COUNTIF(Y67,"*V*"),COUNTIF(Y67,"*R*")),SUBSTITUTE(Y67,"R","S"),Y67))),"0",""),"1",""),"2",""),"3",""),"4",""),"5",""),"6",""),"7",""),"8",""),"9","")&amp; Data!CN52),""))</f>
        <v/>
      </c>
      <c r="Z100" s="41" t="str">
        <f>IF(AND($Y$57=1,Z67&lt;&gt;""),"O"&amp; Data!CO52,IF(Z67&lt;&gt;"",IF(OR(COUNTIF(Z67,"L*"),COUNTIF(Z67, "X*")),IF(AND(COUNTIF(Z67,"*P*"),COUNTIF(Z67,"*V*")),IF(COUNTIF(Z67,"*R*"),SUBSTITUTE(SUBSTITUTE(Z67,"P",""),"R","S")&amp; Data!CO52,SUBSTITUTE(Z67,"P","")&amp; Data!CO52),IF(AND(COUNTIF(Z67,"*P*"),COUNTIF(Z67,"*R*")),SUBSTITUTE(Z67,"R","S")&amp;Data!CO52,IF(AND(COUNTIF(Z67,"*V*"),COUNTIF(Z67,"*R*")),SUBSTITUTE(Z67,"R","S")&amp;Data!CO52,Z67 &amp; Data!CO52))),SUBSTITUTE(SUBSTITUTE(SUBSTITUTE(SUBSTITUTE(SUBSTITUTE(SUBSTITUTE(SUBSTITUTE(SUBSTITUTE(SUBSTITUTE(SUBSTITUTE(IF(AND(COUNTIF(Z67,"*P*"),COUNTIF(Z67,"*V*")),IF(COUNTIF(Z67,"*R*"),SUBSTITUTE(SUBSTITUTE(Z67,"P",""),"R","S"),SUBSTITUTE(Z67,"P","")),IF(AND(COUNTIF(Z67,"*P*"),COUNTIF(Z67,"*R*")),SUBSTITUTE(Z67,"R","S"),IF(AND(COUNTIF(Z67,"*V*"),COUNTIF(Z67,"*R*")),SUBSTITUTE(Z67,"R","S"),Z67))),"0",""),"1",""),"2",""),"3",""),"4",""),"5",""),"6",""),"7",""),"8",""),"9","")&amp; Data!CO52),""))</f>
        <v/>
      </c>
      <c r="AA100" s="41" t="str">
        <f>IF(AND($Y$57=1,AA67&lt;&gt;""),"O"&amp; Data!CP52,IF(AA67&lt;&gt;"",IF(OR(COUNTIF(AA67,"L*"),COUNTIF(AA67, "X*")),IF(AND(COUNTIF(AA67,"*P*"),COUNTIF(AA67,"*V*")),IF(COUNTIF(AA67,"*R*"),SUBSTITUTE(SUBSTITUTE(AA67,"P",""),"R","S")&amp; Data!CP52,SUBSTITUTE(AA67,"P","")&amp; Data!CP52),IF(AND(COUNTIF(AA67,"*P*"),COUNTIF(AA67,"*R*")),SUBSTITUTE(AA67,"R","S")&amp;Data!CP52,IF(AND(COUNTIF(AA67,"*V*"),COUNTIF(AA67,"*R*")),SUBSTITUTE(AA67,"R","S")&amp;Data!CP52,AA67 &amp; Data!CP52))),SUBSTITUTE(SUBSTITUTE(SUBSTITUTE(SUBSTITUTE(SUBSTITUTE(SUBSTITUTE(SUBSTITUTE(SUBSTITUTE(SUBSTITUTE(SUBSTITUTE(IF(AND(COUNTIF(AA67,"*P*"),COUNTIF(AA67,"*V*")),IF(COUNTIF(AA67,"*R*"),SUBSTITUTE(SUBSTITUTE(AA67,"P",""),"R","S"),SUBSTITUTE(AA67,"P","")),IF(AND(COUNTIF(AA67,"*P*"),COUNTIF(AA67,"*R*")),SUBSTITUTE(AA67,"R","S"),IF(AND(COUNTIF(AA67,"*V*"),COUNTIF(AA67,"*R*")),SUBSTITUTE(AA67,"R","S"),AA67))),"0",""),"1",""),"2",""),"3",""),"4",""),"5",""),"6",""),"7",""),"8",""),"9","")&amp; Data!CP52),""))</f>
        <v/>
      </c>
      <c r="AB100" s="41" t="str">
        <f>IF(AND($Y$57=1,AB67&lt;&gt;""),"O"&amp; Data!CQ52,IF(AB67&lt;&gt;"",IF(OR(COUNTIF(AB67,"L*"),COUNTIF(AB67, "X*")),IF(AND(COUNTIF(AB67,"*P*"),COUNTIF(AB67,"*V*")),IF(COUNTIF(AB67,"*R*"),SUBSTITUTE(SUBSTITUTE(AB67,"P",""),"R","S")&amp; Data!CQ52,SUBSTITUTE(AB67,"P","")&amp; Data!CQ52),IF(AND(COUNTIF(AB67,"*P*"),COUNTIF(AB67,"*R*")),SUBSTITUTE(AB67,"R","S")&amp;Data!CQ52,IF(AND(COUNTIF(AB67,"*V*"),COUNTIF(AB67,"*R*")),SUBSTITUTE(AB67,"R","S")&amp;Data!CQ52,AB67 &amp; Data!CQ52))),SUBSTITUTE(SUBSTITUTE(SUBSTITUTE(SUBSTITUTE(SUBSTITUTE(SUBSTITUTE(SUBSTITUTE(SUBSTITUTE(SUBSTITUTE(SUBSTITUTE(IF(AND(COUNTIF(AB67,"*P*"),COUNTIF(AB67,"*V*")),IF(COUNTIF(AB67,"*R*"),SUBSTITUTE(SUBSTITUTE(AB67,"P",""),"R","S"),SUBSTITUTE(AB67,"P","")),IF(AND(COUNTIF(AB67,"*P*"),COUNTIF(AB67,"*R*")),SUBSTITUTE(AB67,"R","S"),IF(AND(COUNTIF(AB67,"*V*"),COUNTIF(AB67,"*R*")),SUBSTITUTE(AB67,"R","S"),AB67))),"0",""),"1",""),"2",""),"3",""),"4",""),"5",""),"6",""),"7",""),"8",""),"9","")&amp; Data!CQ52),""))</f>
        <v/>
      </c>
      <c r="AC100" s="41" t="str">
        <f>IF(AND($Y$57=1,AC67&lt;&gt;""),"O"&amp; Data!CR52,IF(AC67&lt;&gt;"",IF(OR(COUNTIF(AC67,"L*"),COUNTIF(AC67, "X*")),IF(AND(COUNTIF(AC67,"*P*"),COUNTIF(AC67,"*V*")),IF(COUNTIF(AC67,"*R*"),SUBSTITUTE(SUBSTITUTE(AC67,"P",""),"R","S")&amp; Data!CR52,SUBSTITUTE(AC67,"P","")&amp; Data!CR52),IF(AND(COUNTIF(AC67,"*P*"),COUNTIF(AC67,"*R*")),SUBSTITUTE(AC67,"R","S")&amp;Data!CR52,IF(AND(COUNTIF(AC67,"*V*"),COUNTIF(AC67,"*R*")),SUBSTITUTE(AC67,"R","S")&amp;Data!CR52,AC67 &amp; Data!CR52))),SUBSTITUTE(SUBSTITUTE(SUBSTITUTE(SUBSTITUTE(SUBSTITUTE(SUBSTITUTE(SUBSTITUTE(SUBSTITUTE(SUBSTITUTE(SUBSTITUTE(IF(AND(COUNTIF(AC67,"*P*"),COUNTIF(AC67,"*V*")),IF(COUNTIF(AC67,"*R*"),SUBSTITUTE(SUBSTITUTE(AC67,"P",""),"R","S"),SUBSTITUTE(AC67,"P","")),IF(AND(COUNTIF(AC67,"*P*"),COUNTIF(AC67,"*R*")),SUBSTITUTE(AC67,"R","S"),IF(AND(COUNTIF(AC67,"*V*"),COUNTIF(AC67,"*R*")),SUBSTITUTE(AC67,"R","S"),AC67))),"0",""),"1",""),"2",""),"3",""),"4",""),"5",""),"6",""),"7",""),"8",""),"9","")&amp; Data!CR52),""))</f>
        <v/>
      </c>
      <c r="AD100" s="41" t="str">
        <f>IF(AND($Y$57=1,AD67&lt;&gt;""),"O"&amp; Data!CS52,IF(AD67&lt;&gt;"",IF(OR(COUNTIF(AD67,"L*"),COUNTIF(AD67, "X*")),IF(AND(COUNTIF(AD67,"*P*"),COUNTIF(AD67,"*V*")),IF(COUNTIF(AD67,"*R*"),SUBSTITUTE(SUBSTITUTE(AD67,"P",""),"R","S")&amp; Data!CS52,SUBSTITUTE(AD67,"P","")&amp; Data!CS52),IF(AND(COUNTIF(AD67,"*P*"),COUNTIF(AD67,"*R*")),SUBSTITUTE(AD67,"R","S")&amp;Data!CS52,IF(AND(COUNTIF(AD67,"*V*"),COUNTIF(AD67,"*R*")),SUBSTITUTE(AD67,"R","S")&amp;Data!CS52,AD67 &amp; Data!CS52))),SUBSTITUTE(SUBSTITUTE(SUBSTITUTE(SUBSTITUTE(SUBSTITUTE(SUBSTITUTE(SUBSTITUTE(SUBSTITUTE(SUBSTITUTE(SUBSTITUTE(IF(AND(COUNTIF(AD67,"*P*"),COUNTIF(AD67,"*V*")),IF(COUNTIF(AD67,"*R*"),SUBSTITUTE(SUBSTITUTE(AD67,"P",""),"R","S"),SUBSTITUTE(AD67,"P","")),IF(AND(COUNTIF(AD67,"*P*"),COUNTIF(AD67,"*R*")),SUBSTITUTE(AD67,"R","S"),IF(AND(COUNTIF(AD67,"*V*"),COUNTIF(AD67,"*R*")),SUBSTITUTE(AD67,"R","S"),AD67))),"0",""),"1",""),"2",""),"3",""),"4",""),"5",""),"6",""),"7",""),"8",""),"9","")&amp; Data!CS52),""))</f>
        <v/>
      </c>
      <c r="AE100" s="41" t="str">
        <f>IF(AND($Y$57=1,AE67&lt;&gt;""),"O"&amp; Data!CT52,IF(AE67&lt;&gt;"",IF(OR(COUNTIF(AE67,"L*"),COUNTIF(AE67, "X*")),IF(AND(COUNTIF(AE67,"*P*"),COUNTIF(AE67,"*V*")),IF(COUNTIF(AE67,"*R*"),SUBSTITUTE(SUBSTITUTE(AE67,"P",""),"R","S")&amp; Data!CT52,SUBSTITUTE(AE67,"P","")&amp; Data!CT52),IF(AND(COUNTIF(AE67,"*P*"),COUNTIF(AE67,"*R*")),SUBSTITUTE(AE67,"R","S")&amp;Data!CT52,IF(AND(COUNTIF(AE67,"*V*"),COUNTIF(AE67,"*R*")),SUBSTITUTE(AE67,"R","S")&amp;Data!CT52,AE67 &amp; Data!CT52))),SUBSTITUTE(SUBSTITUTE(SUBSTITUTE(SUBSTITUTE(SUBSTITUTE(SUBSTITUTE(SUBSTITUTE(SUBSTITUTE(SUBSTITUTE(SUBSTITUTE(IF(AND(COUNTIF(AE67,"*P*"),COUNTIF(AE67,"*V*")),IF(COUNTIF(AE67,"*R*"),SUBSTITUTE(SUBSTITUTE(AE67,"P",""),"R","S"),SUBSTITUTE(AE67,"P","")),IF(AND(COUNTIF(AE67,"*P*"),COUNTIF(AE67,"*R*")),SUBSTITUTE(AE67,"R","S"),IF(AND(COUNTIF(AE67,"*V*"),COUNTIF(AE67,"*R*")),SUBSTITUTE(AE67,"R","S"),AE67))),"0",""),"1",""),"2",""),"3",""),"4",""),"5",""),"6",""),"7",""),"8",""),"9","")&amp; Data!CT52),""))</f>
        <v/>
      </c>
      <c r="AF100" s="41" t="str">
        <f>IF(AND($Y$57=1,AF67&lt;&gt;""),"O"&amp; Data!CU52,IF(AF67&lt;&gt;"",IF(OR(COUNTIF(AF67,"L*"),COUNTIF(AF67, "X*")),IF(AND(COUNTIF(AF67,"*P*"),COUNTIF(AF67,"*V*")),IF(COUNTIF(AF67,"*R*"),SUBSTITUTE(SUBSTITUTE(AF67,"P",""),"R","S")&amp; Data!CU52,SUBSTITUTE(AF67,"P","")&amp; Data!CU52),IF(AND(COUNTIF(AF67,"*P*"),COUNTIF(AF67,"*R*")),SUBSTITUTE(AF67,"R","S")&amp;Data!CU52,IF(AND(COUNTIF(AF67,"*V*"),COUNTIF(AF67,"*R*")),SUBSTITUTE(AF67,"R","S")&amp;Data!CU52,AF67 &amp; Data!CU52))),SUBSTITUTE(SUBSTITUTE(SUBSTITUTE(SUBSTITUTE(SUBSTITUTE(SUBSTITUTE(SUBSTITUTE(SUBSTITUTE(SUBSTITUTE(SUBSTITUTE(IF(AND(COUNTIF(AF67,"*P*"),COUNTIF(AF67,"*V*")),IF(COUNTIF(AF67,"*R*"),SUBSTITUTE(SUBSTITUTE(AF67,"P",""),"R","S"),SUBSTITUTE(AF67,"P","")),IF(AND(COUNTIF(AF67,"*P*"),COUNTIF(AF67,"*R*")),SUBSTITUTE(AF67,"R","S"),IF(AND(COUNTIF(AF67,"*V*"),COUNTIF(AF67,"*R*")),SUBSTITUTE(AF67,"R","S"),AF67))),"0",""),"1",""),"2",""),"3",""),"4",""),"5",""),"6",""),"7",""),"8",""),"9","")&amp; Data!CU52),""))</f>
        <v/>
      </c>
      <c r="AG100" s="41" t="str">
        <f>IF(AND($Y$57=1,AG67&lt;&gt;""),"O"&amp; Data!CV52,IF(AG67&lt;&gt;"",IF(OR(COUNTIF(AG67,"L*"),COUNTIF(AG67, "X*")),IF(AND(COUNTIF(AG67,"*P*"),COUNTIF(AG67,"*V*")),IF(COUNTIF(AG67,"*R*"),SUBSTITUTE(SUBSTITUTE(AG67,"P",""),"R","S")&amp; Data!CV52,SUBSTITUTE(AG67,"P","")&amp; Data!CV52),IF(AND(COUNTIF(AG67,"*P*"),COUNTIF(AG67,"*R*")),SUBSTITUTE(AG67,"R","S")&amp;Data!CV52,IF(AND(COUNTIF(AG67,"*V*"),COUNTIF(AG67,"*R*")),SUBSTITUTE(AG67,"R","S")&amp;Data!CV52,AG67 &amp; Data!CV52))),SUBSTITUTE(SUBSTITUTE(SUBSTITUTE(SUBSTITUTE(SUBSTITUTE(SUBSTITUTE(SUBSTITUTE(SUBSTITUTE(SUBSTITUTE(SUBSTITUTE(IF(AND(COUNTIF(AG67,"*P*"),COUNTIF(AG67,"*V*")),IF(COUNTIF(AG67,"*R*"),SUBSTITUTE(SUBSTITUTE(AG67,"P",""),"R","S"),SUBSTITUTE(AG67,"P","")),IF(AND(COUNTIF(AG67,"*P*"),COUNTIF(AG67,"*R*")),SUBSTITUTE(AG67,"R","S"),IF(AND(COUNTIF(AG67,"*V*"),COUNTIF(AG67,"*R*")),SUBSTITUTE(AG67,"R","S"),AG67))),"0",""),"1",""),"2",""),"3",""),"4",""),"5",""),"6",""),"7",""),"8",""),"9","")&amp; Data!CV52),""))</f>
        <v/>
      </c>
      <c r="AH100" s="41" t="str">
        <f>IF(AND($Y$57=1,AH67&lt;&gt;""),"O"&amp; Data!CW52,IF(AH67&lt;&gt;"",IF(OR(COUNTIF(AH67,"L*"),COUNTIF(AH67, "X*")),IF(AND(COUNTIF(AH67,"*P*"),COUNTIF(AH67,"*V*")),IF(COUNTIF(AH67,"*R*"),SUBSTITUTE(SUBSTITUTE(AH67,"P",""),"R","S")&amp; Data!CW52,SUBSTITUTE(AH67,"P","")&amp; Data!CW52),IF(AND(COUNTIF(AH67,"*P*"),COUNTIF(AH67,"*R*")),SUBSTITUTE(AH67,"R","S")&amp;Data!CW52,IF(AND(COUNTIF(AH67,"*V*"),COUNTIF(AH67,"*R*")),SUBSTITUTE(AH67,"R","S")&amp;Data!CW52,AH67 &amp; Data!CW52))),SUBSTITUTE(SUBSTITUTE(SUBSTITUTE(SUBSTITUTE(SUBSTITUTE(SUBSTITUTE(SUBSTITUTE(SUBSTITUTE(SUBSTITUTE(SUBSTITUTE(IF(AND(COUNTIF(AH67,"*P*"),COUNTIF(AH67,"*V*")),IF(COUNTIF(AH67,"*R*"),SUBSTITUTE(SUBSTITUTE(AH67,"P",""),"R","S"),SUBSTITUTE(AH67,"P","")),IF(AND(COUNTIF(AH67,"*P*"),COUNTIF(AH67,"*R*")),SUBSTITUTE(AH67,"R","S"),IF(AND(COUNTIF(AH67,"*V*"),COUNTIF(AH67,"*R*")),SUBSTITUTE(AH67,"R","S"),AH67))),"0",""),"1",""),"2",""),"3",""),"4",""),"5",""),"6",""),"7",""),"8",""),"9","")&amp; Data!CW52),""))</f>
        <v/>
      </c>
      <c r="AI100" s="41" t="str">
        <f>IF(AND($Y$57=1,AI67&lt;&gt;""),"O"&amp; Data!CX52,IF(AI67&lt;&gt;"",IF(OR(COUNTIF(AI67,"L*"),COUNTIF(AI67, "X*")),IF(AND(COUNTIF(AI67,"*P*"),COUNTIF(AI67,"*V*")),IF(COUNTIF(AI67,"*R*"),SUBSTITUTE(SUBSTITUTE(AI67,"P",""),"R","S")&amp; Data!CX52,SUBSTITUTE(AI67,"P","")&amp; Data!CX52),IF(AND(COUNTIF(AI67,"*P*"),COUNTIF(AI67,"*R*")),SUBSTITUTE(AI67,"R","S")&amp;Data!CX52,IF(AND(COUNTIF(AI67,"*V*"),COUNTIF(AI67,"*R*")),SUBSTITUTE(AI67,"R","S")&amp;Data!CX52,AI67 &amp; Data!CX52))),SUBSTITUTE(SUBSTITUTE(SUBSTITUTE(SUBSTITUTE(SUBSTITUTE(SUBSTITUTE(SUBSTITUTE(SUBSTITUTE(SUBSTITUTE(SUBSTITUTE(IF(AND(COUNTIF(AI67,"*P*"),COUNTIF(AI67,"*V*")),IF(COUNTIF(AI67,"*R*"),SUBSTITUTE(SUBSTITUTE(AI67,"P",""),"R","S"),SUBSTITUTE(AI67,"P","")),IF(AND(COUNTIF(AI67,"*P*"),COUNTIF(AI67,"*R*")),SUBSTITUTE(AI67,"R","S"),IF(AND(COUNTIF(AI67,"*V*"),COUNTIF(AI67,"*R*")),SUBSTITUTE(AI67,"R","S"),AI67))),"0",""),"1",""),"2",""),"3",""),"4",""),"5",""),"6",""),"7",""),"8",""),"9","")&amp; Data!CX52),""))</f>
        <v/>
      </c>
      <c r="AJ100" s="41" t="str">
        <f>IF(AND($Y$57=1,AJ67&lt;&gt;""),"O"&amp; Data!CY52,IF(AJ67&lt;&gt;"",IF(OR(COUNTIF(AJ67,"L*"),COUNTIF(AJ67, "X*")),IF(AND(COUNTIF(AJ67,"*P*"),COUNTIF(AJ67,"*V*")),IF(COUNTIF(AJ67,"*R*"),SUBSTITUTE(SUBSTITUTE(AJ67,"P",""),"R","S")&amp; Data!CY52,SUBSTITUTE(AJ67,"P","")&amp; Data!CY52),IF(AND(COUNTIF(AJ67,"*P*"),COUNTIF(AJ67,"*R*")),SUBSTITUTE(AJ67,"R","S")&amp;Data!CY52,IF(AND(COUNTIF(AJ67,"*V*"),COUNTIF(AJ67,"*R*")),SUBSTITUTE(AJ67,"R","S")&amp;Data!CY52,AJ67 &amp; Data!CY52))),SUBSTITUTE(SUBSTITUTE(SUBSTITUTE(SUBSTITUTE(SUBSTITUTE(SUBSTITUTE(SUBSTITUTE(SUBSTITUTE(SUBSTITUTE(SUBSTITUTE(IF(AND(COUNTIF(AJ67,"*P*"),COUNTIF(AJ67,"*V*")),IF(COUNTIF(AJ67,"*R*"),SUBSTITUTE(SUBSTITUTE(AJ67,"P",""),"R","S"),SUBSTITUTE(AJ67,"P","")),IF(AND(COUNTIF(AJ67,"*P*"),COUNTIF(AJ67,"*R*")),SUBSTITUTE(AJ67,"R","S"),IF(AND(COUNTIF(AJ67,"*V*"),COUNTIF(AJ67,"*R*")),SUBSTITUTE(AJ67,"R","S"),AJ67))),"0",""),"1",""),"2",""),"3",""),"4",""),"5",""),"6",""),"7",""),"8",""),"9","")&amp; Data!CY52),""))</f>
        <v/>
      </c>
      <c r="AP100" s="99">
        <f>IF(Data!CX66&gt;0,IF(Data!CX66&lt;&gt;"", Data!CX66, " ")," ")</f>
        <v>7</v>
      </c>
      <c r="AQ100" s="99" t="str">
        <f>IF(AW58+AW59+AW60+AW61=0,"",AW58+AW59+AW60+AW61)</f>
        <v/>
      </c>
      <c r="AR100" s="99" t="str">
        <f>IF(Data!GK8&gt;0,IF(Data!GK8&lt;&gt;"",Data!GK8," ")," ")</f>
        <v xml:space="preserve"> </v>
      </c>
      <c r="AS100" s="99" t="str">
        <f>IF(Data!GG8&gt;0,IF(Data!GG8&lt;&gt;"",Data!GG8," ")," ")</f>
        <v xml:space="preserve"> </v>
      </c>
      <c r="AT100" s="99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AU100" s="99" t="str">
        <f>IF(AND(Data!GR8&lt;&gt;"",Data!GR8&lt;&gt;0),Data!GR8,"")</f>
        <v/>
      </c>
      <c r="AV100" s="99" t="str">
        <f>IF(AW59+AW61=0,"",AW59+AW61)</f>
        <v/>
      </c>
      <c r="AW100" s="99" t="str">
        <f t="shared" si="13"/>
        <v/>
      </c>
      <c r="AX100" s="100"/>
    </row>
    <row r="101" spans="1:54" ht="24" customHeight="1" thickBot="1" x14ac:dyDescent="0.4">
      <c r="A101" s="1196"/>
      <c r="B101" s="22">
        <v>8</v>
      </c>
      <c r="C101" s="41" t="str">
        <f>IF(AND($Y$57=1,C68&lt;&gt;""),"O"&amp; Data!BR53,IF(C68&lt;&gt;"",IF(OR(COUNTIF(C68,"L*"),COUNTIF(C68, "X*")),IF(AND(COUNTIF(C68,"*P*"),COUNTIF(C68,"*V*")),IF(COUNTIF(C68,"*R*"),SUBSTITUTE(SUBSTITUTE(C68,"P",""),"R","S")&amp; Data!BR53,SUBSTITUTE(C68,"P","")&amp; Data!BR53),IF(AND(COUNTIF(C68,"*P*"),COUNTIF(C68,"*R*")),SUBSTITUTE(C68,"R","S")&amp;Data!BR53,IF(AND(COUNTIF(C68,"*V*"),COUNTIF(C68,"*R*")),SUBSTITUTE(C68,"R","S")&amp;Data!BR53,C68 &amp; Data!BR53))),SUBSTITUTE(SUBSTITUTE(SUBSTITUTE(SUBSTITUTE(SUBSTITUTE(SUBSTITUTE(SUBSTITUTE(SUBSTITUTE(SUBSTITUTE(SUBSTITUTE(IF(AND(COUNTIF(C68,"*P*"),COUNTIF(C68,"*V*")),IF(COUNTIF(C68,"*R*"),SUBSTITUTE(SUBSTITUTE(C68,"P",""),"R","S"),SUBSTITUTE(C68,"P","")),IF(AND(COUNTIF(C68,"*P*"),COUNTIF(C68,"*R*")),SUBSTITUTE(C68,"R","S"),IF(AND(COUNTIF(C68,"*V*"),COUNTIF(C68,"*R*")),SUBSTITUTE(C68,"R","S"),C68))),"0",""),"1",""),"2",""),"3",""),"4",""),"5",""),"6",""),"7",""),"8",""),"9","")&amp; Data!BR53),""))</f>
        <v/>
      </c>
      <c r="D101" s="41" t="str">
        <f>IF(AND($Y$57=1,D68&lt;&gt;""),"O"&amp; Data!BS53,IF(D68&lt;&gt;"",IF(OR(COUNTIF(D68,"L*"),COUNTIF(D68, "X*")),IF(AND(COUNTIF(D68,"*P*"),COUNTIF(D68,"*V*")),IF(COUNTIF(D68,"*R*"),SUBSTITUTE(SUBSTITUTE(D68,"P",""),"R","S")&amp; Data!BS53,SUBSTITUTE(D68,"P","")&amp; Data!BS53),IF(AND(COUNTIF(D68,"*P*"),COUNTIF(D68,"*R*")),SUBSTITUTE(D68,"R","S")&amp;Data!BS53,IF(AND(COUNTIF(D68,"*V*"),COUNTIF(D68,"*R*")),SUBSTITUTE(D68,"R","S")&amp;Data!BS53,D68 &amp; Data!BS53))),SUBSTITUTE(SUBSTITUTE(SUBSTITUTE(SUBSTITUTE(SUBSTITUTE(SUBSTITUTE(SUBSTITUTE(SUBSTITUTE(SUBSTITUTE(SUBSTITUTE(IF(AND(COUNTIF(D68,"*P*"),COUNTIF(D68,"*V*")),IF(COUNTIF(D68,"*R*"),SUBSTITUTE(SUBSTITUTE(D68,"P",""),"R","S"),SUBSTITUTE(D68,"P","")),IF(AND(COUNTIF(D68,"*P*"),COUNTIF(D68,"*R*")),SUBSTITUTE(D68,"R","S"),IF(AND(COUNTIF(D68,"*V*"),COUNTIF(D68,"*R*")),SUBSTITUTE(D68,"R","S"),D68))),"0",""),"1",""),"2",""),"3",""),"4",""),"5",""),"6",""),"7",""),"8",""),"9","")&amp; Data!BS53),""))</f>
        <v/>
      </c>
      <c r="E101" s="41" t="str">
        <f>IF(AND($Y$57=1,E68&lt;&gt;""),"O"&amp; Data!BT53,IF(E68&lt;&gt;"",IF(OR(COUNTIF(E68,"L*"),COUNTIF(E68, "X*")),IF(AND(COUNTIF(E68,"*P*"),COUNTIF(E68,"*V*")),IF(COUNTIF(E68,"*R*"),SUBSTITUTE(SUBSTITUTE(E68,"P",""),"R","S")&amp; Data!BT53,SUBSTITUTE(E68,"P","")&amp; Data!BT53),IF(AND(COUNTIF(E68,"*P*"),COUNTIF(E68,"*R*")),SUBSTITUTE(E68,"R","S")&amp;Data!BT53,IF(AND(COUNTIF(E68,"*V*"),COUNTIF(E68,"*R*")),SUBSTITUTE(E68,"R","S")&amp;Data!BT53,E68 &amp; Data!BT53))),SUBSTITUTE(SUBSTITUTE(SUBSTITUTE(SUBSTITUTE(SUBSTITUTE(SUBSTITUTE(SUBSTITUTE(SUBSTITUTE(SUBSTITUTE(SUBSTITUTE(IF(AND(COUNTIF(E68,"*P*"),COUNTIF(E68,"*V*")),IF(COUNTIF(E68,"*R*"),SUBSTITUTE(SUBSTITUTE(E68,"P",""),"R","S"),SUBSTITUTE(E68,"P","")),IF(AND(COUNTIF(E68,"*P*"),COUNTIF(E68,"*R*")),SUBSTITUTE(E68,"R","S"),IF(AND(COUNTIF(E68,"*V*"),COUNTIF(E68,"*R*")),SUBSTITUTE(E68,"R","S"),E68))),"0",""),"1",""),"2",""),"3",""),"4",""),"5",""),"6",""),"7",""),"8",""),"9","")&amp; Data!BT53),""))</f>
        <v/>
      </c>
      <c r="F101" s="41" t="str">
        <f>IF(AND($Y$57=1,F68&lt;&gt;""),"O"&amp; Data!BU53,IF(F68&lt;&gt;"",IF(OR(COUNTIF(F68,"L*"),COUNTIF(F68, "X*")),IF(AND(COUNTIF(F68,"*P*"),COUNTIF(F68,"*V*")),IF(COUNTIF(F68,"*R*"),SUBSTITUTE(SUBSTITUTE(F68,"P",""),"R","S")&amp; Data!BU53,SUBSTITUTE(F68,"P","")&amp; Data!BU53),IF(AND(COUNTIF(F68,"*P*"),COUNTIF(F68,"*R*")),SUBSTITUTE(F68,"R","S")&amp;Data!BU53,IF(AND(COUNTIF(F68,"*V*"),COUNTIF(F68,"*R*")),SUBSTITUTE(F68,"R","S")&amp;Data!BU53,F68 &amp; Data!BU53))),SUBSTITUTE(SUBSTITUTE(SUBSTITUTE(SUBSTITUTE(SUBSTITUTE(SUBSTITUTE(SUBSTITUTE(SUBSTITUTE(SUBSTITUTE(SUBSTITUTE(IF(AND(COUNTIF(F68,"*P*"),COUNTIF(F68,"*V*")),IF(COUNTIF(F68,"*R*"),SUBSTITUTE(SUBSTITUTE(F68,"P",""),"R","S"),SUBSTITUTE(F68,"P","")),IF(AND(COUNTIF(F68,"*P*"),COUNTIF(F68,"*R*")),SUBSTITUTE(F68,"R","S"),IF(AND(COUNTIF(F68,"*V*"),COUNTIF(F68,"*R*")),SUBSTITUTE(F68,"R","S"),F68))),"0",""),"1",""),"2",""),"3",""),"4",""),"5",""),"6",""),"7",""),"8",""),"9","")&amp; Data!BU53),""))</f>
        <v/>
      </c>
      <c r="G101" s="41" t="str">
        <f>IF(AND($Y$57=1,G68&lt;&gt;""),"O"&amp; Data!BV53,IF(G68&lt;&gt;"",IF(OR(COUNTIF(G68,"L*"),COUNTIF(G68, "X*")),IF(AND(COUNTIF(G68,"*P*"),COUNTIF(G68,"*V*")),IF(COUNTIF(G68,"*R*"),SUBSTITUTE(SUBSTITUTE(G68,"P",""),"R","S")&amp; Data!BV53,SUBSTITUTE(G68,"P","")&amp; Data!BV53),IF(AND(COUNTIF(G68,"*P*"),COUNTIF(G68,"*R*")),SUBSTITUTE(G68,"R","S")&amp;Data!BV53,IF(AND(COUNTIF(G68,"*V*"),COUNTIF(G68,"*R*")),SUBSTITUTE(G68,"R","S")&amp;Data!BV53,G68 &amp; Data!BV53))),SUBSTITUTE(SUBSTITUTE(SUBSTITUTE(SUBSTITUTE(SUBSTITUTE(SUBSTITUTE(SUBSTITUTE(SUBSTITUTE(SUBSTITUTE(SUBSTITUTE(IF(AND(COUNTIF(G68,"*P*"),COUNTIF(G68,"*V*")),IF(COUNTIF(G68,"*R*"),SUBSTITUTE(SUBSTITUTE(G68,"P",""),"R","S"),SUBSTITUTE(G68,"P","")),IF(AND(COUNTIF(G68,"*P*"),COUNTIF(G68,"*R*")),SUBSTITUTE(G68,"R","S"),IF(AND(COUNTIF(G68,"*V*"),COUNTIF(G68,"*R*")),SUBSTITUTE(G68,"R","S"),G68))),"0",""),"1",""),"2",""),"3",""),"4",""),"5",""),"6",""),"7",""),"8",""),"9","")&amp; Data!BV53),""))</f>
        <v/>
      </c>
      <c r="H101" s="41" t="str">
        <f>IF(AND($Y$57=1,H68&lt;&gt;""),"O"&amp; Data!BW53,IF(H68&lt;&gt;"",IF(OR(COUNTIF(H68,"L*"),COUNTIF(H68, "X*")),IF(AND(COUNTIF(H68,"*P*"),COUNTIF(H68,"*V*")),IF(COUNTIF(H68,"*R*"),SUBSTITUTE(SUBSTITUTE(H68,"P",""),"R","S")&amp; Data!BW53,SUBSTITUTE(H68,"P","")&amp; Data!BW53),IF(AND(COUNTIF(H68,"*P*"),COUNTIF(H68,"*R*")),SUBSTITUTE(H68,"R","S")&amp;Data!BW53,IF(AND(COUNTIF(H68,"*V*"),COUNTIF(H68,"*R*")),SUBSTITUTE(H68,"R","S")&amp;Data!BW53,H68 &amp; Data!BW53))),SUBSTITUTE(SUBSTITUTE(SUBSTITUTE(SUBSTITUTE(SUBSTITUTE(SUBSTITUTE(SUBSTITUTE(SUBSTITUTE(SUBSTITUTE(SUBSTITUTE(IF(AND(COUNTIF(H68,"*P*"),COUNTIF(H68,"*V*")),IF(COUNTIF(H68,"*R*"),SUBSTITUTE(SUBSTITUTE(H68,"P",""),"R","S"),SUBSTITUTE(H68,"P","")),IF(AND(COUNTIF(H68,"*P*"),COUNTIF(H68,"*R*")),SUBSTITUTE(H68,"R","S"),IF(AND(COUNTIF(H68,"*V*"),COUNTIF(H68,"*R*")),SUBSTITUTE(H68,"R","S"),H68))),"0",""),"1",""),"2",""),"3",""),"4",""),"5",""),"6",""),"7",""),"8",""),"9","")&amp; Data!BW53),""))</f>
        <v/>
      </c>
      <c r="I101" s="41" t="str">
        <f>IF(AND($Y$57=1,I68&lt;&gt;""),"O"&amp; Data!BX53,IF(I68&lt;&gt;"",IF(OR(COUNTIF(I68,"L*"),COUNTIF(I68, "X*")),IF(AND(COUNTIF(I68,"*P*"),COUNTIF(I68,"*V*")),IF(COUNTIF(I68,"*R*"),SUBSTITUTE(SUBSTITUTE(I68,"P",""),"R","S")&amp; Data!BX53,SUBSTITUTE(I68,"P","")&amp; Data!BX53),IF(AND(COUNTIF(I68,"*P*"),COUNTIF(I68,"*R*")),SUBSTITUTE(I68,"R","S")&amp;Data!BX53,IF(AND(COUNTIF(I68,"*V*"),COUNTIF(I68,"*R*")),SUBSTITUTE(I68,"R","S")&amp;Data!BX53,I68 &amp; Data!BX53))),SUBSTITUTE(SUBSTITUTE(SUBSTITUTE(SUBSTITUTE(SUBSTITUTE(SUBSTITUTE(SUBSTITUTE(SUBSTITUTE(SUBSTITUTE(SUBSTITUTE(IF(AND(COUNTIF(I68,"*P*"),COUNTIF(I68,"*V*")),IF(COUNTIF(I68,"*R*"),SUBSTITUTE(SUBSTITUTE(I68,"P",""),"R","S"),SUBSTITUTE(I68,"P","")),IF(AND(COUNTIF(I68,"*P*"),COUNTIF(I68,"*R*")),SUBSTITUTE(I68,"R","S"),IF(AND(COUNTIF(I68,"*V*"),COUNTIF(I68,"*R*")),SUBSTITUTE(I68,"R","S"),I68))),"0",""),"1",""),"2",""),"3",""),"4",""),"5",""),"6",""),"7",""),"8",""),"9","")&amp; Data!BX53),""))</f>
        <v/>
      </c>
      <c r="J101" s="41" t="str">
        <f>IF(AND($Y$57=1,J68&lt;&gt;""),"O"&amp; Data!BY53,IF(J68&lt;&gt;"",IF(OR(COUNTIF(J68,"L*"),COUNTIF(J68, "X*")),IF(AND(COUNTIF(J68,"*P*"),COUNTIF(J68,"*V*")),IF(COUNTIF(J68,"*R*"),SUBSTITUTE(SUBSTITUTE(J68,"P",""),"R","S")&amp; Data!BY53,SUBSTITUTE(J68,"P","")&amp; Data!BY53),IF(AND(COUNTIF(J68,"*P*"),COUNTIF(J68,"*R*")),SUBSTITUTE(J68,"R","S")&amp;Data!BY53,IF(AND(COUNTIF(J68,"*V*"),COUNTIF(J68,"*R*")),SUBSTITUTE(J68,"R","S")&amp;Data!BY53,J68 &amp; Data!BY53))),SUBSTITUTE(SUBSTITUTE(SUBSTITUTE(SUBSTITUTE(SUBSTITUTE(SUBSTITUTE(SUBSTITUTE(SUBSTITUTE(SUBSTITUTE(SUBSTITUTE(IF(AND(COUNTIF(J68,"*P*"),COUNTIF(J68,"*V*")),IF(COUNTIF(J68,"*R*"),SUBSTITUTE(SUBSTITUTE(J68,"P",""),"R","S"),SUBSTITUTE(J68,"P","")),IF(AND(COUNTIF(J68,"*P*"),COUNTIF(J68,"*R*")),SUBSTITUTE(J68,"R","S"),IF(AND(COUNTIF(J68,"*V*"),COUNTIF(J68,"*R*")),SUBSTITUTE(J68,"R","S"),J68))),"0",""),"1",""),"2",""),"3",""),"4",""),"5",""),"6",""),"7",""),"8",""),"9","")&amp; Data!BY53),""))</f>
        <v/>
      </c>
      <c r="K101" s="41" t="str">
        <f>IF(AND($Y$57=1,K68&lt;&gt;""),"O"&amp; Data!BZ53,IF(K68&lt;&gt;"",IF(OR(COUNTIF(K68,"L*"),COUNTIF(K68, "X*")),IF(AND(COUNTIF(K68,"*P*"),COUNTIF(K68,"*V*")),IF(COUNTIF(K68,"*R*"),SUBSTITUTE(SUBSTITUTE(K68,"P",""),"R","S")&amp; Data!BZ53,SUBSTITUTE(K68,"P","")&amp; Data!BZ53),IF(AND(COUNTIF(K68,"*P*"),COUNTIF(K68,"*R*")),SUBSTITUTE(K68,"R","S")&amp;Data!BZ53,IF(AND(COUNTIF(K68,"*V*"),COUNTIF(K68,"*R*")),SUBSTITUTE(K68,"R","S")&amp;Data!BZ53,K68 &amp; Data!BZ53))),SUBSTITUTE(SUBSTITUTE(SUBSTITUTE(SUBSTITUTE(SUBSTITUTE(SUBSTITUTE(SUBSTITUTE(SUBSTITUTE(SUBSTITUTE(SUBSTITUTE(IF(AND(COUNTIF(K68,"*P*"),COUNTIF(K68,"*V*")),IF(COUNTIF(K68,"*R*"),SUBSTITUTE(SUBSTITUTE(K68,"P",""),"R","S"),SUBSTITUTE(K68,"P","")),IF(AND(COUNTIF(K68,"*P*"),COUNTIF(K68,"*R*")),SUBSTITUTE(K68,"R","S"),IF(AND(COUNTIF(K68,"*V*"),COUNTIF(K68,"*R*")),SUBSTITUTE(K68,"R","S"),K68))),"0",""),"1",""),"2",""),"3",""),"4",""),"5",""),"6",""),"7",""),"8",""),"9","")&amp; Data!BZ53),""))</f>
        <v/>
      </c>
      <c r="L101" s="41" t="str">
        <f>IF(AND($Y$57=1,L68&lt;&gt;""),"O"&amp; Data!CA53,IF(L68&lt;&gt;"",IF(OR(COUNTIF(L68,"L*"),COUNTIF(L68, "X*")),IF(AND(COUNTIF(L68,"*P*"),COUNTIF(L68,"*V*")),IF(COUNTIF(L68,"*R*"),SUBSTITUTE(SUBSTITUTE(L68,"P",""),"R","S")&amp; Data!CA53,SUBSTITUTE(L68,"P","")&amp; Data!CA53),IF(AND(COUNTIF(L68,"*P*"),COUNTIF(L68,"*R*")),SUBSTITUTE(L68,"R","S")&amp;Data!CA53,IF(AND(COUNTIF(L68,"*V*"),COUNTIF(L68,"*R*")),SUBSTITUTE(L68,"R","S")&amp;Data!CA53,L68 &amp; Data!CA53))),SUBSTITUTE(SUBSTITUTE(SUBSTITUTE(SUBSTITUTE(SUBSTITUTE(SUBSTITUTE(SUBSTITUTE(SUBSTITUTE(SUBSTITUTE(SUBSTITUTE(IF(AND(COUNTIF(L68,"*P*"),COUNTIF(L68,"*V*")),IF(COUNTIF(L68,"*R*"),SUBSTITUTE(SUBSTITUTE(L68,"P",""),"R","S"),SUBSTITUTE(L68,"P","")),IF(AND(COUNTIF(L68,"*P*"),COUNTIF(L68,"*R*")),SUBSTITUTE(L68,"R","S"),IF(AND(COUNTIF(L68,"*V*"),COUNTIF(L68,"*R*")),SUBSTITUTE(L68,"R","S"),L68))),"0",""),"1",""),"2",""),"3",""),"4",""),"5",""),"6",""),"7",""),"8",""),"9","")&amp; Data!CA53),""))</f>
        <v/>
      </c>
      <c r="M101" s="41" t="str">
        <f>IF(AND($Y$57=1,M68&lt;&gt;""),"O"&amp; Data!CB53,IF(M68&lt;&gt;"",IF(OR(COUNTIF(M68,"L*"),COUNTIF(M68, "X*")),IF(AND(COUNTIF(M68,"*P*"),COUNTIF(M68,"*V*")),IF(COUNTIF(M68,"*R*"),SUBSTITUTE(SUBSTITUTE(M68,"P",""),"R","S")&amp; Data!CB53,SUBSTITUTE(M68,"P","")&amp; Data!CB53),IF(AND(COUNTIF(M68,"*P*"),COUNTIF(M68,"*R*")),SUBSTITUTE(M68,"R","S")&amp;Data!CB53,IF(AND(COUNTIF(M68,"*V*"),COUNTIF(M68,"*R*")),SUBSTITUTE(M68,"R","S")&amp;Data!CB53,M68 &amp; Data!CB53))),SUBSTITUTE(SUBSTITUTE(SUBSTITUTE(SUBSTITUTE(SUBSTITUTE(SUBSTITUTE(SUBSTITUTE(SUBSTITUTE(SUBSTITUTE(SUBSTITUTE(IF(AND(COUNTIF(M68,"*P*"),COUNTIF(M68,"*V*")),IF(COUNTIF(M68,"*R*"),SUBSTITUTE(SUBSTITUTE(M68,"P",""),"R","S"),SUBSTITUTE(M68,"P","")),IF(AND(COUNTIF(M68,"*P*"),COUNTIF(M68,"*R*")),SUBSTITUTE(M68,"R","S"),IF(AND(COUNTIF(M68,"*V*"),COUNTIF(M68,"*R*")),SUBSTITUTE(M68,"R","S"),M68))),"0",""),"1",""),"2",""),"3",""),"4",""),"5",""),"6",""),"7",""),"8",""),"9","")&amp; Data!CB53),""))</f>
        <v/>
      </c>
      <c r="N101" s="41" t="str">
        <f>IF(AND($Y$57=1,N68&lt;&gt;""),"O"&amp; Data!CC53,IF(N68&lt;&gt;"",IF(OR(COUNTIF(N68,"L*"),COUNTIF(N68, "X*")),IF(AND(COUNTIF(N68,"*P*"),COUNTIF(N68,"*V*")),IF(COUNTIF(N68,"*R*"),SUBSTITUTE(SUBSTITUTE(N68,"P",""),"R","S")&amp; Data!CC53,SUBSTITUTE(N68,"P","")&amp; Data!CC53),IF(AND(COUNTIF(N68,"*P*"),COUNTIF(N68,"*R*")),SUBSTITUTE(N68,"R","S")&amp;Data!CC53,IF(AND(COUNTIF(N68,"*V*"),COUNTIF(N68,"*R*")),SUBSTITUTE(N68,"R","S")&amp;Data!CC53,N68 &amp; Data!CC53))),SUBSTITUTE(SUBSTITUTE(SUBSTITUTE(SUBSTITUTE(SUBSTITUTE(SUBSTITUTE(SUBSTITUTE(SUBSTITUTE(SUBSTITUTE(SUBSTITUTE(IF(AND(COUNTIF(N68,"*P*"),COUNTIF(N68,"*V*")),IF(COUNTIF(N68,"*R*"),SUBSTITUTE(SUBSTITUTE(N68,"P",""),"R","S"),SUBSTITUTE(N68,"P","")),IF(AND(COUNTIF(N68,"*P*"),COUNTIF(N68,"*R*")),SUBSTITUTE(N68,"R","S"),IF(AND(COUNTIF(N68,"*V*"),COUNTIF(N68,"*R*")),SUBSTITUTE(N68,"R","S"),N68))),"0",""),"1",""),"2",""),"3",""),"4",""),"5",""),"6",""),"7",""),"8",""),"9","")&amp; Data!CC53),""))</f>
        <v/>
      </c>
      <c r="O101" s="41" t="str">
        <f>IF(AND($Y$57=1,O68&lt;&gt;""),"O"&amp; Data!CD53,IF(O68&lt;&gt;"",IF(OR(COUNTIF(O68,"L*"),COUNTIF(O68, "X*")),IF(AND(COUNTIF(O68,"*P*"),COUNTIF(O68,"*V*")),IF(COUNTIF(O68,"*R*"),SUBSTITUTE(SUBSTITUTE(O68,"P",""),"R","S")&amp; Data!CD53,SUBSTITUTE(O68,"P","")&amp; Data!CD53),IF(AND(COUNTIF(O68,"*P*"),COUNTIF(O68,"*R*")),SUBSTITUTE(O68,"R","S")&amp;Data!CD53,IF(AND(COUNTIF(O68,"*V*"),COUNTIF(O68,"*R*")),SUBSTITUTE(O68,"R","S")&amp;Data!CD53,O68 &amp; Data!CD53))),SUBSTITUTE(SUBSTITUTE(SUBSTITUTE(SUBSTITUTE(SUBSTITUTE(SUBSTITUTE(SUBSTITUTE(SUBSTITUTE(SUBSTITUTE(SUBSTITUTE(IF(AND(COUNTIF(O68,"*P*"),COUNTIF(O68,"*V*")),IF(COUNTIF(O68,"*R*"),SUBSTITUTE(SUBSTITUTE(O68,"P",""),"R","S"),SUBSTITUTE(O68,"P","")),IF(AND(COUNTIF(O68,"*P*"),COUNTIF(O68,"*R*")),SUBSTITUTE(O68,"R","S"),IF(AND(COUNTIF(O68,"*V*"),COUNTIF(O68,"*R*")),SUBSTITUTE(O68,"R","S"),O68))),"0",""),"1",""),"2",""),"3",""),"4",""),"5",""),"6",""),"7",""),"8",""),"9","")&amp; Data!CD53),""))</f>
        <v/>
      </c>
      <c r="P101" s="41" t="str">
        <f>IF(AND($Y$57=1,P68&lt;&gt;""),"O"&amp; Data!CE53,IF(P68&lt;&gt;"",IF(OR(COUNTIF(P68,"L*"),COUNTIF(P68, "X*")),IF(AND(COUNTIF(P68,"*P*"),COUNTIF(P68,"*V*")),IF(COUNTIF(P68,"*R*"),SUBSTITUTE(SUBSTITUTE(P68,"P",""),"R","S")&amp; Data!CE53,SUBSTITUTE(P68,"P","")&amp; Data!CE53),IF(AND(COUNTIF(P68,"*P*"),COUNTIF(P68,"*R*")),SUBSTITUTE(P68,"R","S")&amp;Data!CE53,IF(AND(COUNTIF(P68,"*V*"),COUNTIF(P68,"*R*")),SUBSTITUTE(P68,"R","S")&amp;Data!CE53,P68 &amp; Data!CE53))),SUBSTITUTE(SUBSTITUTE(SUBSTITUTE(SUBSTITUTE(SUBSTITUTE(SUBSTITUTE(SUBSTITUTE(SUBSTITUTE(SUBSTITUTE(SUBSTITUTE(IF(AND(COUNTIF(P68,"*P*"),COUNTIF(P68,"*V*")),IF(COUNTIF(P68,"*R*"),SUBSTITUTE(SUBSTITUTE(P68,"P",""),"R","S"),SUBSTITUTE(P68,"P","")),IF(AND(COUNTIF(P68,"*P*"),COUNTIF(P68,"*R*")),SUBSTITUTE(P68,"R","S"),IF(AND(COUNTIF(P68,"*V*"),COUNTIF(P68,"*R*")),SUBSTITUTE(P68,"R","S"),P68))),"0",""),"1",""),"2",""),"3",""),"4",""),"5",""),"6",""),"7",""),"8",""),"9","")&amp; Data!CE53),""))</f>
        <v/>
      </c>
      <c r="Q101" s="41" t="str">
        <f>IF(AND($Y$57=1,Q68&lt;&gt;""),"O"&amp; Data!CF53,IF(Q68&lt;&gt;"",IF(OR(COUNTIF(Q68,"L*"),COUNTIF(Q68, "X*")),IF(AND(COUNTIF(Q68,"*P*"),COUNTIF(Q68,"*V*")),IF(COUNTIF(Q68,"*R*"),SUBSTITUTE(SUBSTITUTE(Q68,"P",""),"R","S")&amp; Data!CF53,SUBSTITUTE(Q68,"P","")&amp; Data!CF53),IF(AND(COUNTIF(Q68,"*P*"),COUNTIF(Q68,"*R*")),SUBSTITUTE(Q68,"R","S")&amp;Data!CF53,IF(AND(COUNTIF(Q68,"*V*"),COUNTIF(Q68,"*R*")),SUBSTITUTE(Q68,"R","S")&amp;Data!CF53,Q68 &amp; Data!CF53))),SUBSTITUTE(SUBSTITUTE(SUBSTITUTE(SUBSTITUTE(SUBSTITUTE(SUBSTITUTE(SUBSTITUTE(SUBSTITUTE(SUBSTITUTE(SUBSTITUTE(IF(AND(COUNTIF(Q68,"*P*"),COUNTIF(Q68,"*V*")),IF(COUNTIF(Q68,"*R*"),SUBSTITUTE(SUBSTITUTE(Q68,"P",""),"R","S"),SUBSTITUTE(Q68,"P","")),IF(AND(COUNTIF(Q68,"*P*"),COUNTIF(Q68,"*R*")),SUBSTITUTE(Q68,"R","S"),IF(AND(COUNTIF(Q68,"*V*"),COUNTIF(Q68,"*R*")),SUBSTITUTE(Q68,"R","S"),Q68))),"0",""),"1",""),"2",""),"3",""),"4",""),"5",""),"6",""),"7",""),"8",""),"9","")&amp; Data!CF53),""))</f>
        <v/>
      </c>
      <c r="R101" s="41" t="str">
        <f>IF(AND($Y$57=1,R68&lt;&gt;""),"O"&amp; Data!CG53,IF(R68&lt;&gt;"",IF(OR(COUNTIF(R68,"L*"),COUNTIF(R68, "X*")),IF(AND(COUNTIF(R68,"*P*"),COUNTIF(R68,"*V*")),IF(COUNTIF(R68,"*R*"),SUBSTITUTE(SUBSTITUTE(R68,"P",""),"R","S")&amp; Data!CG53,SUBSTITUTE(R68,"P","")&amp; Data!CG53),IF(AND(COUNTIF(R68,"*P*"),COUNTIF(R68,"*R*")),SUBSTITUTE(R68,"R","S")&amp;Data!CG53,IF(AND(COUNTIF(R68,"*V*"),COUNTIF(R68,"*R*")),SUBSTITUTE(R68,"R","S")&amp;Data!CG53,R68 &amp; Data!CG53))),SUBSTITUTE(SUBSTITUTE(SUBSTITUTE(SUBSTITUTE(SUBSTITUTE(SUBSTITUTE(SUBSTITUTE(SUBSTITUTE(SUBSTITUTE(SUBSTITUTE(IF(AND(COUNTIF(R68,"*P*"),COUNTIF(R68,"*V*")),IF(COUNTIF(R68,"*R*"),SUBSTITUTE(SUBSTITUTE(R68,"P",""),"R","S"),SUBSTITUTE(R68,"P","")),IF(AND(COUNTIF(R68,"*P*"),COUNTIF(R68,"*R*")),SUBSTITUTE(R68,"R","S"),IF(AND(COUNTIF(R68,"*V*"),COUNTIF(R68,"*R*")),SUBSTITUTE(R68,"R","S"),R68))),"0",""),"1",""),"2",""),"3",""),"4",""),"5",""),"6",""),"7",""),"8",""),"9","")&amp; Data!CG53),""))</f>
        <v/>
      </c>
      <c r="S101" s="41" t="str">
        <f>IF(AND($Y$57=1,S68&lt;&gt;""),"O"&amp; Data!CH53,IF(S68&lt;&gt;"",IF(OR(COUNTIF(S68,"L*"),COUNTIF(S68, "X*")),IF(AND(COUNTIF(S68,"*P*"),COUNTIF(S68,"*V*")),IF(COUNTIF(S68,"*R*"),SUBSTITUTE(SUBSTITUTE(S68,"P",""),"R","S")&amp; Data!CH53,SUBSTITUTE(S68,"P","")&amp; Data!CH53),IF(AND(COUNTIF(S68,"*P*"),COUNTIF(S68,"*R*")),SUBSTITUTE(S68,"R","S")&amp;Data!CH53,IF(AND(COUNTIF(S68,"*V*"),COUNTIF(S68,"*R*")),SUBSTITUTE(S68,"R","S")&amp;Data!CH53,S68 &amp; Data!CH53))),SUBSTITUTE(SUBSTITUTE(SUBSTITUTE(SUBSTITUTE(SUBSTITUTE(SUBSTITUTE(SUBSTITUTE(SUBSTITUTE(SUBSTITUTE(SUBSTITUTE(IF(AND(COUNTIF(S68,"*P*"),COUNTIF(S68,"*V*")),IF(COUNTIF(S68,"*R*"),SUBSTITUTE(SUBSTITUTE(S68,"P",""),"R","S"),SUBSTITUTE(S68,"P","")),IF(AND(COUNTIF(S68,"*P*"),COUNTIF(S68,"*R*")),SUBSTITUTE(S68,"R","S"),IF(AND(COUNTIF(S68,"*V*"),COUNTIF(S68,"*R*")),SUBSTITUTE(S68,"R","S"),S68))),"0",""),"1",""),"2",""),"3",""),"4",""),"5",""),"6",""),"7",""),"8",""),"9","")&amp; Data!CH53),""))</f>
        <v/>
      </c>
      <c r="T101" s="41" t="str">
        <f>IF(AND($Y$57=1,T68&lt;&gt;""),"O"&amp; Data!CI53,IF(T68&lt;&gt;"",IF(OR(COUNTIF(T68,"L*"),COUNTIF(T68, "X*")),IF(AND(COUNTIF(T68,"*P*"),COUNTIF(T68,"*V*")),IF(COUNTIF(T68,"*R*"),SUBSTITUTE(SUBSTITUTE(T68,"P",""),"R","S")&amp; Data!CI53,SUBSTITUTE(T68,"P","")&amp; Data!CI53),IF(AND(COUNTIF(T68,"*P*"),COUNTIF(T68,"*R*")),SUBSTITUTE(T68,"R","S")&amp;Data!CI53,IF(AND(COUNTIF(T68,"*V*"),COUNTIF(T68,"*R*")),SUBSTITUTE(T68,"R","S")&amp;Data!CI53,T68 &amp; Data!CI53))),SUBSTITUTE(SUBSTITUTE(SUBSTITUTE(SUBSTITUTE(SUBSTITUTE(SUBSTITUTE(SUBSTITUTE(SUBSTITUTE(SUBSTITUTE(SUBSTITUTE(IF(AND(COUNTIF(T68,"*P*"),COUNTIF(T68,"*V*")),IF(COUNTIF(T68,"*R*"),SUBSTITUTE(SUBSTITUTE(T68,"P",""),"R","S"),SUBSTITUTE(T68,"P","")),IF(AND(COUNTIF(T68,"*P*"),COUNTIF(T68,"*R*")),SUBSTITUTE(T68,"R","S"),IF(AND(COUNTIF(T68,"*V*"),COUNTIF(T68,"*R*")),SUBSTITUTE(T68,"R","S"),T68))),"0",""),"1",""),"2",""),"3",""),"4",""),"5",""),"6",""),"7",""),"8",""),"9","")&amp; Data!CI53),""))</f>
        <v/>
      </c>
      <c r="U101" s="41" t="str">
        <f>IF(AND($Y$57=1,U68&lt;&gt;""),"O"&amp; Data!CJ53,IF(U68&lt;&gt;"",IF(OR(COUNTIF(U68,"L*"),COUNTIF(U68, "X*")),IF(AND(COUNTIF(U68,"*P*"),COUNTIF(U68,"*V*")),IF(COUNTIF(U68,"*R*"),SUBSTITUTE(SUBSTITUTE(U68,"P",""),"R","S")&amp; Data!CJ53,SUBSTITUTE(U68,"P","")&amp; Data!CJ53),IF(AND(COUNTIF(U68,"*P*"),COUNTIF(U68,"*R*")),SUBSTITUTE(U68,"R","S")&amp;Data!CJ53,IF(AND(COUNTIF(U68,"*V*"),COUNTIF(U68,"*R*")),SUBSTITUTE(U68,"R","S")&amp;Data!CJ53,U68 &amp; Data!CJ53))),SUBSTITUTE(SUBSTITUTE(SUBSTITUTE(SUBSTITUTE(SUBSTITUTE(SUBSTITUTE(SUBSTITUTE(SUBSTITUTE(SUBSTITUTE(SUBSTITUTE(IF(AND(COUNTIF(U68,"*P*"),COUNTIF(U68,"*V*")),IF(COUNTIF(U68,"*R*"),SUBSTITUTE(SUBSTITUTE(U68,"P",""),"R","S"),SUBSTITUTE(U68,"P","")),IF(AND(COUNTIF(U68,"*P*"),COUNTIF(U68,"*R*")),SUBSTITUTE(U68,"R","S"),IF(AND(COUNTIF(U68,"*V*"),COUNTIF(U68,"*R*")),SUBSTITUTE(U68,"R","S"),U68))),"0",""),"1",""),"2",""),"3",""),"4",""),"5",""),"6",""),"7",""),"8",""),"9","")&amp; Data!CJ53),""))</f>
        <v/>
      </c>
      <c r="V101" s="41" t="str">
        <f>IF(AND($Y$57=1,V68&lt;&gt;""),"O"&amp; Data!CK53,IF(V68&lt;&gt;"",IF(OR(COUNTIF(V68,"L*"),COUNTIF(V68, "X*")),IF(AND(COUNTIF(V68,"*P*"),COUNTIF(V68,"*V*")),IF(COUNTIF(V68,"*R*"),SUBSTITUTE(SUBSTITUTE(V68,"P",""),"R","S")&amp; Data!CK53,SUBSTITUTE(V68,"P","")&amp; Data!CK53),IF(AND(COUNTIF(V68,"*P*"),COUNTIF(V68,"*R*")),SUBSTITUTE(V68,"R","S")&amp;Data!CK53,IF(AND(COUNTIF(V68,"*V*"),COUNTIF(V68,"*R*")),SUBSTITUTE(V68,"R","S")&amp;Data!CK53,V68 &amp; Data!CK53))),SUBSTITUTE(SUBSTITUTE(SUBSTITUTE(SUBSTITUTE(SUBSTITUTE(SUBSTITUTE(SUBSTITUTE(SUBSTITUTE(SUBSTITUTE(SUBSTITUTE(IF(AND(COUNTIF(V68,"*P*"),COUNTIF(V68,"*V*")),IF(COUNTIF(V68,"*R*"),SUBSTITUTE(SUBSTITUTE(V68,"P",""),"R","S"),SUBSTITUTE(V68,"P","")),IF(AND(COUNTIF(V68,"*P*"),COUNTIF(V68,"*R*")),SUBSTITUTE(V68,"R","S"),IF(AND(COUNTIF(V68,"*V*"),COUNTIF(V68,"*R*")),SUBSTITUTE(V68,"R","S"),V68))),"0",""),"1",""),"2",""),"3",""),"4",""),"5",""),"6",""),"7",""),"8",""),"9","")&amp; Data!CK53),""))</f>
        <v/>
      </c>
      <c r="W101" s="41" t="str">
        <f>IF(AND($Y$57=1,W68&lt;&gt;""),"O"&amp; Data!CL53,IF(W68&lt;&gt;"",IF(OR(COUNTIF(W68,"L*"),COUNTIF(W68, "X*")),IF(AND(COUNTIF(W68,"*P*"),COUNTIF(W68,"*V*")),IF(COUNTIF(W68,"*R*"),SUBSTITUTE(SUBSTITUTE(W68,"P",""),"R","S")&amp; Data!CL53,SUBSTITUTE(W68,"P","")&amp; Data!CL53),IF(AND(COUNTIF(W68,"*P*"),COUNTIF(W68,"*R*")),SUBSTITUTE(W68,"R","S")&amp;Data!CL53,IF(AND(COUNTIF(W68,"*V*"),COUNTIF(W68,"*R*")),SUBSTITUTE(W68,"R","S")&amp;Data!CL53,W68 &amp; Data!CL53))),SUBSTITUTE(SUBSTITUTE(SUBSTITUTE(SUBSTITUTE(SUBSTITUTE(SUBSTITUTE(SUBSTITUTE(SUBSTITUTE(SUBSTITUTE(SUBSTITUTE(IF(AND(COUNTIF(W68,"*P*"),COUNTIF(W68,"*V*")),IF(COUNTIF(W68,"*R*"),SUBSTITUTE(SUBSTITUTE(W68,"P",""),"R","S"),SUBSTITUTE(W68,"P","")),IF(AND(COUNTIF(W68,"*P*"),COUNTIF(W68,"*R*")),SUBSTITUTE(W68,"R","S"),IF(AND(COUNTIF(W68,"*V*"),COUNTIF(W68,"*R*")),SUBSTITUTE(W68,"R","S"),W68))),"0",""),"1",""),"2",""),"3",""),"4",""),"5",""),"6",""),"7",""),"8",""),"9","")&amp; Data!CL53),""))</f>
        <v/>
      </c>
      <c r="X101" s="41" t="str">
        <f>IF(AND($Y$57=1,X68&lt;&gt;""),"O"&amp; Data!CM53,IF(X68&lt;&gt;"",IF(OR(COUNTIF(X68,"L*"),COUNTIF(X68, "X*")),IF(AND(COUNTIF(X68,"*P*"),COUNTIF(X68,"*V*")),IF(COUNTIF(X68,"*R*"),SUBSTITUTE(SUBSTITUTE(X68,"P",""),"R","S")&amp; Data!CM53,SUBSTITUTE(X68,"P","")&amp; Data!CM53),IF(AND(COUNTIF(X68,"*P*"),COUNTIF(X68,"*R*")),SUBSTITUTE(X68,"R","S")&amp;Data!CM53,IF(AND(COUNTIF(X68,"*V*"),COUNTIF(X68,"*R*")),SUBSTITUTE(X68,"R","S")&amp;Data!CM53,X68 &amp; Data!CM53))),SUBSTITUTE(SUBSTITUTE(SUBSTITUTE(SUBSTITUTE(SUBSTITUTE(SUBSTITUTE(SUBSTITUTE(SUBSTITUTE(SUBSTITUTE(SUBSTITUTE(IF(AND(COUNTIF(X68,"*P*"),COUNTIF(X68,"*V*")),IF(COUNTIF(X68,"*R*"),SUBSTITUTE(SUBSTITUTE(X68,"P",""),"R","S"),SUBSTITUTE(X68,"P","")),IF(AND(COUNTIF(X68,"*P*"),COUNTIF(X68,"*R*")),SUBSTITUTE(X68,"R","S"),IF(AND(COUNTIF(X68,"*V*"),COUNTIF(X68,"*R*")),SUBSTITUTE(X68,"R","S"),X68))),"0",""),"1",""),"2",""),"3",""),"4",""),"5",""),"6",""),"7",""),"8",""),"9","")&amp; Data!CM53),""))</f>
        <v/>
      </c>
      <c r="Y101" s="41" t="str">
        <f>IF(AND($Y$57=1,Y68&lt;&gt;""),"O"&amp; Data!CN53,IF(Y68&lt;&gt;"",IF(OR(COUNTIF(Y68,"L*"),COUNTIF(Y68, "X*")),IF(AND(COUNTIF(Y68,"*P*"),COUNTIF(Y68,"*V*")),IF(COUNTIF(Y68,"*R*"),SUBSTITUTE(SUBSTITUTE(Y68,"P",""),"R","S")&amp; Data!CN53,SUBSTITUTE(Y68,"P","")&amp; Data!CN53),IF(AND(COUNTIF(Y68,"*P*"),COUNTIF(Y68,"*R*")),SUBSTITUTE(Y68,"R","S")&amp;Data!CN53,IF(AND(COUNTIF(Y68,"*V*"),COUNTIF(Y68,"*R*")),SUBSTITUTE(Y68,"R","S")&amp;Data!CN53,Y68 &amp; Data!CN53))),SUBSTITUTE(SUBSTITUTE(SUBSTITUTE(SUBSTITUTE(SUBSTITUTE(SUBSTITUTE(SUBSTITUTE(SUBSTITUTE(SUBSTITUTE(SUBSTITUTE(IF(AND(COUNTIF(Y68,"*P*"),COUNTIF(Y68,"*V*")),IF(COUNTIF(Y68,"*R*"),SUBSTITUTE(SUBSTITUTE(Y68,"P",""),"R","S"),SUBSTITUTE(Y68,"P","")),IF(AND(COUNTIF(Y68,"*P*"),COUNTIF(Y68,"*R*")),SUBSTITUTE(Y68,"R","S"),IF(AND(COUNTIF(Y68,"*V*"),COUNTIF(Y68,"*R*")),SUBSTITUTE(Y68,"R","S"),Y68))),"0",""),"1",""),"2",""),"3",""),"4",""),"5",""),"6",""),"7",""),"8",""),"9","")&amp; Data!CN53),""))</f>
        <v/>
      </c>
      <c r="Z101" s="41" t="str">
        <f>IF(AND($Y$57=1,Z68&lt;&gt;""),"O"&amp; Data!CO53,IF(Z68&lt;&gt;"",IF(OR(COUNTIF(Z68,"L*"),COUNTIF(Z68, "X*")),IF(AND(COUNTIF(Z68,"*P*"),COUNTIF(Z68,"*V*")),IF(COUNTIF(Z68,"*R*"),SUBSTITUTE(SUBSTITUTE(Z68,"P",""),"R","S")&amp; Data!CO53,SUBSTITUTE(Z68,"P","")&amp; Data!CO53),IF(AND(COUNTIF(Z68,"*P*"),COUNTIF(Z68,"*R*")),SUBSTITUTE(Z68,"R","S")&amp;Data!CO53,IF(AND(COUNTIF(Z68,"*V*"),COUNTIF(Z68,"*R*")),SUBSTITUTE(Z68,"R","S")&amp;Data!CO53,Z68 &amp; Data!CO53))),SUBSTITUTE(SUBSTITUTE(SUBSTITUTE(SUBSTITUTE(SUBSTITUTE(SUBSTITUTE(SUBSTITUTE(SUBSTITUTE(SUBSTITUTE(SUBSTITUTE(IF(AND(COUNTIF(Z68,"*P*"),COUNTIF(Z68,"*V*")),IF(COUNTIF(Z68,"*R*"),SUBSTITUTE(SUBSTITUTE(Z68,"P",""),"R","S"),SUBSTITUTE(Z68,"P","")),IF(AND(COUNTIF(Z68,"*P*"),COUNTIF(Z68,"*R*")),SUBSTITUTE(Z68,"R","S"),IF(AND(COUNTIF(Z68,"*V*"),COUNTIF(Z68,"*R*")),SUBSTITUTE(Z68,"R","S"),Z68))),"0",""),"1",""),"2",""),"3",""),"4",""),"5",""),"6",""),"7",""),"8",""),"9","")&amp; Data!CO53),""))</f>
        <v/>
      </c>
      <c r="AA101" s="41" t="str">
        <f>IF(AND($Y$57=1,AA68&lt;&gt;""),"O"&amp; Data!CP53,IF(AA68&lt;&gt;"",IF(OR(COUNTIF(AA68,"L*"),COUNTIF(AA68, "X*")),IF(AND(COUNTIF(AA68,"*P*"),COUNTIF(AA68,"*V*")),IF(COUNTIF(AA68,"*R*"),SUBSTITUTE(SUBSTITUTE(AA68,"P",""),"R","S")&amp; Data!CP53,SUBSTITUTE(AA68,"P","")&amp; Data!CP53),IF(AND(COUNTIF(AA68,"*P*"),COUNTIF(AA68,"*R*")),SUBSTITUTE(AA68,"R","S")&amp;Data!CP53,IF(AND(COUNTIF(AA68,"*V*"),COUNTIF(AA68,"*R*")),SUBSTITUTE(AA68,"R","S")&amp;Data!CP53,AA68 &amp; Data!CP53))),SUBSTITUTE(SUBSTITUTE(SUBSTITUTE(SUBSTITUTE(SUBSTITUTE(SUBSTITUTE(SUBSTITUTE(SUBSTITUTE(SUBSTITUTE(SUBSTITUTE(IF(AND(COUNTIF(AA68,"*P*"),COUNTIF(AA68,"*V*")),IF(COUNTIF(AA68,"*R*"),SUBSTITUTE(SUBSTITUTE(AA68,"P",""),"R","S"),SUBSTITUTE(AA68,"P","")),IF(AND(COUNTIF(AA68,"*P*"),COUNTIF(AA68,"*R*")),SUBSTITUTE(AA68,"R","S"),IF(AND(COUNTIF(AA68,"*V*"),COUNTIF(AA68,"*R*")),SUBSTITUTE(AA68,"R","S"),AA68))),"0",""),"1",""),"2",""),"3",""),"4",""),"5",""),"6",""),"7",""),"8",""),"9","")&amp; Data!CP53),""))</f>
        <v/>
      </c>
      <c r="AB101" s="41" t="str">
        <f>IF(AND($Y$57=1,AB68&lt;&gt;""),"O"&amp; Data!CQ53,IF(AB68&lt;&gt;"",IF(OR(COUNTIF(AB68,"L*"),COUNTIF(AB68, "X*")),IF(AND(COUNTIF(AB68,"*P*"),COUNTIF(AB68,"*V*")),IF(COUNTIF(AB68,"*R*"),SUBSTITUTE(SUBSTITUTE(AB68,"P",""),"R","S")&amp; Data!CQ53,SUBSTITUTE(AB68,"P","")&amp; Data!CQ53),IF(AND(COUNTIF(AB68,"*P*"),COUNTIF(AB68,"*R*")),SUBSTITUTE(AB68,"R","S")&amp;Data!CQ53,IF(AND(COUNTIF(AB68,"*V*"),COUNTIF(AB68,"*R*")),SUBSTITUTE(AB68,"R","S")&amp;Data!CQ53,AB68 &amp; Data!CQ53))),SUBSTITUTE(SUBSTITUTE(SUBSTITUTE(SUBSTITUTE(SUBSTITUTE(SUBSTITUTE(SUBSTITUTE(SUBSTITUTE(SUBSTITUTE(SUBSTITUTE(IF(AND(COUNTIF(AB68,"*P*"),COUNTIF(AB68,"*V*")),IF(COUNTIF(AB68,"*R*"),SUBSTITUTE(SUBSTITUTE(AB68,"P",""),"R","S"),SUBSTITUTE(AB68,"P","")),IF(AND(COUNTIF(AB68,"*P*"),COUNTIF(AB68,"*R*")),SUBSTITUTE(AB68,"R","S"),IF(AND(COUNTIF(AB68,"*V*"),COUNTIF(AB68,"*R*")),SUBSTITUTE(AB68,"R","S"),AB68))),"0",""),"1",""),"2",""),"3",""),"4",""),"5",""),"6",""),"7",""),"8",""),"9","")&amp; Data!CQ53),""))</f>
        <v/>
      </c>
      <c r="AC101" s="41" t="str">
        <f>IF(AND($Y$57=1,AC68&lt;&gt;""),"O"&amp; Data!CR53,IF(AC68&lt;&gt;"",IF(OR(COUNTIF(AC68,"L*"),COUNTIF(AC68, "X*")),IF(AND(COUNTIF(AC68,"*P*"),COUNTIF(AC68,"*V*")),IF(COUNTIF(AC68,"*R*"),SUBSTITUTE(SUBSTITUTE(AC68,"P",""),"R","S")&amp; Data!CR53,SUBSTITUTE(AC68,"P","")&amp; Data!CR53),IF(AND(COUNTIF(AC68,"*P*"),COUNTIF(AC68,"*R*")),SUBSTITUTE(AC68,"R","S")&amp;Data!CR53,IF(AND(COUNTIF(AC68,"*V*"),COUNTIF(AC68,"*R*")),SUBSTITUTE(AC68,"R","S")&amp;Data!CR53,AC68 &amp; Data!CR53))),SUBSTITUTE(SUBSTITUTE(SUBSTITUTE(SUBSTITUTE(SUBSTITUTE(SUBSTITUTE(SUBSTITUTE(SUBSTITUTE(SUBSTITUTE(SUBSTITUTE(IF(AND(COUNTIF(AC68,"*P*"),COUNTIF(AC68,"*V*")),IF(COUNTIF(AC68,"*R*"),SUBSTITUTE(SUBSTITUTE(AC68,"P",""),"R","S"),SUBSTITUTE(AC68,"P","")),IF(AND(COUNTIF(AC68,"*P*"),COUNTIF(AC68,"*R*")),SUBSTITUTE(AC68,"R","S"),IF(AND(COUNTIF(AC68,"*V*"),COUNTIF(AC68,"*R*")),SUBSTITUTE(AC68,"R","S"),AC68))),"0",""),"1",""),"2",""),"3",""),"4",""),"5",""),"6",""),"7",""),"8",""),"9","")&amp; Data!CR53),""))</f>
        <v/>
      </c>
      <c r="AD101" s="41" t="str">
        <f>IF(AND($Y$57=1,AD68&lt;&gt;""),"O"&amp; Data!CS53,IF(AD68&lt;&gt;"",IF(OR(COUNTIF(AD68,"L*"),COUNTIF(AD68, "X*")),IF(AND(COUNTIF(AD68,"*P*"),COUNTIF(AD68,"*V*")),IF(COUNTIF(AD68,"*R*"),SUBSTITUTE(SUBSTITUTE(AD68,"P",""),"R","S")&amp; Data!CS53,SUBSTITUTE(AD68,"P","")&amp; Data!CS53),IF(AND(COUNTIF(AD68,"*P*"),COUNTIF(AD68,"*R*")),SUBSTITUTE(AD68,"R","S")&amp;Data!CS53,IF(AND(COUNTIF(AD68,"*V*"),COUNTIF(AD68,"*R*")),SUBSTITUTE(AD68,"R","S")&amp;Data!CS53,AD68 &amp; Data!CS53))),SUBSTITUTE(SUBSTITUTE(SUBSTITUTE(SUBSTITUTE(SUBSTITUTE(SUBSTITUTE(SUBSTITUTE(SUBSTITUTE(SUBSTITUTE(SUBSTITUTE(IF(AND(COUNTIF(AD68,"*P*"),COUNTIF(AD68,"*V*")),IF(COUNTIF(AD68,"*R*"),SUBSTITUTE(SUBSTITUTE(AD68,"P",""),"R","S"),SUBSTITUTE(AD68,"P","")),IF(AND(COUNTIF(AD68,"*P*"),COUNTIF(AD68,"*R*")),SUBSTITUTE(AD68,"R","S"),IF(AND(COUNTIF(AD68,"*V*"),COUNTIF(AD68,"*R*")),SUBSTITUTE(AD68,"R","S"),AD68))),"0",""),"1",""),"2",""),"3",""),"4",""),"5",""),"6",""),"7",""),"8",""),"9","")&amp; Data!CS53),""))</f>
        <v/>
      </c>
      <c r="AE101" s="41" t="str">
        <f>IF(AND($Y$57=1,AE68&lt;&gt;""),"O"&amp; Data!CT53,IF(AE68&lt;&gt;"",IF(OR(COUNTIF(AE68,"L*"),COUNTIF(AE68, "X*")),IF(AND(COUNTIF(AE68,"*P*"),COUNTIF(AE68,"*V*")),IF(COUNTIF(AE68,"*R*"),SUBSTITUTE(SUBSTITUTE(AE68,"P",""),"R","S")&amp; Data!CT53,SUBSTITUTE(AE68,"P","")&amp; Data!CT53),IF(AND(COUNTIF(AE68,"*P*"),COUNTIF(AE68,"*R*")),SUBSTITUTE(AE68,"R","S")&amp;Data!CT53,IF(AND(COUNTIF(AE68,"*V*"),COUNTIF(AE68,"*R*")),SUBSTITUTE(AE68,"R","S")&amp;Data!CT53,AE68 &amp; Data!CT53))),SUBSTITUTE(SUBSTITUTE(SUBSTITUTE(SUBSTITUTE(SUBSTITUTE(SUBSTITUTE(SUBSTITUTE(SUBSTITUTE(SUBSTITUTE(SUBSTITUTE(IF(AND(COUNTIF(AE68,"*P*"),COUNTIF(AE68,"*V*")),IF(COUNTIF(AE68,"*R*"),SUBSTITUTE(SUBSTITUTE(AE68,"P",""),"R","S"),SUBSTITUTE(AE68,"P","")),IF(AND(COUNTIF(AE68,"*P*"),COUNTIF(AE68,"*R*")),SUBSTITUTE(AE68,"R","S"),IF(AND(COUNTIF(AE68,"*V*"),COUNTIF(AE68,"*R*")),SUBSTITUTE(AE68,"R","S"),AE68))),"0",""),"1",""),"2",""),"3",""),"4",""),"5",""),"6",""),"7",""),"8",""),"9","")&amp; Data!CT53),""))</f>
        <v/>
      </c>
      <c r="AF101" s="41" t="str">
        <f>IF(AND($Y$57=1,AF68&lt;&gt;""),"O"&amp; Data!CU53,IF(AF68&lt;&gt;"",IF(OR(COUNTIF(AF68,"L*"),COUNTIF(AF68, "X*")),IF(AND(COUNTIF(AF68,"*P*"),COUNTIF(AF68,"*V*")),IF(COUNTIF(AF68,"*R*"),SUBSTITUTE(SUBSTITUTE(AF68,"P",""),"R","S")&amp; Data!CU53,SUBSTITUTE(AF68,"P","")&amp; Data!CU53),IF(AND(COUNTIF(AF68,"*P*"),COUNTIF(AF68,"*R*")),SUBSTITUTE(AF68,"R","S")&amp;Data!CU53,IF(AND(COUNTIF(AF68,"*V*"),COUNTIF(AF68,"*R*")),SUBSTITUTE(AF68,"R","S")&amp;Data!CU53,AF68 &amp; Data!CU53))),SUBSTITUTE(SUBSTITUTE(SUBSTITUTE(SUBSTITUTE(SUBSTITUTE(SUBSTITUTE(SUBSTITUTE(SUBSTITUTE(SUBSTITUTE(SUBSTITUTE(IF(AND(COUNTIF(AF68,"*P*"),COUNTIF(AF68,"*V*")),IF(COUNTIF(AF68,"*R*"),SUBSTITUTE(SUBSTITUTE(AF68,"P",""),"R","S"),SUBSTITUTE(AF68,"P","")),IF(AND(COUNTIF(AF68,"*P*"),COUNTIF(AF68,"*R*")),SUBSTITUTE(AF68,"R","S"),IF(AND(COUNTIF(AF68,"*V*"),COUNTIF(AF68,"*R*")),SUBSTITUTE(AF68,"R","S"),AF68))),"0",""),"1",""),"2",""),"3",""),"4",""),"5",""),"6",""),"7",""),"8",""),"9","")&amp; Data!CU53),""))</f>
        <v/>
      </c>
      <c r="AG101" s="41" t="str">
        <f>IF(AND($Y$57=1,AG68&lt;&gt;""),"O"&amp; Data!CV53,IF(AG68&lt;&gt;"",IF(OR(COUNTIF(AG68,"L*"),COUNTIF(AG68, "X*")),IF(AND(COUNTIF(AG68,"*P*"),COUNTIF(AG68,"*V*")),IF(COUNTIF(AG68,"*R*"),SUBSTITUTE(SUBSTITUTE(AG68,"P",""),"R","S")&amp; Data!CV53,SUBSTITUTE(AG68,"P","")&amp; Data!CV53),IF(AND(COUNTIF(AG68,"*P*"),COUNTIF(AG68,"*R*")),SUBSTITUTE(AG68,"R","S")&amp;Data!CV53,IF(AND(COUNTIF(AG68,"*V*"),COUNTIF(AG68,"*R*")),SUBSTITUTE(AG68,"R","S")&amp;Data!CV53,AG68 &amp; Data!CV53))),SUBSTITUTE(SUBSTITUTE(SUBSTITUTE(SUBSTITUTE(SUBSTITUTE(SUBSTITUTE(SUBSTITUTE(SUBSTITUTE(SUBSTITUTE(SUBSTITUTE(IF(AND(COUNTIF(AG68,"*P*"),COUNTIF(AG68,"*V*")),IF(COUNTIF(AG68,"*R*"),SUBSTITUTE(SUBSTITUTE(AG68,"P",""),"R","S"),SUBSTITUTE(AG68,"P","")),IF(AND(COUNTIF(AG68,"*P*"),COUNTIF(AG68,"*R*")),SUBSTITUTE(AG68,"R","S"),IF(AND(COUNTIF(AG68,"*V*"),COUNTIF(AG68,"*R*")),SUBSTITUTE(AG68,"R","S"),AG68))),"0",""),"1",""),"2",""),"3",""),"4",""),"5",""),"6",""),"7",""),"8",""),"9","")&amp; Data!CV53),""))</f>
        <v/>
      </c>
      <c r="AH101" s="41" t="str">
        <f>IF(AND($Y$57=1,AH68&lt;&gt;""),"O"&amp; Data!CW53,IF(AH68&lt;&gt;"",IF(OR(COUNTIF(AH68,"L*"),COUNTIF(AH68, "X*")),IF(AND(COUNTIF(AH68,"*P*"),COUNTIF(AH68,"*V*")),IF(COUNTIF(AH68,"*R*"),SUBSTITUTE(SUBSTITUTE(AH68,"P",""),"R","S")&amp; Data!CW53,SUBSTITUTE(AH68,"P","")&amp; Data!CW53),IF(AND(COUNTIF(AH68,"*P*"),COUNTIF(AH68,"*R*")),SUBSTITUTE(AH68,"R","S")&amp;Data!CW53,IF(AND(COUNTIF(AH68,"*V*"),COUNTIF(AH68,"*R*")),SUBSTITUTE(AH68,"R","S")&amp;Data!CW53,AH68 &amp; Data!CW53))),SUBSTITUTE(SUBSTITUTE(SUBSTITUTE(SUBSTITUTE(SUBSTITUTE(SUBSTITUTE(SUBSTITUTE(SUBSTITUTE(SUBSTITUTE(SUBSTITUTE(IF(AND(COUNTIF(AH68,"*P*"),COUNTIF(AH68,"*V*")),IF(COUNTIF(AH68,"*R*"),SUBSTITUTE(SUBSTITUTE(AH68,"P",""),"R","S"),SUBSTITUTE(AH68,"P","")),IF(AND(COUNTIF(AH68,"*P*"),COUNTIF(AH68,"*R*")),SUBSTITUTE(AH68,"R","S"),IF(AND(COUNTIF(AH68,"*V*"),COUNTIF(AH68,"*R*")),SUBSTITUTE(AH68,"R","S"),AH68))),"0",""),"1",""),"2",""),"3",""),"4",""),"5",""),"6",""),"7",""),"8",""),"9","")&amp; Data!CW53),""))</f>
        <v/>
      </c>
      <c r="AI101" s="41" t="str">
        <f>IF(AND($Y$57=1,AI68&lt;&gt;""),"O"&amp; Data!CX53,IF(AI68&lt;&gt;"",IF(OR(COUNTIF(AI68,"L*"),COUNTIF(AI68, "X*")),IF(AND(COUNTIF(AI68,"*P*"),COUNTIF(AI68,"*V*")),IF(COUNTIF(AI68,"*R*"),SUBSTITUTE(SUBSTITUTE(AI68,"P",""),"R","S")&amp; Data!CX53,SUBSTITUTE(AI68,"P","")&amp; Data!CX53),IF(AND(COUNTIF(AI68,"*P*"),COUNTIF(AI68,"*R*")),SUBSTITUTE(AI68,"R","S")&amp;Data!CX53,IF(AND(COUNTIF(AI68,"*V*"),COUNTIF(AI68,"*R*")),SUBSTITUTE(AI68,"R","S")&amp;Data!CX53,AI68 &amp; Data!CX53))),SUBSTITUTE(SUBSTITUTE(SUBSTITUTE(SUBSTITUTE(SUBSTITUTE(SUBSTITUTE(SUBSTITUTE(SUBSTITUTE(SUBSTITUTE(SUBSTITUTE(IF(AND(COUNTIF(AI68,"*P*"),COUNTIF(AI68,"*V*")),IF(COUNTIF(AI68,"*R*"),SUBSTITUTE(SUBSTITUTE(AI68,"P",""),"R","S"),SUBSTITUTE(AI68,"P","")),IF(AND(COUNTIF(AI68,"*P*"),COUNTIF(AI68,"*R*")),SUBSTITUTE(AI68,"R","S"),IF(AND(COUNTIF(AI68,"*V*"),COUNTIF(AI68,"*R*")),SUBSTITUTE(AI68,"R","S"),AI68))),"0",""),"1",""),"2",""),"3",""),"4",""),"5",""),"6",""),"7",""),"8",""),"9","")&amp; Data!CX53),""))</f>
        <v/>
      </c>
      <c r="AJ101" s="41" t="str">
        <f>IF(AND($Y$57=1,AJ68&lt;&gt;""),"O"&amp; Data!CY53,IF(AJ68&lt;&gt;"",IF(OR(COUNTIF(AJ68,"L*"),COUNTIF(AJ68, "X*")),IF(AND(COUNTIF(AJ68,"*P*"),COUNTIF(AJ68,"*V*")),IF(COUNTIF(AJ68,"*R*"),SUBSTITUTE(SUBSTITUTE(AJ68,"P",""),"R","S")&amp; Data!CY53,SUBSTITUTE(AJ68,"P","")&amp; Data!CY53),IF(AND(COUNTIF(AJ68,"*P*"),COUNTIF(AJ68,"*R*")),SUBSTITUTE(AJ68,"R","S")&amp;Data!CY53,IF(AND(COUNTIF(AJ68,"*V*"),COUNTIF(AJ68,"*R*")),SUBSTITUTE(AJ68,"R","S")&amp;Data!CY53,AJ68 &amp; Data!CY53))),SUBSTITUTE(SUBSTITUTE(SUBSTITUTE(SUBSTITUTE(SUBSTITUTE(SUBSTITUTE(SUBSTITUTE(SUBSTITUTE(SUBSTITUTE(SUBSTITUTE(IF(AND(COUNTIF(AJ68,"*P*"),COUNTIF(AJ68,"*V*")),IF(COUNTIF(AJ68,"*R*"),SUBSTITUTE(SUBSTITUTE(AJ68,"P",""),"R","S"),SUBSTITUTE(AJ68,"P","")),IF(AND(COUNTIF(AJ68,"*P*"),COUNTIF(AJ68,"*R*")),SUBSTITUTE(AJ68,"R","S"),IF(AND(COUNTIF(AJ68,"*V*"),COUNTIF(AJ68,"*R*")),SUBSTITUTE(AJ68,"R","S"),AJ68))),"0",""),"1",""),"2",""),"3",""),"4",""),"5",""),"6",""),"7",""),"8",""),"9","")&amp; Data!CY53),""))</f>
        <v/>
      </c>
      <c r="AP101" s="99">
        <f>IF(Data!CX67&gt;0,IF(Data!CX67&lt;&gt;"", Data!CX67, " ")," ")</f>
        <v>8</v>
      </c>
      <c r="AQ101" s="99" t="str">
        <f>IF(AX58+AX59+AX60+AX61=0,"",AX58+AX59+AX60+AX61)</f>
        <v/>
      </c>
      <c r="AR101" s="99" t="str">
        <f>IF(Data!GK9&gt;0,IF(Data!GK9&lt;&gt;"",Data!GK9," ")," ")</f>
        <v xml:space="preserve"> </v>
      </c>
      <c r="AS101" s="99" t="str">
        <f>IF(Data!GG9&gt;0,IF(Data!GG9&lt;&gt;"",Data!GG9," ")," ")</f>
        <v xml:space="preserve"> </v>
      </c>
      <c r="AT101" s="99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AU101" s="99" t="str">
        <f>IF(AND(Data!GR9&lt;&gt;"",Data!GR9&lt;&gt;0),Data!GR9,"")</f>
        <v/>
      </c>
      <c r="AV101" s="99" t="str">
        <f>IF(AX59+AX61=0,"",AX59+AX61)</f>
        <v/>
      </c>
      <c r="AW101" s="99" t="str">
        <f>IF(IFERROR(AQ101-AV101,AQ101)=0,"",IFERROR(AQ101-AV101,AQ101))</f>
        <v/>
      </c>
      <c r="AX101" s="100"/>
    </row>
    <row r="102" spans="1:54" ht="23.25" customHeight="1" thickBot="1" x14ac:dyDescent="0.4">
      <c r="A102" s="1196"/>
      <c r="B102" s="22">
        <v>9</v>
      </c>
      <c r="C102" s="41" t="str">
        <f>IF(AND($Y$57=1,C69&lt;&gt;""),"O"&amp; Data!BR54,IF(C69&lt;&gt;"",IF(OR(COUNTIF(C69,"L*"),COUNTIF(C69, "X*")),IF(AND(COUNTIF(C69,"*P*"),COUNTIF(C69,"*V*")),IF(COUNTIF(C69,"*R*"),SUBSTITUTE(SUBSTITUTE(C69,"P",""),"R","S")&amp; Data!BR54,SUBSTITUTE(C69,"P","")&amp; Data!BR54),IF(AND(COUNTIF(C69,"*P*"),COUNTIF(C69,"*R*")),SUBSTITUTE(C69,"R","S")&amp;Data!BR54,IF(AND(COUNTIF(C69,"*V*"),COUNTIF(C69,"*R*")),SUBSTITUTE(C69,"R","S")&amp;Data!BR54,C69 &amp; Data!BR54))),SUBSTITUTE(SUBSTITUTE(SUBSTITUTE(SUBSTITUTE(SUBSTITUTE(SUBSTITUTE(SUBSTITUTE(SUBSTITUTE(SUBSTITUTE(SUBSTITUTE(IF(AND(COUNTIF(C69,"*P*"),COUNTIF(C69,"*V*")),IF(COUNTIF(C69,"*R*"),SUBSTITUTE(SUBSTITUTE(C69,"P",""),"R","S"),SUBSTITUTE(C69,"P","")),IF(AND(COUNTIF(C69,"*P*"),COUNTIF(C69,"*R*")),SUBSTITUTE(C69,"R","S"),IF(AND(COUNTIF(C69,"*V*"),COUNTIF(C69,"*R*")),SUBSTITUTE(C69,"R","S"),C69))),"0",""),"1",""),"2",""),"3",""),"4",""),"5",""),"6",""),"7",""),"8",""),"9","")&amp; Data!BR54),""))</f>
        <v/>
      </c>
      <c r="D102" s="41" t="str">
        <f>IF(AND($Y$57=1,D69&lt;&gt;""),"O"&amp; Data!BS54,IF(D69&lt;&gt;"",IF(OR(COUNTIF(D69,"L*"),COUNTIF(D69, "X*")),IF(AND(COUNTIF(D69,"*P*"),COUNTIF(D69,"*V*")),IF(COUNTIF(D69,"*R*"),SUBSTITUTE(SUBSTITUTE(D69,"P",""),"R","S")&amp; Data!BS54,SUBSTITUTE(D69,"P","")&amp; Data!BS54),IF(AND(COUNTIF(D69,"*P*"),COUNTIF(D69,"*R*")),SUBSTITUTE(D69,"R","S")&amp;Data!BS54,IF(AND(COUNTIF(D69,"*V*"),COUNTIF(D69,"*R*")),SUBSTITUTE(D69,"R","S")&amp;Data!BS54,D69 &amp; Data!BS54))),SUBSTITUTE(SUBSTITUTE(SUBSTITUTE(SUBSTITUTE(SUBSTITUTE(SUBSTITUTE(SUBSTITUTE(SUBSTITUTE(SUBSTITUTE(SUBSTITUTE(IF(AND(COUNTIF(D69,"*P*"),COUNTIF(D69,"*V*")),IF(COUNTIF(D69,"*R*"),SUBSTITUTE(SUBSTITUTE(D69,"P",""),"R","S"),SUBSTITUTE(D69,"P","")),IF(AND(COUNTIF(D69,"*P*"),COUNTIF(D69,"*R*")),SUBSTITUTE(D69,"R","S"),IF(AND(COUNTIF(D69,"*V*"),COUNTIF(D69,"*R*")),SUBSTITUTE(D69,"R","S"),D69))),"0",""),"1",""),"2",""),"3",""),"4",""),"5",""),"6",""),"7",""),"8",""),"9","")&amp; Data!BS54),""))</f>
        <v/>
      </c>
      <c r="E102" s="41" t="str">
        <f>IF(AND($Y$57=1,E69&lt;&gt;""),"O"&amp; Data!BT54,IF(E69&lt;&gt;"",IF(OR(COUNTIF(E69,"L*"),COUNTIF(E69, "X*")),IF(AND(COUNTIF(E69,"*P*"),COUNTIF(E69,"*V*")),IF(COUNTIF(E69,"*R*"),SUBSTITUTE(SUBSTITUTE(E69,"P",""),"R","S")&amp; Data!BT54,SUBSTITUTE(E69,"P","")&amp; Data!BT54),IF(AND(COUNTIF(E69,"*P*"),COUNTIF(E69,"*R*")),SUBSTITUTE(E69,"R","S")&amp;Data!BT54,IF(AND(COUNTIF(E69,"*V*"),COUNTIF(E69,"*R*")),SUBSTITUTE(E69,"R","S")&amp;Data!BT54,E69 &amp; Data!BT54))),SUBSTITUTE(SUBSTITUTE(SUBSTITUTE(SUBSTITUTE(SUBSTITUTE(SUBSTITUTE(SUBSTITUTE(SUBSTITUTE(SUBSTITUTE(SUBSTITUTE(IF(AND(COUNTIF(E69,"*P*"),COUNTIF(E69,"*V*")),IF(COUNTIF(E69,"*R*"),SUBSTITUTE(SUBSTITUTE(E69,"P",""),"R","S"),SUBSTITUTE(E69,"P","")),IF(AND(COUNTIF(E69,"*P*"),COUNTIF(E69,"*R*")),SUBSTITUTE(E69,"R","S"),IF(AND(COUNTIF(E69,"*V*"),COUNTIF(E69,"*R*")),SUBSTITUTE(E69,"R","S"),E69))),"0",""),"1",""),"2",""),"3",""),"4",""),"5",""),"6",""),"7",""),"8",""),"9","")&amp; Data!BT54),""))</f>
        <v/>
      </c>
      <c r="F102" s="41" t="str">
        <f>IF(AND($Y$57=1,F69&lt;&gt;""),"O"&amp; Data!BU54,IF(F69&lt;&gt;"",IF(OR(COUNTIF(F69,"L*"),COUNTIF(F69, "X*")),IF(AND(COUNTIF(F69,"*P*"),COUNTIF(F69,"*V*")),IF(COUNTIF(F69,"*R*"),SUBSTITUTE(SUBSTITUTE(F69,"P",""),"R","S")&amp; Data!BU54,SUBSTITUTE(F69,"P","")&amp; Data!BU54),IF(AND(COUNTIF(F69,"*P*"),COUNTIF(F69,"*R*")),SUBSTITUTE(F69,"R","S")&amp;Data!BU54,IF(AND(COUNTIF(F69,"*V*"),COUNTIF(F69,"*R*")),SUBSTITUTE(F69,"R","S")&amp;Data!BU54,F69 &amp; Data!BU54))),SUBSTITUTE(SUBSTITUTE(SUBSTITUTE(SUBSTITUTE(SUBSTITUTE(SUBSTITUTE(SUBSTITUTE(SUBSTITUTE(SUBSTITUTE(SUBSTITUTE(IF(AND(COUNTIF(F69,"*P*"),COUNTIF(F69,"*V*")),IF(COUNTIF(F69,"*R*"),SUBSTITUTE(SUBSTITUTE(F69,"P",""),"R","S"),SUBSTITUTE(F69,"P","")),IF(AND(COUNTIF(F69,"*P*"),COUNTIF(F69,"*R*")),SUBSTITUTE(F69,"R","S"),IF(AND(COUNTIF(F69,"*V*"),COUNTIF(F69,"*R*")),SUBSTITUTE(F69,"R","S"),F69))),"0",""),"1",""),"2",""),"3",""),"4",""),"5",""),"6",""),"7",""),"8",""),"9","")&amp; Data!BU54),""))</f>
        <v/>
      </c>
      <c r="G102" s="41" t="str">
        <f>IF(AND($Y$57=1,G69&lt;&gt;""),"O"&amp; Data!BV54,IF(G69&lt;&gt;"",IF(OR(COUNTIF(G69,"L*"),COUNTIF(G69, "X*")),IF(AND(COUNTIF(G69,"*P*"),COUNTIF(G69,"*V*")),IF(COUNTIF(G69,"*R*"),SUBSTITUTE(SUBSTITUTE(G69,"P",""),"R","S")&amp; Data!BV54,SUBSTITUTE(G69,"P","")&amp; Data!BV54),IF(AND(COUNTIF(G69,"*P*"),COUNTIF(G69,"*R*")),SUBSTITUTE(G69,"R","S")&amp;Data!BV54,IF(AND(COUNTIF(G69,"*V*"),COUNTIF(G69,"*R*")),SUBSTITUTE(G69,"R","S")&amp;Data!BV54,G69 &amp; Data!BV54))),SUBSTITUTE(SUBSTITUTE(SUBSTITUTE(SUBSTITUTE(SUBSTITUTE(SUBSTITUTE(SUBSTITUTE(SUBSTITUTE(SUBSTITUTE(SUBSTITUTE(IF(AND(COUNTIF(G69,"*P*"),COUNTIF(G69,"*V*")),IF(COUNTIF(G69,"*R*"),SUBSTITUTE(SUBSTITUTE(G69,"P",""),"R","S"),SUBSTITUTE(G69,"P","")),IF(AND(COUNTIF(G69,"*P*"),COUNTIF(G69,"*R*")),SUBSTITUTE(G69,"R","S"),IF(AND(COUNTIF(G69,"*V*"),COUNTIF(G69,"*R*")),SUBSTITUTE(G69,"R","S"),G69))),"0",""),"1",""),"2",""),"3",""),"4",""),"5",""),"6",""),"7",""),"8",""),"9","")&amp; Data!BV54),""))</f>
        <v/>
      </c>
      <c r="H102" s="41" t="str">
        <f>IF(AND($Y$57=1,H69&lt;&gt;""),"O"&amp; Data!BW54,IF(H69&lt;&gt;"",IF(OR(COUNTIF(H69,"L*"),COUNTIF(H69, "X*")),IF(AND(COUNTIF(H69,"*P*"),COUNTIF(H69,"*V*")),IF(COUNTIF(H69,"*R*"),SUBSTITUTE(SUBSTITUTE(H69,"P",""),"R","S")&amp; Data!BW54,SUBSTITUTE(H69,"P","")&amp; Data!BW54),IF(AND(COUNTIF(H69,"*P*"),COUNTIF(H69,"*R*")),SUBSTITUTE(H69,"R","S")&amp;Data!BW54,IF(AND(COUNTIF(H69,"*V*"),COUNTIF(H69,"*R*")),SUBSTITUTE(H69,"R","S")&amp;Data!BW54,H69 &amp; Data!BW54))),SUBSTITUTE(SUBSTITUTE(SUBSTITUTE(SUBSTITUTE(SUBSTITUTE(SUBSTITUTE(SUBSTITUTE(SUBSTITUTE(SUBSTITUTE(SUBSTITUTE(IF(AND(COUNTIF(H69,"*P*"),COUNTIF(H69,"*V*")),IF(COUNTIF(H69,"*R*"),SUBSTITUTE(SUBSTITUTE(H69,"P",""),"R","S"),SUBSTITUTE(H69,"P","")),IF(AND(COUNTIF(H69,"*P*"),COUNTIF(H69,"*R*")),SUBSTITUTE(H69,"R","S"),IF(AND(COUNTIF(H69,"*V*"),COUNTIF(H69,"*R*")),SUBSTITUTE(H69,"R","S"),H69))),"0",""),"1",""),"2",""),"3",""),"4",""),"5",""),"6",""),"7",""),"8",""),"9","")&amp; Data!BW54),""))</f>
        <v/>
      </c>
      <c r="I102" s="41" t="str">
        <f>IF(AND($Y$57=1,I69&lt;&gt;""),"O"&amp; Data!BX54,IF(I69&lt;&gt;"",IF(OR(COUNTIF(I69,"L*"),COUNTIF(I69, "X*")),IF(AND(COUNTIF(I69,"*P*"),COUNTIF(I69,"*V*")),IF(COUNTIF(I69,"*R*"),SUBSTITUTE(SUBSTITUTE(I69,"P",""),"R","S")&amp; Data!BX54,SUBSTITUTE(I69,"P","")&amp; Data!BX54),IF(AND(COUNTIF(I69,"*P*"),COUNTIF(I69,"*R*")),SUBSTITUTE(I69,"R","S")&amp;Data!BX54,IF(AND(COUNTIF(I69,"*V*"),COUNTIF(I69,"*R*")),SUBSTITUTE(I69,"R","S")&amp;Data!BX54,I69 &amp; Data!BX54))),SUBSTITUTE(SUBSTITUTE(SUBSTITUTE(SUBSTITUTE(SUBSTITUTE(SUBSTITUTE(SUBSTITUTE(SUBSTITUTE(SUBSTITUTE(SUBSTITUTE(IF(AND(COUNTIF(I69,"*P*"),COUNTIF(I69,"*V*")),IF(COUNTIF(I69,"*R*"),SUBSTITUTE(SUBSTITUTE(I69,"P",""),"R","S"),SUBSTITUTE(I69,"P","")),IF(AND(COUNTIF(I69,"*P*"),COUNTIF(I69,"*R*")),SUBSTITUTE(I69,"R","S"),IF(AND(COUNTIF(I69,"*V*"),COUNTIF(I69,"*R*")),SUBSTITUTE(I69,"R","S"),I69))),"0",""),"1",""),"2",""),"3",""),"4",""),"5",""),"6",""),"7",""),"8",""),"9","")&amp; Data!BX54),""))</f>
        <v/>
      </c>
      <c r="J102" s="41" t="str">
        <f>IF(AND($Y$57=1,J69&lt;&gt;""),"O"&amp; Data!BY54,IF(J69&lt;&gt;"",IF(OR(COUNTIF(J69,"L*"),COUNTIF(J69, "X*")),IF(AND(COUNTIF(J69,"*P*"),COUNTIF(J69,"*V*")),IF(COUNTIF(J69,"*R*"),SUBSTITUTE(SUBSTITUTE(J69,"P",""),"R","S")&amp; Data!BY54,SUBSTITUTE(J69,"P","")&amp; Data!BY54),IF(AND(COUNTIF(J69,"*P*"),COUNTIF(J69,"*R*")),SUBSTITUTE(J69,"R","S")&amp;Data!BY54,IF(AND(COUNTIF(J69,"*V*"),COUNTIF(J69,"*R*")),SUBSTITUTE(J69,"R","S")&amp;Data!BY54,J69 &amp; Data!BY54))),SUBSTITUTE(SUBSTITUTE(SUBSTITUTE(SUBSTITUTE(SUBSTITUTE(SUBSTITUTE(SUBSTITUTE(SUBSTITUTE(SUBSTITUTE(SUBSTITUTE(IF(AND(COUNTIF(J69,"*P*"),COUNTIF(J69,"*V*")),IF(COUNTIF(J69,"*R*"),SUBSTITUTE(SUBSTITUTE(J69,"P",""),"R","S"),SUBSTITUTE(J69,"P","")),IF(AND(COUNTIF(J69,"*P*"),COUNTIF(J69,"*R*")),SUBSTITUTE(J69,"R","S"),IF(AND(COUNTIF(J69,"*V*"),COUNTIF(J69,"*R*")),SUBSTITUTE(J69,"R","S"),J69))),"0",""),"1",""),"2",""),"3",""),"4",""),"5",""),"6",""),"7",""),"8",""),"9","")&amp; Data!BY54),""))</f>
        <v/>
      </c>
      <c r="K102" s="41" t="str">
        <f>IF(AND($Y$57=1,K69&lt;&gt;""),"O"&amp; Data!BZ54,IF(K69&lt;&gt;"",IF(OR(COUNTIF(K69,"L*"),COUNTIF(K69, "X*")),IF(AND(COUNTIF(K69,"*P*"),COUNTIF(K69,"*V*")),IF(COUNTIF(K69,"*R*"),SUBSTITUTE(SUBSTITUTE(K69,"P",""),"R","S")&amp; Data!BZ54,SUBSTITUTE(K69,"P","")&amp; Data!BZ54),IF(AND(COUNTIF(K69,"*P*"),COUNTIF(K69,"*R*")),SUBSTITUTE(K69,"R","S")&amp;Data!BZ54,IF(AND(COUNTIF(K69,"*V*"),COUNTIF(K69,"*R*")),SUBSTITUTE(K69,"R","S")&amp;Data!BZ54,K69 &amp; Data!BZ54))),SUBSTITUTE(SUBSTITUTE(SUBSTITUTE(SUBSTITUTE(SUBSTITUTE(SUBSTITUTE(SUBSTITUTE(SUBSTITUTE(SUBSTITUTE(SUBSTITUTE(IF(AND(COUNTIF(K69,"*P*"),COUNTIF(K69,"*V*")),IF(COUNTIF(K69,"*R*"),SUBSTITUTE(SUBSTITUTE(K69,"P",""),"R","S"),SUBSTITUTE(K69,"P","")),IF(AND(COUNTIF(K69,"*P*"),COUNTIF(K69,"*R*")),SUBSTITUTE(K69,"R","S"),IF(AND(COUNTIF(K69,"*V*"),COUNTIF(K69,"*R*")),SUBSTITUTE(K69,"R","S"),K69))),"0",""),"1",""),"2",""),"3",""),"4",""),"5",""),"6",""),"7",""),"8",""),"9","")&amp; Data!BZ54),""))</f>
        <v/>
      </c>
      <c r="L102" s="41" t="str">
        <f>IF(AND($Y$57=1,L69&lt;&gt;""),"O"&amp; Data!CA54,IF(L69&lt;&gt;"",IF(OR(COUNTIF(L69,"L*"),COUNTIF(L69, "X*")),IF(AND(COUNTIF(L69,"*P*"),COUNTIF(L69,"*V*")),IF(COUNTIF(L69,"*R*"),SUBSTITUTE(SUBSTITUTE(L69,"P",""),"R","S")&amp; Data!CA54,SUBSTITUTE(L69,"P","")&amp; Data!CA54),IF(AND(COUNTIF(L69,"*P*"),COUNTIF(L69,"*R*")),SUBSTITUTE(L69,"R","S")&amp;Data!CA54,IF(AND(COUNTIF(L69,"*V*"),COUNTIF(L69,"*R*")),SUBSTITUTE(L69,"R","S")&amp;Data!CA54,L69 &amp; Data!CA54))),SUBSTITUTE(SUBSTITUTE(SUBSTITUTE(SUBSTITUTE(SUBSTITUTE(SUBSTITUTE(SUBSTITUTE(SUBSTITUTE(SUBSTITUTE(SUBSTITUTE(IF(AND(COUNTIF(L69,"*P*"),COUNTIF(L69,"*V*")),IF(COUNTIF(L69,"*R*"),SUBSTITUTE(SUBSTITUTE(L69,"P",""),"R","S"),SUBSTITUTE(L69,"P","")),IF(AND(COUNTIF(L69,"*P*"),COUNTIF(L69,"*R*")),SUBSTITUTE(L69,"R","S"),IF(AND(COUNTIF(L69,"*V*"),COUNTIF(L69,"*R*")),SUBSTITUTE(L69,"R","S"),L69))),"0",""),"1",""),"2",""),"3",""),"4",""),"5",""),"6",""),"7",""),"8",""),"9","")&amp; Data!CA54),""))</f>
        <v/>
      </c>
      <c r="M102" s="41" t="str">
        <f>IF(AND($Y$57=1,M69&lt;&gt;""),"O"&amp; Data!CB54,IF(M69&lt;&gt;"",IF(OR(COUNTIF(M69,"L*"),COUNTIF(M69, "X*")),IF(AND(COUNTIF(M69,"*P*"),COUNTIF(M69,"*V*")),IF(COUNTIF(M69,"*R*"),SUBSTITUTE(SUBSTITUTE(M69,"P",""),"R","S")&amp; Data!CB54,SUBSTITUTE(M69,"P","")&amp; Data!CB54),IF(AND(COUNTIF(M69,"*P*"),COUNTIF(M69,"*R*")),SUBSTITUTE(M69,"R","S")&amp;Data!CB54,IF(AND(COUNTIF(M69,"*V*"),COUNTIF(M69,"*R*")),SUBSTITUTE(M69,"R","S")&amp;Data!CB54,M69 &amp; Data!CB54))),SUBSTITUTE(SUBSTITUTE(SUBSTITUTE(SUBSTITUTE(SUBSTITUTE(SUBSTITUTE(SUBSTITUTE(SUBSTITUTE(SUBSTITUTE(SUBSTITUTE(IF(AND(COUNTIF(M69,"*P*"),COUNTIF(M69,"*V*")),IF(COUNTIF(M69,"*R*"),SUBSTITUTE(SUBSTITUTE(M69,"P",""),"R","S"),SUBSTITUTE(M69,"P","")),IF(AND(COUNTIF(M69,"*P*"),COUNTIF(M69,"*R*")),SUBSTITUTE(M69,"R","S"),IF(AND(COUNTIF(M69,"*V*"),COUNTIF(M69,"*R*")),SUBSTITUTE(M69,"R","S"),M69))),"0",""),"1",""),"2",""),"3",""),"4",""),"5",""),"6",""),"7",""),"8",""),"9","")&amp; Data!CB54),""))</f>
        <v/>
      </c>
      <c r="N102" s="41" t="str">
        <f>IF(AND($Y$57=1,N69&lt;&gt;""),"O"&amp; Data!CC54,IF(N69&lt;&gt;"",IF(OR(COUNTIF(N69,"L*"),COUNTIF(N69, "X*")),IF(AND(COUNTIF(N69,"*P*"),COUNTIF(N69,"*V*")),IF(COUNTIF(N69,"*R*"),SUBSTITUTE(SUBSTITUTE(N69,"P",""),"R","S")&amp; Data!CC54,SUBSTITUTE(N69,"P","")&amp; Data!CC54),IF(AND(COUNTIF(N69,"*P*"),COUNTIF(N69,"*R*")),SUBSTITUTE(N69,"R","S")&amp;Data!CC54,IF(AND(COUNTIF(N69,"*V*"),COUNTIF(N69,"*R*")),SUBSTITUTE(N69,"R","S")&amp;Data!CC54,N69 &amp; Data!CC54))),SUBSTITUTE(SUBSTITUTE(SUBSTITUTE(SUBSTITUTE(SUBSTITUTE(SUBSTITUTE(SUBSTITUTE(SUBSTITUTE(SUBSTITUTE(SUBSTITUTE(IF(AND(COUNTIF(N69,"*P*"),COUNTIF(N69,"*V*")),IF(COUNTIF(N69,"*R*"),SUBSTITUTE(SUBSTITUTE(N69,"P",""),"R","S"),SUBSTITUTE(N69,"P","")),IF(AND(COUNTIF(N69,"*P*"),COUNTIF(N69,"*R*")),SUBSTITUTE(N69,"R","S"),IF(AND(COUNTIF(N69,"*V*"),COUNTIF(N69,"*R*")),SUBSTITUTE(N69,"R","S"),N69))),"0",""),"1",""),"2",""),"3",""),"4",""),"5",""),"6",""),"7",""),"8",""),"9","")&amp; Data!CC54),""))</f>
        <v/>
      </c>
      <c r="O102" s="41" t="str">
        <f>IF(AND($Y$57=1,O69&lt;&gt;""),"O"&amp; Data!CD54,IF(O69&lt;&gt;"",IF(OR(COUNTIF(O69,"L*"),COUNTIF(O69, "X*")),IF(AND(COUNTIF(O69,"*P*"),COUNTIF(O69,"*V*")),IF(COUNTIF(O69,"*R*"),SUBSTITUTE(SUBSTITUTE(O69,"P",""),"R","S")&amp; Data!CD54,SUBSTITUTE(O69,"P","")&amp; Data!CD54),IF(AND(COUNTIF(O69,"*P*"),COUNTIF(O69,"*R*")),SUBSTITUTE(O69,"R","S")&amp;Data!CD54,IF(AND(COUNTIF(O69,"*V*"),COUNTIF(O69,"*R*")),SUBSTITUTE(O69,"R","S")&amp;Data!CD54,O69 &amp; Data!CD54))),SUBSTITUTE(SUBSTITUTE(SUBSTITUTE(SUBSTITUTE(SUBSTITUTE(SUBSTITUTE(SUBSTITUTE(SUBSTITUTE(SUBSTITUTE(SUBSTITUTE(IF(AND(COUNTIF(O69,"*P*"),COUNTIF(O69,"*V*")),IF(COUNTIF(O69,"*R*"),SUBSTITUTE(SUBSTITUTE(O69,"P",""),"R","S"),SUBSTITUTE(O69,"P","")),IF(AND(COUNTIF(O69,"*P*"),COUNTIF(O69,"*R*")),SUBSTITUTE(O69,"R","S"),IF(AND(COUNTIF(O69,"*V*"),COUNTIF(O69,"*R*")),SUBSTITUTE(O69,"R","S"),O69))),"0",""),"1",""),"2",""),"3",""),"4",""),"5",""),"6",""),"7",""),"8",""),"9","")&amp; Data!CD54),""))</f>
        <v/>
      </c>
      <c r="P102" s="41" t="str">
        <f>IF(AND($Y$57=1,P69&lt;&gt;""),"O"&amp; Data!CE54,IF(P69&lt;&gt;"",IF(OR(COUNTIF(P69,"L*"),COUNTIF(P69, "X*")),IF(AND(COUNTIF(P69,"*P*"),COUNTIF(P69,"*V*")),IF(COUNTIF(P69,"*R*"),SUBSTITUTE(SUBSTITUTE(P69,"P",""),"R","S")&amp; Data!CE54,SUBSTITUTE(P69,"P","")&amp; Data!CE54),IF(AND(COUNTIF(P69,"*P*"),COUNTIF(P69,"*R*")),SUBSTITUTE(P69,"R","S")&amp;Data!CE54,IF(AND(COUNTIF(P69,"*V*"),COUNTIF(P69,"*R*")),SUBSTITUTE(P69,"R","S")&amp;Data!CE54,P69 &amp; Data!CE54))),SUBSTITUTE(SUBSTITUTE(SUBSTITUTE(SUBSTITUTE(SUBSTITUTE(SUBSTITUTE(SUBSTITUTE(SUBSTITUTE(SUBSTITUTE(SUBSTITUTE(IF(AND(COUNTIF(P69,"*P*"),COUNTIF(P69,"*V*")),IF(COUNTIF(P69,"*R*"),SUBSTITUTE(SUBSTITUTE(P69,"P",""),"R","S"),SUBSTITUTE(P69,"P","")),IF(AND(COUNTIF(P69,"*P*"),COUNTIF(P69,"*R*")),SUBSTITUTE(P69,"R","S"),IF(AND(COUNTIF(P69,"*V*"),COUNTIF(P69,"*R*")),SUBSTITUTE(P69,"R","S"),P69))),"0",""),"1",""),"2",""),"3",""),"4",""),"5",""),"6",""),"7",""),"8",""),"9","")&amp; Data!CE54),""))</f>
        <v/>
      </c>
      <c r="Q102" s="41" t="str">
        <f>IF(AND($Y$57=1,Q69&lt;&gt;""),"O"&amp; Data!CF54,IF(Q69&lt;&gt;"",IF(OR(COUNTIF(Q69,"L*"),COUNTIF(Q69, "X*")),IF(AND(COUNTIF(Q69,"*P*"),COUNTIF(Q69,"*V*")),IF(COUNTIF(Q69,"*R*"),SUBSTITUTE(SUBSTITUTE(Q69,"P",""),"R","S")&amp; Data!CF54,SUBSTITUTE(Q69,"P","")&amp; Data!CF54),IF(AND(COUNTIF(Q69,"*P*"),COUNTIF(Q69,"*R*")),SUBSTITUTE(Q69,"R","S")&amp;Data!CF54,IF(AND(COUNTIF(Q69,"*V*"),COUNTIF(Q69,"*R*")),SUBSTITUTE(Q69,"R","S")&amp;Data!CF54,Q69 &amp; Data!CF54))),SUBSTITUTE(SUBSTITUTE(SUBSTITUTE(SUBSTITUTE(SUBSTITUTE(SUBSTITUTE(SUBSTITUTE(SUBSTITUTE(SUBSTITUTE(SUBSTITUTE(IF(AND(COUNTIF(Q69,"*P*"),COUNTIF(Q69,"*V*")),IF(COUNTIF(Q69,"*R*"),SUBSTITUTE(SUBSTITUTE(Q69,"P",""),"R","S"),SUBSTITUTE(Q69,"P","")),IF(AND(COUNTIF(Q69,"*P*"),COUNTIF(Q69,"*R*")),SUBSTITUTE(Q69,"R","S"),IF(AND(COUNTIF(Q69,"*V*"),COUNTIF(Q69,"*R*")),SUBSTITUTE(Q69,"R","S"),Q69))),"0",""),"1",""),"2",""),"3",""),"4",""),"5",""),"6",""),"7",""),"8",""),"9","")&amp; Data!CF54),""))</f>
        <v/>
      </c>
      <c r="R102" s="41" t="str">
        <f>IF(AND($Y$57=1,R69&lt;&gt;""),"O"&amp; Data!CG54,IF(R69&lt;&gt;"",IF(OR(COUNTIF(R69,"L*"),COUNTIF(R69, "X*")),IF(AND(COUNTIF(R69,"*P*"),COUNTIF(R69,"*V*")),IF(COUNTIF(R69,"*R*"),SUBSTITUTE(SUBSTITUTE(R69,"P",""),"R","S")&amp; Data!CG54,SUBSTITUTE(R69,"P","")&amp; Data!CG54),IF(AND(COUNTIF(R69,"*P*"),COUNTIF(R69,"*R*")),SUBSTITUTE(R69,"R","S")&amp;Data!CG54,IF(AND(COUNTIF(R69,"*V*"),COUNTIF(R69,"*R*")),SUBSTITUTE(R69,"R","S")&amp;Data!CG54,R69 &amp; Data!CG54))),SUBSTITUTE(SUBSTITUTE(SUBSTITUTE(SUBSTITUTE(SUBSTITUTE(SUBSTITUTE(SUBSTITUTE(SUBSTITUTE(SUBSTITUTE(SUBSTITUTE(IF(AND(COUNTIF(R69,"*P*"),COUNTIF(R69,"*V*")),IF(COUNTIF(R69,"*R*"),SUBSTITUTE(SUBSTITUTE(R69,"P",""),"R","S"),SUBSTITUTE(R69,"P","")),IF(AND(COUNTIF(R69,"*P*"),COUNTIF(R69,"*R*")),SUBSTITUTE(R69,"R","S"),IF(AND(COUNTIF(R69,"*V*"),COUNTIF(R69,"*R*")),SUBSTITUTE(R69,"R","S"),R69))),"0",""),"1",""),"2",""),"3",""),"4",""),"5",""),"6",""),"7",""),"8",""),"9","")&amp; Data!CG54),""))</f>
        <v/>
      </c>
      <c r="S102" s="41" t="str">
        <f>IF(AND($Y$57=1,S69&lt;&gt;""),"O"&amp; Data!CH54,IF(S69&lt;&gt;"",IF(OR(COUNTIF(S69,"L*"),COUNTIF(S69, "X*")),IF(AND(COUNTIF(S69,"*P*"),COUNTIF(S69,"*V*")),IF(COUNTIF(S69,"*R*"),SUBSTITUTE(SUBSTITUTE(S69,"P",""),"R","S")&amp; Data!CH54,SUBSTITUTE(S69,"P","")&amp; Data!CH54),IF(AND(COUNTIF(S69,"*P*"),COUNTIF(S69,"*R*")),SUBSTITUTE(S69,"R","S")&amp;Data!CH54,IF(AND(COUNTIF(S69,"*V*"),COUNTIF(S69,"*R*")),SUBSTITUTE(S69,"R","S")&amp;Data!CH54,S69 &amp; Data!CH54))),SUBSTITUTE(SUBSTITUTE(SUBSTITUTE(SUBSTITUTE(SUBSTITUTE(SUBSTITUTE(SUBSTITUTE(SUBSTITUTE(SUBSTITUTE(SUBSTITUTE(IF(AND(COUNTIF(S69,"*P*"),COUNTIF(S69,"*V*")),IF(COUNTIF(S69,"*R*"),SUBSTITUTE(SUBSTITUTE(S69,"P",""),"R","S"),SUBSTITUTE(S69,"P","")),IF(AND(COUNTIF(S69,"*P*"),COUNTIF(S69,"*R*")),SUBSTITUTE(S69,"R","S"),IF(AND(COUNTIF(S69,"*V*"),COUNTIF(S69,"*R*")),SUBSTITUTE(S69,"R","S"),S69))),"0",""),"1",""),"2",""),"3",""),"4",""),"5",""),"6",""),"7",""),"8",""),"9","")&amp; Data!CH54),""))</f>
        <v/>
      </c>
      <c r="T102" s="41" t="str">
        <f>IF(AND($Y$57=1,T69&lt;&gt;""),"O"&amp; Data!CI54,IF(T69&lt;&gt;"",IF(OR(COUNTIF(T69,"L*"),COUNTIF(T69, "X*")),IF(AND(COUNTIF(T69,"*P*"),COUNTIF(T69,"*V*")),IF(COUNTIF(T69,"*R*"),SUBSTITUTE(SUBSTITUTE(T69,"P",""),"R","S")&amp; Data!CI54,SUBSTITUTE(T69,"P","")&amp; Data!CI54),IF(AND(COUNTIF(T69,"*P*"),COUNTIF(T69,"*R*")),SUBSTITUTE(T69,"R","S")&amp;Data!CI54,IF(AND(COUNTIF(T69,"*V*"),COUNTIF(T69,"*R*")),SUBSTITUTE(T69,"R","S")&amp;Data!CI54,T69 &amp; Data!CI54))),SUBSTITUTE(SUBSTITUTE(SUBSTITUTE(SUBSTITUTE(SUBSTITUTE(SUBSTITUTE(SUBSTITUTE(SUBSTITUTE(SUBSTITUTE(SUBSTITUTE(IF(AND(COUNTIF(T69,"*P*"),COUNTIF(T69,"*V*")),IF(COUNTIF(T69,"*R*"),SUBSTITUTE(SUBSTITUTE(T69,"P",""),"R","S"),SUBSTITUTE(T69,"P","")),IF(AND(COUNTIF(T69,"*P*"),COUNTIF(T69,"*R*")),SUBSTITUTE(T69,"R","S"),IF(AND(COUNTIF(T69,"*V*"),COUNTIF(T69,"*R*")),SUBSTITUTE(T69,"R","S"),T69))),"0",""),"1",""),"2",""),"3",""),"4",""),"5",""),"6",""),"7",""),"8",""),"9","")&amp; Data!CI54),""))</f>
        <v/>
      </c>
      <c r="U102" s="41" t="str">
        <f>IF(AND($Y$57=1,U69&lt;&gt;""),"O"&amp; Data!CJ54,IF(U69&lt;&gt;"",IF(OR(COUNTIF(U69,"L*"),COUNTIF(U69, "X*")),IF(AND(COUNTIF(U69,"*P*"),COUNTIF(U69,"*V*")),IF(COUNTIF(U69,"*R*"),SUBSTITUTE(SUBSTITUTE(U69,"P",""),"R","S")&amp; Data!CJ54,SUBSTITUTE(U69,"P","")&amp; Data!CJ54),IF(AND(COUNTIF(U69,"*P*"),COUNTIF(U69,"*R*")),SUBSTITUTE(U69,"R","S")&amp;Data!CJ54,IF(AND(COUNTIF(U69,"*V*"),COUNTIF(U69,"*R*")),SUBSTITUTE(U69,"R","S")&amp;Data!CJ54,U69 &amp; Data!CJ54))),SUBSTITUTE(SUBSTITUTE(SUBSTITUTE(SUBSTITUTE(SUBSTITUTE(SUBSTITUTE(SUBSTITUTE(SUBSTITUTE(SUBSTITUTE(SUBSTITUTE(IF(AND(COUNTIF(U69,"*P*"),COUNTIF(U69,"*V*")),IF(COUNTIF(U69,"*R*"),SUBSTITUTE(SUBSTITUTE(U69,"P",""),"R","S"),SUBSTITUTE(U69,"P","")),IF(AND(COUNTIF(U69,"*P*"),COUNTIF(U69,"*R*")),SUBSTITUTE(U69,"R","S"),IF(AND(COUNTIF(U69,"*V*"),COUNTIF(U69,"*R*")),SUBSTITUTE(U69,"R","S"),U69))),"0",""),"1",""),"2",""),"3",""),"4",""),"5",""),"6",""),"7",""),"8",""),"9","")&amp; Data!CJ54),""))</f>
        <v/>
      </c>
      <c r="V102" s="41" t="str">
        <f>IF(AND($Y$57=1,V69&lt;&gt;""),"O"&amp; Data!CK54,IF(V69&lt;&gt;"",IF(OR(COUNTIF(V69,"L*"),COUNTIF(V69, "X*")),IF(AND(COUNTIF(V69,"*P*"),COUNTIF(V69,"*V*")),IF(COUNTIF(V69,"*R*"),SUBSTITUTE(SUBSTITUTE(V69,"P",""),"R","S")&amp; Data!CK54,SUBSTITUTE(V69,"P","")&amp; Data!CK54),IF(AND(COUNTIF(V69,"*P*"),COUNTIF(V69,"*R*")),SUBSTITUTE(V69,"R","S")&amp;Data!CK54,IF(AND(COUNTIF(V69,"*V*"),COUNTIF(V69,"*R*")),SUBSTITUTE(V69,"R","S")&amp;Data!CK54,V69 &amp; Data!CK54))),SUBSTITUTE(SUBSTITUTE(SUBSTITUTE(SUBSTITUTE(SUBSTITUTE(SUBSTITUTE(SUBSTITUTE(SUBSTITUTE(SUBSTITUTE(SUBSTITUTE(IF(AND(COUNTIF(V69,"*P*"),COUNTIF(V69,"*V*")),IF(COUNTIF(V69,"*R*"),SUBSTITUTE(SUBSTITUTE(V69,"P",""),"R","S"),SUBSTITUTE(V69,"P","")),IF(AND(COUNTIF(V69,"*P*"),COUNTIF(V69,"*R*")),SUBSTITUTE(V69,"R","S"),IF(AND(COUNTIF(V69,"*V*"),COUNTIF(V69,"*R*")),SUBSTITUTE(V69,"R","S"),V69))),"0",""),"1",""),"2",""),"3",""),"4",""),"5",""),"6",""),"7",""),"8",""),"9","")&amp; Data!CK54),""))</f>
        <v/>
      </c>
      <c r="W102" s="41" t="str">
        <f>IF(AND($Y$57=1,W69&lt;&gt;""),"O"&amp; Data!CL54,IF(W69&lt;&gt;"",IF(OR(COUNTIF(W69,"L*"),COUNTIF(W69, "X*")),IF(AND(COUNTIF(W69,"*P*"),COUNTIF(W69,"*V*")),IF(COUNTIF(W69,"*R*"),SUBSTITUTE(SUBSTITUTE(W69,"P",""),"R","S")&amp; Data!CL54,SUBSTITUTE(W69,"P","")&amp; Data!CL54),IF(AND(COUNTIF(W69,"*P*"),COUNTIF(W69,"*R*")),SUBSTITUTE(W69,"R","S")&amp;Data!CL54,IF(AND(COUNTIF(W69,"*V*"),COUNTIF(W69,"*R*")),SUBSTITUTE(W69,"R","S")&amp;Data!CL54,W69 &amp; Data!CL54))),SUBSTITUTE(SUBSTITUTE(SUBSTITUTE(SUBSTITUTE(SUBSTITUTE(SUBSTITUTE(SUBSTITUTE(SUBSTITUTE(SUBSTITUTE(SUBSTITUTE(IF(AND(COUNTIF(W69,"*P*"),COUNTIF(W69,"*V*")),IF(COUNTIF(W69,"*R*"),SUBSTITUTE(SUBSTITUTE(W69,"P",""),"R","S"),SUBSTITUTE(W69,"P","")),IF(AND(COUNTIF(W69,"*P*"),COUNTIF(W69,"*R*")),SUBSTITUTE(W69,"R","S"),IF(AND(COUNTIF(W69,"*V*"),COUNTIF(W69,"*R*")),SUBSTITUTE(W69,"R","S"),W69))),"0",""),"1",""),"2",""),"3",""),"4",""),"5",""),"6",""),"7",""),"8",""),"9","")&amp; Data!CL54),""))</f>
        <v/>
      </c>
      <c r="X102" s="41" t="str">
        <f>IF(AND($Y$57=1,X69&lt;&gt;""),"O"&amp; Data!CM54,IF(X69&lt;&gt;"",IF(OR(COUNTIF(X69,"L*"),COUNTIF(X69, "X*")),IF(AND(COUNTIF(X69,"*P*"),COUNTIF(X69,"*V*")),IF(COUNTIF(X69,"*R*"),SUBSTITUTE(SUBSTITUTE(X69,"P",""),"R","S")&amp; Data!CM54,SUBSTITUTE(X69,"P","")&amp; Data!CM54),IF(AND(COUNTIF(X69,"*P*"),COUNTIF(X69,"*R*")),SUBSTITUTE(X69,"R","S")&amp;Data!CM54,IF(AND(COUNTIF(X69,"*V*"),COUNTIF(X69,"*R*")),SUBSTITUTE(X69,"R","S")&amp;Data!CM54,X69 &amp; Data!CM54))),SUBSTITUTE(SUBSTITUTE(SUBSTITUTE(SUBSTITUTE(SUBSTITUTE(SUBSTITUTE(SUBSTITUTE(SUBSTITUTE(SUBSTITUTE(SUBSTITUTE(IF(AND(COUNTIF(X69,"*P*"),COUNTIF(X69,"*V*")),IF(COUNTIF(X69,"*R*"),SUBSTITUTE(SUBSTITUTE(X69,"P",""),"R","S"),SUBSTITUTE(X69,"P","")),IF(AND(COUNTIF(X69,"*P*"),COUNTIF(X69,"*R*")),SUBSTITUTE(X69,"R","S"),IF(AND(COUNTIF(X69,"*V*"),COUNTIF(X69,"*R*")),SUBSTITUTE(X69,"R","S"),X69))),"0",""),"1",""),"2",""),"3",""),"4",""),"5",""),"6",""),"7",""),"8",""),"9","")&amp; Data!CM54),""))</f>
        <v/>
      </c>
      <c r="Y102" s="41" t="str">
        <f>IF(AND($Y$57=1,Y69&lt;&gt;""),"O"&amp; Data!CN54,IF(Y69&lt;&gt;"",IF(OR(COUNTIF(Y69,"L*"),COUNTIF(Y69, "X*")),IF(AND(COUNTIF(Y69,"*P*"),COUNTIF(Y69,"*V*")),IF(COUNTIF(Y69,"*R*"),SUBSTITUTE(SUBSTITUTE(Y69,"P",""),"R","S")&amp; Data!CN54,SUBSTITUTE(Y69,"P","")&amp; Data!CN54),IF(AND(COUNTIF(Y69,"*P*"),COUNTIF(Y69,"*R*")),SUBSTITUTE(Y69,"R","S")&amp;Data!CN54,IF(AND(COUNTIF(Y69,"*V*"),COUNTIF(Y69,"*R*")),SUBSTITUTE(Y69,"R","S")&amp;Data!CN54,Y69 &amp; Data!CN54))),SUBSTITUTE(SUBSTITUTE(SUBSTITUTE(SUBSTITUTE(SUBSTITUTE(SUBSTITUTE(SUBSTITUTE(SUBSTITUTE(SUBSTITUTE(SUBSTITUTE(IF(AND(COUNTIF(Y69,"*P*"),COUNTIF(Y69,"*V*")),IF(COUNTIF(Y69,"*R*"),SUBSTITUTE(SUBSTITUTE(Y69,"P",""),"R","S"),SUBSTITUTE(Y69,"P","")),IF(AND(COUNTIF(Y69,"*P*"),COUNTIF(Y69,"*R*")),SUBSTITUTE(Y69,"R","S"),IF(AND(COUNTIF(Y69,"*V*"),COUNTIF(Y69,"*R*")),SUBSTITUTE(Y69,"R","S"),Y69))),"0",""),"1",""),"2",""),"3",""),"4",""),"5",""),"6",""),"7",""),"8",""),"9","")&amp; Data!CN54),""))</f>
        <v/>
      </c>
      <c r="Z102" s="41" t="str">
        <f>IF(AND($Y$57=1,Z69&lt;&gt;""),"O"&amp; Data!CO54,IF(Z69&lt;&gt;"",IF(OR(COUNTIF(Z69,"L*"),COUNTIF(Z69, "X*")),IF(AND(COUNTIF(Z69,"*P*"),COUNTIF(Z69,"*V*")),IF(COUNTIF(Z69,"*R*"),SUBSTITUTE(SUBSTITUTE(Z69,"P",""),"R","S")&amp; Data!CO54,SUBSTITUTE(Z69,"P","")&amp; Data!CO54),IF(AND(COUNTIF(Z69,"*P*"),COUNTIF(Z69,"*R*")),SUBSTITUTE(Z69,"R","S")&amp;Data!CO54,IF(AND(COUNTIF(Z69,"*V*"),COUNTIF(Z69,"*R*")),SUBSTITUTE(Z69,"R","S")&amp;Data!CO54,Z69 &amp; Data!CO54))),SUBSTITUTE(SUBSTITUTE(SUBSTITUTE(SUBSTITUTE(SUBSTITUTE(SUBSTITUTE(SUBSTITUTE(SUBSTITUTE(SUBSTITUTE(SUBSTITUTE(IF(AND(COUNTIF(Z69,"*P*"),COUNTIF(Z69,"*V*")),IF(COUNTIF(Z69,"*R*"),SUBSTITUTE(SUBSTITUTE(Z69,"P",""),"R","S"),SUBSTITUTE(Z69,"P","")),IF(AND(COUNTIF(Z69,"*P*"),COUNTIF(Z69,"*R*")),SUBSTITUTE(Z69,"R","S"),IF(AND(COUNTIF(Z69,"*V*"),COUNTIF(Z69,"*R*")),SUBSTITUTE(Z69,"R","S"),Z69))),"0",""),"1",""),"2",""),"3",""),"4",""),"5",""),"6",""),"7",""),"8",""),"9","")&amp; Data!CO54),""))</f>
        <v/>
      </c>
      <c r="AA102" s="41" t="str">
        <f>IF(AND($Y$57=1,AA69&lt;&gt;""),"O"&amp; Data!CP54,IF(AA69&lt;&gt;"",IF(OR(COUNTIF(AA69,"L*"),COUNTIF(AA69, "X*")),IF(AND(COUNTIF(AA69,"*P*"),COUNTIF(AA69,"*V*")),IF(COUNTIF(AA69,"*R*"),SUBSTITUTE(SUBSTITUTE(AA69,"P",""),"R","S")&amp; Data!CP54,SUBSTITUTE(AA69,"P","")&amp; Data!CP54),IF(AND(COUNTIF(AA69,"*P*"),COUNTIF(AA69,"*R*")),SUBSTITUTE(AA69,"R","S")&amp;Data!CP54,IF(AND(COUNTIF(AA69,"*V*"),COUNTIF(AA69,"*R*")),SUBSTITUTE(AA69,"R","S")&amp;Data!CP54,AA69 &amp; Data!CP54))),SUBSTITUTE(SUBSTITUTE(SUBSTITUTE(SUBSTITUTE(SUBSTITUTE(SUBSTITUTE(SUBSTITUTE(SUBSTITUTE(SUBSTITUTE(SUBSTITUTE(IF(AND(COUNTIF(AA69,"*P*"),COUNTIF(AA69,"*V*")),IF(COUNTIF(AA69,"*R*"),SUBSTITUTE(SUBSTITUTE(AA69,"P",""),"R","S"),SUBSTITUTE(AA69,"P","")),IF(AND(COUNTIF(AA69,"*P*"),COUNTIF(AA69,"*R*")),SUBSTITUTE(AA69,"R","S"),IF(AND(COUNTIF(AA69,"*V*"),COUNTIF(AA69,"*R*")),SUBSTITUTE(AA69,"R","S"),AA69))),"0",""),"1",""),"2",""),"3",""),"4",""),"5",""),"6",""),"7",""),"8",""),"9","")&amp; Data!CP54),""))</f>
        <v/>
      </c>
      <c r="AB102" s="41" t="str">
        <f>IF(AND($Y$57=1,AB69&lt;&gt;""),"O"&amp; Data!CQ54,IF(AB69&lt;&gt;"",IF(OR(COUNTIF(AB69,"L*"),COUNTIF(AB69, "X*")),IF(AND(COUNTIF(AB69,"*P*"),COUNTIF(AB69,"*V*")),IF(COUNTIF(AB69,"*R*"),SUBSTITUTE(SUBSTITUTE(AB69,"P",""),"R","S")&amp; Data!CQ54,SUBSTITUTE(AB69,"P","")&amp; Data!CQ54),IF(AND(COUNTIF(AB69,"*P*"),COUNTIF(AB69,"*R*")),SUBSTITUTE(AB69,"R","S")&amp;Data!CQ54,IF(AND(COUNTIF(AB69,"*V*"),COUNTIF(AB69,"*R*")),SUBSTITUTE(AB69,"R","S")&amp;Data!CQ54,AB69 &amp; Data!CQ54))),SUBSTITUTE(SUBSTITUTE(SUBSTITUTE(SUBSTITUTE(SUBSTITUTE(SUBSTITUTE(SUBSTITUTE(SUBSTITUTE(SUBSTITUTE(SUBSTITUTE(IF(AND(COUNTIF(AB69,"*P*"),COUNTIF(AB69,"*V*")),IF(COUNTIF(AB69,"*R*"),SUBSTITUTE(SUBSTITUTE(AB69,"P",""),"R","S"),SUBSTITUTE(AB69,"P","")),IF(AND(COUNTIF(AB69,"*P*"),COUNTIF(AB69,"*R*")),SUBSTITUTE(AB69,"R","S"),IF(AND(COUNTIF(AB69,"*V*"),COUNTIF(AB69,"*R*")),SUBSTITUTE(AB69,"R","S"),AB69))),"0",""),"1",""),"2",""),"3",""),"4",""),"5",""),"6",""),"7",""),"8",""),"9","")&amp; Data!CQ54),""))</f>
        <v/>
      </c>
      <c r="AC102" s="41" t="str">
        <f>IF(AND($Y$57=1,AC69&lt;&gt;""),"O"&amp; Data!CR54,IF(AC69&lt;&gt;"",IF(OR(COUNTIF(AC69,"L*"),COUNTIF(AC69, "X*")),IF(AND(COUNTIF(AC69,"*P*"),COUNTIF(AC69,"*V*")),IF(COUNTIF(AC69,"*R*"),SUBSTITUTE(SUBSTITUTE(AC69,"P",""),"R","S")&amp; Data!CR54,SUBSTITUTE(AC69,"P","")&amp; Data!CR54),IF(AND(COUNTIF(AC69,"*P*"),COUNTIF(AC69,"*R*")),SUBSTITUTE(AC69,"R","S")&amp;Data!CR54,IF(AND(COUNTIF(AC69,"*V*"),COUNTIF(AC69,"*R*")),SUBSTITUTE(AC69,"R","S")&amp;Data!CR54,AC69 &amp; Data!CR54))),SUBSTITUTE(SUBSTITUTE(SUBSTITUTE(SUBSTITUTE(SUBSTITUTE(SUBSTITUTE(SUBSTITUTE(SUBSTITUTE(SUBSTITUTE(SUBSTITUTE(IF(AND(COUNTIF(AC69,"*P*"),COUNTIF(AC69,"*V*")),IF(COUNTIF(AC69,"*R*"),SUBSTITUTE(SUBSTITUTE(AC69,"P",""),"R","S"),SUBSTITUTE(AC69,"P","")),IF(AND(COUNTIF(AC69,"*P*"),COUNTIF(AC69,"*R*")),SUBSTITUTE(AC69,"R","S"),IF(AND(COUNTIF(AC69,"*V*"),COUNTIF(AC69,"*R*")),SUBSTITUTE(AC69,"R","S"),AC69))),"0",""),"1",""),"2",""),"3",""),"4",""),"5",""),"6",""),"7",""),"8",""),"9","")&amp; Data!CR54),""))</f>
        <v/>
      </c>
      <c r="AD102" s="41" t="str">
        <f>IF(AND($Y$57=1,AD69&lt;&gt;""),"O"&amp; Data!CS54,IF(AD69&lt;&gt;"",IF(OR(COUNTIF(AD69,"L*"),COUNTIF(AD69, "X*")),IF(AND(COUNTIF(AD69,"*P*"),COUNTIF(AD69,"*V*")),IF(COUNTIF(AD69,"*R*"),SUBSTITUTE(SUBSTITUTE(AD69,"P",""),"R","S")&amp; Data!CS54,SUBSTITUTE(AD69,"P","")&amp; Data!CS54),IF(AND(COUNTIF(AD69,"*P*"),COUNTIF(AD69,"*R*")),SUBSTITUTE(AD69,"R","S")&amp;Data!CS54,IF(AND(COUNTIF(AD69,"*V*"),COUNTIF(AD69,"*R*")),SUBSTITUTE(AD69,"R","S")&amp;Data!CS54,AD69 &amp; Data!CS54))),SUBSTITUTE(SUBSTITUTE(SUBSTITUTE(SUBSTITUTE(SUBSTITUTE(SUBSTITUTE(SUBSTITUTE(SUBSTITUTE(SUBSTITUTE(SUBSTITUTE(IF(AND(COUNTIF(AD69,"*P*"),COUNTIF(AD69,"*V*")),IF(COUNTIF(AD69,"*R*"),SUBSTITUTE(SUBSTITUTE(AD69,"P",""),"R","S"),SUBSTITUTE(AD69,"P","")),IF(AND(COUNTIF(AD69,"*P*"),COUNTIF(AD69,"*R*")),SUBSTITUTE(AD69,"R","S"),IF(AND(COUNTIF(AD69,"*V*"),COUNTIF(AD69,"*R*")),SUBSTITUTE(AD69,"R","S"),AD69))),"0",""),"1",""),"2",""),"3",""),"4",""),"5",""),"6",""),"7",""),"8",""),"9","")&amp; Data!CS54),""))</f>
        <v/>
      </c>
      <c r="AE102" s="41" t="str">
        <f>IF(AND($Y$57=1,AE69&lt;&gt;""),"O"&amp; Data!CT54,IF(AE69&lt;&gt;"",IF(OR(COUNTIF(AE69,"L*"),COUNTIF(AE69, "X*")),IF(AND(COUNTIF(AE69,"*P*"),COUNTIF(AE69,"*V*")),IF(COUNTIF(AE69,"*R*"),SUBSTITUTE(SUBSTITUTE(AE69,"P",""),"R","S")&amp; Data!CT54,SUBSTITUTE(AE69,"P","")&amp; Data!CT54),IF(AND(COUNTIF(AE69,"*P*"),COUNTIF(AE69,"*R*")),SUBSTITUTE(AE69,"R","S")&amp;Data!CT54,IF(AND(COUNTIF(AE69,"*V*"),COUNTIF(AE69,"*R*")),SUBSTITUTE(AE69,"R","S")&amp;Data!CT54,AE69 &amp; Data!CT54))),SUBSTITUTE(SUBSTITUTE(SUBSTITUTE(SUBSTITUTE(SUBSTITUTE(SUBSTITUTE(SUBSTITUTE(SUBSTITUTE(SUBSTITUTE(SUBSTITUTE(IF(AND(COUNTIF(AE69,"*P*"),COUNTIF(AE69,"*V*")),IF(COUNTIF(AE69,"*R*"),SUBSTITUTE(SUBSTITUTE(AE69,"P",""),"R","S"),SUBSTITUTE(AE69,"P","")),IF(AND(COUNTIF(AE69,"*P*"),COUNTIF(AE69,"*R*")),SUBSTITUTE(AE69,"R","S"),IF(AND(COUNTIF(AE69,"*V*"),COUNTIF(AE69,"*R*")),SUBSTITUTE(AE69,"R","S"),AE69))),"0",""),"1",""),"2",""),"3",""),"4",""),"5",""),"6",""),"7",""),"8",""),"9","")&amp; Data!CT54),""))</f>
        <v/>
      </c>
      <c r="AF102" s="41" t="str">
        <f>IF(AND($Y$57=1,AF69&lt;&gt;""),"O"&amp; Data!CU54,IF(AF69&lt;&gt;"",IF(OR(COUNTIF(AF69,"L*"),COUNTIF(AF69, "X*")),IF(AND(COUNTIF(AF69,"*P*"),COUNTIF(AF69,"*V*")),IF(COUNTIF(AF69,"*R*"),SUBSTITUTE(SUBSTITUTE(AF69,"P",""),"R","S")&amp; Data!CU54,SUBSTITUTE(AF69,"P","")&amp; Data!CU54),IF(AND(COUNTIF(AF69,"*P*"),COUNTIF(AF69,"*R*")),SUBSTITUTE(AF69,"R","S")&amp;Data!CU54,IF(AND(COUNTIF(AF69,"*V*"),COUNTIF(AF69,"*R*")),SUBSTITUTE(AF69,"R","S")&amp;Data!CU54,AF69 &amp; Data!CU54))),SUBSTITUTE(SUBSTITUTE(SUBSTITUTE(SUBSTITUTE(SUBSTITUTE(SUBSTITUTE(SUBSTITUTE(SUBSTITUTE(SUBSTITUTE(SUBSTITUTE(IF(AND(COUNTIF(AF69,"*P*"),COUNTIF(AF69,"*V*")),IF(COUNTIF(AF69,"*R*"),SUBSTITUTE(SUBSTITUTE(AF69,"P",""),"R","S"),SUBSTITUTE(AF69,"P","")),IF(AND(COUNTIF(AF69,"*P*"),COUNTIF(AF69,"*R*")),SUBSTITUTE(AF69,"R","S"),IF(AND(COUNTIF(AF69,"*V*"),COUNTIF(AF69,"*R*")),SUBSTITUTE(AF69,"R","S"),AF69))),"0",""),"1",""),"2",""),"3",""),"4",""),"5",""),"6",""),"7",""),"8",""),"9","")&amp; Data!CU54),""))</f>
        <v/>
      </c>
      <c r="AG102" s="41" t="str">
        <f>IF(AND($Y$57=1,AG69&lt;&gt;""),"O"&amp; Data!CV54,IF(AG69&lt;&gt;"",IF(OR(COUNTIF(AG69,"L*"),COUNTIF(AG69, "X*")),IF(AND(COUNTIF(AG69,"*P*"),COUNTIF(AG69,"*V*")),IF(COUNTIF(AG69,"*R*"),SUBSTITUTE(SUBSTITUTE(AG69,"P",""),"R","S")&amp; Data!CV54,SUBSTITUTE(AG69,"P","")&amp; Data!CV54),IF(AND(COUNTIF(AG69,"*P*"),COUNTIF(AG69,"*R*")),SUBSTITUTE(AG69,"R","S")&amp;Data!CV54,IF(AND(COUNTIF(AG69,"*V*"),COUNTIF(AG69,"*R*")),SUBSTITUTE(AG69,"R","S")&amp;Data!CV54,AG69 &amp; Data!CV54))),SUBSTITUTE(SUBSTITUTE(SUBSTITUTE(SUBSTITUTE(SUBSTITUTE(SUBSTITUTE(SUBSTITUTE(SUBSTITUTE(SUBSTITUTE(SUBSTITUTE(IF(AND(COUNTIF(AG69,"*P*"),COUNTIF(AG69,"*V*")),IF(COUNTIF(AG69,"*R*"),SUBSTITUTE(SUBSTITUTE(AG69,"P",""),"R","S"),SUBSTITUTE(AG69,"P","")),IF(AND(COUNTIF(AG69,"*P*"),COUNTIF(AG69,"*R*")),SUBSTITUTE(AG69,"R","S"),IF(AND(COUNTIF(AG69,"*V*"),COUNTIF(AG69,"*R*")),SUBSTITUTE(AG69,"R","S"),AG69))),"0",""),"1",""),"2",""),"3",""),"4",""),"5",""),"6",""),"7",""),"8",""),"9","")&amp; Data!CV54),""))</f>
        <v/>
      </c>
      <c r="AH102" s="41" t="str">
        <f>IF(AND($Y$57=1,AH69&lt;&gt;""),"O"&amp; Data!CW54,IF(AH69&lt;&gt;"",IF(OR(COUNTIF(AH69,"L*"),COUNTIF(AH69, "X*")),IF(AND(COUNTIF(AH69,"*P*"),COUNTIF(AH69,"*V*")),IF(COUNTIF(AH69,"*R*"),SUBSTITUTE(SUBSTITUTE(AH69,"P",""),"R","S")&amp; Data!CW54,SUBSTITUTE(AH69,"P","")&amp; Data!CW54),IF(AND(COUNTIF(AH69,"*P*"),COUNTIF(AH69,"*R*")),SUBSTITUTE(AH69,"R","S")&amp;Data!CW54,IF(AND(COUNTIF(AH69,"*V*"),COUNTIF(AH69,"*R*")),SUBSTITUTE(AH69,"R","S")&amp;Data!CW54,AH69 &amp; Data!CW54))),SUBSTITUTE(SUBSTITUTE(SUBSTITUTE(SUBSTITUTE(SUBSTITUTE(SUBSTITUTE(SUBSTITUTE(SUBSTITUTE(SUBSTITUTE(SUBSTITUTE(IF(AND(COUNTIF(AH69,"*P*"),COUNTIF(AH69,"*V*")),IF(COUNTIF(AH69,"*R*"),SUBSTITUTE(SUBSTITUTE(AH69,"P",""),"R","S"),SUBSTITUTE(AH69,"P","")),IF(AND(COUNTIF(AH69,"*P*"),COUNTIF(AH69,"*R*")),SUBSTITUTE(AH69,"R","S"),IF(AND(COUNTIF(AH69,"*V*"),COUNTIF(AH69,"*R*")),SUBSTITUTE(AH69,"R","S"),AH69))),"0",""),"1",""),"2",""),"3",""),"4",""),"5",""),"6",""),"7",""),"8",""),"9","")&amp; Data!CW54),""))</f>
        <v/>
      </c>
      <c r="AI102" s="41" t="str">
        <f>IF(AND($Y$57=1,AI69&lt;&gt;""),"O"&amp; Data!CX54,IF(AI69&lt;&gt;"",IF(OR(COUNTIF(AI69,"L*"),COUNTIF(AI69, "X*")),IF(AND(COUNTIF(AI69,"*P*"),COUNTIF(AI69,"*V*")),IF(COUNTIF(AI69,"*R*"),SUBSTITUTE(SUBSTITUTE(AI69,"P",""),"R","S")&amp; Data!CX54,SUBSTITUTE(AI69,"P","")&amp; Data!CX54),IF(AND(COUNTIF(AI69,"*P*"),COUNTIF(AI69,"*R*")),SUBSTITUTE(AI69,"R","S")&amp;Data!CX54,IF(AND(COUNTIF(AI69,"*V*"),COUNTIF(AI69,"*R*")),SUBSTITUTE(AI69,"R","S")&amp;Data!CX54,AI69 &amp; Data!CX54))),SUBSTITUTE(SUBSTITUTE(SUBSTITUTE(SUBSTITUTE(SUBSTITUTE(SUBSTITUTE(SUBSTITUTE(SUBSTITUTE(SUBSTITUTE(SUBSTITUTE(IF(AND(COUNTIF(AI69,"*P*"),COUNTIF(AI69,"*V*")),IF(COUNTIF(AI69,"*R*"),SUBSTITUTE(SUBSTITUTE(AI69,"P",""),"R","S"),SUBSTITUTE(AI69,"P","")),IF(AND(COUNTIF(AI69,"*P*"),COUNTIF(AI69,"*R*")),SUBSTITUTE(AI69,"R","S"),IF(AND(COUNTIF(AI69,"*V*"),COUNTIF(AI69,"*R*")),SUBSTITUTE(AI69,"R","S"),AI69))),"0",""),"1",""),"2",""),"3",""),"4",""),"5",""),"6",""),"7",""),"8",""),"9","")&amp; Data!CX54),""))</f>
        <v/>
      </c>
      <c r="AJ102" s="41" t="str">
        <f>IF(AND($Y$57=1,AJ69&lt;&gt;""),"O"&amp; Data!CY54,IF(AJ69&lt;&gt;"",IF(OR(COUNTIF(AJ69,"L*"),COUNTIF(AJ69, "X*")),IF(AND(COUNTIF(AJ69,"*P*"),COUNTIF(AJ69,"*V*")),IF(COUNTIF(AJ69,"*R*"),SUBSTITUTE(SUBSTITUTE(AJ69,"P",""),"R","S")&amp; Data!CY54,SUBSTITUTE(AJ69,"P","")&amp; Data!CY54),IF(AND(COUNTIF(AJ69,"*P*"),COUNTIF(AJ69,"*R*")),SUBSTITUTE(AJ69,"R","S")&amp;Data!CY54,IF(AND(COUNTIF(AJ69,"*V*"),COUNTIF(AJ69,"*R*")),SUBSTITUTE(AJ69,"R","S")&amp;Data!CY54,AJ69 &amp; Data!CY54))),SUBSTITUTE(SUBSTITUTE(SUBSTITUTE(SUBSTITUTE(SUBSTITUTE(SUBSTITUTE(SUBSTITUTE(SUBSTITUTE(SUBSTITUTE(SUBSTITUTE(IF(AND(COUNTIF(AJ69,"*P*"),COUNTIF(AJ69,"*V*")),IF(COUNTIF(AJ69,"*R*"),SUBSTITUTE(SUBSTITUTE(AJ69,"P",""),"R","S"),SUBSTITUTE(AJ69,"P","")),IF(AND(COUNTIF(AJ69,"*P*"),COUNTIF(AJ69,"*R*")),SUBSTITUTE(AJ69,"R","S"),IF(AND(COUNTIF(AJ69,"*V*"),COUNTIF(AJ69,"*R*")),SUBSTITUTE(AJ69,"R","S"),AJ69))),"0",""),"1",""),"2",""),"3",""),"4",""),"5",""),"6",""),"7",""),"8",""),"9","")&amp; Data!CY54),""))</f>
        <v/>
      </c>
      <c r="AP102" s="99" t="str">
        <f>IF(Data!CX68&gt;0,IF(Data!CX68&lt;&gt;"", Data!CX68, " ")," ")</f>
        <v xml:space="preserve"> </v>
      </c>
      <c r="AQ102" s="99" t="str">
        <f>IF(AY58+AY59+AY60+AY61=0,"",AY58+AY59+AY60+AY61)</f>
        <v/>
      </c>
      <c r="AR102" s="99" t="str">
        <f>IF(Data!GK10&gt;0,IF(Data!GK10&lt;&gt;"",Data!GK10," ")," ")</f>
        <v xml:space="preserve"> </v>
      </c>
      <c r="AS102" s="99" t="str">
        <f>IF(Data!GG10&gt;0,IF(Data!GG10&lt;&gt;"",Data!GG10," ")," ")</f>
        <v xml:space="preserve"> </v>
      </c>
      <c r="AT102" s="99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AU102" s="99" t="str">
        <f>IF(AND(Data!GR10&lt;&gt;"",Data!GR10&lt;&gt;0),Data!GR10,"")</f>
        <v/>
      </c>
      <c r="AV102" s="99" t="str">
        <f>IF(AY59+AY61=0,"",AY59+AY61)</f>
        <v/>
      </c>
      <c r="AW102" s="99" t="str">
        <f>IF(IFERROR(AQ102-AV102,AQ102)=0,"",IFERROR(AQ102-AV102,AQ102))</f>
        <v/>
      </c>
      <c r="AX102" s="100"/>
    </row>
    <row r="103" spans="1:54" ht="24" customHeight="1" thickBot="1" x14ac:dyDescent="0.4">
      <c r="A103" s="1196"/>
      <c r="B103" s="22">
        <v>10</v>
      </c>
      <c r="C103" s="41" t="str">
        <f>IF(AND($Y$57=1,C70&lt;&gt;""),"O"&amp; Data!BR55,IF(C70&lt;&gt;"",IF(OR(COUNTIF(C70,"L*"),COUNTIF(C70, "X*")),IF(AND(COUNTIF(C70,"*P*"),COUNTIF(C70,"*V*")),IF(COUNTIF(C70,"*R*"),SUBSTITUTE(SUBSTITUTE(C70,"P",""),"R","S")&amp; Data!BR55,SUBSTITUTE(C70,"P","")&amp; Data!BR55),IF(AND(COUNTIF(C70,"*P*"),COUNTIF(C70,"*R*")),SUBSTITUTE(C70,"R","S")&amp;Data!BR55,IF(AND(COUNTIF(C70,"*V*"),COUNTIF(C70,"*R*")),SUBSTITUTE(C70,"R","S")&amp;Data!BR55,C70 &amp; Data!BR55))),SUBSTITUTE(SUBSTITUTE(SUBSTITUTE(SUBSTITUTE(SUBSTITUTE(SUBSTITUTE(SUBSTITUTE(SUBSTITUTE(SUBSTITUTE(SUBSTITUTE(IF(AND(COUNTIF(C70,"*P*"),COUNTIF(C70,"*V*")),IF(COUNTIF(C70,"*R*"),SUBSTITUTE(SUBSTITUTE(C70,"P",""),"R","S"),SUBSTITUTE(C70,"P","")),IF(AND(COUNTIF(C70,"*P*"),COUNTIF(C70,"*R*")),SUBSTITUTE(C70,"R","S"),IF(AND(COUNTIF(C70,"*V*"),COUNTIF(C70,"*R*")),SUBSTITUTE(C70,"R","S"),C70))),"0",""),"1",""),"2",""),"3",""),"4",""),"5",""),"6",""),"7",""),"8",""),"9","")&amp; Data!BR55),""))</f>
        <v/>
      </c>
      <c r="D103" s="41" t="str">
        <f>IF(AND($Y$57=1,D70&lt;&gt;""),"O"&amp; Data!BS55,IF(D70&lt;&gt;"",IF(OR(COUNTIF(D70,"L*"),COUNTIF(D70, "X*")),IF(AND(COUNTIF(D70,"*P*"),COUNTIF(D70,"*V*")),IF(COUNTIF(D70,"*R*"),SUBSTITUTE(SUBSTITUTE(D70,"P",""),"R","S")&amp; Data!BS55,SUBSTITUTE(D70,"P","")&amp; Data!BS55),IF(AND(COUNTIF(D70,"*P*"),COUNTIF(D70,"*R*")),SUBSTITUTE(D70,"R","S")&amp;Data!BS55,IF(AND(COUNTIF(D70,"*V*"),COUNTIF(D70,"*R*")),SUBSTITUTE(D70,"R","S")&amp;Data!BS55,D70 &amp; Data!BS55))),SUBSTITUTE(SUBSTITUTE(SUBSTITUTE(SUBSTITUTE(SUBSTITUTE(SUBSTITUTE(SUBSTITUTE(SUBSTITUTE(SUBSTITUTE(SUBSTITUTE(IF(AND(COUNTIF(D70,"*P*"),COUNTIF(D70,"*V*")),IF(COUNTIF(D70,"*R*"),SUBSTITUTE(SUBSTITUTE(D70,"P",""),"R","S"),SUBSTITUTE(D70,"P","")),IF(AND(COUNTIF(D70,"*P*"),COUNTIF(D70,"*R*")),SUBSTITUTE(D70,"R","S"),IF(AND(COUNTIF(D70,"*V*"),COUNTIF(D70,"*R*")),SUBSTITUTE(D70,"R","S"),D70))),"0",""),"1",""),"2",""),"3",""),"4",""),"5",""),"6",""),"7",""),"8",""),"9","")&amp; Data!BS55),""))</f>
        <v/>
      </c>
      <c r="E103" s="41" t="str">
        <f>IF(AND($Y$57=1,E70&lt;&gt;""),"O"&amp; Data!BT55,IF(E70&lt;&gt;"",IF(OR(COUNTIF(E70,"L*"),COUNTIF(E70, "X*")),IF(AND(COUNTIF(E70,"*P*"),COUNTIF(E70,"*V*")),IF(COUNTIF(E70,"*R*"),SUBSTITUTE(SUBSTITUTE(E70,"P",""),"R","S")&amp; Data!BT55,SUBSTITUTE(E70,"P","")&amp; Data!BT55),IF(AND(COUNTIF(E70,"*P*"),COUNTIF(E70,"*R*")),SUBSTITUTE(E70,"R","S")&amp;Data!BT55,IF(AND(COUNTIF(E70,"*V*"),COUNTIF(E70,"*R*")),SUBSTITUTE(E70,"R","S")&amp;Data!BT55,E70 &amp; Data!BT55))),SUBSTITUTE(SUBSTITUTE(SUBSTITUTE(SUBSTITUTE(SUBSTITUTE(SUBSTITUTE(SUBSTITUTE(SUBSTITUTE(SUBSTITUTE(SUBSTITUTE(IF(AND(COUNTIF(E70,"*P*"),COUNTIF(E70,"*V*")),IF(COUNTIF(E70,"*R*"),SUBSTITUTE(SUBSTITUTE(E70,"P",""),"R","S"),SUBSTITUTE(E70,"P","")),IF(AND(COUNTIF(E70,"*P*"),COUNTIF(E70,"*R*")),SUBSTITUTE(E70,"R","S"),IF(AND(COUNTIF(E70,"*V*"),COUNTIF(E70,"*R*")),SUBSTITUTE(E70,"R","S"),E70))),"0",""),"1",""),"2",""),"3",""),"4",""),"5",""),"6",""),"7",""),"8",""),"9","")&amp; Data!BT55),""))</f>
        <v/>
      </c>
      <c r="F103" s="41" t="str">
        <f>IF(AND($Y$57=1,F70&lt;&gt;""),"O"&amp; Data!BU55,IF(F70&lt;&gt;"",IF(OR(COUNTIF(F70,"L*"),COUNTIF(F70, "X*")),IF(AND(COUNTIF(F70,"*P*"),COUNTIF(F70,"*V*")),IF(COUNTIF(F70,"*R*"),SUBSTITUTE(SUBSTITUTE(F70,"P",""),"R","S")&amp; Data!BU55,SUBSTITUTE(F70,"P","")&amp; Data!BU55),IF(AND(COUNTIF(F70,"*P*"),COUNTIF(F70,"*R*")),SUBSTITUTE(F70,"R","S")&amp;Data!BU55,IF(AND(COUNTIF(F70,"*V*"),COUNTIF(F70,"*R*")),SUBSTITUTE(F70,"R","S")&amp;Data!BU55,F70 &amp; Data!BU55))),SUBSTITUTE(SUBSTITUTE(SUBSTITUTE(SUBSTITUTE(SUBSTITUTE(SUBSTITUTE(SUBSTITUTE(SUBSTITUTE(SUBSTITUTE(SUBSTITUTE(IF(AND(COUNTIF(F70,"*P*"),COUNTIF(F70,"*V*")),IF(COUNTIF(F70,"*R*"),SUBSTITUTE(SUBSTITUTE(F70,"P",""),"R","S"),SUBSTITUTE(F70,"P","")),IF(AND(COUNTIF(F70,"*P*"),COUNTIF(F70,"*R*")),SUBSTITUTE(F70,"R","S"),IF(AND(COUNTIF(F70,"*V*"),COUNTIF(F70,"*R*")),SUBSTITUTE(F70,"R","S"),F70))),"0",""),"1",""),"2",""),"3",""),"4",""),"5",""),"6",""),"7",""),"8",""),"9","")&amp; Data!BU55),""))</f>
        <v/>
      </c>
      <c r="G103" s="41" t="str">
        <f>IF(AND($Y$57=1,G70&lt;&gt;""),"O"&amp; Data!BV55,IF(G70&lt;&gt;"",IF(OR(COUNTIF(G70,"L*"),COUNTIF(G70, "X*")),IF(AND(COUNTIF(G70,"*P*"),COUNTIF(G70,"*V*")),IF(COUNTIF(G70,"*R*"),SUBSTITUTE(SUBSTITUTE(G70,"P",""),"R","S")&amp; Data!BV55,SUBSTITUTE(G70,"P","")&amp; Data!BV55),IF(AND(COUNTIF(G70,"*P*"),COUNTIF(G70,"*R*")),SUBSTITUTE(G70,"R","S")&amp;Data!BV55,IF(AND(COUNTIF(G70,"*V*"),COUNTIF(G70,"*R*")),SUBSTITUTE(G70,"R","S")&amp;Data!BV55,G70 &amp; Data!BV55))),SUBSTITUTE(SUBSTITUTE(SUBSTITUTE(SUBSTITUTE(SUBSTITUTE(SUBSTITUTE(SUBSTITUTE(SUBSTITUTE(SUBSTITUTE(SUBSTITUTE(IF(AND(COUNTIF(G70,"*P*"),COUNTIF(G70,"*V*")),IF(COUNTIF(G70,"*R*"),SUBSTITUTE(SUBSTITUTE(G70,"P",""),"R","S"),SUBSTITUTE(G70,"P","")),IF(AND(COUNTIF(G70,"*P*"),COUNTIF(G70,"*R*")),SUBSTITUTE(G70,"R","S"),IF(AND(COUNTIF(G70,"*V*"),COUNTIF(G70,"*R*")),SUBSTITUTE(G70,"R","S"),G70))),"0",""),"1",""),"2",""),"3",""),"4",""),"5",""),"6",""),"7",""),"8",""),"9","")&amp; Data!BV55),""))</f>
        <v/>
      </c>
      <c r="H103" s="41" t="str">
        <f>IF(AND($Y$57=1,H70&lt;&gt;""),"O"&amp; Data!BW55,IF(H70&lt;&gt;"",IF(OR(COUNTIF(H70,"L*"),COUNTIF(H70, "X*")),IF(AND(COUNTIF(H70,"*P*"),COUNTIF(H70,"*V*")),IF(COUNTIF(H70,"*R*"),SUBSTITUTE(SUBSTITUTE(H70,"P",""),"R","S")&amp; Data!BW55,SUBSTITUTE(H70,"P","")&amp; Data!BW55),IF(AND(COUNTIF(H70,"*P*"),COUNTIF(H70,"*R*")),SUBSTITUTE(H70,"R","S")&amp;Data!BW55,IF(AND(COUNTIF(H70,"*V*"),COUNTIF(H70,"*R*")),SUBSTITUTE(H70,"R","S")&amp;Data!BW55,H70 &amp; Data!BW55))),SUBSTITUTE(SUBSTITUTE(SUBSTITUTE(SUBSTITUTE(SUBSTITUTE(SUBSTITUTE(SUBSTITUTE(SUBSTITUTE(SUBSTITUTE(SUBSTITUTE(IF(AND(COUNTIF(H70,"*P*"),COUNTIF(H70,"*V*")),IF(COUNTIF(H70,"*R*"),SUBSTITUTE(SUBSTITUTE(H70,"P",""),"R","S"),SUBSTITUTE(H70,"P","")),IF(AND(COUNTIF(H70,"*P*"),COUNTIF(H70,"*R*")),SUBSTITUTE(H70,"R","S"),IF(AND(COUNTIF(H70,"*V*"),COUNTIF(H70,"*R*")),SUBSTITUTE(H70,"R","S"),H70))),"0",""),"1",""),"2",""),"3",""),"4",""),"5",""),"6",""),"7",""),"8",""),"9","")&amp; Data!BW55),""))</f>
        <v/>
      </c>
      <c r="I103" s="41" t="str">
        <f>IF(AND($Y$57=1,I70&lt;&gt;""),"O"&amp; Data!BX55,IF(I70&lt;&gt;"",IF(OR(COUNTIF(I70,"L*"),COUNTIF(I70, "X*")),IF(AND(COUNTIF(I70,"*P*"),COUNTIF(I70,"*V*")),IF(COUNTIF(I70,"*R*"),SUBSTITUTE(SUBSTITUTE(I70,"P",""),"R","S")&amp; Data!BX55,SUBSTITUTE(I70,"P","")&amp; Data!BX55),IF(AND(COUNTIF(I70,"*P*"),COUNTIF(I70,"*R*")),SUBSTITUTE(I70,"R","S")&amp;Data!BX55,IF(AND(COUNTIF(I70,"*V*"),COUNTIF(I70,"*R*")),SUBSTITUTE(I70,"R","S")&amp;Data!BX55,I70 &amp; Data!BX55))),SUBSTITUTE(SUBSTITUTE(SUBSTITUTE(SUBSTITUTE(SUBSTITUTE(SUBSTITUTE(SUBSTITUTE(SUBSTITUTE(SUBSTITUTE(SUBSTITUTE(IF(AND(COUNTIF(I70,"*P*"),COUNTIF(I70,"*V*")),IF(COUNTIF(I70,"*R*"),SUBSTITUTE(SUBSTITUTE(I70,"P",""),"R","S"),SUBSTITUTE(I70,"P","")),IF(AND(COUNTIF(I70,"*P*"),COUNTIF(I70,"*R*")),SUBSTITUTE(I70,"R","S"),IF(AND(COUNTIF(I70,"*V*"),COUNTIF(I70,"*R*")),SUBSTITUTE(I70,"R","S"),I70))),"0",""),"1",""),"2",""),"3",""),"4",""),"5",""),"6",""),"7",""),"8",""),"9","")&amp; Data!BX55),""))</f>
        <v/>
      </c>
      <c r="J103" s="41" t="str">
        <f>IF(AND($Y$57=1,J70&lt;&gt;""),"O"&amp; Data!BY55,IF(J70&lt;&gt;"",IF(OR(COUNTIF(J70,"L*"),COUNTIF(J70, "X*")),IF(AND(COUNTIF(J70,"*P*"),COUNTIF(J70,"*V*")),IF(COUNTIF(J70,"*R*"),SUBSTITUTE(SUBSTITUTE(J70,"P",""),"R","S")&amp; Data!BY55,SUBSTITUTE(J70,"P","")&amp; Data!BY55),IF(AND(COUNTIF(J70,"*P*"),COUNTIF(J70,"*R*")),SUBSTITUTE(J70,"R","S")&amp;Data!BY55,IF(AND(COUNTIF(J70,"*V*"),COUNTIF(J70,"*R*")),SUBSTITUTE(J70,"R","S")&amp;Data!BY55,J70 &amp; Data!BY55))),SUBSTITUTE(SUBSTITUTE(SUBSTITUTE(SUBSTITUTE(SUBSTITUTE(SUBSTITUTE(SUBSTITUTE(SUBSTITUTE(SUBSTITUTE(SUBSTITUTE(IF(AND(COUNTIF(J70,"*P*"),COUNTIF(J70,"*V*")),IF(COUNTIF(J70,"*R*"),SUBSTITUTE(SUBSTITUTE(J70,"P",""),"R","S"),SUBSTITUTE(J70,"P","")),IF(AND(COUNTIF(J70,"*P*"),COUNTIF(J70,"*R*")),SUBSTITUTE(J70,"R","S"),IF(AND(COUNTIF(J70,"*V*"),COUNTIF(J70,"*R*")),SUBSTITUTE(J70,"R","S"),J70))),"0",""),"1",""),"2",""),"3",""),"4",""),"5",""),"6",""),"7",""),"8",""),"9","")&amp; Data!BY55),""))</f>
        <v/>
      </c>
      <c r="K103" s="41" t="str">
        <f>IF(AND($Y$57=1,K70&lt;&gt;""),"O"&amp; Data!BZ55,IF(K70&lt;&gt;"",IF(OR(COUNTIF(K70,"L*"),COUNTIF(K70, "X*")),IF(AND(COUNTIF(K70,"*P*"),COUNTIF(K70,"*V*")),IF(COUNTIF(K70,"*R*"),SUBSTITUTE(SUBSTITUTE(K70,"P",""),"R","S")&amp; Data!BZ55,SUBSTITUTE(K70,"P","")&amp; Data!BZ55),IF(AND(COUNTIF(K70,"*P*"),COUNTIF(K70,"*R*")),SUBSTITUTE(K70,"R","S")&amp;Data!BZ55,IF(AND(COUNTIF(K70,"*V*"),COUNTIF(K70,"*R*")),SUBSTITUTE(K70,"R","S")&amp;Data!BZ55,K70 &amp; Data!BZ55))),SUBSTITUTE(SUBSTITUTE(SUBSTITUTE(SUBSTITUTE(SUBSTITUTE(SUBSTITUTE(SUBSTITUTE(SUBSTITUTE(SUBSTITUTE(SUBSTITUTE(IF(AND(COUNTIF(K70,"*P*"),COUNTIF(K70,"*V*")),IF(COUNTIF(K70,"*R*"),SUBSTITUTE(SUBSTITUTE(K70,"P",""),"R","S"),SUBSTITUTE(K70,"P","")),IF(AND(COUNTIF(K70,"*P*"),COUNTIF(K70,"*R*")),SUBSTITUTE(K70,"R","S"),IF(AND(COUNTIF(K70,"*V*"),COUNTIF(K70,"*R*")),SUBSTITUTE(K70,"R","S"),K70))),"0",""),"1",""),"2",""),"3",""),"4",""),"5",""),"6",""),"7",""),"8",""),"9","")&amp; Data!BZ55),""))</f>
        <v/>
      </c>
      <c r="L103" s="41" t="str">
        <f>IF(AND($Y$57=1,L70&lt;&gt;""),"O"&amp; Data!CA55,IF(L70&lt;&gt;"",IF(OR(COUNTIF(L70,"L*"),COUNTIF(L70, "X*")),IF(AND(COUNTIF(L70,"*P*"),COUNTIF(L70,"*V*")),IF(COUNTIF(L70,"*R*"),SUBSTITUTE(SUBSTITUTE(L70,"P",""),"R","S")&amp; Data!CA55,SUBSTITUTE(L70,"P","")&amp; Data!CA55),IF(AND(COUNTIF(L70,"*P*"),COUNTIF(L70,"*R*")),SUBSTITUTE(L70,"R","S")&amp;Data!CA55,IF(AND(COUNTIF(L70,"*V*"),COUNTIF(L70,"*R*")),SUBSTITUTE(L70,"R","S")&amp;Data!CA55,L70 &amp; Data!CA55))),SUBSTITUTE(SUBSTITUTE(SUBSTITUTE(SUBSTITUTE(SUBSTITUTE(SUBSTITUTE(SUBSTITUTE(SUBSTITUTE(SUBSTITUTE(SUBSTITUTE(IF(AND(COUNTIF(L70,"*P*"),COUNTIF(L70,"*V*")),IF(COUNTIF(L70,"*R*"),SUBSTITUTE(SUBSTITUTE(L70,"P",""),"R","S"),SUBSTITUTE(L70,"P","")),IF(AND(COUNTIF(L70,"*P*"),COUNTIF(L70,"*R*")),SUBSTITUTE(L70,"R","S"),IF(AND(COUNTIF(L70,"*V*"),COUNTIF(L70,"*R*")),SUBSTITUTE(L70,"R","S"),L70))),"0",""),"1",""),"2",""),"3",""),"4",""),"5",""),"6",""),"7",""),"8",""),"9","")&amp; Data!CA55),""))</f>
        <v/>
      </c>
      <c r="M103" s="41" t="str">
        <f>IF(AND($Y$57=1,M70&lt;&gt;""),"O"&amp; Data!CB55,IF(M70&lt;&gt;"",IF(OR(COUNTIF(M70,"L*"),COUNTIF(M70, "X*")),IF(AND(COUNTIF(M70,"*P*"),COUNTIF(M70,"*V*")),IF(COUNTIF(M70,"*R*"),SUBSTITUTE(SUBSTITUTE(M70,"P",""),"R","S")&amp; Data!CB55,SUBSTITUTE(M70,"P","")&amp; Data!CB55),IF(AND(COUNTIF(M70,"*P*"),COUNTIF(M70,"*R*")),SUBSTITUTE(M70,"R","S")&amp;Data!CB55,IF(AND(COUNTIF(M70,"*V*"),COUNTIF(M70,"*R*")),SUBSTITUTE(M70,"R","S")&amp;Data!CB55,M70 &amp; Data!CB55))),SUBSTITUTE(SUBSTITUTE(SUBSTITUTE(SUBSTITUTE(SUBSTITUTE(SUBSTITUTE(SUBSTITUTE(SUBSTITUTE(SUBSTITUTE(SUBSTITUTE(IF(AND(COUNTIF(M70,"*P*"),COUNTIF(M70,"*V*")),IF(COUNTIF(M70,"*R*"),SUBSTITUTE(SUBSTITUTE(M70,"P",""),"R","S"),SUBSTITUTE(M70,"P","")),IF(AND(COUNTIF(M70,"*P*"),COUNTIF(M70,"*R*")),SUBSTITUTE(M70,"R","S"),IF(AND(COUNTIF(M70,"*V*"),COUNTIF(M70,"*R*")),SUBSTITUTE(M70,"R","S"),M70))),"0",""),"1",""),"2",""),"3",""),"4",""),"5",""),"6",""),"7",""),"8",""),"9","")&amp; Data!CB55),""))</f>
        <v/>
      </c>
      <c r="N103" s="41" t="str">
        <f>IF(AND($Y$57=1,N70&lt;&gt;""),"O"&amp; Data!CC55,IF(N70&lt;&gt;"",IF(OR(COUNTIF(N70,"L*"),COUNTIF(N70, "X*")),IF(AND(COUNTIF(N70,"*P*"),COUNTIF(N70,"*V*")),IF(COUNTIF(N70,"*R*"),SUBSTITUTE(SUBSTITUTE(N70,"P",""),"R","S")&amp; Data!CC55,SUBSTITUTE(N70,"P","")&amp; Data!CC55),IF(AND(COUNTIF(N70,"*P*"),COUNTIF(N70,"*R*")),SUBSTITUTE(N70,"R","S")&amp;Data!CC55,IF(AND(COUNTIF(N70,"*V*"),COUNTIF(N70,"*R*")),SUBSTITUTE(N70,"R","S")&amp;Data!CC55,N70 &amp; Data!CC55))),SUBSTITUTE(SUBSTITUTE(SUBSTITUTE(SUBSTITUTE(SUBSTITUTE(SUBSTITUTE(SUBSTITUTE(SUBSTITUTE(SUBSTITUTE(SUBSTITUTE(IF(AND(COUNTIF(N70,"*P*"),COUNTIF(N70,"*V*")),IF(COUNTIF(N70,"*R*"),SUBSTITUTE(SUBSTITUTE(N70,"P",""),"R","S"),SUBSTITUTE(N70,"P","")),IF(AND(COUNTIF(N70,"*P*"),COUNTIF(N70,"*R*")),SUBSTITUTE(N70,"R","S"),IF(AND(COUNTIF(N70,"*V*"),COUNTIF(N70,"*R*")),SUBSTITUTE(N70,"R","S"),N70))),"0",""),"1",""),"2",""),"3",""),"4",""),"5",""),"6",""),"7",""),"8",""),"9","")&amp; Data!CC55),""))</f>
        <v/>
      </c>
      <c r="O103" s="41" t="str">
        <f>IF(AND($Y$57=1,O70&lt;&gt;""),"O"&amp; Data!CD55,IF(O70&lt;&gt;"",IF(OR(COUNTIF(O70,"L*"),COUNTIF(O70, "X*")),IF(AND(COUNTIF(O70,"*P*"),COUNTIF(O70,"*V*")),IF(COUNTIF(O70,"*R*"),SUBSTITUTE(SUBSTITUTE(O70,"P",""),"R","S")&amp; Data!CD55,SUBSTITUTE(O70,"P","")&amp; Data!CD55),IF(AND(COUNTIF(O70,"*P*"),COUNTIF(O70,"*R*")),SUBSTITUTE(O70,"R","S")&amp;Data!CD55,IF(AND(COUNTIF(O70,"*V*"),COUNTIF(O70,"*R*")),SUBSTITUTE(O70,"R","S")&amp;Data!CD55,O70 &amp; Data!CD55))),SUBSTITUTE(SUBSTITUTE(SUBSTITUTE(SUBSTITUTE(SUBSTITUTE(SUBSTITUTE(SUBSTITUTE(SUBSTITUTE(SUBSTITUTE(SUBSTITUTE(IF(AND(COUNTIF(O70,"*P*"),COUNTIF(O70,"*V*")),IF(COUNTIF(O70,"*R*"),SUBSTITUTE(SUBSTITUTE(O70,"P",""),"R","S"),SUBSTITUTE(O70,"P","")),IF(AND(COUNTIF(O70,"*P*"),COUNTIF(O70,"*R*")),SUBSTITUTE(O70,"R","S"),IF(AND(COUNTIF(O70,"*V*"),COUNTIF(O70,"*R*")),SUBSTITUTE(O70,"R","S"),O70))),"0",""),"1",""),"2",""),"3",""),"4",""),"5",""),"6",""),"7",""),"8",""),"9","")&amp; Data!CD55),""))</f>
        <v/>
      </c>
      <c r="P103" s="41" t="str">
        <f>IF(AND($Y$57=1,P70&lt;&gt;""),"O"&amp; Data!CE55,IF(P70&lt;&gt;"",IF(OR(COUNTIF(P70,"L*"),COUNTIF(P70, "X*")),IF(AND(COUNTIF(P70,"*P*"),COUNTIF(P70,"*V*")),IF(COUNTIF(P70,"*R*"),SUBSTITUTE(SUBSTITUTE(P70,"P",""),"R","S")&amp; Data!CE55,SUBSTITUTE(P70,"P","")&amp; Data!CE55),IF(AND(COUNTIF(P70,"*P*"),COUNTIF(P70,"*R*")),SUBSTITUTE(P70,"R","S")&amp;Data!CE55,IF(AND(COUNTIF(P70,"*V*"),COUNTIF(P70,"*R*")),SUBSTITUTE(P70,"R","S")&amp;Data!CE55,P70 &amp; Data!CE55))),SUBSTITUTE(SUBSTITUTE(SUBSTITUTE(SUBSTITUTE(SUBSTITUTE(SUBSTITUTE(SUBSTITUTE(SUBSTITUTE(SUBSTITUTE(SUBSTITUTE(IF(AND(COUNTIF(P70,"*P*"),COUNTIF(P70,"*V*")),IF(COUNTIF(P70,"*R*"),SUBSTITUTE(SUBSTITUTE(P70,"P",""),"R","S"),SUBSTITUTE(P70,"P","")),IF(AND(COUNTIF(P70,"*P*"),COUNTIF(P70,"*R*")),SUBSTITUTE(P70,"R","S"),IF(AND(COUNTIF(P70,"*V*"),COUNTIF(P70,"*R*")),SUBSTITUTE(P70,"R","S"),P70))),"0",""),"1",""),"2",""),"3",""),"4",""),"5",""),"6",""),"7",""),"8",""),"9","")&amp; Data!CE55),""))</f>
        <v/>
      </c>
      <c r="Q103" s="41" t="str">
        <f>IF(AND($Y$57=1,Q70&lt;&gt;""),"O"&amp; Data!CF55,IF(Q70&lt;&gt;"",IF(OR(COUNTIF(Q70,"L*"),COUNTIF(Q70, "X*")),IF(AND(COUNTIF(Q70,"*P*"),COUNTIF(Q70,"*V*")),IF(COUNTIF(Q70,"*R*"),SUBSTITUTE(SUBSTITUTE(Q70,"P",""),"R","S")&amp; Data!CF55,SUBSTITUTE(Q70,"P","")&amp; Data!CF55),IF(AND(COUNTIF(Q70,"*P*"),COUNTIF(Q70,"*R*")),SUBSTITUTE(Q70,"R","S")&amp;Data!CF55,IF(AND(COUNTIF(Q70,"*V*"),COUNTIF(Q70,"*R*")),SUBSTITUTE(Q70,"R","S")&amp;Data!CF55,Q70 &amp; Data!CF55))),SUBSTITUTE(SUBSTITUTE(SUBSTITUTE(SUBSTITUTE(SUBSTITUTE(SUBSTITUTE(SUBSTITUTE(SUBSTITUTE(SUBSTITUTE(SUBSTITUTE(IF(AND(COUNTIF(Q70,"*P*"),COUNTIF(Q70,"*V*")),IF(COUNTIF(Q70,"*R*"),SUBSTITUTE(SUBSTITUTE(Q70,"P",""),"R","S"),SUBSTITUTE(Q70,"P","")),IF(AND(COUNTIF(Q70,"*P*"),COUNTIF(Q70,"*R*")),SUBSTITUTE(Q70,"R","S"),IF(AND(COUNTIF(Q70,"*V*"),COUNTIF(Q70,"*R*")),SUBSTITUTE(Q70,"R","S"),Q70))),"0",""),"1",""),"2",""),"3",""),"4",""),"5",""),"6",""),"7",""),"8",""),"9","")&amp; Data!CF55),""))</f>
        <v/>
      </c>
      <c r="R103" s="41" t="str">
        <f>IF(AND($Y$57=1,R70&lt;&gt;""),"O"&amp; Data!CG55,IF(R70&lt;&gt;"",IF(OR(COUNTIF(R70,"L*"),COUNTIF(R70, "X*")),IF(AND(COUNTIF(R70,"*P*"),COUNTIF(R70,"*V*")),IF(COUNTIF(R70,"*R*"),SUBSTITUTE(SUBSTITUTE(R70,"P",""),"R","S")&amp; Data!CG55,SUBSTITUTE(R70,"P","")&amp; Data!CG55),IF(AND(COUNTIF(R70,"*P*"),COUNTIF(R70,"*R*")),SUBSTITUTE(R70,"R","S")&amp;Data!CG55,IF(AND(COUNTIF(R70,"*V*"),COUNTIF(R70,"*R*")),SUBSTITUTE(R70,"R","S")&amp;Data!CG55,R70 &amp; Data!CG55))),SUBSTITUTE(SUBSTITUTE(SUBSTITUTE(SUBSTITUTE(SUBSTITUTE(SUBSTITUTE(SUBSTITUTE(SUBSTITUTE(SUBSTITUTE(SUBSTITUTE(IF(AND(COUNTIF(R70,"*P*"),COUNTIF(R70,"*V*")),IF(COUNTIF(R70,"*R*"),SUBSTITUTE(SUBSTITUTE(R70,"P",""),"R","S"),SUBSTITUTE(R70,"P","")),IF(AND(COUNTIF(R70,"*P*"),COUNTIF(R70,"*R*")),SUBSTITUTE(R70,"R","S"),IF(AND(COUNTIF(R70,"*V*"),COUNTIF(R70,"*R*")),SUBSTITUTE(R70,"R","S"),R70))),"0",""),"1",""),"2",""),"3",""),"4",""),"5",""),"6",""),"7",""),"8",""),"9","")&amp; Data!CG55),""))</f>
        <v/>
      </c>
      <c r="S103" s="41" t="str">
        <f>IF(AND($Y$57=1,S70&lt;&gt;""),"O"&amp; Data!CH55,IF(S70&lt;&gt;"",IF(OR(COUNTIF(S70,"L*"),COUNTIF(S70, "X*")),IF(AND(COUNTIF(S70,"*P*"),COUNTIF(S70,"*V*")),IF(COUNTIF(S70,"*R*"),SUBSTITUTE(SUBSTITUTE(S70,"P",""),"R","S")&amp; Data!CH55,SUBSTITUTE(S70,"P","")&amp; Data!CH55),IF(AND(COUNTIF(S70,"*P*"),COUNTIF(S70,"*R*")),SUBSTITUTE(S70,"R","S")&amp;Data!CH55,IF(AND(COUNTIF(S70,"*V*"),COUNTIF(S70,"*R*")),SUBSTITUTE(S70,"R","S")&amp;Data!CH55,S70 &amp; Data!CH55))),SUBSTITUTE(SUBSTITUTE(SUBSTITUTE(SUBSTITUTE(SUBSTITUTE(SUBSTITUTE(SUBSTITUTE(SUBSTITUTE(SUBSTITUTE(SUBSTITUTE(IF(AND(COUNTIF(S70,"*P*"),COUNTIF(S70,"*V*")),IF(COUNTIF(S70,"*R*"),SUBSTITUTE(SUBSTITUTE(S70,"P",""),"R","S"),SUBSTITUTE(S70,"P","")),IF(AND(COUNTIF(S70,"*P*"),COUNTIF(S70,"*R*")),SUBSTITUTE(S70,"R","S"),IF(AND(COUNTIF(S70,"*V*"),COUNTIF(S70,"*R*")),SUBSTITUTE(S70,"R","S"),S70))),"0",""),"1",""),"2",""),"3",""),"4",""),"5",""),"6",""),"7",""),"8",""),"9","")&amp; Data!CH55),""))</f>
        <v/>
      </c>
      <c r="T103" s="41" t="str">
        <f>IF(AND($Y$57=1,T70&lt;&gt;""),"O"&amp; Data!CI55,IF(T70&lt;&gt;"",IF(OR(COUNTIF(T70,"L*"),COUNTIF(T70, "X*")),IF(AND(COUNTIF(T70,"*P*"),COUNTIF(T70,"*V*")),IF(COUNTIF(T70,"*R*"),SUBSTITUTE(SUBSTITUTE(T70,"P",""),"R","S")&amp; Data!CI55,SUBSTITUTE(T70,"P","")&amp; Data!CI55),IF(AND(COUNTIF(T70,"*P*"),COUNTIF(T70,"*R*")),SUBSTITUTE(T70,"R","S")&amp;Data!CI55,IF(AND(COUNTIF(T70,"*V*"),COUNTIF(T70,"*R*")),SUBSTITUTE(T70,"R","S")&amp;Data!CI55,T70 &amp; Data!CI55))),SUBSTITUTE(SUBSTITUTE(SUBSTITUTE(SUBSTITUTE(SUBSTITUTE(SUBSTITUTE(SUBSTITUTE(SUBSTITUTE(SUBSTITUTE(SUBSTITUTE(IF(AND(COUNTIF(T70,"*P*"),COUNTIF(T70,"*V*")),IF(COUNTIF(T70,"*R*"),SUBSTITUTE(SUBSTITUTE(T70,"P",""),"R","S"),SUBSTITUTE(T70,"P","")),IF(AND(COUNTIF(T70,"*P*"),COUNTIF(T70,"*R*")),SUBSTITUTE(T70,"R","S"),IF(AND(COUNTIF(T70,"*V*"),COUNTIF(T70,"*R*")),SUBSTITUTE(T70,"R","S"),T70))),"0",""),"1",""),"2",""),"3",""),"4",""),"5",""),"6",""),"7",""),"8",""),"9","")&amp; Data!CI55),""))</f>
        <v/>
      </c>
      <c r="U103" s="41" t="str">
        <f>IF(AND($Y$57=1,U70&lt;&gt;""),"O"&amp; Data!CJ55,IF(U70&lt;&gt;"",IF(OR(COUNTIF(U70,"L*"),COUNTIF(U70, "X*")),IF(AND(COUNTIF(U70,"*P*"),COUNTIF(U70,"*V*")),IF(COUNTIF(U70,"*R*"),SUBSTITUTE(SUBSTITUTE(U70,"P",""),"R","S")&amp; Data!CJ55,SUBSTITUTE(U70,"P","")&amp; Data!CJ55),IF(AND(COUNTIF(U70,"*P*"),COUNTIF(U70,"*R*")),SUBSTITUTE(U70,"R","S")&amp;Data!CJ55,IF(AND(COUNTIF(U70,"*V*"),COUNTIF(U70,"*R*")),SUBSTITUTE(U70,"R","S")&amp;Data!CJ55,U70 &amp; Data!CJ55))),SUBSTITUTE(SUBSTITUTE(SUBSTITUTE(SUBSTITUTE(SUBSTITUTE(SUBSTITUTE(SUBSTITUTE(SUBSTITUTE(SUBSTITUTE(SUBSTITUTE(IF(AND(COUNTIF(U70,"*P*"),COUNTIF(U70,"*V*")),IF(COUNTIF(U70,"*R*"),SUBSTITUTE(SUBSTITUTE(U70,"P",""),"R","S"),SUBSTITUTE(U70,"P","")),IF(AND(COUNTIF(U70,"*P*"),COUNTIF(U70,"*R*")),SUBSTITUTE(U70,"R","S"),IF(AND(COUNTIF(U70,"*V*"),COUNTIF(U70,"*R*")),SUBSTITUTE(U70,"R","S"),U70))),"0",""),"1",""),"2",""),"3",""),"4",""),"5",""),"6",""),"7",""),"8",""),"9","")&amp; Data!CJ55),""))</f>
        <v/>
      </c>
      <c r="V103" s="41" t="str">
        <f>IF(AND($Y$57=1,V70&lt;&gt;""),"O"&amp; Data!CK55,IF(V70&lt;&gt;"",IF(OR(COUNTIF(V70,"L*"),COUNTIF(V70, "X*")),IF(AND(COUNTIF(V70,"*P*"),COUNTIF(V70,"*V*")),IF(COUNTIF(V70,"*R*"),SUBSTITUTE(SUBSTITUTE(V70,"P",""),"R","S")&amp; Data!CK55,SUBSTITUTE(V70,"P","")&amp; Data!CK55),IF(AND(COUNTIF(V70,"*P*"),COUNTIF(V70,"*R*")),SUBSTITUTE(V70,"R","S")&amp;Data!CK55,IF(AND(COUNTIF(V70,"*V*"),COUNTIF(V70,"*R*")),SUBSTITUTE(V70,"R","S")&amp;Data!CK55,V70 &amp; Data!CK55))),SUBSTITUTE(SUBSTITUTE(SUBSTITUTE(SUBSTITUTE(SUBSTITUTE(SUBSTITUTE(SUBSTITUTE(SUBSTITUTE(SUBSTITUTE(SUBSTITUTE(IF(AND(COUNTIF(V70,"*P*"),COUNTIF(V70,"*V*")),IF(COUNTIF(V70,"*R*"),SUBSTITUTE(SUBSTITUTE(V70,"P",""),"R","S"),SUBSTITUTE(V70,"P","")),IF(AND(COUNTIF(V70,"*P*"),COUNTIF(V70,"*R*")),SUBSTITUTE(V70,"R","S"),IF(AND(COUNTIF(V70,"*V*"),COUNTIF(V70,"*R*")),SUBSTITUTE(V70,"R","S"),V70))),"0",""),"1",""),"2",""),"3",""),"4",""),"5",""),"6",""),"7",""),"8",""),"9","")&amp; Data!CK55),""))</f>
        <v/>
      </c>
      <c r="W103" s="41" t="str">
        <f>IF(AND($Y$57=1,W70&lt;&gt;""),"O"&amp; Data!CL55,IF(W70&lt;&gt;"",IF(OR(COUNTIF(W70,"L*"),COUNTIF(W70, "X*")),IF(AND(COUNTIF(W70,"*P*"),COUNTIF(W70,"*V*")),IF(COUNTIF(W70,"*R*"),SUBSTITUTE(SUBSTITUTE(W70,"P",""),"R","S")&amp; Data!CL55,SUBSTITUTE(W70,"P","")&amp; Data!CL55),IF(AND(COUNTIF(W70,"*P*"),COUNTIF(W70,"*R*")),SUBSTITUTE(W70,"R","S")&amp;Data!CL55,IF(AND(COUNTIF(W70,"*V*"),COUNTIF(W70,"*R*")),SUBSTITUTE(W70,"R","S")&amp;Data!CL55,W70 &amp; Data!CL55))),SUBSTITUTE(SUBSTITUTE(SUBSTITUTE(SUBSTITUTE(SUBSTITUTE(SUBSTITUTE(SUBSTITUTE(SUBSTITUTE(SUBSTITUTE(SUBSTITUTE(IF(AND(COUNTIF(W70,"*P*"),COUNTIF(W70,"*V*")),IF(COUNTIF(W70,"*R*"),SUBSTITUTE(SUBSTITUTE(W70,"P",""),"R","S"),SUBSTITUTE(W70,"P","")),IF(AND(COUNTIF(W70,"*P*"),COUNTIF(W70,"*R*")),SUBSTITUTE(W70,"R","S"),IF(AND(COUNTIF(W70,"*V*"),COUNTIF(W70,"*R*")),SUBSTITUTE(W70,"R","S"),W70))),"0",""),"1",""),"2",""),"3",""),"4",""),"5",""),"6",""),"7",""),"8",""),"9","")&amp; Data!CL55),""))</f>
        <v/>
      </c>
      <c r="X103" s="41" t="str">
        <f>IF(AND($Y$57=1,X70&lt;&gt;""),"O"&amp; Data!CM55,IF(X70&lt;&gt;"",IF(OR(COUNTIF(X70,"L*"),COUNTIF(X70, "X*")),IF(AND(COUNTIF(X70,"*P*"),COUNTIF(X70,"*V*")),IF(COUNTIF(X70,"*R*"),SUBSTITUTE(SUBSTITUTE(X70,"P",""),"R","S")&amp; Data!CM55,SUBSTITUTE(X70,"P","")&amp; Data!CM55),IF(AND(COUNTIF(X70,"*P*"),COUNTIF(X70,"*R*")),SUBSTITUTE(X70,"R","S")&amp;Data!CM55,IF(AND(COUNTIF(X70,"*V*"),COUNTIF(X70,"*R*")),SUBSTITUTE(X70,"R","S")&amp;Data!CM55,X70 &amp; Data!CM55))),SUBSTITUTE(SUBSTITUTE(SUBSTITUTE(SUBSTITUTE(SUBSTITUTE(SUBSTITUTE(SUBSTITUTE(SUBSTITUTE(SUBSTITUTE(SUBSTITUTE(IF(AND(COUNTIF(X70,"*P*"),COUNTIF(X70,"*V*")),IF(COUNTIF(X70,"*R*"),SUBSTITUTE(SUBSTITUTE(X70,"P",""),"R","S"),SUBSTITUTE(X70,"P","")),IF(AND(COUNTIF(X70,"*P*"),COUNTIF(X70,"*R*")),SUBSTITUTE(X70,"R","S"),IF(AND(COUNTIF(X70,"*V*"),COUNTIF(X70,"*R*")),SUBSTITUTE(X70,"R","S"),X70))),"0",""),"1",""),"2",""),"3",""),"4",""),"5",""),"6",""),"7",""),"8",""),"9","")&amp; Data!CM55),""))</f>
        <v/>
      </c>
      <c r="Y103" s="41" t="str">
        <f>IF(AND($Y$57=1,Y70&lt;&gt;""),"O"&amp; Data!CN55,IF(Y70&lt;&gt;"",IF(OR(COUNTIF(Y70,"L*"),COUNTIF(Y70, "X*")),IF(AND(COUNTIF(Y70,"*P*"),COUNTIF(Y70,"*V*")),IF(COUNTIF(Y70,"*R*"),SUBSTITUTE(SUBSTITUTE(Y70,"P",""),"R","S")&amp; Data!CN55,SUBSTITUTE(Y70,"P","")&amp; Data!CN55),IF(AND(COUNTIF(Y70,"*P*"),COUNTIF(Y70,"*R*")),SUBSTITUTE(Y70,"R","S")&amp;Data!CN55,IF(AND(COUNTIF(Y70,"*V*"),COUNTIF(Y70,"*R*")),SUBSTITUTE(Y70,"R","S")&amp;Data!CN55,Y70 &amp; Data!CN55))),SUBSTITUTE(SUBSTITUTE(SUBSTITUTE(SUBSTITUTE(SUBSTITUTE(SUBSTITUTE(SUBSTITUTE(SUBSTITUTE(SUBSTITUTE(SUBSTITUTE(IF(AND(COUNTIF(Y70,"*P*"),COUNTIF(Y70,"*V*")),IF(COUNTIF(Y70,"*R*"),SUBSTITUTE(SUBSTITUTE(Y70,"P",""),"R","S"),SUBSTITUTE(Y70,"P","")),IF(AND(COUNTIF(Y70,"*P*"),COUNTIF(Y70,"*R*")),SUBSTITUTE(Y70,"R","S"),IF(AND(COUNTIF(Y70,"*V*"),COUNTIF(Y70,"*R*")),SUBSTITUTE(Y70,"R","S"),Y70))),"0",""),"1",""),"2",""),"3",""),"4",""),"5",""),"6",""),"7",""),"8",""),"9","")&amp; Data!CN55),""))</f>
        <v/>
      </c>
      <c r="Z103" s="41" t="str">
        <f>IF(AND($Y$57=1,Z70&lt;&gt;""),"O"&amp; Data!CO55,IF(Z70&lt;&gt;"",IF(OR(COUNTIF(Z70,"L*"),COUNTIF(Z70, "X*")),IF(AND(COUNTIF(Z70,"*P*"),COUNTIF(Z70,"*V*")),IF(COUNTIF(Z70,"*R*"),SUBSTITUTE(SUBSTITUTE(Z70,"P",""),"R","S")&amp; Data!CO55,SUBSTITUTE(Z70,"P","")&amp; Data!CO55),IF(AND(COUNTIF(Z70,"*P*"),COUNTIF(Z70,"*R*")),SUBSTITUTE(Z70,"R","S")&amp;Data!CO55,IF(AND(COUNTIF(Z70,"*V*"),COUNTIF(Z70,"*R*")),SUBSTITUTE(Z70,"R","S")&amp;Data!CO55,Z70 &amp; Data!CO55))),SUBSTITUTE(SUBSTITUTE(SUBSTITUTE(SUBSTITUTE(SUBSTITUTE(SUBSTITUTE(SUBSTITUTE(SUBSTITUTE(SUBSTITUTE(SUBSTITUTE(IF(AND(COUNTIF(Z70,"*P*"),COUNTIF(Z70,"*V*")),IF(COUNTIF(Z70,"*R*"),SUBSTITUTE(SUBSTITUTE(Z70,"P",""),"R","S"),SUBSTITUTE(Z70,"P","")),IF(AND(COUNTIF(Z70,"*P*"),COUNTIF(Z70,"*R*")),SUBSTITUTE(Z70,"R","S"),IF(AND(COUNTIF(Z70,"*V*"),COUNTIF(Z70,"*R*")),SUBSTITUTE(Z70,"R","S"),Z70))),"0",""),"1",""),"2",""),"3",""),"4",""),"5",""),"6",""),"7",""),"8",""),"9","")&amp; Data!CO55),""))</f>
        <v/>
      </c>
      <c r="AA103" s="41" t="str">
        <f>IF(AND($Y$57=1,AA70&lt;&gt;""),"O"&amp; Data!CP55,IF(AA70&lt;&gt;"",IF(OR(COUNTIF(AA70,"L*"),COUNTIF(AA70, "X*")),IF(AND(COUNTIF(AA70,"*P*"),COUNTIF(AA70,"*V*")),IF(COUNTIF(AA70,"*R*"),SUBSTITUTE(SUBSTITUTE(AA70,"P",""),"R","S")&amp; Data!CP55,SUBSTITUTE(AA70,"P","")&amp; Data!CP55),IF(AND(COUNTIF(AA70,"*P*"),COUNTIF(AA70,"*R*")),SUBSTITUTE(AA70,"R","S")&amp;Data!CP55,IF(AND(COUNTIF(AA70,"*V*"),COUNTIF(AA70,"*R*")),SUBSTITUTE(AA70,"R","S")&amp;Data!CP55,AA70 &amp; Data!CP55))),SUBSTITUTE(SUBSTITUTE(SUBSTITUTE(SUBSTITUTE(SUBSTITUTE(SUBSTITUTE(SUBSTITUTE(SUBSTITUTE(SUBSTITUTE(SUBSTITUTE(IF(AND(COUNTIF(AA70,"*P*"),COUNTIF(AA70,"*V*")),IF(COUNTIF(AA70,"*R*"),SUBSTITUTE(SUBSTITUTE(AA70,"P",""),"R","S"),SUBSTITUTE(AA70,"P","")),IF(AND(COUNTIF(AA70,"*P*"),COUNTIF(AA70,"*R*")),SUBSTITUTE(AA70,"R","S"),IF(AND(COUNTIF(AA70,"*V*"),COUNTIF(AA70,"*R*")),SUBSTITUTE(AA70,"R","S"),AA70))),"0",""),"1",""),"2",""),"3",""),"4",""),"5",""),"6",""),"7",""),"8",""),"9","")&amp; Data!CP55),""))</f>
        <v/>
      </c>
      <c r="AB103" s="41" t="str">
        <f>IF(AND($Y$57=1,AB70&lt;&gt;""),"O"&amp; Data!CQ55,IF(AB70&lt;&gt;"",IF(OR(COUNTIF(AB70,"L*"),COUNTIF(AB70, "X*")),IF(AND(COUNTIF(AB70,"*P*"),COUNTIF(AB70,"*V*")),IF(COUNTIF(AB70,"*R*"),SUBSTITUTE(SUBSTITUTE(AB70,"P",""),"R","S")&amp; Data!CQ55,SUBSTITUTE(AB70,"P","")&amp; Data!CQ55),IF(AND(COUNTIF(AB70,"*P*"),COUNTIF(AB70,"*R*")),SUBSTITUTE(AB70,"R","S")&amp;Data!CQ55,IF(AND(COUNTIF(AB70,"*V*"),COUNTIF(AB70,"*R*")),SUBSTITUTE(AB70,"R","S")&amp;Data!CQ55,AB70 &amp; Data!CQ55))),SUBSTITUTE(SUBSTITUTE(SUBSTITUTE(SUBSTITUTE(SUBSTITUTE(SUBSTITUTE(SUBSTITUTE(SUBSTITUTE(SUBSTITUTE(SUBSTITUTE(IF(AND(COUNTIF(AB70,"*P*"),COUNTIF(AB70,"*V*")),IF(COUNTIF(AB70,"*R*"),SUBSTITUTE(SUBSTITUTE(AB70,"P",""),"R","S"),SUBSTITUTE(AB70,"P","")),IF(AND(COUNTIF(AB70,"*P*"),COUNTIF(AB70,"*R*")),SUBSTITUTE(AB70,"R","S"),IF(AND(COUNTIF(AB70,"*V*"),COUNTIF(AB70,"*R*")),SUBSTITUTE(AB70,"R","S"),AB70))),"0",""),"1",""),"2",""),"3",""),"4",""),"5",""),"6",""),"7",""),"8",""),"9","")&amp; Data!CQ55),""))</f>
        <v/>
      </c>
      <c r="AC103" s="41" t="str">
        <f>IF(AND($Y$57=1,AC70&lt;&gt;""),"O"&amp; Data!CR55,IF(AC70&lt;&gt;"",IF(OR(COUNTIF(AC70,"L*"),COUNTIF(AC70, "X*")),IF(AND(COUNTIF(AC70,"*P*"),COUNTIF(AC70,"*V*")),IF(COUNTIF(AC70,"*R*"),SUBSTITUTE(SUBSTITUTE(AC70,"P",""),"R","S")&amp; Data!CR55,SUBSTITUTE(AC70,"P","")&amp; Data!CR55),IF(AND(COUNTIF(AC70,"*P*"),COUNTIF(AC70,"*R*")),SUBSTITUTE(AC70,"R","S")&amp;Data!CR55,IF(AND(COUNTIF(AC70,"*V*"),COUNTIF(AC70,"*R*")),SUBSTITUTE(AC70,"R","S")&amp;Data!CR55,AC70 &amp; Data!CR55))),SUBSTITUTE(SUBSTITUTE(SUBSTITUTE(SUBSTITUTE(SUBSTITUTE(SUBSTITUTE(SUBSTITUTE(SUBSTITUTE(SUBSTITUTE(SUBSTITUTE(IF(AND(COUNTIF(AC70,"*P*"),COUNTIF(AC70,"*V*")),IF(COUNTIF(AC70,"*R*"),SUBSTITUTE(SUBSTITUTE(AC70,"P",""),"R","S"),SUBSTITUTE(AC70,"P","")),IF(AND(COUNTIF(AC70,"*P*"),COUNTIF(AC70,"*R*")),SUBSTITUTE(AC70,"R","S"),IF(AND(COUNTIF(AC70,"*V*"),COUNTIF(AC70,"*R*")),SUBSTITUTE(AC70,"R","S"),AC70))),"0",""),"1",""),"2",""),"3",""),"4",""),"5",""),"6",""),"7",""),"8",""),"9","")&amp; Data!CR55),""))</f>
        <v/>
      </c>
      <c r="AD103" s="41" t="str">
        <f>IF(AND($Y$57=1,AD70&lt;&gt;""),"O"&amp; Data!CS55,IF(AD70&lt;&gt;"",IF(OR(COUNTIF(AD70,"L*"),COUNTIF(AD70, "X*")),IF(AND(COUNTIF(AD70,"*P*"),COUNTIF(AD70,"*V*")),IF(COUNTIF(AD70,"*R*"),SUBSTITUTE(SUBSTITUTE(AD70,"P",""),"R","S")&amp; Data!CS55,SUBSTITUTE(AD70,"P","")&amp; Data!CS55),IF(AND(COUNTIF(AD70,"*P*"),COUNTIF(AD70,"*R*")),SUBSTITUTE(AD70,"R","S")&amp;Data!CS55,IF(AND(COUNTIF(AD70,"*V*"),COUNTIF(AD70,"*R*")),SUBSTITUTE(AD70,"R","S")&amp;Data!CS55,AD70 &amp; Data!CS55))),SUBSTITUTE(SUBSTITUTE(SUBSTITUTE(SUBSTITUTE(SUBSTITUTE(SUBSTITUTE(SUBSTITUTE(SUBSTITUTE(SUBSTITUTE(SUBSTITUTE(IF(AND(COUNTIF(AD70,"*P*"),COUNTIF(AD70,"*V*")),IF(COUNTIF(AD70,"*R*"),SUBSTITUTE(SUBSTITUTE(AD70,"P",""),"R","S"),SUBSTITUTE(AD70,"P","")),IF(AND(COUNTIF(AD70,"*P*"),COUNTIF(AD70,"*R*")),SUBSTITUTE(AD70,"R","S"),IF(AND(COUNTIF(AD70,"*V*"),COUNTIF(AD70,"*R*")),SUBSTITUTE(AD70,"R","S"),AD70))),"0",""),"1",""),"2",""),"3",""),"4",""),"5",""),"6",""),"7",""),"8",""),"9","")&amp; Data!CS55),""))</f>
        <v/>
      </c>
      <c r="AE103" s="41" t="str">
        <f>IF(AND($Y$57=1,AE70&lt;&gt;""),"O"&amp; Data!CT55,IF(AE70&lt;&gt;"",IF(OR(COUNTIF(AE70,"L*"),COUNTIF(AE70, "X*")),IF(AND(COUNTIF(AE70,"*P*"),COUNTIF(AE70,"*V*")),IF(COUNTIF(AE70,"*R*"),SUBSTITUTE(SUBSTITUTE(AE70,"P",""),"R","S")&amp; Data!CT55,SUBSTITUTE(AE70,"P","")&amp; Data!CT55),IF(AND(COUNTIF(AE70,"*P*"),COUNTIF(AE70,"*R*")),SUBSTITUTE(AE70,"R","S")&amp;Data!CT55,IF(AND(COUNTIF(AE70,"*V*"),COUNTIF(AE70,"*R*")),SUBSTITUTE(AE70,"R","S")&amp;Data!CT55,AE70 &amp; Data!CT55))),SUBSTITUTE(SUBSTITUTE(SUBSTITUTE(SUBSTITUTE(SUBSTITUTE(SUBSTITUTE(SUBSTITUTE(SUBSTITUTE(SUBSTITUTE(SUBSTITUTE(IF(AND(COUNTIF(AE70,"*P*"),COUNTIF(AE70,"*V*")),IF(COUNTIF(AE70,"*R*"),SUBSTITUTE(SUBSTITUTE(AE70,"P",""),"R","S"),SUBSTITUTE(AE70,"P","")),IF(AND(COUNTIF(AE70,"*P*"),COUNTIF(AE70,"*R*")),SUBSTITUTE(AE70,"R","S"),IF(AND(COUNTIF(AE70,"*V*"),COUNTIF(AE70,"*R*")),SUBSTITUTE(AE70,"R","S"),AE70))),"0",""),"1",""),"2",""),"3",""),"4",""),"5",""),"6",""),"7",""),"8",""),"9","")&amp; Data!CT55),""))</f>
        <v/>
      </c>
      <c r="AF103" s="41" t="str">
        <f>IF(AND($Y$57=1,AF70&lt;&gt;""),"O"&amp; Data!CU55,IF(AF70&lt;&gt;"",IF(OR(COUNTIF(AF70,"L*"),COUNTIF(AF70, "X*")),IF(AND(COUNTIF(AF70,"*P*"),COUNTIF(AF70,"*V*")),IF(COUNTIF(AF70,"*R*"),SUBSTITUTE(SUBSTITUTE(AF70,"P",""),"R","S")&amp; Data!CU55,SUBSTITUTE(AF70,"P","")&amp; Data!CU55),IF(AND(COUNTIF(AF70,"*P*"),COUNTIF(AF70,"*R*")),SUBSTITUTE(AF70,"R","S")&amp;Data!CU55,IF(AND(COUNTIF(AF70,"*V*"),COUNTIF(AF70,"*R*")),SUBSTITUTE(AF70,"R","S")&amp;Data!CU55,AF70 &amp; Data!CU55))),SUBSTITUTE(SUBSTITUTE(SUBSTITUTE(SUBSTITUTE(SUBSTITUTE(SUBSTITUTE(SUBSTITUTE(SUBSTITUTE(SUBSTITUTE(SUBSTITUTE(IF(AND(COUNTIF(AF70,"*P*"),COUNTIF(AF70,"*V*")),IF(COUNTIF(AF70,"*R*"),SUBSTITUTE(SUBSTITUTE(AF70,"P",""),"R","S"),SUBSTITUTE(AF70,"P","")),IF(AND(COUNTIF(AF70,"*P*"),COUNTIF(AF70,"*R*")),SUBSTITUTE(AF70,"R","S"),IF(AND(COUNTIF(AF70,"*V*"),COUNTIF(AF70,"*R*")),SUBSTITUTE(AF70,"R","S"),AF70))),"0",""),"1",""),"2",""),"3",""),"4",""),"5",""),"6",""),"7",""),"8",""),"9","")&amp; Data!CU55),""))</f>
        <v/>
      </c>
      <c r="AG103" s="41" t="str">
        <f>IF(AND($Y$57=1,AG70&lt;&gt;""),"O"&amp; Data!CV55,IF(AG70&lt;&gt;"",IF(OR(COUNTIF(AG70,"L*"),COUNTIF(AG70, "X*")),IF(AND(COUNTIF(AG70,"*P*"),COUNTIF(AG70,"*V*")),IF(COUNTIF(AG70,"*R*"),SUBSTITUTE(SUBSTITUTE(AG70,"P",""),"R","S")&amp; Data!CV55,SUBSTITUTE(AG70,"P","")&amp; Data!CV55),IF(AND(COUNTIF(AG70,"*P*"),COUNTIF(AG70,"*R*")),SUBSTITUTE(AG70,"R","S")&amp;Data!CV55,IF(AND(COUNTIF(AG70,"*V*"),COUNTIF(AG70,"*R*")),SUBSTITUTE(AG70,"R","S")&amp;Data!CV55,AG70 &amp; Data!CV55))),SUBSTITUTE(SUBSTITUTE(SUBSTITUTE(SUBSTITUTE(SUBSTITUTE(SUBSTITUTE(SUBSTITUTE(SUBSTITUTE(SUBSTITUTE(SUBSTITUTE(IF(AND(COUNTIF(AG70,"*P*"),COUNTIF(AG70,"*V*")),IF(COUNTIF(AG70,"*R*"),SUBSTITUTE(SUBSTITUTE(AG70,"P",""),"R","S"),SUBSTITUTE(AG70,"P","")),IF(AND(COUNTIF(AG70,"*P*"),COUNTIF(AG70,"*R*")),SUBSTITUTE(AG70,"R","S"),IF(AND(COUNTIF(AG70,"*V*"),COUNTIF(AG70,"*R*")),SUBSTITUTE(AG70,"R","S"),AG70))),"0",""),"1",""),"2",""),"3",""),"4",""),"5",""),"6",""),"7",""),"8",""),"9","")&amp; Data!CV55),""))</f>
        <v/>
      </c>
      <c r="AH103" s="41" t="str">
        <f>IF(AND($Y$57=1,AH70&lt;&gt;""),"O"&amp; Data!CW55,IF(AH70&lt;&gt;"",IF(OR(COUNTIF(AH70,"L*"),COUNTIF(AH70, "X*")),IF(AND(COUNTIF(AH70,"*P*"),COUNTIF(AH70,"*V*")),IF(COUNTIF(AH70,"*R*"),SUBSTITUTE(SUBSTITUTE(AH70,"P",""),"R","S")&amp; Data!CW55,SUBSTITUTE(AH70,"P","")&amp; Data!CW55),IF(AND(COUNTIF(AH70,"*P*"),COUNTIF(AH70,"*R*")),SUBSTITUTE(AH70,"R","S")&amp;Data!CW55,IF(AND(COUNTIF(AH70,"*V*"),COUNTIF(AH70,"*R*")),SUBSTITUTE(AH70,"R","S")&amp;Data!CW55,AH70 &amp; Data!CW55))),SUBSTITUTE(SUBSTITUTE(SUBSTITUTE(SUBSTITUTE(SUBSTITUTE(SUBSTITUTE(SUBSTITUTE(SUBSTITUTE(SUBSTITUTE(SUBSTITUTE(IF(AND(COUNTIF(AH70,"*P*"),COUNTIF(AH70,"*V*")),IF(COUNTIF(AH70,"*R*"),SUBSTITUTE(SUBSTITUTE(AH70,"P",""),"R","S"),SUBSTITUTE(AH70,"P","")),IF(AND(COUNTIF(AH70,"*P*"),COUNTIF(AH70,"*R*")),SUBSTITUTE(AH70,"R","S"),IF(AND(COUNTIF(AH70,"*V*"),COUNTIF(AH70,"*R*")),SUBSTITUTE(AH70,"R","S"),AH70))),"0",""),"1",""),"2",""),"3",""),"4",""),"5",""),"6",""),"7",""),"8",""),"9","")&amp; Data!CW55),""))</f>
        <v/>
      </c>
      <c r="AI103" s="41" t="str">
        <f>IF(AND($Y$57=1,AI70&lt;&gt;""),"O"&amp; Data!CX55,IF(AI70&lt;&gt;"",IF(OR(COUNTIF(AI70,"L*"),COUNTIF(AI70, "X*")),IF(AND(COUNTIF(AI70,"*P*"),COUNTIF(AI70,"*V*")),IF(COUNTIF(AI70,"*R*"),SUBSTITUTE(SUBSTITUTE(AI70,"P",""),"R","S")&amp; Data!CX55,SUBSTITUTE(AI70,"P","")&amp; Data!CX55),IF(AND(COUNTIF(AI70,"*P*"),COUNTIF(AI70,"*R*")),SUBSTITUTE(AI70,"R","S")&amp;Data!CX55,IF(AND(COUNTIF(AI70,"*V*"),COUNTIF(AI70,"*R*")),SUBSTITUTE(AI70,"R","S")&amp;Data!CX55,AI70 &amp; Data!CX55))),SUBSTITUTE(SUBSTITUTE(SUBSTITUTE(SUBSTITUTE(SUBSTITUTE(SUBSTITUTE(SUBSTITUTE(SUBSTITUTE(SUBSTITUTE(SUBSTITUTE(IF(AND(COUNTIF(AI70,"*P*"),COUNTIF(AI70,"*V*")),IF(COUNTIF(AI70,"*R*"),SUBSTITUTE(SUBSTITUTE(AI70,"P",""),"R","S"),SUBSTITUTE(AI70,"P","")),IF(AND(COUNTIF(AI70,"*P*"),COUNTIF(AI70,"*R*")),SUBSTITUTE(AI70,"R","S"),IF(AND(COUNTIF(AI70,"*V*"),COUNTIF(AI70,"*R*")),SUBSTITUTE(AI70,"R","S"),AI70))),"0",""),"1",""),"2",""),"3",""),"4",""),"5",""),"6",""),"7",""),"8",""),"9","")&amp; Data!CX55),""))</f>
        <v/>
      </c>
      <c r="AJ103" s="41" t="str">
        <f>IF(AND($Y$57=1,AJ70&lt;&gt;""),"O"&amp; Data!CY55,IF(AJ70&lt;&gt;"",IF(OR(COUNTIF(AJ70,"L*"),COUNTIF(AJ70, "X*")),IF(AND(COUNTIF(AJ70,"*P*"),COUNTIF(AJ70,"*V*")),IF(COUNTIF(AJ70,"*R*"),SUBSTITUTE(SUBSTITUTE(AJ70,"P",""),"R","S")&amp; Data!CY55,SUBSTITUTE(AJ70,"P","")&amp; Data!CY55),IF(AND(COUNTIF(AJ70,"*P*"),COUNTIF(AJ70,"*R*")),SUBSTITUTE(AJ70,"R","S")&amp;Data!CY55,IF(AND(COUNTIF(AJ70,"*V*"),COUNTIF(AJ70,"*R*")),SUBSTITUTE(AJ70,"R","S")&amp;Data!CY55,AJ70 &amp; Data!CY55))),SUBSTITUTE(SUBSTITUTE(SUBSTITUTE(SUBSTITUTE(SUBSTITUTE(SUBSTITUTE(SUBSTITUTE(SUBSTITUTE(SUBSTITUTE(SUBSTITUTE(IF(AND(COUNTIF(AJ70,"*P*"),COUNTIF(AJ70,"*V*")),IF(COUNTIF(AJ70,"*R*"),SUBSTITUTE(SUBSTITUTE(AJ70,"P",""),"R","S"),SUBSTITUTE(AJ70,"P","")),IF(AND(COUNTIF(AJ70,"*P*"),COUNTIF(AJ70,"*R*")),SUBSTITUTE(AJ70,"R","S"),IF(AND(COUNTIF(AJ70,"*V*"),COUNTIF(AJ70,"*R*")),SUBSTITUTE(AJ70,"R","S"),AJ70))),"0",""),"1",""),"2",""),"3",""),"4",""),"5",""),"6",""),"7",""),"8",""),"9","")&amp; Data!CY55),""))</f>
        <v/>
      </c>
      <c r="AP103" s="99" t="str">
        <f>IF(Data!CX69&gt;0,IF(Data!CX69&lt;&gt;"", Data!CX69, " ")," ")</f>
        <v xml:space="preserve"> </v>
      </c>
      <c r="AQ103" s="99" t="str">
        <f>IF(AZ58+AZ59+AZ60+AZ61=0,"",AZ58+AZ59+AZ60+AZ61)</f>
        <v/>
      </c>
      <c r="AR103" s="99" t="str">
        <f>IF(Data!GK11&gt;0,IF(Data!GK11&lt;&gt;"",Data!GK11," ")," ")</f>
        <v xml:space="preserve"> </v>
      </c>
      <c r="AS103" s="99" t="str">
        <f>IF(Data!GG11&gt;0,IF(Data!GG11&lt;&gt;"",Data!GG11," ")," ")</f>
        <v xml:space="preserve"> </v>
      </c>
      <c r="AT103" s="99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AU103" s="99" t="str">
        <f>IF(AND(Data!GR11&lt;&gt;"",Data!GR11&lt;&gt;0),Data!GR11,"")</f>
        <v/>
      </c>
      <c r="AV103" s="99" t="str">
        <f>IF(AZ59+AZ61=0,"",AZ59+AZ61)</f>
        <v/>
      </c>
      <c r="AW103" s="99" t="str">
        <f>IF(IFERROR(AQ103-AV103,AQ103)=0,"",IFERROR(AQ103-AV103,AQ103))</f>
        <v/>
      </c>
      <c r="AX103" s="100"/>
    </row>
    <row r="104" spans="1:54" ht="24" customHeight="1" thickBot="1" x14ac:dyDescent="0.4">
      <c r="A104" s="1196"/>
      <c r="B104" s="22">
        <v>11</v>
      </c>
      <c r="C104" s="41" t="str">
        <f>IF(AND($Y$57=1,C71&lt;&gt;""),"O"&amp; Data!BR56,IF(C71&lt;&gt;"",IF(OR(COUNTIF(C71,"L*"),COUNTIF(C71, "X*")),IF(AND(COUNTIF(C71,"*P*"),COUNTIF(C71,"*V*")),IF(COUNTIF(C71,"*R*"),SUBSTITUTE(SUBSTITUTE(C71,"P",""),"R","S")&amp; Data!BR56,SUBSTITUTE(C71,"P","")&amp; Data!BR56),IF(AND(COUNTIF(C71,"*P*"),COUNTIF(C71,"*R*")),SUBSTITUTE(C71,"R","S")&amp;Data!BR56,IF(AND(COUNTIF(C71,"*V*"),COUNTIF(C71,"*R*")),SUBSTITUTE(C71,"R","S")&amp;Data!BR56,C71 &amp; Data!BR56))),SUBSTITUTE(SUBSTITUTE(SUBSTITUTE(SUBSTITUTE(SUBSTITUTE(SUBSTITUTE(SUBSTITUTE(SUBSTITUTE(SUBSTITUTE(SUBSTITUTE(IF(AND(COUNTIF(C71,"*P*"),COUNTIF(C71,"*V*")),IF(COUNTIF(C71,"*R*"),SUBSTITUTE(SUBSTITUTE(C71,"P",""),"R","S"),SUBSTITUTE(C71,"P","")),IF(AND(COUNTIF(C71,"*P*"),COUNTIF(C71,"*R*")),SUBSTITUTE(C71,"R","S"),IF(AND(COUNTIF(C71,"*V*"),COUNTIF(C71,"*R*")),SUBSTITUTE(C71,"R","S"),C71))),"0",""),"1",""),"2",""),"3",""),"4",""),"5",""),"6",""),"7",""),"8",""),"9","")&amp; Data!BR56),""))</f>
        <v/>
      </c>
      <c r="D104" s="41" t="str">
        <f>IF(AND($Y$57=1,D71&lt;&gt;""),"O"&amp; Data!BS56,IF(D71&lt;&gt;"",IF(OR(COUNTIF(D71,"L*"),COUNTIF(D71, "X*")),IF(AND(COUNTIF(D71,"*P*"),COUNTIF(D71,"*V*")),IF(COUNTIF(D71,"*R*"),SUBSTITUTE(SUBSTITUTE(D71,"P",""),"R","S")&amp; Data!BS56,SUBSTITUTE(D71,"P","")&amp; Data!BS56),IF(AND(COUNTIF(D71,"*P*"),COUNTIF(D71,"*R*")),SUBSTITUTE(D71,"R","S")&amp;Data!BS56,IF(AND(COUNTIF(D71,"*V*"),COUNTIF(D71,"*R*")),SUBSTITUTE(D71,"R","S")&amp;Data!BS56,D71 &amp; Data!BS56))),SUBSTITUTE(SUBSTITUTE(SUBSTITUTE(SUBSTITUTE(SUBSTITUTE(SUBSTITUTE(SUBSTITUTE(SUBSTITUTE(SUBSTITUTE(SUBSTITUTE(IF(AND(COUNTIF(D71,"*P*"),COUNTIF(D71,"*V*")),IF(COUNTIF(D71,"*R*"),SUBSTITUTE(SUBSTITUTE(D71,"P",""),"R","S"),SUBSTITUTE(D71,"P","")),IF(AND(COUNTIF(D71,"*P*"),COUNTIF(D71,"*R*")),SUBSTITUTE(D71,"R","S"),IF(AND(COUNTIF(D71,"*V*"),COUNTIF(D71,"*R*")),SUBSTITUTE(D71,"R","S"),D71))),"0",""),"1",""),"2",""),"3",""),"4",""),"5",""),"6",""),"7",""),"8",""),"9","")&amp; Data!BS56),""))</f>
        <v/>
      </c>
      <c r="E104" s="41" t="str">
        <f>IF(AND($Y$57=1,E71&lt;&gt;""),"O"&amp; Data!BT56,IF(E71&lt;&gt;"",IF(OR(COUNTIF(E71,"L*"),COUNTIF(E71, "X*")),IF(AND(COUNTIF(E71,"*P*"),COUNTIF(E71,"*V*")),IF(COUNTIF(E71,"*R*"),SUBSTITUTE(SUBSTITUTE(E71,"P",""),"R","S")&amp; Data!BT56,SUBSTITUTE(E71,"P","")&amp; Data!BT56),IF(AND(COUNTIF(E71,"*P*"),COUNTIF(E71,"*R*")),SUBSTITUTE(E71,"R","S")&amp;Data!BT56,IF(AND(COUNTIF(E71,"*V*"),COUNTIF(E71,"*R*")),SUBSTITUTE(E71,"R","S")&amp;Data!BT56,E71 &amp; Data!BT56))),SUBSTITUTE(SUBSTITUTE(SUBSTITUTE(SUBSTITUTE(SUBSTITUTE(SUBSTITUTE(SUBSTITUTE(SUBSTITUTE(SUBSTITUTE(SUBSTITUTE(IF(AND(COUNTIF(E71,"*P*"),COUNTIF(E71,"*V*")),IF(COUNTIF(E71,"*R*"),SUBSTITUTE(SUBSTITUTE(E71,"P",""),"R","S"),SUBSTITUTE(E71,"P","")),IF(AND(COUNTIF(E71,"*P*"),COUNTIF(E71,"*R*")),SUBSTITUTE(E71,"R","S"),IF(AND(COUNTIF(E71,"*V*"),COUNTIF(E71,"*R*")),SUBSTITUTE(E71,"R","S"),E71))),"0",""),"1",""),"2",""),"3",""),"4",""),"5",""),"6",""),"7",""),"8",""),"9","")&amp; Data!BT56),""))</f>
        <v/>
      </c>
      <c r="F104" s="41" t="str">
        <f>IF(AND($Y$57=1,F71&lt;&gt;""),"O"&amp; Data!BU56,IF(F71&lt;&gt;"",IF(OR(COUNTIF(F71,"L*"),COUNTIF(F71, "X*")),IF(AND(COUNTIF(F71,"*P*"),COUNTIF(F71,"*V*")),IF(COUNTIF(F71,"*R*"),SUBSTITUTE(SUBSTITUTE(F71,"P",""),"R","S")&amp; Data!BU56,SUBSTITUTE(F71,"P","")&amp; Data!BU56),IF(AND(COUNTIF(F71,"*P*"),COUNTIF(F71,"*R*")),SUBSTITUTE(F71,"R","S")&amp;Data!BU56,IF(AND(COUNTIF(F71,"*V*"),COUNTIF(F71,"*R*")),SUBSTITUTE(F71,"R","S")&amp;Data!BU56,F71 &amp; Data!BU56))),SUBSTITUTE(SUBSTITUTE(SUBSTITUTE(SUBSTITUTE(SUBSTITUTE(SUBSTITUTE(SUBSTITUTE(SUBSTITUTE(SUBSTITUTE(SUBSTITUTE(IF(AND(COUNTIF(F71,"*P*"),COUNTIF(F71,"*V*")),IF(COUNTIF(F71,"*R*"),SUBSTITUTE(SUBSTITUTE(F71,"P",""),"R","S"),SUBSTITUTE(F71,"P","")),IF(AND(COUNTIF(F71,"*P*"),COUNTIF(F71,"*R*")),SUBSTITUTE(F71,"R","S"),IF(AND(COUNTIF(F71,"*V*"),COUNTIF(F71,"*R*")),SUBSTITUTE(F71,"R","S"),F71))),"0",""),"1",""),"2",""),"3",""),"4",""),"5",""),"6",""),"7",""),"8",""),"9","")&amp; Data!BU56),""))</f>
        <v/>
      </c>
      <c r="G104" s="41" t="str">
        <f>IF(AND($Y$57=1,G71&lt;&gt;""),"O"&amp; Data!BV56,IF(G71&lt;&gt;"",IF(OR(COUNTIF(G71,"L*"),COUNTIF(G71, "X*")),IF(AND(COUNTIF(G71,"*P*"),COUNTIF(G71,"*V*")),IF(COUNTIF(G71,"*R*"),SUBSTITUTE(SUBSTITUTE(G71,"P",""),"R","S")&amp; Data!BV56,SUBSTITUTE(G71,"P","")&amp; Data!BV56),IF(AND(COUNTIF(G71,"*P*"),COUNTIF(G71,"*R*")),SUBSTITUTE(G71,"R","S")&amp;Data!BV56,IF(AND(COUNTIF(G71,"*V*"),COUNTIF(G71,"*R*")),SUBSTITUTE(G71,"R","S")&amp;Data!BV56,G71 &amp; Data!BV56))),SUBSTITUTE(SUBSTITUTE(SUBSTITUTE(SUBSTITUTE(SUBSTITUTE(SUBSTITUTE(SUBSTITUTE(SUBSTITUTE(SUBSTITUTE(SUBSTITUTE(IF(AND(COUNTIF(G71,"*P*"),COUNTIF(G71,"*V*")),IF(COUNTIF(G71,"*R*"),SUBSTITUTE(SUBSTITUTE(G71,"P",""),"R","S"),SUBSTITUTE(G71,"P","")),IF(AND(COUNTIF(G71,"*P*"),COUNTIF(G71,"*R*")),SUBSTITUTE(G71,"R","S"),IF(AND(COUNTIF(G71,"*V*"),COUNTIF(G71,"*R*")),SUBSTITUTE(G71,"R","S"),G71))),"0",""),"1",""),"2",""),"3",""),"4",""),"5",""),"6",""),"7",""),"8",""),"9","")&amp; Data!BV56),""))</f>
        <v/>
      </c>
      <c r="H104" s="41" t="str">
        <f>IF(AND($Y$57=1,H71&lt;&gt;""),"O"&amp; Data!BW56,IF(H71&lt;&gt;"",IF(OR(COUNTIF(H71,"L*"),COUNTIF(H71, "X*")),IF(AND(COUNTIF(H71,"*P*"),COUNTIF(H71,"*V*")),IF(COUNTIF(H71,"*R*"),SUBSTITUTE(SUBSTITUTE(H71,"P",""),"R","S")&amp; Data!BW56,SUBSTITUTE(H71,"P","")&amp; Data!BW56),IF(AND(COUNTIF(H71,"*P*"),COUNTIF(H71,"*R*")),SUBSTITUTE(H71,"R","S")&amp;Data!BW56,IF(AND(COUNTIF(H71,"*V*"),COUNTIF(H71,"*R*")),SUBSTITUTE(H71,"R","S")&amp;Data!BW56,H71 &amp; Data!BW56))),SUBSTITUTE(SUBSTITUTE(SUBSTITUTE(SUBSTITUTE(SUBSTITUTE(SUBSTITUTE(SUBSTITUTE(SUBSTITUTE(SUBSTITUTE(SUBSTITUTE(IF(AND(COUNTIF(H71,"*P*"),COUNTIF(H71,"*V*")),IF(COUNTIF(H71,"*R*"),SUBSTITUTE(SUBSTITUTE(H71,"P",""),"R","S"),SUBSTITUTE(H71,"P","")),IF(AND(COUNTIF(H71,"*P*"),COUNTIF(H71,"*R*")),SUBSTITUTE(H71,"R","S"),IF(AND(COUNTIF(H71,"*V*"),COUNTIF(H71,"*R*")),SUBSTITUTE(H71,"R","S"),H71))),"0",""),"1",""),"2",""),"3",""),"4",""),"5",""),"6",""),"7",""),"8",""),"9","")&amp; Data!BW56),""))</f>
        <v/>
      </c>
      <c r="I104" s="41" t="str">
        <f>IF(AND($Y$57=1,I71&lt;&gt;""),"O"&amp; Data!BX56,IF(I71&lt;&gt;"",IF(OR(COUNTIF(I71,"L*"),COUNTIF(I71, "X*")),IF(AND(COUNTIF(I71,"*P*"),COUNTIF(I71,"*V*")),IF(COUNTIF(I71,"*R*"),SUBSTITUTE(SUBSTITUTE(I71,"P",""),"R","S")&amp; Data!BX56,SUBSTITUTE(I71,"P","")&amp; Data!BX56),IF(AND(COUNTIF(I71,"*P*"),COUNTIF(I71,"*R*")),SUBSTITUTE(I71,"R","S")&amp;Data!BX56,IF(AND(COUNTIF(I71,"*V*"),COUNTIF(I71,"*R*")),SUBSTITUTE(I71,"R","S")&amp;Data!BX56,I71 &amp; Data!BX56))),SUBSTITUTE(SUBSTITUTE(SUBSTITUTE(SUBSTITUTE(SUBSTITUTE(SUBSTITUTE(SUBSTITUTE(SUBSTITUTE(SUBSTITUTE(SUBSTITUTE(IF(AND(COUNTIF(I71,"*P*"),COUNTIF(I71,"*V*")),IF(COUNTIF(I71,"*R*"),SUBSTITUTE(SUBSTITUTE(I71,"P",""),"R","S"),SUBSTITUTE(I71,"P","")),IF(AND(COUNTIF(I71,"*P*"),COUNTIF(I71,"*R*")),SUBSTITUTE(I71,"R","S"),IF(AND(COUNTIF(I71,"*V*"),COUNTIF(I71,"*R*")),SUBSTITUTE(I71,"R","S"),I71))),"0",""),"1",""),"2",""),"3",""),"4",""),"5",""),"6",""),"7",""),"8",""),"9","")&amp; Data!BX56),""))</f>
        <v/>
      </c>
      <c r="J104" s="41" t="str">
        <f>IF(AND($Y$57=1,J71&lt;&gt;""),"O"&amp; Data!BY56,IF(J71&lt;&gt;"",IF(OR(COUNTIF(J71,"L*"),COUNTIF(J71, "X*")),IF(AND(COUNTIF(J71,"*P*"),COUNTIF(J71,"*V*")),IF(COUNTIF(J71,"*R*"),SUBSTITUTE(SUBSTITUTE(J71,"P",""),"R","S")&amp; Data!BY56,SUBSTITUTE(J71,"P","")&amp; Data!BY56),IF(AND(COUNTIF(J71,"*P*"),COUNTIF(J71,"*R*")),SUBSTITUTE(J71,"R","S")&amp;Data!BY56,IF(AND(COUNTIF(J71,"*V*"),COUNTIF(J71,"*R*")),SUBSTITUTE(J71,"R","S")&amp;Data!BY56,J71 &amp; Data!BY56))),SUBSTITUTE(SUBSTITUTE(SUBSTITUTE(SUBSTITUTE(SUBSTITUTE(SUBSTITUTE(SUBSTITUTE(SUBSTITUTE(SUBSTITUTE(SUBSTITUTE(IF(AND(COUNTIF(J71,"*P*"),COUNTIF(J71,"*V*")),IF(COUNTIF(J71,"*R*"),SUBSTITUTE(SUBSTITUTE(J71,"P",""),"R","S"),SUBSTITUTE(J71,"P","")),IF(AND(COUNTIF(J71,"*P*"),COUNTIF(J71,"*R*")),SUBSTITUTE(J71,"R","S"),IF(AND(COUNTIF(J71,"*V*"),COUNTIF(J71,"*R*")),SUBSTITUTE(J71,"R","S"),J71))),"0",""),"1",""),"2",""),"3",""),"4",""),"5",""),"6",""),"7",""),"8",""),"9","")&amp; Data!BY56),""))</f>
        <v/>
      </c>
      <c r="K104" s="41" t="str">
        <f>IF(AND($Y$57=1,K71&lt;&gt;""),"O"&amp; Data!BZ56,IF(K71&lt;&gt;"",IF(OR(COUNTIF(K71,"L*"),COUNTIF(K71, "X*")),IF(AND(COUNTIF(K71,"*P*"),COUNTIF(K71,"*V*")),IF(COUNTIF(K71,"*R*"),SUBSTITUTE(SUBSTITUTE(K71,"P",""),"R","S")&amp; Data!BZ56,SUBSTITUTE(K71,"P","")&amp; Data!BZ56),IF(AND(COUNTIF(K71,"*P*"),COUNTIF(K71,"*R*")),SUBSTITUTE(K71,"R","S")&amp;Data!BZ56,IF(AND(COUNTIF(K71,"*V*"),COUNTIF(K71,"*R*")),SUBSTITUTE(K71,"R","S")&amp;Data!BZ56,K71 &amp; Data!BZ56))),SUBSTITUTE(SUBSTITUTE(SUBSTITUTE(SUBSTITUTE(SUBSTITUTE(SUBSTITUTE(SUBSTITUTE(SUBSTITUTE(SUBSTITUTE(SUBSTITUTE(IF(AND(COUNTIF(K71,"*P*"),COUNTIF(K71,"*V*")),IF(COUNTIF(K71,"*R*"),SUBSTITUTE(SUBSTITUTE(K71,"P",""),"R","S"),SUBSTITUTE(K71,"P","")),IF(AND(COUNTIF(K71,"*P*"),COUNTIF(K71,"*R*")),SUBSTITUTE(K71,"R","S"),IF(AND(COUNTIF(K71,"*V*"),COUNTIF(K71,"*R*")),SUBSTITUTE(K71,"R","S"),K71))),"0",""),"1",""),"2",""),"3",""),"4",""),"5",""),"6",""),"7",""),"8",""),"9","")&amp; Data!BZ56),""))</f>
        <v/>
      </c>
      <c r="L104" s="41" t="str">
        <f>IF(AND($Y$57=1,L71&lt;&gt;""),"O"&amp; Data!CA56,IF(L71&lt;&gt;"",IF(OR(COUNTIF(L71,"L*"),COUNTIF(L71, "X*")),IF(AND(COUNTIF(L71,"*P*"),COUNTIF(L71,"*V*")),IF(COUNTIF(L71,"*R*"),SUBSTITUTE(SUBSTITUTE(L71,"P",""),"R","S")&amp; Data!CA56,SUBSTITUTE(L71,"P","")&amp; Data!CA56),IF(AND(COUNTIF(L71,"*P*"),COUNTIF(L71,"*R*")),SUBSTITUTE(L71,"R","S")&amp;Data!CA56,IF(AND(COUNTIF(L71,"*V*"),COUNTIF(L71,"*R*")),SUBSTITUTE(L71,"R","S")&amp;Data!CA56,L71 &amp; Data!CA56))),SUBSTITUTE(SUBSTITUTE(SUBSTITUTE(SUBSTITUTE(SUBSTITUTE(SUBSTITUTE(SUBSTITUTE(SUBSTITUTE(SUBSTITUTE(SUBSTITUTE(IF(AND(COUNTIF(L71,"*P*"),COUNTIF(L71,"*V*")),IF(COUNTIF(L71,"*R*"),SUBSTITUTE(SUBSTITUTE(L71,"P",""),"R","S"),SUBSTITUTE(L71,"P","")),IF(AND(COUNTIF(L71,"*P*"),COUNTIF(L71,"*R*")),SUBSTITUTE(L71,"R","S"),IF(AND(COUNTIF(L71,"*V*"),COUNTIF(L71,"*R*")),SUBSTITUTE(L71,"R","S"),L71))),"0",""),"1",""),"2",""),"3",""),"4",""),"5",""),"6",""),"7",""),"8",""),"9","")&amp; Data!CA56),""))</f>
        <v/>
      </c>
      <c r="M104" s="41" t="str">
        <f>IF(AND($Y$57=1,M71&lt;&gt;""),"O"&amp; Data!CB56,IF(M71&lt;&gt;"",IF(OR(COUNTIF(M71,"L*"),COUNTIF(M71, "X*")),IF(AND(COUNTIF(M71,"*P*"),COUNTIF(M71,"*V*")),IF(COUNTIF(M71,"*R*"),SUBSTITUTE(SUBSTITUTE(M71,"P",""),"R","S")&amp; Data!CB56,SUBSTITUTE(M71,"P","")&amp; Data!CB56),IF(AND(COUNTIF(M71,"*P*"),COUNTIF(M71,"*R*")),SUBSTITUTE(M71,"R","S")&amp;Data!CB56,IF(AND(COUNTIF(M71,"*V*"),COUNTIF(M71,"*R*")),SUBSTITUTE(M71,"R","S")&amp;Data!CB56,M71 &amp; Data!CB56))),SUBSTITUTE(SUBSTITUTE(SUBSTITUTE(SUBSTITUTE(SUBSTITUTE(SUBSTITUTE(SUBSTITUTE(SUBSTITUTE(SUBSTITUTE(SUBSTITUTE(IF(AND(COUNTIF(M71,"*P*"),COUNTIF(M71,"*V*")),IF(COUNTIF(M71,"*R*"),SUBSTITUTE(SUBSTITUTE(M71,"P",""),"R","S"),SUBSTITUTE(M71,"P","")),IF(AND(COUNTIF(M71,"*P*"),COUNTIF(M71,"*R*")),SUBSTITUTE(M71,"R","S"),IF(AND(COUNTIF(M71,"*V*"),COUNTIF(M71,"*R*")),SUBSTITUTE(M71,"R","S"),M71))),"0",""),"1",""),"2",""),"3",""),"4",""),"5",""),"6",""),"7",""),"8",""),"9","")&amp; Data!CB56),""))</f>
        <v/>
      </c>
      <c r="N104" s="41" t="str">
        <f>IF(AND($Y$57=1,N71&lt;&gt;""),"O"&amp; Data!CC56,IF(N71&lt;&gt;"",IF(OR(COUNTIF(N71,"L*"),COUNTIF(N71, "X*")),IF(AND(COUNTIF(N71,"*P*"),COUNTIF(N71,"*V*")),IF(COUNTIF(N71,"*R*"),SUBSTITUTE(SUBSTITUTE(N71,"P",""),"R","S")&amp; Data!CC56,SUBSTITUTE(N71,"P","")&amp; Data!CC56),IF(AND(COUNTIF(N71,"*P*"),COUNTIF(N71,"*R*")),SUBSTITUTE(N71,"R","S")&amp;Data!CC56,IF(AND(COUNTIF(N71,"*V*"),COUNTIF(N71,"*R*")),SUBSTITUTE(N71,"R","S")&amp;Data!CC56,N71 &amp; Data!CC56))),SUBSTITUTE(SUBSTITUTE(SUBSTITUTE(SUBSTITUTE(SUBSTITUTE(SUBSTITUTE(SUBSTITUTE(SUBSTITUTE(SUBSTITUTE(SUBSTITUTE(IF(AND(COUNTIF(N71,"*P*"),COUNTIF(N71,"*V*")),IF(COUNTIF(N71,"*R*"),SUBSTITUTE(SUBSTITUTE(N71,"P",""),"R","S"),SUBSTITUTE(N71,"P","")),IF(AND(COUNTIF(N71,"*P*"),COUNTIF(N71,"*R*")),SUBSTITUTE(N71,"R","S"),IF(AND(COUNTIF(N71,"*V*"),COUNTIF(N71,"*R*")),SUBSTITUTE(N71,"R","S"),N71))),"0",""),"1",""),"2",""),"3",""),"4",""),"5",""),"6",""),"7",""),"8",""),"9","")&amp; Data!CC56),""))</f>
        <v/>
      </c>
      <c r="O104" s="41" t="str">
        <f>IF(AND($Y$57=1,O71&lt;&gt;""),"O"&amp; Data!CD56,IF(O71&lt;&gt;"",IF(OR(COUNTIF(O71,"L*"),COUNTIF(O71, "X*")),IF(AND(COUNTIF(O71,"*P*"),COUNTIF(O71,"*V*")),IF(COUNTIF(O71,"*R*"),SUBSTITUTE(SUBSTITUTE(O71,"P",""),"R","S")&amp; Data!CD56,SUBSTITUTE(O71,"P","")&amp; Data!CD56),IF(AND(COUNTIF(O71,"*P*"),COUNTIF(O71,"*R*")),SUBSTITUTE(O71,"R","S")&amp;Data!CD56,IF(AND(COUNTIF(O71,"*V*"),COUNTIF(O71,"*R*")),SUBSTITUTE(O71,"R","S")&amp;Data!CD56,O71 &amp; Data!CD56))),SUBSTITUTE(SUBSTITUTE(SUBSTITUTE(SUBSTITUTE(SUBSTITUTE(SUBSTITUTE(SUBSTITUTE(SUBSTITUTE(SUBSTITUTE(SUBSTITUTE(IF(AND(COUNTIF(O71,"*P*"),COUNTIF(O71,"*V*")),IF(COUNTIF(O71,"*R*"),SUBSTITUTE(SUBSTITUTE(O71,"P",""),"R","S"),SUBSTITUTE(O71,"P","")),IF(AND(COUNTIF(O71,"*P*"),COUNTIF(O71,"*R*")),SUBSTITUTE(O71,"R","S"),IF(AND(COUNTIF(O71,"*V*"),COUNTIF(O71,"*R*")),SUBSTITUTE(O71,"R","S"),O71))),"0",""),"1",""),"2",""),"3",""),"4",""),"5",""),"6",""),"7",""),"8",""),"9","")&amp; Data!CD56),""))</f>
        <v/>
      </c>
      <c r="P104" s="41" t="str">
        <f>IF(AND($Y$57=1,P71&lt;&gt;""),"O"&amp; Data!CE56,IF(P71&lt;&gt;"",IF(OR(COUNTIF(P71,"L*"),COUNTIF(P71, "X*")),IF(AND(COUNTIF(P71,"*P*"),COUNTIF(P71,"*V*")),IF(COUNTIF(P71,"*R*"),SUBSTITUTE(SUBSTITUTE(P71,"P",""),"R","S")&amp; Data!CE56,SUBSTITUTE(P71,"P","")&amp; Data!CE56),IF(AND(COUNTIF(P71,"*P*"),COUNTIF(P71,"*R*")),SUBSTITUTE(P71,"R","S")&amp;Data!CE56,IF(AND(COUNTIF(P71,"*V*"),COUNTIF(P71,"*R*")),SUBSTITUTE(P71,"R","S")&amp;Data!CE56,P71 &amp; Data!CE56))),SUBSTITUTE(SUBSTITUTE(SUBSTITUTE(SUBSTITUTE(SUBSTITUTE(SUBSTITUTE(SUBSTITUTE(SUBSTITUTE(SUBSTITUTE(SUBSTITUTE(IF(AND(COUNTIF(P71,"*P*"),COUNTIF(P71,"*V*")),IF(COUNTIF(P71,"*R*"),SUBSTITUTE(SUBSTITUTE(P71,"P",""),"R","S"),SUBSTITUTE(P71,"P","")),IF(AND(COUNTIF(P71,"*P*"),COUNTIF(P71,"*R*")),SUBSTITUTE(P71,"R","S"),IF(AND(COUNTIF(P71,"*V*"),COUNTIF(P71,"*R*")),SUBSTITUTE(P71,"R","S"),P71))),"0",""),"1",""),"2",""),"3",""),"4",""),"5",""),"6",""),"7",""),"8",""),"9","")&amp; Data!CE56),""))</f>
        <v/>
      </c>
      <c r="Q104" s="41" t="str">
        <f>IF(AND($Y$57=1,Q71&lt;&gt;""),"O"&amp; Data!CF56,IF(Q71&lt;&gt;"",IF(OR(COUNTIF(Q71,"L*"),COUNTIF(Q71, "X*")),IF(AND(COUNTIF(Q71,"*P*"),COUNTIF(Q71,"*V*")),IF(COUNTIF(Q71,"*R*"),SUBSTITUTE(SUBSTITUTE(Q71,"P",""),"R","S")&amp; Data!CF56,SUBSTITUTE(Q71,"P","")&amp; Data!CF56),IF(AND(COUNTIF(Q71,"*P*"),COUNTIF(Q71,"*R*")),SUBSTITUTE(Q71,"R","S")&amp;Data!CF56,IF(AND(COUNTIF(Q71,"*V*"),COUNTIF(Q71,"*R*")),SUBSTITUTE(Q71,"R","S")&amp;Data!CF56,Q71 &amp; Data!CF56))),SUBSTITUTE(SUBSTITUTE(SUBSTITUTE(SUBSTITUTE(SUBSTITUTE(SUBSTITUTE(SUBSTITUTE(SUBSTITUTE(SUBSTITUTE(SUBSTITUTE(IF(AND(COUNTIF(Q71,"*P*"),COUNTIF(Q71,"*V*")),IF(COUNTIF(Q71,"*R*"),SUBSTITUTE(SUBSTITUTE(Q71,"P",""),"R","S"),SUBSTITUTE(Q71,"P","")),IF(AND(COUNTIF(Q71,"*P*"),COUNTIF(Q71,"*R*")),SUBSTITUTE(Q71,"R","S"),IF(AND(COUNTIF(Q71,"*V*"),COUNTIF(Q71,"*R*")),SUBSTITUTE(Q71,"R","S"),Q71))),"0",""),"1",""),"2",""),"3",""),"4",""),"5",""),"6",""),"7",""),"8",""),"9","")&amp; Data!CF56),""))</f>
        <v/>
      </c>
      <c r="R104" s="41" t="str">
        <f>IF(AND($Y$57=1,R71&lt;&gt;""),"O"&amp; Data!CG56,IF(R71&lt;&gt;"",IF(OR(COUNTIF(R71,"L*"),COUNTIF(R71, "X*")),IF(AND(COUNTIF(R71,"*P*"),COUNTIF(R71,"*V*")),IF(COUNTIF(R71,"*R*"),SUBSTITUTE(SUBSTITUTE(R71,"P",""),"R","S")&amp; Data!CG56,SUBSTITUTE(R71,"P","")&amp; Data!CG56),IF(AND(COUNTIF(R71,"*P*"),COUNTIF(R71,"*R*")),SUBSTITUTE(R71,"R","S")&amp;Data!CG56,IF(AND(COUNTIF(R71,"*V*"),COUNTIF(R71,"*R*")),SUBSTITUTE(R71,"R","S")&amp;Data!CG56,R71 &amp; Data!CG56))),SUBSTITUTE(SUBSTITUTE(SUBSTITUTE(SUBSTITUTE(SUBSTITUTE(SUBSTITUTE(SUBSTITUTE(SUBSTITUTE(SUBSTITUTE(SUBSTITUTE(IF(AND(COUNTIF(R71,"*P*"),COUNTIF(R71,"*V*")),IF(COUNTIF(R71,"*R*"),SUBSTITUTE(SUBSTITUTE(R71,"P",""),"R","S"),SUBSTITUTE(R71,"P","")),IF(AND(COUNTIF(R71,"*P*"),COUNTIF(R71,"*R*")),SUBSTITUTE(R71,"R","S"),IF(AND(COUNTIF(R71,"*V*"),COUNTIF(R71,"*R*")),SUBSTITUTE(R71,"R","S"),R71))),"0",""),"1",""),"2",""),"3",""),"4",""),"5",""),"6",""),"7",""),"8",""),"9","")&amp; Data!CG56),""))</f>
        <v/>
      </c>
      <c r="S104" s="41" t="str">
        <f>IF(AND($Y$57=1,S71&lt;&gt;""),"O"&amp; Data!CH56,IF(S71&lt;&gt;"",IF(OR(COUNTIF(S71,"L*"),COUNTIF(S71, "X*")),IF(AND(COUNTIF(S71,"*P*"),COUNTIF(S71,"*V*")),IF(COUNTIF(S71,"*R*"),SUBSTITUTE(SUBSTITUTE(S71,"P",""),"R","S")&amp; Data!CH56,SUBSTITUTE(S71,"P","")&amp; Data!CH56),IF(AND(COUNTIF(S71,"*P*"),COUNTIF(S71,"*R*")),SUBSTITUTE(S71,"R","S")&amp;Data!CH56,IF(AND(COUNTIF(S71,"*V*"),COUNTIF(S71,"*R*")),SUBSTITUTE(S71,"R","S")&amp;Data!CH56,S71 &amp; Data!CH56))),SUBSTITUTE(SUBSTITUTE(SUBSTITUTE(SUBSTITUTE(SUBSTITUTE(SUBSTITUTE(SUBSTITUTE(SUBSTITUTE(SUBSTITUTE(SUBSTITUTE(IF(AND(COUNTIF(S71,"*P*"),COUNTIF(S71,"*V*")),IF(COUNTIF(S71,"*R*"),SUBSTITUTE(SUBSTITUTE(S71,"P",""),"R","S"),SUBSTITUTE(S71,"P","")),IF(AND(COUNTIF(S71,"*P*"),COUNTIF(S71,"*R*")),SUBSTITUTE(S71,"R","S"),IF(AND(COUNTIF(S71,"*V*"),COUNTIF(S71,"*R*")),SUBSTITUTE(S71,"R","S"),S71))),"0",""),"1",""),"2",""),"3",""),"4",""),"5",""),"6",""),"7",""),"8",""),"9","")&amp; Data!CH56),""))</f>
        <v/>
      </c>
      <c r="T104" s="41" t="str">
        <f>IF(AND($Y$57=1,T71&lt;&gt;""),"O"&amp; Data!CI56,IF(T71&lt;&gt;"",IF(OR(COUNTIF(T71,"L*"),COUNTIF(T71, "X*")),IF(AND(COUNTIF(T71,"*P*"),COUNTIF(T71,"*V*")),IF(COUNTIF(T71,"*R*"),SUBSTITUTE(SUBSTITUTE(T71,"P",""),"R","S")&amp; Data!CI56,SUBSTITUTE(T71,"P","")&amp; Data!CI56),IF(AND(COUNTIF(T71,"*P*"),COUNTIF(T71,"*R*")),SUBSTITUTE(T71,"R","S")&amp;Data!CI56,IF(AND(COUNTIF(T71,"*V*"),COUNTIF(T71,"*R*")),SUBSTITUTE(T71,"R","S")&amp;Data!CI56,T71 &amp; Data!CI56))),SUBSTITUTE(SUBSTITUTE(SUBSTITUTE(SUBSTITUTE(SUBSTITUTE(SUBSTITUTE(SUBSTITUTE(SUBSTITUTE(SUBSTITUTE(SUBSTITUTE(IF(AND(COUNTIF(T71,"*P*"),COUNTIF(T71,"*V*")),IF(COUNTIF(T71,"*R*"),SUBSTITUTE(SUBSTITUTE(T71,"P",""),"R","S"),SUBSTITUTE(T71,"P","")),IF(AND(COUNTIF(T71,"*P*"),COUNTIF(T71,"*R*")),SUBSTITUTE(T71,"R","S"),IF(AND(COUNTIF(T71,"*V*"),COUNTIF(T71,"*R*")),SUBSTITUTE(T71,"R","S"),T71))),"0",""),"1",""),"2",""),"3",""),"4",""),"5",""),"6",""),"7",""),"8",""),"9","")&amp; Data!CI56),""))</f>
        <v/>
      </c>
      <c r="U104" s="41" t="str">
        <f>IF(AND($Y$57=1,U71&lt;&gt;""),"O"&amp; Data!CJ56,IF(U71&lt;&gt;"",IF(OR(COUNTIF(U71,"L*"),COUNTIF(U71, "X*")),IF(AND(COUNTIF(U71,"*P*"),COUNTIF(U71,"*V*")),IF(COUNTIF(U71,"*R*"),SUBSTITUTE(SUBSTITUTE(U71,"P",""),"R","S")&amp; Data!CJ56,SUBSTITUTE(U71,"P","")&amp; Data!CJ56),IF(AND(COUNTIF(U71,"*P*"),COUNTIF(U71,"*R*")),SUBSTITUTE(U71,"R","S")&amp;Data!CJ56,IF(AND(COUNTIF(U71,"*V*"),COUNTIF(U71,"*R*")),SUBSTITUTE(U71,"R","S")&amp;Data!CJ56,U71 &amp; Data!CJ56))),SUBSTITUTE(SUBSTITUTE(SUBSTITUTE(SUBSTITUTE(SUBSTITUTE(SUBSTITUTE(SUBSTITUTE(SUBSTITUTE(SUBSTITUTE(SUBSTITUTE(IF(AND(COUNTIF(U71,"*P*"),COUNTIF(U71,"*V*")),IF(COUNTIF(U71,"*R*"),SUBSTITUTE(SUBSTITUTE(U71,"P",""),"R","S"),SUBSTITUTE(U71,"P","")),IF(AND(COUNTIF(U71,"*P*"),COUNTIF(U71,"*R*")),SUBSTITUTE(U71,"R","S"),IF(AND(COUNTIF(U71,"*V*"),COUNTIF(U71,"*R*")),SUBSTITUTE(U71,"R","S"),U71))),"0",""),"1",""),"2",""),"3",""),"4",""),"5",""),"6",""),"7",""),"8",""),"9","")&amp; Data!CJ56),""))</f>
        <v/>
      </c>
      <c r="V104" s="41" t="str">
        <f>IF(AND($Y$57=1,V71&lt;&gt;""),"O"&amp; Data!CK56,IF(V71&lt;&gt;"",IF(OR(COUNTIF(V71,"L*"),COUNTIF(V71, "X*")),IF(AND(COUNTIF(V71,"*P*"),COUNTIF(V71,"*V*")),IF(COUNTIF(V71,"*R*"),SUBSTITUTE(SUBSTITUTE(V71,"P",""),"R","S")&amp; Data!CK56,SUBSTITUTE(V71,"P","")&amp; Data!CK56),IF(AND(COUNTIF(V71,"*P*"),COUNTIF(V71,"*R*")),SUBSTITUTE(V71,"R","S")&amp;Data!CK56,IF(AND(COUNTIF(V71,"*V*"),COUNTIF(V71,"*R*")),SUBSTITUTE(V71,"R","S")&amp;Data!CK56,V71 &amp; Data!CK56))),SUBSTITUTE(SUBSTITUTE(SUBSTITUTE(SUBSTITUTE(SUBSTITUTE(SUBSTITUTE(SUBSTITUTE(SUBSTITUTE(SUBSTITUTE(SUBSTITUTE(IF(AND(COUNTIF(V71,"*P*"),COUNTIF(V71,"*V*")),IF(COUNTIF(V71,"*R*"),SUBSTITUTE(SUBSTITUTE(V71,"P",""),"R","S"),SUBSTITUTE(V71,"P","")),IF(AND(COUNTIF(V71,"*P*"),COUNTIF(V71,"*R*")),SUBSTITUTE(V71,"R","S"),IF(AND(COUNTIF(V71,"*V*"),COUNTIF(V71,"*R*")),SUBSTITUTE(V71,"R","S"),V71))),"0",""),"1",""),"2",""),"3",""),"4",""),"5",""),"6",""),"7",""),"8",""),"9","")&amp; Data!CK56),""))</f>
        <v/>
      </c>
      <c r="W104" s="41" t="str">
        <f>IF(AND($Y$57=1,W71&lt;&gt;""),"O"&amp; Data!CL56,IF(W71&lt;&gt;"",IF(OR(COUNTIF(W71,"L*"),COUNTIF(W71, "X*")),IF(AND(COUNTIF(W71,"*P*"),COUNTIF(W71,"*V*")),IF(COUNTIF(W71,"*R*"),SUBSTITUTE(SUBSTITUTE(W71,"P",""),"R","S")&amp; Data!CL56,SUBSTITUTE(W71,"P","")&amp; Data!CL56),IF(AND(COUNTIF(W71,"*P*"),COUNTIF(W71,"*R*")),SUBSTITUTE(W71,"R","S")&amp;Data!CL56,IF(AND(COUNTIF(W71,"*V*"),COUNTIF(W71,"*R*")),SUBSTITUTE(W71,"R","S")&amp;Data!CL56,W71 &amp; Data!CL56))),SUBSTITUTE(SUBSTITUTE(SUBSTITUTE(SUBSTITUTE(SUBSTITUTE(SUBSTITUTE(SUBSTITUTE(SUBSTITUTE(SUBSTITUTE(SUBSTITUTE(IF(AND(COUNTIF(W71,"*P*"),COUNTIF(W71,"*V*")),IF(COUNTIF(W71,"*R*"),SUBSTITUTE(SUBSTITUTE(W71,"P",""),"R","S"),SUBSTITUTE(W71,"P","")),IF(AND(COUNTIF(W71,"*P*"),COUNTIF(W71,"*R*")),SUBSTITUTE(W71,"R","S"),IF(AND(COUNTIF(W71,"*V*"),COUNTIF(W71,"*R*")),SUBSTITUTE(W71,"R","S"),W71))),"0",""),"1",""),"2",""),"3",""),"4",""),"5",""),"6",""),"7",""),"8",""),"9","")&amp; Data!CL56),""))</f>
        <v/>
      </c>
      <c r="X104" s="41" t="str">
        <f>IF(AND($Y$57=1,X71&lt;&gt;""),"O"&amp; Data!CM56,IF(X71&lt;&gt;"",IF(OR(COUNTIF(X71,"L*"),COUNTIF(X71, "X*")),IF(AND(COUNTIF(X71,"*P*"),COUNTIF(X71,"*V*")),IF(COUNTIF(X71,"*R*"),SUBSTITUTE(SUBSTITUTE(X71,"P",""),"R","S")&amp; Data!CM56,SUBSTITUTE(X71,"P","")&amp; Data!CM56),IF(AND(COUNTIF(X71,"*P*"),COUNTIF(X71,"*R*")),SUBSTITUTE(X71,"R","S")&amp;Data!CM56,IF(AND(COUNTIF(X71,"*V*"),COUNTIF(X71,"*R*")),SUBSTITUTE(X71,"R","S")&amp;Data!CM56,X71 &amp; Data!CM56))),SUBSTITUTE(SUBSTITUTE(SUBSTITUTE(SUBSTITUTE(SUBSTITUTE(SUBSTITUTE(SUBSTITUTE(SUBSTITUTE(SUBSTITUTE(SUBSTITUTE(IF(AND(COUNTIF(X71,"*P*"),COUNTIF(X71,"*V*")),IF(COUNTIF(X71,"*R*"),SUBSTITUTE(SUBSTITUTE(X71,"P",""),"R","S"),SUBSTITUTE(X71,"P","")),IF(AND(COUNTIF(X71,"*P*"),COUNTIF(X71,"*R*")),SUBSTITUTE(X71,"R","S"),IF(AND(COUNTIF(X71,"*V*"),COUNTIF(X71,"*R*")),SUBSTITUTE(X71,"R","S"),X71))),"0",""),"1",""),"2",""),"3",""),"4",""),"5",""),"6",""),"7",""),"8",""),"9","")&amp; Data!CM56),""))</f>
        <v/>
      </c>
      <c r="Y104" s="41" t="str">
        <f>IF(AND($Y$57=1,Y71&lt;&gt;""),"O"&amp; Data!CN56,IF(Y71&lt;&gt;"",IF(OR(COUNTIF(Y71,"L*"),COUNTIF(Y71, "X*")),IF(AND(COUNTIF(Y71,"*P*"),COUNTIF(Y71,"*V*")),IF(COUNTIF(Y71,"*R*"),SUBSTITUTE(SUBSTITUTE(Y71,"P",""),"R","S")&amp; Data!CN56,SUBSTITUTE(Y71,"P","")&amp; Data!CN56),IF(AND(COUNTIF(Y71,"*P*"),COUNTIF(Y71,"*R*")),SUBSTITUTE(Y71,"R","S")&amp;Data!CN56,IF(AND(COUNTIF(Y71,"*V*"),COUNTIF(Y71,"*R*")),SUBSTITUTE(Y71,"R","S")&amp;Data!CN56,Y71 &amp; Data!CN56))),SUBSTITUTE(SUBSTITUTE(SUBSTITUTE(SUBSTITUTE(SUBSTITUTE(SUBSTITUTE(SUBSTITUTE(SUBSTITUTE(SUBSTITUTE(SUBSTITUTE(IF(AND(COUNTIF(Y71,"*P*"),COUNTIF(Y71,"*V*")),IF(COUNTIF(Y71,"*R*"),SUBSTITUTE(SUBSTITUTE(Y71,"P",""),"R","S"),SUBSTITUTE(Y71,"P","")),IF(AND(COUNTIF(Y71,"*P*"),COUNTIF(Y71,"*R*")),SUBSTITUTE(Y71,"R","S"),IF(AND(COUNTIF(Y71,"*V*"),COUNTIF(Y71,"*R*")),SUBSTITUTE(Y71,"R","S"),Y71))),"0",""),"1",""),"2",""),"3",""),"4",""),"5",""),"6",""),"7",""),"8",""),"9","")&amp; Data!CN56),""))</f>
        <v/>
      </c>
      <c r="Z104" s="41" t="str">
        <f>IF(AND($Y$57=1,Z71&lt;&gt;""),"O"&amp; Data!CO56,IF(Z71&lt;&gt;"",IF(OR(COUNTIF(Z71,"L*"),COUNTIF(Z71, "X*")),IF(AND(COUNTIF(Z71,"*P*"),COUNTIF(Z71,"*V*")),IF(COUNTIF(Z71,"*R*"),SUBSTITUTE(SUBSTITUTE(Z71,"P",""),"R","S")&amp; Data!CO56,SUBSTITUTE(Z71,"P","")&amp; Data!CO56),IF(AND(COUNTIF(Z71,"*P*"),COUNTIF(Z71,"*R*")),SUBSTITUTE(Z71,"R","S")&amp;Data!CO56,IF(AND(COUNTIF(Z71,"*V*"),COUNTIF(Z71,"*R*")),SUBSTITUTE(Z71,"R","S")&amp;Data!CO56,Z71 &amp; Data!CO56))),SUBSTITUTE(SUBSTITUTE(SUBSTITUTE(SUBSTITUTE(SUBSTITUTE(SUBSTITUTE(SUBSTITUTE(SUBSTITUTE(SUBSTITUTE(SUBSTITUTE(IF(AND(COUNTIF(Z71,"*P*"),COUNTIF(Z71,"*V*")),IF(COUNTIF(Z71,"*R*"),SUBSTITUTE(SUBSTITUTE(Z71,"P",""),"R","S"),SUBSTITUTE(Z71,"P","")),IF(AND(COUNTIF(Z71,"*P*"),COUNTIF(Z71,"*R*")),SUBSTITUTE(Z71,"R","S"),IF(AND(COUNTIF(Z71,"*V*"),COUNTIF(Z71,"*R*")),SUBSTITUTE(Z71,"R","S"),Z71))),"0",""),"1",""),"2",""),"3",""),"4",""),"5",""),"6",""),"7",""),"8",""),"9","")&amp; Data!CO56),""))</f>
        <v/>
      </c>
      <c r="AA104" s="41" t="str">
        <f>IF(AND($Y$57=1,AA71&lt;&gt;""),"O"&amp; Data!CP56,IF(AA71&lt;&gt;"",IF(OR(COUNTIF(AA71,"L*"),COUNTIF(AA71, "X*")),IF(AND(COUNTIF(AA71,"*P*"),COUNTIF(AA71,"*V*")),IF(COUNTIF(AA71,"*R*"),SUBSTITUTE(SUBSTITUTE(AA71,"P",""),"R","S")&amp; Data!CP56,SUBSTITUTE(AA71,"P","")&amp; Data!CP56),IF(AND(COUNTIF(AA71,"*P*"),COUNTIF(AA71,"*R*")),SUBSTITUTE(AA71,"R","S")&amp;Data!CP56,IF(AND(COUNTIF(AA71,"*V*"),COUNTIF(AA71,"*R*")),SUBSTITUTE(AA71,"R","S")&amp;Data!CP56,AA71 &amp; Data!CP56))),SUBSTITUTE(SUBSTITUTE(SUBSTITUTE(SUBSTITUTE(SUBSTITUTE(SUBSTITUTE(SUBSTITUTE(SUBSTITUTE(SUBSTITUTE(SUBSTITUTE(IF(AND(COUNTIF(AA71,"*P*"),COUNTIF(AA71,"*V*")),IF(COUNTIF(AA71,"*R*"),SUBSTITUTE(SUBSTITUTE(AA71,"P",""),"R","S"),SUBSTITUTE(AA71,"P","")),IF(AND(COUNTIF(AA71,"*P*"),COUNTIF(AA71,"*R*")),SUBSTITUTE(AA71,"R","S"),IF(AND(COUNTIF(AA71,"*V*"),COUNTIF(AA71,"*R*")),SUBSTITUTE(AA71,"R","S"),AA71))),"0",""),"1",""),"2",""),"3",""),"4",""),"5",""),"6",""),"7",""),"8",""),"9","")&amp; Data!CP56),""))</f>
        <v/>
      </c>
      <c r="AB104" s="41" t="str">
        <f>IF(AND($Y$57=1,AB71&lt;&gt;""),"O"&amp; Data!CQ56,IF(AB71&lt;&gt;"",IF(OR(COUNTIF(AB71,"L*"),COUNTIF(AB71, "X*")),IF(AND(COUNTIF(AB71,"*P*"),COUNTIF(AB71,"*V*")),IF(COUNTIF(AB71,"*R*"),SUBSTITUTE(SUBSTITUTE(AB71,"P",""),"R","S")&amp; Data!CQ56,SUBSTITUTE(AB71,"P","")&amp; Data!CQ56),IF(AND(COUNTIF(AB71,"*P*"),COUNTIF(AB71,"*R*")),SUBSTITUTE(AB71,"R","S")&amp;Data!CQ56,IF(AND(COUNTIF(AB71,"*V*"),COUNTIF(AB71,"*R*")),SUBSTITUTE(AB71,"R","S")&amp;Data!CQ56,AB71 &amp; Data!CQ56))),SUBSTITUTE(SUBSTITUTE(SUBSTITUTE(SUBSTITUTE(SUBSTITUTE(SUBSTITUTE(SUBSTITUTE(SUBSTITUTE(SUBSTITUTE(SUBSTITUTE(IF(AND(COUNTIF(AB71,"*P*"),COUNTIF(AB71,"*V*")),IF(COUNTIF(AB71,"*R*"),SUBSTITUTE(SUBSTITUTE(AB71,"P",""),"R","S"),SUBSTITUTE(AB71,"P","")),IF(AND(COUNTIF(AB71,"*P*"),COUNTIF(AB71,"*R*")),SUBSTITUTE(AB71,"R","S"),IF(AND(COUNTIF(AB71,"*V*"),COUNTIF(AB71,"*R*")),SUBSTITUTE(AB71,"R","S"),AB71))),"0",""),"1",""),"2",""),"3",""),"4",""),"5",""),"6",""),"7",""),"8",""),"9","")&amp; Data!CQ56),""))</f>
        <v/>
      </c>
      <c r="AC104" s="41" t="str">
        <f>IF(AND($Y$57=1,AC71&lt;&gt;""),"O"&amp; Data!CR56,IF(AC71&lt;&gt;"",IF(OR(COUNTIF(AC71,"L*"),COUNTIF(AC71, "X*")),IF(AND(COUNTIF(AC71,"*P*"),COUNTIF(AC71,"*V*")),IF(COUNTIF(AC71,"*R*"),SUBSTITUTE(SUBSTITUTE(AC71,"P",""),"R","S")&amp; Data!CR56,SUBSTITUTE(AC71,"P","")&amp; Data!CR56),IF(AND(COUNTIF(AC71,"*P*"),COUNTIF(AC71,"*R*")),SUBSTITUTE(AC71,"R","S")&amp;Data!CR56,IF(AND(COUNTIF(AC71,"*V*"),COUNTIF(AC71,"*R*")),SUBSTITUTE(AC71,"R","S")&amp;Data!CR56,AC71 &amp; Data!CR56))),SUBSTITUTE(SUBSTITUTE(SUBSTITUTE(SUBSTITUTE(SUBSTITUTE(SUBSTITUTE(SUBSTITUTE(SUBSTITUTE(SUBSTITUTE(SUBSTITUTE(IF(AND(COUNTIF(AC71,"*P*"),COUNTIF(AC71,"*V*")),IF(COUNTIF(AC71,"*R*"),SUBSTITUTE(SUBSTITUTE(AC71,"P",""),"R","S"),SUBSTITUTE(AC71,"P","")),IF(AND(COUNTIF(AC71,"*P*"),COUNTIF(AC71,"*R*")),SUBSTITUTE(AC71,"R","S"),IF(AND(COUNTIF(AC71,"*V*"),COUNTIF(AC71,"*R*")),SUBSTITUTE(AC71,"R","S"),AC71))),"0",""),"1",""),"2",""),"3",""),"4",""),"5",""),"6",""),"7",""),"8",""),"9","")&amp; Data!CR56),""))</f>
        <v/>
      </c>
      <c r="AD104" s="41" t="str">
        <f>IF(AND($Y$57=1,AD71&lt;&gt;""),"O"&amp; Data!CS56,IF(AD71&lt;&gt;"",IF(OR(COUNTIF(AD71,"L*"),COUNTIF(AD71, "X*")),IF(AND(COUNTIF(AD71,"*P*"),COUNTIF(AD71,"*V*")),IF(COUNTIF(AD71,"*R*"),SUBSTITUTE(SUBSTITUTE(AD71,"P",""),"R","S")&amp; Data!CS56,SUBSTITUTE(AD71,"P","")&amp; Data!CS56),IF(AND(COUNTIF(AD71,"*P*"),COUNTIF(AD71,"*R*")),SUBSTITUTE(AD71,"R","S")&amp;Data!CS56,IF(AND(COUNTIF(AD71,"*V*"),COUNTIF(AD71,"*R*")),SUBSTITUTE(AD71,"R","S")&amp;Data!CS56,AD71 &amp; Data!CS56))),SUBSTITUTE(SUBSTITUTE(SUBSTITUTE(SUBSTITUTE(SUBSTITUTE(SUBSTITUTE(SUBSTITUTE(SUBSTITUTE(SUBSTITUTE(SUBSTITUTE(IF(AND(COUNTIF(AD71,"*P*"),COUNTIF(AD71,"*V*")),IF(COUNTIF(AD71,"*R*"),SUBSTITUTE(SUBSTITUTE(AD71,"P",""),"R","S"),SUBSTITUTE(AD71,"P","")),IF(AND(COUNTIF(AD71,"*P*"),COUNTIF(AD71,"*R*")),SUBSTITUTE(AD71,"R","S"),IF(AND(COUNTIF(AD71,"*V*"),COUNTIF(AD71,"*R*")),SUBSTITUTE(AD71,"R","S"),AD71))),"0",""),"1",""),"2",""),"3",""),"4",""),"5",""),"6",""),"7",""),"8",""),"9","")&amp; Data!CS56),""))</f>
        <v/>
      </c>
      <c r="AE104" s="41" t="str">
        <f>IF(AND($Y$57=1,AE71&lt;&gt;""),"O"&amp; Data!CT56,IF(AE71&lt;&gt;"",IF(OR(COUNTIF(AE71,"L*"),COUNTIF(AE71, "X*")),IF(AND(COUNTIF(AE71,"*P*"),COUNTIF(AE71,"*V*")),IF(COUNTIF(AE71,"*R*"),SUBSTITUTE(SUBSTITUTE(AE71,"P",""),"R","S")&amp; Data!CT56,SUBSTITUTE(AE71,"P","")&amp; Data!CT56),IF(AND(COUNTIF(AE71,"*P*"),COUNTIF(AE71,"*R*")),SUBSTITUTE(AE71,"R","S")&amp;Data!CT56,IF(AND(COUNTIF(AE71,"*V*"),COUNTIF(AE71,"*R*")),SUBSTITUTE(AE71,"R","S")&amp;Data!CT56,AE71 &amp; Data!CT56))),SUBSTITUTE(SUBSTITUTE(SUBSTITUTE(SUBSTITUTE(SUBSTITUTE(SUBSTITUTE(SUBSTITUTE(SUBSTITUTE(SUBSTITUTE(SUBSTITUTE(IF(AND(COUNTIF(AE71,"*P*"),COUNTIF(AE71,"*V*")),IF(COUNTIF(AE71,"*R*"),SUBSTITUTE(SUBSTITUTE(AE71,"P",""),"R","S"),SUBSTITUTE(AE71,"P","")),IF(AND(COUNTIF(AE71,"*P*"),COUNTIF(AE71,"*R*")),SUBSTITUTE(AE71,"R","S"),IF(AND(COUNTIF(AE71,"*V*"),COUNTIF(AE71,"*R*")),SUBSTITUTE(AE71,"R","S"),AE71))),"0",""),"1",""),"2",""),"3",""),"4",""),"5",""),"6",""),"7",""),"8",""),"9","")&amp; Data!CT56),""))</f>
        <v/>
      </c>
      <c r="AF104" s="41" t="str">
        <f>IF(AND($Y$57=1,AF71&lt;&gt;""),"O"&amp; Data!CU56,IF(AF71&lt;&gt;"",IF(OR(COUNTIF(AF71,"L*"),COUNTIF(AF71, "X*")),IF(AND(COUNTIF(AF71,"*P*"),COUNTIF(AF71,"*V*")),IF(COUNTIF(AF71,"*R*"),SUBSTITUTE(SUBSTITUTE(AF71,"P",""),"R","S")&amp; Data!CU56,SUBSTITUTE(AF71,"P","")&amp; Data!CU56),IF(AND(COUNTIF(AF71,"*P*"),COUNTIF(AF71,"*R*")),SUBSTITUTE(AF71,"R","S")&amp;Data!CU56,IF(AND(COUNTIF(AF71,"*V*"),COUNTIF(AF71,"*R*")),SUBSTITUTE(AF71,"R","S")&amp;Data!CU56,AF71 &amp; Data!CU56))),SUBSTITUTE(SUBSTITUTE(SUBSTITUTE(SUBSTITUTE(SUBSTITUTE(SUBSTITUTE(SUBSTITUTE(SUBSTITUTE(SUBSTITUTE(SUBSTITUTE(IF(AND(COUNTIF(AF71,"*P*"),COUNTIF(AF71,"*V*")),IF(COUNTIF(AF71,"*R*"),SUBSTITUTE(SUBSTITUTE(AF71,"P",""),"R","S"),SUBSTITUTE(AF71,"P","")),IF(AND(COUNTIF(AF71,"*P*"),COUNTIF(AF71,"*R*")),SUBSTITUTE(AF71,"R","S"),IF(AND(COUNTIF(AF71,"*V*"),COUNTIF(AF71,"*R*")),SUBSTITUTE(AF71,"R","S"),AF71))),"0",""),"1",""),"2",""),"3",""),"4",""),"5",""),"6",""),"7",""),"8",""),"9","")&amp; Data!CU56),""))</f>
        <v/>
      </c>
      <c r="AG104" s="41" t="str">
        <f>IF(AND($Y$57=1,AG71&lt;&gt;""),"O"&amp; Data!CV56,IF(AG71&lt;&gt;"",IF(OR(COUNTIF(AG71,"L*"),COUNTIF(AG71, "X*")),IF(AND(COUNTIF(AG71,"*P*"),COUNTIF(AG71,"*V*")),IF(COUNTIF(AG71,"*R*"),SUBSTITUTE(SUBSTITUTE(AG71,"P",""),"R","S")&amp; Data!CV56,SUBSTITUTE(AG71,"P","")&amp; Data!CV56),IF(AND(COUNTIF(AG71,"*P*"),COUNTIF(AG71,"*R*")),SUBSTITUTE(AG71,"R","S")&amp;Data!CV56,IF(AND(COUNTIF(AG71,"*V*"),COUNTIF(AG71,"*R*")),SUBSTITUTE(AG71,"R","S")&amp;Data!CV56,AG71 &amp; Data!CV56))),SUBSTITUTE(SUBSTITUTE(SUBSTITUTE(SUBSTITUTE(SUBSTITUTE(SUBSTITUTE(SUBSTITUTE(SUBSTITUTE(SUBSTITUTE(SUBSTITUTE(IF(AND(COUNTIF(AG71,"*P*"),COUNTIF(AG71,"*V*")),IF(COUNTIF(AG71,"*R*"),SUBSTITUTE(SUBSTITUTE(AG71,"P",""),"R","S"),SUBSTITUTE(AG71,"P","")),IF(AND(COUNTIF(AG71,"*P*"),COUNTIF(AG71,"*R*")),SUBSTITUTE(AG71,"R","S"),IF(AND(COUNTIF(AG71,"*V*"),COUNTIF(AG71,"*R*")),SUBSTITUTE(AG71,"R","S"),AG71))),"0",""),"1",""),"2",""),"3",""),"4",""),"5",""),"6",""),"7",""),"8",""),"9","")&amp; Data!CV56),""))</f>
        <v/>
      </c>
      <c r="AH104" s="41" t="str">
        <f>IF(AND($Y$57=1,AH71&lt;&gt;""),"O"&amp; Data!CW56,IF(AH71&lt;&gt;"",IF(OR(COUNTIF(AH71,"L*"),COUNTIF(AH71, "X*")),IF(AND(COUNTIF(AH71,"*P*"),COUNTIF(AH71,"*V*")),IF(COUNTIF(AH71,"*R*"),SUBSTITUTE(SUBSTITUTE(AH71,"P",""),"R","S")&amp; Data!CW56,SUBSTITUTE(AH71,"P","")&amp; Data!CW56),IF(AND(COUNTIF(AH71,"*P*"),COUNTIF(AH71,"*R*")),SUBSTITUTE(AH71,"R","S")&amp;Data!CW56,IF(AND(COUNTIF(AH71,"*V*"),COUNTIF(AH71,"*R*")),SUBSTITUTE(AH71,"R","S")&amp;Data!CW56,AH71 &amp; Data!CW56))),SUBSTITUTE(SUBSTITUTE(SUBSTITUTE(SUBSTITUTE(SUBSTITUTE(SUBSTITUTE(SUBSTITUTE(SUBSTITUTE(SUBSTITUTE(SUBSTITUTE(IF(AND(COUNTIF(AH71,"*P*"),COUNTIF(AH71,"*V*")),IF(COUNTIF(AH71,"*R*"),SUBSTITUTE(SUBSTITUTE(AH71,"P",""),"R","S"),SUBSTITUTE(AH71,"P","")),IF(AND(COUNTIF(AH71,"*P*"),COUNTIF(AH71,"*R*")),SUBSTITUTE(AH71,"R","S"),IF(AND(COUNTIF(AH71,"*V*"),COUNTIF(AH71,"*R*")),SUBSTITUTE(AH71,"R","S"),AH71))),"0",""),"1",""),"2",""),"3",""),"4",""),"5",""),"6",""),"7",""),"8",""),"9","")&amp; Data!CW56),""))</f>
        <v/>
      </c>
      <c r="AI104" s="41" t="str">
        <f>IF(AND($Y$57=1,AI71&lt;&gt;""),"O"&amp; Data!CX56,IF(AI71&lt;&gt;"",IF(OR(COUNTIF(AI71,"L*"),COUNTIF(AI71, "X*")),IF(AND(COUNTIF(AI71,"*P*"),COUNTIF(AI71,"*V*")),IF(COUNTIF(AI71,"*R*"),SUBSTITUTE(SUBSTITUTE(AI71,"P",""),"R","S")&amp; Data!CX56,SUBSTITUTE(AI71,"P","")&amp; Data!CX56),IF(AND(COUNTIF(AI71,"*P*"),COUNTIF(AI71,"*R*")),SUBSTITUTE(AI71,"R","S")&amp;Data!CX56,IF(AND(COUNTIF(AI71,"*V*"),COUNTIF(AI71,"*R*")),SUBSTITUTE(AI71,"R","S")&amp;Data!CX56,AI71 &amp; Data!CX56))),SUBSTITUTE(SUBSTITUTE(SUBSTITUTE(SUBSTITUTE(SUBSTITUTE(SUBSTITUTE(SUBSTITUTE(SUBSTITUTE(SUBSTITUTE(SUBSTITUTE(IF(AND(COUNTIF(AI71,"*P*"),COUNTIF(AI71,"*V*")),IF(COUNTIF(AI71,"*R*"),SUBSTITUTE(SUBSTITUTE(AI71,"P",""),"R","S"),SUBSTITUTE(AI71,"P","")),IF(AND(COUNTIF(AI71,"*P*"),COUNTIF(AI71,"*R*")),SUBSTITUTE(AI71,"R","S"),IF(AND(COUNTIF(AI71,"*V*"),COUNTIF(AI71,"*R*")),SUBSTITUTE(AI71,"R","S"),AI71))),"0",""),"1",""),"2",""),"3",""),"4",""),"5",""),"6",""),"7",""),"8",""),"9","")&amp; Data!CX56),""))</f>
        <v/>
      </c>
      <c r="AJ104" s="41" t="str">
        <f>IF(AND($Y$57=1,AJ71&lt;&gt;""),"O"&amp; Data!CY56,IF(AJ71&lt;&gt;"",IF(OR(COUNTIF(AJ71,"L*"),COUNTIF(AJ71, "X*")),IF(AND(COUNTIF(AJ71,"*P*"),COUNTIF(AJ71,"*V*")),IF(COUNTIF(AJ71,"*R*"),SUBSTITUTE(SUBSTITUTE(AJ71,"P",""),"R","S")&amp; Data!CY56,SUBSTITUTE(AJ71,"P","")&amp; Data!CY56),IF(AND(COUNTIF(AJ71,"*P*"),COUNTIF(AJ71,"*R*")),SUBSTITUTE(AJ71,"R","S")&amp;Data!CY56,IF(AND(COUNTIF(AJ71,"*V*"),COUNTIF(AJ71,"*R*")),SUBSTITUTE(AJ71,"R","S")&amp;Data!CY56,AJ71 &amp; Data!CY56))),SUBSTITUTE(SUBSTITUTE(SUBSTITUTE(SUBSTITUTE(SUBSTITUTE(SUBSTITUTE(SUBSTITUTE(SUBSTITUTE(SUBSTITUTE(SUBSTITUTE(IF(AND(COUNTIF(AJ71,"*P*"),COUNTIF(AJ71,"*V*")),IF(COUNTIF(AJ71,"*R*"),SUBSTITUTE(SUBSTITUTE(AJ71,"P",""),"R","S"),SUBSTITUTE(AJ71,"P","")),IF(AND(COUNTIF(AJ71,"*P*"),COUNTIF(AJ71,"*R*")),SUBSTITUTE(AJ71,"R","S"),IF(AND(COUNTIF(AJ71,"*V*"),COUNTIF(AJ71,"*R*")),SUBSTITUTE(AJ71,"R","S"),AJ71))),"0",""),"1",""),"2",""),"3",""),"4",""),"5",""),"6",""),"7",""),"8",""),"9","")&amp; Data!CY56),""))</f>
        <v/>
      </c>
      <c r="AP104" s="99" t="s">
        <v>21</v>
      </c>
      <c r="AQ104" s="99">
        <f>SUM(AQ94:AQ103)</f>
        <v>0</v>
      </c>
      <c r="AR104" s="1246"/>
      <c r="AS104" s="1246"/>
      <c r="AT104" s="1246"/>
      <c r="AU104" s="1246"/>
      <c r="AV104" s="99">
        <f>SUM(AV94:AV103)</f>
        <v>0</v>
      </c>
      <c r="AW104" s="99">
        <f>SUM(AW94:AW103)</f>
        <v>0</v>
      </c>
      <c r="AX104" s="99">
        <f>SUM(AX94:AX103)</f>
        <v>0</v>
      </c>
    </row>
    <row r="105" spans="1:54" ht="24" customHeight="1" thickBot="1" x14ac:dyDescent="0.4">
      <c r="A105" s="1197"/>
      <c r="B105" s="23">
        <v>12</v>
      </c>
      <c r="C105" s="41" t="str">
        <f>IF(AND($Y$57=1,C72&lt;&gt;""),"O"&amp; Data!BR57,IF(C72&lt;&gt;"",IF(OR(COUNTIF(C72,"L*"),COUNTIF(C72, "X*")),IF(AND(COUNTIF(C72,"*P*"),COUNTIF(C72,"*V*")),IF(COUNTIF(C72,"*R*"),SUBSTITUTE(SUBSTITUTE(C72,"P",""),"R","S")&amp; Data!BR57,SUBSTITUTE(C72,"P","")&amp; Data!BR57),IF(AND(COUNTIF(C72,"*P*"),COUNTIF(C72,"*R*")),SUBSTITUTE(C72,"R","S")&amp;Data!BR57,IF(AND(COUNTIF(C72,"*V*"),COUNTIF(C72,"*R*")),SUBSTITUTE(C72,"R","S")&amp;Data!BR57,C72 &amp; Data!BR57))),SUBSTITUTE(SUBSTITUTE(SUBSTITUTE(SUBSTITUTE(SUBSTITUTE(SUBSTITUTE(SUBSTITUTE(SUBSTITUTE(SUBSTITUTE(SUBSTITUTE(IF(AND(COUNTIF(C72,"*P*"),COUNTIF(C72,"*V*")),IF(COUNTIF(C72,"*R*"),SUBSTITUTE(SUBSTITUTE(C72,"P",""),"R","S"),SUBSTITUTE(C72,"P","")),IF(AND(COUNTIF(C72,"*P*"),COUNTIF(C72,"*R*")),SUBSTITUTE(C72,"R","S"),IF(AND(COUNTIF(C72,"*V*"),COUNTIF(C72,"*R*")),SUBSTITUTE(C72,"R","S"),C72))),"0",""),"1",""),"2",""),"3",""),"4",""),"5",""),"6",""),"7",""),"8",""),"9","")&amp; Data!BR57),""))</f>
        <v/>
      </c>
      <c r="D105" s="41" t="str">
        <f>IF(AND($Y$57=1,D72&lt;&gt;""),"O"&amp; Data!BS57,IF(D72&lt;&gt;"",IF(OR(COUNTIF(D72,"L*"),COUNTIF(D72, "X*")),IF(AND(COUNTIF(D72,"*P*"),COUNTIF(D72,"*V*")),IF(COUNTIF(D72,"*R*"),SUBSTITUTE(SUBSTITUTE(D72,"P",""),"R","S")&amp; Data!BS57,SUBSTITUTE(D72,"P","")&amp; Data!BS57),IF(AND(COUNTIF(D72,"*P*"),COUNTIF(D72,"*R*")),SUBSTITUTE(D72,"R","S")&amp;Data!BS57,IF(AND(COUNTIF(D72,"*V*"),COUNTIF(D72,"*R*")),SUBSTITUTE(D72,"R","S")&amp;Data!BS57,D72 &amp; Data!BS57))),SUBSTITUTE(SUBSTITUTE(SUBSTITUTE(SUBSTITUTE(SUBSTITUTE(SUBSTITUTE(SUBSTITUTE(SUBSTITUTE(SUBSTITUTE(SUBSTITUTE(IF(AND(COUNTIF(D72,"*P*"),COUNTIF(D72,"*V*")),IF(COUNTIF(D72,"*R*"),SUBSTITUTE(SUBSTITUTE(D72,"P",""),"R","S"),SUBSTITUTE(D72,"P","")),IF(AND(COUNTIF(D72,"*P*"),COUNTIF(D72,"*R*")),SUBSTITUTE(D72,"R","S"),IF(AND(COUNTIF(D72,"*V*"),COUNTIF(D72,"*R*")),SUBSTITUTE(D72,"R","S"),D72))),"0",""),"1",""),"2",""),"3",""),"4",""),"5",""),"6",""),"7",""),"8",""),"9","")&amp; Data!BS57),""))</f>
        <v/>
      </c>
      <c r="E105" s="41" t="str">
        <f>IF(AND($Y$57=1,E72&lt;&gt;""),"O"&amp; Data!BT57,IF(E72&lt;&gt;"",IF(OR(COUNTIF(E72,"L*"),COUNTIF(E72, "X*")),IF(AND(COUNTIF(E72,"*P*"),COUNTIF(E72,"*V*")),IF(COUNTIF(E72,"*R*"),SUBSTITUTE(SUBSTITUTE(E72,"P",""),"R","S")&amp; Data!BT57,SUBSTITUTE(E72,"P","")&amp; Data!BT57),IF(AND(COUNTIF(E72,"*P*"),COUNTIF(E72,"*R*")),SUBSTITUTE(E72,"R","S")&amp;Data!BT57,IF(AND(COUNTIF(E72,"*V*"),COUNTIF(E72,"*R*")),SUBSTITUTE(E72,"R","S")&amp;Data!BT57,E72 &amp; Data!BT57))),SUBSTITUTE(SUBSTITUTE(SUBSTITUTE(SUBSTITUTE(SUBSTITUTE(SUBSTITUTE(SUBSTITUTE(SUBSTITUTE(SUBSTITUTE(SUBSTITUTE(IF(AND(COUNTIF(E72,"*P*"),COUNTIF(E72,"*V*")),IF(COUNTIF(E72,"*R*"),SUBSTITUTE(SUBSTITUTE(E72,"P",""),"R","S"),SUBSTITUTE(E72,"P","")),IF(AND(COUNTIF(E72,"*P*"),COUNTIF(E72,"*R*")),SUBSTITUTE(E72,"R","S"),IF(AND(COUNTIF(E72,"*V*"),COUNTIF(E72,"*R*")),SUBSTITUTE(E72,"R","S"),E72))),"0",""),"1",""),"2",""),"3",""),"4",""),"5",""),"6",""),"7",""),"8",""),"9","")&amp; Data!BT57),""))</f>
        <v/>
      </c>
      <c r="F105" s="41" t="str">
        <f>IF(AND($Y$57=1,F72&lt;&gt;""),"O"&amp; Data!BU57,IF(F72&lt;&gt;"",IF(OR(COUNTIF(F72,"L*"),COUNTIF(F72, "X*")),IF(AND(COUNTIF(F72,"*P*"),COUNTIF(F72,"*V*")),IF(COUNTIF(F72,"*R*"),SUBSTITUTE(SUBSTITUTE(F72,"P",""),"R","S")&amp; Data!BU57,SUBSTITUTE(F72,"P","")&amp; Data!BU57),IF(AND(COUNTIF(F72,"*P*"),COUNTIF(F72,"*R*")),SUBSTITUTE(F72,"R","S")&amp;Data!BU57,IF(AND(COUNTIF(F72,"*V*"),COUNTIF(F72,"*R*")),SUBSTITUTE(F72,"R","S")&amp;Data!BU57,F72 &amp; Data!BU57))),SUBSTITUTE(SUBSTITUTE(SUBSTITUTE(SUBSTITUTE(SUBSTITUTE(SUBSTITUTE(SUBSTITUTE(SUBSTITUTE(SUBSTITUTE(SUBSTITUTE(IF(AND(COUNTIF(F72,"*P*"),COUNTIF(F72,"*V*")),IF(COUNTIF(F72,"*R*"),SUBSTITUTE(SUBSTITUTE(F72,"P",""),"R","S"),SUBSTITUTE(F72,"P","")),IF(AND(COUNTIF(F72,"*P*"),COUNTIF(F72,"*R*")),SUBSTITUTE(F72,"R","S"),IF(AND(COUNTIF(F72,"*V*"),COUNTIF(F72,"*R*")),SUBSTITUTE(F72,"R","S"),F72))),"0",""),"1",""),"2",""),"3",""),"4",""),"5",""),"6",""),"7",""),"8",""),"9","")&amp; Data!BU57),""))</f>
        <v/>
      </c>
      <c r="G105" s="41" t="str">
        <f>IF(AND($Y$57=1,G72&lt;&gt;""),"O"&amp; Data!BV57,IF(G72&lt;&gt;"",IF(OR(COUNTIF(G72,"L*"),COUNTIF(G72, "X*")),IF(AND(COUNTIF(G72,"*P*"),COUNTIF(G72,"*V*")),IF(COUNTIF(G72,"*R*"),SUBSTITUTE(SUBSTITUTE(G72,"P",""),"R","S")&amp; Data!BV57,SUBSTITUTE(G72,"P","")&amp; Data!BV57),IF(AND(COUNTIF(G72,"*P*"),COUNTIF(G72,"*R*")),SUBSTITUTE(G72,"R","S")&amp;Data!BV57,IF(AND(COUNTIF(G72,"*V*"),COUNTIF(G72,"*R*")),SUBSTITUTE(G72,"R","S")&amp;Data!BV57,G72 &amp; Data!BV57))),SUBSTITUTE(SUBSTITUTE(SUBSTITUTE(SUBSTITUTE(SUBSTITUTE(SUBSTITUTE(SUBSTITUTE(SUBSTITUTE(SUBSTITUTE(SUBSTITUTE(IF(AND(COUNTIF(G72,"*P*"),COUNTIF(G72,"*V*")),IF(COUNTIF(G72,"*R*"),SUBSTITUTE(SUBSTITUTE(G72,"P",""),"R","S"),SUBSTITUTE(G72,"P","")),IF(AND(COUNTIF(G72,"*P*"),COUNTIF(G72,"*R*")),SUBSTITUTE(G72,"R","S"),IF(AND(COUNTIF(G72,"*V*"),COUNTIF(G72,"*R*")),SUBSTITUTE(G72,"R","S"),G72))),"0",""),"1",""),"2",""),"3",""),"4",""),"5",""),"6",""),"7",""),"8",""),"9","")&amp; Data!BV57),""))</f>
        <v/>
      </c>
      <c r="H105" s="41" t="str">
        <f>IF(AND($Y$57=1,H72&lt;&gt;""),"O"&amp; Data!BW57,IF(H72&lt;&gt;"",IF(OR(COUNTIF(H72,"L*"),COUNTIF(H72, "X*")),IF(AND(COUNTIF(H72,"*P*"),COUNTIF(H72,"*V*")),IF(COUNTIF(H72,"*R*"),SUBSTITUTE(SUBSTITUTE(H72,"P",""),"R","S")&amp; Data!BW57,SUBSTITUTE(H72,"P","")&amp; Data!BW57),IF(AND(COUNTIF(H72,"*P*"),COUNTIF(H72,"*R*")),SUBSTITUTE(H72,"R","S")&amp;Data!BW57,IF(AND(COUNTIF(H72,"*V*"),COUNTIF(H72,"*R*")),SUBSTITUTE(H72,"R","S")&amp;Data!BW57,H72 &amp; Data!BW57))),SUBSTITUTE(SUBSTITUTE(SUBSTITUTE(SUBSTITUTE(SUBSTITUTE(SUBSTITUTE(SUBSTITUTE(SUBSTITUTE(SUBSTITUTE(SUBSTITUTE(IF(AND(COUNTIF(H72,"*P*"),COUNTIF(H72,"*V*")),IF(COUNTIF(H72,"*R*"),SUBSTITUTE(SUBSTITUTE(H72,"P",""),"R","S"),SUBSTITUTE(H72,"P","")),IF(AND(COUNTIF(H72,"*P*"),COUNTIF(H72,"*R*")),SUBSTITUTE(H72,"R","S"),IF(AND(COUNTIF(H72,"*V*"),COUNTIF(H72,"*R*")),SUBSTITUTE(H72,"R","S"),H72))),"0",""),"1",""),"2",""),"3",""),"4",""),"5",""),"6",""),"7",""),"8",""),"9","")&amp; Data!BW57),""))</f>
        <v/>
      </c>
      <c r="I105" s="41" t="str">
        <f>IF(AND($Y$57=1,I72&lt;&gt;""),"O"&amp; Data!BX57,IF(I72&lt;&gt;"",IF(OR(COUNTIF(I72,"L*"),COUNTIF(I72, "X*")),IF(AND(COUNTIF(I72,"*P*"),COUNTIF(I72,"*V*")),IF(COUNTIF(I72,"*R*"),SUBSTITUTE(SUBSTITUTE(I72,"P",""),"R","S")&amp; Data!BX57,SUBSTITUTE(I72,"P","")&amp; Data!BX57),IF(AND(COUNTIF(I72,"*P*"),COUNTIF(I72,"*R*")),SUBSTITUTE(I72,"R","S")&amp;Data!BX57,IF(AND(COUNTIF(I72,"*V*"),COUNTIF(I72,"*R*")),SUBSTITUTE(I72,"R","S")&amp;Data!BX57,I72 &amp; Data!BX57))),SUBSTITUTE(SUBSTITUTE(SUBSTITUTE(SUBSTITUTE(SUBSTITUTE(SUBSTITUTE(SUBSTITUTE(SUBSTITUTE(SUBSTITUTE(SUBSTITUTE(IF(AND(COUNTIF(I72,"*P*"),COUNTIF(I72,"*V*")),IF(COUNTIF(I72,"*R*"),SUBSTITUTE(SUBSTITUTE(I72,"P",""),"R","S"),SUBSTITUTE(I72,"P","")),IF(AND(COUNTIF(I72,"*P*"),COUNTIF(I72,"*R*")),SUBSTITUTE(I72,"R","S"),IF(AND(COUNTIF(I72,"*V*"),COUNTIF(I72,"*R*")),SUBSTITUTE(I72,"R","S"),I72))),"0",""),"1",""),"2",""),"3",""),"4",""),"5",""),"6",""),"7",""),"8",""),"9","")&amp; Data!BX57),""))</f>
        <v/>
      </c>
      <c r="J105" s="41" t="str">
        <f>IF(AND($Y$57=1,J72&lt;&gt;""),"O"&amp; Data!BY57,IF(J72&lt;&gt;"",IF(OR(COUNTIF(J72,"L*"),COUNTIF(J72, "X*")),IF(AND(COUNTIF(J72,"*P*"),COUNTIF(J72,"*V*")),IF(COUNTIF(J72,"*R*"),SUBSTITUTE(SUBSTITUTE(J72,"P",""),"R","S")&amp; Data!BY57,SUBSTITUTE(J72,"P","")&amp; Data!BY57),IF(AND(COUNTIF(J72,"*P*"),COUNTIF(J72,"*R*")),SUBSTITUTE(J72,"R","S")&amp;Data!BY57,IF(AND(COUNTIF(J72,"*V*"),COUNTIF(J72,"*R*")),SUBSTITUTE(J72,"R","S")&amp;Data!BY57,J72 &amp; Data!BY57))),SUBSTITUTE(SUBSTITUTE(SUBSTITUTE(SUBSTITUTE(SUBSTITUTE(SUBSTITUTE(SUBSTITUTE(SUBSTITUTE(SUBSTITUTE(SUBSTITUTE(IF(AND(COUNTIF(J72,"*P*"),COUNTIF(J72,"*V*")),IF(COUNTIF(J72,"*R*"),SUBSTITUTE(SUBSTITUTE(J72,"P",""),"R","S"),SUBSTITUTE(J72,"P","")),IF(AND(COUNTIF(J72,"*P*"),COUNTIF(J72,"*R*")),SUBSTITUTE(J72,"R","S"),IF(AND(COUNTIF(J72,"*V*"),COUNTIF(J72,"*R*")),SUBSTITUTE(J72,"R","S"),J72))),"0",""),"1",""),"2",""),"3",""),"4",""),"5",""),"6",""),"7",""),"8",""),"9","")&amp; Data!BY57),""))</f>
        <v/>
      </c>
      <c r="K105" s="41" t="str">
        <f>IF(AND($Y$57=1,K72&lt;&gt;""),"O"&amp; Data!BZ57,IF(K72&lt;&gt;"",IF(OR(COUNTIF(K72,"L*"),COUNTIF(K72, "X*")),IF(AND(COUNTIF(K72,"*P*"),COUNTIF(K72,"*V*")),IF(COUNTIF(K72,"*R*"),SUBSTITUTE(SUBSTITUTE(K72,"P",""),"R","S")&amp; Data!BZ57,SUBSTITUTE(K72,"P","")&amp; Data!BZ57),IF(AND(COUNTIF(K72,"*P*"),COUNTIF(K72,"*R*")),SUBSTITUTE(K72,"R","S")&amp;Data!BZ57,IF(AND(COUNTIF(K72,"*V*"),COUNTIF(K72,"*R*")),SUBSTITUTE(K72,"R","S")&amp;Data!BZ57,K72 &amp; Data!BZ57))),SUBSTITUTE(SUBSTITUTE(SUBSTITUTE(SUBSTITUTE(SUBSTITUTE(SUBSTITUTE(SUBSTITUTE(SUBSTITUTE(SUBSTITUTE(SUBSTITUTE(IF(AND(COUNTIF(K72,"*P*"),COUNTIF(K72,"*V*")),IF(COUNTIF(K72,"*R*"),SUBSTITUTE(SUBSTITUTE(K72,"P",""),"R","S"),SUBSTITUTE(K72,"P","")),IF(AND(COUNTIF(K72,"*P*"),COUNTIF(K72,"*R*")),SUBSTITUTE(K72,"R","S"),IF(AND(COUNTIF(K72,"*V*"),COUNTIF(K72,"*R*")),SUBSTITUTE(K72,"R","S"),K72))),"0",""),"1",""),"2",""),"3",""),"4",""),"5",""),"6",""),"7",""),"8",""),"9","")&amp; Data!BZ57),""))</f>
        <v/>
      </c>
      <c r="L105" s="41" t="str">
        <f>IF(AND($Y$57=1,L72&lt;&gt;""),"O"&amp; Data!CA57,IF(L72&lt;&gt;"",IF(OR(COUNTIF(L72,"L*"),COUNTIF(L72, "X*")),IF(AND(COUNTIF(L72,"*P*"),COUNTIF(L72,"*V*")),IF(COUNTIF(L72,"*R*"),SUBSTITUTE(SUBSTITUTE(L72,"P",""),"R","S")&amp; Data!CA57,SUBSTITUTE(L72,"P","")&amp; Data!CA57),IF(AND(COUNTIF(L72,"*P*"),COUNTIF(L72,"*R*")),SUBSTITUTE(L72,"R","S")&amp;Data!CA57,IF(AND(COUNTIF(L72,"*V*"),COUNTIF(L72,"*R*")),SUBSTITUTE(L72,"R","S")&amp;Data!CA57,L72 &amp; Data!CA57))),SUBSTITUTE(SUBSTITUTE(SUBSTITUTE(SUBSTITUTE(SUBSTITUTE(SUBSTITUTE(SUBSTITUTE(SUBSTITUTE(SUBSTITUTE(SUBSTITUTE(IF(AND(COUNTIF(L72,"*P*"),COUNTIF(L72,"*V*")),IF(COUNTIF(L72,"*R*"),SUBSTITUTE(SUBSTITUTE(L72,"P",""),"R","S"),SUBSTITUTE(L72,"P","")),IF(AND(COUNTIF(L72,"*P*"),COUNTIF(L72,"*R*")),SUBSTITUTE(L72,"R","S"),IF(AND(COUNTIF(L72,"*V*"),COUNTIF(L72,"*R*")),SUBSTITUTE(L72,"R","S"),L72))),"0",""),"1",""),"2",""),"3",""),"4",""),"5",""),"6",""),"7",""),"8",""),"9","")&amp; Data!CA57),""))</f>
        <v/>
      </c>
      <c r="M105" s="41" t="str">
        <f>IF(AND($Y$57=1,M72&lt;&gt;""),"O"&amp; Data!CB57,IF(M72&lt;&gt;"",IF(OR(COUNTIF(M72,"L*"),COUNTIF(M72, "X*")),IF(AND(COUNTIF(M72,"*P*"),COUNTIF(M72,"*V*")),IF(COUNTIF(M72,"*R*"),SUBSTITUTE(SUBSTITUTE(M72,"P",""),"R","S")&amp; Data!CB57,SUBSTITUTE(M72,"P","")&amp; Data!CB57),IF(AND(COUNTIF(M72,"*P*"),COUNTIF(M72,"*R*")),SUBSTITUTE(M72,"R","S")&amp;Data!CB57,IF(AND(COUNTIF(M72,"*V*"),COUNTIF(M72,"*R*")),SUBSTITUTE(M72,"R","S")&amp;Data!CB57,M72 &amp; Data!CB57))),SUBSTITUTE(SUBSTITUTE(SUBSTITUTE(SUBSTITUTE(SUBSTITUTE(SUBSTITUTE(SUBSTITUTE(SUBSTITUTE(SUBSTITUTE(SUBSTITUTE(IF(AND(COUNTIF(M72,"*P*"),COUNTIF(M72,"*V*")),IF(COUNTIF(M72,"*R*"),SUBSTITUTE(SUBSTITUTE(M72,"P",""),"R","S"),SUBSTITUTE(M72,"P","")),IF(AND(COUNTIF(M72,"*P*"),COUNTIF(M72,"*R*")),SUBSTITUTE(M72,"R","S"),IF(AND(COUNTIF(M72,"*V*"),COUNTIF(M72,"*R*")),SUBSTITUTE(M72,"R","S"),M72))),"0",""),"1",""),"2",""),"3",""),"4",""),"5",""),"6",""),"7",""),"8",""),"9","")&amp; Data!CB57),""))</f>
        <v/>
      </c>
      <c r="N105" s="41" t="str">
        <f>IF(AND($Y$57=1,N72&lt;&gt;""),"O"&amp; Data!CC57,IF(N72&lt;&gt;"",IF(OR(COUNTIF(N72,"L*"),COUNTIF(N72, "X*")),IF(AND(COUNTIF(N72,"*P*"),COUNTIF(N72,"*V*")),IF(COUNTIF(N72,"*R*"),SUBSTITUTE(SUBSTITUTE(N72,"P",""),"R","S")&amp; Data!CC57,SUBSTITUTE(N72,"P","")&amp; Data!CC57),IF(AND(COUNTIF(N72,"*P*"),COUNTIF(N72,"*R*")),SUBSTITUTE(N72,"R","S")&amp;Data!CC57,IF(AND(COUNTIF(N72,"*V*"),COUNTIF(N72,"*R*")),SUBSTITUTE(N72,"R","S")&amp;Data!CC57,N72 &amp; Data!CC57))),SUBSTITUTE(SUBSTITUTE(SUBSTITUTE(SUBSTITUTE(SUBSTITUTE(SUBSTITUTE(SUBSTITUTE(SUBSTITUTE(SUBSTITUTE(SUBSTITUTE(IF(AND(COUNTIF(N72,"*P*"),COUNTIF(N72,"*V*")),IF(COUNTIF(N72,"*R*"),SUBSTITUTE(SUBSTITUTE(N72,"P",""),"R","S"),SUBSTITUTE(N72,"P","")),IF(AND(COUNTIF(N72,"*P*"),COUNTIF(N72,"*R*")),SUBSTITUTE(N72,"R","S"),IF(AND(COUNTIF(N72,"*V*"),COUNTIF(N72,"*R*")),SUBSTITUTE(N72,"R","S"),N72))),"0",""),"1",""),"2",""),"3",""),"4",""),"5",""),"6",""),"7",""),"8",""),"9","")&amp; Data!CC57),""))</f>
        <v/>
      </c>
      <c r="O105" s="41" t="str">
        <f>IF(AND($Y$57=1,O72&lt;&gt;""),"O"&amp; Data!CD57,IF(O72&lt;&gt;"",IF(OR(COUNTIF(O72,"L*"),COUNTIF(O72, "X*")),IF(AND(COUNTIF(O72,"*P*"),COUNTIF(O72,"*V*")),IF(COUNTIF(O72,"*R*"),SUBSTITUTE(SUBSTITUTE(O72,"P",""),"R","S")&amp; Data!CD57,SUBSTITUTE(O72,"P","")&amp; Data!CD57),IF(AND(COUNTIF(O72,"*P*"),COUNTIF(O72,"*R*")),SUBSTITUTE(O72,"R","S")&amp;Data!CD57,IF(AND(COUNTIF(O72,"*V*"),COUNTIF(O72,"*R*")),SUBSTITUTE(O72,"R","S")&amp;Data!CD57,O72 &amp; Data!CD57))),SUBSTITUTE(SUBSTITUTE(SUBSTITUTE(SUBSTITUTE(SUBSTITUTE(SUBSTITUTE(SUBSTITUTE(SUBSTITUTE(SUBSTITUTE(SUBSTITUTE(IF(AND(COUNTIF(O72,"*P*"),COUNTIF(O72,"*V*")),IF(COUNTIF(O72,"*R*"),SUBSTITUTE(SUBSTITUTE(O72,"P",""),"R","S"),SUBSTITUTE(O72,"P","")),IF(AND(COUNTIF(O72,"*P*"),COUNTIF(O72,"*R*")),SUBSTITUTE(O72,"R","S"),IF(AND(COUNTIF(O72,"*V*"),COUNTIF(O72,"*R*")),SUBSTITUTE(O72,"R","S"),O72))),"0",""),"1",""),"2",""),"3",""),"4",""),"5",""),"6",""),"7",""),"8",""),"9","")&amp; Data!CD57),""))</f>
        <v/>
      </c>
      <c r="P105" s="41" t="str">
        <f>IF(AND($Y$57=1,P72&lt;&gt;""),"O"&amp; Data!CE57,IF(P72&lt;&gt;"",IF(OR(COUNTIF(P72,"L*"),COUNTIF(P72, "X*")),IF(AND(COUNTIF(P72,"*P*"),COUNTIF(P72,"*V*")),IF(COUNTIF(P72,"*R*"),SUBSTITUTE(SUBSTITUTE(P72,"P",""),"R","S")&amp; Data!CE57,SUBSTITUTE(P72,"P","")&amp; Data!CE57),IF(AND(COUNTIF(P72,"*P*"),COUNTIF(P72,"*R*")),SUBSTITUTE(P72,"R","S")&amp;Data!CE57,IF(AND(COUNTIF(P72,"*V*"),COUNTIF(P72,"*R*")),SUBSTITUTE(P72,"R","S")&amp;Data!CE57,P72 &amp; Data!CE57))),SUBSTITUTE(SUBSTITUTE(SUBSTITUTE(SUBSTITUTE(SUBSTITUTE(SUBSTITUTE(SUBSTITUTE(SUBSTITUTE(SUBSTITUTE(SUBSTITUTE(IF(AND(COUNTIF(P72,"*P*"),COUNTIF(P72,"*V*")),IF(COUNTIF(P72,"*R*"),SUBSTITUTE(SUBSTITUTE(P72,"P",""),"R","S"),SUBSTITUTE(P72,"P","")),IF(AND(COUNTIF(P72,"*P*"),COUNTIF(P72,"*R*")),SUBSTITUTE(P72,"R","S"),IF(AND(COUNTIF(P72,"*V*"),COUNTIF(P72,"*R*")),SUBSTITUTE(P72,"R","S"),P72))),"0",""),"1",""),"2",""),"3",""),"4",""),"5",""),"6",""),"7",""),"8",""),"9","")&amp; Data!CE57),""))</f>
        <v/>
      </c>
      <c r="Q105" s="41" t="str">
        <f>IF(AND($Y$57=1,Q72&lt;&gt;""),"O"&amp; Data!CF57,IF(Q72&lt;&gt;"",IF(OR(COUNTIF(Q72,"L*"),COUNTIF(Q72, "X*")),IF(AND(COUNTIF(Q72,"*P*"),COUNTIF(Q72,"*V*")),IF(COUNTIF(Q72,"*R*"),SUBSTITUTE(SUBSTITUTE(Q72,"P",""),"R","S")&amp; Data!CF57,SUBSTITUTE(Q72,"P","")&amp; Data!CF57),IF(AND(COUNTIF(Q72,"*P*"),COUNTIF(Q72,"*R*")),SUBSTITUTE(Q72,"R","S")&amp;Data!CF57,IF(AND(COUNTIF(Q72,"*V*"),COUNTIF(Q72,"*R*")),SUBSTITUTE(Q72,"R","S")&amp;Data!CF57,Q72 &amp; Data!CF57))),SUBSTITUTE(SUBSTITUTE(SUBSTITUTE(SUBSTITUTE(SUBSTITUTE(SUBSTITUTE(SUBSTITUTE(SUBSTITUTE(SUBSTITUTE(SUBSTITUTE(IF(AND(COUNTIF(Q72,"*P*"),COUNTIF(Q72,"*V*")),IF(COUNTIF(Q72,"*R*"),SUBSTITUTE(SUBSTITUTE(Q72,"P",""),"R","S"),SUBSTITUTE(Q72,"P","")),IF(AND(COUNTIF(Q72,"*P*"),COUNTIF(Q72,"*R*")),SUBSTITUTE(Q72,"R","S"),IF(AND(COUNTIF(Q72,"*V*"),COUNTIF(Q72,"*R*")),SUBSTITUTE(Q72,"R","S"),Q72))),"0",""),"1",""),"2",""),"3",""),"4",""),"5",""),"6",""),"7",""),"8",""),"9","")&amp; Data!CF57),""))</f>
        <v/>
      </c>
      <c r="R105" s="41" t="str">
        <f>IF(AND($Y$57=1,R72&lt;&gt;""),"O"&amp; Data!CG57,IF(R72&lt;&gt;"",IF(OR(COUNTIF(R72,"L*"),COUNTIF(R72, "X*")),IF(AND(COUNTIF(R72,"*P*"),COUNTIF(R72,"*V*")),IF(COUNTIF(R72,"*R*"),SUBSTITUTE(SUBSTITUTE(R72,"P",""),"R","S")&amp; Data!CG57,SUBSTITUTE(R72,"P","")&amp; Data!CG57),IF(AND(COUNTIF(R72,"*P*"),COUNTIF(R72,"*R*")),SUBSTITUTE(R72,"R","S")&amp;Data!CG57,IF(AND(COUNTIF(R72,"*V*"),COUNTIF(R72,"*R*")),SUBSTITUTE(R72,"R","S")&amp;Data!CG57,R72 &amp; Data!CG57))),SUBSTITUTE(SUBSTITUTE(SUBSTITUTE(SUBSTITUTE(SUBSTITUTE(SUBSTITUTE(SUBSTITUTE(SUBSTITUTE(SUBSTITUTE(SUBSTITUTE(IF(AND(COUNTIF(R72,"*P*"),COUNTIF(R72,"*V*")),IF(COUNTIF(R72,"*R*"),SUBSTITUTE(SUBSTITUTE(R72,"P",""),"R","S"),SUBSTITUTE(R72,"P","")),IF(AND(COUNTIF(R72,"*P*"),COUNTIF(R72,"*R*")),SUBSTITUTE(R72,"R","S"),IF(AND(COUNTIF(R72,"*V*"),COUNTIF(R72,"*R*")),SUBSTITUTE(R72,"R","S"),R72))),"0",""),"1",""),"2",""),"3",""),"4",""),"5",""),"6",""),"7",""),"8",""),"9","")&amp; Data!CG57),""))</f>
        <v/>
      </c>
      <c r="S105" s="41" t="str">
        <f>IF(AND($Y$57=1,S72&lt;&gt;""),"O"&amp; Data!CH57,IF(S72&lt;&gt;"",IF(OR(COUNTIF(S72,"L*"),COUNTIF(S72, "X*")),IF(AND(COUNTIF(S72,"*P*"),COUNTIF(S72,"*V*")),IF(COUNTIF(S72,"*R*"),SUBSTITUTE(SUBSTITUTE(S72,"P",""),"R","S")&amp; Data!CH57,SUBSTITUTE(S72,"P","")&amp; Data!CH57),IF(AND(COUNTIF(S72,"*P*"),COUNTIF(S72,"*R*")),SUBSTITUTE(S72,"R","S")&amp;Data!CH57,IF(AND(COUNTIF(S72,"*V*"),COUNTIF(S72,"*R*")),SUBSTITUTE(S72,"R","S")&amp;Data!CH57,S72 &amp; Data!CH57))),SUBSTITUTE(SUBSTITUTE(SUBSTITUTE(SUBSTITUTE(SUBSTITUTE(SUBSTITUTE(SUBSTITUTE(SUBSTITUTE(SUBSTITUTE(SUBSTITUTE(IF(AND(COUNTIF(S72,"*P*"),COUNTIF(S72,"*V*")),IF(COUNTIF(S72,"*R*"),SUBSTITUTE(SUBSTITUTE(S72,"P",""),"R","S"),SUBSTITUTE(S72,"P","")),IF(AND(COUNTIF(S72,"*P*"),COUNTIF(S72,"*R*")),SUBSTITUTE(S72,"R","S"),IF(AND(COUNTIF(S72,"*V*"),COUNTIF(S72,"*R*")),SUBSTITUTE(S72,"R","S"),S72))),"0",""),"1",""),"2",""),"3",""),"4",""),"5",""),"6",""),"7",""),"8",""),"9","")&amp; Data!CH57),""))</f>
        <v/>
      </c>
      <c r="T105" s="41" t="str">
        <f>IF(AND($Y$57=1,T72&lt;&gt;""),"O"&amp; Data!CI57,IF(T72&lt;&gt;"",IF(OR(COUNTIF(T72,"L*"),COUNTIF(T72, "X*")),IF(AND(COUNTIF(T72,"*P*"),COUNTIF(T72,"*V*")),IF(COUNTIF(T72,"*R*"),SUBSTITUTE(SUBSTITUTE(T72,"P",""),"R","S")&amp; Data!CI57,SUBSTITUTE(T72,"P","")&amp; Data!CI57),IF(AND(COUNTIF(T72,"*P*"),COUNTIF(T72,"*R*")),SUBSTITUTE(T72,"R","S")&amp;Data!CI57,IF(AND(COUNTIF(T72,"*V*"),COUNTIF(T72,"*R*")),SUBSTITUTE(T72,"R","S")&amp;Data!CI57,T72 &amp; Data!CI57))),SUBSTITUTE(SUBSTITUTE(SUBSTITUTE(SUBSTITUTE(SUBSTITUTE(SUBSTITUTE(SUBSTITUTE(SUBSTITUTE(SUBSTITUTE(SUBSTITUTE(IF(AND(COUNTIF(T72,"*P*"),COUNTIF(T72,"*V*")),IF(COUNTIF(T72,"*R*"),SUBSTITUTE(SUBSTITUTE(T72,"P",""),"R","S"),SUBSTITUTE(T72,"P","")),IF(AND(COUNTIF(T72,"*P*"),COUNTIF(T72,"*R*")),SUBSTITUTE(T72,"R","S"),IF(AND(COUNTIF(T72,"*V*"),COUNTIF(T72,"*R*")),SUBSTITUTE(T72,"R","S"),T72))),"0",""),"1",""),"2",""),"3",""),"4",""),"5",""),"6",""),"7",""),"8",""),"9","")&amp; Data!CI57),""))</f>
        <v/>
      </c>
      <c r="U105" s="41" t="str">
        <f>IF(AND($Y$57=1,U72&lt;&gt;""),"O"&amp; Data!CJ57,IF(U72&lt;&gt;"",IF(OR(COUNTIF(U72,"L*"),COUNTIF(U72, "X*")),IF(AND(COUNTIF(U72,"*P*"),COUNTIF(U72,"*V*")),IF(COUNTIF(U72,"*R*"),SUBSTITUTE(SUBSTITUTE(U72,"P",""),"R","S")&amp; Data!CJ57,SUBSTITUTE(U72,"P","")&amp; Data!CJ57),IF(AND(COUNTIF(U72,"*P*"),COUNTIF(U72,"*R*")),SUBSTITUTE(U72,"R","S")&amp;Data!CJ57,IF(AND(COUNTIF(U72,"*V*"),COUNTIF(U72,"*R*")),SUBSTITUTE(U72,"R","S")&amp;Data!CJ57,U72 &amp; Data!CJ57))),SUBSTITUTE(SUBSTITUTE(SUBSTITUTE(SUBSTITUTE(SUBSTITUTE(SUBSTITUTE(SUBSTITUTE(SUBSTITUTE(SUBSTITUTE(SUBSTITUTE(IF(AND(COUNTIF(U72,"*P*"),COUNTIF(U72,"*V*")),IF(COUNTIF(U72,"*R*"),SUBSTITUTE(SUBSTITUTE(U72,"P",""),"R","S"),SUBSTITUTE(U72,"P","")),IF(AND(COUNTIF(U72,"*P*"),COUNTIF(U72,"*R*")),SUBSTITUTE(U72,"R","S"),IF(AND(COUNTIF(U72,"*V*"),COUNTIF(U72,"*R*")),SUBSTITUTE(U72,"R","S"),U72))),"0",""),"1",""),"2",""),"3",""),"4",""),"5",""),"6",""),"7",""),"8",""),"9","")&amp; Data!CJ57),""))</f>
        <v/>
      </c>
      <c r="V105" s="41" t="str">
        <f>IF(AND($Y$57=1,V72&lt;&gt;""),"O"&amp; Data!CK57,IF(V72&lt;&gt;"",IF(OR(COUNTIF(V72,"L*"),COUNTIF(V72, "X*")),IF(AND(COUNTIF(V72,"*P*"),COUNTIF(V72,"*V*")),IF(COUNTIF(V72,"*R*"),SUBSTITUTE(SUBSTITUTE(V72,"P",""),"R","S")&amp; Data!CK57,SUBSTITUTE(V72,"P","")&amp; Data!CK57),IF(AND(COUNTIF(V72,"*P*"),COUNTIF(V72,"*R*")),SUBSTITUTE(V72,"R","S")&amp;Data!CK57,IF(AND(COUNTIF(V72,"*V*"),COUNTIF(V72,"*R*")),SUBSTITUTE(V72,"R","S")&amp;Data!CK57,V72 &amp; Data!CK57))),SUBSTITUTE(SUBSTITUTE(SUBSTITUTE(SUBSTITUTE(SUBSTITUTE(SUBSTITUTE(SUBSTITUTE(SUBSTITUTE(SUBSTITUTE(SUBSTITUTE(IF(AND(COUNTIF(V72,"*P*"),COUNTIF(V72,"*V*")),IF(COUNTIF(V72,"*R*"),SUBSTITUTE(SUBSTITUTE(V72,"P",""),"R","S"),SUBSTITUTE(V72,"P","")),IF(AND(COUNTIF(V72,"*P*"),COUNTIF(V72,"*R*")),SUBSTITUTE(V72,"R","S"),IF(AND(COUNTIF(V72,"*V*"),COUNTIF(V72,"*R*")),SUBSTITUTE(V72,"R","S"),V72))),"0",""),"1",""),"2",""),"3",""),"4",""),"5",""),"6",""),"7",""),"8",""),"9","")&amp; Data!CK57),""))</f>
        <v/>
      </c>
      <c r="W105" s="41" t="str">
        <f>IF(AND($Y$57=1,W72&lt;&gt;""),"O"&amp; Data!CL57,IF(W72&lt;&gt;"",IF(OR(COUNTIF(W72,"L*"),COUNTIF(W72, "X*")),IF(AND(COUNTIF(W72,"*P*"),COUNTIF(W72,"*V*")),IF(COUNTIF(W72,"*R*"),SUBSTITUTE(SUBSTITUTE(W72,"P",""),"R","S")&amp; Data!CL57,SUBSTITUTE(W72,"P","")&amp; Data!CL57),IF(AND(COUNTIF(W72,"*P*"),COUNTIF(W72,"*R*")),SUBSTITUTE(W72,"R","S")&amp;Data!CL57,IF(AND(COUNTIF(W72,"*V*"),COUNTIF(W72,"*R*")),SUBSTITUTE(W72,"R","S")&amp;Data!CL57,W72 &amp; Data!CL57))),SUBSTITUTE(SUBSTITUTE(SUBSTITUTE(SUBSTITUTE(SUBSTITUTE(SUBSTITUTE(SUBSTITUTE(SUBSTITUTE(SUBSTITUTE(SUBSTITUTE(IF(AND(COUNTIF(W72,"*P*"),COUNTIF(W72,"*V*")),IF(COUNTIF(W72,"*R*"),SUBSTITUTE(SUBSTITUTE(W72,"P",""),"R","S"),SUBSTITUTE(W72,"P","")),IF(AND(COUNTIF(W72,"*P*"),COUNTIF(W72,"*R*")),SUBSTITUTE(W72,"R","S"),IF(AND(COUNTIF(W72,"*V*"),COUNTIF(W72,"*R*")),SUBSTITUTE(W72,"R","S"),W72))),"0",""),"1",""),"2",""),"3",""),"4",""),"5",""),"6",""),"7",""),"8",""),"9","")&amp; Data!CL57),""))</f>
        <v/>
      </c>
      <c r="X105" s="41" t="str">
        <f>IF(AND($Y$57=1,X72&lt;&gt;""),"O"&amp; Data!CM57,IF(X72&lt;&gt;"",IF(OR(COUNTIF(X72,"L*"),COUNTIF(X72, "X*")),IF(AND(COUNTIF(X72,"*P*"),COUNTIF(X72,"*V*")),IF(COUNTIF(X72,"*R*"),SUBSTITUTE(SUBSTITUTE(X72,"P",""),"R","S")&amp; Data!CM57,SUBSTITUTE(X72,"P","")&amp; Data!CM57),IF(AND(COUNTIF(X72,"*P*"),COUNTIF(X72,"*R*")),SUBSTITUTE(X72,"R","S")&amp;Data!CM57,IF(AND(COUNTIF(X72,"*V*"),COUNTIF(X72,"*R*")),SUBSTITUTE(X72,"R","S")&amp;Data!CM57,X72 &amp; Data!CM57))),SUBSTITUTE(SUBSTITUTE(SUBSTITUTE(SUBSTITUTE(SUBSTITUTE(SUBSTITUTE(SUBSTITUTE(SUBSTITUTE(SUBSTITUTE(SUBSTITUTE(IF(AND(COUNTIF(X72,"*P*"),COUNTIF(X72,"*V*")),IF(COUNTIF(X72,"*R*"),SUBSTITUTE(SUBSTITUTE(X72,"P",""),"R","S"),SUBSTITUTE(X72,"P","")),IF(AND(COUNTIF(X72,"*P*"),COUNTIF(X72,"*R*")),SUBSTITUTE(X72,"R","S"),IF(AND(COUNTIF(X72,"*V*"),COUNTIF(X72,"*R*")),SUBSTITUTE(X72,"R","S"),X72))),"0",""),"1",""),"2",""),"3",""),"4",""),"5",""),"6",""),"7",""),"8",""),"9","")&amp; Data!CM57),""))</f>
        <v/>
      </c>
      <c r="Y105" s="41" t="str">
        <f>IF(AND($Y$57=1,Y72&lt;&gt;""),"O"&amp; Data!CN57,IF(Y72&lt;&gt;"",IF(OR(COUNTIF(Y72,"L*"),COUNTIF(Y72, "X*")),IF(AND(COUNTIF(Y72,"*P*"),COUNTIF(Y72,"*V*")),IF(COUNTIF(Y72,"*R*"),SUBSTITUTE(SUBSTITUTE(Y72,"P",""),"R","S")&amp; Data!CN57,SUBSTITUTE(Y72,"P","")&amp; Data!CN57),IF(AND(COUNTIF(Y72,"*P*"),COUNTIF(Y72,"*R*")),SUBSTITUTE(Y72,"R","S")&amp;Data!CN57,IF(AND(COUNTIF(Y72,"*V*"),COUNTIF(Y72,"*R*")),SUBSTITUTE(Y72,"R","S")&amp;Data!CN57,Y72 &amp; Data!CN57))),SUBSTITUTE(SUBSTITUTE(SUBSTITUTE(SUBSTITUTE(SUBSTITUTE(SUBSTITUTE(SUBSTITUTE(SUBSTITUTE(SUBSTITUTE(SUBSTITUTE(IF(AND(COUNTIF(Y72,"*P*"),COUNTIF(Y72,"*V*")),IF(COUNTIF(Y72,"*R*"),SUBSTITUTE(SUBSTITUTE(Y72,"P",""),"R","S"),SUBSTITUTE(Y72,"P","")),IF(AND(COUNTIF(Y72,"*P*"),COUNTIF(Y72,"*R*")),SUBSTITUTE(Y72,"R","S"),IF(AND(COUNTIF(Y72,"*V*"),COUNTIF(Y72,"*R*")),SUBSTITUTE(Y72,"R","S"),Y72))),"0",""),"1",""),"2",""),"3",""),"4",""),"5",""),"6",""),"7",""),"8",""),"9","")&amp; Data!CN57),""))</f>
        <v/>
      </c>
      <c r="Z105" s="41" t="str">
        <f>IF(AND($Y$57=1,Z72&lt;&gt;""),"O"&amp; Data!CO57,IF(Z72&lt;&gt;"",IF(OR(COUNTIF(Z72,"L*"),COUNTIF(Z72, "X*")),IF(AND(COUNTIF(Z72,"*P*"),COUNTIF(Z72,"*V*")),IF(COUNTIF(Z72,"*R*"),SUBSTITUTE(SUBSTITUTE(Z72,"P",""),"R","S")&amp; Data!CO57,SUBSTITUTE(Z72,"P","")&amp; Data!CO57),IF(AND(COUNTIF(Z72,"*P*"),COUNTIF(Z72,"*R*")),SUBSTITUTE(Z72,"R","S")&amp;Data!CO57,IF(AND(COUNTIF(Z72,"*V*"),COUNTIF(Z72,"*R*")),SUBSTITUTE(Z72,"R","S")&amp;Data!CO57,Z72 &amp; Data!CO57))),SUBSTITUTE(SUBSTITUTE(SUBSTITUTE(SUBSTITUTE(SUBSTITUTE(SUBSTITUTE(SUBSTITUTE(SUBSTITUTE(SUBSTITUTE(SUBSTITUTE(IF(AND(COUNTIF(Z72,"*P*"),COUNTIF(Z72,"*V*")),IF(COUNTIF(Z72,"*R*"),SUBSTITUTE(SUBSTITUTE(Z72,"P",""),"R","S"),SUBSTITUTE(Z72,"P","")),IF(AND(COUNTIF(Z72,"*P*"),COUNTIF(Z72,"*R*")),SUBSTITUTE(Z72,"R","S"),IF(AND(COUNTIF(Z72,"*V*"),COUNTIF(Z72,"*R*")),SUBSTITUTE(Z72,"R","S"),Z72))),"0",""),"1",""),"2",""),"3",""),"4",""),"5",""),"6",""),"7",""),"8",""),"9","")&amp; Data!CO57),""))</f>
        <v/>
      </c>
      <c r="AA105" s="41" t="str">
        <f>IF(AND($Y$57=1,AA72&lt;&gt;""),"O"&amp; Data!CP57,IF(AA72&lt;&gt;"",IF(OR(COUNTIF(AA72,"L*"),COUNTIF(AA72, "X*")),IF(AND(COUNTIF(AA72,"*P*"),COUNTIF(AA72,"*V*")),IF(COUNTIF(AA72,"*R*"),SUBSTITUTE(SUBSTITUTE(AA72,"P",""),"R","S")&amp; Data!CP57,SUBSTITUTE(AA72,"P","")&amp; Data!CP57),IF(AND(COUNTIF(AA72,"*P*"),COUNTIF(AA72,"*R*")),SUBSTITUTE(AA72,"R","S")&amp;Data!CP57,IF(AND(COUNTIF(AA72,"*V*"),COUNTIF(AA72,"*R*")),SUBSTITUTE(AA72,"R","S")&amp;Data!CP57,AA72 &amp; Data!CP57))),SUBSTITUTE(SUBSTITUTE(SUBSTITUTE(SUBSTITUTE(SUBSTITUTE(SUBSTITUTE(SUBSTITUTE(SUBSTITUTE(SUBSTITUTE(SUBSTITUTE(IF(AND(COUNTIF(AA72,"*P*"),COUNTIF(AA72,"*V*")),IF(COUNTIF(AA72,"*R*"),SUBSTITUTE(SUBSTITUTE(AA72,"P",""),"R","S"),SUBSTITUTE(AA72,"P","")),IF(AND(COUNTIF(AA72,"*P*"),COUNTIF(AA72,"*R*")),SUBSTITUTE(AA72,"R","S"),IF(AND(COUNTIF(AA72,"*V*"),COUNTIF(AA72,"*R*")),SUBSTITUTE(AA72,"R","S"),AA72))),"0",""),"1",""),"2",""),"3",""),"4",""),"5",""),"6",""),"7",""),"8",""),"9","")&amp; Data!CP57),""))</f>
        <v/>
      </c>
      <c r="AB105" s="41" t="str">
        <f>IF(AND($Y$57=1,AB72&lt;&gt;""),"O"&amp; Data!CQ57,IF(AB72&lt;&gt;"",IF(OR(COUNTIF(AB72,"L*"),COUNTIF(AB72, "X*")),IF(AND(COUNTIF(AB72,"*P*"),COUNTIF(AB72,"*V*")),IF(COUNTIF(AB72,"*R*"),SUBSTITUTE(SUBSTITUTE(AB72,"P",""),"R","S")&amp; Data!CQ57,SUBSTITUTE(AB72,"P","")&amp; Data!CQ57),IF(AND(COUNTIF(AB72,"*P*"),COUNTIF(AB72,"*R*")),SUBSTITUTE(AB72,"R","S")&amp;Data!CQ57,IF(AND(COUNTIF(AB72,"*V*"),COUNTIF(AB72,"*R*")),SUBSTITUTE(AB72,"R","S")&amp;Data!CQ57,AB72 &amp; Data!CQ57))),SUBSTITUTE(SUBSTITUTE(SUBSTITUTE(SUBSTITUTE(SUBSTITUTE(SUBSTITUTE(SUBSTITUTE(SUBSTITUTE(SUBSTITUTE(SUBSTITUTE(IF(AND(COUNTIF(AB72,"*P*"),COUNTIF(AB72,"*V*")),IF(COUNTIF(AB72,"*R*"),SUBSTITUTE(SUBSTITUTE(AB72,"P",""),"R","S"),SUBSTITUTE(AB72,"P","")),IF(AND(COUNTIF(AB72,"*P*"),COUNTIF(AB72,"*R*")),SUBSTITUTE(AB72,"R","S"),IF(AND(COUNTIF(AB72,"*V*"),COUNTIF(AB72,"*R*")),SUBSTITUTE(AB72,"R","S"),AB72))),"0",""),"1",""),"2",""),"3",""),"4",""),"5",""),"6",""),"7",""),"8",""),"9","")&amp; Data!CQ57),""))</f>
        <v/>
      </c>
      <c r="AC105" s="41" t="str">
        <f>IF(AND($Y$57=1,AC72&lt;&gt;""),"O"&amp; Data!CR57,IF(AC72&lt;&gt;"",IF(OR(COUNTIF(AC72,"L*"),COUNTIF(AC72, "X*")),IF(AND(COUNTIF(AC72,"*P*"),COUNTIF(AC72,"*V*")),IF(COUNTIF(AC72,"*R*"),SUBSTITUTE(SUBSTITUTE(AC72,"P",""),"R","S")&amp; Data!CR57,SUBSTITUTE(AC72,"P","")&amp; Data!CR57),IF(AND(COUNTIF(AC72,"*P*"),COUNTIF(AC72,"*R*")),SUBSTITUTE(AC72,"R","S")&amp;Data!CR57,IF(AND(COUNTIF(AC72,"*V*"),COUNTIF(AC72,"*R*")),SUBSTITUTE(AC72,"R","S")&amp;Data!CR57,AC72 &amp; Data!CR57))),SUBSTITUTE(SUBSTITUTE(SUBSTITUTE(SUBSTITUTE(SUBSTITUTE(SUBSTITUTE(SUBSTITUTE(SUBSTITUTE(SUBSTITUTE(SUBSTITUTE(IF(AND(COUNTIF(AC72,"*P*"),COUNTIF(AC72,"*V*")),IF(COUNTIF(AC72,"*R*"),SUBSTITUTE(SUBSTITUTE(AC72,"P",""),"R","S"),SUBSTITUTE(AC72,"P","")),IF(AND(COUNTIF(AC72,"*P*"),COUNTIF(AC72,"*R*")),SUBSTITUTE(AC72,"R","S"),IF(AND(COUNTIF(AC72,"*V*"),COUNTIF(AC72,"*R*")),SUBSTITUTE(AC72,"R","S"),AC72))),"0",""),"1",""),"2",""),"3",""),"4",""),"5",""),"6",""),"7",""),"8",""),"9","")&amp; Data!CR57),""))</f>
        <v/>
      </c>
      <c r="AD105" s="41" t="str">
        <f>IF(AND($Y$57=1,AD72&lt;&gt;""),"O"&amp; Data!CS57,IF(AD72&lt;&gt;"",IF(OR(COUNTIF(AD72,"L*"),COUNTIF(AD72, "X*")),IF(AND(COUNTIF(AD72,"*P*"),COUNTIF(AD72,"*V*")),IF(COUNTIF(AD72,"*R*"),SUBSTITUTE(SUBSTITUTE(AD72,"P",""),"R","S")&amp; Data!CS57,SUBSTITUTE(AD72,"P","")&amp; Data!CS57),IF(AND(COUNTIF(AD72,"*P*"),COUNTIF(AD72,"*R*")),SUBSTITUTE(AD72,"R","S")&amp;Data!CS57,IF(AND(COUNTIF(AD72,"*V*"),COUNTIF(AD72,"*R*")),SUBSTITUTE(AD72,"R","S")&amp;Data!CS57,AD72 &amp; Data!CS57))),SUBSTITUTE(SUBSTITUTE(SUBSTITUTE(SUBSTITUTE(SUBSTITUTE(SUBSTITUTE(SUBSTITUTE(SUBSTITUTE(SUBSTITUTE(SUBSTITUTE(IF(AND(COUNTIF(AD72,"*P*"),COUNTIF(AD72,"*V*")),IF(COUNTIF(AD72,"*R*"),SUBSTITUTE(SUBSTITUTE(AD72,"P",""),"R","S"),SUBSTITUTE(AD72,"P","")),IF(AND(COUNTIF(AD72,"*P*"),COUNTIF(AD72,"*R*")),SUBSTITUTE(AD72,"R","S"),IF(AND(COUNTIF(AD72,"*V*"),COUNTIF(AD72,"*R*")),SUBSTITUTE(AD72,"R","S"),AD72))),"0",""),"1",""),"2",""),"3",""),"4",""),"5",""),"6",""),"7",""),"8",""),"9","")&amp; Data!CS57),""))</f>
        <v/>
      </c>
      <c r="AE105" s="41" t="str">
        <f>IF(AND($Y$57=1,AE72&lt;&gt;""),"O"&amp; Data!CT57,IF(AE72&lt;&gt;"",IF(OR(COUNTIF(AE72,"L*"),COUNTIF(AE72, "X*")),IF(AND(COUNTIF(AE72,"*P*"),COUNTIF(AE72,"*V*")),IF(COUNTIF(AE72,"*R*"),SUBSTITUTE(SUBSTITUTE(AE72,"P",""),"R","S")&amp; Data!CT57,SUBSTITUTE(AE72,"P","")&amp; Data!CT57),IF(AND(COUNTIF(AE72,"*P*"),COUNTIF(AE72,"*R*")),SUBSTITUTE(AE72,"R","S")&amp;Data!CT57,IF(AND(COUNTIF(AE72,"*V*"),COUNTIF(AE72,"*R*")),SUBSTITUTE(AE72,"R","S")&amp;Data!CT57,AE72 &amp; Data!CT57))),SUBSTITUTE(SUBSTITUTE(SUBSTITUTE(SUBSTITUTE(SUBSTITUTE(SUBSTITUTE(SUBSTITUTE(SUBSTITUTE(SUBSTITUTE(SUBSTITUTE(IF(AND(COUNTIF(AE72,"*P*"),COUNTIF(AE72,"*V*")),IF(COUNTIF(AE72,"*R*"),SUBSTITUTE(SUBSTITUTE(AE72,"P",""),"R","S"),SUBSTITUTE(AE72,"P","")),IF(AND(COUNTIF(AE72,"*P*"),COUNTIF(AE72,"*R*")),SUBSTITUTE(AE72,"R","S"),IF(AND(COUNTIF(AE72,"*V*"),COUNTIF(AE72,"*R*")),SUBSTITUTE(AE72,"R","S"),AE72))),"0",""),"1",""),"2",""),"3",""),"4",""),"5",""),"6",""),"7",""),"8",""),"9","")&amp; Data!CT57),""))</f>
        <v/>
      </c>
      <c r="AF105" s="41" t="str">
        <f>IF(AND($Y$57=1,AF72&lt;&gt;""),"O"&amp; Data!CU57,IF(AF72&lt;&gt;"",IF(OR(COUNTIF(AF72,"L*"),COUNTIF(AF72, "X*")),IF(AND(COUNTIF(AF72,"*P*"),COUNTIF(AF72,"*V*")),IF(COUNTIF(AF72,"*R*"),SUBSTITUTE(SUBSTITUTE(AF72,"P",""),"R","S")&amp; Data!CU57,SUBSTITUTE(AF72,"P","")&amp; Data!CU57),IF(AND(COUNTIF(AF72,"*P*"),COUNTIF(AF72,"*R*")),SUBSTITUTE(AF72,"R","S")&amp;Data!CU57,IF(AND(COUNTIF(AF72,"*V*"),COUNTIF(AF72,"*R*")),SUBSTITUTE(AF72,"R","S")&amp;Data!CU57,AF72 &amp; Data!CU57))),SUBSTITUTE(SUBSTITUTE(SUBSTITUTE(SUBSTITUTE(SUBSTITUTE(SUBSTITUTE(SUBSTITUTE(SUBSTITUTE(SUBSTITUTE(SUBSTITUTE(IF(AND(COUNTIF(AF72,"*P*"),COUNTIF(AF72,"*V*")),IF(COUNTIF(AF72,"*R*"),SUBSTITUTE(SUBSTITUTE(AF72,"P",""),"R","S"),SUBSTITUTE(AF72,"P","")),IF(AND(COUNTIF(AF72,"*P*"),COUNTIF(AF72,"*R*")),SUBSTITUTE(AF72,"R","S"),IF(AND(COUNTIF(AF72,"*V*"),COUNTIF(AF72,"*R*")),SUBSTITUTE(AF72,"R","S"),AF72))),"0",""),"1",""),"2",""),"3",""),"4",""),"5",""),"6",""),"7",""),"8",""),"9","")&amp; Data!CU57),""))</f>
        <v/>
      </c>
      <c r="AG105" s="41" t="str">
        <f>IF(AND($Y$57=1,AG72&lt;&gt;""),"O"&amp; Data!CV57,IF(AG72&lt;&gt;"",IF(OR(COUNTIF(AG72,"L*"),COUNTIF(AG72, "X*")),IF(AND(COUNTIF(AG72,"*P*"),COUNTIF(AG72,"*V*")),IF(COUNTIF(AG72,"*R*"),SUBSTITUTE(SUBSTITUTE(AG72,"P",""),"R","S")&amp; Data!CV57,SUBSTITUTE(AG72,"P","")&amp; Data!CV57),IF(AND(COUNTIF(AG72,"*P*"),COUNTIF(AG72,"*R*")),SUBSTITUTE(AG72,"R","S")&amp;Data!CV57,IF(AND(COUNTIF(AG72,"*V*"),COUNTIF(AG72,"*R*")),SUBSTITUTE(AG72,"R","S")&amp;Data!CV57,AG72 &amp; Data!CV57))),SUBSTITUTE(SUBSTITUTE(SUBSTITUTE(SUBSTITUTE(SUBSTITUTE(SUBSTITUTE(SUBSTITUTE(SUBSTITUTE(SUBSTITUTE(SUBSTITUTE(IF(AND(COUNTIF(AG72,"*P*"),COUNTIF(AG72,"*V*")),IF(COUNTIF(AG72,"*R*"),SUBSTITUTE(SUBSTITUTE(AG72,"P",""),"R","S"),SUBSTITUTE(AG72,"P","")),IF(AND(COUNTIF(AG72,"*P*"),COUNTIF(AG72,"*R*")),SUBSTITUTE(AG72,"R","S"),IF(AND(COUNTIF(AG72,"*V*"),COUNTIF(AG72,"*R*")),SUBSTITUTE(AG72,"R","S"),AG72))),"0",""),"1",""),"2",""),"3",""),"4",""),"5",""),"6",""),"7",""),"8",""),"9","")&amp; Data!CV57),""))</f>
        <v/>
      </c>
      <c r="AH105" s="41" t="str">
        <f>IF(AND($Y$57=1,AH72&lt;&gt;""),"O"&amp; Data!CW57,IF(AH72&lt;&gt;"",IF(OR(COUNTIF(AH72,"L*"),COUNTIF(AH72, "X*")),IF(AND(COUNTIF(AH72,"*P*"),COUNTIF(AH72,"*V*")),IF(COUNTIF(AH72,"*R*"),SUBSTITUTE(SUBSTITUTE(AH72,"P",""),"R","S")&amp; Data!CW57,SUBSTITUTE(AH72,"P","")&amp; Data!CW57),IF(AND(COUNTIF(AH72,"*P*"),COUNTIF(AH72,"*R*")),SUBSTITUTE(AH72,"R","S")&amp;Data!CW57,IF(AND(COUNTIF(AH72,"*V*"),COUNTIF(AH72,"*R*")),SUBSTITUTE(AH72,"R","S")&amp;Data!CW57,AH72 &amp; Data!CW57))),SUBSTITUTE(SUBSTITUTE(SUBSTITUTE(SUBSTITUTE(SUBSTITUTE(SUBSTITUTE(SUBSTITUTE(SUBSTITUTE(SUBSTITUTE(SUBSTITUTE(IF(AND(COUNTIF(AH72,"*P*"),COUNTIF(AH72,"*V*")),IF(COUNTIF(AH72,"*R*"),SUBSTITUTE(SUBSTITUTE(AH72,"P",""),"R","S"),SUBSTITUTE(AH72,"P","")),IF(AND(COUNTIF(AH72,"*P*"),COUNTIF(AH72,"*R*")),SUBSTITUTE(AH72,"R","S"),IF(AND(COUNTIF(AH72,"*V*"),COUNTIF(AH72,"*R*")),SUBSTITUTE(AH72,"R","S"),AH72))),"0",""),"1",""),"2",""),"3",""),"4",""),"5",""),"6",""),"7",""),"8",""),"9","")&amp; Data!CW57),""))</f>
        <v/>
      </c>
      <c r="AI105" s="41" t="str">
        <f>IF(AND($Y$57=1,AI72&lt;&gt;""),"O"&amp; Data!CX57,IF(AI72&lt;&gt;"",IF(OR(COUNTIF(AI72,"L*"),COUNTIF(AI72, "X*")),IF(AND(COUNTIF(AI72,"*P*"),COUNTIF(AI72,"*V*")),IF(COUNTIF(AI72,"*R*"),SUBSTITUTE(SUBSTITUTE(AI72,"P",""),"R","S")&amp; Data!CX57,SUBSTITUTE(AI72,"P","")&amp; Data!CX57),IF(AND(COUNTIF(AI72,"*P*"),COUNTIF(AI72,"*R*")),SUBSTITUTE(AI72,"R","S")&amp;Data!CX57,IF(AND(COUNTIF(AI72,"*V*"),COUNTIF(AI72,"*R*")),SUBSTITUTE(AI72,"R","S")&amp;Data!CX57,AI72 &amp; Data!CX57))),SUBSTITUTE(SUBSTITUTE(SUBSTITUTE(SUBSTITUTE(SUBSTITUTE(SUBSTITUTE(SUBSTITUTE(SUBSTITUTE(SUBSTITUTE(SUBSTITUTE(IF(AND(COUNTIF(AI72,"*P*"),COUNTIF(AI72,"*V*")),IF(COUNTIF(AI72,"*R*"),SUBSTITUTE(SUBSTITUTE(AI72,"P",""),"R","S"),SUBSTITUTE(AI72,"P","")),IF(AND(COUNTIF(AI72,"*P*"),COUNTIF(AI72,"*R*")),SUBSTITUTE(AI72,"R","S"),IF(AND(COUNTIF(AI72,"*V*"),COUNTIF(AI72,"*R*")),SUBSTITUTE(AI72,"R","S"),AI72))),"0",""),"1",""),"2",""),"3",""),"4",""),"5",""),"6",""),"7",""),"8",""),"9","")&amp; Data!CX57),""))</f>
        <v/>
      </c>
      <c r="AJ105" s="41" t="str">
        <f>IF(AND($Y$57=1,AJ72&lt;&gt;""),"O"&amp; Data!CY57,IF(AJ72&lt;&gt;"",IF(OR(COUNTIF(AJ72,"L*"),COUNTIF(AJ72, "X*")),IF(AND(COUNTIF(AJ72,"*P*"),COUNTIF(AJ72,"*V*")),IF(COUNTIF(AJ72,"*R*"),SUBSTITUTE(SUBSTITUTE(AJ72,"P",""),"R","S")&amp; Data!CY57,SUBSTITUTE(AJ72,"P","")&amp; Data!CY57),IF(AND(COUNTIF(AJ72,"*P*"),COUNTIF(AJ72,"*R*")),SUBSTITUTE(AJ72,"R","S")&amp;Data!CY57,IF(AND(COUNTIF(AJ72,"*V*"),COUNTIF(AJ72,"*R*")),SUBSTITUTE(AJ72,"R","S")&amp;Data!CY57,AJ72 &amp; Data!CY57))),SUBSTITUTE(SUBSTITUTE(SUBSTITUTE(SUBSTITUTE(SUBSTITUTE(SUBSTITUTE(SUBSTITUTE(SUBSTITUTE(SUBSTITUTE(SUBSTITUTE(IF(AND(COUNTIF(AJ72,"*P*"),COUNTIF(AJ72,"*V*")),IF(COUNTIF(AJ72,"*R*"),SUBSTITUTE(SUBSTITUTE(AJ72,"P",""),"R","S"),SUBSTITUTE(AJ72,"P","")),IF(AND(COUNTIF(AJ72,"*P*"),COUNTIF(AJ72,"*R*")),SUBSTITUTE(AJ72,"R","S"),IF(AND(COUNTIF(AJ72,"*V*"),COUNTIF(AJ72,"*R*")),SUBSTITUTE(AJ72,"R","S"),AJ72))),"0",""),"1",""),"2",""),"3",""),"4",""),"5",""),"6",""),"7",""),"8",""),"9","")&amp; Data!CY57),""))</f>
        <v/>
      </c>
    </row>
    <row r="106" spans="1:54" ht="24" customHeight="1" x14ac:dyDescent="0.35">
      <c r="A106" s="34"/>
      <c r="B106" s="35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</row>
    <row r="107" spans="1:54" ht="20.25" customHeight="1" thickBot="1" x14ac:dyDescent="0.4">
      <c r="A107" s="1209" t="s">
        <v>134</v>
      </c>
      <c r="B107" s="1209"/>
      <c r="C107" s="1209"/>
      <c r="D107" s="1209"/>
      <c r="E107" s="1209"/>
      <c r="F107" s="1209"/>
      <c r="G107" s="1209"/>
      <c r="H107" s="1209"/>
      <c r="I107" s="1209"/>
      <c r="J107" s="1209"/>
      <c r="K107" s="1209"/>
      <c r="L107" s="1209"/>
      <c r="M107" s="1209"/>
      <c r="N107" s="1209"/>
      <c r="O107" s="1209"/>
      <c r="P107" s="1209"/>
      <c r="Q107" s="1209"/>
      <c r="R107" s="1209"/>
      <c r="S107" s="1209"/>
      <c r="T107" s="1209"/>
      <c r="U107" s="1209"/>
      <c r="V107" s="1209"/>
      <c r="W107" s="1209"/>
      <c r="X107" s="1209"/>
      <c r="Y107" s="1209"/>
      <c r="Z107" s="1209"/>
      <c r="AA107" s="1209"/>
      <c r="AB107" s="1209"/>
      <c r="AC107" s="1209"/>
      <c r="AD107" s="1209"/>
      <c r="AE107" s="1209"/>
      <c r="AF107" s="1209"/>
      <c r="AG107" s="1209"/>
      <c r="AH107" s="1209"/>
      <c r="AI107" s="1209"/>
    </row>
    <row r="108" spans="1:54" ht="24" customHeight="1" thickBot="1" x14ac:dyDescent="0.4">
      <c r="A108" s="34"/>
      <c r="B108" s="35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</row>
    <row r="109" spans="1:54" ht="15" customHeight="1" thickBot="1" x14ac:dyDescent="0.4">
      <c r="A109" s="1202"/>
      <c r="B109" s="1203"/>
      <c r="C109" s="1207" t="s">
        <v>17</v>
      </c>
      <c r="D109" s="1207"/>
      <c r="E109" s="1207"/>
      <c r="F109" s="1207"/>
      <c r="G109" s="1207"/>
      <c r="H109" s="1207"/>
      <c r="I109" s="1207"/>
      <c r="J109" s="1207"/>
      <c r="K109" s="1207"/>
      <c r="L109" s="1207"/>
      <c r="M109" s="1207"/>
      <c r="N109" s="1207"/>
      <c r="O109" s="1207"/>
      <c r="P109" s="1207"/>
      <c r="Q109" s="1207"/>
      <c r="R109" s="1207"/>
      <c r="S109" s="1207"/>
      <c r="T109" s="1207"/>
      <c r="U109" s="1207"/>
      <c r="V109" s="1208"/>
      <c r="W109" s="6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8"/>
    </row>
    <row r="110" spans="1:54" ht="15.75" customHeight="1" thickBot="1" x14ac:dyDescent="0.4">
      <c r="A110" s="1204"/>
      <c r="B110" s="1205"/>
      <c r="C110" s="16">
        <v>1</v>
      </c>
      <c r="D110" s="17">
        <v>2</v>
      </c>
      <c r="E110" s="17">
        <v>3</v>
      </c>
      <c r="F110" s="17">
        <v>4</v>
      </c>
      <c r="G110" s="17">
        <v>5</v>
      </c>
      <c r="H110" s="17">
        <v>6</v>
      </c>
      <c r="I110" s="17">
        <v>7</v>
      </c>
      <c r="J110" s="17">
        <v>8</v>
      </c>
      <c r="K110" s="17">
        <v>9</v>
      </c>
      <c r="L110" s="17">
        <v>10</v>
      </c>
      <c r="M110" s="17">
        <v>11</v>
      </c>
      <c r="N110" s="17">
        <v>12</v>
      </c>
      <c r="O110" s="17">
        <v>13</v>
      </c>
      <c r="P110" s="17">
        <v>14</v>
      </c>
      <c r="Q110" s="17">
        <v>15</v>
      </c>
      <c r="R110" s="17">
        <v>16</v>
      </c>
      <c r="S110" s="17">
        <v>17</v>
      </c>
      <c r="T110" s="17">
        <v>18</v>
      </c>
      <c r="U110" s="17">
        <v>19</v>
      </c>
      <c r="V110" s="18">
        <v>20</v>
      </c>
      <c r="W110" s="17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20"/>
      <c r="AR110" s="1195" t="s">
        <v>792</v>
      </c>
      <c r="AS110" s="1195"/>
      <c r="AT110" s="112"/>
    </row>
    <row r="111" spans="1:54" ht="23.25" customHeight="1" thickBot="1" x14ac:dyDescent="0.4">
      <c r="A111" s="1196" t="s">
        <v>18</v>
      </c>
      <c r="B111" s="21">
        <v>1</v>
      </c>
      <c r="C111" s="41" t="str" cm="1">
        <f t="array" ref="C111">IF(AND($Y$57=1,C61&lt;&gt;""),
    "O"&amp;Data!BR46,
    IF(C61&lt;&gt;"",
       IF(OR(COUNTIF(C61,"L*"),COUNTIF(C61,"X*")),
          SUBSTITUTE(SUBSTITUTE(SUBSTITUTE(SUBSTITUTE(C61,"P",""),"I",""),"V",""),"B","") &amp;
          IF(
             OR(
               COUNTIF(C61,"*"&amp;$BN$59&amp;"*"),
               COUNTIF(C61,"*"&amp;$BN$60&amp;"*"),
               COUNTIF(C61,"*"&amp;$BN$61&amp;"*"),
               COUNTIF(C61,"*"&amp;$BN$62&amp;"*"),
               COUNTIF(C61,"*"&amp;$BN$63&amp;"*")
             ),
             "",
             IF(
               SUMPRODUCT(--ISNUMBER(MID(C61,ROW($1:$20),1)*1))&gt;0,
               "",
               Data!BR46
             )
          ),
          SUBSTITUTE(SUBSTITUTE(SUBSTITUTE(SUBSTITUTE(SUBSTITUTE(SUBSTITUTE(SUBSTITUTE(SUBSTITUTE(SUBSTITUTE(C61,$BN$59,""),$BN$60,""),$BN$61,""),$BN$62,""),$BN$63,""),"P",""),"I",""),"V",""),"B","") &amp;
          Data!BR46
       ),
       ""
    )
)</f>
        <v/>
      </c>
      <c r="D111" s="41" t="str" cm="1">
        <f t="array" ref="D111">IF(AND($Y$57=1,D61&lt;&gt;""),
    "O"&amp;Data!BS46,
    IF(D61&lt;&gt;"",
       IF(OR(COUNTIF(D61,"L*"),COUNTIF(D61,"X*")),
          SUBSTITUTE(SUBSTITUTE(SUBSTITUTE(SUBSTITUTE(D61,"P",""),"I",""),"V",""),"B","") &amp;
          IF(
             OR(
               COUNTIF(D61,"*"&amp;$BN$59&amp;"*"),
               COUNTIF(D61,"*"&amp;$BN$60&amp;"*"),
               COUNTIF(D61,"*"&amp;$BN$61&amp;"*"),
               COUNTIF(D61,"*"&amp;$BN$62&amp;"*"),
               COUNTIF(D61,"*"&amp;$BN$63&amp;"*")
             ),
             "",
             IF(
               SUMPRODUCT(--ISNUMBER(MID(D61,ROW($1:$20),1)*1))&gt;0,
               "",
               Data!BS46
             )
          ),
          SUBSTITUTE(SUBSTITUTE(SUBSTITUTE(SUBSTITUTE(SUBSTITUTE(SUBSTITUTE(SUBSTITUTE(SUBSTITUTE(SUBSTITUTE(D61,$BN$59,""),$BN$60,""),$BN$61,""),$BN$62,""),$BN$63,""),"P",""),"I",""),"V",""),"B","") &amp;
          Data!BS46
       ),
       ""
    )
)</f>
        <v/>
      </c>
      <c r="E111" s="41" t="str" cm="1">
        <f t="array" ref="E111">IF(AND($Y$57=1,E61&lt;&gt;""),
    "O"&amp;Data!BT46,
    IF(E61&lt;&gt;"",
       IF(OR(COUNTIF(E61,"L*"),COUNTIF(E61,"X*")),
          SUBSTITUTE(SUBSTITUTE(SUBSTITUTE(SUBSTITUTE(E61,"P",""),"I",""),"V",""),"B","") &amp;
          IF(
             OR(
               COUNTIF(E61,"*"&amp;$BN$59&amp;"*"),
               COUNTIF(E61,"*"&amp;$BN$60&amp;"*"),
               COUNTIF(E61,"*"&amp;$BN$61&amp;"*"),
               COUNTIF(E61,"*"&amp;$BN$62&amp;"*"),
               COUNTIF(E61,"*"&amp;$BN$63&amp;"*")
             ),
             "",
             IF(
               SUMPRODUCT(--ISNUMBER(MID(E61,ROW($1:$20),1)*1))&gt;0,
               "",
               Data!BT46
             )
          ),
          SUBSTITUTE(SUBSTITUTE(SUBSTITUTE(SUBSTITUTE(SUBSTITUTE(SUBSTITUTE(SUBSTITUTE(SUBSTITUTE(SUBSTITUTE(E61,$BN$59,""),$BN$60,""),$BN$61,""),$BN$62,""),$BN$63,""),"P",""),"I",""),"V",""),"B","") &amp;
          Data!BT46
       ),
       ""
    )
)</f>
        <v/>
      </c>
      <c r="F111" s="41" t="str" cm="1">
        <f t="array" ref="F111">IF(AND($Y$57=1,F61&lt;&gt;""),
    "O"&amp;Data!BU46,
    IF(F61&lt;&gt;"",
       IF(OR(COUNTIF(F61,"L*"),COUNTIF(F61,"X*")),
          SUBSTITUTE(SUBSTITUTE(SUBSTITUTE(SUBSTITUTE(F61,"P",""),"I",""),"V",""),"B","") &amp;
          IF(
             OR(
               COUNTIF(F61,"*"&amp;$BN$59&amp;"*"),
               COUNTIF(F61,"*"&amp;$BN$60&amp;"*"),
               COUNTIF(F61,"*"&amp;$BN$61&amp;"*"),
               COUNTIF(F61,"*"&amp;$BN$62&amp;"*"),
               COUNTIF(F61,"*"&amp;$BN$63&amp;"*")
             ),
             "",
             IF(
               SUMPRODUCT(--ISNUMBER(MID(F61,ROW($1:$20),1)*1))&gt;0,
               "",
               Data!BU46
             )
          ),
          SUBSTITUTE(SUBSTITUTE(SUBSTITUTE(SUBSTITUTE(SUBSTITUTE(SUBSTITUTE(SUBSTITUTE(SUBSTITUTE(SUBSTITUTE(F61,$BN$59,""),$BN$60,""),$BN$61,""),$BN$62,""),$BN$63,""),"P",""),"I",""),"V",""),"B","") &amp;
          Data!BU46
       ),
       ""
    )
)</f>
        <v/>
      </c>
      <c r="G111" s="41" t="str" cm="1">
        <f t="array" ref="G111">IF(AND($Y$57=1,G61&lt;&gt;""),
    "O"&amp;Data!BV46,
    IF(G61&lt;&gt;"",
       IF(OR(COUNTIF(G61,"L*"),COUNTIF(G61,"X*")),
          SUBSTITUTE(SUBSTITUTE(SUBSTITUTE(SUBSTITUTE(G61,"P",""),"I",""),"V",""),"B","") &amp;
          IF(
             OR(
               COUNTIF(G61,"*"&amp;$BN$59&amp;"*"),
               COUNTIF(G61,"*"&amp;$BN$60&amp;"*"),
               COUNTIF(G61,"*"&amp;$BN$61&amp;"*"),
               COUNTIF(G61,"*"&amp;$BN$62&amp;"*"),
               COUNTIF(G61,"*"&amp;$BN$63&amp;"*")
             ),
             "",
             IF(
               SUMPRODUCT(--ISNUMBER(MID(G61,ROW($1:$20),1)*1))&gt;0,
               "",
               Data!BV46
             )
          ),
          SUBSTITUTE(SUBSTITUTE(SUBSTITUTE(SUBSTITUTE(SUBSTITUTE(SUBSTITUTE(SUBSTITUTE(SUBSTITUTE(SUBSTITUTE(G61,$BN$59,""),$BN$60,""),$BN$61,""),$BN$62,""),$BN$63,""),"P",""),"I",""),"V",""),"B","") &amp;
          Data!BV46
       ),
       ""
    )
)</f>
        <v/>
      </c>
      <c r="H111" s="41" t="str" cm="1">
        <f t="array" ref="H111">IF(AND($Y$57=1,H61&lt;&gt;""),
    "O"&amp;Data!BW46,
    IF(H61&lt;&gt;"",
       IF(OR(COUNTIF(H61,"L*"),COUNTIF(H61,"X*")),
          SUBSTITUTE(SUBSTITUTE(SUBSTITUTE(SUBSTITUTE(H61,"P",""),"I",""),"V",""),"B","") &amp;
          IF(
             OR(
               COUNTIF(H61,"*"&amp;$BN$59&amp;"*"),
               COUNTIF(H61,"*"&amp;$BN$60&amp;"*"),
               COUNTIF(H61,"*"&amp;$BN$61&amp;"*"),
               COUNTIF(H61,"*"&amp;$BN$62&amp;"*"),
               COUNTIF(H61,"*"&amp;$BN$63&amp;"*")
             ),
             "",
             IF(
               SUMPRODUCT(--ISNUMBER(MID(H61,ROW($1:$20),1)*1))&gt;0,
               "",
               Data!BW46
             )
          ),
          SUBSTITUTE(SUBSTITUTE(SUBSTITUTE(SUBSTITUTE(SUBSTITUTE(SUBSTITUTE(SUBSTITUTE(SUBSTITUTE(SUBSTITUTE(H61,$BN$59,""),$BN$60,""),$BN$61,""),$BN$62,""),$BN$63,""),"P",""),"I",""),"V",""),"B","") &amp;
          Data!BW46
       ),
       ""
    )
)</f>
        <v/>
      </c>
      <c r="I111" s="41" t="str" cm="1">
        <f t="array" ref="I111">IF(AND($Y$57=1,I61&lt;&gt;""),
    "O"&amp;Data!BX46,
    IF(I61&lt;&gt;"",
       IF(OR(COUNTIF(I61,"L*"),COUNTIF(I61,"X*")),
          SUBSTITUTE(SUBSTITUTE(SUBSTITUTE(SUBSTITUTE(I61,"P",""),"I",""),"V",""),"B","") &amp;
          IF(
             OR(
               COUNTIF(I61,"*"&amp;$BN$59&amp;"*"),
               COUNTIF(I61,"*"&amp;$BN$60&amp;"*"),
               COUNTIF(I61,"*"&amp;$BN$61&amp;"*"),
               COUNTIF(I61,"*"&amp;$BN$62&amp;"*"),
               COUNTIF(I61,"*"&amp;$BN$63&amp;"*")
             ),
             "",
             IF(
               SUMPRODUCT(--ISNUMBER(MID(I61,ROW($1:$20),1)*1))&gt;0,
               "",
               Data!BX46
             )
          ),
          SUBSTITUTE(SUBSTITUTE(SUBSTITUTE(SUBSTITUTE(SUBSTITUTE(SUBSTITUTE(SUBSTITUTE(SUBSTITUTE(SUBSTITUTE(I61,$BN$59,""),$BN$60,""),$BN$61,""),$BN$62,""),$BN$63,""),"P",""),"I",""),"V",""),"B","") &amp;
          Data!BX46
       ),
       ""
    )
)</f>
        <v/>
      </c>
      <c r="J111" s="41" t="str" cm="1">
        <f t="array" ref="J111">IF(AND($Y$57=1,J61&lt;&gt;""),
    "O"&amp;Data!BY46,
    IF(J61&lt;&gt;"",
       IF(OR(COUNTIF(J61,"L*"),COUNTIF(J61,"X*")),
          SUBSTITUTE(SUBSTITUTE(SUBSTITUTE(SUBSTITUTE(J61,"P",""),"I",""),"V",""),"B","") &amp;
          IF(
             OR(
               COUNTIF(J61,"*"&amp;$BN$59&amp;"*"),
               COUNTIF(J61,"*"&amp;$BN$60&amp;"*"),
               COUNTIF(J61,"*"&amp;$BN$61&amp;"*"),
               COUNTIF(J61,"*"&amp;$BN$62&amp;"*"),
               COUNTIF(J61,"*"&amp;$BN$63&amp;"*")
             ),
             "",
             IF(
               SUMPRODUCT(--ISNUMBER(MID(J61,ROW($1:$20),1)*1))&gt;0,
               "",
               Data!BY46
             )
          ),
          SUBSTITUTE(SUBSTITUTE(SUBSTITUTE(SUBSTITUTE(SUBSTITUTE(SUBSTITUTE(SUBSTITUTE(SUBSTITUTE(SUBSTITUTE(J61,$BN$59,""),$BN$60,""),$BN$61,""),$BN$62,""),$BN$63,""),"P",""),"I",""),"V",""),"B","") &amp;
          Data!BY46
       ),
       ""
    )
)</f>
        <v/>
      </c>
      <c r="K111" s="41" t="str" cm="1">
        <f t="array" ref="K111">IF(AND($Y$57=1,K61&lt;&gt;""),
    "O"&amp;Data!BZ46,
    IF(K61&lt;&gt;"",
       IF(OR(COUNTIF(K61,"L*"),COUNTIF(K61,"X*")),
          SUBSTITUTE(SUBSTITUTE(SUBSTITUTE(SUBSTITUTE(K61,"P",""),"I",""),"V",""),"B","") &amp;
          IF(
             OR(
               COUNTIF(K61,"*"&amp;$BN$59&amp;"*"),
               COUNTIF(K61,"*"&amp;$BN$60&amp;"*"),
               COUNTIF(K61,"*"&amp;$BN$61&amp;"*"),
               COUNTIF(K61,"*"&amp;$BN$62&amp;"*"),
               COUNTIF(K61,"*"&amp;$BN$63&amp;"*")
             ),
             "",
             IF(
               SUMPRODUCT(--ISNUMBER(MID(K61,ROW($1:$20),1)*1))&gt;0,
               "",
               Data!BZ46
             )
          ),
          SUBSTITUTE(SUBSTITUTE(SUBSTITUTE(SUBSTITUTE(SUBSTITUTE(SUBSTITUTE(SUBSTITUTE(SUBSTITUTE(SUBSTITUTE(K61,$BN$59,""),$BN$60,""),$BN$61,""),$BN$62,""),$BN$63,""),"P",""),"I",""),"V",""),"B","") &amp;
          Data!BZ46
       ),
       ""
    )
)</f>
        <v/>
      </c>
      <c r="L111" s="41" t="str" cm="1">
        <f t="array" ref="L111">IF(AND($Y$57=1,L61&lt;&gt;""),
    "O"&amp;Data!CA46,
    IF(L61&lt;&gt;"",
       IF(OR(COUNTIF(L61,"L*"),COUNTIF(L61,"X*")),
          SUBSTITUTE(SUBSTITUTE(SUBSTITUTE(SUBSTITUTE(L61,"P",""),"I",""),"V",""),"B","") &amp;
          IF(
             OR(
               COUNTIF(L61,"*"&amp;$BN$59&amp;"*"),
               COUNTIF(L61,"*"&amp;$BN$60&amp;"*"),
               COUNTIF(L61,"*"&amp;$BN$61&amp;"*"),
               COUNTIF(L61,"*"&amp;$BN$62&amp;"*"),
               COUNTIF(L61,"*"&amp;$BN$63&amp;"*")
             ),
             "",
             IF(
               SUMPRODUCT(--ISNUMBER(MID(L61,ROW($1:$20),1)*1))&gt;0,
               "",
               Data!CA46
             )
          ),
          SUBSTITUTE(SUBSTITUTE(SUBSTITUTE(SUBSTITUTE(SUBSTITUTE(SUBSTITUTE(SUBSTITUTE(SUBSTITUTE(SUBSTITUTE(L61,$BN$59,""),$BN$60,""),$BN$61,""),$BN$62,""),$BN$63,""),"P",""),"I",""),"V",""),"B","") &amp;
          Data!CA46
       ),
       ""
    )
)</f>
        <v/>
      </c>
      <c r="M111" s="41" t="str" cm="1">
        <f t="array" ref="M111">IF(AND($Y$57=1,M61&lt;&gt;""),
    "O"&amp;Data!CB46,
    IF(M61&lt;&gt;"",
       IF(OR(COUNTIF(M61,"L*"),COUNTIF(M61,"X*")),
          SUBSTITUTE(SUBSTITUTE(SUBSTITUTE(SUBSTITUTE(M61,"P",""),"I",""),"V",""),"B","") &amp;
          IF(
             OR(
               COUNTIF(M61,"*"&amp;$BN$59&amp;"*"),
               COUNTIF(M61,"*"&amp;$BN$60&amp;"*"),
               COUNTIF(M61,"*"&amp;$BN$61&amp;"*"),
               COUNTIF(M61,"*"&amp;$BN$62&amp;"*"),
               COUNTIF(M61,"*"&amp;$BN$63&amp;"*")
             ),
             "",
             IF(
               SUMPRODUCT(--ISNUMBER(MID(M61,ROW($1:$20),1)*1))&gt;0,
               "",
               Data!CB46
             )
          ),
          SUBSTITUTE(SUBSTITUTE(SUBSTITUTE(SUBSTITUTE(SUBSTITUTE(SUBSTITUTE(SUBSTITUTE(SUBSTITUTE(SUBSTITUTE(M61,$BN$59,""),$BN$60,""),$BN$61,""),$BN$62,""),$BN$63,""),"P",""),"I",""),"V",""),"B","") &amp;
          Data!CB46
       ),
       ""
    )
)</f>
        <v/>
      </c>
      <c r="N111" s="41" t="str" cm="1">
        <f t="array" ref="N111">IF(AND($Y$57=1,N61&lt;&gt;""),
    "O"&amp;Data!CC46,
    IF(N61&lt;&gt;"",
       IF(OR(COUNTIF(N61,"L*"),COUNTIF(N61,"X*")),
          SUBSTITUTE(SUBSTITUTE(SUBSTITUTE(SUBSTITUTE(N61,"P",""),"I",""),"V",""),"B","") &amp;
          IF(
             OR(
               COUNTIF(N61,"*"&amp;$BN$59&amp;"*"),
               COUNTIF(N61,"*"&amp;$BN$60&amp;"*"),
               COUNTIF(N61,"*"&amp;$BN$61&amp;"*"),
               COUNTIF(N61,"*"&amp;$BN$62&amp;"*"),
               COUNTIF(N61,"*"&amp;$BN$63&amp;"*")
             ),
             "",
             IF(
               SUMPRODUCT(--ISNUMBER(MID(N61,ROW($1:$20),1)*1))&gt;0,
               "",
               Data!CC46
             )
          ),
          SUBSTITUTE(SUBSTITUTE(SUBSTITUTE(SUBSTITUTE(SUBSTITUTE(SUBSTITUTE(SUBSTITUTE(SUBSTITUTE(SUBSTITUTE(N61,$BN$59,""),$BN$60,""),$BN$61,""),$BN$62,""),$BN$63,""),"P",""),"I",""),"V",""),"B","") &amp;
          Data!CC46
       ),
       ""
    )
)</f>
        <v/>
      </c>
      <c r="O111" s="41" t="str" cm="1">
        <f t="array" ref="O111">IF(AND($Y$57=1,O61&lt;&gt;""),
    "O"&amp;Data!CD46,
    IF(O61&lt;&gt;"",
       IF(OR(COUNTIF(O61,"L*"),COUNTIF(O61,"X*")),
          SUBSTITUTE(SUBSTITUTE(SUBSTITUTE(SUBSTITUTE(O61,"P",""),"I",""),"V",""),"B","") &amp;
          IF(
             OR(
               COUNTIF(O61,"*"&amp;$BN$59&amp;"*"),
               COUNTIF(O61,"*"&amp;$BN$60&amp;"*"),
               COUNTIF(O61,"*"&amp;$BN$61&amp;"*"),
               COUNTIF(O61,"*"&amp;$BN$62&amp;"*"),
               COUNTIF(O61,"*"&amp;$BN$63&amp;"*")
             ),
             "",
             IF(
               SUMPRODUCT(--ISNUMBER(MID(O61,ROW($1:$20),1)*1))&gt;0,
               "",
               Data!CD46
             )
          ),
          SUBSTITUTE(SUBSTITUTE(SUBSTITUTE(SUBSTITUTE(SUBSTITUTE(SUBSTITUTE(SUBSTITUTE(SUBSTITUTE(SUBSTITUTE(O61,$BN$59,""),$BN$60,""),$BN$61,""),$BN$62,""),$BN$63,""),"P",""),"I",""),"V",""),"B","") &amp;
          Data!CD46
       ),
       ""
    )
)</f>
        <v/>
      </c>
      <c r="P111" s="41" t="str" cm="1">
        <f t="array" ref="P111">IF(AND($Y$57=1,P61&lt;&gt;""),
    "O"&amp;Data!CE46,
    IF(P61&lt;&gt;"",
       IF(OR(COUNTIF(P61,"L*"),COUNTIF(P61,"X*")),
          SUBSTITUTE(SUBSTITUTE(SUBSTITUTE(SUBSTITUTE(P61,"P",""),"I",""),"V",""),"B","") &amp;
          IF(
             OR(
               COUNTIF(P61,"*"&amp;$BN$59&amp;"*"),
               COUNTIF(P61,"*"&amp;$BN$60&amp;"*"),
               COUNTIF(P61,"*"&amp;$BN$61&amp;"*"),
               COUNTIF(P61,"*"&amp;$BN$62&amp;"*"),
               COUNTIF(P61,"*"&amp;$BN$63&amp;"*")
             ),
             "",
             IF(
               SUMPRODUCT(--ISNUMBER(MID(P61,ROW($1:$20),1)*1))&gt;0,
               "",
               Data!CE46
             )
          ),
          SUBSTITUTE(SUBSTITUTE(SUBSTITUTE(SUBSTITUTE(SUBSTITUTE(SUBSTITUTE(SUBSTITUTE(SUBSTITUTE(SUBSTITUTE(P61,$BN$59,""),$BN$60,""),$BN$61,""),$BN$62,""),$BN$63,""),"P",""),"I",""),"V",""),"B","") &amp;
          Data!CE46
       ),
       ""
    )
)</f>
        <v/>
      </c>
      <c r="Q111" s="41" t="str" cm="1">
        <f t="array" ref="Q111">IF(AND($Y$57=1,Q61&lt;&gt;""),
    "O"&amp;Data!CF46,
    IF(Q61&lt;&gt;"",
       IF(OR(COUNTIF(Q61,"L*"),COUNTIF(Q61,"X*")),
          SUBSTITUTE(SUBSTITUTE(SUBSTITUTE(SUBSTITUTE(Q61,"P",""),"I",""),"V",""),"B","") &amp;
          IF(
             OR(
               COUNTIF(Q61,"*"&amp;$BN$59&amp;"*"),
               COUNTIF(Q61,"*"&amp;$BN$60&amp;"*"),
               COUNTIF(Q61,"*"&amp;$BN$61&amp;"*"),
               COUNTIF(Q61,"*"&amp;$BN$62&amp;"*"),
               COUNTIF(Q61,"*"&amp;$BN$63&amp;"*")
             ),
             "",
             IF(
               SUMPRODUCT(--ISNUMBER(MID(Q61,ROW($1:$20),1)*1))&gt;0,
               "",
               Data!CF46
             )
          ),
          SUBSTITUTE(SUBSTITUTE(SUBSTITUTE(SUBSTITUTE(SUBSTITUTE(SUBSTITUTE(SUBSTITUTE(SUBSTITUTE(SUBSTITUTE(Q61,$BN$59,""),$BN$60,""),$BN$61,""),$BN$62,""),$BN$63,""),"P",""),"I",""),"V",""),"B","") &amp;
          Data!CF46
       ),
       ""
    )
)</f>
        <v/>
      </c>
      <c r="R111" s="41" t="str" cm="1">
        <f t="array" ref="R111">IF(AND($Y$57=1,R61&lt;&gt;""),
    "O"&amp;Data!CG46,
    IF(R61&lt;&gt;"",
       IF(OR(COUNTIF(R61,"L*"),COUNTIF(R61,"X*")),
          SUBSTITUTE(SUBSTITUTE(SUBSTITUTE(SUBSTITUTE(R61,"P",""),"I",""),"V",""),"B","") &amp;
          IF(
             OR(
               COUNTIF(R61,"*"&amp;$BN$59&amp;"*"),
               COUNTIF(R61,"*"&amp;$BN$60&amp;"*"),
               COUNTIF(R61,"*"&amp;$BN$61&amp;"*"),
               COUNTIF(R61,"*"&amp;$BN$62&amp;"*"),
               COUNTIF(R61,"*"&amp;$BN$63&amp;"*")
             ),
             "",
             IF(
               SUMPRODUCT(--ISNUMBER(MID(R61,ROW($1:$20),1)*1))&gt;0,
               "",
               Data!CG46
             )
          ),
          SUBSTITUTE(SUBSTITUTE(SUBSTITUTE(SUBSTITUTE(SUBSTITUTE(SUBSTITUTE(SUBSTITUTE(SUBSTITUTE(SUBSTITUTE(R61,$BN$59,""),$BN$60,""),$BN$61,""),$BN$62,""),$BN$63,""),"P",""),"I",""),"V",""),"B","") &amp;
          Data!CG46
       ),
       ""
    )
)</f>
        <v/>
      </c>
      <c r="S111" s="41" t="str" cm="1">
        <f t="array" ref="S111">IF(AND($Y$57=1,S61&lt;&gt;""),
    "O"&amp;Data!CH46,
    IF(S61&lt;&gt;"",
       IF(OR(COUNTIF(S61,"L*"),COUNTIF(S61,"X*")),
          SUBSTITUTE(SUBSTITUTE(SUBSTITUTE(SUBSTITUTE(S61,"P",""),"I",""),"V",""),"B","") &amp;
          IF(
             OR(
               COUNTIF(S61,"*"&amp;$BN$59&amp;"*"),
               COUNTIF(S61,"*"&amp;$BN$60&amp;"*"),
               COUNTIF(S61,"*"&amp;$BN$61&amp;"*"),
               COUNTIF(S61,"*"&amp;$BN$62&amp;"*"),
               COUNTIF(S61,"*"&amp;$BN$63&amp;"*")
             ),
             "",
             IF(
               SUMPRODUCT(--ISNUMBER(MID(S61,ROW($1:$20),1)*1))&gt;0,
               "",
               Data!CH46
             )
          ),
          SUBSTITUTE(SUBSTITUTE(SUBSTITUTE(SUBSTITUTE(SUBSTITUTE(SUBSTITUTE(SUBSTITUTE(SUBSTITUTE(SUBSTITUTE(S61,$BN$59,""),$BN$60,""),$BN$61,""),$BN$62,""),$BN$63,""),"P",""),"I",""),"V",""),"B","") &amp;
          Data!CH46
       ),
       ""
    )
)</f>
        <v/>
      </c>
      <c r="T111" s="41" t="str" cm="1">
        <f t="array" ref="T111">IF(AND($Y$57=1,T61&lt;&gt;""),
    "O"&amp;Data!CI46,
    IF(T61&lt;&gt;"",
       IF(OR(COUNTIF(T61,"L*"),COUNTIF(T61,"X*")),
          SUBSTITUTE(SUBSTITUTE(SUBSTITUTE(SUBSTITUTE(T61,"P",""),"I",""),"V",""),"B","") &amp;
          IF(
             OR(
               COUNTIF(T61,"*"&amp;$BN$59&amp;"*"),
               COUNTIF(T61,"*"&amp;$BN$60&amp;"*"),
               COUNTIF(T61,"*"&amp;$BN$61&amp;"*"),
               COUNTIF(T61,"*"&amp;$BN$62&amp;"*"),
               COUNTIF(T61,"*"&amp;$BN$63&amp;"*")
             ),
             "",
             IF(
               SUMPRODUCT(--ISNUMBER(MID(T61,ROW($1:$20),1)*1))&gt;0,
               "",
               Data!CI46
             )
          ),
          SUBSTITUTE(SUBSTITUTE(SUBSTITUTE(SUBSTITUTE(SUBSTITUTE(SUBSTITUTE(SUBSTITUTE(SUBSTITUTE(SUBSTITUTE(T61,$BN$59,""),$BN$60,""),$BN$61,""),$BN$62,""),$BN$63,""),"P",""),"I",""),"V",""),"B","") &amp;
          Data!CI46
       ),
       ""
    )
)</f>
        <v/>
      </c>
      <c r="U111" s="41" t="str" cm="1">
        <f t="array" ref="U111">IF(AND($Y$57=1,U61&lt;&gt;""),
    "O"&amp;Data!CJ46,
    IF(U61&lt;&gt;"",
       IF(OR(COUNTIF(U61,"L*"),COUNTIF(U61,"X*")),
          SUBSTITUTE(SUBSTITUTE(SUBSTITUTE(SUBSTITUTE(U61,"P",""),"I",""),"V",""),"B","") &amp;
          IF(
             OR(
               COUNTIF(U61,"*"&amp;$BN$59&amp;"*"),
               COUNTIF(U61,"*"&amp;$BN$60&amp;"*"),
               COUNTIF(U61,"*"&amp;$BN$61&amp;"*"),
               COUNTIF(U61,"*"&amp;$BN$62&amp;"*"),
               COUNTIF(U61,"*"&amp;$BN$63&amp;"*")
             ),
             "",
             IF(
               SUMPRODUCT(--ISNUMBER(MID(U61,ROW($1:$20),1)*1))&gt;0,
               "",
               Data!CJ46
             )
          ),
          SUBSTITUTE(SUBSTITUTE(SUBSTITUTE(SUBSTITUTE(SUBSTITUTE(SUBSTITUTE(SUBSTITUTE(SUBSTITUTE(SUBSTITUTE(U61,$BN$59,""),$BN$60,""),$BN$61,""),$BN$62,""),$BN$63,""),"P",""),"I",""),"V",""),"B","") &amp;
          Data!CJ46
       ),
       ""
    )
)</f>
        <v/>
      </c>
      <c r="V111" s="41" t="str" cm="1">
        <f t="array" ref="V111">IF(AND($Y$57=1,V61&lt;&gt;""),
    "O"&amp;Data!CK46,
    IF(V61&lt;&gt;"",
       IF(OR(COUNTIF(V61,"L*"),COUNTIF(V61,"X*")),
          SUBSTITUTE(SUBSTITUTE(SUBSTITUTE(SUBSTITUTE(V61,"P",""),"I",""),"V",""),"B","") &amp;
          IF(
             OR(
               COUNTIF(V61,"*"&amp;$BN$59&amp;"*"),
               COUNTIF(V61,"*"&amp;$BN$60&amp;"*"),
               COUNTIF(V61,"*"&amp;$BN$61&amp;"*"),
               COUNTIF(V61,"*"&amp;$BN$62&amp;"*"),
               COUNTIF(V61,"*"&amp;$BN$63&amp;"*")
             ),
             "",
             IF(
               SUMPRODUCT(--ISNUMBER(MID(V61,ROW($1:$20),1)*1))&gt;0,
               "",
               Data!CK46
             )
          ),
          SUBSTITUTE(SUBSTITUTE(SUBSTITUTE(SUBSTITUTE(SUBSTITUTE(SUBSTITUTE(SUBSTITUTE(SUBSTITUTE(SUBSTITUTE(V61,$BN$59,""),$BN$60,""),$BN$61,""),$BN$62,""),$BN$63,""),"P",""),"I",""),"V",""),"B","") &amp;
          Data!CK46
       ),
       ""
    )
)</f>
        <v/>
      </c>
      <c r="W111" s="41" t="str" cm="1">
        <f t="array" ref="W111">IF(AND($Y$57=1,W61&lt;&gt;""),
    "O"&amp;Data!CL46,
    IF(W61&lt;&gt;"",
       IF(OR(COUNTIF(W61,"L*"),COUNTIF(W61,"X*")),
          SUBSTITUTE(SUBSTITUTE(SUBSTITUTE(SUBSTITUTE(W61,"P",""),"I",""),"V",""),"B","") &amp;
          IF(
             OR(
               COUNTIF(W61,"*"&amp;$BN$59&amp;"*"),
               COUNTIF(W61,"*"&amp;$BN$60&amp;"*"),
               COUNTIF(W61,"*"&amp;$BN$61&amp;"*"),
               COUNTIF(W61,"*"&amp;$BN$62&amp;"*"),
               COUNTIF(W61,"*"&amp;$BN$63&amp;"*")
             ),
             "",
             IF(
               SUMPRODUCT(--ISNUMBER(MID(W61,ROW($1:$20),1)*1))&gt;0,
               "",
               Data!CL46
             )
          ),
          SUBSTITUTE(SUBSTITUTE(SUBSTITUTE(SUBSTITUTE(SUBSTITUTE(SUBSTITUTE(SUBSTITUTE(SUBSTITUTE(SUBSTITUTE(W61,$BN$59,""),$BN$60,""),$BN$61,""),$BN$62,""),$BN$63,""),"P",""),"I",""),"V",""),"B","") &amp;
          Data!CL46
       ),
       ""
    )
)</f>
        <v/>
      </c>
      <c r="X111" s="41" t="str" cm="1">
        <f t="array" ref="X111">IF(AND($Y$57=1,X61&lt;&gt;""),
    "O"&amp;Data!CM46,
    IF(X61&lt;&gt;"",
       IF(OR(COUNTIF(X61,"L*"),COUNTIF(X61,"X*")),
          SUBSTITUTE(SUBSTITUTE(SUBSTITUTE(SUBSTITUTE(X61,"P",""),"I",""),"V",""),"B","") &amp;
          IF(
             OR(
               COUNTIF(X61,"*"&amp;$BN$59&amp;"*"),
               COUNTIF(X61,"*"&amp;$BN$60&amp;"*"),
               COUNTIF(X61,"*"&amp;$BN$61&amp;"*"),
               COUNTIF(X61,"*"&amp;$BN$62&amp;"*"),
               COUNTIF(X61,"*"&amp;$BN$63&amp;"*")
             ),
             "",
             IF(
               SUMPRODUCT(--ISNUMBER(MID(X61,ROW($1:$20),1)*1))&gt;0,
               "",
               Data!CM46
             )
          ),
          SUBSTITUTE(SUBSTITUTE(SUBSTITUTE(SUBSTITUTE(SUBSTITUTE(SUBSTITUTE(SUBSTITUTE(SUBSTITUTE(SUBSTITUTE(X61,$BN$59,""),$BN$60,""),$BN$61,""),$BN$62,""),$BN$63,""),"P",""),"I",""),"V",""),"B","") &amp;
          Data!CM46
       ),
       ""
    )
)</f>
        <v/>
      </c>
      <c r="Y111" s="41" t="str" cm="1">
        <f t="array" ref="Y111">IF(AND($Y$57=1,Y61&lt;&gt;""),
    "O"&amp;Data!CN46,
    IF(Y61&lt;&gt;"",
       IF(OR(COUNTIF(Y61,"L*"),COUNTIF(Y61,"X*")),
          SUBSTITUTE(SUBSTITUTE(SUBSTITUTE(SUBSTITUTE(Y61,"P",""),"I",""),"V",""),"B","") &amp;
          IF(
             OR(
               COUNTIF(Y61,"*"&amp;$BN$59&amp;"*"),
               COUNTIF(Y61,"*"&amp;$BN$60&amp;"*"),
               COUNTIF(Y61,"*"&amp;$BN$61&amp;"*"),
               COUNTIF(Y61,"*"&amp;$BN$62&amp;"*"),
               COUNTIF(Y61,"*"&amp;$BN$63&amp;"*")
             ),
             "",
             IF(
               SUMPRODUCT(--ISNUMBER(MID(Y61,ROW($1:$20),1)*1))&gt;0,
               "",
               Data!CN46
             )
          ),
          SUBSTITUTE(SUBSTITUTE(SUBSTITUTE(SUBSTITUTE(SUBSTITUTE(SUBSTITUTE(SUBSTITUTE(SUBSTITUTE(SUBSTITUTE(Y61,$BN$59,""),$BN$60,""),$BN$61,""),$BN$62,""),$BN$63,""),"P",""),"I",""),"V",""),"B","") &amp;
          Data!CN46
       ),
       ""
    )
)</f>
        <v/>
      </c>
      <c r="Z111" s="41" t="str" cm="1">
        <f t="array" ref="Z111">IF(AND($Y$57=1,Z61&lt;&gt;""),
    "O"&amp;Data!CO46,
    IF(Z61&lt;&gt;"",
       IF(OR(COUNTIF(Z61,"L*"),COUNTIF(Z61,"X*")),
          SUBSTITUTE(SUBSTITUTE(SUBSTITUTE(SUBSTITUTE(Z61,"P",""),"I",""),"V",""),"B","") &amp;
          IF(
             OR(
               COUNTIF(Z61,"*"&amp;$BN$59&amp;"*"),
               COUNTIF(Z61,"*"&amp;$BN$60&amp;"*"),
               COUNTIF(Z61,"*"&amp;$BN$61&amp;"*"),
               COUNTIF(Z61,"*"&amp;$BN$62&amp;"*"),
               COUNTIF(Z61,"*"&amp;$BN$63&amp;"*")
             ),
             "",
             IF(
               SUMPRODUCT(--ISNUMBER(MID(Z61,ROW($1:$20),1)*1))&gt;0,
               "",
               Data!CO46
             )
          ),
          SUBSTITUTE(SUBSTITUTE(SUBSTITUTE(SUBSTITUTE(SUBSTITUTE(SUBSTITUTE(SUBSTITUTE(SUBSTITUTE(SUBSTITUTE(Z61,$BN$59,""),$BN$60,""),$BN$61,""),$BN$62,""),$BN$63,""),"P",""),"I",""),"V",""),"B","") &amp;
          Data!CO46
       ),
       ""
    )
)</f>
        <v/>
      </c>
      <c r="AA111" s="41" t="str" cm="1">
        <f t="array" ref="AA111">IF(AND($Y$57=1,AA61&lt;&gt;""),
    "O"&amp;Data!CP46,
    IF(AA61&lt;&gt;"",
       IF(OR(COUNTIF(AA61,"L*"),COUNTIF(AA61,"X*")),
          SUBSTITUTE(SUBSTITUTE(SUBSTITUTE(SUBSTITUTE(AA61,"P",""),"I",""),"V",""),"B","") &amp;
          IF(
             OR(
               COUNTIF(AA61,"*"&amp;$BN$59&amp;"*"),
               COUNTIF(AA61,"*"&amp;$BN$60&amp;"*"),
               COUNTIF(AA61,"*"&amp;$BN$61&amp;"*"),
               COUNTIF(AA61,"*"&amp;$BN$62&amp;"*"),
               COUNTIF(AA61,"*"&amp;$BN$63&amp;"*")
             ),
             "",
             IF(
               SUMPRODUCT(--ISNUMBER(MID(AA61,ROW($1:$20),1)*1))&gt;0,
               "",
               Data!CP46
             )
          ),
          SUBSTITUTE(SUBSTITUTE(SUBSTITUTE(SUBSTITUTE(SUBSTITUTE(SUBSTITUTE(SUBSTITUTE(SUBSTITUTE(SUBSTITUTE(AA61,$BN$59,""),$BN$60,""),$BN$61,""),$BN$62,""),$BN$63,""),"P",""),"I",""),"V",""),"B","") &amp;
          Data!CP46
       ),
       ""
    )
)</f>
        <v/>
      </c>
      <c r="AB111" s="41" t="str" cm="1">
        <f t="array" ref="AB111">IF(AND($Y$57=1,AB61&lt;&gt;""),
    "O"&amp;Data!CQ46,
    IF(AB61&lt;&gt;"",
       IF(OR(COUNTIF(AB61,"L*"),COUNTIF(AB61,"X*")),
          SUBSTITUTE(SUBSTITUTE(SUBSTITUTE(SUBSTITUTE(AB61,"P",""),"I",""),"V",""),"B","") &amp;
          IF(
             OR(
               COUNTIF(AB61,"*"&amp;$BN$59&amp;"*"),
               COUNTIF(AB61,"*"&amp;$BN$60&amp;"*"),
               COUNTIF(AB61,"*"&amp;$BN$61&amp;"*"),
               COUNTIF(AB61,"*"&amp;$BN$62&amp;"*"),
               COUNTIF(AB61,"*"&amp;$BN$63&amp;"*")
             ),
             "",
             IF(
               SUMPRODUCT(--ISNUMBER(MID(AB61,ROW($1:$20),1)*1))&gt;0,
               "",
               Data!CQ46
             )
          ),
          SUBSTITUTE(SUBSTITUTE(SUBSTITUTE(SUBSTITUTE(SUBSTITUTE(SUBSTITUTE(SUBSTITUTE(SUBSTITUTE(SUBSTITUTE(AB61,$BN$59,""),$BN$60,""),$BN$61,""),$BN$62,""),$BN$63,""),"P",""),"I",""),"V",""),"B","") &amp;
          Data!CQ46
       ),
       ""
    )
)</f>
        <v/>
      </c>
      <c r="AC111" s="41" t="str" cm="1">
        <f t="array" ref="AC111">IF(AND($Y$57=1,AC61&lt;&gt;""),
    "O"&amp;Data!CR46,
    IF(AC61&lt;&gt;"",
       IF(OR(COUNTIF(AC61,"L*"),COUNTIF(AC61,"X*")),
          SUBSTITUTE(SUBSTITUTE(SUBSTITUTE(SUBSTITUTE(AC61,"P",""),"I",""),"V",""),"B","") &amp;
          IF(
             OR(
               COUNTIF(AC61,"*"&amp;$BN$59&amp;"*"),
               COUNTIF(AC61,"*"&amp;$BN$60&amp;"*"),
               COUNTIF(AC61,"*"&amp;$BN$61&amp;"*"),
               COUNTIF(AC61,"*"&amp;$BN$62&amp;"*"),
               COUNTIF(AC61,"*"&amp;$BN$63&amp;"*")
             ),
             "",
             IF(
               SUMPRODUCT(--ISNUMBER(MID(AC61,ROW($1:$20),1)*1))&gt;0,
               "",
               Data!CR46
             )
          ),
          SUBSTITUTE(SUBSTITUTE(SUBSTITUTE(SUBSTITUTE(SUBSTITUTE(SUBSTITUTE(SUBSTITUTE(SUBSTITUTE(SUBSTITUTE(AC61,$BN$59,""),$BN$60,""),$BN$61,""),$BN$62,""),$BN$63,""),"P",""),"I",""),"V",""),"B","") &amp;
          Data!CR46
       ),
       ""
    )
)</f>
        <v/>
      </c>
      <c r="AD111" s="41" t="str" cm="1">
        <f t="array" ref="AD111">IF(AND($Y$57=1,AD61&lt;&gt;""),
    "O"&amp;Data!CS46,
    IF(AD61&lt;&gt;"",
       IF(OR(COUNTIF(AD61,"L*"),COUNTIF(AD61,"X*")),
          SUBSTITUTE(SUBSTITUTE(SUBSTITUTE(SUBSTITUTE(AD61,"P",""),"I",""),"V",""),"B","") &amp;
          IF(
             OR(
               COUNTIF(AD61,"*"&amp;$BN$59&amp;"*"),
               COUNTIF(AD61,"*"&amp;$BN$60&amp;"*"),
               COUNTIF(AD61,"*"&amp;$BN$61&amp;"*"),
               COUNTIF(AD61,"*"&amp;$BN$62&amp;"*"),
               COUNTIF(AD61,"*"&amp;$BN$63&amp;"*")
             ),
             "",
             IF(
               SUMPRODUCT(--ISNUMBER(MID(AD61,ROW($1:$20),1)*1))&gt;0,
               "",
               Data!CS46
             )
          ),
          SUBSTITUTE(SUBSTITUTE(SUBSTITUTE(SUBSTITUTE(SUBSTITUTE(SUBSTITUTE(SUBSTITUTE(SUBSTITUTE(SUBSTITUTE(AD61,$BN$59,""),$BN$60,""),$BN$61,""),$BN$62,""),$BN$63,""),"P",""),"I",""),"V",""),"B","") &amp;
          Data!CS46
       ),
       ""
    )
)</f>
        <v/>
      </c>
      <c r="AE111" s="41" t="str" cm="1">
        <f t="array" ref="AE111">IF(AND($Y$57=1,AE61&lt;&gt;""),
    "O"&amp;Data!CT46,
    IF(AE61&lt;&gt;"",
       IF(OR(COUNTIF(AE61,"L*"),COUNTIF(AE61,"X*")),
          SUBSTITUTE(SUBSTITUTE(SUBSTITUTE(SUBSTITUTE(AE61,"P",""),"I",""),"V",""),"B","") &amp;
          IF(
             OR(
               COUNTIF(AE61,"*"&amp;$BN$59&amp;"*"),
               COUNTIF(AE61,"*"&amp;$BN$60&amp;"*"),
               COUNTIF(AE61,"*"&amp;$BN$61&amp;"*"),
               COUNTIF(AE61,"*"&amp;$BN$62&amp;"*"),
               COUNTIF(AE61,"*"&amp;$BN$63&amp;"*")
             ),
             "",
             IF(
               SUMPRODUCT(--ISNUMBER(MID(AE61,ROW($1:$20),1)*1))&gt;0,
               "",
               Data!CT46
             )
          ),
          SUBSTITUTE(SUBSTITUTE(SUBSTITUTE(SUBSTITUTE(SUBSTITUTE(SUBSTITUTE(SUBSTITUTE(SUBSTITUTE(SUBSTITUTE(AE61,$BN$59,""),$BN$60,""),$BN$61,""),$BN$62,""),$BN$63,""),"P",""),"I",""),"V",""),"B","") &amp;
          Data!CT46
       ),
       ""
    )
)</f>
        <v/>
      </c>
      <c r="AF111" s="41" t="str" cm="1">
        <f t="array" ref="AF111">IF(AND($Y$57=1,AF61&lt;&gt;""),
    "O"&amp;Data!CU46,
    IF(AF61&lt;&gt;"",
       IF(OR(COUNTIF(AF61,"L*"),COUNTIF(AF61,"X*")),
          SUBSTITUTE(SUBSTITUTE(SUBSTITUTE(SUBSTITUTE(AF61,"P",""),"I",""),"V",""),"B","") &amp;
          IF(
             OR(
               COUNTIF(AF61,"*"&amp;$BN$59&amp;"*"),
               COUNTIF(AF61,"*"&amp;$BN$60&amp;"*"),
               COUNTIF(AF61,"*"&amp;$BN$61&amp;"*"),
               COUNTIF(AF61,"*"&amp;$BN$62&amp;"*"),
               COUNTIF(AF61,"*"&amp;$BN$63&amp;"*")
             ),
             "",
             IF(
               SUMPRODUCT(--ISNUMBER(MID(AF61,ROW($1:$20),1)*1))&gt;0,
               "",
               Data!CU46
             )
          ),
          SUBSTITUTE(SUBSTITUTE(SUBSTITUTE(SUBSTITUTE(SUBSTITUTE(SUBSTITUTE(SUBSTITUTE(SUBSTITUTE(SUBSTITUTE(AF61,$BN$59,""),$BN$60,""),$BN$61,""),$BN$62,""),$BN$63,""),"P",""),"I",""),"V",""),"B","") &amp;
          Data!CU46
       ),
       ""
    )
)</f>
        <v/>
      </c>
      <c r="AG111" s="41" t="str" cm="1">
        <f t="array" ref="AG111">IF(AND($Y$57=1,AG61&lt;&gt;""),
    "O"&amp;Data!CV46,
    IF(AG61&lt;&gt;"",
       IF(OR(COUNTIF(AG61,"L*"),COUNTIF(AG61,"X*")),
          SUBSTITUTE(SUBSTITUTE(SUBSTITUTE(SUBSTITUTE(AG61,"P",""),"I",""),"V",""),"B","") &amp;
          IF(
             OR(
               COUNTIF(AG61,"*"&amp;$BN$59&amp;"*"),
               COUNTIF(AG61,"*"&amp;$BN$60&amp;"*"),
               COUNTIF(AG61,"*"&amp;$BN$61&amp;"*"),
               COUNTIF(AG61,"*"&amp;$BN$62&amp;"*"),
               COUNTIF(AG61,"*"&amp;$BN$63&amp;"*")
             ),
             "",
             IF(
               SUMPRODUCT(--ISNUMBER(MID(AG61,ROW($1:$20),1)*1))&gt;0,
               "",
               Data!CV46
             )
          ),
          SUBSTITUTE(SUBSTITUTE(SUBSTITUTE(SUBSTITUTE(SUBSTITUTE(SUBSTITUTE(SUBSTITUTE(SUBSTITUTE(SUBSTITUTE(AG61,$BN$59,""),$BN$60,""),$BN$61,""),$BN$62,""),$BN$63,""),"P",""),"I",""),"V",""),"B","") &amp;
          Data!CV46
       ),
       ""
    )
)</f>
        <v/>
      </c>
      <c r="AH111" s="41" t="str" cm="1">
        <f t="array" ref="AH111">IF(AND($Y$57=1,AH61&lt;&gt;""),
    "O"&amp;Data!CW46,
    IF(AH61&lt;&gt;"",
       IF(OR(COUNTIF(AH61,"L*"),COUNTIF(AH61,"X*")),
          SUBSTITUTE(SUBSTITUTE(SUBSTITUTE(SUBSTITUTE(AH61,"P",""),"I",""),"V",""),"B","") &amp;
          IF(
             OR(
               COUNTIF(AH61,"*"&amp;$BN$59&amp;"*"),
               COUNTIF(AH61,"*"&amp;$BN$60&amp;"*"),
               COUNTIF(AH61,"*"&amp;$BN$61&amp;"*"),
               COUNTIF(AH61,"*"&amp;$BN$62&amp;"*"),
               COUNTIF(AH61,"*"&amp;$BN$63&amp;"*")
             ),
             "",
             IF(
               SUMPRODUCT(--ISNUMBER(MID(AH61,ROW($1:$20),1)*1))&gt;0,
               "",
               Data!CW46
             )
          ),
          SUBSTITUTE(SUBSTITUTE(SUBSTITUTE(SUBSTITUTE(SUBSTITUTE(SUBSTITUTE(SUBSTITUTE(SUBSTITUTE(SUBSTITUTE(AH61,$BN$59,""),$BN$60,""),$BN$61,""),$BN$62,""),$BN$63,""),"P",""),"I",""),"V",""),"B","") &amp;
          Data!CW46
       ),
       ""
    )
)</f>
        <v/>
      </c>
      <c r="AI111" s="41" t="str" cm="1">
        <f t="array" ref="AI111">IF(AND($Y$57=1,AI61&lt;&gt;""),
    "O"&amp;Data!CX46,
    IF(AI61&lt;&gt;"",
       IF(OR(COUNTIF(AI61,"L*"),COUNTIF(AI61,"X*")),
          SUBSTITUTE(SUBSTITUTE(SUBSTITUTE(SUBSTITUTE(AI61,"P",""),"I",""),"V",""),"B","") &amp;
          IF(
             OR(
               COUNTIF(AI61,"*"&amp;$BN$59&amp;"*"),
               COUNTIF(AI61,"*"&amp;$BN$60&amp;"*"),
               COUNTIF(AI61,"*"&amp;$BN$61&amp;"*"),
               COUNTIF(AI61,"*"&amp;$BN$62&amp;"*"),
               COUNTIF(AI61,"*"&amp;$BN$63&amp;"*")
             ),
             "",
             IF(
               SUMPRODUCT(--ISNUMBER(MID(AI61,ROW($1:$20),1)*1))&gt;0,
               "",
               Data!CX46
             )
          ),
          SUBSTITUTE(SUBSTITUTE(SUBSTITUTE(SUBSTITUTE(SUBSTITUTE(SUBSTITUTE(SUBSTITUTE(SUBSTITUTE(SUBSTITUTE(AI61,$BN$59,""),$BN$60,""),$BN$61,""),$BN$62,""),$BN$63,""),"P",""),"I",""),"V",""),"B","") &amp;
          Data!CX46
       ),
       ""
    )
)</f>
        <v/>
      </c>
      <c r="AJ111" s="41" t="str" cm="1">
        <f t="array" ref="AJ111">IF(AND($Y$57=1,AJ61&lt;&gt;""),
    "O"&amp;Data!CY46,
    IF(AJ61&lt;&gt;"",
       IF(OR(COUNTIF(AJ61,"L*"),COUNTIF(AJ61,"X*")),
          SUBSTITUTE(SUBSTITUTE(SUBSTITUTE(SUBSTITUTE(AJ61,"P",""),"I",""),"V",""),"B","") &amp;
          IF(
             OR(
               COUNTIF(AJ61,"*"&amp;$BN$59&amp;"*"),
               COUNTIF(AJ61,"*"&amp;$BN$60&amp;"*"),
               COUNTIF(AJ61,"*"&amp;$BN$61&amp;"*"),
               COUNTIF(AJ61,"*"&amp;$BN$62&amp;"*"),
               COUNTIF(AJ61,"*"&amp;$BN$63&amp;"*")
             ),
             "",
             IF(
               SUMPRODUCT(--ISNUMBER(MID(AJ61,ROW($1:$20),1)*1))&gt;0,
               "",
               Data!CY46
             )
          ),
          SUBSTITUTE(SUBSTITUTE(SUBSTITUTE(SUBSTITUTE(SUBSTITUTE(SUBSTITUTE(SUBSTITUTE(SUBSTITUTE(SUBSTITUTE(AJ61,$BN$59,""),$BN$60,""),$BN$61,""),$BN$62,""),$BN$63,""),"P",""),"I",""),"V",""),"B","") &amp;
          Data!CY46
       ),
       ""
    )
)</f>
        <v/>
      </c>
      <c r="AK111" t="s">
        <v>1543</v>
      </c>
      <c r="AR111" s="107" t="s">
        <v>791</v>
      </c>
      <c r="AS111" s="108">
        <f>IF(Data!B5&lt;&gt;"",IF(AND(Data!L2&lt;&gt;1,Data!L4&lt;&gt;1),IF(Data!L5&lt;&gt;1,IF('ARDT Cutter Entry'!C4&lt;&gt;"",Data!C53+'ARDT Cutter Entry'!BI78+('ARDT Cutter Entry'!AL2+'ARDT Cutter Entry'!AL3+'ARDT Cutter Entry'!AL4+'ARDT Cutter Entry'!AL5)*100+Data!AL7+IF(COUNTIF(Data!B4,"S*"),Data!L7*100,Data!L7*135)+Data!G31+'ARDT Cutter Entry'!BI77,0),500),550),0)</f>
        <v>20139</v>
      </c>
      <c r="AT111" s="113"/>
    </row>
    <row r="112" spans="1:54" s="9" customFormat="1" ht="23.25" customHeight="1" thickBot="1" x14ac:dyDescent="0.4">
      <c r="A112" s="1196"/>
      <c r="B112" s="22">
        <v>2</v>
      </c>
      <c r="C112" s="41" t="str" cm="1">
        <f t="array" ref="C112">IF(AND($Y$57=1,C62&lt;&gt;""),
    "O"&amp;Data!BR47,
    IF(C62&lt;&gt;"",
       IF(OR(COUNTIF(C62,"L*"),COUNTIF(C62,"X*")),
          SUBSTITUTE(SUBSTITUTE(SUBSTITUTE(SUBSTITUTE(C62,"P",""),"I",""),"V",""),"B","") &amp;
          IF(
             OR(
               COUNTIF(C62,"*"&amp;$BN$59&amp;"*"),
               COUNTIF(C62,"*"&amp;$BN$60&amp;"*"),
               COUNTIF(C62,"*"&amp;$BN$61&amp;"*"),
               COUNTIF(C62,"*"&amp;$BN$62&amp;"*"),
               COUNTIF(C62,"*"&amp;$BN$63&amp;"*")
             ),
             "",
             IF(
               SUMPRODUCT(--ISNUMBER(MID(C62,ROW($1:$20),1)*1))&gt;0,
               "",
               Data!BR47
             )
          ),
          SUBSTITUTE(SUBSTITUTE(SUBSTITUTE(SUBSTITUTE(SUBSTITUTE(SUBSTITUTE(SUBSTITUTE(SUBSTITUTE(SUBSTITUTE(C62,$BN$59,""),$BN$60,""),$BN$61,""),$BN$62,""),$BN$63,""),"P",""),"I",""),"V",""),"B","") &amp;
          Data!BR47
       ),
       ""
    )
)</f>
        <v/>
      </c>
      <c r="D112" s="41" t="str" cm="1">
        <f t="array" ref="D112">IF(AND($Y$57=1,D62&lt;&gt;""),
    "O"&amp;Data!BS47,
    IF(D62&lt;&gt;"",
       IF(OR(COUNTIF(D62,"L*"),COUNTIF(D62,"X*")),
          SUBSTITUTE(SUBSTITUTE(SUBSTITUTE(SUBSTITUTE(D62,"P",""),"I",""),"V",""),"B","") &amp;
          IF(
             OR(
               COUNTIF(D62,"*"&amp;$BN$59&amp;"*"),
               COUNTIF(D62,"*"&amp;$BN$60&amp;"*"),
               COUNTIF(D62,"*"&amp;$BN$61&amp;"*"),
               COUNTIF(D62,"*"&amp;$BN$62&amp;"*"),
               COUNTIF(D62,"*"&amp;$BN$63&amp;"*")
             ),
             "",
             IF(
               SUMPRODUCT(--ISNUMBER(MID(D62,ROW($1:$20),1)*1))&gt;0,
               "",
               Data!BS47
             )
          ),
          SUBSTITUTE(SUBSTITUTE(SUBSTITUTE(SUBSTITUTE(SUBSTITUTE(SUBSTITUTE(SUBSTITUTE(SUBSTITUTE(SUBSTITUTE(D62,$BN$59,""),$BN$60,""),$BN$61,""),$BN$62,""),$BN$63,""),"P",""),"I",""),"V",""),"B","") &amp;
          Data!BS47
       ),
       ""
    )
)</f>
        <v/>
      </c>
      <c r="E112" s="41" t="str" cm="1">
        <f t="array" ref="E112">IF(AND($Y$57=1,E62&lt;&gt;""),
    "O"&amp;Data!BT47,
    IF(E62&lt;&gt;"",
       IF(OR(COUNTIF(E62,"L*"),COUNTIF(E62,"X*")),
          SUBSTITUTE(SUBSTITUTE(SUBSTITUTE(SUBSTITUTE(E62,"P",""),"I",""),"V",""),"B","") &amp;
          IF(
             OR(
               COUNTIF(E62,"*"&amp;$BN$59&amp;"*"),
               COUNTIF(E62,"*"&amp;$BN$60&amp;"*"),
               COUNTIF(E62,"*"&amp;$BN$61&amp;"*"),
               COUNTIF(E62,"*"&amp;$BN$62&amp;"*"),
               COUNTIF(E62,"*"&amp;$BN$63&amp;"*")
             ),
             "",
             IF(
               SUMPRODUCT(--ISNUMBER(MID(E62,ROW($1:$20),1)*1))&gt;0,
               "",
               Data!BT47
             )
          ),
          SUBSTITUTE(SUBSTITUTE(SUBSTITUTE(SUBSTITUTE(SUBSTITUTE(SUBSTITUTE(SUBSTITUTE(SUBSTITUTE(SUBSTITUTE(E62,$BN$59,""),$BN$60,""),$BN$61,""),$BN$62,""),$BN$63,""),"P",""),"I",""),"V",""),"B","") &amp;
          Data!BT47
       ),
       ""
    )
)</f>
        <v/>
      </c>
      <c r="F112" s="41" t="str" cm="1">
        <f t="array" ref="F112">IF(AND($Y$57=1,F62&lt;&gt;""),
    "O"&amp;Data!BU47,
    IF(F62&lt;&gt;"",
       IF(OR(COUNTIF(F62,"L*"),COUNTIF(F62,"X*")),
          SUBSTITUTE(SUBSTITUTE(SUBSTITUTE(SUBSTITUTE(F62,"P",""),"I",""),"V",""),"B","") &amp;
          IF(
             OR(
               COUNTIF(F62,"*"&amp;$BN$59&amp;"*"),
               COUNTIF(F62,"*"&amp;$BN$60&amp;"*"),
               COUNTIF(F62,"*"&amp;$BN$61&amp;"*"),
               COUNTIF(F62,"*"&amp;$BN$62&amp;"*"),
               COUNTIF(F62,"*"&amp;$BN$63&amp;"*")
             ),
             "",
             IF(
               SUMPRODUCT(--ISNUMBER(MID(F62,ROW($1:$20),1)*1))&gt;0,
               "",
               Data!BU47
             )
          ),
          SUBSTITUTE(SUBSTITUTE(SUBSTITUTE(SUBSTITUTE(SUBSTITUTE(SUBSTITUTE(SUBSTITUTE(SUBSTITUTE(SUBSTITUTE(F62,$BN$59,""),$BN$60,""),$BN$61,""),$BN$62,""),$BN$63,""),"P",""),"I",""),"V",""),"B","") &amp;
          Data!BU47
       ),
       ""
    )
)</f>
        <v/>
      </c>
      <c r="G112" s="41" t="str" cm="1">
        <f t="array" ref="G112">IF(AND($Y$57=1,G62&lt;&gt;""),
    "O"&amp;Data!BV47,
    IF(G62&lt;&gt;"",
       IF(OR(COUNTIF(G62,"L*"),COUNTIF(G62,"X*")),
          SUBSTITUTE(SUBSTITUTE(SUBSTITUTE(SUBSTITUTE(G62,"P",""),"I",""),"V",""),"B","") &amp;
          IF(
             OR(
               COUNTIF(G62,"*"&amp;$BN$59&amp;"*"),
               COUNTIF(G62,"*"&amp;$BN$60&amp;"*"),
               COUNTIF(G62,"*"&amp;$BN$61&amp;"*"),
               COUNTIF(G62,"*"&amp;$BN$62&amp;"*"),
               COUNTIF(G62,"*"&amp;$BN$63&amp;"*")
             ),
             "",
             IF(
               SUMPRODUCT(--ISNUMBER(MID(G62,ROW($1:$20),1)*1))&gt;0,
               "",
               Data!BV47
             )
          ),
          SUBSTITUTE(SUBSTITUTE(SUBSTITUTE(SUBSTITUTE(SUBSTITUTE(SUBSTITUTE(SUBSTITUTE(SUBSTITUTE(SUBSTITUTE(G62,$BN$59,""),$BN$60,""),$BN$61,""),$BN$62,""),$BN$63,""),"P",""),"I",""),"V",""),"B","") &amp;
          Data!BV47
       ),
       ""
    )
)</f>
        <v/>
      </c>
      <c r="H112" s="41" t="str" cm="1">
        <f t="array" ref="H112">IF(AND($Y$57=1,H62&lt;&gt;""),
    "O"&amp;Data!BW47,
    IF(H62&lt;&gt;"",
       IF(OR(COUNTIF(H62,"L*"),COUNTIF(H62,"X*")),
          SUBSTITUTE(SUBSTITUTE(SUBSTITUTE(SUBSTITUTE(H62,"P",""),"I",""),"V",""),"B","") &amp;
          IF(
             OR(
               COUNTIF(H62,"*"&amp;$BN$59&amp;"*"),
               COUNTIF(H62,"*"&amp;$BN$60&amp;"*"),
               COUNTIF(H62,"*"&amp;$BN$61&amp;"*"),
               COUNTIF(H62,"*"&amp;$BN$62&amp;"*"),
               COUNTIF(H62,"*"&amp;$BN$63&amp;"*")
             ),
             "",
             IF(
               SUMPRODUCT(--ISNUMBER(MID(H62,ROW($1:$20),1)*1))&gt;0,
               "",
               Data!BW47
             )
          ),
          SUBSTITUTE(SUBSTITUTE(SUBSTITUTE(SUBSTITUTE(SUBSTITUTE(SUBSTITUTE(SUBSTITUTE(SUBSTITUTE(SUBSTITUTE(H62,$BN$59,""),$BN$60,""),$BN$61,""),$BN$62,""),$BN$63,""),"P",""),"I",""),"V",""),"B","") &amp;
          Data!BW47
       ),
       ""
    )
)</f>
        <v/>
      </c>
      <c r="I112" s="41" t="str" cm="1">
        <f t="array" ref="I112">IF(AND($Y$57=1,I62&lt;&gt;""),
    "O"&amp;Data!BX47,
    IF(I62&lt;&gt;"",
       IF(OR(COUNTIF(I62,"L*"),COUNTIF(I62,"X*")),
          SUBSTITUTE(SUBSTITUTE(SUBSTITUTE(SUBSTITUTE(I62,"P",""),"I",""),"V",""),"B","") &amp;
          IF(
             OR(
               COUNTIF(I62,"*"&amp;$BN$59&amp;"*"),
               COUNTIF(I62,"*"&amp;$BN$60&amp;"*"),
               COUNTIF(I62,"*"&amp;$BN$61&amp;"*"),
               COUNTIF(I62,"*"&amp;$BN$62&amp;"*"),
               COUNTIF(I62,"*"&amp;$BN$63&amp;"*")
             ),
             "",
             IF(
               SUMPRODUCT(--ISNUMBER(MID(I62,ROW($1:$20),1)*1))&gt;0,
               "",
               Data!BX47
             )
          ),
          SUBSTITUTE(SUBSTITUTE(SUBSTITUTE(SUBSTITUTE(SUBSTITUTE(SUBSTITUTE(SUBSTITUTE(SUBSTITUTE(SUBSTITUTE(I62,$BN$59,""),$BN$60,""),$BN$61,""),$BN$62,""),$BN$63,""),"P",""),"I",""),"V",""),"B","") &amp;
          Data!BX47
       ),
       ""
    )
)</f>
        <v/>
      </c>
      <c r="J112" s="41" t="str" cm="1">
        <f t="array" ref="J112">IF(AND($Y$57=1,J62&lt;&gt;""),
    "O"&amp;Data!BY47,
    IF(J62&lt;&gt;"",
       IF(OR(COUNTIF(J62,"L*"),COUNTIF(J62,"X*")),
          SUBSTITUTE(SUBSTITUTE(SUBSTITUTE(SUBSTITUTE(J62,"P",""),"I",""),"V",""),"B","") &amp;
          IF(
             OR(
               COUNTIF(J62,"*"&amp;$BN$59&amp;"*"),
               COUNTIF(J62,"*"&amp;$BN$60&amp;"*"),
               COUNTIF(J62,"*"&amp;$BN$61&amp;"*"),
               COUNTIF(J62,"*"&amp;$BN$62&amp;"*"),
               COUNTIF(J62,"*"&amp;$BN$63&amp;"*")
             ),
             "",
             IF(
               SUMPRODUCT(--ISNUMBER(MID(J62,ROW($1:$20),1)*1))&gt;0,
               "",
               Data!BY47
             )
          ),
          SUBSTITUTE(SUBSTITUTE(SUBSTITUTE(SUBSTITUTE(SUBSTITUTE(SUBSTITUTE(SUBSTITUTE(SUBSTITUTE(SUBSTITUTE(J62,$BN$59,""),$BN$60,""),$BN$61,""),$BN$62,""),$BN$63,""),"P",""),"I",""),"V",""),"B","") &amp;
          Data!BY47
       ),
       ""
    )
)</f>
        <v/>
      </c>
      <c r="K112" s="41" t="str" cm="1">
        <f t="array" ref="K112">IF(AND($Y$57=1,K62&lt;&gt;""),
    "O"&amp;Data!BZ47,
    IF(K62&lt;&gt;"",
       IF(OR(COUNTIF(K62,"L*"),COUNTIF(K62,"X*")),
          SUBSTITUTE(SUBSTITUTE(SUBSTITUTE(SUBSTITUTE(K62,"P",""),"I",""),"V",""),"B","") &amp;
          IF(
             OR(
               COUNTIF(K62,"*"&amp;$BN$59&amp;"*"),
               COUNTIF(K62,"*"&amp;$BN$60&amp;"*"),
               COUNTIF(K62,"*"&amp;$BN$61&amp;"*"),
               COUNTIF(K62,"*"&amp;$BN$62&amp;"*"),
               COUNTIF(K62,"*"&amp;$BN$63&amp;"*")
             ),
             "",
             IF(
               SUMPRODUCT(--ISNUMBER(MID(K62,ROW($1:$20),1)*1))&gt;0,
               "",
               Data!BZ47
             )
          ),
          SUBSTITUTE(SUBSTITUTE(SUBSTITUTE(SUBSTITUTE(SUBSTITUTE(SUBSTITUTE(SUBSTITUTE(SUBSTITUTE(SUBSTITUTE(K62,$BN$59,""),$BN$60,""),$BN$61,""),$BN$62,""),$BN$63,""),"P",""),"I",""),"V",""),"B","") &amp;
          Data!BZ47
       ),
       ""
    )
)</f>
        <v/>
      </c>
      <c r="L112" s="41" t="str" cm="1">
        <f t="array" ref="L112">IF(AND($Y$57=1,L62&lt;&gt;""),
    "O"&amp;Data!CA47,
    IF(L62&lt;&gt;"",
       IF(OR(COUNTIF(L62,"L*"),COUNTIF(L62,"X*")),
          SUBSTITUTE(SUBSTITUTE(SUBSTITUTE(SUBSTITUTE(L62,"P",""),"I",""),"V",""),"B","") &amp;
          IF(
             OR(
               COUNTIF(L62,"*"&amp;$BN$59&amp;"*"),
               COUNTIF(L62,"*"&amp;$BN$60&amp;"*"),
               COUNTIF(L62,"*"&amp;$BN$61&amp;"*"),
               COUNTIF(L62,"*"&amp;$BN$62&amp;"*"),
               COUNTIF(L62,"*"&amp;$BN$63&amp;"*")
             ),
             "",
             IF(
               SUMPRODUCT(--ISNUMBER(MID(L62,ROW($1:$20),1)*1))&gt;0,
               "",
               Data!CA47
             )
          ),
          SUBSTITUTE(SUBSTITUTE(SUBSTITUTE(SUBSTITUTE(SUBSTITUTE(SUBSTITUTE(SUBSTITUTE(SUBSTITUTE(SUBSTITUTE(L62,$BN$59,""),$BN$60,""),$BN$61,""),$BN$62,""),$BN$63,""),"P",""),"I",""),"V",""),"B","") &amp;
          Data!CA47
       ),
       ""
    )
)</f>
        <v/>
      </c>
      <c r="M112" s="41" t="str" cm="1">
        <f t="array" ref="M112">IF(AND($Y$57=1,M62&lt;&gt;""),
    "O"&amp;Data!CB47,
    IF(M62&lt;&gt;"",
       IF(OR(COUNTIF(M62,"L*"),COUNTIF(M62,"X*")),
          SUBSTITUTE(SUBSTITUTE(SUBSTITUTE(SUBSTITUTE(M62,"P",""),"I",""),"V",""),"B","") &amp;
          IF(
             OR(
               COUNTIF(M62,"*"&amp;$BN$59&amp;"*"),
               COUNTIF(M62,"*"&amp;$BN$60&amp;"*"),
               COUNTIF(M62,"*"&amp;$BN$61&amp;"*"),
               COUNTIF(M62,"*"&amp;$BN$62&amp;"*"),
               COUNTIF(M62,"*"&amp;$BN$63&amp;"*")
             ),
             "",
             IF(
               SUMPRODUCT(--ISNUMBER(MID(M62,ROW($1:$20),1)*1))&gt;0,
               "",
               Data!CB47
             )
          ),
          SUBSTITUTE(SUBSTITUTE(SUBSTITUTE(SUBSTITUTE(SUBSTITUTE(SUBSTITUTE(SUBSTITUTE(SUBSTITUTE(SUBSTITUTE(M62,$BN$59,""),$BN$60,""),$BN$61,""),$BN$62,""),$BN$63,""),"P",""),"I",""),"V",""),"B","") &amp;
          Data!CB47
       ),
       ""
    )
)</f>
        <v/>
      </c>
      <c r="N112" s="41" t="str" cm="1">
        <f t="array" ref="N112">IF(AND($Y$57=1,N62&lt;&gt;""),
    "O"&amp;Data!CC47,
    IF(N62&lt;&gt;"",
       IF(OR(COUNTIF(N62,"L*"),COUNTIF(N62,"X*")),
          SUBSTITUTE(SUBSTITUTE(SUBSTITUTE(SUBSTITUTE(N62,"P",""),"I",""),"V",""),"B","") &amp;
          IF(
             OR(
               COUNTIF(N62,"*"&amp;$BN$59&amp;"*"),
               COUNTIF(N62,"*"&amp;$BN$60&amp;"*"),
               COUNTIF(N62,"*"&amp;$BN$61&amp;"*"),
               COUNTIF(N62,"*"&amp;$BN$62&amp;"*"),
               COUNTIF(N62,"*"&amp;$BN$63&amp;"*")
             ),
             "",
             IF(
               SUMPRODUCT(--ISNUMBER(MID(N62,ROW($1:$20),1)*1))&gt;0,
               "",
               Data!CC47
             )
          ),
          SUBSTITUTE(SUBSTITUTE(SUBSTITUTE(SUBSTITUTE(SUBSTITUTE(SUBSTITUTE(SUBSTITUTE(SUBSTITUTE(SUBSTITUTE(N62,$BN$59,""),$BN$60,""),$BN$61,""),$BN$62,""),$BN$63,""),"P",""),"I",""),"V",""),"B","") &amp;
          Data!CC47
       ),
       ""
    )
)</f>
        <v/>
      </c>
      <c r="O112" s="41" t="str" cm="1">
        <f t="array" ref="O112">IF(AND($Y$57=1,O62&lt;&gt;""),
    "O"&amp;Data!CD47,
    IF(O62&lt;&gt;"",
       IF(OR(COUNTIF(O62,"L*"),COUNTIF(O62,"X*")),
          SUBSTITUTE(SUBSTITUTE(SUBSTITUTE(SUBSTITUTE(O62,"P",""),"I",""),"V",""),"B","") &amp;
          IF(
             OR(
               COUNTIF(O62,"*"&amp;$BN$59&amp;"*"),
               COUNTIF(O62,"*"&amp;$BN$60&amp;"*"),
               COUNTIF(O62,"*"&amp;$BN$61&amp;"*"),
               COUNTIF(O62,"*"&amp;$BN$62&amp;"*"),
               COUNTIF(O62,"*"&amp;$BN$63&amp;"*")
             ),
             "",
             IF(
               SUMPRODUCT(--ISNUMBER(MID(O62,ROW($1:$20),1)*1))&gt;0,
               "",
               Data!CD47
             )
          ),
          SUBSTITUTE(SUBSTITUTE(SUBSTITUTE(SUBSTITUTE(SUBSTITUTE(SUBSTITUTE(SUBSTITUTE(SUBSTITUTE(SUBSTITUTE(O62,$BN$59,""),$BN$60,""),$BN$61,""),$BN$62,""),$BN$63,""),"P",""),"I",""),"V",""),"B","") &amp;
          Data!CD47
       ),
       ""
    )
)</f>
        <v/>
      </c>
      <c r="P112" s="41" t="str" cm="1">
        <f t="array" ref="P112">IF(AND($Y$57=1,P62&lt;&gt;""),
    "O"&amp;Data!CE47,
    IF(P62&lt;&gt;"",
       IF(OR(COUNTIF(P62,"L*"),COUNTIF(P62,"X*")),
          SUBSTITUTE(SUBSTITUTE(SUBSTITUTE(SUBSTITUTE(P62,"P",""),"I",""),"V",""),"B","") &amp;
          IF(
             OR(
               COUNTIF(P62,"*"&amp;$BN$59&amp;"*"),
               COUNTIF(P62,"*"&amp;$BN$60&amp;"*"),
               COUNTIF(P62,"*"&amp;$BN$61&amp;"*"),
               COUNTIF(P62,"*"&amp;$BN$62&amp;"*"),
               COUNTIF(P62,"*"&amp;$BN$63&amp;"*")
             ),
             "",
             IF(
               SUMPRODUCT(--ISNUMBER(MID(P62,ROW($1:$20),1)*1))&gt;0,
               "",
               Data!CE47
             )
          ),
          SUBSTITUTE(SUBSTITUTE(SUBSTITUTE(SUBSTITUTE(SUBSTITUTE(SUBSTITUTE(SUBSTITUTE(SUBSTITUTE(SUBSTITUTE(P62,$BN$59,""),$BN$60,""),$BN$61,""),$BN$62,""),$BN$63,""),"P",""),"I",""),"V",""),"B","") &amp;
          Data!CE47
       ),
       ""
    )
)</f>
        <v/>
      </c>
      <c r="Q112" s="41" t="str" cm="1">
        <f t="array" ref="Q112">IF(AND($Y$57=1,Q62&lt;&gt;""),
    "O"&amp;Data!CF47,
    IF(Q62&lt;&gt;"",
       IF(OR(COUNTIF(Q62,"L*"),COUNTIF(Q62,"X*")),
          SUBSTITUTE(SUBSTITUTE(SUBSTITUTE(SUBSTITUTE(Q62,"P",""),"I",""),"V",""),"B","") &amp;
          IF(
             OR(
               COUNTIF(Q62,"*"&amp;$BN$59&amp;"*"),
               COUNTIF(Q62,"*"&amp;$BN$60&amp;"*"),
               COUNTIF(Q62,"*"&amp;$BN$61&amp;"*"),
               COUNTIF(Q62,"*"&amp;$BN$62&amp;"*"),
               COUNTIF(Q62,"*"&amp;$BN$63&amp;"*")
             ),
             "",
             IF(
               SUMPRODUCT(--ISNUMBER(MID(Q62,ROW($1:$20),1)*1))&gt;0,
               "",
               Data!CF47
             )
          ),
          SUBSTITUTE(SUBSTITUTE(SUBSTITUTE(SUBSTITUTE(SUBSTITUTE(SUBSTITUTE(SUBSTITUTE(SUBSTITUTE(SUBSTITUTE(Q62,$BN$59,""),$BN$60,""),$BN$61,""),$BN$62,""),$BN$63,""),"P",""),"I",""),"V",""),"B","") &amp;
          Data!CF47
       ),
       ""
    )
)</f>
        <v/>
      </c>
      <c r="R112" s="41" t="str" cm="1">
        <f t="array" ref="R112">IF(AND($Y$57=1,R62&lt;&gt;""),
    "O"&amp;Data!CG47,
    IF(R62&lt;&gt;"",
       IF(OR(COUNTIF(R62,"L*"),COUNTIF(R62,"X*")),
          SUBSTITUTE(SUBSTITUTE(SUBSTITUTE(SUBSTITUTE(R62,"P",""),"I",""),"V",""),"B","") &amp;
          IF(
             OR(
               COUNTIF(R62,"*"&amp;$BN$59&amp;"*"),
               COUNTIF(R62,"*"&amp;$BN$60&amp;"*"),
               COUNTIF(R62,"*"&amp;$BN$61&amp;"*"),
               COUNTIF(R62,"*"&amp;$BN$62&amp;"*"),
               COUNTIF(R62,"*"&amp;$BN$63&amp;"*")
             ),
             "",
             IF(
               SUMPRODUCT(--ISNUMBER(MID(R62,ROW($1:$20),1)*1))&gt;0,
               "",
               Data!CG47
             )
          ),
          SUBSTITUTE(SUBSTITUTE(SUBSTITUTE(SUBSTITUTE(SUBSTITUTE(SUBSTITUTE(SUBSTITUTE(SUBSTITUTE(SUBSTITUTE(R62,$BN$59,""),$BN$60,""),$BN$61,""),$BN$62,""),$BN$63,""),"P",""),"I",""),"V",""),"B","") &amp;
          Data!CG47
       ),
       ""
    )
)</f>
        <v/>
      </c>
      <c r="S112" s="41" t="str" cm="1">
        <f t="array" ref="S112">IF(AND($Y$57=1,S62&lt;&gt;""),
    "O"&amp;Data!CH47,
    IF(S62&lt;&gt;"",
       IF(OR(COUNTIF(S62,"L*"),COUNTIF(S62,"X*")),
          SUBSTITUTE(SUBSTITUTE(SUBSTITUTE(SUBSTITUTE(S62,"P",""),"I",""),"V",""),"B","") &amp;
          IF(
             OR(
               COUNTIF(S62,"*"&amp;$BN$59&amp;"*"),
               COUNTIF(S62,"*"&amp;$BN$60&amp;"*"),
               COUNTIF(S62,"*"&amp;$BN$61&amp;"*"),
               COUNTIF(S62,"*"&amp;$BN$62&amp;"*"),
               COUNTIF(S62,"*"&amp;$BN$63&amp;"*")
             ),
             "",
             IF(
               SUMPRODUCT(--ISNUMBER(MID(S62,ROW($1:$20),1)*1))&gt;0,
               "",
               Data!CH47
             )
          ),
          SUBSTITUTE(SUBSTITUTE(SUBSTITUTE(SUBSTITUTE(SUBSTITUTE(SUBSTITUTE(SUBSTITUTE(SUBSTITUTE(SUBSTITUTE(S62,$BN$59,""),$BN$60,""),$BN$61,""),$BN$62,""),$BN$63,""),"P",""),"I",""),"V",""),"B","") &amp;
          Data!CH47
       ),
       ""
    )
)</f>
        <v/>
      </c>
      <c r="T112" s="41" t="str" cm="1">
        <f t="array" ref="T112">IF(AND($Y$57=1,T62&lt;&gt;""),
    "O"&amp;Data!CI47,
    IF(T62&lt;&gt;"",
       IF(OR(COUNTIF(T62,"L*"),COUNTIF(T62,"X*")),
          SUBSTITUTE(SUBSTITUTE(SUBSTITUTE(SUBSTITUTE(T62,"P",""),"I",""),"V",""),"B","") &amp;
          IF(
             OR(
               COUNTIF(T62,"*"&amp;$BN$59&amp;"*"),
               COUNTIF(T62,"*"&amp;$BN$60&amp;"*"),
               COUNTIF(T62,"*"&amp;$BN$61&amp;"*"),
               COUNTIF(T62,"*"&amp;$BN$62&amp;"*"),
               COUNTIF(T62,"*"&amp;$BN$63&amp;"*")
             ),
             "",
             IF(
               SUMPRODUCT(--ISNUMBER(MID(T62,ROW($1:$20),1)*1))&gt;0,
               "",
               Data!CI47
             )
          ),
          SUBSTITUTE(SUBSTITUTE(SUBSTITUTE(SUBSTITUTE(SUBSTITUTE(SUBSTITUTE(SUBSTITUTE(SUBSTITUTE(SUBSTITUTE(T62,$BN$59,""),$BN$60,""),$BN$61,""),$BN$62,""),$BN$63,""),"P",""),"I",""),"V",""),"B","") &amp;
          Data!CI47
       ),
       ""
    )
)</f>
        <v/>
      </c>
      <c r="U112" s="41" t="str" cm="1">
        <f t="array" ref="U112">IF(AND($Y$57=1,U62&lt;&gt;""),
    "O"&amp;Data!CJ47,
    IF(U62&lt;&gt;"",
       IF(OR(COUNTIF(U62,"L*"),COUNTIF(U62,"X*")),
          SUBSTITUTE(SUBSTITUTE(SUBSTITUTE(SUBSTITUTE(U62,"P",""),"I",""),"V",""),"B","") &amp;
          IF(
             OR(
               COUNTIF(U62,"*"&amp;$BN$59&amp;"*"),
               COUNTIF(U62,"*"&amp;$BN$60&amp;"*"),
               COUNTIF(U62,"*"&amp;$BN$61&amp;"*"),
               COUNTIF(U62,"*"&amp;$BN$62&amp;"*"),
               COUNTIF(U62,"*"&amp;$BN$63&amp;"*")
             ),
             "",
             IF(
               SUMPRODUCT(--ISNUMBER(MID(U62,ROW($1:$20),1)*1))&gt;0,
               "",
               Data!CJ47
             )
          ),
          SUBSTITUTE(SUBSTITUTE(SUBSTITUTE(SUBSTITUTE(SUBSTITUTE(SUBSTITUTE(SUBSTITUTE(SUBSTITUTE(SUBSTITUTE(U62,$BN$59,""),$BN$60,""),$BN$61,""),$BN$62,""),$BN$63,""),"P",""),"I",""),"V",""),"B","") &amp;
          Data!CJ47
       ),
       ""
    )
)</f>
        <v/>
      </c>
      <c r="V112" s="41" t="str" cm="1">
        <f t="array" ref="V112">IF(AND($Y$57=1,V62&lt;&gt;""),
    "O"&amp;Data!CK47,
    IF(V62&lt;&gt;"",
       IF(OR(COUNTIF(V62,"L*"),COUNTIF(V62,"X*")),
          SUBSTITUTE(SUBSTITUTE(SUBSTITUTE(SUBSTITUTE(V62,"P",""),"I",""),"V",""),"B","") &amp;
          IF(
             OR(
               COUNTIF(V62,"*"&amp;$BN$59&amp;"*"),
               COUNTIF(V62,"*"&amp;$BN$60&amp;"*"),
               COUNTIF(V62,"*"&amp;$BN$61&amp;"*"),
               COUNTIF(V62,"*"&amp;$BN$62&amp;"*"),
               COUNTIF(V62,"*"&amp;$BN$63&amp;"*")
             ),
             "",
             IF(
               SUMPRODUCT(--ISNUMBER(MID(V62,ROW($1:$20),1)*1))&gt;0,
               "",
               Data!CK47
             )
          ),
          SUBSTITUTE(SUBSTITUTE(SUBSTITUTE(SUBSTITUTE(SUBSTITUTE(SUBSTITUTE(SUBSTITUTE(SUBSTITUTE(SUBSTITUTE(V62,$BN$59,""),$BN$60,""),$BN$61,""),$BN$62,""),$BN$63,""),"P",""),"I",""),"V",""),"B","") &amp;
          Data!CK47
       ),
       ""
    )
)</f>
        <v/>
      </c>
      <c r="W112" s="41" t="str" cm="1">
        <f t="array" ref="W112">IF(AND($Y$57=1,W62&lt;&gt;""),
    "O"&amp;Data!CL47,
    IF(W62&lt;&gt;"",
       IF(OR(COUNTIF(W62,"L*"),COUNTIF(W62,"X*")),
          SUBSTITUTE(SUBSTITUTE(SUBSTITUTE(SUBSTITUTE(W62,"P",""),"I",""),"V",""),"B","") &amp;
          IF(
             OR(
               COUNTIF(W62,"*"&amp;$BN$59&amp;"*"),
               COUNTIF(W62,"*"&amp;$BN$60&amp;"*"),
               COUNTIF(W62,"*"&amp;$BN$61&amp;"*"),
               COUNTIF(W62,"*"&amp;$BN$62&amp;"*"),
               COUNTIF(W62,"*"&amp;$BN$63&amp;"*")
             ),
             "",
             IF(
               SUMPRODUCT(--ISNUMBER(MID(W62,ROW($1:$20),1)*1))&gt;0,
               "",
               Data!CL47
             )
          ),
          SUBSTITUTE(SUBSTITUTE(SUBSTITUTE(SUBSTITUTE(SUBSTITUTE(SUBSTITUTE(SUBSTITUTE(SUBSTITUTE(SUBSTITUTE(W62,$BN$59,""),$BN$60,""),$BN$61,""),$BN$62,""),$BN$63,""),"P",""),"I",""),"V",""),"B","") &amp;
          Data!CL47
       ),
       ""
    )
)</f>
        <v/>
      </c>
      <c r="X112" s="41" t="str" cm="1">
        <f t="array" ref="X112">IF(AND($Y$57=1,X62&lt;&gt;""),
    "O"&amp;Data!CM47,
    IF(X62&lt;&gt;"",
       IF(OR(COUNTIF(X62,"L*"),COUNTIF(X62,"X*")),
          SUBSTITUTE(SUBSTITUTE(SUBSTITUTE(SUBSTITUTE(X62,"P",""),"I",""),"V",""),"B","") &amp;
          IF(
             OR(
               COUNTIF(X62,"*"&amp;$BN$59&amp;"*"),
               COUNTIF(X62,"*"&amp;$BN$60&amp;"*"),
               COUNTIF(X62,"*"&amp;$BN$61&amp;"*"),
               COUNTIF(X62,"*"&amp;$BN$62&amp;"*"),
               COUNTIF(X62,"*"&amp;$BN$63&amp;"*")
             ),
             "",
             IF(
               SUMPRODUCT(--ISNUMBER(MID(X62,ROW($1:$20),1)*1))&gt;0,
               "",
               Data!CM47
             )
          ),
          SUBSTITUTE(SUBSTITUTE(SUBSTITUTE(SUBSTITUTE(SUBSTITUTE(SUBSTITUTE(SUBSTITUTE(SUBSTITUTE(SUBSTITUTE(X62,$BN$59,""),$BN$60,""),$BN$61,""),$BN$62,""),$BN$63,""),"P",""),"I",""),"V",""),"B","") &amp;
          Data!CM47
       ),
       ""
    )
)</f>
        <v/>
      </c>
      <c r="Y112" s="41" t="str" cm="1">
        <f t="array" ref="Y112">IF(AND($Y$57=1,Y62&lt;&gt;""),
    "O"&amp;Data!CN47,
    IF(Y62&lt;&gt;"",
       IF(OR(COUNTIF(Y62,"L*"),COUNTIF(Y62,"X*")),
          SUBSTITUTE(SUBSTITUTE(SUBSTITUTE(SUBSTITUTE(Y62,"P",""),"I",""),"V",""),"B","") &amp;
          IF(
             OR(
               COUNTIF(Y62,"*"&amp;$BN$59&amp;"*"),
               COUNTIF(Y62,"*"&amp;$BN$60&amp;"*"),
               COUNTIF(Y62,"*"&amp;$BN$61&amp;"*"),
               COUNTIF(Y62,"*"&amp;$BN$62&amp;"*"),
               COUNTIF(Y62,"*"&amp;$BN$63&amp;"*")
             ),
             "",
             IF(
               SUMPRODUCT(--ISNUMBER(MID(Y62,ROW($1:$20),1)*1))&gt;0,
               "",
               Data!CN47
             )
          ),
          SUBSTITUTE(SUBSTITUTE(SUBSTITUTE(SUBSTITUTE(SUBSTITUTE(SUBSTITUTE(SUBSTITUTE(SUBSTITUTE(SUBSTITUTE(Y62,$BN$59,""),$BN$60,""),$BN$61,""),$BN$62,""),$BN$63,""),"P",""),"I",""),"V",""),"B","") &amp;
          Data!CN47
       ),
       ""
    )
)</f>
        <v/>
      </c>
      <c r="Z112" s="41" t="str" cm="1">
        <f t="array" ref="Z112">IF(AND($Y$57=1,Z62&lt;&gt;""),
    "O"&amp;Data!CO47,
    IF(Z62&lt;&gt;"",
       IF(OR(COUNTIF(Z62,"L*"),COUNTIF(Z62,"X*")),
          SUBSTITUTE(SUBSTITUTE(SUBSTITUTE(SUBSTITUTE(Z62,"P",""),"I",""),"V",""),"B","") &amp;
          IF(
             OR(
               COUNTIF(Z62,"*"&amp;$BN$59&amp;"*"),
               COUNTIF(Z62,"*"&amp;$BN$60&amp;"*"),
               COUNTIF(Z62,"*"&amp;$BN$61&amp;"*"),
               COUNTIF(Z62,"*"&amp;$BN$62&amp;"*"),
               COUNTIF(Z62,"*"&amp;$BN$63&amp;"*")
             ),
             "",
             IF(
               SUMPRODUCT(--ISNUMBER(MID(Z62,ROW($1:$20),1)*1))&gt;0,
               "",
               Data!CO47
             )
          ),
          SUBSTITUTE(SUBSTITUTE(SUBSTITUTE(SUBSTITUTE(SUBSTITUTE(SUBSTITUTE(SUBSTITUTE(SUBSTITUTE(SUBSTITUTE(Z62,$BN$59,""),$BN$60,""),$BN$61,""),$BN$62,""),$BN$63,""),"P",""),"I",""),"V",""),"B","") &amp;
          Data!CO47
       ),
       ""
    )
)</f>
        <v/>
      </c>
      <c r="AA112" s="41" t="str" cm="1">
        <f t="array" ref="AA112">IF(AND($Y$57=1,AA62&lt;&gt;""),
    "O"&amp;Data!CP47,
    IF(AA62&lt;&gt;"",
       IF(OR(COUNTIF(AA62,"L*"),COUNTIF(AA62,"X*")),
          SUBSTITUTE(SUBSTITUTE(SUBSTITUTE(SUBSTITUTE(AA62,"P",""),"I",""),"V",""),"B","") &amp;
          IF(
             OR(
               COUNTIF(AA62,"*"&amp;$BN$59&amp;"*"),
               COUNTIF(AA62,"*"&amp;$BN$60&amp;"*"),
               COUNTIF(AA62,"*"&amp;$BN$61&amp;"*"),
               COUNTIF(AA62,"*"&amp;$BN$62&amp;"*"),
               COUNTIF(AA62,"*"&amp;$BN$63&amp;"*")
             ),
             "",
             IF(
               SUMPRODUCT(--ISNUMBER(MID(AA62,ROW($1:$20),1)*1))&gt;0,
               "",
               Data!CP47
             )
          ),
          SUBSTITUTE(SUBSTITUTE(SUBSTITUTE(SUBSTITUTE(SUBSTITUTE(SUBSTITUTE(SUBSTITUTE(SUBSTITUTE(SUBSTITUTE(AA62,$BN$59,""),$BN$60,""),$BN$61,""),$BN$62,""),$BN$63,""),"P",""),"I",""),"V",""),"B","") &amp;
          Data!CP47
       ),
       ""
    )
)</f>
        <v/>
      </c>
      <c r="AB112" s="41" t="str" cm="1">
        <f t="array" ref="AB112">IF(AND($Y$57=1,AB62&lt;&gt;""),
    "O"&amp;Data!CQ47,
    IF(AB62&lt;&gt;"",
       IF(OR(COUNTIF(AB62,"L*"),COUNTIF(AB62,"X*")),
          SUBSTITUTE(SUBSTITUTE(SUBSTITUTE(SUBSTITUTE(AB62,"P",""),"I",""),"V",""),"B","") &amp;
          IF(
             OR(
               COUNTIF(AB62,"*"&amp;$BN$59&amp;"*"),
               COUNTIF(AB62,"*"&amp;$BN$60&amp;"*"),
               COUNTIF(AB62,"*"&amp;$BN$61&amp;"*"),
               COUNTIF(AB62,"*"&amp;$BN$62&amp;"*"),
               COUNTIF(AB62,"*"&amp;$BN$63&amp;"*")
             ),
             "",
             IF(
               SUMPRODUCT(--ISNUMBER(MID(AB62,ROW($1:$20),1)*1))&gt;0,
               "",
               Data!CQ47
             )
          ),
          SUBSTITUTE(SUBSTITUTE(SUBSTITUTE(SUBSTITUTE(SUBSTITUTE(SUBSTITUTE(SUBSTITUTE(SUBSTITUTE(SUBSTITUTE(AB62,$BN$59,""),$BN$60,""),$BN$61,""),$BN$62,""),$BN$63,""),"P",""),"I",""),"V",""),"B","") &amp;
          Data!CQ47
       ),
       ""
    )
)</f>
        <v/>
      </c>
      <c r="AC112" s="41" t="str" cm="1">
        <f t="array" ref="AC112">IF(AND($Y$57=1,AC62&lt;&gt;""),
    "O"&amp;Data!CR47,
    IF(AC62&lt;&gt;"",
       IF(OR(COUNTIF(AC62,"L*"),COUNTIF(AC62,"X*")),
          SUBSTITUTE(SUBSTITUTE(SUBSTITUTE(SUBSTITUTE(AC62,"P",""),"I",""),"V",""),"B","") &amp;
          IF(
             OR(
               COUNTIF(AC62,"*"&amp;$BN$59&amp;"*"),
               COUNTIF(AC62,"*"&amp;$BN$60&amp;"*"),
               COUNTIF(AC62,"*"&amp;$BN$61&amp;"*"),
               COUNTIF(AC62,"*"&amp;$BN$62&amp;"*"),
               COUNTIF(AC62,"*"&amp;$BN$63&amp;"*")
             ),
             "",
             IF(
               SUMPRODUCT(--ISNUMBER(MID(AC62,ROW($1:$20),1)*1))&gt;0,
               "",
               Data!CR47
             )
          ),
          SUBSTITUTE(SUBSTITUTE(SUBSTITUTE(SUBSTITUTE(SUBSTITUTE(SUBSTITUTE(SUBSTITUTE(SUBSTITUTE(SUBSTITUTE(AC62,$BN$59,""),$BN$60,""),$BN$61,""),$BN$62,""),$BN$63,""),"P",""),"I",""),"V",""),"B","") &amp;
          Data!CR47
       ),
       ""
    )
)</f>
        <v/>
      </c>
      <c r="AD112" s="41" t="str" cm="1">
        <f t="array" ref="AD112">IF(AND($Y$57=1,AD62&lt;&gt;""),
    "O"&amp;Data!CS47,
    IF(AD62&lt;&gt;"",
       IF(OR(COUNTIF(AD62,"L*"),COUNTIF(AD62,"X*")),
          SUBSTITUTE(SUBSTITUTE(SUBSTITUTE(SUBSTITUTE(AD62,"P",""),"I",""),"V",""),"B","") &amp;
          IF(
             OR(
               COUNTIF(AD62,"*"&amp;$BN$59&amp;"*"),
               COUNTIF(AD62,"*"&amp;$BN$60&amp;"*"),
               COUNTIF(AD62,"*"&amp;$BN$61&amp;"*"),
               COUNTIF(AD62,"*"&amp;$BN$62&amp;"*"),
               COUNTIF(AD62,"*"&amp;$BN$63&amp;"*")
             ),
             "",
             IF(
               SUMPRODUCT(--ISNUMBER(MID(AD62,ROW($1:$20),1)*1))&gt;0,
               "",
               Data!CS47
             )
          ),
          SUBSTITUTE(SUBSTITUTE(SUBSTITUTE(SUBSTITUTE(SUBSTITUTE(SUBSTITUTE(SUBSTITUTE(SUBSTITUTE(SUBSTITUTE(AD62,$BN$59,""),$BN$60,""),$BN$61,""),$BN$62,""),$BN$63,""),"P",""),"I",""),"V",""),"B","") &amp;
          Data!CS47
       ),
       ""
    )
)</f>
        <v/>
      </c>
      <c r="AE112" s="41" t="str" cm="1">
        <f t="array" ref="AE112">IF(AND($Y$57=1,AE62&lt;&gt;""),
    "O"&amp;Data!CT47,
    IF(AE62&lt;&gt;"",
       IF(OR(COUNTIF(AE62,"L*"),COUNTIF(AE62,"X*")),
          SUBSTITUTE(SUBSTITUTE(SUBSTITUTE(SUBSTITUTE(AE62,"P",""),"I",""),"V",""),"B","") &amp;
          IF(
             OR(
               COUNTIF(AE62,"*"&amp;$BN$59&amp;"*"),
               COUNTIF(AE62,"*"&amp;$BN$60&amp;"*"),
               COUNTIF(AE62,"*"&amp;$BN$61&amp;"*"),
               COUNTIF(AE62,"*"&amp;$BN$62&amp;"*"),
               COUNTIF(AE62,"*"&amp;$BN$63&amp;"*")
             ),
             "",
             IF(
               SUMPRODUCT(--ISNUMBER(MID(AE62,ROW($1:$20),1)*1))&gt;0,
               "",
               Data!CT47
             )
          ),
          SUBSTITUTE(SUBSTITUTE(SUBSTITUTE(SUBSTITUTE(SUBSTITUTE(SUBSTITUTE(SUBSTITUTE(SUBSTITUTE(SUBSTITUTE(AE62,$BN$59,""),$BN$60,""),$BN$61,""),$BN$62,""),$BN$63,""),"P",""),"I",""),"V",""),"B","") &amp;
          Data!CT47
       ),
       ""
    )
)</f>
        <v/>
      </c>
      <c r="AF112" s="41" t="str" cm="1">
        <f t="array" ref="AF112">IF(AND($Y$57=1,AF62&lt;&gt;""),
    "O"&amp;Data!CU47,
    IF(AF62&lt;&gt;"",
       IF(OR(COUNTIF(AF62,"L*"),COUNTIF(AF62,"X*")),
          SUBSTITUTE(SUBSTITUTE(SUBSTITUTE(SUBSTITUTE(AF62,"P",""),"I",""),"V",""),"B","") &amp;
          IF(
             OR(
               COUNTIF(AF62,"*"&amp;$BN$59&amp;"*"),
               COUNTIF(AF62,"*"&amp;$BN$60&amp;"*"),
               COUNTIF(AF62,"*"&amp;$BN$61&amp;"*"),
               COUNTIF(AF62,"*"&amp;$BN$62&amp;"*"),
               COUNTIF(AF62,"*"&amp;$BN$63&amp;"*")
             ),
             "",
             IF(
               SUMPRODUCT(--ISNUMBER(MID(AF62,ROW($1:$20),1)*1))&gt;0,
               "",
               Data!CU47
             )
          ),
          SUBSTITUTE(SUBSTITUTE(SUBSTITUTE(SUBSTITUTE(SUBSTITUTE(SUBSTITUTE(SUBSTITUTE(SUBSTITUTE(SUBSTITUTE(AF62,$BN$59,""),$BN$60,""),$BN$61,""),$BN$62,""),$BN$63,""),"P",""),"I",""),"V",""),"B","") &amp;
          Data!CU47
       ),
       ""
    )
)</f>
        <v/>
      </c>
      <c r="AG112" s="41" t="str" cm="1">
        <f t="array" ref="AG112">IF(AND($Y$57=1,AG62&lt;&gt;""),
    "O"&amp;Data!CV47,
    IF(AG62&lt;&gt;"",
       IF(OR(COUNTIF(AG62,"L*"),COUNTIF(AG62,"X*")),
          SUBSTITUTE(SUBSTITUTE(SUBSTITUTE(SUBSTITUTE(AG62,"P",""),"I",""),"V",""),"B","") &amp;
          IF(
             OR(
               COUNTIF(AG62,"*"&amp;$BN$59&amp;"*"),
               COUNTIF(AG62,"*"&amp;$BN$60&amp;"*"),
               COUNTIF(AG62,"*"&amp;$BN$61&amp;"*"),
               COUNTIF(AG62,"*"&amp;$BN$62&amp;"*"),
               COUNTIF(AG62,"*"&amp;$BN$63&amp;"*")
             ),
             "",
             IF(
               SUMPRODUCT(--ISNUMBER(MID(AG62,ROW($1:$20),1)*1))&gt;0,
               "",
               Data!CV47
             )
          ),
          SUBSTITUTE(SUBSTITUTE(SUBSTITUTE(SUBSTITUTE(SUBSTITUTE(SUBSTITUTE(SUBSTITUTE(SUBSTITUTE(SUBSTITUTE(AG62,$BN$59,""),$BN$60,""),$BN$61,""),$BN$62,""),$BN$63,""),"P",""),"I",""),"V",""),"B","") &amp;
          Data!CV47
       ),
       ""
    )
)</f>
        <v/>
      </c>
      <c r="AH112" s="41" t="str" cm="1">
        <f t="array" ref="AH112">IF(AND($Y$57=1,AH62&lt;&gt;""),
    "O"&amp;Data!CW47,
    IF(AH62&lt;&gt;"",
       IF(OR(COUNTIF(AH62,"L*"),COUNTIF(AH62,"X*")),
          SUBSTITUTE(SUBSTITUTE(SUBSTITUTE(SUBSTITUTE(AH62,"P",""),"I",""),"V",""),"B","") &amp;
          IF(
             OR(
               COUNTIF(AH62,"*"&amp;$BN$59&amp;"*"),
               COUNTIF(AH62,"*"&amp;$BN$60&amp;"*"),
               COUNTIF(AH62,"*"&amp;$BN$61&amp;"*"),
               COUNTIF(AH62,"*"&amp;$BN$62&amp;"*"),
               COUNTIF(AH62,"*"&amp;$BN$63&amp;"*")
             ),
             "",
             IF(
               SUMPRODUCT(--ISNUMBER(MID(AH62,ROW($1:$20),1)*1))&gt;0,
               "",
               Data!CW47
             )
          ),
          SUBSTITUTE(SUBSTITUTE(SUBSTITUTE(SUBSTITUTE(SUBSTITUTE(SUBSTITUTE(SUBSTITUTE(SUBSTITUTE(SUBSTITUTE(AH62,$BN$59,""),$BN$60,""),$BN$61,""),$BN$62,""),$BN$63,""),"P",""),"I",""),"V",""),"B","") &amp;
          Data!CW47
       ),
       ""
    )
)</f>
        <v/>
      </c>
      <c r="AI112" s="41" t="str" cm="1">
        <f t="array" ref="AI112">IF(AND($Y$57=1,AI62&lt;&gt;""),
    "O"&amp;Data!CX47,
    IF(AI62&lt;&gt;"",
       IF(OR(COUNTIF(AI62,"L*"),COUNTIF(AI62,"X*")),
          SUBSTITUTE(SUBSTITUTE(SUBSTITUTE(SUBSTITUTE(AI62,"P",""),"I",""),"V",""),"B","") &amp;
          IF(
             OR(
               COUNTIF(AI62,"*"&amp;$BN$59&amp;"*"),
               COUNTIF(AI62,"*"&amp;$BN$60&amp;"*"),
               COUNTIF(AI62,"*"&amp;$BN$61&amp;"*"),
               COUNTIF(AI62,"*"&amp;$BN$62&amp;"*"),
               COUNTIF(AI62,"*"&amp;$BN$63&amp;"*")
             ),
             "",
             IF(
               SUMPRODUCT(--ISNUMBER(MID(AI62,ROW($1:$20),1)*1))&gt;0,
               "",
               Data!CX47
             )
          ),
          SUBSTITUTE(SUBSTITUTE(SUBSTITUTE(SUBSTITUTE(SUBSTITUTE(SUBSTITUTE(SUBSTITUTE(SUBSTITUTE(SUBSTITUTE(AI62,$BN$59,""),$BN$60,""),$BN$61,""),$BN$62,""),$BN$63,""),"P",""),"I",""),"V",""),"B","") &amp;
          Data!CX47
       ),
       ""
    )
)</f>
        <v/>
      </c>
      <c r="AJ112" s="41" t="str" cm="1">
        <f t="array" ref="AJ112">IF(AND($Y$57=1,AJ62&lt;&gt;""),
    "O"&amp;Data!CY47,
    IF(AJ62&lt;&gt;"",
       IF(OR(COUNTIF(AJ62,"L*"),COUNTIF(AJ62,"X*")),
          SUBSTITUTE(SUBSTITUTE(SUBSTITUTE(SUBSTITUTE(AJ62,"P",""),"I",""),"V",""),"B","") &amp;
          IF(
             OR(
               COUNTIF(AJ62,"*"&amp;$BN$59&amp;"*"),
               COUNTIF(AJ62,"*"&amp;$BN$60&amp;"*"),
               COUNTIF(AJ62,"*"&amp;$BN$61&amp;"*"),
               COUNTIF(AJ62,"*"&amp;$BN$62&amp;"*"),
               COUNTIF(AJ62,"*"&amp;$BN$63&amp;"*")
             ),
             "",
             IF(
               SUMPRODUCT(--ISNUMBER(MID(AJ62,ROW($1:$20),1)*1))&gt;0,
               "",
               Data!CY47
             )
          ),
          SUBSTITUTE(SUBSTITUTE(SUBSTITUTE(SUBSTITUTE(SUBSTITUTE(SUBSTITUTE(SUBSTITUTE(SUBSTITUTE(SUBSTITUTE(AJ62,$BN$59,""),$BN$60,""),$BN$61,""),$BN$62,""),$BN$63,""),"P",""),"I",""),"V",""),"B","") &amp;
          Data!CY47
       ),
       ""
    )
)</f>
        <v/>
      </c>
      <c r="AK112"/>
      <c r="AL112"/>
      <c r="AM112"/>
      <c r="AN112" s="13"/>
      <c r="AO112" s="13"/>
      <c r="AP112" s="13"/>
      <c r="AQ112" s="13"/>
      <c r="AR112" s="107" t="s">
        <v>793</v>
      </c>
      <c r="AS112" s="108">
        <f>IF('Eng. Cutter Entry'!C4&lt;&gt;"",AT112,IF(AT112&lt;&gt;Data!C53,AT112,0))</f>
        <v>0</v>
      </c>
      <c r="AT112" s="113">
        <f>IF(Data!B5&lt;&gt;"",IF(AND(Data!L2&lt;&gt;1,Data!L3&lt;&gt;1,Data!L4&lt;&gt;1),IF(Data!L5&lt;&gt;1,Data!C53+'ARDT Cutter Entry'!BI84+('ARDT Cutter Entry'!AL62+'ARDT Cutter Entry'!AL63+'ARDT Cutter Entry'!AL64+'ARDT Cutter Entry'!AL65)*100+IF(COUNTIF(Data!B4,"S*"),Data!L8*100,Data!L8*135)+Data!G31+'ARDT Cutter Entry'!BI81,500),550),0)</f>
        <v>5495</v>
      </c>
      <c r="AU112" s="13">
        <f>Data!C53+'ARDT Cutter Entry'!BI84+('ARDT Cutter Entry'!AL62+'ARDT Cutter Entry'!AL63+'ARDT Cutter Entry'!AL64)*100+Data!L8*135+Data!G31+'ARDT Cutter Entry'!BI81</f>
        <v>5495</v>
      </c>
      <c r="AV112" s="13"/>
      <c r="AW112" s="13"/>
      <c r="AX112" s="13"/>
      <c r="AY112" s="13"/>
      <c r="AZ112" s="95"/>
      <c r="BA112" s="95"/>
      <c r="BB112" s="95"/>
    </row>
    <row r="113" spans="1:54" s="9" customFormat="1" ht="23.25" customHeight="1" thickBot="1" x14ac:dyDescent="0.4">
      <c r="A113" s="1196"/>
      <c r="B113" s="22">
        <v>3</v>
      </c>
      <c r="C113" s="41" t="str" cm="1">
        <f t="array" ref="C113">IF(AND($Y$57=1,C63&lt;&gt;""),
    "O"&amp;Data!BR48,
    IF(C63&lt;&gt;"",
       IF(OR(COUNTIF(C63,"L*"),COUNTIF(C63,"X*")),
          SUBSTITUTE(SUBSTITUTE(SUBSTITUTE(SUBSTITUTE(C63,"P",""),"I",""),"V",""),"B","") &amp;
          IF(
             OR(
               COUNTIF(C63,"*"&amp;$BN$59&amp;"*"),
               COUNTIF(C63,"*"&amp;$BN$60&amp;"*"),
               COUNTIF(C63,"*"&amp;$BN$61&amp;"*"),
               COUNTIF(C63,"*"&amp;$BN$62&amp;"*"),
               COUNTIF(C63,"*"&amp;$BN$63&amp;"*")
             ),
             "",
             IF(
               SUMPRODUCT(--ISNUMBER(MID(C63,ROW($1:$20),1)*1))&gt;0,
               "",
               Data!BR48
             )
          ),
          SUBSTITUTE(SUBSTITUTE(SUBSTITUTE(SUBSTITUTE(SUBSTITUTE(SUBSTITUTE(SUBSTITUTE(SUBSTITUTE(SUBSTITUTE(C63,$BN$59,""),$BN$60,""),$BN$61,""),$BN$62,""),$BN$63,""),"P",""),"I",""),"V",""),"B","") &amp;
          Data!BR48
       ),
       ""
    )
)</f>
        <v/>
      </c>
      <c r="D113" s="41" t="str" cm="1">
        <f t="array" ref="D113">IF(AND($Y$57=1,D63&lt;&gt;""),
    "O"&amp;Data!BS48,
    IF(D63&lt;&gt;"",
       IF(OR(COUNTIF(D63,"L*"),COUNTIF(D63,"X*")),
          SUBSTITUTE(SUBSTITUTE(SUBSTITUTE(SUBSTITUTE(D63,"P",""),"I",""),"V",""),"B","") &amp;
          IF(
             OR(
               COUNTIF(D63,"*"&amp;$BN$59&amp;"*"),
               COUNTIF(D63,"*"&amp;$BN$60&amp;"*"),
               COUNTIF(D63,"*"&amp;$BN$61&amp;"*"),
               COUNTIF(D63,"*"&amp;$BN$62&amp;"*"),
               COUNTIF(D63,"*"&amp;$BN$63&amp;"*")
             ),
             "",
             IF(
               SUMPRODUCT(--ISNUMBER(MID(D63,ROW($1:$20),1)*1))&gt;0,
               "",
               Data!BS48
             )
          ),
          SUBSTITUTE(SUBSTITUTE(SUBSTITUTE(SUBSTITUTE(SUBSTITUTE(SUBSTITUTE(SUBSTITUTE(SUBSTITUTE(SUBSTITUTE(D63,$BN$59,""),$BN$60,""),$BN$61,""),$BN$62,""),$BN$63,""),"P",""),"I",""),"V",""),"B","") &amp;
          Data!BS48
       ),
       ""
    )
)</f>
        <v/>
      </c>
      <c r="E113" s="41" t="str" cm="1">
        <f t="array" ref="E113">IF(AND($Y$57=1,E63&lt;&gt;""),
    "O"&amp;Data!BT48,
    IF(E63&lt;&gt;"",
       IF(OR(COUNTIF(E63,"L*"),COUNTIF(E63,"X*")),
          SUBSTITUTE(SUBSTITUTE(SUBSTITUTE(SUBSTITUTE(E63,"P",""),"I",""),"V",""),"B","") &amp;
          IF(
             OR(
               COUNTIF(E63,"*"&amp;$BN$59&amp;"*"),
               COUNTIF(E63,"*"&amp;$BN$60&amp;"*"),
               COUNTIF(E63,"*"&amp;$BN$61&amp;"*"),
               COUNTIF(E63,"*"&amp;$BN$62&amp;"*"),
               COUNTIF(E63,"*"&amp;$BN$63&amp;"*")
             ),
             "",
             IF(
               SUMPRODUCT(--ISNUMBER(MID(E63,ROW($1:$20),1)*1))&gt;0,
               "",
               Data!BT48
             )
          ),
          SUBSTITUTE(SUBSTITUTE(SUBSTITUTE(SUBSTITUTE(SUBSTITUTE(SUBSTITUTE(SUBSTITUTE(SUBSTITUTE(SUBSTITUTE(E63,$BN$59,""),$BN$60,""),$BN$61,""),$BN$62,""),$BN$63,""),"P",""),"I",""),"V",""),"B","") &amp;
          Data!BT48
       ),
       ""
    )
)</f>
        <v/>
      </c>
      <c r="F113" s="41" t="str" cm="1">
        <f t="array" ref="F113">IF(AND($Y$57=1,F63&lt;&gt;""),
    "O"&amp;Data!BU48,
    IF(F63&lt;&gt;"",
       IF(OR(COUNTIF(F63,"L*"),COUNTIF(F63,"X*")),
          SUBSTITUTE(SUBSTITUTE(SUBSTITUTE(SUBSTITUTE(F63,"P",""),"I",""),"V",""),"B","") &amp;
          IF(
             OR(
               COUNTIF(F63,"*"&amp;$BN$59&amp;"*"),
               COUNTIF(F63,"*"&amp;$BN$60&amp;"*"),
               COUNTIF(F63,"*"&amp;$BN$61&amp;"*"),
               COUNTIF(F63,"*"&amp;$BN$62&amp;"*"),
               COUNTIF(F63,"*"&amp;$BN$63&amp;"*")
             ),
             "",
             IF(
               SUMPRODUCT(--ISNUMBER(MID(F63,ROW($1:$20),1)*1))&gt;0,
               "",
               Data!BU48
             )
          ),
          SUBSTITUTE(SUBSTITUTE(SUBSTITUTE(SUBSTITUTE(SUBSTITUTE(SUBSTITUTE(SUBSTITUTE(SUBSTITUTE(SUBSTITUTE(F63,$BN$59,""),$BN$60,""),$BN$61,""),$BN$62,""),$BN$63,""),"P",""),"I",""),"V",""),"B","") &amp;
          Data!BU48
       ),
       ""
    )
)</f>
        <v/>
      </c>
      <c r="G113" s="41" t="str" cm="1">
        <f t="array" ref="G113">IF(AND($Y$57=1,G63&lt;&gt;""),
    "O"&amp;Data!BV48,
    IF(G63&lt;&gt;"",
       IF(OR(COUNTIF(G63,"L*"),COUNTIF(G63,"X*")),
          SUBSTITUTE(SUBSTITUTE(SUBSTITUTE(SUBSTITUTE(G63,"P",""),"I",""),"V",""),"B","") &amp;
          IF(
             OR(
               COUNTIF(G63,"*"&amp;$BN$59&amp;"*"),
               COUNTIF(G63,"*"&amp;$BN$60&amp;"*"),
               COUNTIF(G63,"*"&amp;$BN$61&amp;"*"),
               COUNTIF(G63,"*"&amp;$BN$62&amp;"*"),
               COUNTIF(G63,"*"&amp;$BN$63&amp;"*")
             ),
             "",
             IF(
               SUMPRODUCT(--ISNUMBER(MID(G63,ROW($1:$20),1)*1))&gt;0,
               "",
               Data!BV48
             )
          ),
          SUBSTITUTE(SUBSTITUTE(SUBSTITUTE(SUBSTITUTE(SUBSTITUTE(SUBSTITUTE(SUBSTITUTE(SUBSTITUTE(SUBSTITUTE(G63,$BN$59,""),$BN$60,""),$BN$61,""),$BN$62,""),$BN$63,""),"P",""),"I",""),"V",""),"B","") &amp;
          Data!BV48
       ),
       ""
    )
)</f>
        <v/>
      </c>
      <c r="H113" s="41" t="str" cm="1">
        <f t="array" ref="H113">IF(AND($Y$57=1,H63&lt;&gt;""),
    "O"&amp;Data!BW48,
    IF(H63&lt;&gt;"",
       IF(OR(COUNTIF(H63,"L*"),COUNTIF(H63,"X*")),
          SUBSTITUTE(SUBSTITUTE(SUBSTITUTE(SUBSTITUTE(H63,"P",""),"I",""),"V",""),"B","") &amp;
          IF(
             OR(
               COUNTIF(H63,"*"&amp;$BN$59&amp;"*"),
               COUNTIF(H63,"*"&amp;$BN$60&amp;"*"),
               COUNTIF(H63,"*"&amp;$BN$61&amp;"*"),
               COUNTIF(H63,"*"&amp;$BN$62&amp;"*"),
               COUNTIF(H63,"*"&amp;$BN$63&amp;"*")
             ),
             "",
             IF(
               SUMPRODUCT(--ISNUMBER(MID(H63,ROW($1:$20),1)*1))&gt;0,
               "",
               Data!BW48
             )
          ),
          SUBSTITUTE(SUBSTITUTE(SUBSTITUTE(SUBSTITUTE(SUBSTITUTE(SUBSTITUTE(SUBSTITUTE(SUBSTITUTE(SUBSTITUTE(H63,$BN$59,""),$BN$60,""),$BN$61,""),$BN$62,""),$BN$63,""),"P",""),"I",""),"V",""),"B","") &amp;
          Data!BW48
       ),
       ""
    )
)</f>
        <v/>
      </c>
      <c r="I113" s="41" t="str" cm="1">
        <f t="array" ref="I113">IF(AND($Y$57=1,I63&lt;&gt;""),
    "O"&amp;Data!BX48,
    IF(I63&lt;&gt;"",
       IF(OR(COUNTIF(I63,"L*"),COUNTIF(I63,"X*")),
          SUBSTITUTE(SUBSTITUTE(SUBSTITUTE(SUBSTITUTE(I63,"P",""),"I",""),"V",""),"B","") &amp;
          IF(
             OR(
               COUNTIF(I63,"*"&amp;$BN$59&amp;"*"),
               COUNTIF(I63,"*"&amp;$BN$60&amp;"*"),
               COUNTIF(I63,"*"&amp;$BN$61&amp;"*"),
               COUNTIF(I63,"*"&amp;$BN$62&amp;"*"),
               COUNTIF(I63,"*"&amp;$BN$63&amp;"*")
             ),
             "",
             IF(
               SUMPRODUCT(--ISNUMBER(MID(I63,ROW($1:$20),1)*1))&gt;0,
               "",
               Data!BX48
             )
          ),
          SUBSTITUTE(SUBSTITUTE(SUBSTITUTE(SUBSTITUTE(SUBSTITUTE(SUBSTITUTE(SUBSTITUTE(SUBSTITUTE(SUBSTITUTE(I63,$BN$59,""),$BN$60,""),$BN$61,""),$BN$62,""),$BN$63,""),"P",""),"I",""),"V",""),"B","") &amp;
          Data!BX48
       ),
       ""
    )
)</f>
        <v/>
      </c>
      <c r="J113" s="41" t="str" cm="1">
        <f t="array" ref="J113">IF(AND($Y$57=1,J63&lt;&gt;""),
    "O"&amp;Data!BY48,
    IF(J63&lt;&gt;"",
       IF(OR(COUNTIF(J63,"L*"),COUNTIF(J63,"X*")),
          SUBSTITUTE(SUBSTITUTE(SUBSTITUTE(SUBSTITUTE(J63,"P",""),"I",""),"V",""),"B","") &amp;
          IF(
             OR(
               COUNTIF(J63,"*"&amp;$BN$59&amp;"*"),
               COUNTIF(J63,"*"&amp;$BN$60&amp;"*"),
               COUNTIF(J63,"*"&amp;$BN$61&amp;"*"),
               COUNTIF(J63,"*"&amp;$BN$62&amp;"*"),
               COUNTIF(J63,"*"&amp;$BN$63&amp;"*")
             ),
             "",
             IF(
               SUMPRODUCT(--ISNUMBER(MID(J63,ROW($1:$20),1)*1))&gt;0,
               "",
               Data!BY48
             )
          ),
          SUBSTITUTE(SUBSTITUTE(SUBSTITUTE(SUBSTITUTE(SUBSTITUTE(SUBSTITUTE(SUBSTITUTE(SUBSTITUTE(SUBSTITUTE(J63,$BN$59,""),$BN$60,""),$BN$61,""),$BN$62,""),$BN$63,""),"P",""),"I",""),"V",""),"B","") &amp;
          Data!BY48
       ),
       ""
    )
)</f>
        <v/>
      </c>
      <c r="K113" s="41" t="str" cm="1">
        <f t="array" ref="K113">IF(AND($Y$57=1,K63&lt;&gt;""),
    "O"&amp;Data!BZ48,
    IF(K63&lt;&gt;"",
       IF(OR(COUNTIF(K63,"L*"),COUNTIF(K63,"X*")),
          SUBSTITUTE(SUBSTITUTE(SUBSTITUTE(SUBSTITUTE(K63,"P",""),"I",""),"V",""),"B","") &amp;
          IF(
             OR(
               COUNTIF(K63,"*"&amp;$BN$59&amp;"*"),
               COUNTIF(K63,"*"&amp;$BN$60&amp;"*"),
               COUNTIF(K63,"*"&amp;$BN$61&amp;"*"),
               COUNTIF(K63,"*"&amp;$BN$62&amp;"*"),
               COUNTIF(K63,"*"&amp;$BN$63&amp;"*")
             ),
             "",
             IF(
               SUMPRODUCT(--ISNUMBER(MID(K63,ROW($1:$20),1)*1))&gt;0,
               "",
               Data!BZ48
             )
          ),
          SUBSTITUTE(SUBSTITUTE(SUBSTITUTE(SUBSTITUTE(SUBSTITUTE(SUBSTITUTE(SUBSTITUTE(SUBSTITUTE(SUBSTITUTE(K63,$BN$59,""),$BN$60,""),$BN$61,""),$BN$62,""),$BN$63,""),"P",""),"I",""),"V",""),"B","") &amp;
          Data!BZ48
       ),
       ""
    )
)</f>
        <v/>
      </c>
      <c r="L113" s="41" t="str" cm="1">
        <f t="array" ref="L113">IF(AND($Y$57=1,L63&lt;&gt;""),
    "O"&amp;Data!CA48,
    IF(L63&lt;&gt;"",
       IF(OR(COUNTIF(L63,"L*"),COUNTIF(L63,"X*")),
          SUBSTITUTE(SUBSTITUTE(SUBSTITUTE(SUBSTITUTE(L63,"P",""),"I",""),"V",""),"B","") &amp;
          IF(
             OR(
               COUNTIF(L63,"*"&amp;$BN$59&amp;"*"),
               COUNTIF(L63,"*"&amp;$BN$60&amp;"*"),
               COUNTIF(L63,"*"&amp;$BN$61&amp;"*"),
               COUNTIF(L63,"*"&amp;$BN$62&amp;"*"),
               COUNTIF(L63,"*"&amp;$BN$63&amp;"*")
             ),
             "",
             IF(
               SUMPRODUCT(--ISNUMBER(MID(L63,ROW($1:$20),1)*1))&gt;0,
               "",
               Data!CA48
             )
          ),
          SUBSTITUTE(SUBSTITUTE(SUBSTITUTE(SUBSTITUTE(SUBSTITUTE(SUBSTITUTE(SUBSTITUTE(SUBSTITUTE(SUBSTITUTE(L63,$BN$59,""),$BN$60,""),$BN$61,""),$BN$62,""),$BN$63,""),"P",""),"I",""),"V",""),"B","") &amp;
          Data!CA48
       ),
       ""
    )
)</f>
        <v/>
      </c>
      <c r="M113" s="41" t="str" cm="1">
        <f t="array" ref="M113">IF(AND($Y$57=1,M63&lt;&gt;""),
    "O"&amp;Data!CB48,
    IF(M63&lt;&gt;"",
       IF(OR(COUNTIF(M63,"L*"),COUNTIF(M63,"X*")),
          SUBSTITUTE(SUBSTITUTE(SUBSTITUTE(SUBSTITUTE(M63,"P",""),"I",""),"V",""),"B","") &amp;
          IF(
             OR(
               COUNTIF(M63,"*"&amp;$BN$59&amp;"*"),
               COUNTIF(M63,"*"&amp;$BN$60&amp;"*"),
               COUNTIF(M63,"*"&amp;$BN$61&amp;"*"),
               COUNTIF(M63,"*"&amp;$BN$62&amp;"*"),
               COUNTIF(M63,"*"&amp;$BN$63&amp;"*")
             ),
             "",
             IF(
               SUMPRODUCT(--ISNUMBER(MID(M63,ROW($1:$20),1)*1))&gt;0,
               "",
               Data!CB48
             )
          ),
          SUBSTITUTE(SUBSTITUTE(SUBSTITUTE(SUBSTITUTE(SUBSTITUTE(SUBSTITUTE(SUBSTITUTE(SUBSTITUTE(SUBSTITUTE(M63,$BN$59,""),$BN$60,""),$BN$61,""),$BN$62,""),$BN$63,""),"P",""),"I",""),"V",""),"B","") &amp;
          Data!CB48
       ),
       ""
    )
)</f>
        <v/>
      </c>
      <c r="N113" s="41" t="str" cm="1">
        <f t="array" ref="N113">IF(AND($Y$57=1,N63&lt;&gt;""),
    "O"&amp;Data!CC48,
    IF(N63&lt;&gt;"",
       IF(OR(COUNTIF(N63,"L*"),COUNTIF(N63,"X*")),
          SUBSTITUTE(SUBSTITUTE(SUBSTITUTE(SUBSTITUTE(N63,"P",""),"I",""),"V",""),"B","") &amp;
          IF(
             OR(
               COUNTIF(N63,"*"&amp;$BN$59&amp;"*"),
               COUNTIF(N63,"*"&amp;$BN$60&amp;"*"),
               COUNTIF(N63,"*"&amp;$BN$61&amp;"*"),
               COUNTIF(N63,"*"&amp;$BN$62&amp;"*"),
               COUNTIF(N63,"*"&amp;$BN$63&amp;"*")
             ),
             "",
             IF(
               SUMPRODUCT(--ISNUMBER(MID(N63,ROW($1:$20),1)*1))&gt;0,
               "",
               Data!CC48
             )
          ),
          SUBSTITUTE(SUBSTITUTE(SUBSTITUTE(SUBSTITUTE(SUBSTITUTE(SUBSTITUTE(SUBSTITUTE(SUBSTITUTE(SUBSTITUTE(N63,$BN$59,""),$BN$60,""),$BN$61,""),$BN$62,""),$BN$63,""),"P",""),"I",""),"V",""),"B","") &amp;
          Data!CC48
       ),
       ""
    )
)</f>
        <v/>
      </c>
      <c r="O113" s="41" t="str" cm="1">
        <f t="array" ref="O113">IF(AND($Y$57=1,O63&lt;&gt;""),
    "O"&amp;Data!CD48,
    IF(O63&lt;&gt;"",
       IF(OR(COUNTIF(O63,"L*"),COUNTIF(O63,"X*")),
          SUBSTITUTE(SUBSTITUTE(SUBSTITUTE(SUBSTITUTE(O63,"P",""),"I",""),"V",""),"B","") &amp;
          IF(
             OR(
               COUNTIF(O63,"*"&amp;$BN$59&amp;"*"),
               COUNTIF(O63,"*"&amp;$BN$60&amp;"*"),
               COUNTIF(O63,"*"&amp;$BN$61&amp;"*"),
               COUNTIF(O63,"*"&amp;$BN$62&amp;"*"),
               COUNTIF(O63,"*"&amp;$BN$63&amp;"*")
             ),
             "",
             IF(
               SUMPRODUCT(--ISNUMBER(MID(O63,ROW($1:$20),1)*1))&gt;0,
               "",
               Data!CD48
             )
          ),
          SUBSTITUTE(SUBSTITUTE(SUBSTITUTE(SUBSTITUTE(SUBSTITUTE(SUBSTITUTE(SUBSTITUTE(SUBSTITUTE(SUBSTITUTE(O63,$BN$59,""),$BN$60,""),$BN$61,""),$BN$62,""),$BN$63,""),"P",""),"I",""),"V",""),"B","") &amp;
          Data!CD48
       ),
       ""
    )
)</f>
        <v/>
      </c>
      <c r="P113" s="41" t="str" cm="1">
        <f t="array" ref="P113">IF(AND($Y$57=1,P63&lt;&gt;""),
    "O"&amp;Data!CE48,
    IF(P63&lt;&gt;"",
       IF(OR(COUNTIF(P63,"L*"),COUNTIF(P63,"X*")),
          SUBSTITUTE(SUBSTITUTE(SUBSTITUTE(SUBSTITUTE(P63,"P",""),"I",""),"V",""),"B","") &amp;
          IF(
             OR(
               COUNTIF(P63,"*"&amp;$BN$59&amp;"*"),
               COUNTIF(P63,"*"&amp;$BN$60&amp;"*"),
               COUNTIF(P63,"*"&amp;$BN$61&amp;"*"),
               COUNTIF(P63,"*"&amp;$BN$62&amp;"*"),
               COUNTIF(P63,"*"&amp;$BN$63&amp;"*")
             ),
             "",
             IF(
               SUMPRODUCT(--ISNUMBER(MID(P63,ROW($1:$20),1)*1))&gt;0,
               "",
               Data!CE48
             )
          ),
          SUBSTITUTE(SUBSTITUTE(SUBSTITUTE(SUBSTITUTE(SUBSTITUTE(SUBSTITUTE(SUBSTITUTE(SUBSTITUTE(SUBSTITUTE(P63,$BN$59,""),$BN$60,""),$BN$61,""),$BN$62,""),$BN$63,""),"P",""),"I",""),"V",""),"B","") &amp;
          Data!CE48
       ),
       ""
    )
)</f>
        <v/>
      </c>
      <c r="Q113" s="41" t="str" cm="1">
        <f t="array" ref="Q113">IF(AND($Y$57=1,Q63&lt;&gt;""),
    "O"&amp;Data!CF48,
    IF(Q63&lt;&gt;"",
       IF(OR(COUNTIF(Q63,"L*"),COUNTIF(Q63,"X*")),
          SUBSTITUTE(SUBSTITUTE(SUBSTITUTE(SUBSTITUTE(Q63,"P",""),"I",""),"V",""),"B","") &amp;
          IF(
             OR(
               COUNTIF(Q63,"*"&amp;$BN$59&amp;"*"),
               COUNTIF(Q63,"*"&amp;$BN$60&amp;"*"),
               COUNTIF(Q63,"*"&amp;$BN$61&amp;"*"),
               COUNTIF(Q63,"*"&amp;$BN$62&amp;"*"),
               COUNTIF(Q63,"*"&amp;$BN$63&amp;"*")
             ),
             "",
             IF(
               SUMPRODUCT(--ISNUMBER(MID(Q63,ROW($1:$20),1)*1))&gt;0,
               "",
               Data!CF48
             )
          ),
          SUBSTITUTE(SUBSTITUTE(SUBSTITUTE(SUBSTITUTE(SUBSTITUTE(SUBSTITUTE(SUBSTITUTE(SUBSTITUTE(SUBSTITUTE(Q63,$BN$59,""),$BN$60,""),$BN$61,""),$BN$62,""),$BN$63,""),"P",""),"I",""),"V",""),"B","") &amp;
          Data!CF48
       ),
       ""
    )
)</f>
        <v/>
      </c>
      <c r="R113" s="41" t="str" cm="1">
        <f t="array" ref="R113">IF(AND($Y$57=1,R63&lt;&gt;""),
    "O"&amp;Data!CG48,
    IF(R63&lt;&gt;"",
       IF(OR(COUNTIF(R63,"L*"),COUNTIF(R63,"X*")),
          SUBSTITUTE(SUBSTITUTE(SUBSTITUTE(SUBSTITUTE(R63,"P",""),"I",""),"V",""),"B","") &amp;
          IF(
             OR(
               COUNTIF(R63,"*"&amp;$BN$59&amp;"*"),
               COUNTIF(R63,"*"&amp;$BN$60&amp;"*"),
               COUNTIF(R63,"*"&amp;$BN$61&amp;"*"),
               COUNTIF(R63,"*"&amp;$BN$62&amp;"*"),
               COUNTIF(R63,"*"&amp;$BN$63&amp;"*")
             ),
             "",
             IF(
               SUMPRODUCT(--ISNUMBER(MID(R63,ROW($1:$20),1)*1))&gt;0,
               "",
               Data!CG48
             )
          ),
          SUBSTITUTE(SUBSTITUTE(SUBSTITUTE(SUBSTITUTE(SUBSTITUTE(SUBSTITUTE(SUBSTITUTE(SUBSTITUTE(SUBSTITUTE(R63,$BN$59,""),$BN$60,""),$BN$61,""),$BN$62,""),$BN$63,""),"P",""),"I",""),"V",""),"B","") &amp;
          Data!CG48
       ),
       ""
    )
)</f>
        <v/>
      </c>
      <c r="S113" s="41" t="str" cm="1">
        <f t="array" ref="S113">IF(AND($Y$57=1,S63&lt;&gt;""),
    "O"&amp;Data!CH48,
    IF(S63&lt;&gt;"",
       IF(OR(COUNTIF(S63,"L*"),COUNTIF(S63,"X*")),
          SUBSTITUTE(SUBSTITUTE(SUBSTITUTE(SUBSTITUTE(S63,"P",""),"I",""),"V",""),"B","") &amp;
          IF(
             OR(
               COUNTIF(S63,"*"&amp;$BN$59&amp;"*"),
               COUNTIF(S63,"*"&amp;$BN$60&amp;"*"),
               COUNTIF(S63,"*"&amp;$BN$61&amp;"*"),
               COUNTIF(S63,"*"&amp;$BN$62&amp;"*"),
               COUNTIF(S63,"*"&amp;$BN$63&amp;"*")
             ),
             "",
             IF(
               SUMPRODUCT(--ISNUMBER(MID(S63,ROW($1:$20),1)*1))&gt;0,
               "",
               Data!CH48
             )
          ),
          SUBSTITUTE(SUBSTITUTE(SUBSTITUTE(SUBSTITUTE(SUBSTITUTE(SUBSTITUTE(SUBSTITUTE(SUBSTITUTE(SUBSTITUTE(S63,$BN$59,""),$BN$60,""),$BN$61,""),$BN$62,""),$BN$63,""),"P",""),"I",""),"V",""),"B","") &amp;
          Data!CH48
       ),
       ""
    )
)</f>
        <v/>
      </c>
      <c r="T113" s="41" t="str" cm="1">
        <f t="array" ref="T113">IF(AND($Y$57=1,T63&lt;&gt;""),
    "O"&amp;Data!CI48,
    IF(T63&lt;&gt;"",
       IF(OR(COUNTIF(T63,"L*"),COUNTIF(T63,"X*")),
          SUBSTITUTE(SUBSTITUTE(SUBSTITUTE(SUBSTITUTE(T63,"P",""),"I",""),"V",""),"B","") &amp;
          IF(
             OR(
               COUNTIF(T63,"*"&amp;$BN$59&amp;"*"),
               COUNTIF(T63,"*"&amp;$BN$60&amp;"*"),
               COUNTIF(T63,"*"&amp;$BN$61&amp;"*"),
               COUNTIF(T63,"*"&amp;$BN$62&amp;"*"),
               COUNTIF(T63,"*"&amp;$BN$63&amp;"*")
             ),
             "",
             IF(
               SUMPRODUCT(--ISNUMBER(MID(T63,ROW($1:$20),1)*1))&gt;0,
               "",
               Data!CI48
             )
          ),
          SUBSTITUTE(SUBSTITUTE(SUBSTITUTE(SUBSTITUTE(SUBSTITUTE(SUBSTITUTE(SUBSTITUTE(SUBSTITUTE(SUBSTITUTE(T63,$BN$59,""),$BN$60,""),$BN$61,""),$BN$62,""),$BN$63,""),"P",""),"I",""),"V",""),"B","") &amp;
          Data!CI48
       ),
       ""
    )
)</f>
        <v/>
      </c>
      <c r="U113" s="41" t="str" cm="1">
        <f t="array" ref="U113">IF(AND($Y$57=1,U63&lt;&gt;""),
    "O"&amp;Data!CJ48,
    IF(U63&lt;&gt;"",
       IF(OR(COUNTIF(U63,"L*"),COUNTIF(U63,"X*")),
          SUBSTITUTE(SUBSTITUTE(SUBSTITUTE(SUBSTITUTE(U63,"P",""),"I",""),"V",""),"B","") &amp;
          IF(
             OR(
               COUNTIF(U63,"*"&amp;$BN$59&amp;"*"),
               COUNTIF(U63,"*"&amp;$BN$60&amp;"*"),
               COUNTIF(U63,"*"&amp;$BN$61&amp;"*"),
               COUNTIF(U63,"*"&amp;$BN$62&amp;"*"),
               COUNTIF(U63,"*"&amp;$BN$63&amp;"*")
             ),
             "",
             IF(
               SUMPRODUCT(--ISNUMBER(MID(U63,ROW($1:$20),1)*1))&gt;0,
               "",
               Data!CJ48
             )
          ),
          SUBSTITUTE(SUBSTITUTE(SUBSTITUTE(SUBSTITUTE(SUBSTITUTE(SUBSTITUTE(SUBSTITUTE(SUBSTITUTE(SUBSTITUTE(U63,$BN$59,""),$BN$60,""),$BN$61,""),$BN$62,""),$BN$63,""),"P",""),"I",""),"V",""),"B","") &amp;
          Data!CJ48
       ),
       ""
    )
)</f>
        <v/>
      </c>
      <c r="V113" s="41" t="str" cm="1">
        <f t="array" ref="V113">IF(AND($Y$57=1,V63&lt;&gt;""),
    "O"&amp;Data!CK48,
    IF(V63&lt;&gt;"",
       IF(OR(COUNTIF(V63,"L*"),COUNTIF(V63,"X*")),
          SUBSTITUTE(SUBSTITUTE(SUBSTITUTE(SUBSTITUTE(V63,"P",""),"I",""),"V",""),"B","") &amp;
          IF(
             OR(
               COUNTIF(V63,"*"&amp;$BN$59&amp;"*"),
               COUNTIF(V63,"*"&amp;$BN$60&amp;"*"),
               COUNTIF(V63,"*"&amp;$BN$61&amp;"*"),
               COUNTIF(V63,"*"&amp;$BN$62&amp;"*"),
               COUNTIF(V63,"*"&amp;$BN$63&amp;"*")
             ),
             "",
             IF(
               SUMPRODUCT(--ISNUMBER(MID(V63,ROW($1:$20),1)*1))&gt;0,
               "",
               Data!CK48
             )
          ),
          SUBSTITUTE(SUBSTITUTE(SUBSTITUTE(SUBSTITUTE(SUBSTITUTE(SUBSTITUTE(SUBSTITUTE(SUBSTITUTE(SUBSTITUTE(V63,$BN$59,""),$BN$60,""),$BN$61,""),$BN$62,""),$BN$63,""),"P",""),"I",""),"V",""),"B","") &amp;
          Data!CK48
       ),
       ""
    )
)</f>
        <v/>
      </c>
      <c r="W113" s="41" t="str" cm="1">
        <f t="array" ref="W113">IF(AND($Y$57=1,W63&lt;&gt;""),
    "O"&amp;Data!CL48,
    IF(W63&lt;&gt;"",
       IF(OR(COUNTIF(W63,"L*"),COUNTIF(W63,"X*")),
          SUBSTITUTE(SUBSTITUTE(SUBSTITUTE(SUBSTITUTE(W63,"P",""),"I",""),"V",""),"B","") &amp;
          IF(
             OR(
               COUNTIF(W63,"*"&amp;$BN$59&amp;"*"),
               COUNTIF(W63,"*"&amp;$BN$60&amp;"*"),
               COUNTIF(W63,"*"&amp;$BN$61&amp;"*"),
               COUNTIF(W63,"*"&amp;$BN$62&amp;"*"),
               COUNTIF(W63,"*"&amp;$BN$63&amp;"*")
             ),
             "",
             IF(
               SUMPRODUCT(--ISNUMBER(MID(W63,ROW($1:$20),1)*1))&gt;0,
               "",
               Data!CL48
             )
          ),
          SUBSTITUTE(SUBSTITUTE(SUBSTITUTE(SUBSTITUTE(SUBSTITUTE(SUBSTITUTE(SUBSTITUTE(SUBSTITUTE(SUBSTITUTE(W63,$BN$59,""),$BN$60,""),$BN$61,""),$BN$62,""),$BN$63,""),"P",""),"I",""),"V",""),"B","") &amp;
          Data!CL48
       ),
       ""
    )
)</f>
        <v/>
      </c>
      <c r="X113" s="41" t="str" cm="1">
        <f t="array" ref="X113">IF(AND($Y$57=1,X63&lt;&gt;""),
    "O"&amp;Data!CM48,
    IF(X63&lt;&gt;"",
       IF(OR(COUNTIF(X63,"L*"),COUNTIF(X63,"X*")),
          SUBSTITUTE(SUBSTITUTE(SUBSTITUTE(SUBSTITUTE(X63,"P",""),"I",""),"V",""),"B","") &amp;
          IF(
             OR(
               COUNTIF(X63,"*"&amp;$BN$59&amp;"*"),
               COUNTIF(X63,"*"&amp;$BN$60&amp;"*"),
               COUNTIF(X63,"*"&amp;$BN$61&amp;"*"),
               COUNTIF(X63,"*"&amp;$BN$62&amp;"*"),
               COUNTIF(X63,"*"&amp;$BN$63&amp;"*")
             ),
             "",
             IF(
               SUMPRODUCT(--ISNUMBER(MID(X63,ROW($1:$20),1)*1))&gt;0,
               "",
               Data!CM48
             )
          ),
          SUBSTITUTE(SUBSTITUTE(SUBSTITUTE(SUBSTITUTE(SUBSTITUTE(SUBSTITUTE(SUBSTITUTE(SUBSTITUTE(SUBSTITUTE(X63,$BN$59,""),$BN$60,""),$BN$61,""),$BN$62,""),$BN$63,""),"P",""),"I",""),"V",""),"B","") &amp;
          Data!CM48
       ),
       ""
    )
)</f>
        <v/>
      </c>
      <c r="Y113" s="41" t="str" cm="1">
        <f t="array" ref="Y113">IF(AND($Y$57=1,Y63&lt;&gt;""),
    "O"&amp;Data!CN48,
    IF(Y63&lt;&gt;"",
       IF(OR(COUNTIF(Y63,"L*"),COUNTIF(Y63,"X*")),
          SUBSTITUTE(SUBSTITUTE(SUBSTITUTE(SUBSTITUTE(Y63,"P",""),"I",""),"V",""),"B","") &amp;
          IF(
             OR(
               COUNTIF(Y63,"*"&amp;$BN$59&amp;"*"),
               COUNTIF(Y63,"*"&amp;$BN$60&amp;"*"),
               COUNTIF(Y63,"*"&amp;$BN$61&amp;"*"),
               COUNTIF(Y63,"*"&amp;$BN$62&amp;"*"),
               COUNTIF(Y63,"*"&amp;$BN$63&amp;"*")
             ),
             "",
             IF(
               SUMPRODUCT(--ISNUMBER(MID(Y63,ROW($1:$20),1)*1))&gt;0,
               "",
               Data!CN48
             )
          ),
          SUBSTITUTE(SUBSTITUTE(SUBSTITUTE(SUBSTITUTE(SUBSTITUTE(SUBSTITUTE(SUBSTITUTE(SUBSTITUTE(SUBSTITUTE(Y63,$BN$59,""),$BN$60,""),$BN$61,""),$BN$62,""),$BN$63,""),"P",""),"I",""),"V",""),"B","") &amp;
          Data!CN48
       ),
       ""
    )
)</f>
        <v/>
      </c>
      <c r="Z113" s="41" t="str" cm="1">
        <f t="array" ref="Z113">IF(AND($Y$57=1,Z63&lt;&gt;""),
    "O"&amp;Data!CO48,
    IF(Z63&lt;&gt;"",
       IF(OR(COUNTIF(Z63,"L*"),COUNTIF(Z63,"X*")),
          SUBSTITUTE(SUBSTITUTE(SUBSTITUTE(SUBSTITUTE(Z63,"P",""),"I",""),"V",""),"B","") &amp;
          IF(
             OR(
               COUNTIF(Z63,"*"&amp;$BN$59&amp;"*"),
               COUNTIF(Z63,"*"&amp;$BN$60&amp;"*"),
               COUNTIF(Z63,"*"&amp;$BN$61&amp;"*"),
               COUNTIF(Z63,"*"&amp;$BN$62&amp;"*"),
               COUNTIF(Z63,"*"&amp;$BN$63&amp;"*")
             ),
             "",
             IF(
               SUMPRODUCT(--ISNUMBER(MID(Z63,ROW($1:$20),1)*1))&gt;0,
               "",
               Data!CO48
             )
          ),
          SUBSTITUTE(SUBSTITUTE(SUBSTITUTE(SUBSTITUTE(SUBSTITUTE(SUBSTITUTE(SUBSTITUTE(SUBSTITUTE(SUBSTITUTE(Z63,$BN$59,""),$BN$60,""),$BN$61,""),$BN$62,""),$BN$63,""),"P",""),"I",""),"V",""),"B","") &amp;
          Data!CO48
       ),
       ""
    )
)</f>
        <v/>
      </c>
      <c r="AA113" s="41" t="str" cm="1">
        <f t="array" ref="AA113">IF(AND($Y$57=1,AA63&lt;&gt;""),
    "O"&amp;Data!CP48,
    IF(AA63&lt;&gt;"",
       IF(OR(COUNTIF(AA63,"L*"),COUNTIF(AA63,"X*")),
          SUBSTITUTE(SUBSTITUTE(SUBSTITUTE(SUBSTITUTE(AA63,"P",""),"I",""),"V",""),"B","") &amp;
          IF(
             OR(
               COUNTIF(AA63,"*"&amp;$BN$59&amp;"*"),
               COUNTIF(AA63,"*"&amp;$BN$60&amp;"*"),
               COUNTIF(AA63,"*"&amp;$BN$61&amp;"*"),
               COUNTIF(AA63,"*"&amp;$BN$62&amp;"*"),
               COUNTIF(AA63,"*"&amp;$BN$63&amp;"*")
             ),
             "",
             IF(
               SUMPRODUCT(--ISNUMBER(MID(AA63,ROW($1:$20),1)*1))&gt;0,
               "",
               Data!CP48
             )
          ),
          SUBSTITUTE(SUBSTITUTE(SUBSTITUTE(SUBSTITUTE(SUBSTITUTE(SUBSTITUTE(SUBSTITUTE(SUBSTITUTE(SUBSTITUTE(AA63,$BN$59,""),$BN$60,""),$BN$61,""),$BN$62,""),$BN$63,""),"P",""),"I",""),"V",""),"B","") &amp;
          Data!CP48
       ),
       ""
    )
)</f>
        <v/>
      </c>
      <c r="AB113" s="41" t="str" cm="1">
        <f t="array" ref="AB113">IF(AND($Y$57=1,AB63&lt;&gt;""),
    "O"&amp;Data!CQ48,
    IF(AB63&lt;&gt;"",
       IF(OR(COUNTIF(AB63,"L*"),COUNTIF(AB63,"X*")),
          SUBSTITUTE(SUBSTITUTE(SUBSTITUTE(SUBSTITUTE(AB63,"P",""),"I",""),"V",""),"B","") &amp;
          IF(
             OR(
               COUNTIF(AB63,"*"&amp;$BN$59&amp;"*"),
               COUNTIF(AB63,"*"&amp;$BN$60&amp;"*"),
               COUNTIF(AB63,"*"&amp;$BN$61&amp;"*"),
               COUNTIF(AB63,"*"&amp;$BN$62&amp;"*"),
               COUNTIF(AB63,"*"&amp;$BN$63&amp;"*")
             ),
             "",
             IF(
               SUMPRODUCT(--ISNUMBER(MID(AB63,ROW($1:$20),1)*1))&gt;0,
               "",
               Data!CQ48
             )
          ),
          SUBSTITUTE(SUBSTITUTE(SUBSTITUTE(SUBSTITUTE(SUBSTITUTE(SUBSTITUTE(SUBSTITUTE(SUBSTITUTE(SUBSTITUTE(AB63,$BN$59,""),$BN$60,""),$BN$61,""),$BN$62,""),$BN$63,""),"P",""),"I",""),"V",""),"B","") &amp;
          Data!CQ48
       ),
       ""
    )
)</f>
        <v/>
      </c>
      <c r="AC113" s="41" t="str" cm="1">
        <f t="array" ref="AC113">IF(AND($Y$57=1,AC63&lt;&gt;""),
    "O"&amp;Data!CR48,
    IF(AC63&lt;&gt;"",
       IF(OR(COUNTIF(AC63,"L*"),COUNTIF(AC63,"X*")),
          SUBSTITUTE(SUBSTITUTE(SUBSTITUTE(SUBSTITUTE(AC63,"P",""),"I",""),"V",""),"B","") &amp;
          IF(
             OR(
               COUNTIF(AC63,"*"&amp;$BN$59&amp;"*"),
               COUNTIF(AC63,"*"&amp;$BN$60&amp;"*"),
               COUNTIF(AC63,"*"&amp;$BN$61&amp;"*"),
               COUNTIF(AC63,"*"&amp;$BN$62&amp;"*"),
               COUNTIF(AC63,"*"&amp;$BN$63&amp;"*")
             ),
             "",
             IF(
               SUMPRODUCT(--ISNUMBER(MID(AC63,ROW($1:$20),1)*1))&gt;0,
               "",
               Data!CR48
             )
          ),
          SUBSTITUTE(SUBSTITUTE(SUBSTITUTE(SUBSTITUTE(SUBSTITUTE(SUBSTITUTE(SUBSTITUTE(SUBSTITUTE(SUBSTITUTE(AC63,$BN$59,""),$BN$60,""),$BN$61,""),$BN$62,""),$BN$63,""),"P",""),"I",""),"V",""),"B","") &amp;
          Data!CR48
       ),
       ""
    )
)</f>
        <v/>
      </c>
      <c r="AD113" s="41" t="str" cm="1">
        <f t="array" ref="AD113">IF(AND($Y$57=1,AD63&lt;&gt;""),
    "O"&amp;Data!CS48,
    IF(AD63&lt;&gt;"",
       IF(OR(COUNTIF(AD63,"L*"),COUNTIF(AD63,"X*")),
          SUBSTITUTE(SUBSTITUTE(SUBSTITUTE(SUBSTITUTE(AD63,"P",""),"I",""),"V",""),"B","") &amp;
          IF(
             OR(
               COUNTIF(AD63,"*"&amp;$BN$59&amp;"*"),
               COUNTIF(AD63,"*"&amp;$BN$60&amp;"*"),
               COUNTIF(AD63,"*"&amp;$BN$61&amp;"*"),
               COUNTIF(AD63,"*"&amp;$BN$62&amp;"*"),
               COUNTIF(AD63,"*"&amp;$BN$63&amp;"*")
             ),
             "",
             IF(
               SUMPRODUCT(--ISNUMBER(MID(AD63,ROW($1:$20),1)*1))&gt;0,
               "",
               Data!CS48
             )
          ),
          SUBSTITUTE(SUBSTITUTE(SUBSTITUTE(SUBSTITUTE(SUBSTITUTE(SUBSTITUTE(SUBSTITUTE(SUBSTITUTE(SUBSTITUTE(AD63,$BN$59,""),$BN$60,""),$BN$61,""),$BN$62,""),$BN$63,""),"P",""),"I",""),"V",""),"B","") &amp;
          Data!CS48
       ),
       ""
    )
)</f>
        <v/>
      </c>
      <c r="AE113" s="41" t="str" cm="1">
        <f t="array" ref="AE113">IF(AND($Y$57=1,AE63&lt;&gt;""),
    "O"&amp;Data!CT48,
    IF(AE63&lt;&gt;"",
       IF(OR(COUNTIF(AE63,"L*"),COUNTIF(AE63,"X*")),
          SUBSTITUTE(SUBSTITUTE(SUBSTITUTE(SUBSTITUTE(AE63,"P",""),"I",""),"V",""),"B","") &amp;
          IF(
             OR(
               COUNTIF(AE63,"*"&amp;$BN$59&amp;"*"),
               COUNTIF(AE63,"*"&amp;$BN$60&amp;"*"),
               COUNTIF(AE63,"*"&amp;$BN$61&amp;"*"),
               COUNTIF(AE63,"*"&amp;$BN$62&amp;"*"),
               COUNTIF(AE63,"*"&amp;$BN$63&amp;"*")
             ),
             "",
             IF(
               SUMPRODUCT(--ISNUMBER(MID(AE63,ROW($1:$20),1)*1))&gt;0,
               "",
               Data!CT48
             )
          ),
          SUBSTITUTE(SUBSTITUTE(SUBSTITUTE(SUBSTITUTE(SUBSTITUTE(SUBSTITUTE(SUBSTITUTE(SUBSTITUTE(SUBSTITUTE(AE63,$BN$59,""),$BN$60,""),$BN$61,""),$BN$62,""),$BN$63,""),"P",""),"I",""),"V",""),"B","") &amp;
          Data!CT48
       ),
       ""
    )
)</f>
        <v/>
      </c>
      <c r="AF113" s="41" t="str" cm="1">
        <f t="array" ref="AF113">IF(AND($Y$57=1,AF63&lt;&gt;""),
    "O"&amp;Data!CU48,
    IF(AF63&lt;&gt;"",
       IF(OR(COUNTIF(AF63,"L*"),COUNTIF(AF63,"X*")),
          SUBSTITUTE(SUBSTITUTE(SUBSTITUTE(SUBSTITUTE(AF63,"P",""),"I",""),"V",""),"B","") &amp;
          IF(
             OR(
               COUNTIF(AF63,"*"&amp;$BN$59&amp;"*"),
               COUNTIF(AF63,"*"&amp;$BN$60&amp;"*"),
               COUNTIF(AF63,"*"&amp;$BN$61&amp;"*"),
               COUNTIF(AF63,"*"&amp;$BN$62&amp;"*"),
               COUNTIF(AF63,"*"&amp;$BN$63&amp;"*")
             ),
             "",
             IF(
               SUMPRODUCT(--ISNUMBER(MID(AF63,ROW($1:$20),1)*1))&gt;0,
               "",
               Data!CU48
             )
          ),
          SUBSTITUTE(SUBSTITUTE(SUBSTITUTE(SUBSTITUTE(SUBSTITUTE(SUBSTITUTE(SUBSTITUTE(SUBSTITUTE(SUBSTITUTE(AF63,$BN$59,""),$BN$60,""),$BN$61,""),$BN$62,""),$BN$63,""),"P",""),"I",""),"V",""),"B","") &amp;
          Data!CU48
       ),
       ""
    )
)</f>
        <v/>
      </c>
      <c r="AG113" s="41" t="str" cm="1">
        <f t="array" ref="AG113">IF(AND($Y$57=1,AG63&lt;&gt;""),
    "O"&amp;Data!CV48,
    IF(AG63&lt;&gt;"",
       IF(OR(COUNTIF(AG63,"L*"),COUNTIF(AG63,"X*")),
          SUBSTITUTE(SUBSTITUTE(SUBSTITUTE(SUBSTITUTE(AG63,"P",""),"I",""),"V",""),"B","") &amp;
          IF(
             OR(
               COUNTIF(AG63,"*"&amp;$BN$59&amp;"*"),
               COUNTIF(AG63,"*"&amp;$BN$60&amp;"*"),
               COUNTIF(AG63,"*"&amp;$BN$61&amp;"*"),
               COUNTIF(AG63,"*"&amp;$BN$62&amp;"*"),
               COUNTIF(AG63,"*"&amp;$BN$63&amp;"*")
             ),
             "",
             IF(
               SUMPRODUCT(--ISNUMBER(MID(AG63,ROW($1:$20),1)*1))&gt;0,
               "",
               Data!CV48
             )
          ),
          SUBSTITUTE(SUBSTITUTE(SUBSTITUTE(SUBSTITUTE(SUBSTITUTE(SUBSTITUTE(SUBSTITUTE(SUBSTITUTE(SUBSTITUTE(AG63,$BN$59,""),$BN$60,""),$BN$61,""),$BN$62,""),$BN$63,""),"P",""),"I",""),"V",""),"B","") &amp;
          Data!CV48
       ),
       ""
    )
)</f>
        <v/>
      </c>
      <c r="AH113" s="41" t="str" cm="1">
        <f t="array" ref="AH113">IF(AND($Y$57=1,AH63&lt;&gt;""),
    "O"&amp;Data!CW48,
    IF(AH63&lt;&gt;"",
       IF(OR(COUNTIF(AH63,"L*"),COUNTIF(AH63,"X*")),
          SUBSTITUTE(SUBSTITUTE(SUBSTITUTE(SUBSTITUTE(AH63,"P",""),"I",""),"V",""),"B","") &amp;
          IF(
             OR(
               COUNTIF(AH63,"*"&amp;$BN$59&amp;"*"),
               COUNTIF(AH63,"*"&amp;$BN$60&amp;"*"),
               COUNTIF(AH63,"*"&amp;$BN$61&amp;"*"),
               COUNTIF(AH63,"*"&amp;$BN$62&amp;"*"),
               COUNTIF(AH63,"*"&amp;$BN$63&amp;"*")
             ),
             "",
             IF(
               SUMPRODUCT(--ISNUMBER(MID(AH63,ROW($1:$20),1)*1))&gt;0,
               "",
               Data!CW48
             )
          ),
          SUBSTITUTE(SUBSTITUTE(SUBSTITUTE(SUBSTITUTE(SUBSTITUTE(SUBSTITUTE(SUBSTITUTE(SUBSTITUTE(SUBSTITUTE(AH63,$BN$59,""),$BN$60,""),$BN$61,""),$BN$62,""),$BN$63,""),"P",""),"I",""),"V",""),"B","") &amp;
          Data!CW48
       ),
       ""
    )
)</f>
        <v/>
      </c>
      <c r="AI113" s="41" t="str" cm="1">
        <f t="array" ref="AI113">IF(AND($Y$57=1,AI63&lt;&gt;""),
    "O"&amp;Data!CX48,
    IF(AI63&lt;&gt;"",
       IF(OR(COUNTIF(AI63,"L*"),COUNTIF(AI63,"X*")),
          SUBSTITUTE(SUBSTITUTE(SUBSTITUTE(SUBSTITUTE(AI63,"P",""),"I",""),"V",""),"B","") &amp;
          IF(
             OR(
               COUNTIF(AI63,"*"&amp;$BN$59&amp;"*"),
               COUNTIF(AI63,"*"&amp;$BN$60&amp;"*"),
               COUNTIF(AI63,"*"&amp;$BN$61&amp;"*"),
               COUNTIF(AI63,"*"&amp;$BN$62&amp;"*"),
               COUNTIF(AI63,"*"&amp;$BN$63&amp;"*")
             ),
             "",
             IF(
               SUMPRODUCT(--ISNUMBER(MID(AI63,ROW($1:$20),1)*1))&gt;0,
               "",
               Data!CX48
             )
          ),
          SUBSTITUTE(SUBSTITUTE(SUBSTITUTE(SUBSTITUTE(SUBSTITUTE(SUBSTITUTE(SUBSTITUTE(SUBSTITUTE(SUBSTITUTE(AI63,$BN$59,""),$BN$60,""),$BN$61,""),$BN$62,""),$BN$63,""),"P",""),"I",""),"V",""),"B","") &amp;
          Data!CX48
       ),
       ""
    )
)</f>
        <v/>
      </c>
      <c r="AJ113" s="41" t="str" cm="1">
        <f t="array" ref="AJ113">IF(AND($Y$57=1,AJ63&lt;&gt;""),
    "O"&amp;Data!CY48,
    IF(AJ63&lt;&gt;"",
       IF(OR(COUNTIF(AJ63,"L*"),COUNTIF(AJ63,"X*")),
          SUBSTITUTE(SUBSTITUTE(SUBSTITUTE(SUBSTITUTE(AJ63,"P",""),"I",""),"V",""),"B","") &amp;
          IF(
             OR(
               COUNTIF(AJ63,"*"&amp;$BN$59&amp;"*"),
               COUNTIF(AJ63,"*"&amp;$BN$60&amp;"*"),
               COUNTIF(AJ63,"*"&amp;$BN$61&amp;"*"),
               COUNTIF(AJ63,"*"&amp;$BN$62&amp;"*"),
               COUNTIF(AJ63,"*"&amp;$BN$63&amp;"*")
             ),
             "",
             IF(
               SUMPRODUCT(--ISNUMBER(MID(AJ63,ROW($1:$20),1)*1))&gt;0,
               "",
               Data!CY48
             )
          ),
          SUBSTITUTE(SUBSTITUTE(SUBSTITUTE(SUBSTITUTE(SUBSTITUTE(SUBSTITUTE(SUBSTITUTE(SUBSTITUTE(SUBSTITUTE(AJ63,$BN$59,""),$BN$60,""),$BN$61,""),$BN$62,""),$BN$63,""),"P",""),"I",""),"V",""),"B","") &amp;
          Data!CY48
       ),
       ""
    )
)</f>
        <v/>
      </c>
      <c r="AK113"/>
      <c r="AL113"/>
      <c r="AM113"/>
      <c r="AN113" s="13"/>
      <c r="AO113" s="13"/>
      <c r="AP113" s="13"/>
      <c r="AQ113" s="13"/>
      <c r="AR113" s="107" t="s">
        <v>794</v>
      </c>
      <c r="AS113" s="33">
        <f>IF(OR(Data!L3=1,Data!L4=1),550,IF(Data!L5=1,500,Quotation!AL58))</f>
        <v>6120</v>
      </c>
      <c r="AT113" s="113"/>
      <c r="AU113" s="13"/>
      <c r="AV113" s="13"/>
      <c r="AW113" s="13"/>
      <c r="AX113" s="13"/>
      <c r="AY113" s="13"/>
      <c r="AZ113" s="95"/>
      <c r="BA113" s="95"/>
      <c r="BB113" s="95"/>
    </row>
    <row r="114" spans="1:54" ht="23.25" customHeight="1" thickBot="1" x14ac:dyDescent="0.4">
      <c r="A114" s="1196"/>
      <c r="B114" s="22">
        <v>4</v>
      </c>
      <c r="C114" s="41" t="str" cm="1">
        <f t="array" ref="C114">IF(AND($Y$57=1,C64&lt;&gt;""),
    "O"&amp;Data!BR49,
    IF(C64&lt;&gt;"",
       IF(OR(COUNTIF(C64,"L*"),COUNTIF(C64,"X*")),
          SUBSTITUTE(SUBSTITUTE(SUBSTITUTE(SUBSTITUTE(C64,"P",""),"I",""),"V",""),"B","") &amp;
          IF(
             OR(
               COUNTIF(C64,"*"&amp;$BN$59&amp;"*"),
               COUNTIF(C64,"*"&amp;$BN$60&amp;"*"),
               COUNTIF(C64,"*"&amp;$BN$61&amp;"*"),
               COUNTIF(C64,"*"&amp;$BN$62&amp;"*"),
               COUNTIF(C64,"*"&amp;$BN$63&amp;"*")
             ),
             "",
             IF(
               SUMPRODUCT(--ISNUMBER(MID(C64,ROW($1:$20),1)*1))&gt;0,
               "",
               Data!BR49
             )
          ),
          SUBSTITUTE(SUBSTITUTE(SUBSTITUTE(SUBSTITUTE(SUBSTITUTE(SUBSTITUTE(SUBSTITUTE(SUBSTITUTE(SUBSTITUTE(C64,$BN$59,""),$BN$60,""),$BN$61,""),$BN$62,""),$BN$63,""),"P",""),"I",""),"V",""),"B","") &amp;
          Data!BR49
       ),
       ""
    )
)</f>
        <v/>
      </c>
      <c r="D114" s="41" t="str" cm="1">
        <f t="array" ref="D114">IF(AND($Y$57=1,D64&lt;&gt;""),
    "O"&amp;Data!BS49,
    IF(D64&lt;&gt;"",
       IF(OR(COUNTIF(D64,"L*"),COUNTIF(D64,"X*")),
          SUBSTITUTE(SUBSTITUTE(SUBSTITUTE(SUBSTITUTE(D64,"P",""),"I",""),"V",""),"B","") &amp;
          IF(
             OR(
               COUNTIF(D64,"*"&amp;$BN$59&amp;"*"),
               COUNTIF(D64,"*"&amp;$BN$60&amp;"*"),
               COUNTIF(D64,"*"&amp;$BN$61&amp;"*"),
               COUNTIF(D64,"*"&amp;$BN$62&amp;"*"),
               COUNTIF(D64,"*"&amp;$BN$63&amp;"*")
             ),
             "",
             IF(
               SUMPRODUCT(--ISNUMBER(MID(D64,ROW($1:$20),1)*1))&gt;0,
               "",
               Data!BS49
             )
          ),
          SUBSTITUTE(SUBSTITUTE(SUBSTITUTE(SUBSTITUTE(SUBSTITUTE(SUBSTITUTE(SUBSTITUTE(SUBSTITUTE(SUBSTITUTE(D64,$BN$59,""),$BN$60,""),$BN$61,""),$BN$62,""),$BN$63,""),"P",""),"I",""),"V",""),"B","") &amp;
          Data!BS49
       ),
       ""
    )
)</f>
        <v/>
      </c>
      <c r="E114" s="41" t="str" cm="1">
        <f t="array" ref="E114">IF(AND($Y$57=1,E64&lt;&gt;""),
    "O"&amp;Data!BT49,
    IF(E64&lt;&gt;"",
       IF(OR(COUNTIF(E64,"L*"),COUNTIF(E64,"X*")),
          SUBSTITUTE(SUBSTITUTE(SUBSTITUTE(SUBSTITUTE(E64,"P",""),"I",""),"V",""),"B","") &amp;
          IF(
             OR(
               COUNTIF(E64,"*"&amp;$BN$59&amp;"*"),
               COUNTIF(E64,"*"&amp;$BN$60&amp;"*"),
               COUNTIF(E64,"*"&amp;$BN$61&amp;"*"),
               COUNTIF(E64,"*"&amp;$BN$62&amp;"*"),
               COUNTIF(E64,"*"&amp;$BN$63&amp;"*")
             ),
             "",
             IF(
               SUMPRODUCT(--ISNUMBER(MID(E64,ROW($1:$20),1)*1))&gt;0,
               "",
               Data!BT49
             )
          ),
          SUBSTITUTE(SUBSTITUTE(SUBSTITUTE(SUBSTITUTE(SUBSTITUTE(SUBSTITUTE(SUBSTITUTE(SUBSTITUTE(SUBSTITUTE(E64,$BN$59,""),$BN$60,""),$BN$61,""),$BN$62,""),$BN$63,""),"P",""),"I",""),"V",""),"B","") &amp;
          Data!BT49
       ),
       ""
    )
)</f>
        <v/>
      </c>
      <c r="F114" s="41" t="str" cm="1">
        <f t="array" ref="F114">IF(AND($Y$57=1,F64&lt;&gt;""),
    "O"&amp;Data!BU49,
    IF(F64&lt;&gt;"",
       IF(OR(COUNTIF(F64,"L*"),COUNTIF(F64,"X*")),
          SUBSTITUTE(SUBSTITUTE(SUBSTITUTE(SUBSTITUTE(F64,"P",""),"I",""),"V",""),"B","") &amp;
          IF(
             OR(
               COUNTIF(F64,"*"&amp;$BN$59&amp;"*"),
               COUNTIF(F64,"*"&amp;$BN$60&amp;"*"),
               COUNTIF(F64,"*"&amp;$BN$61&amp;"*"),
               COUNTIF(F64,"*"&amp;$BN$62&amp;"*"),
               COUNTIF(F64,"*"&amp;$BN$63&amp;"*")
             ),
             "",
             IF(
               SUMPRODUCT(--ISNUMBER(MID(F64,ROW($1:$20),1)*1))&gt;0,
               "",
               Data!BU49
             )
          ),
          SUBSTITUTE(SUBSTITUTE(SUBSTITUTE(SUBSTITUTE(SUBSTITUTE(SUBSTITUTE(SUBSTITUTE(SUBSTITUTE(SUBSTITUTE(F64,$BN$59,""),$BN$60,""),$BN$61,""),$BN$62,""),$BN$63,""),"P",""),"I",""),"V",""),"B","") &amp;
          Data!BU49
       ),
       ""
    )
)</f>
        <v/>
      </c>
      <c r="G114" s="41" t="str" cm="1">
        <f t="array" ref="G114">IF(AND($Y$57=1,G64&lt;&gt;""),
    "O"&amp;Data!BV49,
    IF(G64&lt;&gt;"",
       IF(OR(COUNTIF(G64,"L*"),COUNTIF(G64,"X*")),
          SUBSTITUTE(SUBSTITUTE(SUBSTITUTE(SUBSTITUTE(G64,"P",""),"I",""),"V",""),"B","") &amp;
          IF(
             OR(
               COUNTIF(G64,"*"&amp;$BN$59&amp;"*"),
               COUNTIF(G64,"*"&amp;$BN$60&amp;"*"),
               COUNTIF(G64,"*"&amp;$BN$61&amp;"*"),
               COUNTIF(G64,"*"&amp;$BN$62&amp;"*"),
               COUNTIF(G64,"*"&amp;$BN$63&amp;"*")
             ),
             "",
             IF(
               SUMPRODUCT(--ISNUMBER(MID(G64,ROW($1:$20),1)*1))&gt;0,
               "",
               Data!BV49
             )
          ),
          SUBSTITUTE(SUBSTITUTE(SUBSTITUTE(SUBSTITUTE(SUBSTITUTE(SUBSTITUTE(SUBSTITUTE(SUBSTITUTE(SUBSTITUTE(G64,$BN$59,""),$BN$60,""),$BN$61,""),$BN$62,""),$BN$63,""),"P",""),"I",""),"V",""),"B","") &amp;
          Data!BV49
       ),
       ""
    )
)</f>
        <v/>
      </c>
      <c r="H114" s="41" t="str" cm="1">
        <f t="array" ref="H114">IF(AND($Y$57=1,H64&lt;&gt;""),
    "O"&amp;Data!BW49,
    IF(H64&lt;&gt;"",
       IF(OR(COUNTIF(H64,"L*"),COUNTIF(H64,"X*")),
          SUBSTITUTE(SUBSTITUTE(SUBSTITUTE(SUBSTITUTE(H64,"P",""),"I",""),"V",""),"B","") &amp;
          IF(
             OR(
               COUNTIF(H64,"*"&amp;$BN$59&amp;"*"),
               COUNTIF(H64,"*"&amp;$BN$60&amp;"*"),
               COUNTIF(H64,"*"&amp;$BN$61&amp;"*"),
               COUNTIF(H64,"*"&amp;$BN$62&amp;"*"),
               COUNTIF(H64,"*"&amp;$BN$63&amp;"*")
             ),
             "",
             IF(
               SUMPRODUCT(--ISNUMBER(MID(H64,ROW($1:$20),1)*1))&gt;0,
               "",
               Data!BW49
             )
          ),
          SUBSTITUTE(SUBSTITUTE(SUBSTITUTE(SUBSTITUTE(SUBSTITUTE(SUBSTITUTE(SUBSTITUTE(SUBSTITUTE(SUBSTITUTE(H64,$BN$59,""),$BN$60,""),$BN$61,""),$BN$62,""),$BN$63,""),"P",""),"I",""),"V",""),"B","") &amp;
          Data!BW49
       ),
       ""
    )
)</f>
        <v/>
      </c>
      <c r="I114" s="41" t="str" cm="1">
        <f t="array" ref="I114">IF(AND($Y$57=1,I64&lt;&gt;""),
    "O"&amp;Data!BX49,
    IF(I64&lt;&gt;"",
       IF(OR(COUNTIF(I64,"L*"),COUNTIF(I64,"X*")),
          SUBSTITUTE(SUBSTITUTE(SUBSTITUTE(SUBSTITUTE(I64,"P",""),"I",""),"V",""),"B","") &amp;
          IF(
             OR(
               COUNTIF(I64,"*"&amp;$BN$59&amp;"*"),
               COUNTIF(I64,"*"&amp;$BN$60&amp;"*"),
               COUNTIF(I64,"*"&amp;$BN$61&amp;"*"),
               COUNTIF(I64,"*"&amp;$BN$62&amp;"*"),
               COUNTIF(I64,"*"&amp;$BN$63&amp;"*")
             ),
             "",
             IF(
               SUMPRODUCT(--ISNUMBER(MID(I64,ROW($1:$20),1)*1))&gt;0,
               "",
               Data!BX49
             )
          ),
          SUBSTITUTE(SUBSTITUTE(SUBSTITUTE(SUBSTITUTE(SUBSTITUTE(SUBSTITUTE(SUBSTITUTE(SUBSTITUTE(SUBSTITUTE(I64,$BN$59,""),$BN$60,""),$BN$61,""),$BN$62,""),$BN$63,""),"P",""),"I",""),"V",""),"B","") &amp;
          Data!BX49
       ),
       ""
    )
)</f>
        <v/>
      </c>
      <c r="J114" s="41" t="str" cm="1">
        <f t="array" ref="J114">IF(AND($Y$57=1,J64&lt;&gt;""),
    "O"&amp;Data!BY49,
    IF(J64&lt;&gt;"",
       IF(OR(COUNTIF(J64,"L*"),COUNTIF(J64,"X*")),
          SUBSTITUTE(SUBSTITUTE(SUBSTITUTE(SUBSTITUTE(J64,"P",""),"I",""),"V",""),"B","") &amp;
          IF(
             OR(
               COUNTIF(J64,"*"&amp;$BN$59&amp;"*"),
               COUNTIF(J64,"*"&amp;$BN$60&amp;"*"),
               COUNTIF(J64,"*"&amp;$BN$61&amp;"*"),
               COUNTIF(J64,"*"&amp;$BN$62&amp;"*"),
               COUNTIF(J64,"*"&amp;$BN$63&amp;"*")
             ),
             "",
             IF(
               SUMPRODUCT(--ISNUMBER(MID(J64,ROW($1:$20),1)*1))&gt;0,
               "",
               Data!BY49
             )
          ),
          SUBSTITUTE(SUBSTITUTE(SUBSTITUTE(SUBSTITUTE(SUBSTITUTE(SUBSTITUTE(SUBSTITUTE(SUBSTITUTE(SUBSTITUTE(J64,$BN$59,""),$BN$60,""),$BN$61,""),$BN$62,""),$BN$63,""),"P",""),"I",""),"V",""),"B","") &amp;
          Data!BY49
       ),
       ""
    )
)</f>
        <v/>
      </c>
      <c r="K114" s="41" t="str" cm="1">
        <f t="array" ref="K114">IF(AND($Y$57=1,K64&lt;&gt;""),
    "O"&amp;Data!BZ49,
    IF(K64&lt;&gt;"",
       IF(OR(COUNTIF(K64,"L*"),COUNTIF(K64,"X*")),
          SUBSTITUTE(SUBSTITUTE(SUBSTITUTE(SUBSTITUTE(K64,"P",""),"I",""),"V",""),"B","") &amp;
          IF(
             OR(
               COUNTIF(K64,"*"&amp;$BN$59&amp;"*"),
               COUNTIF(K64,"*"&amp;$BN$60&amp;"*"),
               COUNTIF(K64,"*"&amp;$BN$61&amp;"*"),
               COUNTIF(K64,"*"&amp;$BN$62&amp;"*"),
               COUNTIF(K64,"*"&amp;$BN$63&amp;"*")
             ),
             "",
             IF(
               SUMPRODUCT(--ISNUMBER(MID(K64,ROW($1:$20),1)*1))&gt;0,
               "",
               Data!BZ49
             )
          ),
          SUBSTITUTE(SUBSTITUTE(SUBSTITUTE(SUBSTITUTE(SUBSTITUTE(SUBSTITUTE(SUBSTITUTE(SUBSTITUTE(SUBSTITUTE(K64,$BN$59,""),$BN$60,""),$BN$61,""),$BN$62,""),$BN$63,""),"P",""),"I",""),"V",""),"B","") &amp;
          Data!BZ49
       ),
       ""
    )
)</f>
        <v/>
      </c>
      <c r="L114" s="41" t="str" cm="1">
        <f t="array" ref="L114">IF(AND($Y$57=1,L64&lt;&gt;""),
    "O"&amp;Data!CA49,
    IF(L64&lt;&gt;"",
       IF(OR(COUNTIF(L64,"L*"),COUNTIF(L64,"X*")),
          SUBSTITUTE(SUBSTITUTE(SUBSTITUTE(SUBSTITUTE(L64,"P",""),"I",""),"V",""),"B","") &amp;
          IF(
             OR(
               COUNTIF(L64,"*"&amp;$BN$59&amp;"*"),
               COUNTIF(L64,"*"&amp;$BN$60&amp;"*"),
               COUNTIF(L64,"*"&amp;$BN$61&amp;"*"),
               COUNTIF(L64,"*"&amp;$BN$62&amp;"*"),
               COUNTIF(L64,"*"&amp;$BN$63&amp;"*")
             ),
             "",
             IF(
               SUMPRODUCT(--ISNUMBER(MID(L64,ROW($1:$20),1)*1))&gt;0,
               "",
               Data!CA49
             )
          ),
          SUBSTITUTE(SUBSTITUTE(SUBSTITUTE(SUBSTITUTE(SUBSTITUTE(SUBSTITUTE(SUBSTITUTE(SUBSTITUTE(SUBSTITUTE(L64,$BN$59,""),$BN$60,""),$BN$61,""),$BN$62,""),$BN$63,""),"P",""),"I",""),"V",""),"B","") &amp;
          Data!CA49
       ),
       ""
    )
)</f>
        <v/>
      </c>
      <c r="M114" s="41" t="str" cm="1">
        <f t="array" ref="M114">IF(AND($Y$57=1,M64&lt;&gt;""),
    "O"&amp;Data!CB49,
    IF(M64&lt;&gt;"",
       IF(OR(COUNTIF(M64,"L*"),COUNTIF(M64,"X*")),
          SUBSTITUTE(SUBSTITUTE(SUBSTITUTE(SUBSTITUTE(M64,"P",""),"I",""),"V",""),"B","") &amp;
          IF(
             OR(
               COUNTIF(M64,"*"&amp;$BN$59&amp;"*"),
               COUNTIF(M64,"*"&amp;$BN$60&amp;"*"),
               COUNTIF(M64,"*"&amp;$BN$61&amp;"*"),
               COUNTIF(M64,"*"&amp;$BN$62&amp;"*"),
               COUNTIF(M64,"*"&amp;$BN$63&amp;"*")
             ),
             "",
             IF(
               SUMPRODUCT(--ISNUMBER(MID(M64,ROW($1:$20),1)*1))&gt;0,
               "",
               Data!CB49
             )
          ),
          SUBSTITUTE(SUBSTITUTE(SUBSTITUTE(SUBSTITUTE(SUBSTITUTE(SUBSTITUTE(SUBSTITUTE(SUBSTITUTE(SUBSTITUTE(M64,$BN$59,""),$BN$60,""),$BN$61,""),$BN$62,""),$BN$63,""),"P",""),"I",""),"V",""),"B","") &amp;
          Data!CB49
       ),
       ""
    )
)</f>
        <v/>
      </c>
      <c r="N114" s="41" t="str" cm="1">
        <f t="array" ref="N114">IF(AND($Y$57=1,N64&lt;&gt;""),
    "O"&amp;Data!CC49,
    IF(N64&lt;&gt;"",
       IF(OR(COUNTIF(N64,"L*"),COUNTIF(N64,"X*")),
          SUBSTITUTE(SUBSTITUTE(SUBSTITUTE(SUBSTITUTE(N64,"P",""),"I",""),"V",""),"B","") &amp;
          IF(
             OR(
               COUNTIF(N64,"*"&amp;$BN$59&amp;"*"),
               COUNTIF(N64,"*"&amp;$BN$60&amp;"*"),
               COUNTIF(N64,"*"&amp;$BN$61&amp;"*"),
               COUNTIF(N64,"*"&amp;$BN$62&amp;"*"),
               COUNTIF(N64,"*"&amp;$BN$63&amp;"*")
             ),
             "",
             IF(
               SUMPRODUCT(--ISNUMBER(MID(N64,ROW($1:$20),1)*1))&gt;0,
               "",
               Data!CC49
             )
          ),
          SUBSTITUTE(SUBSTITUTE(SUBSTITUTE(SUBSTITUTE(SUBSTITUTE(SUBSTITUTE(SUBSTITUTE(SUBSTITUTE(SUBSTITUTE(N64,$BN$59,""),$BN$60,""),$BN$61,""),$BN$62,""),$BN$63,""),"P",""),"I",""),"V",""),"B","") &amp;
          Data!CC49
       ),
       ""
    )
)</f>
        <v/>
      </c>
      <c r="O114" s="41" t="str" cm="1">
        <f t="array" ref="O114">IF(AND($Y$57=1,O64&lt;&gt;""),
    "O"&amp;Data!CD49,
    IF(O64&lt;&gt;"",
       IF(OR(COUNTIF(O64,"L*"),COUNTIF(O64,"X*")),
          SUBSTITUTE(SUBSTITUTE(SUBSTITUTE(SUBSTITUTE(O64,"P",""),"I",""),"V",""),"B","") &amp;
          IF(
             OR(
               COUNTIF(O64,"*"&amp;$BN$59&amp;"*"),
               COUNTIF(O64,"*"&amp;$BN$60&amp;"*"),
               COUNTIF(O64,"*"&amp;$BN$61&amp;"*"),
               COUNTIF(O64,"*"&amp;$BN$62&amp;"*"),
               COUNTIF(O64,"*"&amp;$BN$63&amp;"*")
             ),
             "",
             IF(
               SUMPRODUCT(--ISNUMBER(MID(O64,ROW($1:$20),1)*1))&gt;0,
               "",
               Data!CD49
             )
          ),
          SUBSTITUTE(SUBSTITUTE(SUBSTITUTE(SUBSTITUTE(SUBSTITUTE(SUBSTITUTE(SUBSTITUTE(SUBSTITUTE(SUBSTITUTE(O64,$BN$59,""),$BN$60,""),$BN$61,""),$BN$62,""),$BN$63,""),"P",""),"I",""),"V",""),"B","") &amp;
          Data!CD49
       ),
       ""
    )
)</f>
        <v/>
      </c>
      <c r="P114" s="41" t="str" cm="1">
        <f t="array" ref="P114">IF(AND($Y$57=1,P64&lt;&gt;""),
    "O"&amp;Data!CE49,
    IF(P64&lt;&gt;"",
       IF(OR(COUNTIF(P64,"L*"),COUNTIF(P64,"X*")),
          SUBSTITUTE(SUBSTITUTE(SUBSTITUTE(SUBSTITUTE(P64,"P",""),"I",""),"V",""),"B","") &amp;
          IF(
             OR(
               COUNTIF(P64,"*"&amp;$BN$59&amp;"*"),
               COUNTIF(P64,"*"&amp;$BN$60&amp;"*"),
               COUNTIF(P64,"*"&amp;$BN$61&amp;"*"),
               COUNTIF(P64,"*"&amp;$BN$62&amp;"*"),
               COUNTIF(P64,"*"&amp;$BN$63&amp;"*")
             ),
             "",
             IF(
               SUMPRODUCT(--ISNUMBER(MID(P64,ROW($1:$20),1)*1))&gt;0,
               "",
               Data!CE49
             )
          ),
          SUBSTITUTE(SUBSTITUTE(SUBSTITUTE(SUBSTITUTE(SUBSTITUTE(SUBSTITUTE(SUBSTITUTE(SUBSTITUTE(SUBSTITUTE(P64,$BN$59,""),$BN$60,""),$BN$61,""),$BN$62,""),$BN$63,""),"P",""),"I",""),"V",""),"B","") &amp;
          Data!CE49
       ),
       ""
    )
)</f>
        <v/>
      </c>
      <c r="Q114" s="41" t="str" cm="1">
        <f t="array" ref="Q114">IF(AND($Y$57=1,Q64&lt;&gt;""),
    "O"&amp;Data!CF49,
    IF(Q64&lt;&gt;"",
       IF(OR(COUNTIF(Q64,"L*"),COUNTIF(Q64,"X*")),
          SUBSTITUTE(SUBSTITUTE(SUBSTITUTE(SUBSTITUTE(Q64,"P",""),"I",""),"V",""),"B","") &amp;
          IF(
             OR(
               COUNTIF(Q64,"*"&amp;$BN$59&amp;"*"),
               COUNTIF(Q64,"*"&amp;$BN$60&amp;"*"),
               COUNTIF(Q64,"*"&amp;$BN$61&amp;"*"),
               COUNTIF(Q64,"*"&amp;$BN$62&amp;"*"),
               COUNTIF(Q64,"*"&amp;$BN$63&amp;"*")
             ),
             "",
             IF(
               SUMPRODUCT(--ISNUMBER(MID(Q64,ROW($1:$20),1)*1))&gt;0,
               "",
               Data!CF49
             )
          ),
          SUBSTITUTE(SUBSTITUTE(SUBSTITUTE(SUBSTITUTE(SUBSTITUTE(SUBSTITUTE(SUBSTITUTE(SUBSTITUTE(SUBSTITUTE(Q64,$BN$59,""),$BN$60,""),$BN$61,""),$BN$62,""),$BN$63,""),"P",""),"I",""),"V",""),"B","") &amp;
          Data!CF49
       ),
       ""
    )
)</f>
        <v/>
      </c>
      <c r="R114" s="41" t="str" cm="1">
        <f t="array" ref="R114">IF(AND($Y$57=1,R64&lt;&gt;""),
    "O"&amp;Data!CG49,
    IF(R64&lt;&gt;"",
       IF(OR(COUNTIF(R64,"L*"),COUNTIF(R64,"X*")),
          SUBSTITUTE(SUBSTITUTE(SUBSTITUTE(SUBSTITUTE(R64,"P",""),"I",""),"V",""),"B","") &amp;
          IF(
             OR(
               COUNTIF(R64,"*"&amp;$BN$59&amp;"*"),
               COUNTIF(R64,"*"&amp;$BN$60&amp;"*"),
               COUNTIF(R64,"*"&amp;$BN$61&amp;"*"),
               COUNTIF(R64,"*"&amp;$BN$62&amp;"*"),
               COUNTIF(R64,"*"&amp;$BN$63&amp;"*")
             ),
             "",
             IF(
               SUMPRODUCT(--ISNUMBER(MID(R64,ROW($1:$20),1)*1))&gt;0,
               "",
               Data!CG49
             )
          ),
          SUBSTITUTE(SUBSTITUTE(SUBSTITUTE(SUBSTITUTE(SUBSTITUTE(SUBSTITUTE(SUBSTITUTE(SUBSTITUTE(SUBSTITUTE(R64,$BN$59,""),$BN$60,""),$BN$61,""),$BN$62,""),$BN$63,""),"P",""),"I",""),"V",""),"B","") &amp;
          Data!CG49
       ),
       ""
    )
)</f>
        <v/>
      </c>
      <c r="S114" s="41" t="str" cm="1">
        <f t="array" ref="S114">IF(AND($Y$57=1,S64&lt;&gt;""),
    "O"&amp;Data!CH49,
    IF(S64&lt;&gt;"",
       IF(OR(COUNTIF(S64,"L*"),COUNTIF(S64,"X*")),
          SUBSTITUTE(SUBSTITUTE(SUBSTITUTE(SUBSTITUTE(S64,"P",""),"I",""),"V",""),"B","") &amp;
          IF(
             OR(
               COUNTIF(S64,"*"&amp;$BN$59&amp;"*"),
               COUNTIF(S64,"*"&amp;$BN$60&amp;"*"),
               COUNTIF(S64,"*"&amp;$BN$61&amp;"*"),
               COUNTIF(S64,"*"&amp;$BN$62&amp;"*"),
               COUNTIF(S64,"*"&amp;$BN$63&amp;"*")
             ),
             "",
             IF(
               SUMPRODUCT(--ISNUMBER(MID(S64,ROW($1:$20),1)*1))&gt;0,
               "",
               Data!CH49
             )
          ),
          SUBSTITUTE(SUBSTITUTE(SUBSTITUTE(SUBSTITUTE(SUBSTITUTE(SUBSTITUTE(SUBSTITUTE(SUBSTITUTE(SUBSTITUTE(S64,$BN$59,""),$BN$60,""),$BN$61,""),$BN$62,""),$BN$63,""),"P",""),"I",""),"V",""),"B","") &amp;
          Data!CH49
       ),
       ""
    )
)</f>
        <v/>
      </c>
      <c r="T114" s="41" t="str" cm="1">
        <f t="array" ref="T114">IF(AND($Y$57=1,T64&lt;&gt;""),
    "O"&amp;Data!CI49,
    IF(T64&lt;&gt;"",
       IF(OR(COUNTIF(T64,"L*"),COUNTIF(T64,"X*")),
          SUBSTITUTE(SUBSTITUTE(SUBSTITUTE(SUBSTITUTE(T64,"P",""),"I",""),"V",""),"B","") &amp;
          IF(
             OR(
               COUNTIF(T64,"*"&amp;$BN$59&amp;"*"),
               COUNTIF(T64,"*"&amp;$BN$60&amp;"*"),
               COUNTIF(T64,"*"&amp;$BN$61&amp;"*"),
               COUNTIF(T64,"*"&amp;$BN$62&amp;"*"),
               COUNTIF(T64,"*"&amp;$BN$63&amp;"*")
             ),
             "",
             IF(
               SUMPRODUCT(--ISNUMBER(MID(T64,ROW($1:$20),1)*1))&gt;0,
               "",
               Data!CI49
             )
          ),
          SUBSTITUTE(SUBSTITUTE(SUBSTITUTE(SUBSTITUTE(SUBSTITUTE(SUBSTITUTE(SUBSTITUTE(SUBSTITUTE(SUBSTITUTE(T64,$BN$59,""),$BN$60,""),$BN$61,""),$BN$62,""),$BN$63,""),"P",""),"I",""),"V",""),"B","") &amp;
          Data!CI49
       ),
       ""
    )
)</f>
        <v/>
      </c>
      <c r="U114" s="41" t="str" cm="1">
        <f t="array" ref="U114">IF(AND($Y$57=1,U64&lt;&gt;""),
    "O"&amp;Data!CJ49,
    IF(U64&lt;&gt;"",
       IF(OR(COUNTIF(U64,"L*"),COUNTIF(U64,"X*")),
          SUBSTITUTE(SUBSTITUTE(SUBSTITUTE(SUBSTITUTE(U64,"P",""),"I",""),"V",""),"B","") &amp;
          IF(
             OR(
               COUNTIF(U64,"*"&amp;$BN$59&amp;"*"),
               COUNTIF(U64,"*"&amp;$BN$60&amp;"*"),
               COUNTIF(U64,"*"&amp;$BN$61&amp;"*"),
               COUNTIF(U64,"*"&amp;$BN$62&amp;"*"),
               COUNTIF(U64,"*"&amp;$BN$63&amp;"*")
             ),
             "",
             IF(
               SUMPRODUCT(--ISNUMBER(MID(U64,ROW($1:$20),1)*1))&gt;0,
               "",
               Data!CJ49
             )
          ),
          SUBSTITUTE(SUBSTITUTE(SUBSTITUTE(SUBSTITUTE(SUBSTITUTE(SUBSTITUTE(SUBSTITUTE(SUBSTITUTE(SUBSTITUTE(U64,$BN$59,""),$BN$60,""),$BN$61,""),$BN$62,""),$BN$63,""),"P",""),"I",""),"V",""),"B","") &amp;
          Data!CJ49
       ),
       ""
    )
)</f>
        <v/>
      </c>
      <c r="V114" s="41" t="str" cm="1">
        <f t="array" ref="V114">IF(AND($Y$57=1,V64&lt;&gt;""),
    "O"&amp;Data!CK49,
    IF(V64&lt;&gt;"",
       IF(OR(COUNTIF(V64,"L*"),COUNTIF(V64,"X*")),
          SUBSTITUTE(SUBSTITUTE(SUBSTITUTE(SUBSTITUTE(V64,"P",""),"I",""),"V",""),"B","") &amp;
          IF(
             OR(
               COUNTIF(V64,"*"&amp;$BN$59&amp;"*"),
               COUNTIF(V64,"*"&amp;$BN$60&amp;"*"),
               COUNTIF(V64,"*"&amp;$BN$61&amp;"*"),
               COUNTIF(V64,"*"&amp;$BN$62&amp;"*"),
               COUNTIF(V64,"*"&amp;$BN$63&amp;"*")
             ),
             "",
             IF(
               SUMPRODUCT(--ISNUMBER(MID(V64,ROW($1:$20),1)*1))&gt;0,
               "",
               Data!CK49
             )
          ),
          SUBSTITUTE(SUBSTITUTE(SUBSTITUTE(SUBSTITUTE(SUBSTITUTE(SUBSTITUTE(SUBSTITUTE(SUBSTITUTE(SUBSTITUTE(V64,$BN$59,""),$BN$60,""),$BN$61,""),$BN$62,""),$BN$63,""),"P",""),"I",""),"V",""),"B","") &amp;
          Data!CK49
       ),
       ""
    )
)</f>
        <v/>
      </c>
      <c r="W114" s="41" t="str" cm="1">
        <f t="array" ref="W114">IF(AND($Y$57=1,W64&lt;&gt;""),
    "O"&amp;Data!CL49,
    IF(W64&lt;&gt;"",
       IF(OR(COUNTIF(W64,"L*"),COUNTIF(W64,"X*")),
          SUBSTITUTE(SUBSTITUTE(SUBSTITUTE(SUBSTITUTE(W64,"P",""),"I",""),"V",""),"B","") &amp;
          IF(
             OR(
               COUNTIF(W64,"*"&amp;$BN$59&amp;"*"),
               COUNTIF(W64,"*"&amp;$BN$60&amp;"*"),
               COUNTIF(W64,"*"&amp;$BN$61&amp;"*"),
               COUNTIF(W64,"*"&amp;$BN$62&amp;"*"),
               COUNTIF(W64,"*"&amp;$BN$63&amp;"*")
             ),
             "",
             IF(
               SUMPRODUCT(--ISNUMBER(MID(W64,ROW($1:$20),1)*1))&gt;0,
               "",
               Data!CL49
             )
          ),
          SUBSTITUTE(SUBSTITUTE(SUBSTITUTE(SUBSTITUTE(SUBSTITUTE(SUBSTITUTE(SUBSTITUTE(SUBSTITUTE(SUBSTITUTE(W64,$BN$59,""),$BN$60,""),$BN$61,""),$BN$62,""),$BN$63,""),"P",""),"I",""),"V",""),"B","") &amp;
          Data!CL49
       ),
       ""
    )
)</f>
        <v/>
      </c>
      <c r="X114" s="41" t="str" cm="1">
        <f t="array" ref="X114">IF(AND($Y$57=1,X64&lt;&gt;""),
    "O"&amp;Data!CM49,
    IF(X64&lt;&gt;"",
       IF(OR(COUNTIF(X64,"L*"),COUNTIF(X64,"X*")),
          SUBSTITUTE(SUBSTITUTE(SUBSTITUTE(SUBSTITUTE(X64,"P",""),"I",""),"V",""),"B","") &amp;
          IF(
             OR(
               COUNTIF(X64,"*"&amp;$BN$59&amp;"*"),
               COUNTIF(X64,"*"&amp;$BN$60&amp;"*"),
               COUNTIF(X64,"*"&amp;$BN$61&amp;"*"),
               COUNTIF(X64,"*"&amp;$BN$62&amp;"*"),
               COUNTIF(X64,"*"&amp;$BN$63&amp;"*")
             ),
             "",
             IF(
               SUMPRODUCT(--ISNUMBER(MID(X64,ROW($1:$20),1)*1))&gt;0,
               "",
               Data!CM49
             )
          ),
          SUBSTITUTE(SUBSTITUTE(SUBSTITUTE(SUBSTITUTE(SUBSTITUTE(SUBSTITUTE(SUBSTITUTE(SUBSTITUTE(SUBSTITUTE(X64,$BN$59,""),$BN$60,""),$BN$61,""),$BN$62,""),$BN$63,""),"P",""),"I",""),"V",""),"B","") &amp;
          Data!CM49
       ),
       ""
    )
)</f>
        <v/>
      </c>
      <c r="Y114" s="41" t="str" cm="1">
        <f t="array" ref="Y114">IF(AND($Y$57=1,Y64&lt;&gt;""),
    "O"&amp;Data!CN49,
    IF(Y64&lt;&gt;"",
       IF(OR(COUNTIF(Y64,"L*"),COUNTIF(Y64,"X*")),
          SUBSTITUTE(SUBSTITUTE(SUBSTITUTE(SUBSTITUTE(Y64,"P",""),"I",""),"V",""),"B","") &amp;
          IF(
             OR(
               COUNTIF(Y64,"*"&amp;$BN$59&amp;"*"),
               COUNTIF(Y64,"*"&amp;$BN$60&amp;"*"),
               COUNTIF(Y64,"*"&amp;$BN$61&amp;"*"),
               COUNTIF(Y64,"*"&amp;$BN$62&amp;"*"),
               COUNTIF(Y64,"*"&amp;$BN$63&amp;"*")
             ),
             "",
             IF(
               SUMPRODUCT(--ISNUMBER(MID(Y64,ROW($1:$20),1)*1))&gt;0,
               "",
               Data!CN49
             )
          ),
          SUBSTITUTE(SUBSTITUTE(SUBSTITUTE(SUBSTITUTE(SUBSTITUTE(SUBSTITUTE(SUBSTITUTE(SUBSTITUTE(SUBSTITUTE(Y64,$BN$59,""),$BN$60,""),$BN$61,""),$BN$62,""),$BN$63,""),"P",""),"I",""),"V",""),"B","") &amp;
          Data!CN49
       ),
       ""
    )
)</f>
        <v/>
      </c>
      <c r="Z114" s="41" t="str" cm="1">
        <f t="array" ref="Z114">IF(AND($Y$57=1,Z64&lt;&gt;""),
    "O"&amp;Data!CO49,
    IF(Z64&lt;&gt;"",
       IF(OR(COUNTIF(Z64,"L*"),COUNTIF(Z64,"X*")),
          SUBSTITUTE(SUBSTITUTE(SUBSTITUTE(SUBSTITUTE(Z64,"P",""),"I",""),"V",""),"B","") &amp;
          IF(
             OR(
               COUNTIF(Z64,"*"&amp;$BN$59&amp;"*"),
               COUNTIF(Z64,"*"&amp;$BN$60&amp;"*"),
               COUNTIF(Z64,"*"&amp;$BN$61&amp;"*"),
               COUNTIF(Z64,"*"&amp;$BN$62&amp;"*"),
               COUNTIF(Z64,"*"&amp;$BN$63&amp;"*")
             ),
             "",
             IF(
               SUMPRODUCT(--ISNUMBER(MID(Z64,ROW($1:$20),1)*1))&gt;0,
               "",
               Data!CO49
             )
          ),
          SUBSTITUTE(SUBSTITUTE(SUBSTITUTE(SUBSTITUTE(SUBSTITUTE(SUBSTITUTE(SUBSTITUTE(SUBSTITUTE(SUBSTITUTE(Z64,$BN$59,""),$BN$60,""),$BN$61,""),$BN$62,""),$BN$63,""),"P",""),"I",""),"V",""),"B","") &amp;
          Data!CO49
       ),
       ""
    )
)</f>
        <v/>
      </c>
      <c r="AA114" s="41" t="str" cm="1">
        <f t="array" ref="AA114">IF(AND($Y$57=1,AA64&lt;&gt;""),
    "O"&amp;Data!CP49,
    IF(AA64&lt;&gt;"",
       IF(OR(COUNTIF(AA64,"L*"),COUNTIF(AA64,"X*")),
          SUBSTITUTE(SUBSTITUTE(SUBSTITUTE(SUBSTITUTE(AA64,"P",""),"I",""),"V",""),"B","") &amp;
          IF(
             OR(
               COUNTIF(AA64,"*"&amp;$BN$59&amp;"*"),
               COUNTIF(AA64,"*"&amp;$BN$60&amp;"*"),
               COUNTIF(AA64,"*"&amp;$BN$61&amp;"*"),
               COUNTIF(AA64,"*"&amp;$BN$62&amp;"*"),
               COUNTIF(AA64,"*"&amp;$BN$63&amp;"*")
             ),
             "",
             IF(
               SUMPRODUCT(--ISNUMBER(MID(AA64,ROW($1:$20),1)*1))&gt;0,
               "",
               Data!CP49
             )
          ),
          SUBSTITUTE(SUBSTITUTE(SUBSTITUTE(SUBSTITUTE(SUBSTITUTE(SUBSTITUTE(SUBSTITUTE(SUBSTITUTE(SUBSTITUTE(AA64,$BN$59,""),$BN$60,""),$BN$61,""),$BN$62,""),$BN$63,""),"P",""),"I",""),"V",""),"B","") &amp;
          Data!CP49
       ),
       ""
    )
)</f>
        <v/>
      </c>
      <c r="AB114" s="41" t="str" cm="1">
        <f t="array" ref="AB114">IF(AND($Y$57=1,AB64&lt;&gt;""),
    "O"&amp;Data!CQ49,
    IF(AB64&lt;&gt;"",
       IF(OR(COUNTIF(AB64,"L*"),COUNTIF(AB64,"X*")),
          SUBSTITUTE(SUBSTITUTE(SUBSTITUTE(SUBSTITUTE(AB64,"P",""),"I",""),"V",""),"B","") &amp;
          IF(
             OR(
               COUNTIF(AB64,"*"&amp;$BN$59&amp;"*"),
               COUNTIF(AB64,"*"&amp;$BN$60&amp;"*"),
               COUNTIF(AB64,"*"&amp;$BN$61&amp;"*"),
               COUNTIF(AB64,"*"&amp;$BN$62&amp;"*"),
               COUNTIF(AB64,"*"&amp;$BN$63&amp;"*")
             ),
             "",
             IF(
               SUMPRODUCT(--ISNUMBER(MID(AB64,ROW($1:$20),1)*1))&gt;0,
               "",
               Data!CQ49
             )
          ),
          SUBSTITUTE(SUBSTITUTE(SUBSTITUTE(SUBSTITUTE(SUBSTITUTE(SUBSTITUTE(SUBSTITUTE(SUBSTITUTE(SUBSTITUTE(AB64,$BN$59,""),$BN$60,""),$BN$61,""),$BN$62,""),$BN$63,""),"P",""),"I",""),"V",""),"B","") &amp;
          Data!CQ49
       ),
       ""
    )
)</f>
        <v/>
      </c>
      <c r="AC114" s="41" t="str" cm="1">
        <f t="array" ref="AC114">IF(AND($Y$57=1,AC64&lt;&gt;""),
    "O"&amp;Data!CR49,
    IF(AC64&lt;&gt;"",
       IF(OR(COUNTIF(AC64,"L*"),COUNTIF(AC64,"X*")),
          SUBSTITUTE(SUBSTITUTE(SUBSTITUTE(SUBSTITUTE(AC64,"P",""),"I",""),"V",""),"B","") &amp;
          IF(
             OR(
               COUNTIF(AC64,"*"&amp;$BN$59&amp;"*"),
               COUNTIF(AC64,"*"&amp;$BN$60&amp;"*"),
               COUNTIF(AC64,"*"&amp;$BN$61&amp;"*"),
               COUNTIF(AC64,"*"&amp;$BN$62&amp;"*"),
               COUNTIF(AC64,"*"&amp;$BN$63&amp;"*")
             ),
             "",
             IF(
               SUMPRODUCT(--ISNUMBER(MID(AC64,ROW($1:$20),1)*1))&gt;0,
               "",
               Data!CR49
             )
          ),
          SUBSTITUTE(SUBSTITUTE(SUBSTITUTE(SUBSTITUTE(SUBSTITUTE(SUBSTITUTE(SUBSTITUTE(SUBSTITUTE(SUBSTITUTE(AC64,$BN$59,""),$BN$60,""),$BN$61,""),$BN$62,""),$BN$63,""),"P",""),"I",""),"V",""),"B","") &amp;
          Data!CR49
       ),
       ""
    )
)</f>
        <v/>
      </c>
      <c r="AD114" s="41" t="str" cm="1">
        <f t="array" ref="AD114">IF(AND($Y$57=1,AD64&lt;&gt;""),
    "O"&amp;Data!CS49,
    IF(AD64&lt;&gt;"",
       IF(OR(COUNTIF(AD64,"L*"),COUNTIF(AD64,"X*")),
          SUBSTITUTE(SUBSTITUTE(SUBSTITUTE(SUBSTITUTE(AD64,"P",""),"I",""),"V",""),"B","") &amp;
          IF(
             OR(
               COUNTIF(AD64,"*"&amp;$BN$59&amp;"*"),
               COUNTIF(AD64,"*"&amp;$BN$60&amp;"*"),
               COUNTIF(AD64,"*"&amp;$BN$61&amp;"*"),
               COUNTIF(AD64,"*"&amp;$BN$62&amp;"*"),
               COUNTIF(AD64,"*"&amp;$BN$63&amp;"*")
             ),
             "",
             IF(
               SUMPRODUCT(--ISNUMBER(MID(AD64,ROW($1:$20),1)*1))&gt;0,
               "",
               Data!CS49
             )
          ),
          SUBSTITUTE(SUBSTITUTE(SUBSTITUTE(SUBSTITUTE(SUBSTITUTE(SUBSTITUTE(SUBSTITUTE(SUBSTITUTE(SUBSTITUTE(AD64,$BN$59,""),$BN$60,""),$BN$61,""),$BN$62,""),$BN$63,""),"P",""),"I",""),"V",""),"B","") &amp;
          Data!CS49
       ),
       ""
    )
)</f>
        <v/>
      </c>
      <c r="AE114" s="41" t="str" cm="1">
        <f t="array" ref="AE114">IF(AND($Y$57=1,AE64&lt;&gt;""),
    "O"&amp;Data!CT49,
    IF(AE64&lt;&gt;"",
       IF(OR(COUNTIF(AE64,"L*"),COUNTIF(AE64,"X*")),
          SUBSTITUTE(SUBSTITUTE(SUBSTITUTE(SUBSTITUTE(AE64,"P",""),"I",""),"V",""),"B","") &amp;
          IF(
             OR(
               COUNTIF(AE64,"*"&amp;$BN$59&amp;"*"),
               COUNTIF(AE64,"*"&amp;$BN$60&amp;"*"),
               COUNTIF(AE64,"*"&amp;$BN$61&amp;"*"),
               COUNTIF(AE64,"*"&amp;$BN$62&amp;"*"),
               COUNTIF(AE64,"*"&amp;$BN$63&amp;"*")
             ),
             "",
             IF(
               SUMPRODUCT(--ISNUMBER(MID(AE64,ROW($1:$20),1)*1))&gt;0,
               "",
               Data!CT49
             )
          ),
          SUBSTITUTE(SUBSTITUTE(SUBSTITUTE(SUBSTITUTE(SUBSTITUTE(SUBSTITUTE(SUBSTITUTE(SUBSTITUTE(SUBSTITUTE(AE64,$BN$59,""),$BN$60,""),$BN$61,""),$BN$62,""),$BN$63,""),"P",""),"I",""),"V",""),"B","") &amp;
          Data!CT49
       ),
       ""
    )
)</f>
        <v/>
      </c>
      <c r="AF114" s="41" t="str" cm="1">
        <f t="array" ref="AF114">IF(AND($Y$57=1,AF64&lt;&gt;""),
    "O"&amp;Data!CU49,
    IF(AF64&lt;&gt;"",
       IF(OR(COUNTIF(AF64,"L*"),COUNTIF(AF64,"X*")),
          SUBSTITUTE(SUBSTITUTE(SUBSTITUTE(SUBSTITUTE(AF64,"P",""),"I",""),"V",""),"B","") &amp;
          IF(
             OR(
               COUNTIF(AF64,"*"&amp;$BN$59&amp;"*"),
               COUNTIF(AF64,"*"&amp;$BN$60&amp;"*"),
               COUNTIF(AF64,"*"&amp;$BN$61&amp;"*"),
               COUNTIF(AF64,"*"&amp;$BN$62&amp;"*"),
               COUNTIF(AF64,"*"&amp;$BN$63&amp;"*")
             ),
             "",
             IF(
               SUMPRODUCT(--ISNUMBER(MID(AF64,ROW($1:$20),1)*1))&gt;0,
               "",
               Data!CU49
             )
          ),
          SUBSTITUTE(SUBSTITUTE(SUBSTITUTE(SUBSTITUTE(SUBSTITUTE(SUBSTITUTE(SUBSTITUTE(SUBSTITUTE(SUBSTITUTE(AF64,$BN$59,""),$BN$60,""),$BN$61,""),$BN$62,""),$BN$63,""),"P",""),"I",""),"V",""),"B","") &amp;
          Data!CU49
       ),
       ""
    )
)</f>
        <v/>
      </c>
      <c r="AG114" s="41" t="str" cm="1">
        <f t="array" ref="AG114">IF(AND($Y$57=1,AG64&lt;&gt;""),
    "O"&amp;Data!CV49,
    IF(AG64&lt;&gt;"",
       IF(OR(COUNTIF(AG64,"L*"),COUNTIF(AG64,"X*")),
          SUBSTITUTE(SUBSTITUTE(SUBSTITUTE(SUBSTITUTE(AG64,"P",""),"I",""),"V",""),"B","") &amp;
          IF(
             OR(
               COUNTIF(AG64,"*"&amp;$BN$59&amp;"*"),
               COUNTIF(AG64,"*"&amp;$BN$60&amp;"*"),
               COUNTIF(AG64,"*"&amp;$BN$61&amp;"*"),
               COUNTIF(AG64,"*"&amp;$BN$62&amp;"*"),
               COUNTIF(AG64,"*"&amp;$BN$63&amp;"*")
             ),
             "",
             IF(
               SUMPRODUCT(--ISNUMBER(MID(AG64,ROW($1:$20),1)*1))&gt;0,
               "",
               Data!CV49
             )
          ),
          SUBSTITUTE(SUBSTITUTE(SUBSTITUTE(SUBSTITUTE(SUBSTITUTE(SUBSTITUTE(SUBSTITUTE(SUBSTITUTE(SUBSTITUTE(AG64,$BN$59,""),$BN$60,""),$BN$61,""),$BN$62,""),$BN$63,""),"P",""),"I",""),"V",""),"B","") &amp;
          Data!CV49
       ),
       ""
    )
)</f>
        <v/>
      </c>
      <c r="AH114" s="41" t="str" cm="1">
        <f t="array" ref="AH114">IF(AND($Y$57=1,AH64&lt;&gt;""),
    "O"&amp;Data!CW49,
    IF(AH64&lt;&gt;"",
       IF(OR(COUNTIF(AH64,"L*"),COUNTIF(AH64,"X*")),
          SUBSTITUTE(SUBSTITUTE(SUBSTITUTE(SUBSTITUTE(AH64,"P",""),"I",""),"V",""),"B","") &amp;
          IF(
             OR(
               COUNTIF(AH64,"*"&amp;$BN$59&amp;"*"),
               COUNTIF(AH64,"*"&amp;$BN$60&amp;"*"),
               COUNTIF(AH64,"*"&amp;$BN$61&amp;"*"),
               COUNTIF(AH64,"*"&amp;$BN$62&amp;"*"),
               COUNTIF(AH64,"*"&amp;$BN$63&amp;"*")
             ),
             "",
             IF(
               SUMPRODUCT(--ISNUMBER(MID(AH64,ROW($1:$20),1)*1))&gt;0,
               "",
               Data!CW49
             )
          ),
          SUBSTITUTE(SUBSTITUTE(SUBSTITUTE(SUBSTITUTE(SUBSTITUTE(SUBSTITUTE(SUBSTITUTE(SUBSTITUTE(SUBSTITUTE(AH64,$BN$59,""),$BN$60,""),$BN$61,""),$BN$62,""),$BN$63,""),"P",""),"I",""),"V",""),"B","") &amp;
          Data!CW49
       ),
       ""
    )
)</f>
        <v/>
      </c>
      <c r="AI114" s="41" t="str" cm="1">
        <f t="array" ref="AI114">IF(AND($Y$57=1,AI64&lt;&gt;""),
    "O"&amp;Data!CX49,
    IF(AI64&lt;&gt;"",
       IF(OR(COUNTIF(AI64,"L*"),COUNTIF(AI64,"X*")),
          SUBSTITUTE(SUBSTITUTE(SUBSTITUTE(SUBSTITUTE(AI64,"P",""),"I",""),"V",""),"B","") &amp;
          IF(
             OR(
               COUNTIF(AI64,"*"&amp;$BN$59&amp;"*"),
               COUNTIF(AI64,"*"&amp;$BN$60&amp;"*"),
               COUNTIF(AI64,"*"&amp;$BN$61&amp;"*"),
               COUNTIF(AI64,"*"&amp;$BN$62&amp;"*"),
               COUNTIF(AI64,"*"&amp;$BN$63&amp;"*")
             ),
             "",
             IF(
               SUMPRODUCT(--ISNUMBER(MID(AI64,ROW($1:$20),1)*1))&gt;0,
               "",
               Data!CX49
             )
          ),
          SUBSTITUTE(SUBSTITUTE(SUBSTITUTE(SUBSTITUTE(SUBSTITUTE(SUBSTITUTE(SUBSTITUTE(SUBSTITUTE(SUBSTITUTE(AI64,$BN$59,""),$BN$60,""),$BN$61,""),$BN$62,""),$BN$63,""),"P",""),"I",""),"V",""),"B","") &amp;
          Data!CX49
       ),
       ""
    )
)</f>
        <v/>
      </c>
      <c r="AJ114" s="41" t="str" cm="1">
        <f t="array" ref="AJ114">IF(AND($Y$57=1,AJ64&lt;&gt;""),
    "O"&amp;Data!CY49,
    IF(AJ64&lt;&gt;"",
       IF(OR(COUNTIF(AJ64,"L*"),COUNTIF(AJ64,"X*")),
          SUBSTITUTE(SUBSTITUTE(SUBSTITUTE(SUBSTITUTE(AJ64,"P",""),"I",""),"V",""),"B","") &amp;
          IF(
             OR(
               COUNTIF(AJ64,"*"&amp;$BN$59&amp;"*"),
               COUNTIF(AJ64,"*"&amp;$BN$60&amp;"*"),
               COUNTIF(AJ64,"*"&amp;$BN$61&amp;"*"),
               COUNTIF(AJ64,"*"&amp;$BN$62&amp;"*"),
               COUNTIF(AJ64,"*"&amp;$BN$63&amp;"*")
             ),
             "",
             IF(
               SUMPRODUCT(--ISNUMBER(MID(AJ64,ROW($1:$20),1)*1))&gt;0,
               "",
               Data!CY49
             )
          ),
          SUBSTITUTE(SUBSTITUTE(SUBSTITUTE(SUBSTITUTE(SUBSTITUTE(SUBSTITUTE(SUBSTITUTE(SUBSTITUTE(SUBSTITUTE(AJ64,$BN$59,""),$BN$60,""),$BN$61,""),$BN$62,""),$BN$63,""),"P",""),"I",""),"V",""),"B","") &amp;
          Data!CY49
       ),
       ""
    )
)</f>
        <v/>
      </c>
      <c r="AR114" s="107" t="s">
        <v>844</v>
      </c>
      <c r="AS114" s="33">
        <f>IF(AND(Data!L2&lt;&gt;1,Data!L3&lt;&gt;1,Data!L4&lt;&gt;1),IF(Data!L5&lt;&gt;1,Quotation!Y58,500),550)</f>
        <v>20139</v>
      </c>
      <c r="AT114" s="114"/>
    </row>
    <row r="115" spans="1:54" ht="23.25" customHeight="1" x14ac:dyDescent="0.35">
      <c r="A115" s="1196"/>
      <c r="B115" s="22">
        <v>5</v>
      </c>
      <c r="C115" s="41" t="str" cm="1">
        <f t="array" ref="C115">IF(AND($Y$57=1,C65&lt;&gt;""),
    "O"&amp;Data!BR50,
    IF(C65&lt;&gt;"",
       IF(OR(COUNTIF(C65,"L*"),COUNTIF(C65,"X*")),
          SUBSTITUTE(SUBSTITUTE(SUBSTITUTE(SUBSTITUTE(C65,"P",""),"I",""),"V",""),"B","") &amp;
          IF(
             OR(
               COUNTIF(C65,"*"&amp;$BN$59&amp;"*"),
               COUNTIF(C65,"*"&amp;$BN$60&amp;"*"),
               COUNTIF(C65,"*"&amp;$BN$61&amp;"*"),
               COUNTIF(C65,"*"&amp;$BN$62&amp;"*"),
               COUNTIF(C65,"*"&amp;$BN$63&amp;"*")
             ),
             "",
             IF(
               SUMPRODUCT(--ISNUMBER(MID(C65,ROW($1:$20),1)*1))&gt;0,
               "",
               Data!BR50
             )
          ),
          SUBSTITUTE(SUBSTITUTE(SUBSTITUTE(SUBSTITUTE(SUBSTITUTE(SUBSTITUTE(SUBSTITUTE(SUBSTITUTE(SUBSTITUTE(C65,$BN$59,""),$BN$60,""),$BN$61,""),$BN$62,""),$BN$63,""),"P",""),"I",""),"V",""),"B","") &amp;
          Data!BR50
       ),
       ""
    )
)</f>
        <v/>
      </c>
      <c r="D115" s="41" t="str" cm="1">
        <f t="array" ref="D115">IF(AND($Y$57=1,D65&lt;&gt;""),
    "O"&amp;Data!BS50,
    IF(D65&lt;&gt;"",
       IF(OR(COUNTIF(D65,"L*"),COUNTIF(D65,"X*")),
          SUBSTITUTE(SUBSTITUTE(SUBSTITUTE(SUBSTITUTE(D65,"P",""),"I",""),"V",""),"B","") &amp;
          IF(
             OR(
               COUNTIF(D65,"*"&amp;$BN$59&amp;"*"),
               COUNTIF(D65,"*"&amp;$BN$60&amp;"*"),
               COUNTIF(D65,"*"&amp;$BN$61&amp;"*"),
               COUNTIF(D65,"*"&amp;$BN$62&amp;"*"),
               COUNTIF(D65,"*"&amp;$BN$63&amp;"*")
             ),
             "",
             IF(
               SUMPRODUCT(--ISNUMBER(MID(D65,ROW($1:$20),1)*1))&gt;0,
               "",
               Data!BS50
             )
          ),
          SUBSTITUTE(SUBSTITUTE(SUBSTITUTE(SUBSTITUTE(SUBSTITUTE(SUBSTITUTE(SUBSTITUTE(SUBSTITUTE(SUBSTITUTE(D65,$BN$59,""),$BN$60,""),$BN$61,""),$BN$62,""),$BN$63,""),"P",""),"I",""),"V",""),"B","") &amp;
          Data!BS50
       ),
       ""
    )
)</f>
        <v/>
      </c>
      <c r="E115" s="41" t="str" cm="1">
        <f t="array" ref="E115">IF(AND($Y$57=1,E65&lt;&gt;""),
    "O"&amp;Data!BT50,
    IF(E65&lt;&gt;"",
       IF(OR(COUNTIF(E65,"L*"),COUNTIF(E65,"X*")),
          SUBSTITUTE(SUBSTITUTE(SUBSTITUTE(SUBSTITUTE(E65,"P",""),"I",""),"V",""),"B","") &amp;
          IF(
             OR(
               COUNTIF(E65,"*"&amp;$BN$59&amp;"*"),
               COUNTIF(E65,"*"&amp;$BN$60&amp;"*"),
               COUNTIF(E65,"*"&amp;$BN$61&amp;"*"),
               COUNTIF(E65,"*"&amp;$BN$62&amp;"*"),
               COUNTIF(E65,"*"&amp;$BN$63&amp;"*")
             ),
             "",
             IF(
               SUMPRODUCT(--ISNUMBER(MID(E65,ROW($1:$20),1)*1))&gt;0,
               "",
               Data!BT50
             )
          ),
          SUBSTITUTE(SUBSTITUTE(SUBSTITUTE(SUBSTITUTE(SUBSTITUTE(SUBSTITUTE(SUBSTITUTE(SUBSTITUTE(SUBSTITUTE(E65,$BN$59,""),$BN$60,""),$BN$61,""),$BN$62,""),$BN$63,""),"P",""),"I",""),"V",""),"B","") &amp;
          Data!BT50
       ),
       ""
    )
)</f>
        <v/>
      </c>
      <c r="F115" s="41" t="str" cm="1">
        <f t="array" ref="F115">IF(AND($Y$57=1,F65&lt;&gt;""),
    "O"&amp;Data!BU50,
    IF(F65&lt;&gt;"",
       IF(OR(COUNTIF(F65,"L*"),COUNTIF(F65,"X*")),
          SUBSTITUTE(SUBSTITUTE(SUBSTITUTE(SUBSTITUTE(F65,"P",""),"I",""),"V",""),"B","") &amp;
          IF(
             OR(
               COUNTIF(F65,"*"&amp;$BN$59&amp;"*"),
               COUNTIF(F65,"*"&amp;$BN$60&amp;"*"),
               COUNTIF(F65,"*"&amp;$BN$61&amp;"*"),
               COUNTIF(F65,"*"&amp;$BN$62&amp;"*"),
               COUNTIF(F65,"*"&amp;$BN$63&amp;"*")
             ),
             "",
             IF(
               SUMPRODUCT(--ISNUMBER(MID(F65,ROW($1:$20),1)*1))&gt;0,
               "",
               Data!BU50
             )
          ),
          SUBSTITUTE(SUBSTITUTE(SUBSTITUTE(SUBSTITUTE(SUBSTITUTE(SUBSTITUTE(SUBSTITUTE(SUBSTITUTE(SUBSTITUTE(F65,$BN$59,""),$BN$60,""),$BN$61,""),$BN$62,""),$BN$63,""),"P",""),"I",""),"V",""),"B","") &amp;
          Data!BU50
       ),
       ""
    )
)</f>
        <v/>
      </c>
      <c r="G115" s="41" t="str" cm="1">
        <f t="array" ref="G115">IF(AND($Y$57=1,G65&lt;&gt;""),
    "O"&amp;Data!BV50,
    IF(G65&lt;&gt;"",
       IF(OR(COUNTIF(G65,"L*"),COUNTIF(G65,"X*")),
          SUBSTITUTE(SUBSTITUTE(SUBSTITUTE(SUBSTITUTE(G65,"P",""),"I",""),"V",""),"B","") &amp;
          IF(
             OR(
               COUNTIF(G65,"*"&amp;$BN$59&amp;"*"),
               COUNTIF(G65,"*"&amp;$BN$60&amp;"*"),
               COUNTIF(G65,"*"&amp;$BN$61&amp;"*"),
               COUNTIF(G65,"*"&amp;$BN$62&amp;"*"),
               COUNTIF(G65,"*"&amp;$BN$63&amp;"*")
             ),
             "",
             IF(
               SUMPRODUCT(--ISNUMBER(MID(G65,ROW($1:$20),1)*1))&gt;0,
               "",
               Data!BV50
             )
          ),
          SUBSTITUTE(SUBSTITUTE(SUBSTITUTE(SUBSTITUTE(SUBSTITUTE(SUBSTITUTE(SUBSTITUTE(SUBSTITUTE(SUBSTITUTE(G65,$BN$59,""),$BN$60,""),$BN$61,""),$BN$62,""),$BN$63,""),"P",""),"I",""),"V",""),"B","") &amp;
          Data!BV50
       ),
       ""
    )
)</f>
        <v/>
      </c>
      <c r="H115" s="41" t="str" cm="1">
        <f t="array" ref="H115">IF(AND($Y$57=1,H65&lt;&gt;""),
    "O"&amp;Data!BW50,
    IF(H65&lt;&gt;"",
       IF(OR(COUNTIF(H65,"L*"),COUNTIF(H65,"X*")),
          SUBSTITUTE(SUBSTITUTE(SUBSTITUTE(SUBSTITUTE(H65,"P",""),"I",""),"V",""),"B","") &amp;
          IF(
             OR(
               COUNTIF(H65,"*"&amp;$BN$59&amp;"*"),
               COUNTIF(H65,"*"&amp;$BN$60&amp;"*"),
               COUNTIF(H65,"*"&amp;$BN$61&amp;"*"),
               COUNTIF(H65,"*"&amp;$BN$62&amp;"*"),
               COUNTIF(H65,"*"&amp;$BN$63&amp;"*")
             ),
             "",
             IF(
               SUMPRODUCT(--ISNUMBER(MID(H65,ROW($1:$20),1)*1))&gt;0,
               "",
               Data!BW50
             )
          ),
          SUBSTITUTE(SUBSTITUTE(SUBSTITUTE(SUBSTITUTE(SUBSTITUTE(SUBSTITUTE(SUBSTITUTE(SUBSTITUTE(SUBSTITUTE(H65,$BN$59,""),$BN$60,""),$BN$61,""),$BN$62,""),$BN$63,""),"P",""),"I",""),"V",""),"B","") &amp;
          Data!BW50
       ),
       ""
    )
)</f>
        <v/>
      </c>
      <c r="I115" s="41" t="str" cm="1">
        <f t="array" ref="I115">IF(AND($Y$57=1,I65&lt;&gt;""),
    "O"&amp;Data!BX50,
    IF(I65&lt;&gt;"",
       IF(OR(COUNTIF(I65,"L*"),COUNTIF(I65,"X*")),
          SUBSTITUTE(SUBSTITUTE(SUBSTITUTE(SUBSTITUTE(I65,"P",""),"I",""),"V",""),"B","") &amp;
          IF(
             OR(
               COUNTIF(I65,"*"&amp;$BN$59&amp;"*"),
               COUNTIF(I65,"*"&amp;$BN$60&amp;"*"),
               COUNTIF(I65,"*"&amp;$BN$61&amp;"*"),
               COUNTIF(I65,"*"&amp;$BN$62&amp;"*"),
               COUNTIF(I65,"*"&amp;$BN$63&amp;"*")
             ),
             "",
             IF(
               SUMPRODUCT(--ISNUMBER(MID(I65,ROW($1:$20),1)*1))&gt;0,
               "",
               Data!BX50
             )
          ),
          SUBSTITUTE(SUBSTITUTE(SUBSTITUTE(SUBSTITUTE(SUBSTITUTE(SUBSTITUTE(SUBSTITUTE(SUBSTITUTE(SUBSTITUTE(I65,$BN$59,""),$BN$60,""),$BN$61,""),$BN$62,""),$BN$63,""),"P",""),"I",""),"V",""),"B","") &amp;
          Data!BX50
       ),
       ""
    )
)</f>
        <v/>
      </c>
      <c r="J115" s="41" t="str" cm="1">
        <f t="array" ref="J115">IF(AND($Y$57=1,J65&lt;&gt;""),
    "O"&amp;Data!BY50,
    IF(J65&lt;&gt;"",
       IF(OR(COUNTIF(J65,"L*"),COUNTIF(J65,"X*")),
          SUBSTITUTE(SUBSTITUTE(SUBSTITUTE(SUBSTITUTE(J65,"P",""),"I",""),"V",""),"B","") &amp;
          IF(
             OR(
               COUNTIF(J65,"*"&amp;$BN$59&amp;"*"),
               COUNTIF(J65,"*"&amp;$BN$60&amp;"*"),
               COUNTIF(J65,"*"&amp;$BN$61&amp;"*"),
               COUNTIF(J65,"*"&amp;$BN$62&amp;"*"),
               COUNTIF(J65,"*"&amp;$BN$63&amp;"*")
             ),
             "",
             IF(
               SUMPRODUCT(--ISNUMBER(MID(J65,ROW($1:$20),1)*1))&gt;0,
               "",
               Data!BY50
             )
          ),
          SUBSTITUTE(SUBSTITUTE(SUBSTITUTE(SUBSTITUTE(SUBSTITUTE(SUBSTITUTE(SUBSTITUTE(SUBSTITUTE(SUBSTITUTE(J65,$BN$59,""),$BN$60,""),$BN$61,""),$BN$62,""),$BN$63,""),"P",""),"I",""),"V",""),"B","") &amp;
          Data!BY50
       ),
       ""
    )
)</f>
        <v/>
      </c>
      <c r="K115" s="41" t="str" cm="1">
        <f t="array" ref="K115">IF(AND($Y$57=1,K65&lt;&gt;""),
    "O"&amp;Data!BZ50,
    IF(K65&lt;&gt;"",
       IF(OR(COUNTIF(K65,"L*"),COUNTIF(K65,"X*")),
          SUBSTITUTE(SUBSTITUTE(SUBSTITUTE(SUBSTITUTE(K65,"P",""),"I",""),"V",""),"B","") &amp;
          IF(
             OR(
               COUNTIF(K65,"*"&amp;$BN$59&amp;"*"),
               COUNTIF(K65,"*"&amp;$BN$60&amp;"*"),
               COUNTIF(K65,"*"&amp;$BN$61&amp;"*"),
               COUNTIF(K65,"*"&amp;$BN$62&amp;"*"),
               COUNTIF(K65,"*"&amp;$BN$63&amp;"*")
             ),
             "",
             IF(
               SUMPRODUCT(--ISNUMBER(MID(K65,ROW($1:$20),1)*1))&gt;0,
               "",
               Data!BZ50
             )
          ),
          SUBSTITUTE(SUBSTITUTE(SUBSTITUTE(SUBSTITUTE(SUBSTITUTE(SUBSTITUTE(SUBSTITUTE(SUBSTITUTE(SUBSTITUTE(K65,$BN$59,""),$BN$60,""),$BN$61,""),$BN$62,""),$BN$63,""),"P",""),"I",""),"V",""),"B","") &amp;
          Data!BZ50
       ),
       ""
    )
)</f>
        <v/>
      </c>
      <c r="L115" s="41" t="str" cm="1">
        <f t="array" ref="L115">IF(AND($Y$57=1,L65&lt;&gt;""),
    "O"&amp;Data!CA50,
    IF(L65&lt;&gt;"",
       IF(OR(COUNTIF(L65,"L*"),COUNTIF(L65,"X*")),
          SUBSTITUTE(SUBSTITUTE(SUBSTITUTE(SUBSTITUTE(L65,"P",""),"I",""),"V",""),"B","") &amp;
          IF(
             OR(
               COUNTIF(L65,"*"&amp;$BN$59&amp;"*"),
               COUNTIF(L65,"*"&amp;$BN$60&amp;"*"),
               COUNTIF(L65,"*"&amp;$BN$61&amp;"*"),
               COUNTIF(L65,"*"&amp;$BN$62&amp;"*"),
               COUNTIF(L65,"*"&amp;$BN$63&amp;"*")
             ),
             "",
             IF(
               SUMPRODUCT(--ISNUMBER(MID(L65,ROW($1:$20),1)*1))&gt;0,
               "",
               Data!CA50
             )
          ),
          SUBSTITUTE(SUBSTITUTE(SUBSTITUTE(SUBSTITUTE(SUBSTITUTE(SUBSTITUTE(SUBSTITUTE(SUBSTITUTE(SUBSTITUTE(L65,$BN$59,""),$BN$60,""),$BN$61,""),$BN$62,""),$BN$63,""),"P",""),"I",""),"V",""),"B","") &amp;
          Data!CA50
       ),
       ""
    )
)</f>
        <v/>
      </c>
      <c r="M115" s="41" t="str" cm="1">
        <f t="array" ref="M115">IF(AND($Y$57=1,M65&lt;&gt;""),
    "O"&amp;Data!CB50,
    IF(M65&lt;&gt;"",
       IF(OR(COUNTIF(M65,"L*"),COUNTIF(M65,"X*")),
          SUBSTITUTE(SUBSTITUTE(SUBSTITUTE(SUBSTITUTE(M65,"P",""),"I",""),"V",""),"B","") &amp;
          IF(
             OR(
               COUNTIF(M65,"*"&amp;$BN$59&amp;"*"),
               COUNTIF(M65,"*"&amp;$BN$60&amp;"*"),
               COUNTIF(M65,"*"&amp;$BN$61&amp;"*"),
               COUNTIF(M65,"*"&amp;$BN$62&amp;"*"),
               COUNTIF(M65,"*"&amp;$BN$63&amp;"*")
             ),
             "",
             IF(
               SUMPRODUCT(--ISNUMBER(MID(M65,ROW($1:$20),1)*1))&gt;0,
               "",
               Data!CB50
             )
          ),
          SUBSTITUTE(SUBSTITUTE(SUBSTITUTE(SUBSTITUTE(SUBSTITUTE(SUBSTITUTE(SUBSTITUTE(SUBSTITUTE(SUBSTITUTE(M65,$BN$59,""),$BN$60,""),$BN$61,""),$BN$62,""),$BN$63,""),"P",""),"I",""),"V",""),"B","") &amp;
          Data!CB50
       ),
       ""
    )
)</f>
        <v/>
      </c>
      <c r="N115" s="41" t="str" cm="1">
        <f t="array" ref="N115">IF(AND($Y$57=1,N65&lt;&gt;""),
    "O"&amp;Data!CC50,
    IF(N65&lt;&gt;"",
       IF(OR(COUNTIF(N65,"L*"),COUNTIF(N65,"X*")),
          SUBSTITUTE(SUBSTITUTE(SUBSTITUTE(SUBSTITUTE(N65,"P",""),"I",""),"V",""),"B","") &amp;
          IF(
             OR(
               COUNTIF(N65,"*"&amp;$BN$59&amp;"*"),
               COUNTIF(N65,"*"&amp;$BN$60&amp;"*"),
               COUNTIF(N65,"*"&amp;$BN$61&amp;"*"),
               COUNTIF(N65,"*"&amp;$BN$62&amp;"*"),
               COUNTIF(N65,"*"&amp;$BN$63&amp;"*")
             ),
             "",
             IF(
               SUMPRODUCT(--ISNUMBER(MID(N65,ROW($1:$20),1)*1))&gt;0,
               "",
               Data!CC50
             )
          ),
          SUBSTITUTE(SUBSTITUTE(SUBSTITUTE(SUBSTITUTE(SUBSTITUTE(SUBSTITUTE(SUBSTITUTE(SUBSTITUTE(SUBSTITUTE(N65,$BN$59,""),$BN$60,""),$BN$61,""),$BN$62,""),$BN$63,""),"P",""),"I",""),"V",""),"B","") &amp;
          Data!CC50
       ),
       ""
    )
)</f>
        <v/>
      </c>
      <c r="O115" s="41" t="str" cm="1">
        <f t="array" ref="O115">IF(AND($Y$57=1,O65&lt;&gt;""),
    "O"&amp;Data!CD50,
    IF(O65&lt;&gt;"",
       IF(OR(COUNTIF(O65,"L*"),COUNTIF(O65,"X*")),
          SUBSTITUTE(SUBSTITUTE(SUBSTITUTE(SUBSTITUTE(O65,"P",""),"I",""),"V",""),"B","") &amp;
          IF(
             OR(
               COUNTIF(O65,"*"&amp;$BN$59&amp;"*"),
               COUNTIF(O65,"*"&amp;$BN$60&amp;"*"),
               COUNTIF(O65,"*"&amp;$BN$61&amp;"*"),
               COUNTIF(O65,"*"&amp;$BN$62&amp;"*"),
               COUNTIF(O65,"*"&amp;$BN$63&amp;"*")
             ),
             "",
             IF(
               SUMPRODUCT(--ISNUMBER(MID(O65,ROW($1:$20),1)*1))&gt;0,
               "",
               Data!CD50
             )
          ),
          SUBSTITUTE(SUBSTITUTE(SUBSTITUTE(SUBSTITUTE(SUBSTITUTE(SUBSTITUTE(SUBSTITUTE(SUBSTITUTE(SUBSTITUTE(O65,$BN$59,""),$BN$60,""),$BN$61,""),$BN$62,""),$BN$63,""),"P",""),"I",""),"V",""),"B","") &amp;
          Data!CD50
       ),
       ""
    )
)</f>
        <v/>
      </c>
      <c r="P115" s="41" t="str" cm="1">
        <f t="array" ref="P115">IF(AND($Y$57=1,P65&lt;&gt;""),
    "O"&amp;Data!CE50,
    IF(P65&lt;&gt;"",
       IF(OR(COUNTIF(P65,"L*"),COUNTIF(P65,"X*")),
          SUBSTITUTE(SUBSTITUTE(SUBSTITUTE(SUBSTITUTE(P65,"P",""),"I",""),"V",""),"B","") &amp;
          IF(
             OR(
               COUNTIF(P65,"*"&amp;$BN$59&amp;"*"),
               COUNTIF(P65,"*"&amp;$BN$60&amp;"*"),
               COUNTIF(P65,"*"&amp;$BN$61&amp;"*"),
               COUNTIF(P65,"*"&amp;$BN$62&amp;"*"),
               COUNTIF(P65,"*"&amp;$BN$63&amp;"*")
             ),
             "",
             IF(
               SUMPRODUCT(--ISNUMBER(MID(P65,ROW($1:$20),1)*1))&gt;0,
               "",
               Data!CE50
             )
          ),
          SUBSTITUTE(SUBSTITUTE(SUBSTITUTE(SUBSTITUTE(SUBSTITUTE(SUBSTITUTE(SUBSTITUTE(SUBSTITUTE(SUBSTITUTE(P65,$BN$59,""),$BN$60,""),$BN$61,""),$BN$62,""),$BN$63,""),"P",""),"I",""),"V",""),"B","") &amp;
          Data!CE50
       ),
       ""
    )
)</f>
        <v/>
      </c>
      <c r="Q115" s="41" t="str" cm="1">
        <f t="array" ref="Q115">IF(AND($Y$57=1,Q65&lt;&gt;""),
    "O"&amp;Data!CF50,
    IF(Q65&lt;&gt;"",
       IF(OR(COUNTIF(Q65,"L*"),COUNTIF(Q65,"X*")),
          SUBSTITUTE(SUBSTITUTE(SUBSTITUTE(SUBSTITUTE(Q65,"P",""),"I",""),"V",""),"B","") &amp;
          IF(
             OR(
               COUNTIF(Q65,"*"&amp;$BN$59&amp;"*"),
               COUNTIF(Q65,"*"&amp;$BN$60&amp;"*"),
               COUNTIF(Q65,"*"&amp;$BN$61&amp;"*"),
               COUNTIF(Q65,"*"&amp;$BN$62&amp;"*"),
               COUNTIF(Q65,"*"&amp;$BN$63&amp;"*")
             ),
             "",
             IF(
               SUMPRODUCT(--ISNUMBER(MID(Q65,ROW($1:$20),1)*1))&gt;0,
               "",
               Data!CF50
             )
          ),
          SUBSTITUTE(SUBSTITUTE(SUBSTITUTE(SUBSTITUTE(SUBSTITUTE(SUBSTITUTE(SUBSTITUTE(SUBSTITUTE(SUBSTITUTE(Q65,$BN$59,""),$BN$60,""),$BN$61,""),$BN$62,""),$BN$63,""),"P",""),"I",""),"V",""),"B","") &amp;
          Data!CF50
       ),
       ""
    )
)</f>
        <v/>
      </c>
      <c r="R115" s="41" t="str" cm="1">
        <f t="array" ref="R115">IF(AND($Y$57=1,R65&lt;&gt;""),
    "O"&amp;Data!CG50,
    IF(R65&lt;&gt;"",
       IF(OR(COUNTIF(R65,"L*"),COUNTIF(R65,"X*")),
          SUBSTITUTE(SUBSTITUTE(SUBSTITUTE(SUBSTITUTE(R65,"P",""),"I",""),"V",""),"B","") &amp;
          IF(
             OR(
               COUNTIF(R65,"*"&amp;$BN$59&amp;"*"),
               COUNTIF(R65,"*"&amp;$BN$60&amp;"*"),
               COUNTIF(R65,"*"&amp;$BN$61&amp;"*"),
               COUNTIF(R65,"*"&amp;$BN$62&amp;"*"),
               COUNTIF(R65,"*"&amp;$BN$63&amp;"*")
             ),
             "",
             IF(
               SUMPRODUCT(--ISNUMBER(MID(R65,ROW($1:$20),1)*1))&gt;0,
               "",
               Data!CG50
             )
          ),
          SUBSTITUTE(SUBSTITUTE(SUBSTITUTE(SUBSTITUTE(SUBSTITUTE(SUBSTITUTE(SUBSTITUTE(SUBSTITUTE(SUBSTITUTE(R65,$BN$59,""),$BN$60,""),$BN$61,""),$BN$62,""),$BN$63,""),"P",""),"I",""),"V",""),"B","") &amp;
          Data!CG50
       ),
       ""
    )
)</f>
        <v/>
      </c>
      <c r="S115" s="41" t="str" cm="1">
        <f t="array" ref="S115">IF(AND($Y$57=1,S65&lt;&gt;""),
    "O"&amp;Data!CH50,
    IF(S65&lt;&gt;"",
       IF(OR(COUNTIF(S65,"L*"),COUNTIF(S65,"X*")),
          SUBSTITUTE(SUBSTITUTE(SUBSTITUTE(SUBSTITUTE(S65,"P",""),"I",""),"V",""),"B","") &amp;
          IF(
             OR(
               COUNTIF(S65,"*"&amp;$BN$59&amp;"*"),
               COUNTIF(S65,"*"&amp;$BN$60&amp;"*"),
               COUNTIF(S65,"*"&amp;$BN$61&amp;"*"),
               COUNTIF(S65,"*"&amp;$BN$62&amp;"*"),
               COUNTIF(S65,"*"&amp;$BN$63&amp;"*")
             ),
             "",
             IF(
               SUMPRODUCT(--ISNUMBER(MID(S65,ROW($1:$20),1)*1))&gt;0,
               "",
               Data!CH50
             )
          ),
          SUBSTITUTE(SUBSTITUTE(SUBSTITUTE(SUBSTITUTE(SUBSTITUTE(SUBSTITUTE(SUBSTITUTE(SUBSTITUTE(SUBSTITUTE(S65,$BN$59,""),$BN$60,""),$BN$61,""),$BN$62,""),$BN$63,""),"P",""),"I",""),"V",""),"B","") &amp;
          Data!CH50
       ),
       ""
    )
)</f>
        <v/>
      </c>
      <c r="T115" s="41" t="str" cm="1">
        <f t="array" ref="T115">IF(AND($Y$57=1,T65&lt;&gt;""),
    "O"&amp;Data!CI50,
    IF(T65&lt;&gt;"",
       IF(OR(COUNTIF(T65,"L*"),COUNTIF(T65,"X*")),
          SUBSTITUTE(SUBSTITUTE(SUBSTITUTE(SUBSTITUTE(T65,"P",""),"I",""),"V",""),"B","") &amp;
          IF(
             OR(
               COUNTIF(T65,"*"&amp;$BN$59&amp;"*"),
               COUNTIF(T65,"*"&amp;$BN$60&amp;"*"),
               COUNTIF(T65,"*"&amp;$BN$61&amp;"*"),
               COUNTIF(T65,"*"&amp;$BN$62&amp;"*"),
               COUNTIF(T65,"*"&amp;$BN$63&amp;"*")
             ),
             "",
             IF(
               SUMPRODUCT(--ISNUMBER(MID(T65,ROW($1:$20),1)*1))&gt;0,
               "",
               Data!CI50
             )
          ),
          SUBSTITUTE(SUBSTITUTE(SUBSTITUTE(SUBSTITUTE(SUBSTITUTE(SUBSTITUTE(SUBSTITUTE(SUBSTITUTE(SUBSTITUTE(T65,$BN$59,""),$BN$60,""),$BN$61,""),$BN$62,""),$BN$63,""),"P",""),"I",""),"V",""),"B","") &amp;
          Data!CI50
       ),
       ""
    )
)</f>
        <v/>
      </c>
      <c r="U115" s="41" t="str" cm="1">
        <f t="array" ref="U115">IF(AND($Y$57=1,U65&lt;&gt;""),
    "O"&amp;Data!CJ50,
    IF(U65&lt;&gt;"",
       IF(OR(COUNTIF(U65,"L*"),COUNTIF(U65,"X*")),
          SUBSTITUTE(SUBSTITUTE(SUBSTITUTE(SUBSTITUTE(U65,"P",""),"I",""),"V",""),"B","") &amp;
          IF(
             OR(
               COUNTIF(U65,"*"&amp;$BN$59&amp;"*"),
               COUNTIF(U65,"*"&amp;$BN$60&amp;"*"),
               COUNTIF(U65,"*"&amp;$BN$61&amp;"*"),
               COUNTIF(U65,"*"&amp;$BN$62&amp;"*"),
               COUNTIF(U65,"*"&amp;$BN$63&amp;"*")
             ),
             "",
             IF(
               SUMPRODUCT(--ISNUMBER(MID(U65,ROW($1:$20),1)*1))&gt;0,
               "",
               Data!CJ50
             )
          ),
          SUBSTITUTE(SUBSTITUTE(SUBSTITUTE(SUBSTITUTE(SUBSTITUTE(SUBSTITUTE(SUBSTITUTE(SUBSTITUTE(SUBSTITUTE(U65,$BN$59,""),$BN$60,""),$BN$61,""),$BN$62,""),$BN$63,""),"P",""),"I",""),"V",""),"B","") &amp;
          Data!CJ50
       ),
       ""
    )
)</f>
        <v/>
      </c>
      <c r="V115" s="41" t="str" cm="1">
        <f t="array" ref="V115">IF(AND($Y$57=1,V65&lt;&gt;""),
    "O"&amp;Data!CK50,
    IF(V65&lt;&gt;"",
       IF(OR(COUNTIF(V65,"L*"),COUNTIF(V65,"X*")),
          SUBSTITUTE(SUBSTITUTE(SUBSTITUTE(SUBSTITUTE(V65,"P",""),"I",""),"V",""),"B","") &amp;
          IF(
             OR(
               COUNTIF(V65,"*"&amp;$BN$59&amp;"*"),
               COUNTIF(V65,"*"&amp;$BN$60&amp;"*"),
               COUNTIF(V65,"*"&amp;$BN$61&amp;"*"),
               COUNTIF(V65,"*"&amp;$BN$62&amp;"*"),
               COUNTIF(V65,"*"&amp;$BN$63&amp;"*")
             ),
             "",
             IF(
               SUMPRODUCT(--ISNUMBER(MID(V65,ROW($1:$20),1)*1))&gt;0,
               "",
               Data!CK50
             )
          ),
          SUBSTITUTE(SUBSTITUTE(SUBSTITUTE(SUBSTITUTE(SUBSTITUTE(SUBSTITUTE(SUBSTITUTE(SUBSTITUTE(SUBSTITUTE(V65,$BN$59,""),$BN$60,""),$BN$61,""),$BN$62,""),$BN$63,""),"P",""),"I",""),"V",""),"B","") &amp;
          Data!CK50
       ),
       ""
    )
)</f>
        <v/>
      </c>
      <c r="W115" s="41" t="str" cm="1">
        <f t="array" ref="W115">IF(AND($Y$57=1,W65&lt;&gt;""),
    "O"&amp;Data!CL50,
    IF(W65&lt;&gt;"",
       IF(OR(COUNTIF(W65,"L*"),COUNTIF(W65,"X*")),
          SUBSTITUTE(SUBSTITUTE(SUBSTITUTE(SUBSTITUTE(W65,"P",""),"I",""),"V",""),"B","") &amp;
          IF(
             OR(
               COUNTIF(W65,"*"&amp;$BN$59&amp;"*"),
               COUNTIF(W65,"*"&amp;$BN$60&amp;"*"),
               COUNTIF(W65,"*"&amp;$BN$61&amp;"*"),
               COUNTIF(W65,"*"&amp;$BN$62&amp;"*"),
               COUNTIF(W65,"*"&amp;$BN$63&amp;"*")
             ),
             "",
             IF(
               SUMPRODUCT(--ISNUMBER(MID(W65,ROW($1:$20),1)*1))&gt;0,
               "",
               Data!CL50
             )
          ),
          SUBSTITUTE(SUBSTITUTE(SUBSTITUTE(SUBSTITUTE(SUBSTITUTE(SUBSTITUTE(SUBSTITUTE(SUBSTITUTE(SUBSTITUTE(W65,$BN$59,""),$BN$60,""),$BN$61,""),$BN$62,""),$BN$63,""),"P",""),"I",""),"V",""),"B","") &amp;
          Data!CL50
       ),
       ""
    )
)</f>
        <v/>
      </c>
      <c r="X115" s="41" t="str" cm="1">
        <f t="array" ref="X115">IF(AND($Y$57=1,X65&lt;&gt;""),
    "O"&amp;Data!CM50,
    IF(X65&lt;&gt;"",
       IF(OR(COUNTIF(X65,"L*"),COUNTIF(X65,"X*")),
          SUBSTITUTE(SUBSTITUTE(SUBSTITUTE(SUBSTITUTE(X65,"P",""),"I",""),"V",""),"B","") &amp;
          IF(
             OR(
               COUNTIF(X65,"*"&amp;$BN$59&amp;"*"),
               COUNTIF(X65,"*"&amp;$BN$60&amp;"*"),
               COUNTIF(X65,"*"&amp;$BN$61&amp;"*"),
               COUNTIF(X65,"*"&amp;$BN$62&amp;"*"),
               COUNTIF(X65,"*"&amp;$BN$63&amp;"*")
             ),
             "",
             IF(
               SUMPRODUCT(--ISNUMBER(MID(X65,ROW($1:$20),1)*1))&gt;0,
               "",
               Data!CM50
             )
          ),
          SUBSTITUTE(SUBSTITUTE(SUBSTITUTE(SUBSTITUTE(SUBSTITUTE(SUBSTITUTE(SUBSTITUTE(SUBSTITUTE(SUBSTITUTE(X65,$BN$59,""),$BN$60,""),$BN$61,""),$BN$62,""),$BN$63,""),"P",""),"I",""),"V",""),"B","") &amp;
          Data!CM50
       ),
       ""
    )
)</f>
        <v/>
      </c>
      <c r="Y115" s="41" t="str" cm="1">
        <f t="array" ref="Y115">IF(AND($Y$57=1,Y65&lt;&gt;""),
    "O"&amp;Data!CN50,
    IF(Y65&lt;&gt;"",
       IF(OR(COUNTIF(Y65,"L*"),COUNTIF(Y65,"X*")),
          SUBSTITUTE(SUBSTITUTE(SUBSTITUTE(SUBSTITUTE(Y65,"P",""),"I",""),"V",""),"B","") &amp;
          IF(
             OR(
               COUNTIF(Y65,"*"&amp;$BN$59&amp;"*"),
               COUNTIF(Y65,"*"&amp;$BN$60&amp;"*"),
               COUNTIF(Y65,"*"&amp;$BN$61&amp;"*"),
               COUNTIF(Y65,"*"&amp;$BN$62&amp;"*"),
               COUNTIF(Y65,"*"&amp;$BN$63&amp;"*")
             ),
             "",
             IF(
               SUMPRODUCT(--ISNUMBER(MID(Y65,ROW($1:$20),1)*1))&gt;0,
               "",
               Data!CN50
             )
          ),
          SUBSTITUTE(SUBSTITUTE(SUBSTITUTE(SUBSTITUTE(SUBSTITUTE(SUBSTITUTE(SUBSTITUTE(SUBSTITUTE(SUBSTITUTE(Y65,$BN$59,""),$BN$60,""),$BN$61,""),$BN$62,""),$BN$63,""),"P",""),"I",""),"V",""),"B","") &amp;
          Data!CN50
       ),
       ""
    )
)</f>
        <v/>
      </c>
      <c r="Z115" s="41" t="str" cm="1">
        <f t="array" ref="Z115">IF(AND($Y$57=1,Z65&lt;&gt;""),
    "O"&amp;Data!CO50,
    IF(Z65&lt;&gt;"",
       IF(OR(COUNTIF(Z65,"L*"),COUNTIF(Z65,"X*")),
          SUBSTITUTE(SUBSTITUTE(SUBSTITUTE(SUBSTITUTE(Z65,"P",""),"I",""),"V",""),"B","") &amp;
          IF(
             OR(
               COUNTIF(Z65,"*"&amp;$BN$59&amp;"*"),
               COUNTIF(Z65,"*"&amp;$BN$60&amp;"*"),
               COUNTIF(Z65,"*"&amp;$BN$61&amp;"*"),
               COUNTIF(Z65,"*"&amp;$BN$62&amp;"*"),
               COUNTIF(Z65,"*"&amp;$BN$63&amp;"*")
             ),
             "",
             IF(
               SUMPRODUCT(--ISNUMBER(MID(Z65,ROW($1:$20),1)*1))&gt;0,
               "",
               Data!CO50
             )
          ),
          SUBSTITUTE(SUBSTITUTE(SUBSTITUTE(SUBSTITUTE(SUBSTITUTE(SUBSTITUTE(SUBSTITUTE(SUBSTITUTE(SUBSTITUTE(Z65,$BN$59,""),$BN$60,""),$BN$61,""),$BN$62,""),$BN$63,""),"P",""),"I",""),"V",""),"B","") &amp;
          Data!CO50
       ),
       ""
    )
)</f>
        <v/>
      </c>
      <c r="AA115" s="41" t="str" cm="1">
        <f t="array" ref="AA115">IF(AND($Y$57=1,AA65&lt;&gt;""),
    "O"&amp;Data!CP50,
    IF(AA65&lt;&gt;"",
       IF(OR(COUNTIF(AA65,"L*"),COUNTIF(AA65,"X*")),
          SUBSTITUTE(SUBSTITUTE(SUBSTITUTE(SUBSTITUTE(AA65,"P",""),"I",""),"V",""),"B","") &amp;
          IF(
             OR(
               COUNTIF(AA65,"*"&amp;$BN$59&amp;"*"),
               COUNTIF(AA65,"*"&amp;$BN$60&amp;"*"),
               COUNTIF(AA65,"*"&amp;$BN$61&amp;"*"),
               COUNTIF(AA65,"*"&amp;$BN$62&amp;"*"),
               COUNTIF(AA65,"*"&amp;$BN$63&amp;"*")
             ),
             "",
             IF(
               SUMPRODUCT(--ISNUMBER(MID(AA65,ROW($1:$20),1)*1))&gt;0,
               "",
               Data!CP50
             )
          ),
          SUBSTITUTE(SUBSTITUTE(SUBSTITUTE(SUBSTITUTE(SUBSTITUTE(SUBSTITUTE(SUBSTITUTE(SUBSTITUTE(SUBSTITUTE(AA65,$BN$59,""),$BN$60,""),$BN$61,""),$BN$62,""),$BN$63,""),"P",""),"I",""),"V",""),"B","") &amp;
          Data!CP50
       ),
       ""
    )
)</f>
        <v/>
      </c>
      <c r="AB115" s="41" t="str" cm="1">
        <f t="array" ref="AB115">IF(AND($Y$57=1,AB65&lt;&gt;""),
    "O"&amp;Data!CQ50,
    IF(AB65&lt;&gt;"",
       IF(OR(COUNTIF(AB65,"L*"),COUNTIF(AB65,"X*")),
          SUBSTITUTE(SUBSTITUTE(SUBSTITUTE(SUBSTITUTE(AB65,"P",""),"I",""),"V",""),"B","") &amp;
          IF(
             OR(
               COUNTIF(AB65,"*"&amp;$BN$59&amp;"*"),
               COUNTIF(AB65,"*"&amp;$BN$60&amp;"*"),
               COUNTIF(AB65,"*"&amp;$BN$61&amp;"*"),
               COUNTIF(AB65,"*"&amp;$BN$62&amp;"*"),
               COUNTIF(AB65,"*"&amp;$BN$63&amp;"*")
             ),
             "",
             IF(
               SUMPRODUCT(--ISNUMBER(MID(AB65,ROW($1:$20),1)*1))&gt;0,
               "",
               Data!CQ50
             )
          ),
          SUBSTITUTE(SUBSTITUTE(SUBSTITUTE(SUBSTITUTE(SUBSTITUTE(SUBSTITUTE(SUBSTITUTE(SUBSTITUTE(SUBSTITUTE(AB65,$BN$59,""),$BN$60,""),$BN$61,""),$BN$62,""),$BN$63,""),"P",""),"I",""),"V",""),"B","") &amp;
          Data!CQ50
       ),
       ""
    )
)</f>
        <v/>
      </c>
      <c r="AC115" s="41" t="str" cm="1">
        <f t="array" ref="AC115">IF(AND($Y$57=1,AC65&lt;&gt;""),
    "O"&amp;Data!CR50,
    IF(AC65&lt;&gt;"",
       IF(OR(COUNTIF(AC65,"L*"),COUNTIF(AC65,"X*")),
          SUBSTITUTE(SUBSTITUTE(SUBSTITUTE(SUBSTITUTE(AC65,"P",""),"I",""),"V",""),"B","") &amp;
          IF(
             OR(
               COUNTIF(AC65,"*"&amp;$BN$59&amp;"*"),
               COUNTIF(AC65,"*"&amp;$BN$60&amp;"*"),
               COUNTIF(AC65,"*"&amp;$BN$61&amp;"*"),
               COUNTIF(AC65,"*"&amp;$BN$62&amp;"*"),
               COUNTIF(AC65,"*"&amp;$BN$63&amp;"*")
             ),
             "",
             IF(
               SUMPRODUCT(--ISNUMBER(MID(AC65,ROW($1:$20),1)*1))&gt;0,
               "",
               Data!CR50
             )
          ),
          SUBSTITUTE(SUBSTITUTE(SUBSTITUTE(SUBSTITUTE(SUBSTITUTE(SUBSTITUTE(SUBSTITUTE(SUBSTITUTE(SUBSTITUTE(AC65,$BN$59,""),$BN$60,""),$BN$61,""),$BN$62,""),$BN$63,""),"P",""),"I",""),"V",""),"B","") &amp;
          Data!CR50
       ),
       ""
    )
)</f>
        <v/>
      </c>
      <c r="AD115" s="41" t="str" cm="1">
        <f t="array" ref="AD115">IF(AND($Y$57=1,AD65&lt;&gt;""),
    "O"&amp;Data!CS50,
    IF(AD65&lt;&gt;"",
       IF(OR(COUNTIF(AD65,"L*"),COUNTIF(AD65,"X*")),
          SUBSTITUTE(SUBSTITUTE(SUBSTITUTE(SUBSTITUTE(AD65,"P",""),"I",""),"V",""),"B","") &amp;
          IF(
             OR(
               COUNTIF(AD65,"*"&amp;$BN$59&amp;"*"),
               COUNTIF(AD65,"*"&amp;$BN$60&amp;"*"),
               COUNTIF(AD65,"*"&amp;$BN$61&amp;"*"),
               COUNTIF(AD65,"*"&amp;$BN$62&amp;"*"),
               COUNTIF(AD65,"*"&amp;$BN$63&amp;"*")
             ),
             "",
             IF(
               SUMPRODUCT(--ISNUMBER(MID(AD65,ROW($1:$20),1)*1))&gt;0,
               "",
               Data!CS50
             )
          ),
          SUBSTITUTE(SUBSTITUTE(SUBSTITUTE(SUBSTITUTE(SUBSTITUTE(SUBSTITUTE(SUBSTITUTE(SUBSTITUTE(SUBSTITUTE(AD65,$BN$59,""),$BN$60,""),$BN$61,""),$BN$62,""),$BN$63,""),"P",""),"I",""),"V",""),"B","") &amp;
          Data!CS50
       ),
       ""
    )
)</f>
        <v/>
      </c>
      <c r="AE115" s="41" t="str" cm="1">
        <f t="array" ref="AE115">IF(AND($Y$57=1,AE65&lt;&gt;""),
    "O"&amp;Data!CT50,
    IF(AE65&lt;&gt;"",
       IF(OR(COUNTIF(AE65,"L*"),COUNTIF(AE65,"X*")),
          SUBSTITUTE(SUBSTITUTE(SUBSTITUTE(SUBSTITUTE(AE65,"P",""),"I",""),"V",""),"B","") &amp;
          IF(
             OR(
               COUNTIF(AE65,"*"&amp;$BN$59&amp;"*"),
               COUNTIF(AE65,"*"&amp;$BN$60&amp;"*"),
               COUNTIF(AE65,"*"&amp;$BN$61&amp;"*"),
               COUNTIF(AE65,"*"&amp;$BN$62&amp;"*"),
               COUNTIF(AE65,"*"&amp;$BN$63&amp;"*")
             ),
             "",
             IF(
               SUMPRODUCT(--ISNUMBER(MID(AE65,ROW($1:$20),1)*1))&gt;0,
               "",
               Data!CT50
             )
          ),
          SUBSTITUTE(SUBSTITUTE(SUBSTITUTE(SUBSTITUTE(SUBSTITUTE(SUBSTITUTE(SUBSTITUTE(SUBSTITUTE(SUBSTITUTE(AE65,$BN$59,""),$BN$60,""),$BN$61,""),$BN$62,""),$BN$63,""),"P",""),"I",""),"V",""),"B","") &amp;
          Data!CT50
       ),
       ""
    )
)</f>
        <v/>
      </c>
      <c r="AF115" s="41" t="str" cm="1">
        <f t="array" ref="AF115">IF(AND($Y$57=1,AF65&lt;&gt;""),
    "O"&amp;Data!CU50,
    IF(AF65&lt;&gt;"",
       IF(OR(COUNTIF(AF65,"L*"),COUNTIF(AF65,"X*")),
          SUBSTITUTE(SUBSTITUTE(SUBSTITUTE(SUBSTITUTE(AF65,"P",""),"I",""),"V",""),"B","") &amp;
          IF(
             OR(
               COUNTIF(AF65,"*"&amp;$BN$59&amp;"*"),
               COUNTIF(AF65,"*"&amp;$BN$60&amp;"*"),
               COUNTIF(AF65,"*"&amp;$BN$61&amp;"*"),
               COUNTIF(AF65,"*"&amp;$BN$62&amp;"*"),
               COUNTIF(AF65,"*"&amp;$BN$63&amp;"*")
             ),
             "",
             IF(
               SUMPRODUCT(--ISNUMBER(MID(AF65,ROW($1:$20),1)*1))&gt;0,
               "",
               Data!CU50
             )
          ),
          SUBSTITUTE(SUBSTITUTE(SUBSTITUTE(SUBSTITUTE(SUBSTITUTE(SUBSTITUTE(SUBSTITUTE(SUBSTITUTE(SUBSTITUTE(AF65,$BN$59,""),$BN$60,""),$BN$61,""),$BN$62,""),$BN$63,""),"P",""),"I",""),"V",""),"B","") &amp;
          Data!CU50
       ),
       ""
    )
)</f>
        <v/>
      </c>
      <c r="AG115" s="41" t="str" cm="1">
        <f t="array" ref="AG115">IF(AND($Y$57=1,AG65&lt;&gt;""),
    "O"&amp;Data!CV50,
    IF(AG65&lt;&gt;"",
       IF(OR(COUNTIF(AG65,"L*"),COUNTIF(AG65,"X*")),
          SUBSTITUTE(SUBSTITUTE(SUBSTITUTE(SUBSTITUTE(AG65,"P",""),"I",""),"V",""),"B","") &amp;
          IF(
             OR(
               COUNTIF(AG65,"*"&amp;$BN$59&amp;"*"),
               COUNTIF(AG65,"*"&amp;$BN$60&amp;"*"),
               COUNTIF(AG65,"*"&amp;$BN$61&amp;"*"),
               COUNTIF(AG65,"*"&amp;$BN$62&amp;"*"),
               COUNTIF(AG65,"*"&amp;$BN$63&amp;"*")
             ),
             "",
             IF(
               SUMPRODUCT(--ISNUMBER(MID(AG65,ROW($1:$20),1)*1))&gt;0,
               "",
               Data!CV50
             )
          ),
          SUBSTITUTE(SUBSTITUTE(SUBSTITUTE(SUBSTITUTE(SUBSTITUTE(SUBSTITUTE(SUBSTITUTE(SUBSTITUTE(SUBSTITUTE(AG65,$BN$59,""),$BN$60,""),$BN$61,""),$BN$62,""),$BN$63,""),"P",""),"I",""),"V",""),"B","") &amp;
          Data!CV50
       ),
       ""
    )
)</f>
        <v/>
      </c>
      <c r="AH115" s="41" t="str" cm="1">
        <f t="array" ref="AH115">IF(AND($Y$57=1,AH65&lt;&gt;""),
    "O"&amp;Data!CW50,
    IF(AH65&lt;&gt;"",
       IF(OR(COUNTIF(AH65,"L*"),COUNTIF(AH65,"X*")),
          SUBSTITUTE(SUBSTITUTE(SUBSTITUTE(SUBSTITUTE(AH65,"P",""),"I",""),"V",""),"B","") &amp;
          IF(
             OR(
               COUNTIF(AH65,"*"&amp;$BN$59&amp;"*"),
               COUNTIF(AH65,"*"&amp;$BN$60&amp;"*"),
               COUNTIF(AH65,"*"&amp;$BN$61&amp;"*"),
               COUNTIF(AH65,"*"&amp;$BN$62&amp;"*"),
               COUNTIF(AH65,"*"&amp;$BN$63&amp;"*")
             ),
             "",
             IF(
               SUMPRODUCT(--ISNUMBER(MID(AH65,ROW($1:$20),1)*1))&gt;0,
               "",
               Data!CW50
             )
          ),
          SUBSTITUTE(SUBSTITUTE(SUBSTITUTE(SUBSTITUTE(SUBSTITUTE(SUBSTITUTE(SUBSTITUTE(SUBSTITUTE(SUBSTITUTE(AH65,$BN$59,""),$BN$60,""),$BN$61,""),$BN$62,""),$BN$63,""),"P",""),"I",""),"V",""),"B","") &amp;
          Data!CW50
       ),
       ""
    )
)</f>
        <v/>
      </c>
      <c r="AI115" s="41" t="str" cm="1">
        <f t="array" ref="AI115">IF(AND($Y$57=1,AI65&lt;&gt;""),
    "O"&amp;Data!CX50,
    IF(AI65&lt;&gt;"",
       IF(OR(COUNTIF(AI65,"L*"),COUNTIF(AI65,"X*")),
          SUBSTITUTE(SUBSTITUTE(SUBSTITUTE(SUBSTITUTE(AI65,"P",""),"I",""),"V",""),"B","") &amp;
          IF(
             OR(
               COUNTIF(AI65,"*"&amp;$BN$59&amp;"*"),
               COUNTIF(AI65,"*"&amp;$BN$60&amp;"*"),
               COUNTIF(AI65,"*"&amp;$BN$61&amp;"*"),
               COUNTIF(AI65,"*"&amp;$BN$62&amp;"*"),
               COUNTIF(AI65,"*"&amp;$BN$63&amp;"*")
             ),
             "",
             IF(
               SUMPRODUCT(--ISNUMBER(MID(AI65,ROW($1:$20),1)*1))&gt;0,
               "",
               Data!CX50
             )
          ),
          SUBSTITUTE(SUBSTITUTE(SUBSTITUTE(SUBSTITUTE(SUBSTITUTE(SUBSTITUTE(SUBSTITUTE(SUBSTITUTE(SUBSTITUTE(AI65,$BN$59,""),$BN$60,""),$BN$61,""),$BN$62,""),$BN$63,""),"P",""),"I",""),"V",""),"B","") &amp;
          Data!CX50
       ),
       ""
    )
)</f>
        <v/>
      </c>
      <c r="AJ115" s="41" t="str" cm="1">
        <f t="array" ref="AJ115">IF(AND($Y$57=1,AJ65&lt;&gt;""),
    "O"&amp;Data!CY50,
    IF(AJ65&lt;&gt;"",
       IF(OR(COUNTIF(AJ65,"L*"),COUNTIF(AJ65,"X*")),
          SUBSTITUTE(SUBSTITUTE(SUBSTITUTE(SUBSTITUTE(AJ65,"P",""),"I",""),"V",""),"B","") &amp;
          IF(
             OR(
               COUNTIF(AJ65,"*"&amp;$BN$59&amp;"*"),
               COUNTIF(AJ65,"*"&amp;$BN$60&amp;"*"),
               COUNTIF(AJ65,"*"&amp;$BN$61&amp;"*"),
               COUNTIF(AJ65,"*"&amp;$BN$62&amp;"*"),
               COUNTIF(AJ65,"*"&amp;$BN$63&amp;"*")
             ),
             "",
             IF(
               SUMPRODUCT(--ISNUMBER(MID(AJ65,ROW($1:$20),1)*1))&gt;0,
               "",
               Data!CY50
             )
          ),
          SUBSTITUTE(SUBSTITUTE(SUBSTITUTE(SUBSTITUTE(SUBSTITUTE(SUBSTITUTE(SUBSTITUTE(SUBSTITUTE(SUBSTITUTE(AJ65,$BN$59,""),$BN$60,""),$BN$61,""),$BN$62,""),$BN$63,""),"P",""),"I",""),"V",""),"B","") &amp;
          Data!CY50
       ),
       ""
    )
)</f>
        <v/>
      </c>
    </row>
    <row r="116" spans="1:54" ht="23.25" customHeight="1" x14ac:dyDescent="0.35">
      <c r="A116" s="1196"/>
      <c r="B116" s="22">
        <v>6</v>
      </c>
      <c r="C116" s="41" t="str" cm="1">
        <f t="array" ref="C116">IF(AND($Y$57=1,C66&lt;&gt;""),
    "O"&amp;Data!BR51,
    IF(C66&lt;&gt;"",
       IF(OR(COUNTIF(C66,"L*"),COUNTIF(C66,"X*")),
          SUBSTITUTE(SUBSTITUTE(SUBSTITUTE(SUBSTITUTE(C66,"P",""),"I",""),"V",""),"B","") &amp;
          IF(
             OR(
               COUNTIF(C66,"*"&amp;$BN$59&amp;"*"),
               COUNTIF(C66,"*"&amp;$BN$60&amp;"*"),
               COUNTIF(C66,"*"&amp;$BN$61&amp;"*"),
               COUNTIF(C66,"*"&amp;$BN$62&amp;"*"),
               COUNTIF(C66,"*"&amp;$BN$63&amp;"*")
             ),
             "",
             IF(
               SUMPRODUCT(--ISNUMBER(MID(C66,ROW($1:$20),1)*1))&gt;0,
               "",
               Data!BR51
             )
          ),
          SUBSTITUTE(SUBSTITUTE(SUBSTITUTE(SUBSTITUTE(SUBSTITUTE(SUBSTITUTE(SUBSTITUTE(SUBSTITUTE(SUBSTITUTE(C66,$BN$59,""),$BN$60,""),$BN$61,""),$BN$62,""),$BN$63,""),"P",""),"I",""),"V",""),"B","") &amp;
          Data!BR51
       ),
       ""
    )
)</f>
        <v/>
      </c>
      <c r="D116" s="41" t="str" cm="1">
        <f t="array" ref="D116">IF(AND($Y$57=1,D66&lt;&gt;""),
    "O"&amp;Data!BS51,
    IF(D66&lt;&gt;"",
       IF(OR(COUNTIF(D66,"L*"),COUNTIF(D66,"X*")),
          SUBSTITUTE(SUBSTITUTE(SUBSTITUTE(SUBSTITUTE(D66,"P",""),"I",""),"V",""),"B","") &amp;
          IF(
             OR(
               COUNTIF(D66,"*"&amp;$BN$59&amp;"*"),
               COUNTIF(D66,"*"&amp;$BN$60&amp;"*"),
               COUNTIF(D66,"*"&amp;$BN$61&amp;"*"),
               COUNTIF(D66,"*"&amp;$BN$62&amp;"*"),
               COUNTIF(D66,"*"&amp;$BN$63&amp;"*")
             ),
             "",
             IF(
               SUMPRODUCT(--ISNUMBER(MID(D66,ROW($1:$20),1)*1))&gt;0,
               "",
               Data!BS51
             )
          ),
          SUBSTITUTE(SUBSTITUTE(SUBSTITUTE(SUBSTITUTE(SUBSTITUTE(SUBSTITUTE(SUBSTITUTE(SUBSTITUTE(SUBSTITUTE(D66,$BN$59,""),$BN$60,""),$BN$61,""),$BN$62,""),$BN$63,""),"P",""),"I",""),"V",""),"B","") &amp;
          Data!BS51
       ),
       ""
    )
)</f>
        <v/>
      </c>
      <c r="E116" s="41" t="str" cm="1">
        <f t="array" ref="E116">IF(AND($Y$57=1,E66&lt;&gt;""),
    "O"&amp;Data!BT51,
    IF(E66&lt;&gt;"",
       IF(OR(COUNTIF(E66,"L*"),COUNTIF(E66,"X*")),
          SUBSTITUTE(SUBSTITUTE(SUBSTITUTE(SUBSTITUTE(E66,"P",""),"I",""),"V",""),"B","") &amp;
          IF(
             OR(
               COUNTIF(E66,"*"&amp;$BN$59&amp;"*"),
               COUNTIF(E66,"*"&amp;$BN$60&amp;"*"),
               COUNTIF(E66,"*"&amp;$BN$61&amp;"*"),
               COUNTIF(E66,"*"&amp;$BN$62&amp;"*"),
               COUNTIF(E66,"*"&amp;$BN$63&amp;"*")
             ),
             "",
             IF(
               SUMPRODUCT(--ISNUMBER(MID(E66,ROW($1:$20),1)*1))&gt;0,
               "",
               Data!BT51
             )
          ),
          SUBSTITUTE(SUBSTITUTE(SUBSTITUTE(SUBSTITUTE(SUBSTITUTE(SUBSTITUTE(SUBSTITUTE(SUBSTITUTE(SUBSTITUTE(E66,$BN$59,""),$BN$60,""),$BN$61,""),$BN$62,""),$BN$63,""),"P",""),"I",""),"V",""),"B","") &amp;
          Data!BT51
       ),
       ""
    )
)</f>
        <v/>
      </c>
      <c r="F116" s="41" t="str" cm="1">
        <f t="array" ref="F116">IF(AND($Y$57=1,F66&lt;&gt;""),
    "O"&amp;Data!BU51,
    IF(F66&lt;&gt;"",
       IF(OR(COUNTIF(F66,"L*"),COUNTIF(F66,"X*")),
          SUBSTITUTE(SUBSTITUTE(SUBSTITUTE(SUBSTITUTE(F66,"P",""),"I",""),"V",""),"B","") &amp;
          IF(
             OR(
               COUNTIF(F66,"*"&amp;$BN$59&amp;"*"),
               COUNTIF(F66,"*"&amp;$BN$60&amp;"*"),
               COUNTIF(F66,"*"&amp;$BN$61&amp;"*"),
               COUNTIF(F66,"*"&amp;$BN$62&amp;"*"),
               COUNTIF(F66,"*"&amp;$BN$63&amp;"*")
             ),
             "",
             IF(
               SUMPRODUCT(--ISNUMBER(MID(F66,ROW($1:$20),1)*1))&gt;0,
               "",
               Data!BU51
             )
          ),
          SUBSTITUTE(SUBSTITUTE(SUBSTITUTE(SUBSTITUTE(SUBSTITUTE(SUBSTITUTE(SUBSTITUTE(SUBSTITUTE(SUBSTITUTE(F66,$BN$59,""),$BN$60,""),$BN$61,""),$BN$62,""),$BN$63,""),"P",""),"I",""),"V",""),"B","") &amp;
          Data!BU51
       ),
       ""
    )
)</f>
        <v/>
      </c>
      <c r="G116" s="41" t="str" cm="1">
        <f t="array" ref="G116">IF(AND($Y$57=1,G66&lt;&gt;""),
    "O"&amp;Data!BV51,
    IF(G66&lt;&gt;"",
       IF(OR(COUNTIF(G66,"L*"),COUNTIF(G66,"X*")),
          SUBSTITUTE(SUBSTITUTE(SUBSTITUTE(SUBSTITUTE(G66,"P",""),"I",""),"V",""),"B","") &amp;
          IF(
             OR(
               COUNTIF(G66,"*"&amp;$BN$59&amp;"*"),
               COUNTIF(G66,"*"&amp;$BN$60&amp;"*"),
               COUNTIF(G66,"*"&amp;$BN$61&amp;"*"),
               COUNTIF(G66,"*"&amp;$BN$62&amp;"*"),
               COUNTIF(G66,"*"&amp;$BN$63&amp;"*")
             ),
             "",
             IF(
               SUMPRODUCT(--ISNUMBER(MID(G66,ROW($1:$20),1)*1))&gt;0,
               "",
               Data!BV51
             )
          ),
          SUBSTITUTE(SUBSTITUTE(SUBSTITUTE(SUBSTITUTE(SUBSTITUTE(SUBSTITUTE(SUBSTITUTE(SUBSTITUTE(SUBSTITUTE(G66,$BN$59,""),$BN$60,""),$BN$61,""),$BN$62,""),$BN$63,""),"P",""),"I",""),"V",""),"B","") &amp;
          Data!BV51
       ),
       ""
    )
)</f>
        <v/>
      </c>
      <c r="H116" s="41" t="str" cm="1">
        <f t="array" ref="H116">IF(AND($Y$57=1,H66&lt;&gt;""),
    "O"&amp;Data!BW51,
    IF(H66&lt;&gt;"",
       IF(OR(COUNTIF(H66,"L*"),COUNTIF(H66,"X*")),
          SUBSTITUTE(SUBSTITUTE(SUBSTITUTE(SUBSTITUTE(H66,"P",""),"I",""),"V",""),"B","") &amp;
          IF(
             OR(
               COUNTIF(H66,"*"&amp;$BN$59&amp;"*"),
               COUNTIF(H66,"*"&amp;$BN$60&amp;"*"),
               COUNTIF(H66,"*"&amp;$BN$61&amp;"*"),
               COUNTIF(H66,"*"&amp;$BN$62&amp;"*"),
               COUNTIF(H66,"*"&amp;$BN$63&amp;"*")
             ),
             "",
             IF(
               SUMPRODUCT(--ISNUMBER(MID(H66,ROW($1:$20),1)*1))&gt;0,
               "",
               Data!BW51
             )
          ),
          SUBSTITUTE(SUBSTITUTE(SUBSTITUTE(SUBSTITUTE(SUBSTITUTE(SUBSTITUTE(SUBSTITUTE(SUBSTITUTE(SUBSTITUTE(H66,$BN$59,""),$BN$60,""),$BN$61,""),$BN$62,""),$BN$63,""),"P",""),"I",""),"V",""),"B","") &amp;
          Data!BW51
       ),
       ""
    )
)</f>
        <v/>
      </c>
      <c r="I116" s="41" t="str" cm="1">
        <f t="array" ref="I116">IF(AND($Y$57=1,I66&lt;&gt;""),
    "O"&amp;Data!BX51,
    IF(I66&lt;&gt;"",
       IF(OR(COUNTIF(I66,"L*"),COUNTIF(I66,"X*")),
          SUBSTITUTE(SUBSTITUTE(SUBSTITUTE(SUBSTITUTE(I66,"P",""),"I",""),"V",""),"B","") &amp;
          IF(
             OR(
               COUNTIF(I66,"*"&amp;$BN$59&amp;"*"),
               COUNTIF(I66,"*"&amp;$BN$60&amp;"*"),
               COUNTIF(I66,"*"&amp;$BN$61&amp;"*"),
               COUNTIF(I66,"*"&amp;$BN$62&amp;"*"),
               COUNTIF(I66,"*"&amp;$BN$63&amp;"*")
             ),
             "",
             IF(
               SUMPRODUCT(--ISNUMBER(MID(I66,ROW($1:$20),1)*1))&gt;0,
               "",
               Data!BX51
             )
          ),
          SUBSTITUTE(SUBSTITUTE(SUBSTITUTE(SUBSTITUTE(SUBSTITUTE(SUBSTITUTE(SUBSTITUTE(SUBSTITUTE(SUBSTITUTE(I66,$BN$59,""),$BN$60,""),$BN$61,""),$BN$62,""),$BN$63,""),"P",""),"I",""),"V",""),"B","") &amp;
          Data!BX51
       ),
       ""
    )
)</f>
        <v/>
      </c>
      <c r="J116" s="41" t="str" cm="1">
        <f t="array" ref="J116">IF(AND($Y$57=1,J66&lt;&gt;""),
    "O"&amp;Data!BY51,
    IF(J66&lt;&gt;"",
       IF(OR(COUNTIF(J66,"L*"),COUNTIF(J66,"X*")),
          SUBSTITUTE(SUBSTITUTE(SUBSTITUTE(SUBSTITUTE(J66,"P",""),"I",""),"V",""),"B","") &amp;
          IF(
             OR(
               COUNTIF(J66,"*"&amp;$BN$59&amp;"*"),
               COUNTIF(J66,"*"&amp;$BN$60&amp;"*"),
               COUNTIF(J66,"*"&amp;$BN$61&amp;"*"),
               COUNTIF(J66,"*"&amp;$BN$62&amp;"*"),
               COUNTIF(J66,"*"&amp;$BN$63&amp;"*")
             ),
             "",
             IF(
               SUMPRODUCT(--ISNUMBER(MID(J66,ROW($1:$20),1)*1))&gt;0,
               "",
               Data!BY51
             )
          ),
          SUBSTITUTE(SUBSTITUTE(SUBSTITUTE(SUBSTITUTE(SUBSTITUTE(SUBSTITUTE(SUBSTITUTE(SUBSTITUTE(SUBSTITUTE(J66,$BN$59,""),$BN$60,""),$BN$61,""),$BN$62,""),$BN$63,""),"P",""),"I",""),"V",""),"B","") &amp;
          Data!BY51
       ),
       ""
    )
)</f>
        <v/>
      </c>
      <c r="K116" s="41" t="str" cm="1">
        <f t="array" ref="K116">IF(AND($Y$57=1,K66&lt;&gt;""),
    "O"&amp;Data!BZ51,
    IF(K66&lt;&gt;"",
       IF(OR(COUNTIF(K66,"L*"),COUNTIF(K66,"X*")),
          SUBSTITUTE(SUBSTITUTE(SUBSTITUTE(SUBSTITUTE(K66,"P",""),"I",""),"V",""),"B","") &amp;
          IF(
             OR(
               COUNTIF(K66,"*"&amp;$BN$59&amp;"*"),
               COUNTIF(K66,"*"&amp;$BN$60&amp;"*"),
               COUNTIF(K66,"*"&amp;$BN$61&amp;"*"),
               COUNTIF(K66,"*"&amp;$BN$62&amp;"*"),
               COUNTIF(K66,"*"&amp;$BN$63&amp;"*")
             ),
             "",
             IF(
               SUMPRODUCT(--ISNUMBER(MID(K66,ROW($1:$20),1)*1))&gt;0,
               "",
               Data!BZ51
             )
          ),
          SUBSTITUTE(SUBSTITUTE(SUBSTITUTE(SUBSTITUTE(SUBSTITUTE(SUBSTITUTE(SUBSTITUTE(SUBSTITUTE(SUBSTITUTE(K66,$BN$59,""),$BN$60,""),$BN$61,""),$BN$62,""),$BN$63,""),"P",""),"I",""),"V",""),"B","") &amp;
          Data!BZ51
       ),
       ""
    )
)</f>
        <v/>
      </c>
      <c r="L116" s="41" t="str" cm="1">
        <f t="array" ref="L116">IF(AND($Y$57=1,L66&lt;&gt;""),
    "O"&amp;Data!CA51,
    IF(L66&lt;&gt;"",
       IF(OR(COUNTIF(L66,"L*"),COUNTIF(L66,"X*")),
          SUBSTITUTE(SUBSTITUTE(SUBSTITUTE(SUBSTITUTE(L66,"P",""),"I",""),"V",""),"B","") &amp;
          IF(
             OR(
               COUNTIF(L66,"*"&amp;$BN$59&amp;"*"),
               COUNTIF(L66,"*"&amp;$BN$60&amp;"*"),
               COUNTIF(L66,"*"&amp;$BN$61&amp;"*"),
               COUNTIF(L66,"*"&amp;$BN$62&amp;"*"),
               COUNTIF(L66,"*"&amp;$BN$63&amp;"*")
             ),
             "",
             IF(
               SUMPRODUCT(--ISNUMBER(MID(L66,ROW($1:$20),1)*1))&gt;0,
               "",
               Data!CA51
             )
          ),
          SUBSTITUTE(SUBSTITUTE(SUBSTITUTE(SUBSTITUTE(SUBSTITUTE(SUBSTITUTE(SUBSTITUTE(SUBSTITUTE(SUBSTITUTE(L66,$BN$59,""),$BN$60,""),$BN$61,""),$BN$62,""),$BN$63,""),"P",""),"I",""),"V",""),"B","") &amp;
          Data!CA51
       ),
       ""
    )
)</f>
        <v/>
      </c>
      <c r="M116" s="41" t="str" cm="1">
        <f t="array" ref="M116">IF(AND($Y$57=1,M66&lt;&gt;""),
    "O"&amp;Data!CB51,
    IF(M66&lt;&gt;"",
       IF(OR(COUNTIF(M66,"L*"),COUNTIF(M66,"X*")),
          SUBSTITUTE(SUBSTITUTE(SUBSTITUTE(SUBSTITUTE(M66,"P",""),"I",""),"V",""),"B","") &amp;
          IF(
             OR(
               COUNTIF(M66,"*"&amp;$BN$59&amp;"*"),
               COUNTIF(M66,"*"&amp;$BN$60&amp;"*"),
               COUNTIF(M66,"*"&amp;$BN$61&amp;"*"),
               COUNTIF(M66,"*"&amp;$BN$62&amp;"*"),
               COUNTIF(M66,"*"&amp;$BN$63&amp;"*")
             ),
             "",
             IF(
               SUMPRODUCT(--ISNUMBER(MID(M66,ROW($1:$20),1)*1))&gt;0,
               "",
               Data!CB51
             )
          ),
          SUBSTITUTE(SUBSTITUTE(SUBSTITUTE(SUBSTITUTE(SUBSTITUTE(SUBSTITUTE(SUBSTITUTE(SUBSTITUTE(SUBSTITUTE(M66,$BN$59,""),$BN$60,""),$BN$61,""),$BN$62,""),$BN$63,""),"P",""),"I",""),"V",""),"B","") &amp;
          Data!CB51
       ),
       ""
    )
)</f>
        <v/>
      </c>
      <c r="N116" s="41" t="str" cm="1">
        <f t="array" ref="N116">IF(AND($Y$57=1,N66&lt;&gt;""),
    "O"&amp;Data!CC51,
    IF(N66&lt;&gt;"",
       IF(OR(COUNTIF(N66,"L*"),COUNTIF(N66,"X*")),
          SUBSTITUTE(SUBSTITUTE(SUBSTITUTE(SUBSTITUTE(N66,"P",""),"I",""),"V",""),"B","") &amp;
          IF(
             OR(
               COUNTIF(N66,"*"&amp;$BN$59&amp;"*"),
               COUNTIF(N66,"*"&amp;$BN$60&amp;"*"),
               COUNTIF(N66,"*"&amp;$BN$61&amp;"*"),
               COUNTIF(N66,"*"&amp;$BN$62&amp;"*"),
               COUNTIF(N66,"*"&amp;$BN$63&amp;"*")
             ),
             "",
             IF(
               SUMPRODUCT(--ISNUMBER(MID(N66,ROW($1:$20),1)*1))&gt;0,
               "",
               Data!CC51
             )
          ),
          SUBSTITUTE(SUBSTITUTE(SUBSTITUTE(SUBSTITUTE(SUBSTITUTE(SUBSTITUTE(SUBSTITUTE(SUBSTITUTE(SUBSTITUTE(N66,$BN$59,""),$BN$60,""),$BN$61,""),$BN$62,""),$BN$63,""),"P",""),"I",""),"V",""),"B","") &amp;
          Data!CC51
       ),
       ""
    )
)</f>
        <v/>
      </c>
      <c r="O116" s="41" t="str" cm="1">
        <f t="array" ref="O116">IF(AND($Y$57=1,O66&lt;&gt;""),
    "O"&amp;Data!CD51,
    IF(O66&lt;&gt;"",
       IF(OR(COUNTIF(O66,"L*"),COUNTIF(O66,"X*")),
          SUBSTITUTE(SUBSTITUTE(SUBSTITUTE(SUBSTITUTE(O66,"P",""),"I",""),"V",""),"B","") &amp;
          IF(
             OR(
               COUNTIF(O66,"*"&amp;$BN$59&amp;"*"),
               COUNTIF(O66,"*"&amp;$BN$60&amp;"*"),
               COUNTIF(O66,"*"&amp;$BN$61&amp;"*"),
               COUNTIF(O66,"*"&amp;$BN$62&amp;"*"),
               COUNTIF(O66,"*"&amp;$BN$63&amp;"*")
             ),
             "",
             IF(
               SUMPRODUCT(--ISNUMBER(MID(O66,ROW($1:$20),1)*1))&gt;0,
               "",
               Data!CD51
             )
          ),
          SUBSTITUTE(SUBSTITUTE(SUBSTITUTE(SUBSTITUTE(SUBSTITUTE(SUBSTITUTE(SUBSTITUTE(SUBSTITUTE(SUBSTITUTE(O66,$BN$59,""),$BN$60,""),$BN$61,""),$BN$62,""),$BN$63,""),"P",""),"I",""),"V",""),"B","") &amp;
          Data!CD51
       ),
       ""
    )
)</f>
        <v/>
      </c>
      <c r="P116" s="41" t="str" cm="1">
        <f t="array" ref="P116">IF(AND($Y$57=1,P66&lt;&gt;""),
    "O"&amp;Data!CE51,
    IF(P66&lt;&gt;"",
       IF(OR(COUNTIF(P66,"L*"),COUNTIF(P66,"X*")),
          SUBSTITUTE(SUBSTITUTE(SUBSTITUTE(SUBSTITUTE(P66,"P",""),"I",""),"V",""),"B","") &amp;
          IF(
             OR(
               COUNTIF(P66,"*"&amp;$BN$59&amp;"*"),
               COUNTIF(P66,"*"&amp;$BN$60&amp;"*"),
               COUNTIF(P66,"*"&amp;$BN$61&amp;"*"),
               COUNTIF(P66,"*"&amp;$BN$62&amp;"*"),
               COUNTIF(P66,"*"&amp;$BN$63&amp;"*")
             ),
             "",
             IF(
               SUMPRODUCT(--ISNUMBER(MID(P66,ROW($1:$20),1)*1))&gt;0,
               "",
               Data!CE51
             )
          ),
          SUBSTITUTE(SUBSTITUTE(SUBSTITUTE(SUBSTITUTE(SUBSTITUTE(SUBSTITUTE(SUBSTITUTE(SUBSTITUTE(SUBSTITUTE(P66,$BN$59,""),$BN$60,""),$BN$61,""),$BN$62,""),$BN$63,""),"P",""),"I",""),"V",""),"B","") &amp;
          Data!CE51
       ),
       ""
    )
)</f>
        <v/>
      </c>
      <c r="Q116" s="41" t="str" cm="1">
        <f t="array" ref="Q116">IF(AND($Y$57=1,Q66&lt;&gt;""),
    "O"&amp;Data!CF51,
    IF(Q66&lt;&gt;"",
       IF(OR(COUNTIF(Q66,"L*"),COUNTIF(Q66,"X*")),
          SUBSTITUTE(SUBSTITUTE(SUBSTITUTE(SUBSTITUTE(Q66,"P",""),"I",""),"V",""),"B","") &amp;
          IF(
             OR(
               COUNTIF(Q66,"*"&amp;$BN$59&amp;"*"),
               COUNTIF(Q66,"*"&amp;$BN$60&amp;"*"),
               COUNTIF(Q66,"*"&amp;$BN$61&amp;"*"),
               COUNTIF(Q66,"*"&amp;$BN$62&amp;"*"),
               COUNTIF(Q66,"*"&amp;$BN$63&amp;"*")
             ),
             "",
             IF(
               SUMPRODUCT(--ISNUMBER(MID(Q66,ROW($1:$20),1)*1))&gt;0,
               "",
               Data!CF51
             )
          ),
          SUBSTITUTE(SUBSTITUTE(SUBSTITUTE(SUBSTITUTE(SUBSTITUTE(SUBSTITUTE(SUBSTITUTE(SUBSTITUTE(SUBSTITUTE(Q66,$BN$59,""),$BN$60,""),$BN$61,""),$BN$62,""),$BN$63,""),"P",""),"I",""),"V",""),"B","") &amp;
          Data!CF51
       ),
       ""
    )
)</f>
        <v/>
      </c>
      <c r="R116" s="41" t="str" cm="1">
        <f t="array" ref="R116">IF(AND($Y$57=1,R66&lt;&gt;""),
    "O"&amp;Data!CG51,
    IF(R66&lt;&gt;"",
       IF(OR(COUNTIF(R66,"L*"),COUNTIF(R66,"X*")),
          SUBSTITUTE(SUBSTITUTE(SUBSTITUTE(SUBSTITUTE(R66,"P",""),"I",""),"V",""),"B","") &amp;
          IF(
             OR(
               COUNTIF(R66,"*"&amp;$BN$59&amp;"*"),
               COUNTIF(R66,"*"&amp;$BN$60&amp;"*"),
               COUNTIF(R66,"*"&amp;$BN$61&amp;"*"),
               COUNTIF(R66,"*"&amp;$BN$62&amp;"*"),
               COUNTIF(R66,"*"&amp;$BN$63&amp;"*")
             ),
             "",
             IF(
               SUMPRODUCT(--ISNUMBER(MID(R66,ROW($1:$20),1)*1))&gt;0,
               "",
               Data!CG51
             )
          ),
          SUBSTITUTE(SUBSTITUTE(SUBSTITUTE(SUBSTITUTE(SUBSTITUTE(SUBSTITUTE(SUBSTITUTE(SUBSTITUTE(SUBSTITUTE(R66,$BN$59,""),$BN$60,""),$BN$61,""),$BN$62,""),$BN$63,""),"P",""),"I",""),"V",""),"B","") &amp;
          Data!CG51
       ),
       ""
    )
)</f>
        <v/>
      </c>
      <c r="S116" s="41" t="str" cm="1">
        <f t="array" ref="S116">IF(AND($Y$57=1,S66&lt;&gt;""),
    "O"&amp;Data!CH51,
    IF(S66&lt;&gt;"",
       IF(OR(COUNTIF(S66,"L*"),COUNTIF(S66,"X*")),
          SUBSTITUTE(SUBSTITUTE(SUBSTITUTE(SUBSTITUTE(S66,"P",""),"I",""),"V",""),"B","") &amp;
          IF(
             OR(
               COUNTIF(S66,"*"&amp;$BN$59&amp;"*"),
               COUNTIF(S66,"*"&amp;$BN$60&amp;"*"),
               COUNTIF(S66,"*"&amp;$BN$61&amp;"*"),
               COUNTIF(S66,"*"&amp;$BN$62&amp;"*"),
               COUNTIF(S66,"*"&amp;$BN$63&amp;"*")
             ),
             "",
             IF(
               SUMPRODUCT(--ISNUMBER(MID(S66,ROW($1:$20),1)*1))&gt;0,
               "",
               Data!CH51
             )
          ),
          SUBSTITUTE(SUBSTITUTE(SUBSTITUTE(SUBSTITUTE(SUBSTITUTE(SUBSTITUTE(SUBSTITUTE(SUBSTITUTE(SUBSTITUTE(S66,$BN$59,""),$BN$60,""),$BN$61,""),$BN$62,""),$BN$63,""),"P",""),"I",""),"V",""),"B","") &amp;
          Data!CH51
       ),
       ""
    )
)</f>
        <v/>
      </c>
      <c r="T116" s="41" t="str" cm="1">
        <f t="array" ref="T116">IF(AND($Y$57=1,T66&lt;&gt;""),
    "O"&amp;Data!CI51,
    IF(T66&lt;&gt;"",
       IF(OR(COUNTIF(T66,"L*"),COUNTIF(T66,"X*")),
          SUBSTITUTE(SUBSTITUTE(SUBSTITUTE(SUBSTITUTE(T66,"P",""),"I",""),"V",""),"B","") &amp;
          IF(
             OR(
               COUNTIF(T66,"*"&amp;$BN$59&amp;"*"),
               COUNTIF(T66,"*"&amp;$BN$60&amp;"*"),
               COUNTIF(T66,"*"&amp;$BN$61&amp;"*"),
               COUNTIF(T66,"*"&amp;$BN$62&amp;"*"),
               COUNTIF(T66,"*"&amp;$BN$63&amp;"*")
             ),
             "",
             IF(
               SUMPRODUCT(--ISNUMBER(MID(T66,ROW($1:$20),1)*1))&gt;0,
               "",
               Data!CI51
             )
          ),
          SUBSTITUTE(SUBSTITUTE(SUBSTITUTE(SUBSTITUTE(SUBSTITUTE(SUBSTITUTE(SUBSTITUTE(SUBSTITUTE(SUBSTITUTE(T66,$BN$59,""),$BN$60,""),$BN$61,""),$BN$62,""),$BN$63,""),"P",""),"I",""),"V",""),"B","") &amp;
          Data!CI51
       ),
       ""
    )
)</f>
        <v/>
      </c>
      <c r="U116" s="41" t="str" cm="1">
        <f t="array" ref="U116">IF(AND($Y$57=1,U66&lt;&gt;""),
    "O"&amp;Data!CJ51,
    IF(U66&lt;&gt;"",
       IF(OR(COUNTIF(U66,"L*"),COUNTIF(U66,"X*")),
          SUBSTITUTE(SUBSTITUTE(SUBSTITUTE(SUBSTITUTE(U66,"P",""),"I",""),"V",""),"B","") &amp;
          IF(
             OR(
               COUNTIF(U66,"*"&amp;$BN$59&amp;"*"),
               COUNTIF(U66,"*"&amp;$BN$60&amp;"*"),
               COUNTIF(U66,"*"&amp;$BN$61&amp;"*"),
               COUNTIF(U66,"*"&amp;$BN$62&amp;"*"),
               COUNTIF(U66,"*"&amp;$BN$63&amp;"*")
             ),
             "",
             IF(
               SUMPRODUCT(--ISNUMBER(MID(U66,ROW($1:$20),1)*1))&gt;0,
               "",
               Data!CJ51
             )
          ),
          SUBSTITUTE(SUBSTITUTE(SUBSTITUTE(SUBSTITUTE(SUBSTITUTE(SUBSTITUTE(SUBSTITUTE(SUBSTITUTE(SUBSTITUTE(U66,$BN$59,""),$BN$60,""),$BN$61,""),$BN$62,""),$BN$63,""),"P",""),"I",""),"V",""),"B","") &amp;
          Data!CJ51
       ),
       ""
    )
)</f>
        <v/>
      </c>
      <c r="V116" s="41" t="str" cm="1">
        <f t="array" ref="V116">IF(AND($Y$57=1,V66&lt;&gt;""),
    "O"&amp;Data!CK51,
    IF(V66&lt;&gt;"",
       IF(OR(COUNTIF(V66,"L*"),COUNTIF(V66,"X*")),
          SUBSTITUTE(SUBSTITUTE(SUBSTITUTE(SUBSTITUTE(V66,"P",""),"I",""),"V",""),"B","") &amp;
          IF(
             OR(
               COUNTIF(V66,"*"&amp;$BN$59&amp;"*"),
               COUNTIF(V66,"*"&amp;$BN$60&amp;"*"),
               COUNTIF(V66,"*"&amp;$BN$61&amp;"*"),
               COUNTIF(V66,"*"&amp;$BN$62&amp;"*"),
               COUNTIF(V66,"*"&amp;$BN$63&amp;"*")
             ),
             "",
             IF(
               SUMPRODUCT(--ISNUMBER(MID(V66,ROW($1:$20),1)*1))&gt;0,
               "",
               Data!CK51
             )
          ),
          SUBSTITUTE(SUBSTITUTE(SUBSTITUTE(SUBSTITUTE(SUBSTITUTE(SUBSTITUTE(SUBSTITUTE(SUBSTITUTE(SUBSTITUTE(V66,$BN$59,""),$BN$60,""),$BN$61,""),$BN$62,""),$BN$63,""),"P",""),"I",""),"V",""),"B","") &amp;
          Data!CK51
       ),
       ""
    )
)</f>
        <v/>
      </c>
      <c r="W116" s="41" t="str" cm="1">
        <f t="array" ref="W116">IF(AND($Y$57=1,W66&lt;&gt;""),
    "O"&amp;Data!CL51,
    IF(W66&lt;&gt;"",
       IF(OR(COUNTIF(W66,"L*"),COUNTIF(W66,"X*")),
          SUBSTITUTE(SUBSTITUTE(SUBSTITUTE(SUBSTITUTE(W66,"P",""),"I",""),"V",""),"B","") &amp;
          IF(
             OR(
               COUNTIF(W66,"*"&amp;$BN$59&amp;"*"),
               COUNTIF(W66,"*"&amp;$BN$60&amp;"*"),
               COUNTIF(W66,"*"&amp;$BN$61&amp;"*"),
               COUNTIF(W66,"*"&amp;$BN$62&amp;"*"),
               COUNTIF(W66,"*"&amp;$BN$63&amp;"*")
             ),
             "",
             IF(
               SUMPRODUCT(--ISNUMBER(MID(W66,ROW($1:$20),1)*1))&gt;0,
               "",
               Data!CL51
             )
          ),
          SUBSTITUTE(SUBSTITUTE(SUBSTITUTE(SUBSTITUTE(SUBSTITUTE(SUBSTITUTE(SUBSTITUTE(SUBSTITUTE(SUBSTITUTE(W66,$BN$59,""),$BN$60,""),$BN$61,""),$BN$62,""),$BN$63,""),"P",""),"I",""),"V",""),"B","") &amp;
          Data!CL51
       ),
       ""
    )
)</f>
        <v/>
      </c>
      <c r="X116" s="41" t="str" cm="1">
        <f t="array" ref="X116">IF(AND($Y$57=1,X66&lt;&gt;""),
    "O"&amp;Data!CM51,
    IF(X66&lt;&gt;"",
       IF(OR(COUNTIF(X66,"L*"),COUNTIF(X66,"X*")),
          SUBSTITUTE(SUBSTITUTE(SUBSTITUTE(SUBSTITUTE(X66,"P",""),"I",""),"V",""),"B","") &amp;
          IF(
             OR(
               COUNTIF(X66,"*"&amp;$BN$59&amp;"*"),
               COUNTIF(X66,"*"&amp;$BN$60&amp;"*"),
               COUNTIF(X66,"*"&amp;$BN$61&amp;"*"),
               COUNTIF(X66,"*"&amp;$BN$62&amp;"*"),
               COUNTIF(X66,"*"&amp;$BN$63&amp;"*")
             ),
             "",
             IF(
               SUMPRODUCT(--ISNUMBER(MID(X66,ROW($1:$20),1)*1))&gt;0,
               "",
               Data!CM51
             )
          ),
          SUBSTITUTE(SUBSTITUTE(SUBSTITUTE(SUBSTITUTE(SUBSTITUTE(SUBSTITUTE(SUBSTITUTE(SUBSTITUTE(SUBSTITUTE(X66,$BN$59,""),$BN$60,""),$BN$61,""),$BN$62,""),$BN$63,""),"P",""),"I",""),"V",""),"B","") &amp;
          Data!CM51
       ),
       ""
    )
)</f>
        <v/>
      </c>
      <c r="Y116" s="41" t="str" cm="1">
        <f t="array" ref="Y116">IF(AND($Y$57=1,Y66&lt;&gt;""),
    "O"&amp;Data!CN51,
    IF(Y66&lt;&gt;"",
       IF(OR(COUNTIF(Y66,"L*"),COUNTIF(Y66,"X*")),
          SUBSTITUTE(SUBSTITUTE(SUBSTITUTE(SUBSTITUTE(Y66,"P",""),"I",""),"V",""),"B","") &amp;
          IF(
             OR(
               COUNTIF(Y66,"*"&amp;$BN$59&amp;"*"),
               COUNTIF(Y66,"*"&amp;$BN$60&amp;"*"),
               COUNTIF(Y66,"*"&amp;$BN$61&amp;"*"),
               COUNTIF(Y66,"*"&amp;$BN$62&amp;"*"),
               COUNTIF(Y66,"*"&amp;$BN$63&amp;"*")
             ),
             "",
             IF(
               SUMPRODUCT(--ISNUMBER(MID(Y66,ROW($1:$20),1)*1))&gt;0,
               "",
               Data!CN51
             )
          ),
          SUBSTITUTE(SUBSTITUTE(SUBSTITUTE(SUBSTITUTE(SUBSTITUTE(SUBSTITUTE(SUBSTITUTE(SUBSTITUTE(SUBSTITUTE(Y66,$BN$59,""),$BN$60,""),$BN$61,""),$BN$62,""),$BN$63,""),"P",""),"I",""),"V",""),"B","") &amp;
          Data!CN51
       ),
       ""
    )
)</f>
        <v/>
      </c>
      <c r="Z116" s="41" t="str" cm="1">
        <f t="array" ref="Z116">IF(AND($Y$57=1,Z66&lt;&gt;""),
    "O"&amp;Data!CO51,
    IF(Z66&lt;&gt;"",
       IF(OR(COUNTIF(Z66,"L*"),COUNTIF(Z66,"X*")),
          SUBSTITUTE(SUBSTITUTE(SUBSTITUTE(SUBSTITUTE(Z66,"P",""),"I",""),"V",""),"B","") &amp;
          IF(
             OR(
               COUNTIF(Z66,"*"&amp;$BN$59&amp;"*"),
               COUNTIF(Z66,"*"&amp;$BN$60&amp;"*"),
               COUNTIF(Z66,"*"&amp;$BN$61&amp;"*"),
               COUNTIF(Z66,"*"&amp;$BN$62&amp;"*"),
               COUNTIF(Z66,"*"&amp;$BN$63&amp;"*")
             ),
             "",
             IF(
               SUMPRODUCT(--ISNUMBER(MID(Z66,ROW($1:$20),1)*1))&gt;0,
               "",
               Data!CO51
             )
          ),
          SUBSTITUTE(SUBSTITUTE(SUBSTITUTE(SUBSTITUTE(SUBSTITUTE(SUBSTITUTE(SUBSTITUTE(SUBSTITUTE(SUBSTITUTE(Z66,$BN$59,""),$BN$60,""),$BN$61,""),$BN$62,""),$BN$63,""),"P",""),"I",""),"V",""),"B","") &amp;
          Data!CO51
       ),
       ""
    )
)</f>
        <v/>
      </c>
      <c r="AA116" s="41" t="str" cm="1">
        <f t="array" ref="AA116">IF(AND($Y$57=1,AA66&lt;&gt;""),
    "O"&amp;Data!CP51,
    IF(AA66&lt;&gt;"",
       IF(OR(COUNTIF(AA66,"L*"),COUNTIF(AA66,"X*")),
          SUBSTITUTE(SUBSTITUTE(SUBSTITUTE(SUBSTITUTE(AA66,"P",""),"I",""),"V",""),"B","") &amp;
          IF(
             OR(
               COUNTIF(AA66,"*"&amp;$BN$59&amp;"*"),
               COUNTIF(AA66,"*"&amp;$BN$60&amp;"*"),
               COUNTIF(AA66,"*"&amp;$BN$61&amp;"*"),
               COUNTIF(AA66,"*"&amp;$BN$62&amp;"*"),
               COUNTIF(AA66,"*"&amp;$BN$63&amp;"*")
             ),
             "",
             IF(
               SUMPRODUCT(--ISNUMBER(MID(AA66,ROW($1:$20),1)*1))&gt;0,
               "",
               Data!CP51
             )
          ),
          SUBSTITUTE(SUBSTITUTE(SUBSTITUTE(SUBSTITUTE(SUBSTITUTE(SUBSTITUTE(SUBSTITUTE(SUBSTITUTE(SUBSTITUTE(AA66,$BN$59,""),$BN$60,""),$BN$61,""),$BN$62,""),$BN$63,""),"P",""),"I",""),"V",""),"B","") &amp;
          Data!CP51
       ),
       ""
    )
)</f>
        <v/>
      </c>
      <c r="AB116" s="41" t="str" cm="1">
        <f t="array" ref="AB116">IF(AND($Y$57=1,AB66&lt;&gt;""),
    "O"&amp;Data!CQ51,
    IF(AB66&lt;&gt;"",
       IF(OR(COUNTIF(AB66,"L*"),COUNTIF(AB66,"X*")),
          SUBSTITUTE(SUBSTITUTE(SUBSTITUTE(SUBSTITUTE(AB66,"P",""),"I",""),"V",""),"B","") &amp;
          IF(
             OR(
               COUNTIF(AB66,"*"&amp;$BN$59&amp;"*"),
               COUNTIF(AB66,"*"&amp;$BN$60&amp;"*"),
               COUNTIF(AB66,"*"&amp;$BN$61&amp;"*"),
               COUNTIF(AB66,"*"&amp;$BN$62&amp;"*"),
               COUNTIF(AB66,"*"&amp;$BN$63&amp;"*")
             ),
             "",
             IF(
               SUMPRODUCT(--ISNUMBER(MID(AB66,ROW($1:$20),1)*1))&gt;0,
               "",
               Data!CQ51
             )
          ),
          SUBSTITUTE(SUBSTITUTE(SUBSTITUTE(SUBSTITUTE(SUBSTITUTE(SUBSTITUTE(SUBSTITUTE(SUBSTITUTE(SUBSTITUTE(AB66,$BN$59,""),$BN$60,""),$BN$61,""),$BN$62,""),$BN$63,""),"P",""),"I",""),"V",""),"B","") &amp;
          Data!CQ51
       ),
       ""
    )
)</f>
        <v/>
      </c>
      <c r="AC116" s="41" t="str" cm="1">
        <f t="array" ref="AC116">IF(AND($Y$57=1,AC66&lt;&gt;""),
    "O"&amp;Data!CR51,
    IF(AC66&lt;&gt;"",
       IF(OR(COUNTIF(AC66,"L*"),COUNTIF(AC66,"X*")),
          SUBSTITUTE(SUBSTITUTE(SUBSTITUTE(SUBSTITUTE(AC66,"P",""),"I",""),"V",""),"B","") &amp;
          IF(
             OR(
               COUNTIF(AC66,"*"&amp;$BN$59&amp;"*"),
               COUNTIF(AC66,"*"&amp;$BN$60&amp;"*"),
               COUNTIF(AC66,"*"&amp;$BN$61&amp;"*"),
               COUNTIF(AC66,"*"&amp;$BN$62&amp;"*"),
               COUNTIF(AC66,"*"&amp;$BN$63&amp;"*")
             ),
             "",
             IF(
               SUMPRODUCT(--ISNUMBER(MID(AC66,ROW($1:$20),1)*1))&gt;0,
               "",
               Data!CR51
             )
          ),
          SUBSTITUTE(SUBSTITUTE(SUBSTITUTE(SUBSTITUTE(SUBSTITUTE(SUBSTITUTE(SUBSTITUTE(SUBSTITUTE(SUBSTITUTE(AC66,$BN$59,""),$BN$60,""),$BN$61,""),$BN$62,""),$BN$63,""),"P",""),"I",""),"V",""),"B","") &amp;
          Data!CR51
       ),
       ""
    )
)</f>
        <v/>
      </c>
      <c r="AD116" s="41" t="str" cm="1">
        <f t="array" ref="AD116">IF(AND($Y$57=1,AD66&lt;&gt;""),
    "O"&amp;Data!CS51,
    IF(AD66&lt;&gt;"",
       IF(OR(COUNTIF(AD66,"L*"),COUNTIF(AD66,"X*")),
          SUBSTITUTE(SUBSTITUTE(SUBSTITUTE(SUBSTITUTE(AD66,"P",""),"I",""),"V",""),"B","") &amp;
          IF(
             OR(
               COUNTIF(AD66,"*"&amp;$BN$59&amp;"*"),
               COUNTIF(AD66,"*"&amp;$BN$60&amp;"*"),
               COUNTIF(AD66,"*"&amp;$BN$61&amp;"*"),
               COUNTIF(AD66,"*"&amp;$BN$62&amp;"*"),
               COUNTIF(AD66,"*"&amp;$BN$63&amp;"*")
             ),
             "",
             IF(
               SUMPRODUCT(--ISNUMBER(MID(AD66,ROW($1:$20),1)*1))&gt;0,
               "",
               Data!CS51
             )
          ),
          SUBSTITUTE(SUBSTITUTE(SUBSTITUTE(SUBSTITUTE(SUBSTITUTE(SUBSTITUTE(SUBSTITUTE(SUBSTITUTE(SUBSTITUTE(AD66,$BN$59,""),$BN$60,""),$BN$61,""),$BN$62,""),$BN$63,""),"P",""),"I",""),"V",""),"B","") &amp;
          Data!CS51
       ),
       ""
    )
)</f>
        <v/>
      </c>
      <c r="AE116" s="41" t="str" cm="1">
        <f t="array" ref="AE116">IF(AND($Y$57=1,AE66&lt;&gt;""),
    "O"&amp;Data!CT51,
    IF(AE66&lt;&gt;"",
       IF(OR(COUNTIF(AE66,"L*"),COUNTIF(AE66,"X*")),
          SUBSTITUTE(SUBSTITUTE(SUBSTITUTE(SUBSTITUTE(AE66,"P",""),"I",""),"V",""),"B","") &amp;
          IF(
             OR(
               COUNTIF(AE66,"*"&amp;$BN$59&amp;"*"),
               COUNTIF(AE66,"*"&amp;$BN$60&amp;"*"),
               COUNTIF(AE66,"*"&amp;$BN$61&amp;"*"),
               COUNTIF(AE66,"*"&amp;$BN$62&amp;"*"),
               COUNTIF(AE66,"*"&amp;$BN$63&amp;"*")
             ),
             "",
             IF(
               SUMPRODUCT(--ISNUMBER(MID(AE66,ROW($1:$20),1)*1))&gt;0,
               "",
               Data!CT51
             )
          ),
          SUBSTITUTE(SUBSTITUTE(SUBSTITUTE(SUBSTITUTE(SUBSTITUTE(SUBSTITUTE(SUBSTITUTE(SUBSTITUTE(SUBSTITUTE(AE66,$BN$59,""),$BN$60,""),$BN$61,""),$BN$62,""),$BN$63,""),"P",""),"I",""),"V",""),"B","") &amp;
          Data!CT51
       ),
       ""
    )
)</f>
        <v/>
      </c>
      <c r="AF116" s="41" t="str" cm="1">
        <f t="array" ref="AF116">IF(AND($Y$57=1,AF66&lt;&gt;""),
    "O"&amp;Data!CU51,
    IF(AF66&lt;&gt;"",
       IF(OR(COUNTIF(AF66,"L*"),COUNTIF(AF66,"X*")),
          SUBSTITUTE(SUBSTITUTE(SUBSTITUTE(SUBSTITUTE(AF66,"P",""),"I",""),"V",""),"B","") &amp;
          IF(
             OR(
               COUNTIF(AF66,"*"&amp;$BN$59&amp;"*"),
               COUNTIF(AF66,"*"&amp;$BN$60&amp;"*"),
               COUNTIF(AF66,"*"&amp;$BN$61&amp;"*"),
               COUNTIF(AF66,"*"&amp;$BN$62&amp;"*"),
               COUNTIF(AF66,"*"&amp;$BN$63&amp;"*")
             ),
             "",
             IF(
               SUMPRODUCT(--ISNUMBER(MID(AF66,ROW($1:$20),1)*1))&gt;0,
               "",
               Data!CU51
             )
          ),
          SUBSTITUTE(SUBSTITUTE(SUBSTITUTE(SUBSTITUTE(SUBSTITUTE(SUBSTITUTE(SUBSTITUTE(SUBSTITUTE(SUBSTITUTE(AF66,$BN$59,""),$BN$60,""),$BN$61,""),$BN$62,""),$BN$63,""),"P",""),"I",""),"V",""),"B","") &amp;
          Data!CU51
       ),
       ""
    )
)</f>
        <v/>
      </c>
      <c r="AG116" s="41" t="str" cm="1">
        <f t="array" ref="AG116">IF(AND($Y$57=1,AG66&lt;&gt;""),
    "O"&amp;Data!CV51,
    IF(AG66&lt;&gt;"",
       IF(OR(COUNTIF(AG66,"L*"),COUNTIF(AG66,"X*")),
          SUBSTITUTE(SUBSTITUTE(SUBSTITUTE(SUBSTITUTE(AG66,"P",""),"I",""),"V",""),"B","") &amp;
          IF(
             OR(
               COUNTIF(AG66,"*"&amp;$BN$59&amp;"*"),
               COUNTIF(AG66,"*"&amp;$BN$60&amp;"*"),
               COUNTIF(AG66,"*"&amp;$BN$61&amp;"*"),
               COUNTIF(AG66,"*"&amp;$BN$62&amp;"*"),
               COUNTIF(AG66,"*"&amp;$BN$63&amp;"*")
             ),
             "",
             IF(
               SUMPRODUCT(--ISNUMBER(MID(AG66,ROW($1:$20),1)*1))&gt;0,
               "",
               Data!CV51
             )
          ),
          SUBSTITUTE(SUBSTITUTE(SUBSTITUTE(SUBSTITUTE(SUBSTITUTE(SUBSTITUTE(SUBSTITUTE(SUBSTITUTE(SUBSTITUTE(AG66,$BN$59,""),$BN$60,""),$BN$61,""),$BN$62,""),$BN$63,""),"P",""),"I",""),"V",""),"B","") &amp;
          Data!CV51
       ),
       ""
    )
)</f>
        <v/>
      </c>
      <c r="AH116" s="41" t="str" cm="1">
        <f t="array" ref="AH116">IF(AND($Y$57=1,AH66&lt;&gt;""),
    "O"&amp;Data!CW51,
    IF(AH66&lt;&gt;"",
       IF(OR(COUNTIF(AH66,"L*"),COUNTIF(AH66,"X*")),
          SUBSTITUTE(SUBSTITUTE(SUBSTITUTE(SUBSTITUTE(AH66,"P",""),"I",""),"V",""),"B","") &amp;
          IF(
             OR(
               COUNTIF(AH66,"*"&amp;$BN$59&amp;"*"),
               COUNTIF(AH66,"*"&amp;$BN$60&amp;"*"),
               COUNTIF(AH66,"*"&amp;$BN$61&amp;"*"),
               COUNTIF(AH66,"*"&amp;$BN$62&amp;"*"),
               COUNTIF(AH66,"*"&amp;$BN$63&amp;"*")
             ),
             "",
             IF(
               SUMPRODUCT(--ISNUMBER(MID(AH66,ROW($1:$20),1)*1))&gt;0,
               "",
               Data!CW51
             )
          ),
          SUBSTITUTE(SUBSTITUTE(SUBSTITUTE(SUBSTITUTE(SUBSTITUTE(SUBSTITUTE(SUBSTITUTE(SUBSTITUTE(SUBSTITUTE(AH66,$BN$59,""),$BN$60,""),$BN$61,""),$BN$62,""),$BN$63,""),"P",""),"I",""),"V",""),"B","") &amp;
          Data!CW51
       ),
       ""
    )
)</f>
        <v/>
      </c>
      <c r="AI116" s="41" t="str" cm="1">
        <f t="array" ref="AI116">IF(AND($Y$57=1,AI66&lt;&gt;""),
    "O"&amp;Data!CX51,
    IF(AI66&lt;&gt;"",
       IF(OR(COUNTIF(AI66,"L*"),COUNTIF(AI66,"X*")),
          SUBSTITUTE(SUBSTITUTE(SUBSTITUTE(SUBSTITUTE(AI66,"P",""),"I",""),"V",""),"B","") &amp;
          IF(
             OR(
               COUNTIF(AI66,"*"&amp;$BN$59&amp;"*"),
               COUNTIF(AI66,"*"&amp;$BN$60&amp;"*"),
               COUNTIF(AI66,"*"&amp;$BN$61&amp;"*"),
               COUNTIF(AI66,"*"&amp;$BN$62&amp;"*"),
               COUNTIF(AI66,"*"&amp;$BN$63&amp;"*")
             ),
             "",
             IF(
               SUMPRODUCT(--ISNUMBER(MID(AI66,ROW($1:$20),1)*1))&gt;0,
               "",
               Data!CX51
             )
          ),
          SUBSTITUTE(SUBSTITUTE(SUBSTITUTE(SUBSTITUTE(SUBSTITUTE(SUBSTITUTE(SUBSTITUTE(SUBSTITUTE(SUBSTITUTE(AI66,$BN$59,""),$BN$60,""),$BN$61,""),$BN$62,""),$BN$63,""),"P",""),"I",""),"V",""),"B","") &amp;
          Data!CX51
       ),
       ""
    )
)</f>
        <v/>
      </c>
      <c r="AJ116" s="41" t="str" cm="1">
        <f t="array" ref="AJ116">IF(AND($Y$57=1,AJ66&lt;&gt;""),
    "O"&amp;Data!CY51,
    IF(AJ66&lt;&gt;"",
       IF(OR(COUNTIF(AJ66,"L*"),COUNTIF(AJ66,"X*")),
          SUBSTITUTE(SUBSTITUTE(SUBSTITUTE(SUBSTITUTE(AJ66,"P",""),"I",""),"V",""),"B","") &amp;
          IF(
             OR(
               COUNTIF(AJ66,"*"&amp;$BN$59&amp;"*"),
               COUNTIF(AJ66,"*"&amp;$BN$60&amp;"*"),
               COUNTIF(AJ66,"*"&amp;$BN$61&amp;"*"),
               COUNTIF(AJ66,"*"&amp;$BN$62&amp;"*"),
               COUNTIF(AJ66,"*"&amp;$BN$63&amp;"*")
             ),
             "",
             IF(
               SUMPRODUCT(--ISNUMBER(MID(AJ66,ROW($1:$20),1)*1))&gt;0,
               "",
               Data!CY51
             )
          ),
          SUBSTITUTE(SUBSTITUTE(SUBSTITUTE(SUBSTITUTE(SUBSTITUTE(SUBSTITUTE(SUBSTITUTE(SUBSTITUTE(SUBSTITUTE(AJ66,$BN$59,""),$BN$60,""),$BN$61,""),$BN$62,""),$BN$63,""),"P",""),"I",""),"V",""),"B","") &amp;
          Data!CY51
       ),
       ""
    )
)</f>
        <v/>
      </c>
    </row>
    <row r="117" spans="1:54" ht="23.25" customHeight="1" x14ac:dyDescent="0.35">
      <c r="A117" s="1196"/>
      <c r="B117" s="22">
        <v>7</v>
      </c>
      <c r="C117" s="41" t="str" cm="1">
        <f t="array" ref="C117">IF(AND($Y$57=1,C67&lt;&gt;""),
    "O"&amp;Data!BR52,
    IF(C67&lt;&gt;"",
       IF(OR(COUNTIF(C67,"L*"),COUNTIF(C67,"X*")),
          SUBSTITUTE(SUBSTITUTE(SUBSTITUTE(SUBSTITUTE(C67,"P",""),"I",""),"V",""),"B","") &amp;
          IF(
             OR(
               COUNTIF(C67,"*"&amp;$BN$59&amp;"*"),
               COUNTIF(C67,"*"&amp;$BN$60&amp;"*"),
               COUNTIF(C67,"*"&amp;$BN$61&amp;"*"),
               COUNTIF(C67,"*"&amp;$BN$62&amp;"*"),
               COUNTIF(C67,"*"&amp;$BN$63&amp;"*")
             ),
             "",
             IF(
               SUMPRODUCT(--ISNUMBER(MID(C67,ROW($1:$20),1)*1))&gt;0,
               "",
               Data!BR52
             )
          ),
          SUBSTITUTE(SUBSTITUTE(SUBSTITUTE(SUBSTITUTE(SUBSTITUTE(SUBSTITUTE(SUBSTITUTE(SUBSTITUTE(SUBSTITUTE(C67,$BN$59,""),$BN$60,""),$BN$61,""),$BN$62,""),$BN$63,""),"P",""),"I",""),"V",""),"B","") &amp;
          Data!BR52
       ),
       ""
    )
)</f>
        <v/>
      </c>
      <c r="D117" s="41" t="str" cm="1">
        <f t="array" ref="D117">IF(AND($Y$57=1,D67&lt;&gt;""),
    "O"&amp;Data!BS52,
    IF(D67&lt;&gt;"",
       IF(OR(COUNTIF(D67,"L*"),COUNTIF(D67,"X*")),
          SUBSTITUTE(SUBSTITUTE(SUBSTITUTE(SUBSTITUTE(D67,"P",""),"I",""),"V",""),"B","") &amp;
          IF(
             OR(
               COUNTIF(D67,"*"&amp;$BN$59&amp;"*"),
               COUNTIF(D67,"*"&amp;$BN$60&amp;"*"),
               COUNTIF(D67,"*"&amp;$BN$61&amp;"*"),
               COUNTIF(D67,"*"&amp;$BN$62&amp;"*"),
               COUNTIF(D67,"*"&amp;$BN$63&amp;"*")
             ),
             "",
             IF(
               SUMPRODUCT(--ISNUMBER(MID(D67,ROW($1:$20),1)*1))&gt;0,
               "",
               Data!BS52
             )
          ),
          SUBSTITUTE(SUBSTITUTE(SUBSTITUTE(SUBSTITUTE(SUBSTITUTE(SUBSTITUTE(SUBSTITUTE(SUBSTITUTE(SUBSTITUTE(D67,$BN$59,""),$BN$60,""),$BN$61,""),$BN$62,""),$BN$63,""),"P",""),"I",""),"V",""),"B","") &amp;
          Data!BS52
       ),
       ""
    )
)</f>
        <v/>
      </c>
      <c r="E117" s="41" t="str" cm="1">
        <f t="array" ref="E117">IF(AND($Y$57=1,E67&lt;&gt;""),
    "O"&amp;Data!BT52,
    IF(E67&lt;&gt;"",
       IF(OR(COUNTIF(E67,"L*"),COUNTIF(E67,"X*")),
          SUBSTITUTE(SUBSTITUTE(SUBSTITUTE(SUBSTITUTE(E67,"P",""),"I",""),"V",""),"B","") &amp;
          IF(
             OR(
               COUNTIF(E67,"*"&amp;$BN$59&amp;"*"),
               COUNTIF(E67,"*"&amp;$BN$60&amp;"*"),
               COUNTIF(E67,"*"&amp;$BN$61&amp;"*"),
               COUNTIF(E67,"*"&amp;$BN$62&amp;"*"),
               COUNTIF(E67,"*"&amp;$BN$63&amp;"*")
             ),
             "",
             IF(
               SUMPRODUCT(--ISNUMBER(MID(E67,ROW($1:$20),1)*1))&gt;0,
               "",
               Data!BT52
             )
          ),
          SUBSTITUTE(SUBSTITUTE(SUBSTITUTE(SUBSTITUTE(SUBSTITUTE(SUBSTITUTE(SUBSTITUTE(SUBSTITUTE(SUBSTITUTE(E67,$BN$59,""),$BN$60,""),$BN$61,""),$BN$62,""),$BN$63,""),"P",""),"I",""),"V",""),"B","") &amp;
          Data!BT52
       ),
       ""
    )
)</f>
        <v/>
      </c>
      <c r="F117" s="41" t="str" cm="1">
        <f t="array" ref="F117">IF(AND($Y$57=1,F67&lt;&gt;""),
    "O"&amp;Data!BU52,
    IF(F67&lt;&gt;"",
       IF(OR(COUNTIF(F67,"L*"),COUNTIF(F67,"X*")),
          SUBSTITUTE(SUBSTITUTE(SUBSTITUTE(SUBSTITUTE(F67,"P",""),"I",""),"V",""),"B","") &amp;
          IF(
             OR(
               COUNTIF(F67,"*"&amp;$BN$59&amp;"*"),
               COUNTIF(F67,"*"&amp;$BN$60&amp;"*"),
               COUNTIF(F67,"*"&amp;$BN$61&amp;"*"),
               COUNTIF(F67,"*"&amp;$BN$62&amp;"*"),
               COUNTIF(F67,"*"&amp;$BN$63&amp;"*")
             ),
             "",
             IF(
               SUMPRODUCT(--ISNUMBER(MID(F67,ROW($1:$20),1)*1))&gt;0,
               "",
               Data!BU52
             )
          ),
          SUBSTITUTE(SUBSTITUTE(SUBSTITUTE(SUBSTITUTE(SUBSTITUTE(SUBSTITUTE(SUBSTITUTE(SUBSTITUTE(SUBSTITUTE(F67,$BN$59,""),$BN$60,""),$BN$61,""),$BN$62,""),$BN$63,""),"P",""),"I",""),"V",""),"B","") &amp;
          Data!BU52
       ),
       ""
    )
)</f>
        <v/>
      </c>
      <c r="G117" s="41" t="str" cm="1">
        <f t="array" ref="G117">IF(AND($Y$57=1,G67&lt;&gt;""),
    "O"&amp;Data!BV52,
    IF(G67&lt;&gt;"",
       IF(OR(COUNTIF(G67,"L*"),COUNTIF(G67,"X*")),
          SUBSTITUTE(SUBSTITUTE(SUBSTITUTE(SUBSTITUTE(G67,"P",""),"I",""),"V",""),"B","") &amp;
          IF(
             OR(
               COUNTIF(G67,"*"&amp;$BN$59&amp;"*"),
               COUNTIF(G67,"*"&amp;$BN$60&amp;"*"),
               COUNTIF(G67,"*"&amp;$BN$61&amp;"*"),
               COUNTIF(G67,"*"&amp;$BN$62&amp;"*"),
               COUNTIF(G67,"*"&amp;$BN$63&amp;"*")
             ),
             "",
             IF(
               SUMPRODUCT(--ISNUMBER(MID(G67,ROW($1:$20),1)*1))&gt;0,
               "",
               Data!BV52
             )
          ),
          SUBSTITUTE(SUBSTITUTE(SUBSTITUTE(SUBSTITUTE(SUBSTITUTE(SUBSTITUTE(SUBSTITUTE(SUBSTITUTE(SUBSTITUTE(G67,$BN$59,""),$BN$60,""),$BN$61,""),$BN$62,""),$BN$63,""),"P",""),"I",""),"V",""),"B","") &amp;
          Data!BV52
       ),
       ""
    )
)</f>
        <v/>
      </c>
      <c r="H117" s="41" t="str" cm="1">
        <f t="array" ref="H117">IF(AND($Y$57=1,H67&lt;&gt;""),
    "O"&amp;Data!BW52,
    IF(H67&lt;&gt;"",
       IF(OR(COUNTIF(H67,"L*"),COUNTIF(H67,"X*")),
          SUBSTITUTE(SUBSTITUTE(SUBSTITUTE(SUBSTITUTE(H67,"P",""),"I",""),"V",""),"B","") &amp;
          IF(
             OR(
               COUNTIF(H67,"*"&amp;$BN$59&amp;"*"),
               COUNTIF(H67,"*"&amp;$BN$60&amp;"*"),
               COUNTIF(H67,"*"&amp;$BN$61&amp;"*"),
               COUNTIF(H67,"*"&amp;$BN$62&amp;"*"),
               COUNTIF(H67,"*"&amp;$BN$63&amp;"*")
             ),
             "",
             IF(
               SUMPRODUCT(--ISNUMBER(MID(H67,ROW($1:$20),1)*1))&gt;0,
               "",
               Data!BW52
             )
          ),
          SUBSTITUTE(SUBSTITUTE(SUBSTITUTE(SUBSTITUTE(SUBSTITUTE(SUBSTITUTE(SUBSTITUTE(SUBSTITUTE(SUBSTITUTE(H67,$BN$59,""),$BN$60,""),$BN$61,""),$BN$62,""),$BN$63,""),"P",""),"I",""),"V",""),"B","") &amp;
          Data!BW52
       ),
       ""
    )
)</f>
        <v/>
      </c>
      <c r="I117" s="41" t="str" cm="1">
        <f t="array" ref="I117">IF(AND($Y$57=1,I67&lt;&gt;""),
    "O"&amp;Data!BX52,
    IF(I67&lt;&gt;"",
       IF(OR(COUNTIF(I67,"L*"),COUNTIF(I67,"X*")),
          SUBSTITUTE(SUBSTITUTE(SUBSTITUTE(SUBSTITUTE(I67,"P",""),"I",""),"V",""),"B","") &amp;
          IF(
             OR(
               COUNTIF(I67,"*"&amp;$BN$59&amp;"*"),
               COUNTIF(I67,"*"&amp;$BN$60&amp;"*"),
               COUNTIF(I67,"*"&amp;$BN$61&amp;"*"),
               COUNTIF(I67,"*"&amp;$BN$62&amp;"*"),
               COUNTIF(I67,"*"&amp;$BN$63&amp;"*")
             ),
             "",
             IF(
               SUMPRODUCT(--ISNUMBER(MID(I67,ROW($1:$20),1)*1))&gt;0,
               "",
               Data!BX52
             )
          ),
          SUBSTITUTE(SUBSTITUTE(SUBSTITUTE(SUBSTITUTE(SUBSTITUTE(SUBSTITUTE(SUBSTITUTE(SUBSTITUTE(SUBSTITUTE(I67,$BN$59,""),$BN$60,""),$BN$61,""),$BN$62,""),$BN$63,""),"P",""),"I",""),"V",""),"B","") &amp;
          Data!BX52
       ),
       ""
    )
)</f>
        <v/>
      </c>
      <c r="J117" s="41" t="str" cm="1">
        <f t="array" ref="J117">IF(AND($Y$57=1,J67&lt;&gt;""),
    "O"&amp;Data!BY52,
    IF(J67&lt;&gt;"",
       IF(OR(COUNTIF(J67,"L*"),COUNTIF(J67,"X*")),
          SUBSTITUTE(SUBSTITUTE(SUBSTITUTE(SUBSTITUTE(J67,"P",""),"I",""),"V",""),"B","") &amp;
          IF(
             OR(
               COUNTIF(J67,"*"&amp;$BN$59&amp;"*"),
               COUNTIF(J67,"*"&amp;$BN$60&amp;"*"),
               COUNTIF(J67,"*"&amp;$BN$61&amp;"*"),
               COUNTIF(J67,"*"&amp;$BN$62&amp;"*"),
               COUNTIF(J67,"*"&amp;$BN$63&amp;"*")
             ),
             "",
             IF(
               SUMPRODUCT(--ISNUMBER(MID(J67,ROW($1:$20),1)*1))&gt;0,
               "",
               Data!BY52
             )
          ),
          SUBSTITUTE(SUBSTITUTE(SUBSTITUTE(SUBSTITUTE(SUBSTITUTE(SUBSTITUTE(SUBSTITUTE(SUBSTITUTE(SUBSTITUTE(J67,$BN$59,""),$BN$60,""),$BN$61,""),$BN$62,""),$BN$63,""),"P",""),"I",""),"V",""),"B","") &amp;
          Data!BY52
       ),
       ""
    )
)</f>
        <v/>
      </c>
      <c r="K117" s="41" t="str" cm="1">
        <f t="array" ref="K117">IF(AND($Y$57=1,K67&lt;&gt;""),
    "O"&amp;Data!BZ52,
    IF(K67&lt;&gt;"",
       IF(OR(COUNTIF(K67,"L*"),COUNTIF(K67,"X*")),
          SUBSTITUTE(SUBSTITUTE(SUBSTITUTE(SUBSTITUTE(K67,"P",""),"I",""),"V",""),"B","") &amp;
          IF(
             OR(
               COUNTIF(K67,"*"&amp;$BN$59&amp;"*"),
               COUNTIF(K67,"*"&amp;$BN$60&amp;"*"),
               COUNTIF(K67,"*"&amp;$BN$61&amp;"*"),
               COUNTIF(K67,"*"&amp;$BN$62&amp;"*"),
               COUNTIF(K67,"*"&amp;$BN$63&amp;"*")
             ),
             "",
             IF(
               SUMPRODUCT(--ISNUMBER(MID(K67,ROW($1:$20),1)*1))&gt;0,
               "",
               Data!BZ52
             )
          ),
          SUBSTITUTE(SUBSTITUTE(SUBSTITUTE(SUBSTITUTE(SUBSTITUTE(SUBSTITUTE(SUBSTITUTE(SUBSTITUTE(SUBSTITUTE(K67,$BN$59,""),$BN$60,""),$BN$61,""),$BN$62,""),$BN$63,""),"P",""),"I",""),"V",""),"B","") &amp;
          Data!BZ52
       ),
       ""
    )
)</f>
        <v/>
      </c>
      <c r="L117" s="41" t="str" cm="1">
        <f t="array" ref="L117">IF(AND($Y$57=1,L67&lt;&gt;""),
    "O"&amp;Data!CA52,
    IF(L67&lt;&gt;"",
       IF(OR(COUNTIF(L67,"L*"),COUNTIF(L67,"X*")),
          SUBSTITUTE(SUBSTITUTE(SUBSTITUTE(SUBSTITUTE(L67,"P",""),"I",""),"V",""),"B","") &amp;
          IF(
             OR(
               COUNTIF(L67,"*"&amp;$BN$59&amp;"*"),
               COUNTIF(L67,"*"&amp;$BN$60&amp;"*"),
               COUNTIF(L67,"*"&amp;$BN$61&amp;"*"),
               COUNTIF(L67,"*"&amp;$BN$62&amp;"*"),
               COUNTIF(L67,"*"&amp;$BN$63&amp;"*")
             ),
             "",
             IF(
               SUMPRODUCT(--ISNUMBER(MID(L67,ROW($1:$20),1)*1))&gt;0,
               "",
               Data!CA52
             )
          ),
          SUBSTITUTE(SUBSTITUTE(SUBSTITUTE(SUBSTITUTE(SUBSTITUTE(SUBSTITUTE(SUBSTITUTE(SUBSTITUTE(SUBSTITUTE(L67,$BN$59,""),$BN$60,""),$BN$61,""),$BN$62,""),$BN$63,""),"P",""),"I",""),"V",""),"B","") &amp;
          Data!CA52
       ),
       ""
    )
)</f>
        <v/>
      </c>
      <c r="M117" s="41" t="str" cm="1">
        <f t="array" ref="M117">IF(AND($Y$57=1,M67&lt;&gt;""),
    "O"&amp;Data!CB52,
    IF(M67&lt;&gt;"",
       IF(OR(COUNTIF(M67,"L*"),COUNTIF(M67,"X*")),
          SUBSTITUTE(SUBSTITUTE(SUBSTITUTE(SUBSTITUTE(M67,"P",""),"I",""),"V",""),"B","") &amp;
          IF(
             OR(
               COUNTIF(M67,"*"&amp;$BN$59&amp;"*"),
               COUNTIF(M67,"*"&amp;$BN$60&amp;"*"),
               COUNTIF(M67,"*"&amp;$BN$61&amp;"*"),
               COUNTIF(M67,"*"&amp;$BN$62&amp;"*"),
               COUNTIF(M67,"*"&amp;$BN$63&amp;"*")
             ),
             "",
             IF(
               SUMPRODUCT(--ISNUMBER(MID(M67,ROW($1:$20),1)*1))&gt;0,
               "",
               Data!CB52
             )
          ),
          SUBSTITUTE(SUBSTITUTE(SUBSTITUTE(SUBSTITUTE(SUBSTITUTE(SUBSTITUTE(SUBSTITUTE(SUBSTITUTE(SUBSTITUTE(M67,$BN$59,""),$BN$60,""),$BN$61,""),$BN$62,""),$BN$63,""),"P",""),"I",""),"V",""),"B","") &amp;
          Data!CB52
       ),
       ""
    )
)</f>
        <v/>
      </c>
      <c r="N117" s="41" t="str" cm="1">
        <f t="array" ref="N117">IF(AND($Y$57=1,N67&lt;&gt;""),
    "O"&amp;Data!CC52,
    IF(N67&lt;&gt;"",
       IF(OR(COUNTIF(N67,"L*"),COUNTIF(N67,"X*")),
          SUBSTITUTE(SUBSTITUTE(SUBSTITUTE(SUBSTITUTE(N67,"P",""),"I",""),"V",""),"B","") &amp;
          IF(
             OR(
               COUNTIF(N67,"*"&amp;$BN$59&amp;"*"),
               COUNTIF(N67,"*"&amp;$BN$60&amp;"*"),
               COUNTIF(N67,"*"&amp;$BN$61&amp;"*"),
               COUNTIF(N67,"*"&amp;$BN$62&amp;"*"),
               COUNTIF(N67,"*"&amp;$BN$63&amp;"*")
             ),
             "",
             IF(
               SUMPRODUCT(--ISNUMBER(MID(N67,ROW($1:$20),1)*1))&gt;0,
               "",
               Data!CC52
             )
          ),
          SUBSTITUTE(SUBSTITUTE(SUBSTITUTE(SUBSTITUTE(SUBSTITUTE(SUBSTITUTE(SUBSTITUTE(SUBSTITUTE(SUBSTITUTE(N67,$BN$59,""),$BN$60,""),$BN$61,""),$BN$62,""),$BN$63,""),"P",""),"I",""),"V",""),"B","") &amp;
          Data!CC52
       ),
       ""
    )
)</f>
        <v/>
      </c>
      <c r="O117" s="41" t="str" cm="1">
        <f t="array" ref="O117">IF(AND($Y$57=1,O67&lt;&gt;""),
    "O"&amp;Data!CD52,
    IF(O67&lt;&gt;"",
       IF(OR(COUNTIF(O67,"L*"),COUNTIF(O67,"X*")),
          SUBSTITUTE(SUBSTITUTE(SUBSTITUTE(SUBSTITUTE(O67,"P",""),"I",""),"V",""),"B","") &amp;
          IF(
             OR(
               COUNTIF(O67,"*"&amp;$BN$59&amp;"*"),
               COUNTIF(O67,"*"&amp;$BN$60&amp;"*"),
               COUNTIF(O67,"*"&amp;$BN$61&amp;"*"),
               COUNTIF(O67,"*"&amp;$BN$62&amp;"*"),
               COUNTIF(O67,"*"&amp;$BN$63&amp;"*")
             ),
             "",
             IF(
               SUMPRODUCT(--ISNUMBER(MID(O67,ROW($1:$20),1)*1))&gt;0,
               "",
               Data!CD52
             )
          ),
          SUBSTITUTE(SUBSTITUTE(SUBSTITUTE(SUBSTITUTE(SUBSTITUTE(SUBSTITUTE(SUBSTITUTE(SUBSTITUTE(SUBSTITUTE(O67,$BN$59,""),$BN$60,""),$BN$61,""),$BN$62,""),$BN$63,""),"P",""),"I",""),"V",""),"B","") &amp;
          Data!CD52
       ),
       ""
    )
)</f>
        <v/>
      </c>
      <c r="P117" s="41" t="str" cm="1">
        <f t="array" ref="P117">IF(AND($Y$57=1,P67&lt;&gt;""),
    "O"&amp;Data!CE52,
    IF(P67&lt;&gt;"",
       IF(OR(COUNTIF(P67,"L*"),COUNTIF(P67,"X*")),
          SUBSTITUTE(SUBSTITUTE(SUBSTITUTE(SUBSTITUTE(P67,"P",""),"I",""),"V",""),"B","") &amp;
          IF(
             OR(
               COUNTIF(P67,"*"&amp;$BN$59&amp;"*"),
               COUNTIF(P67,"*"&amp;$BN$60&amp;"*"),
               COUNTIF(P67,"*"&amp;$BN$61&amp;"*"),
               COUNTIF(P67,"*"&amp;$BN$62&amp;"*"),
               COUNTIF(P67,"*"&amp;$BN$63&amp;"*")
             ),
             "",
             IF(
               SUMPRODUCT(--ISNUMBER(MID(P67,ROW($1:$20),1)*1))&gt;0,
               "",
               Data!CE52
             )
          ),
          SUBSTITUTE(SUBSTITUTE(SUBSTITUTE(SUBSTITUTE(SUBSTITUTE(SUBSTITUTE(SUBSTITUTE(SUBSTITUTE(SUBSTITUTE(P67,$BN$59,""),$BN$60,""),$BN$61,""),$BN$62,""),$BN$63,""),"P",""),"I",""),"V",""),"B","") &amp;
          Data!CE52
       ),
       ""
    )
)</f>
        <v/>
      </c>
      <c r="Q117" s="41" t="str" cm="1">
        <f t="array" ref="Q117">IF(AND($Y$57=1,Q67&lt;&gt;""),
    "O"&amp;Data!CF52,
    IF(Q67&lt;&gt;"",
       IF(OR(COUNTIF(Q67,"L*"),COUNTIF(Q67,"X*")),
          SUBSTITUTE(SUBSTITUTE(SUBSTITUTE(SUBSTITUTE(Q67,"P",""),"I",""),"V",""),"B","") &amp;
          IF(
             OR(
               COUNTIF(Q67,"*"&amp;$BN$59&amp;"*"),
               COUNTIF(Q67,"*"&amp;$BN$60&amp;"*"),
               COUNTIF(Q67,"*"&amp;$BN$61&amp;"*"),
               COUNTIF(Q67,"*"&amp;$BN$62&amp;"*"),
               COUNTIF(Q67,"*"&amp;$BN$63&amp;"*")
             ),
             "",
             IF(
               SUMPRODUCT(--ISNUMBER(MID(Q67,ROW($1:$20),1)*1))&gt;0,
               "",
               Data!CF52
             )
          ),
          SUBSTITUTE(SUBSTITUTE(SUBSTITUTE(SUBSTITUTE(SUBSTITUTE(SUBSTITUTE(SUBSTITUTE(SUBSTITUTE(SUBSTITUTE(Q67,$BN$59,""),$BN$60,""),$BN$61,""),$BN$62,""),$BN$63,""),"P",""),"I",""),"V",""),"B","") &amp;
          Data!CF52
       ),
       ""
    )
)</f>
        <v/>
      </c>
      <c r="R117" s="41" t="str" cm="1">
        <f t="array" ref="R117">IF(AND($Y$57=1,R67&lt;&gt;""),
    "O"&amp;Data!CG52,
    IF(R67&lt;&gt;"",
       IF(OR(COUNTIF(R67,"L*"),COUNTIF(R67,"X*")),
          SUBSTITUTE(SUBSTITUTE(SUBSTITUTE(SUBSTITUTE(R67,"P",""),"I",""),"V",""),"B","") &amp;
          IF(
             OR(
               COUNTIF(R67,"*"&amp;$BN$59&amp;"*"),
               COUNTIF(R67,"*"&amp;$BN$60&amp;"*"),
               COUNTIF(R67,"*"&amp;$BN$61&amp;"*"),
               COUNTIF(R67,"*"&amp;$BN$62&amp;"*"),
               COUNTIF(R67,"*"&amp;$BN$63&amp;"*")
             ),
             "",
             IF(
               SUMPRODUCT(--ISNUMBER(MID(R67,ROW($1:$20),1)*1))&gt;0,
               "",
               Data!CG52
             )
          ),
          SUBSTITUTE(SUBSTITUTE(SUBSTITUTE(SUBSTITUTE(SUBSTITUTE(SUBSTITUTE(SUBSTITUTE(SUBSTITUTE(SUBSTITUTE(R67,$BN$59,""),$BN$60,""),$BN$61,""),$BN$62,""),$BN$63,""),"P",""),"I",""),"V",""),"B","") &amp;
          Data!CG52
       ),
       ""
    )
)</f>
        <v/>
      </c>
      <c r="S117" s="41" t="str" cm="1">
        <f t="array" ref="S117">IF(AND($Y$57=1,S67&lt;&gt;""),
    "O"&amp;Data!CH52,
    IF(S67&lt;&gt;"",
       IF(OR(COUNTIF(S67,"L*"),COUNTIF(S67,"X*")),
          SUBSTITUTE(SUBSTITUTE(SUBSTITUTE(SUBSTITUTE(S67,"P",""),"I",""),"V",""),"B","") &amp;
          IF(
             OR(
               COUNTIF(S67,"*"&amp;$BN$59&amp;"*"),
               COUNTIF(S67,"*"&amp;$BN$60&amp;"*"),
               COUNTIF(S67,"*"&amp;$BN$61&amp;"*"),
               COUNTIF(S67,"*"&amp;$BN$62&amp;"*"),
               COUNTIF(S67,"*"&amp;$BN$63&amp;"*")
             ),
             "",
             IF(
               SUMPRODUCT(--ISNUMBER(MID(S67,ROW($1:$20),1)*1))&gt;0,
               "",
               Data!CH52
             )
          ),
          SUBSTITUTE(SUBSTITUTE(SUBSTITUTE(SUBSTITUTE(SUBSTITUTE(SUBSTITUTE(SUBSTITUTE(SUBSTITUTE(SUBSTITUTE(S67,$BN$59,""),$BN$60,""),$BN$61,""),$BN$62,""),$BN$63,""),"P",""),"I",""),"V",""),"B","") &amp;
          Data!CH52
       ),
       ""
    )
)</f>
        <v/>
      </c>
      <c r="T117" s="41" t="str" cm="1">
        <f t="array" ref="T117">IF(AND($Y$57=1,T67&lt;&gt;""),
    "O"&amp;Data!CI52,
    IF(T67&lt;&gt;"",
       IF(OR(COUNTIF(T67,"L*"),COUNTIF(T67,"X*")),
          SUBSTITUTE(SUBSTITUTE(SUBSTITUTE(SUBSTITUTE(T67,"P",""),"I",""),"V",""),"B","") &amp;
          IF(
             OR(
               COUNTIF(T67,"*"&amp;$BN$59&amp;"*"),
               COUNTIF(T67,"*"&amp;$BN$60&amp;"*"),
               COUNTIF(T67,"*"&amp;$BN$61&amp;"*"),
               COUNTIF(T67,"*"&amp;$BN$62&amp;"*"),
               COUNTIF(T67,"*"&amp;$BN$63&amp;"*")
             ),
             "",
             IF(
               SUMPRODUCT(--ISNUMBER(MID(T67,ROW($1:$20),1)*1))&gt;0,
               "",
               Data!CI52
             )
          ),
          SUBSTITUTE(SUBSTITUTE(SUBSTITUTE(SUBSTITUTE(SUBSTITUTE(SUBSTITUTE(SUBSTITUTE(SUBSTITUTE(SUBSTITUTE(T67,$BN$59,""),$BN$60,""),$BN$61,""),$BN$62,""),$BN$63,""),"P",""),"I",""),"V",""),"B","") &amp;
          Data!CI52
       ),
       ""
    )
)</f>
        <v/>
      </c>
      <c r="U117" s="41" t="str" cm="1">
        <f t="array" ref="U117">IF(AND($Y$57=1,U67&lt;&gt;""),
    "O"&amp;Data!CJ52,
    IF(U67&lt;&gt;"",
       IF(OR(COUNTIF(U67,"L*"),COUNTIF(U67,"X*")),
          SUBSTITUTE(SUBSTITUTE(SUBSTITUTE(SUBSTITUTE(U67,"P",""),"I",""),"V",""),"B","") &amp;
          IF(
             OR(
               COUNTIF(U67,"*"&amp;$BN$59&amp;"*"),
               COUNTIF(U67,"*"&amp;$BN$60&amp;"*"),
               COUNTIF(U67,"*"&amp;$BN$61&amp;"*"),
               COUNTIF(U67,"*"&amp;$BN$62&amp;"*"),
               COUNTIF(U67,"*"&amp;$BN$63&amp;"*")
             ),
             "",
             IF(
               SUMPRODUCT(--ISNUMBER(MID(U67,ROW($1:$20),1)*1))&gt;0,
               "",
               Data!CJ52
             )
          ),
          SUBSTITUTE(SUBSTITUTE(SUBSTITUTE(SUBSTITUTE(SUBSTITUTE(SUBSTITUTE(SUBSTITUTE(SUBSTITUTE(SUBSTITUTE(U67,$BN$59,""),$BN$60,""),$BN$61,""),$BN$62,""),$BN$63,""),"P",""),"I",""),"V",""),"B","") &amp;
          Data!CJ52
       ),
       ""
    )
)</f>
        <v/>
      </c>
      <c r="V117" s="41" t="str" cm="1">
        <f t="array" ref="V117">IF(AND($Y$57=1,V67&lt;&gt;""),
    "O"&amp;Data!CK52,
    IF(V67&lt;&gt;"",
       IF(OR(COUNTIF(V67,"L*"),COUNTIF(V67,"X*")),
          SUBSTITUTE(SUBSTITUTE(SUBSTITUTE(SUBSTITUTE(V67,"P",""),"I",""),"V",""),"B","") &amp;
          IF(
             OR(
               COUNTIF(V67,"*"&amp;$BN$59&amp;"*"),
               COUNTIF(V67,"*"&amp;$BN$60&amp;"*"),
               COUNTIF(V67,"*"&amp;$BN$61&amp;"*"),
               COUNTIF(V67,"*"&amp;$BN$62&amp;"*"),
               COUNTIF(V67,"*"&amp;$BN$63&amp;"*")
             ),
             "",
             IF(
               SUMPRODUCT(--ISNUMBER(MID(V67,ROW($1:$20),1)*1))&gt;0,
               "",
               Data!CK52
             )
          ),
          SUBSTITUTE(SUBSTITUTE(SUBSTITUTE(SUBSTITUTE(SUBSTITUTE(SUBSTITUTE(SUBSTITUTE(SUBSTITUTE(SUBSTITUTE(V67,$BN$59,""),$BN$60,""),$BN$61,""),$BN$62,""),$BN$63,""),"P",""),"I",""),"V",""),"B","") &amp;
          Data!CK52
       ),
       ""
    )
)</f>
        <v/>
      </c>
      <c r="W117" s="41" t="str" cm="1">
        <f t="array" ref="W117">IF(AND($Y$57=1,W67&lt;&gt;""),
    "O"&amp;Data!CL52,
    IF(W67&lt;&gt;"",
       IF(OR(COUNTIF(W67,"L*"),COUNTIF(W67,"X*")),
          SUBSTITUTE(SUBSTITUTE(SUBSTITUTE(SUBSTITUTE(W67,"P",""),"I",""),"V",""),"B","") &amp;
          IF(
             OR(
               COUNTIF(W67,"*"&amp;$BN$59&amp;"*"),
               COUNTIF(W67,"*"&amp;$BN$60&amp;"*"),
               COUNTIF(W67,"*"&amp;$BN$61&amp;"*"),
               COUNTIF(W67,"*"&amp;$BN$62&amp;"*"),
               COUNTIF(W67,"*"&amp;$BN$63&amp;"*")
             ),
             "",
             IF(
               SUMPRODUCT(--ISNUMBER(MID(W67,ROW($1:$20),1)*1))&gt;0,
               "",
               Data!CL52
             )
          ),
          SUBSTITUTE(SUBSTITUTE(SUBSTITUTE(SUBSTITUTE(SUBSTITUTE(SUBSTITUTE(SUBSTITUTE(SUBSTITUTE(SUBSTITUTE(W67,$BN$59,""),$BN$60,""),$BN$61,""),$BN$62,""),$BN$63,""),"P",""),"I",""),"V",""),"B","") &amp;
          Data!CL52
       ),
       ""
    )
)</f>
        <v/>
      </c>
      <c r="X117" s="41" t="str" cm="1">
        <f t="array" ref="X117">IF(AND($Y$57=1,X67&lt;&gt;""),
    "O"&amp;Data!CM52,
    IF(X67&lt;&gt;"",
       IF(OR(COUNTIF(X67,"L*"),COUNTIF(X67,"X*")),
          SUBSTITUTE(SUBSTITUTE(SUBSTITUTE(SUBSTITUTE(X67,"P",""),"I",""),"V",""),"B","") &amp;
          IF(
             OR(
               COUNTIF(X67,"*"&amp;$BN$59&amp;"*"),
               COUNTIF(X67,"*"&amp;$BN$60&amp;"*"),
               COUNTIF(X67,"*"&amp;$BN$61&amp;"*"),
               COUNTIF(X67,"*"&amp;$BN$62&amp;"*"),
               COUNTIF(X67,"*"&amp;$BN$63&amp;"*")
             ),
             "",
             IF(
               SUMPRODUCT(--ISNUMBER(MID(X67,ROW($1:$20),1)*1))&gt;0,
               "",
               Data!CM52
             )
          ),
          SUBSTITUTE(SUBSTITUTE(SUBSTITUTE(SUBSTITUTE(SUBSTITUTE(SUBSTITUTE(SUBSTITUTE(SUBSTITUTE(SUBSTITUTE(X67,$BN$59,""),$BN$60,""),$BN$61,""),$BN$62,""),$BN$63,""),"P",""),"I",""),"V",""),"B","") &amp;
          Data!CM52
       ),
       ""
    )
)</f>
        <v/>
      </c>
      <c r="Y117" s="41" t="str" cm="1">
        <f t="array" ref="Y117">IF(AND($Y$57=1,Y67&lt;&gt;""),
    "O"&amp;Data!CN52,
    IF(Y67&lt;&gt;"",
       IF(OR(COUNTIF(Y67,"L*"),COUNTIF(Y67,"X*")),
          SUBSTITUTE(SUBSTITUTE(SUBSTITUTE(SUBSTITUTE(Y67,"P",""),"I",""),"V",""),"B","") &amp;
          IF(
             OR(
               COUNTIF(Y67,"*"&amp;$BN$59&amp;"*"),
               COUNTIF(Y67,"*"&amp;$BN$60&amp;"*"),
               COUNTIF(Y67,"*"&amp;$BN$61&amp;"*"),
               COUNTIF(Y67,"*"&amp;$BN$62&amp;"*"),
               COUNTIF(Y67,"*"&amp;$BN$63&amp;"*")
             ),
             "",
             IF(
               SUMPRODUCT(--ISNUMBER(MID(Y67,ROW($1:$20),1)*1))&gt;0,
               "",
               Data!CN52
             )
          ),
          SUBSTITUTE(SUBSTITUTE(SUBSTITUTE(SUBSTITUTE(SUBSTITUTE(SUBSTITUTE(SUBSTITUTE(SUBSTITUTE(SUBSTITUTE(Y67,$BN$59,""),$BN$60,""),$BN$61,""),$BN$62,""),$BN$63,""),"P",""),"I",""),"V",""),"B","") &amp;
          Data!CN52
       ),
       ""
    )
)</f>
        <v/>
      </c>
      <c r="Z117" s="41" t="str" cm="1">
        <f t="array" ref="Z117">IF(AND($Y$57=1,Z67&lt;&gt;""),
    "O"&amp;Data!CO52,
    IF(Z67&lt;&gt;"",
       IF(OR(COUNTIF(Z67,"L*"),COUNTIF(Z67,"X*")),
          SUBSTITUTE(SUBSTITUTE(SUBSTITUTE(SUBSTITUTE(Z67,"P",""),"I",""),"V",""),"B","") &amp;
          IF(
             OR(
               COUNTIF(Z67,"*"&amp;$BN$59&amp;"*"),
               COUNTIF(Z67,"*"&amp;$BN$60&amp;"*"),
               COUNTIF(Z67,"*"&amp;$BN$61&amp;"*"),
               COUNTIF(Z67,"*"&amp;$BN$62&amp;"*"),
               COUNTIF(Z67,"*"&amp;$BN$63&amp;"*")
             ),
             "",
             IF(
               SUMPRODUCT(--ISNUMBER(MID(Z67,ROW($1:$20),1)*1))&gt;0,
               "",
               Data!CO52
             )
          ),
          SUBSTITUTE(SUBSTITUTE(SUBSTITUTE(SUBSTITUTE(SUBSTITUTE(SUBSTITUTE(SUBSTITUTE(SUBSTITUTE(SUBSTITUTE(Z67,$BN$59,""),$BN$60,""),$BN$61,""),$BN$62,""),$BN$63,""),"P",""),"I",""),"V",""),"B","") &amp;
          Data!CO52
       ),
       ""
    )
)</f>
        <v/>
      </c>
      <c r="AA117" s="41" t="str" cm="1">
        <f t="array" ref="AA117">IF(AND($Y$57=1,AA67&lt;&gt;""),
    "O"&amp;Data!CP52,
    IF(AA67&lt;&gt;"",
       IF(OR(COUNTIF(AA67,"L*"),COUNTIF(AA67,"X*")),
          SUBSTITUTE(SUBSTITUTE(SUBSTITUTE(SUBSTITUTE(AA67,"P",""),"I",""),"V",""),"B","") &amp;
          IF(
             OR(
               COUNTIF(AA67,"*"&amp;$BN$59&amp;"*"),
               COUNTIF(AA67,"*"&amp;$BN$60&amp;"*"),
               COUNTIF(AA67,"*"&amp;$BN$61&amp;"*"),
               COUNTIF(AA67,"*"&amp;$BN$62&amp;"*"),
               COUNTIF(AA67,"*"&amp;$BN$63&amp;"*")
             ),
             "",
             IF(
               SUMPRODUCT(--ISNUMBER(MID(AA67,ROW($1:$20),1)*1))&gt;0,
               "",
               Data!CP52
             )
          ),
          SUBSTITUTE(SUBSTITUTE(SUBSTITUTE(SUBSTITUTE(SUBSTITUTE(SUBSTITUTE(SUBSTITUTE(SUBSTITUTE(SUBSTITUTE(AA67,$BN$59,""),$BN$60,""),$BN$61,""),$BN$62,""),$BN$63,""),"P",""),"I",""),"V",""),"B","") &amp;
          Data!CP52
       ),
       ""
    )
)</f>
        <v/>
      </c>
      <c r="AB117" s="41" t="str" cm="1">
        <f t="array" ref="AB117">IF(AND($Y$57=1,AB67&lt;&gt;""),
    "O"&amp;Data!CQ52,
    IF(AB67&lt;&gt;"",
       IF(OR(COUNTIF(AB67,"L*"),COUNTIF(AB67,"X*")),
          SUBSTITUTE(SUBSTITUTE(SUBSTITUTE(SUBSTITUTE(AB67,"P",""),"I",""),"V",""),"B","") &amp;
          IF(
             OR(
               COUNTIF(AB67,"*"&amp;$BN$59&amp;"*"),
               COUNTIF(AB67,"*"&amp;$BN$60&amp;"*"),
               COUNTIF(AB67,"*"&amp;$BN$61&amp;"*"),
               COUNTIF(AB67,"*"&amp;$BN$62&amp;"*"),
               COUNTIF(AB67,"*"&amp;$BN$63&amp;"*")
             ),
             "",
             IF(
               SUMPRODUCT(--ISNUMBER(MID(AB67,ROW($1:$20),1)*1))&gt;0,
               "",
               Data!CQ52
             )
          ),
          SUBSTITUTE(SUBSTITUTE(SUBSTITUTE(SUBSTITUTE(SUBSTITUTE(SUBSTITUTE(SUBSTITUTE(SUBSTITUTE(SUBSTITUTE(AB67,$BN$59,""),$BN$60,""),$BN$61,""),$BN$62,""),$BN$63,""),"P",""),"I",""),"V",""),"B","") &amp;
          Data!CQ52
       ),
       ""
    )
)</f>
        <v/>
      </c>
      <c r="AC117" s="41" t="str" cm="1">
        <f t="array" ref="AC117">IF(AND($Y$57=1,AC67&lt;&gt;""),
    "O"&amp;Data!CR52,
    IF(AC67&lt;&gt;"",
       IF(OR(COUNTIF(AC67,"L*"),COUNTIF(AC67,"X*")),
          SUBSTITUTE(SUBSTITUTE(SUBSTITUTE(SUBSTITUTE(AC67,"P",""),"I",""),"V",""),"B","") &amp;
          IF(
             OR(
               COUNTIF(AC67,"*"&amp;$BN$59&amp;"*"),
               COUNTIF(AC67,"*"&amp;$BN$60&amp;"*"),
               COUNTIF(AC67,"*"&amp;$BN$61&amp;"*"),
               COUNTIF(AC67,"*"&amp;$BN$62&amp;"*"),
               COUNTIF(AC67,"*"&amp;$BN$63&amp;"*")
             ),
             "",
             IF(
               SUMPRODUCT(--ISNUMBER(MID(AC67,ROW($1:$20),1)*1))&gt;0,
               "",
               Data!CR52
             )
          ),
          SUBSTITUTE(SUBSTITUTE(SUBSTITUTE(SUBSTITUTE(SUBSTITUTE(SUBSTITUTE(SUBSTITUTE(SUBSTITUTE(SUBSTITUTE(AC67,$BN$59,""),$BN$60,""),$BN$61,""),$BN$62,""),$BN$63,""),"P",""),"I",""),"V",""),"B","") &amp;
          Data!CR52
       ),
       ""
    )
)</f>
        <v/>
      </c>
      <c r="AD117" s="41" t="str" cm="1">
        <f t="array" ref="AD117">IF(AND($Y$57=1,AD67&lt;&gt;""),
    "O"&amp;Data!CS52,
    IF(AD67&lt;&gt;"",
       IF(OR(COUNTIF(AD67,"L*"),COUNTIF(AD67,"X*")),
          SUBSTITUTE(SUBSTITUTE(SUBSTITUTE(SUBSTITUTE(AD67,"P",""),"I",""),"V",""),"B","") &amp;
          IF(
             OR(
               COUNTIF(AD67,"*"&amp;$BN$59&amp;"*"),
               COUNTIF(AD67,"*"&amp;$BN$60&amp;"*"),
               COUNTIF(AD67,"*"&amp;$BN$61&amp;"*"),
               COUNTIF(AD67,"*"&amp;$BN$62&amp;"*"),
               COUNTIF(AD67,"*"&amp;$BN$63&amp;"*")
             ),
             "",
             IF(
               SUMPRODUCT(--ISNUMBER(MID(AD67,ROW($1:$20),1)*1))&gt;0,
               "",
               Data!CS52
             )
          ),
          SUBSTITUTE(SUBSTITUTE(SUBSTITUTE(SUBSTITUTE(SUBSTITUTE(SUBSTITUTE(SUBSTITUTE(SUBSTITUTE(SUBSTITUTE(AD67,$BN$59,""),$BN$60,""),$BN$61,""),$BN$62,""),$BN$63,""),"P",""),"I",""),"V",""),"B","") &amp;
          Data!CS52
       ),
       ""
    )
)</f>
        <v/>
      </c>
      <c r="AE117" s="41" t="str" cm="1">
        <f t="array" ref="AE117">IF(AND($Y$57=1,AE67&lt;&gt;""),
    "O"&amp;Data!CT52,
    IF(AE67&lt;&gt;"",
       IF(OR(COUNTIF(AE67,"L*"),COUNTIF(AE67,"X*")),
          SUBSTITUTE(SUBSTITUTE(SUBSTITUTE(SUBSTITUTE(AE67,"P",""),"I",""),"V",""),"B","") &amp;
          IF(
             OR(
               COUNTIF(AE67,"*"&amp;$BN$59&amp;"*"),
               COUNTIF(AE67,"*"&amp;$BN$60&amp;"*"),
               COUNTIF(AE67,"*"&amp;$BN$61&amp;"*"),
               COUNTIF(AE67,"*"&amp;$BN$62&amp;"*"),
               COUNTIF(AE67,"*"&amp;$BN$63&amp;"*")
             ),
             "",
             IF(
               SUMPRODUCT(--ISNUMBER(MID(AE67,ROW($1:$20),1)*1))&gt;0,
               "",
               Data!CT52
             )
          ),
          SUBSTITUTE(SUBSTITUTE(SUBSTITUTE(SUBSTITUTE(SUBSTITUTE(SUBSTITUTE(SUBSTITUTE(SUBSTITUTE(SUBSTITUTE(AE67,$BN$59,""),$BN$60,""),$BN$61,""),$BN$62,""),$BN$63,""),"P",""),"I",""),"V",""),"B","") &amp;
          Data!CT52
       ),
       ""
    )
)</f>
        <v/>
      </c>
      <c r="AF117" s="41" t="str" cm="1">
        <f t="array" ref="AF117">IF(AND($Y$57=1,AF67&lt;&gt;""),
    "O"&amp;Data!CU52,
    IF(AF67&lt;&gt;"",
       IF(OR(COUNTIF(AF67,"L*"),COUNTIF(AF67,"X*")),
          SUBSTITUTE(SUBSTITUTE(SUBSTITUTE(SUBSTITUTE(AF67,"P",""),"I",""),"V",""),"B","") &amp;
          IF(
             OR(
               COUNTIF(AF67,"*"&amp;$BN$59&amp;"*"),
               COUNTIF(AF67,"*"&amp;$BN$60&amp;"*"),
               COUNTIF(AF67,"*"&amp;$BN$61&amp;"*"),
               COUNTIF(AF67,"*"&amp;$BN$62&amp;"*"),
               COUNTIF(AF67,"*"&amp;$BN$63&amp;"*")
             ),
             "",
             IF(
               SUMPRODUCT(--ISNUMBER(MID(AF67,ROW($1:$20),1)*1))&gt;0,
               "",
               Data!CU52
             )
          ),
          SUBSTITUTE(SUBSTITUTE(SUBSTITUTE(SUBSTITUTE(SUBSTITUTE(SUBSTITUTE(SUBSTITUTE(SUBSTITUTE(SUBSTITUTE(AF67,$BN$59,""),$BN$60,""),$BN$61,""),$BN$62,""),$BN$63,""),"P",""),"I",""),"V",""),"B","") &amp;
          Data!CU52
       ),
       ""
    )
)</f>
        <v/>
      </c>
      <c r="AG117" s="41" t="str" cm="1">
        <f t="array" ref="AG117">IF(AND($Y$57=1,AG67&lt;&gt;""),
    "O"&amp;Data!CV52,
    IF(AG67&lt;&gt;"",
       IF(OR(COUNTIF(AG67,"L*"),COUNTIF(AG67,"X*")),
          SUBSTITUTE(SUBSTITUTE(SUBSTITUTE(SUBSTITUTE(AG67,"P",""),"I",""),"V",""),"B","") &amp;
          IF(
             OR(
               COUNTIF(AG67,"*"&amp;$BN$59&amp;"*"),
               COUNTIF(AG67,"*"&amp;$BN$60&amp;"*"),
               COUNTIF(AG67,"*"&amp;$BN$61&amp;"*"),
               COUNTIF(AG67,"*"&amp;$BN$62&amp;"*"),
               COUNTIF(AG67,"*"&amp;$BN$63&amp;"*")
             ),
             "",
             IF(
               SUMPRODUCT(--ISNUMBER(MID(AG67,ROW($1:$20),1)*1))&gt;0,
               "",
               Data!CV52
             )
          ),
          SUBSTITUTE(SUBSTITUTE(SUBSTITUTE(SUBSTITUTE(SUBSTITUTE(SUBSTITUTE(SUBSTITUTE(SUBSTITUTE(SUBSTITUTE(AG67,$BN$59,""),$BN$60,""),$BN$61,""),$BN$62,""),$BN$63,""),"P",""),"I",""),"V",""),"B","") &amp;
          Data!CV52
       ),
       ""
    )
)</f>
        <v/>
      </c>
      <c r="AH117" s="41" t="str" cm="1">
        <f t="array" ref="AH117">IF(AND($Y$57=1,AH67&lt;&gt;""),
    "O"&amp;Data!CW52,
    IF(AH67&lt;&gt;"",
       IF(OR(COUNTIF(AH67,"L*"),COUNTIF(AH67,"X*")),
          SUBSTITUTE(SUBSTITUTE(SUBSTITUTE(SUBSTITUTE(AH67,"P",""),"I",""),"V",""),"B","") &amp;
          IF(
             OR(
               COUNTIF(AH67,"*"&amp;$BN$59&amp;"*"),
               COUNTIF(AH67,"*"&amp;$BN$60&amp;"*"),
               COUNTIF(AH67,"*"&amp;$BN$61&amp;"*"),
               COUNTIF(AH67,"*"&amp;$BN$62&amp;"*"),
               COUNTIF(AH67,"*"&amp;$BN$63&amp;"*")
             ),
             "",
             IF(
               SUMPRODUCT(--ISNUMBER(MID(AH67,ROW($1:$20),1)*1))&gt;0,
               "",
               Data!CW52
             )
          ),
          SUBSTITUTE(SUBSTITUTE(SUBSTITUTE(SUBSTITUTE(SUBSTITUTE(SUBSTITUTE(SUBSTITUTE(SUBSTITUTE(SUBSTITUTE(AH67,$BN$59,""),$BN$60,""),$BN$61,""),$BN$62,""),$BN$63,""),"P",""),"I",""),"V",""),"B","") &amp;
          Data!CW52
       ),
       ""
    )
)</f>
        <v/>
      </c>
      <c r="AI117" s="41" t="str" cm="1">
        <f t="array" ref="AI117">IF(AND($Y$57=1,AI67&lt;&gt;""),
    "O"&amp;Data!CX52,
    IF(AI67&lt;&gt;"",
       IF(OR(COUNTIF(AI67,"L*"),COUNTIF(AI67,"X*")),
          SUBSTITUTE(SUBSTITUTE(SUBSTITUTE(SUBSTITUTE(AI67,"P",""),"I",""),"V",""),"B","") &amp;
          IF(
             OR(
               COUNTIF(AI67,"*"&amp;$BN$59&amp;"*"),
               COUNTIF(AI67,"*"&amp;$BN$60&amp;"*"),
               COUNTIF(AI67,"*"&amp;$BN$61&amp;"*"),
               COUNTIF(AI67,"*"&amp;$BN$62&amp;"*"),
               COUNTIF(AI67,"*"&amp;$BN$63&amp;"*")
             ),
             "",
             IF(
               SUMPRODUCT(--ISNUMBER(MID(AI67,ROW($1:$20),1)*1))&gt;0,
               "",
               Data!CX52
             )
          ),
          SUBSTITUTE(SUBSTITUTE(SUBSTITUTE(SUBSTITUTE(SUBSTITUTE(SUBSTITUTE(SUBSTITUTE(SUBSTITUTE(SUBSTITUTE(AI67,$BN$59,""),$BN$60,""),$BN$61,""),$BN$62,""),$BN$63,""),"P",""),"I",""),"V",""),"B","") &amp;
          Data!CX52
       ),
       ""
    )
)</f>
        <v/>
      </c>
      <c r="AJ117" s="41" t="str" cm="1">
        <f t="array" ref="AJ117">IF(AND($Y$57=1,AJ67&lt;&gt;""),
    "O"&amp;Data!CY52,
    IF(AJ67&lt;&gt;"",
       IF(OR(COUNTIF(AJ67,"L*"),COUNTIF(AJ67,"X*")),
          SUBSTITUTE(SUBSTITUTE(SUBSTITUTE(SUBSTITUTE(AJ67,"P",""),"I",""),"V",""),"B","") &amp;
          IF(
             OR(
               COUNTIF(AJ67,"*"&amp;$BN$59&amp;"*"),
               COUNTIF(AJ67,"*"&amp;$BN$60&amp;"*"),
               COUNTIF(AJ67,"*"&amp;$BN$61&amp;"*"),
               COUNTIF(AJ67,"*"&amp;$BN$62&amp;"*"),
               COUNTIF(AJ67,"*"&amp;$BN$63&amp;"*")
             ),
             "",
             IF(
               SUMPRODUCT(--ISNUMBER(MID(AJ67,ROW($1:$20),1)*1))&gt;0,
               "",
               Data!CY52
             )
          ),
          SUBSTITUTE(SUBSTITUTE(SUBSTITUTE(SUBSTITUTE(SUBSTITUTE(SUBSTITUTE(SUBSTITUTE(SUBSTITUTE(SUBSTITUTE(AJ67,$BN$59,""),$BN$60,""),$BN$61,""),$BN$62,""),$BN$63,""),"P",""),"I",""),"V",""),"B","") &amp;
          Data!CY52
       ),
       ""
    )
)</f>
        <v/>
      </c>
    </row>
    <row r="118" spans="1:54" ht="23.25" customHeight="1" x14ac:dyDescent="0.35">
      <c r="A118" s="1196"/>
      <c r="B118" s="22">
        <v>8</v>
      </c>
      <c r="C118" s="41" t="str" cm="1">
        <f t="array" ref="C118">IF(AND($Y$57=1,C68&lt;&gt;""),
    "O"&amp;Data!BR53,
    IF(C68&lt;&gt;"",
       IF(OR(COUNTIF(C68,"L*"),COUNTIF(C68,"X*")),
          SUBSTITUTE(SUBSTITUTE(SUBSTITUTE(SUBSTITUTE(C68,"P",""),"I",""),"V",""),"B","") &amp;
          IF(
             OR(
               COUNTIF(C68,"*"&amp;$BN$59&amp;"*"),
               COUNTIF(C68,"*"&amp;$BN$60&amp;"*"),
               COUNTIF(C68,"*"&amp;$BN$61&amp;"*"),
               COUNTIF(C68,"*"&amp;$BN$62&amp;"*"),
               COUNTIF(C68,"*"&amp;$BN$63&amp;"*")
             ),
             "",
             IF(
               SUMPRODUCT(--ISNUMBER(MID(C68,ROW($1:$20),1)*1))&gt;0,
               "",
               Data!BR53
             )
          ),
          SUBSTITUTE(SUBSTITUTE(SUBSTITUTE(SUBSTITUTE(SUBSTITUTE(SUBSTITUTE(SUBSTITUTE(SUBSTITUTE(SUBSTITUTE(C68,$BN$59,""),$BN$60,""),$BN$61,""),$BN$62,""),$BN$63,""),"P",""),"I",""),"V",""),"B","") &amp;
          Data!BR53
       ),
       ""
    )
)</f>
        <v/>
      </c>
      <c r="D118" s="41" t="str" cm="1">
        <f t="array" ref="D118">IF(AND($Y$57=1,D68&lt;&gt;""),
    "O"&amp;Data!BS53,
    IF(D68&lt;&gt;"",
       IF(OR(COUNTIF(D68,"L*"),COUNTIF(D68,"X*")),
          SUBSTITUTE(SUBSTITUTE(SUBSTITUTE(SUBSTITUTE(D68,"P",""),"I",""),"V",""),"B","") &amp;
          IF(
             OR(
               COUNTIF(D68,"*"&amp;$BN$59&amp;"*"),
               COUNTIF(D68,"*"&amp;$BN$60&amp;"*"),
               COUNTIF(D68,"*"&amp;$BN$61&amp;"*"),
               COUNTIF(D68,"*"&amp;$BN$62&amp;"*"),
               COUNTIF(D68,"*"&amp;$BN$63&amp;"*")
             ),
             "",
             IF(
               SUMPRODUCT(--ISNUMBER(MID(D68,ROW($1:$20),1)*1))&gt;0,
               "",
               Data!BS53
             )
          ),
          SUBSTITUTE(SUBSTITUTE(SUBSTITUTE(SUBSTITUTE(SUBSTITUTE(SUBSTITUTE(SUBSTITUTE(SUBSTITUTE(SUBSTITUTE(D68,$BN$59,""),$BN$60,""),$BN$61,""),$BN$62,""),$BN$63,""),"P",""),"I",""),"V",""),"B","") &amp;
          Data!BS53
       ),
       ""
    )
)</f>
        <v/>
      </c>
      <c r="E118" s="41" t="str" cm="1">
        <f t="array" ref="E118">IF(AND($Y$57=1,E68&lt;&gt;""),
    "O"&amp;Data!BT53,
    IF(E68&lt;&gt;"",
       IF(OR(COUNTIF(E68,"L*"),COUNTIF(E68,"X*")),
          SUBSTITUTE(SUBSTITUTE(SUBSTITUTE(SUBSTITUTE(E68,"P",""),"I",""),"V",""),"B","") &amp;
          IF(
             OR(
               COUNTIF(E68,"*"&amp;$BN$59&amp;"*"),
               COUNTIF(E68,"*"&amp;$BN$60&amp;"*"),
               COUNTIF(E68,"*"&amp;$BN$61&amp;"*"),
               COUNTIF(E68,"*"&amp;$BN$62&amp;"*"),
               COUNTIF(E68,"*"&amp;$BN$63&amp;"*")
             ),
             "",
             IF(
               SUMPRODUCT(--ISNUMBER(MID(E68,ROW($1:$20),1)*1))&gt;0,
               "",
               Data!BT53
             )
          ),
          SUBSTITUTE(SUBSTITUTE(SUBSTITUTE(SUBSTITUTE(SUBSTITUTE(SUBSTITUTE(SUBSTITUTE(SUBSTITUTE(SUBSTITUTE(E68,$BN$59,""),$BN$60,""),$BN$61,""),$BN$62,""),$BN$63,""),"P",""),"I",""),"V",""),"B","") &amp;
          Data!BT53
       ),
       ""
    )
)</f>
        <v/>
      </c>
      <c r="F118" s="41" t="str" cm="1">
        <f t="array" ref="F118">IF(AND($Y$57=1,F68&lt;&gt;""),
    "O"&amp;Data!BU53,
    IF(F68&lt;&gt;"",
       IF(OR(COUNTIF(F68,"L*"),COUNTIF(F68,"X*")),
          SUBSTITUTE(SUBSTITUTE(SUBSTITUTE(SUBSTITUTE(F68,"P",""),"I",""),"V",""),"B","") &amp;
          IF(
             OR(
               COUNTIF(F68,"*"&amp;$BN$59&amp;"*"),
               COUNTIF(F68,"*"&amp;$BN$60&amp;"*"),
               COUNTIF(F68,"*"&amp;$BN$61&amp;"*"),
               COUNTIF(F68,"*"&amp;$BN$62&amp;"*"),
               COUNTIF(F68,"*"&amp;$BN$63&amp;"*")
             ),
             "",
             IF(
               SUMPRODUCT(--ISNUMBER(MID(F68,ROW($1:$20),1)*1))&gt;0,
               "",
               Data!BU53
             )
          ),
          SUBSTITUTE(SUBSTITUTE(SUBSTITUTE(SUBSTITUTE(SUBSTITUTE(SUBSTITUTE(SUBSTITUTE(SUBSTITUTE(SUBSTITUTE(F68,$BN$59,""),$BN$60,""),$BN$61,""),$BN$62,""),$BN$63,""),"P",""),"I",""),"V",""),"B","") &amp;
          Data!BU53
       ),
       ""
    )
)</f>
        <v/>
      </c>
      <c r="G118" s="41" t="str" cm="1">
        <f t="array" ref="G118">IF(AND($Y$57=1,G68&lt;&gt;""),
    "O"&amp;Data!BV53,
    IF(G68&lt;&gt;"",
       IF(OR(COUNTIF(G68,"L*"),COUNTIF(G68,"X*")),
          SUBSTITUTE(SUBSTITUTE(SUBSTITUTE(SUBSTITUTE(G68,"P",""),"I",""),"V",""),"B","") &amp;
          IF(
             OR(
               COUNTIF(G68,"*"&amp;$BN$59&amp;"*"),
               COUNTIF(G68,"*"&amp;$BN$60&amp;"*"),
               COUNTIF(G68,"*"&amp;$BN$61&amp;"*"),
               COUNTIF(G68,"*"&amp;$BN$62&amp;"*"),
               COUNTIF(G68,"*"&amp;$BN$63&amp;"*")
             ),
             "",
             IF(
               SUMPRODUCT(--ISNUMBER(MID(G68,ROW($1:$20),1)*1))&gt;0,
               "",
               Data!BV53
             )
          ),
          SUBSTITUTE(SUBSTITUTE(SUBSTITUTE(SUBSTITUTE(SUBSTITUTE(SUBSTITUTE(SUBSTITUTE(SUBSTITUTE(SUBSTITUTE(G68,$BN$59,""),$BN$60,""),$BN$61,""),$BN$62,""),$BN$63,""),"P",""),"I",""),"V",""),"B","") &amp;
          Data!BV53
       ),
       ""
    )
)</f>
        <v/>
      </c>
      <c r="H118" s="41" t="str" cm="1">
        <f t="array" ref="H118">IF(AND($Y$57=1,H68&lt;&gt;""),
    "O"&amp;Data!BW53,
    IF(H68&lt;&gt;"",
       IF(OR(COUNTIF(H68,"L*"),COUNTIF(H68,"X*")),
          SUBSTITUTE(SUBSTITUTE(SUBSTITUTE(SUBSTITUTE(H68,"P",""),"I",""),"V",""),"B","") &amp;
          IF(
             OR(
               COUNTIF(H68,"*"&amp;$BN$59&amp;"*"),
               COUNTIF(H68,"*"&amp;$BN$60&amp;"*"),
               COUNTIF(H68,"*"&amp;$BN$61&amp;"*"),
               COUNTIF(H68,"*"&amp;$BN$62&amp;"*"),
               COUNTIF(H68,"*"&amp;$BN$63&amp;"*")
             ),
             "",
             IF(
               SUMPRODUCT(--ISNUMBER(MID(H68,ROW($1:$20),1)*1))&gt;0,
               "",
               Data!BW53
             )
          ),
          SUBSTITUTE(SUBSTITUTE(SUBSTITUTE(SUBSTITUTE(SUBSTITUTE(SUBSTITUTE(SUBSTITUTE(SUBSTITUTE(SUBSTITUTE(H68,$BN$59,""),$BN$60,""),$BN$61,""),$BN$62,""),$BN$63,""),"P",""),"I",""),"V",""),"B","") &amp;
          Data!BW53
       ),
       ""
    )
)</f>
        <v/>
      </c>
      <c r="I118" s="41" t="str" cm="1">
        <f t="array" ref="I118">IF(AND($Y$57=1,I68&lt;&gt;""),
    "O"&amp;Data!BX53,
    IF(I68&lt;&gt;"",
       IF(OR(COUNTIF(I68,"L*"),COUNTIF(I68,"X*")),
          SUBSTITUTE(SUBSTITUTE(SUBSTITUTE(SUBSTITUTE(I68,"P",""),"I",""),"V",""),"B","") &amp;
          IF(
             OR(
               COUNTIF(I68,"*"&amp;$BN$59&amp;"*"),
               COUNTIF(I68,"*"&amp;$BN$60&amp;"*"),
               COUNTIF(I68,"*"&amp;$BN$61&amp;"*"),
               COUNTIF(I68,"*"&amp;$BN$62&amp;"*"),
               COUNTIF(I68,"*"&amp;$BN$63&amp;"*")
             ),
             "",
             IF(
               SUMPRODUCT(--ISNUMBER(MID(I68,ROW($1:$20),1)*1))&gt;0,
               "",
               Data!BX53
             )
          ),
          SUBSTITUTE(SUBSTITUTE(SUBSTITUTE(SUBSTITUTE(SUBSTITUTE(SUBSTITUTE(SUBSTITUTE(SUBSTITUTE(SUBSTITUTE(I68,$BN$59,""),$BN$60,""),$BN$61,""),$BN$62,""),$BN$63,""),"P",""),"I",""),"V",""),"B","") &amp;
          Data!BX53
       ),
       ""
    )
)</f>
        <v/>
      </c>
      <c r="J118" s="41" t="str" cm="1">
        <f t="array" ref="J118">IF(AND($Y$57=1,J68&lt;&gt;""),
    "O"&amp;Data!BY53,
    IF(J68&lt;&gt;"",
       IF(OR(COUNTIF(J68,"L*"),COUNTIF(J68,"X*")),
          SUBSTITUTE(SUBSTITUTE(SUBSTITUTE(SUBSTITUTE(J68,"P",""),"I",""),"V",""),"B","") &amp;
          IF(
             OR(
               COUNTIF(J68,"*"&amp;$BN$59&amp;"*"),
               COUNTIF(J68,"*"&amp;$BN$60&amp;"*"),
               COUNTIF(J68,"*"&amp;$BN$61&amp;"*"),
               COUNTIF(J68,"*"&amp;$BN$62&amp;"*"),
               COUNTIF(J68,"*"&amp;$BN$63&amp;"*")
             ),
             "",
             IF(
               SUMPRODUCT(--ISNUMBER(MID(J68,ROW($1:$20),1)*1))&gt;0,
               "",
               Data!BY53
             )
          ),
          SUBSTITUTE(SUBSTITUTE(SUBSTITUTE(SUBSTITUTE(SUBSTITUTE(SUBSTITUTE(SUBSTITUTE(SUBSTITUTE(SUBSTITUTE(J68,$BN$59,""),$BN$60,""),$BN$61,""),$BN$62,""),$BN$63,""),"P",""),"I",""),"V",""),"B","") &amp;
          Data!BY53
       ),
       ""
    )
)</f>
        <v/>
      </c>
      <c r="K118" s="41" t="str" cm="1">
        <f t="array" ref="K118">IF(AND($Y$57=1,K68&lt;&gt;""),
    "O"&amp;Data!BZ53,
    IF(K68&lt;&gt;"",
       IF(OR(COUNTIF(K68,"L*"),COUNTIF(K68,"X*")),
          SUBSTITUTE(SUBSTITUTE(SUBSTITUTE(SUBSTITUTE(K68,"P",""),"I",""),"V",""),"B","") &amp;
          IF(
             OR(
               COUNTIF(K68,"*"&amp;$BN$59&amp;"*"),
               COUNTIF(K68,"*"&amp;$BN$60&amp;"*"),
               COUNTIF(K68,"*"&amp;$BN$61&amp;"*"),
               COUNTIF(K68,"*"&amp;$BN$62&amp;"*"),
               COUNTIF(K68,"*"&amp;$BN$63&amp;"*")
             ),
             "",
             IF(
               SUMPRODUCT(--ISNUMBER(MID(K68,ROW($1:$20),1)*1))&gt;0,
               "",
               Data!BZ53
             )
          ),
          SUBSTITUTE(SUBSTITUTE(SUBSTITUTE(SUBSTITUTE(SUBSTITUTE(SUBSTITUTE(SUBSTITUTE(SUBSTITUTE(SUBSTITUTE(K68,$BN$59,""),$BN$60,""),$BN$61,""),$BN$62,""),$BN$63,""),"P",""),"I",""),"V",""),"B","") &amp;
          Data!BZ53
       ),
       ""
    )
)</f>
        <v/>
      </c>
      <c r="L118" s="41" t="str" cm="1">
        <f t="array" ref="L118">IF(AND($Y$57=1,L68&lt;&gt;""),
    "O"&amp;Data!CA53,
    IF(L68&lt;&gt;"",
       IF(OR(COUNTIF(L68,"L*"),COUNTIF(L68,"X*")),
          SUBSTITUTE(SUBSTITUTE(SUBSTITUTE(SUBSTITUTE(L68,"P",""),"I",""),"V",""),"B","") &amp;
          IF(
             OR(
               COUNTIF(L68,"*"&amp;$BN$59&amp;"*"),
               COUNTIF(L68,"*"&amp;$BN$60&amp;"*"),
               COUNTIF(L68,"*"&amp;$BN$61&amp;"*"),
               COUNTIF(L68,"*"&amp;$BN$62&amp;"*"),
               COUNTIF(L68,"*"&amp;$BN$63&amp;"*")
             ),
             "",
             IF(
               SUMPRODUCT(--ISNUMBER(MID(L68,ROW($1:$20),1)*1))&gt;0,
               "",
               Data!CA53
             )
          ),
          SUBSTITUTE(SUBSTITUTE(SUBSTITUTE(SUBSTITUTE(SUBSTITUTE(SUBSTITUTE(SUBSTITUTE(SUBSTITUTE(SUBSTITUTE(L68,$BN$59,""),$BN$60,""),$BN$61,""),$BN$62,""),$BN$63,""),"P",""),"I",""),"V",""),"B","") &amp;
          Data!CA53
       ),
       ""
    )
)</f>
        <v/>
      </c>
      <c r="M118" s="41" t="str" cm="1">
        <f t="array" ref="M118">IF(AND($Y$57=1,M68&lt;&gt;""),
    "O"&amp;Data!CB53,
    IF(M68&lt;&gt;"",
       IF(OR(COUNTIF(M68,"L*"),COUNTIF(M68,"X*")),
          SUBSTITUTE(SUBSTITUTE(SUBSTITUTE(SUBSTITUTE(M68,"P",""),"I",""),"V",""),"B","") &amp;
          IF(
             OR(
               COUNTIF(M68,"*"&amp;$BN$59&amp;"*"),
               COUNTIF(M68,"*"&amp;$BN$60&amp;"*"),
               COUNTIF(M68,"*"&amp;$BN$61&amp;"*"),
               COUNTIF(M68,"*"&amp;$BN$62&amp;"*"),
               COUNTIF(M68,"*"&amp;$BN$63&amp;"*")
             ),
             "",
             IF(
               SUMPRODUCT(--ISNUMBER(MID(M68,ROW($1:$20),1)*1))&gt;0,
               "",
               Data!CB53
             )
          ),
          SUBSTITUTE(SUBSTITUTE(SUBSTITUTE(SUBSTITUTE(SUBSTITUTE(SUBSTITUTE(SUBSTITUTE(SUBSTITUTE(SUBSTITUTE(M68,$BN$59,""),$BN$60,""),$BN$61,""),$BN$62,""),$BN$63,""),"P",""),"I",""),"V",""),"B","") &amp;
          Data!CB53
       ),
       ""
    )
)</f>
        <v/>
      </c>
      <c r="N118" s="41" t="str" cm="1">
        <f t="array" ref="N118">IF(AND($Y$57=1,N68&lt;&gt;""),
    "O"&amp;Data!CC53,
    IF(N68&lt;&gt;"",
       IF(OR(COUNTIF(N68,"L*"),COUNTIF(N68,"X*")),
          SUBSTITUTE(SUBSTITUTE(SUBSTITUTE(SUBSTITUTE(N68,"P",""),"I",""),"V",""),"B","") &amp;
          IF(
             OR(
               COUNTIF(N68,"*"&amp;$BN$59&amp;"*"),
               COUNTIF(N68,"*"&amp;$BN$60&amp;"*"),
               COUNTIF(N68,"*"&amp;$BN$61&amp;"*"),
               COUNTIF(N68,"*"&amp;$BN$62&amp;"*"),
               COUNTIF(N68,"*"&amp;$BN$63&amp;"*")
             ),
             "",
             IF(
               SUMPRODUCT(--ISNUMBER(MID(N68,ROW($1:$20),1)*1))&gt;0,
               "",
               Data!CC53
             )
          ),
          SUBSTITUTE(SUBSTITUTE(SUBSTITUTE(SUBSTITUTE(SUBSTITUTE(SUBSTITUTE(SUBSTITUTE(SUBSTITUTE(SUBSTITUTE(N68,$BN$59,""),$BN$60,""),$BN$61,""),$BN$62,""),$BN$63,""),"P",""),"I",""),"V",""),"B","") &amp;
          Data!CC53
       ),
       ""
    )
)</f>
        <v/>
      </c>
      <c r="O118" s="41" t="str" cm="1">
        <f t="array" ref="O118">IF(AND($Y$57=1,O68&lt;&gt;""),
    "O"&amp;Data!CD53,
    IF(O68&lt;&gt;"",
       IF(OR(COUNTIF(O68,"L*"),COUNTIF(O68,"X*")),
          SUBSTITUTE(SUBSTITUTE(SUBSTITUTE(SUBSTITUTE(O68,"P",""),"I",""),"V",""),"B","") &amp;
          IF(
             OR(
               COUNTIF(O68,"*"&amp;$BN$59&amp;"*"),
               COUNTIF(O68,"*"&amp;$BN$60&amp;"*"),
               COUNTIF(O68,"*"&amp;$BN$61&amp;"*"),
               COUNTIF(O68,"*"&amp;$BN$62&amp;"*"),
               COUNTIF(O68,"*"&amp;$BN$63&amp;"*")
             ),
             "",
             IF(
               SUMPRODUCT(--ISNUMBER(MID(O68,ROW($1:$20),1)*1))&gt;0,
               "",
               Data!CD53
             )
          ),
          SUBSTITUTE(SUBSTITUTE(SUBSTITUTE(SUBSTITUTE(SUBSTITUTE(SUBSTITUTE(SUBSTITUTE(SUBSTITUTE(SUBSTITUTE(O68,$BN$59,""),$BN$60,""),$BN$61,""),$BN$62,""),$BN$63,""),"P",""),"I",""),"V",""),"B","") &amp;
          Data!CD53
       ),
       ""
    )
)</f>
        <v/>
      </c>
      <c r="P118" s="41" t="str" cm="1">
        <f t="array" ref="P118">IF(AND($Y$57=1,P68&lt;&gt;""),
    "O"&amp;Data!CE53,
    IF(P68&lt;&gt;"",
       IF(OR(COUNTIF(P68,"L*"),COUNTIF(P68,"X*")),
          SUBSTITUTE(SUBSTITUTE(SUBSTITUTE(SUBSTITUTE(P68,"P",""),"I",""),"V",""),"B","") &amp;
          IF(
             OR(
               COUNTIF(P68,"*"&amp;$BN$59&amp;"*"),
               COUNTIF(P68,"*"&amp;$BN$60&amp;"*"),
               COUNTIF(P68,"*"&amp;$BN$61&amp;"*"),
               COUNTIF(P68,"*"&amp;$BN$62&amp;"*"),
               COUNTIF(P68,"*"&amp;$BN$63&amp;"*")
             ),
             "",
             IF(
               SUMPRODUCT(--ISNUMBER(MID(P68,ROW($1:$20),1)*1))&gt;0,
               "",
               Data!CE53
             )
          ),
          SUBSTITUTE(SUBSTITUTE(SUBSTITUTE(SUBSTITUTE(SUBSTITUTE(SUBSTITUTE(SUBSTITUTE(SUBSTITUTE(SUBSTITUTE(P68,$BN$59,""),$BN$60,""),$BN$61,""),$BN$62,""),$BN$63,""),"P",""),"I",""),"V",""),"B","") &amp;
          Data!CE53
       ),
       ""
    )
)</f>
        <v/>
      </c>
      <c r="Q118" s="41" t="str" cm="1">
        <f t="array" ref="Q118">IF(AND($Y$57=1,Q68&lt;&gt;""),
    "O"&amp;Data!CF53,
    IF(Q68&lt;&gt;"",
       IF(OR(COUNTIF(Q68,"L*"),COUNTIF(Q68,"X*")),
          SUBSTITUTE(SUBSTITUTE(SUBSTITUTE(SUBSTITUTE(Q68,"P",""),"I",""),"V",""),"B","") &amp;
          IF(
             OR(
               COUNTIF(Q68,"*"&amp;$BN$59&amp;"*"),
               COUNTIF(Q68,"*"&amp;$BN$60&amp;"*"),
               COUNTIF(Q68,"*"&amp;$BN$61&amp;"*"),
               COUNTIF(Q68,"*"&amp;$BN$62&amp;"*"),
               COUNTIF(Q68,"*"&amp;$BN$63&amp;"*")
             ),
             "",
             IF(
               SUMPRODUCT(--ISNUMBER(MID(Q68,ROW($1:$20),1)*1))&gt;0,
               "",
               Data!CF53
             )
          ),
          SUBSTITUTE(SUBSTITUTE(SUBSTITUTE(SUBSTITUTE(SUBSTITUTE(SUBSTITUTE(SUBSTITUTE(SUBSTITUTE(SUBSTITUTE(Q68,$BN$59,""),$BN$60,""),$BN$61,""),$BN$62,""),$BN$63,""),"P",""),"I",""),"V",""),"B","") &amp;
          Data!CF53
       ),
       ""
    )
)</f>
        <v/>
      </c>
      <c r="R118" s="41" t="str" cm="1">
        <f t="array" ref="R118">IF(AND($Y$57=1,R68&lt;&gt;""),
    "O"&amp;Data!CG53,
    IF(R68&lt;&gt;"",
       IF(OR(COUNTIF(R68,"L*"),COUNTIF(R68,"X*")),
          SUBSTITUTE(SUBSTITUTE(SUBSTITUTE(SUBSTITUTE(R68,"P",""),"I",""),"V",""),"B","") &amp;
          IF(
             OR(
               COUNTIF(R68,"*"&amp;$BN$59&amp;"*"),
               COUNTIF(R68,"*"&amp;$BN$60&amp;"*"),
               COUNTIF(R68,"*"&amp;$BN$61&amp;"*"),
               COUNTIF(R68,"*"&amp;$BN$62&amp;"*"),
               COUNTIF(R68,"*"&amp;$BN$63&amp;"*")
             ),
             "",
             IF(
               SUMPRODUCT(--ISNUMBER(MID(R68,ROW($1:$20),1)*1))&gt;0,
               "",
               Data!CG53
             )
          ),
          SUBSTITUTE(SUBSTITUTE(SUBSTITUTE(SUBSTITUTE(SUBSTITUTE(SUBSTITUTE(SUBSTITUTE(SUBSTITUTE(SUBSTITUTE(R68,$BN$59,""),$BN$60,""),$BN$61,""),$BN$62,""),$BN$63,""),"P",""),"I",""),"V",""),"B","") &amp;
          Data!CG53
       ),
       ""
    )
)</f>
        <v/>
      </c>
      <c r="S118" s="41" t="str" cm="1">
        <f t="array" ref="S118">IF(AND($Y$57=1,S68&lt;&gt;""),
    "O"&amp;Data!CH53,
    IF(S68&lt;&gt;"",
       IF(OR(COUNTIF(S68,"L*"),COUNTIF(S68,"X*")),
          SUBSTITUTE(SUBSTITUTE(SUBSTITUTE(SUBSTITUTE(S68,"P",""),"I",""),"V",""),"B","") &amp;
          IF(
             OR(
               COUNTIF(S68,"*"&amp;$BN$59&amp;"*"),
               COUNTIF(S68,"*"&amp;$BN$60&amp;"*"),
               COUNTIF(S68,"*"&amp;$BN$61&amp;"*"),
               COUNTIF(S68,"*"&amp;$BN$62&amp;"*"),
               COUNTIF(S68,"*"&amp;$BN$63&amp;"*")
             ),
             "",
             IF(
               SUMPRODUCT(--ISNUMBER(MID(S68,ROW($1:$20),1)*1))&gt;0,
               "",
               Data!CH53
             )
          ),
          SUBSTITUTE(SUBSTITUTE(SUBSTITUTE(SUBSTITUTE(SUBSTITUTE(SUBSTITUTE(SUBSTITUTE(SUBSTITUTE(SUBSTITUTE(S68,$BN$59,""),$BN$60,""),$BN$61,""),$BN$62,""),$BN$63,""),"P",""),"I",""),"V",""),"B","") &amp;
          Data!CH53
       ),
       ""
    )
)</f>
        <v/>
      </c>
      <c r="T118" s="41" t="str" cm="1">
        <f t="array" ref="T118">IF(AND($Y$57=1,T68&lt;&gt;""),
    "O"&amp;Data!CI53,
    IF(T68&lt;&gt;"",
       IF(OR(COUNTIF(T68,"L*"),COUNTIF(T68,"X*")),
          SUBSTITUTE(SUBSTITUTE(SUBSTITUTE(SUBSTITUTE(T68,"P",""),"I",""),"V",""),"B","") &amp;
          IF(
             OR(
               COUNTIF(T68,"*"&amp;$BN$59&amp;"*"),
               COUNTIF(T68,"*"&amp;$BN$60&amp;"*"),
               COUNTIF(T68,"*"&amp;$BN$61&amp;"*"),
               COUNTIF(T68,"*"&amp;$BN$62&amp;"*"),
               COUNTIF(T68,"*"&amp;$BN$63&amp;"*")
             ),
             "",
             IF(
               SUMPRODUCT(--ISNUMBER(MID(T68,ROW($1:$20),1)*1))&gt;0,
               "",
               Data!CI53
             )
          ),
          SUBSTITUTE(SUBSTITUTE(SUBSTITUTE(SUBSTITUTE(SUBSTITUTE(SUBSTITUTE(SUBSTITUTE(SUBSTITUTE(SUBSTITUTE(T68,$BN$59,""),$BN$60,""),$BN$61,""),$BN$62,""),$BN$63,""),"P",""),"I",""),"V",""),"B","") &amp;
          Data!CI53
       ),
       ""
    )
)</f>
        <v/>
      </c>
      <c r="U118" s="41" t="str" cm="1">
        <f t="array" ref="U118">IF(AND($Y$57=1,U68&lt;&gt;""),
    "O"&amp;Data!CJ53,
    IF(U68&lt;&gt;"",
       IF(OR(COUNTIF(U68,"L*"),COUNTIF(U68,"X*")),
          SUBSTITUTE(SUBSTITUTE(SUBSTITUTE(SUBSTITUTE(U68,"P",""),"I",""),"V",""),"B","") &amp;
          IF(
             OR(
               COUNTIF(U68,"*"&amp;$BN$59&amp;"*"),
               COUNTIF(U68,"*"&amp;$BN$60&amp;"*"),
               COUNTIF(U68,"*"&amp;$BN$61&amp;"*"),
               COUNTIF(U68,"*"&amp;$BN$62&amp;"*"),
               COUNTIF(U68,"*"&amp;$BN$63&amp;"*")
             ),
             "",
             IF(
               SUMPRODUCT(--ISNUMBER(MID(U68,ROW($1:$20),1)*1))&gt;0,
               "",
               Data!CJ53
             )
          ),
          SUBSTITUTE(SUBSTITUTE(SUBSTITUTE(SUBSTITUTE(SUBSTITUTE(SUBSTITUTE(SUBSTITUTE(SUBSTITUTE(SUBSTITUTE(U68,$BN$59,""),$BN$60,""),$BN$61,""),$BN$62,""),$BN$63,""),"P",""),"I",""),"V",""),"B","") &amp;
          Data!CJ53
       ),
       ""
    )
)</f>
        <v/>
      </c>
      <c r="V118" s="41" t="str" cm="1">
        <f t="array" ref="V118">IF(AND($Y$57=1,V68&lt;&gt;""),
    "O"&amp;Data!CK53,
    IF(V68&lt;&gt;"",
       IF(OR(COUNTIF(V68,"L*"),COUNTIF(V68,"X*")),
          SUBSTITUTE(SUBSTITUTE(SUBSTITUTE(SUBSTITUTE(V68,"P",""),"I",""),"V",""),"B","") &amp;
          IF(
             OR(
               COUNTIF(V68,"*"&amp;$BN$59&amp;"*"),
               COUNTIF(V68,"*"&amp;$BN$60&amp;"*"),
               COUNTIF(V68,"*"&amp;$BN$61&amp;"*"),
               COUNTIF(V68,"*"&amp;$BN$62&amp;"*"),
               COUNTIF(V68,"*"&amp;$BN$63&amp;"*")
             ),
             "",
             IF(
               SUMPRODUCT(--ISNUMBER(MID(V68,ROW($1:$20),1)*1))&gt;0,
               "",
               Data!CK53
             )
          ),
          SUBSTITUTE(SUBSTITUTE(SUBSTITUTE(SUBSTITUTE(SUBSTITUTE(SUBSTITUTE(SUBSTITUTE(SUBSTITUTE(SUBSTITUTE(V68,$BN$59,""),$BN$60,""),$BN$61,""),$BN$62,""),$BN$63,""),"P",""),"I",""),"V",""),"B","") &amp;
          Data!CK53
       ),
       ""
    )
)</f>
        <v/>
      </c>
      <c r="W118" s="41" t="str" cm="1">
        <f t="array" ref="W118">IF(AND($Y$57=1,W68&lt;&gt;""),
    "O"&amp;Data!CL53,
    IF(W68&lt;&gt;"",
       IF(OR(COUNTIF(W68,"L*"),COUNTIF(W68,"X*")),
          SUBSTITUTE(SUBSTITUTE(SUBSTITUTE(SUBSTITUTE(W68,"P",""),"I",""),"V",""),"B","") &amp;
          IF(
             OR(
               COUNTIF(W68,"*"&amp;$BN$59&amp;"*"),
               COUNTIF(W68,"*"&amp;$BN$60&amp;"*"),
               COUNTIF(W68,"*"&amp;$BN$61&amp;"*"),
               COUNTIF(W68,"*"&amp;$BN$62&amp;"*"),
               COUNTIF(W68,"*"&amp;$BN$63&amp;"*")
             ),
             "",
             IF(
               SUMPRODUCT(--ISNUMBER(MID(W68,ROW($1:$20),1)*1))&gt;0,
               "",
               Data!CL53
             )
          ),
          SUBSTITUTE(SUBSTITUTE(SUBSTITUTE(SUBSTITUTE(SUBSTITUTE(SUBSTITUTE(SUBSTITUTE(SUBSTITUTE(SUBSTITUTE(W68,$BN$59,""),$BN$60,""),$BN$61,""),$BN$62,""),$BN$63,""),"P",""),"I",""),"V",""),"B","") &amp;
          Data!CL53
       ),
       ""
    )
)</f>
        <v/>
      </c>
      <c r="X118" s="41" t="str" cm="1">
        <f t="array" ref="X118">IF(AND($Y$57=1,X68&lt;&gt;""),
    "O"&amp;Data!CM53,
    IF(X68&lt;&gt;"",
       IF(OR(COUNTIF(X68,"L*"),COUNTIF(X68,"X*")),
          SUBSTITUTE(SUBSTITUTE(SUBSTITUTE(SUBSTITUTE(X68,"P",""),"I",""),"V",""),"B","") &amp;
          IF(
             OR(
               COUNTIF(X68,"*"&amp;$BN$59&amp;"*"),
               COUNTIF(X68,"*"&amp;$BN$60&amp;"*"),
               COUNTIF(X68,"*"&amp;$BN$61&amp;"*"),
               COUNTIF(X68,"*"&amp;$BN$62&amp;"*"),
               COUNTIF(X68,"*"&amp;$BN$63&amp;"*")
             ),
             "",
             IF(
               SUMPRODUCT(--ISNUMBER(MID(X68,ROW($1:$20),1)*1))&gt;0,
               "",
               Data!CM53
             )
          ),
          SUBSTITUTE(SUBSTITUTE(SUBSTITUTE(SUBSTITUTE(SUBSTITUTE(SUBSTITUTE(SUBSTITUTE(SUBSTITUTE(SUBSTITUTE(X68,$BN$59,""),$BN$60,""),$BN$61,""),$BN$62,""),$BN$63,""),"P",""),"I",""),"V",""),"B","") &amp;
          Data!CM53
       ),
       ""
    )
)</f>
        <v/>
      </c>
      <c r="Y118" s="41" t="str" cm="1">
        <f t="array" ref="Y118">IF(AND($Y$57=1,Y68&lt;&gt;""),
    "O"&amp;Data!CN53,
    IF(Y68&lt;&gt;"",
       IF(OR(COUNTIF(Y68,"L*"),COUNTIF(Y68,"X*")),
          SUBSTITUTE(SUBSTITUTE(SUBSTITUTE(SUBSTITUTE(Y68,"P",""),"I",""),"V",""),"B","") &amp;
          IF(
             OR(
               COUNTIF(Y68,"*"&amp;$BN$59&amp;"*"),
               COUNTIF(Y68,"*"&amp;$BN$60&amp;"*"),
               COUNTIF(Y68,"*"&amp;$BN$61&amp;"*"),
               COUNTIF(Y68,"*"&amp;$BN$62&amp;"*"),
               COUNTIF(Y68,"*"&amp;$BN$63&amp;"*")
             ),
             "",
             IF(
               SUMPRODUCT(--ISNUMBER(MID(Y68,ROW($1:$20),1)*1))&gt;0,
               "",
               Data!CN53
             )
          ),
          SUBSTITUTE(SUBSTITUTE(SUBSTITUTE(SUBSTITUTE(SUBSTITUTE(SUBSTITUTE(SUBSTITUTE(SUBSTITUTE(SUBSTITUTE(Y68,$BN$59,""),$BN$60,""),$BN$61,""),$BN$62,""),$BN$63,""),"P",""),"I",""),"V",""),"B","") &amp;
          Data!CN53
       ),
       ""
    )
)</f>
        <v/>
      </c>
      <c r="Z118" s="41" t="str" cm="1">
        <f t="array" ref="Z118">IF(AND($Y$57=1,Z68&lt;&gt;""),
    "O"&amp;Data!CO53,
    IF(Z68&lt;&gt;"",
       IF(OR(COUNTIF(Z68,"L*"),COUNTIF(Z68,"X*")),
          SUBSTITUTE(SUBSTITUTE(SUBSTITUTE(SUBSTITUTE(Z68,"P",""),"I",""),"V",""),"B","") &amp;
          IF(
             OR(
               COUNTIF(Z68,"*"&amp;$BN$59&amp;"*"),
               COUNTIF(Z68,"*"&amp;$BN$60&amp;"*"),
               COUNTIF(Z68,"*"&amp;$BN$61&amp;"*"),
               COUNTIF(Z68,"*"&amp;$BN$62&amp;"*"),
               COUNTIF(Z68,"*"&amp;$BN$63&amp;"*")
             ),
             "",
             IF(
               SUMPRODUCT(--ISNUMBER(MID(Z68,ROW($1:$20),1)*1))&gt;0,
               "",
               Data!CO53
             )
          ),
          SUBSTITUTE(SUBSTITUTE(SUBSTITUTE(SUBSTITUTE(SUBSTITUTE(SUBSTITUTE(SUBSTITUTE(SUBSTITUTE(SUBSTITUTE(Z68,$BN$59,""),$BN$60,""),$BN$61,""),$BN$62,""),$BN$63,""),"P",""),"I",""),"V",""),"B","") &amp;
          Data!CO53
       ),
       ""
    )
)</f>
        <v/>
      </c>
      <c r="AA118" s="41" t="str" cm="1">
        <f t="array" ref="AA118">IF(AND($Y$57=1,AA68&lt;&gt;""),
    "O"&amp;Data!CP53,
    IF(AA68&lt;&gt;"",
       IF(OR(COUNTIF(AA68,"L*"),COUNTIF(AA68,"X*")),
          SUBSTITUTE(SUBSTITUTE(SUBSTITUTE(SUBSTITUTE(AA68,"P",""),"I",""),"V",""),"B","") &amp;
          IF(
             OR(
               COUNTIF(AA68,"*"&amp;$BN$59&amp;"*"),
               COUNTIF(AA68,"*"&amp;$BN$60&amp;"*"),
               COUNTIF(AA68,"*"&amp;$BN$61&amp;"*"),
               COUNTIF(AA68,"*"&amp;$BN$62&amp;"*"),
               COUNTIF(AA68,"*"&amp;$BN$63&amp;"*")
             ),
             "",
             IF(
               SUMPRODUCT(--ISNUMBER(MID(AA68,ROW($1:$20),1)*1))&gt;0,
               "",
               Data!CP53
             )
          ),
          SUBSTITUTE(SUBSTITUTE(SUBSTITUTE(SUBSTITUTE(SUBSTITUTE(SUBSTITUTE(SUBSTITUTE(SUBSTITUTE(SUBSTITUTE(AA68,$BN$59,""),$BN$60,""),$BN$61,""),$BN$62,""),$BN$63,""),"P",""),"I",""),"V",""),"B","") &amp;
          Data!CP53
       ),
       ""
    )
)</f>
        <v/>
      </c>
      <c r="AB118" s="41" t="str" cm="1">
        <f t="array" ref="AB118">IF(AND($Y$57=1,AB68&lt;&gt;""),
    "O"&amp;Data!CQ53,
    IF(AB68&lt;&gt;"",
       IF(OR(COUNTIF(AB68,"L*"),COUNTIF(AB68,"X*")),
          SUBSTITUTE(SUBSTITUTE(SUBSTITUTE(SUBSTITUTE(AB68,"P",""),"I",""),"V",""),"B","") &amp;
          IF(
             OR(
               COUNTIF(AB68,"*"&amp;$BN$59&amp;"*"),
               COUNTIF(AB68,"*"&amp;$BN$60&amp;"*"),
               COUNTIF(AB68,"*"&amp;$BN$61&amp;"*"),
               COUNTIF(AB68,"*"&amp;$BN$62&amp;"*"),
               COUNTIF(AB68,"*"&amp;$BN$63&amp;"*")
             ),
             "",
             IF(
               SUMPRODUCT(--ISNUMBER(MID(AB68,ROW($1:$20),1)*1))&gt;0,
               "",
               Data!CQ53
             )
          ),
          SUBSTITUTE(SUBSTITUTE(SUBSTITUTE(SUBSTITUTE(SUBSTITUTE(SUBSTITUTE(SUBSTITUTE(SUBSTITUTE(SUBSTITUTE(AB68,$BN$59,""),$BN$60,""),$BN$61,""),$BN$62,""),$BN$63,""),"P",""),"I",""),"V",""),"B","") &amp;
          Data!CQ53
       ),
       ""
    )
)</f>
        <v/>
      </c>
      <c r="AC118" s="41" t="str" cm="1">
        <f t="array" ref="AC118">IF(AND($Y$57=1,AC68&lt;&gt;""),
    "O"&amp;Data!CR53,
    IF(AC68&lt;&gt;"",
       IF(OR(COUNTIF(AC68,"L*"),COUNTIF(AC68,"X*")),
          SUBSTITUTE(SUBSTITUTE(SUBSTITUTE(SUBSTITUTE(AC68,"P",""),"I",""),"V",""),"B","") &amp;
          IF(
             OR(
               COUNTIF(AC68,"*"&amp;$BN$59&amp;"*"),
               COUNTIF(AC68,"*"&amp;$BN$60&amp;"*"),
               COUNTIF(AC68,"*"&amp;$BN$61&amp;"*"),
               COUNTIF(AC68,"*"&amp;$BN$62&amp;"*"),
               COUNTIF(AC68,"*"&amp;$BN$63&amp;"*")
             ),
             "",
             IF(
               SUMPRODUCT(--ISNUMBER(MID(AC68,ROW($1:$20),1)*1))&gt;0,
               "",
               Data!CR53
             )
          ),
          SUBSTITUTE(SUBSTITUTE(SUBSTITUTE(SUBSTITUTE(SUBSTITUTE(SUBSTITUTE(SUBSTITUTE(SUBSTITUTE(SUBSTITUTE(AC68,$BN$59,""),$BN$60,""),$BN$61,""),$BN$62,""),$BN$63,""),"P",""),"I",""),"V",""),"B","") &amp;
          Data!CR53
       ),
       ""
    )
)</f>
        <v/>
      </c>
      <c r="AD118" s="41" t="str" cm="1">
        <f t="array" ref="AD118">IF(AND($Y$57=1,AD68&lt;&gt;""),
    "O"&amp;Data!CS53,
    IF(AD68&lt;&gt;"",
       IF(OR(COUNTIF(AD68,"L*"),COUNTIF(AD68,"X*")),
          SUBSTITUTE(SUBSTITUTE(SUBSTITUTE(SUBSTITUTE(AD68,"P",""),"I",""),"V",""),"B","") &amp;
          IF(
             OR(
               COUNTIF(AD68,"*"&amp;$BN$59&amp;"*"),
               COUNTIF(AD68,"*"&amp;$BN$60&amp;"*"),
               COUNTIF(AD68,"*"&amp;$BN$61&amp;"*"),
               COUNTIF(AD68,"*"&amp;$BN$62&amp;"*"),
               COUNTIF(AD68,"*"&amp;$BN$63&amp;"*")
             ),
             "",
             IF(
               SUMPRODUCT(--ISNUMBER(MID(AD68,ROW($1:$20),1)*1))&gt;0,
               "",
               Data!CS53
             )
          ),
          SUBSTITUTE(SUBSTITUTE(SUBSTITUTE(SUBSTITUTE(SUBSTITUTE(SUBSTITUTE(SUBSTITUTE(SUBSTITUTE(SUBSTITUTE(AD68,$BN$59,""),$BN$60,""),$BN$61,""),$BN$62,""),$BN$63,""),"P",""),"I",""),"V",""),"B","") &amp;
          Data!CS53
       ),
       ""
    )
)</f>
        <v/>
      </c>
      <c r="AE118" s="41" t="str" cm="1">
        <f t="array" ref="AE118">IF(AND($Y$57=1,AE68&lt;&gt;""),
    "O"&amp;Data!CT53,
    IF(AE68&lt;&gt;"",
       IF(OR(COUNTIF(AE68,"L*"),COUNTIF(AE68,"X*")),
          SUBSTITUTE(SUBSTITUTE(SUBSTITUTE(SUBSTITUTE(AE68,"P",""),"I",""),"V",""),"B","") &amp;
          IF(
             OR(
               COUNTIF(AE68,"*"&amp;$BN$59&amp;"*"),
               COUNTIF(AE68,"*"&amp;$BN$60&amp;"*"),
               COUNTIF(AE68,"*"&amp;$BN$61&amp;"*"),
               COUNTIF(AE68,"*"&amp;$BN$62&amp;"*"),
               COUNTIF(AE68,"*"&amp;$BN$63&amp;"*")
             ),
             "",
             IF(
               SUMPRODUCT(--ISNUMBER(MID(AE68,ROW($1:$20),1)*1))&gt;0,
               "",
               Data!CT53
             )
          ),
          SUBSTITUTE(SUBSTITUTE(SUBSTITUTE(SUBSTITUTE(SUBSTITUTE(SUBSTITUTE(SUBSTITUTE(SUBSTITUTE(SUBSTITUTE(AE68,$BN$59,""),$BN$60,""),$BN$61,""),$BN$62,""),$BN$63,""),"P",""),"I",""),"V",""),"B","") &amp;
          Data!CT53
       ),
       ""
    )
)</f>
        <v/>
      </c>
      <c r="AF118" s="41" t="str" cm="1">
        <f t="array" ref="AF118">IF(AND($Y$57=1,AF68&lt;&gt;""),
    "O"&amp;Data!CU53,
    IF(AF68&lt;&gt;"",
       IF(OR(COUNTIF(AF68,"L*"),COUNTIF(AF68,"X*")),
          SUBSTITUTE(SUBSTITUTE(SUBSTITUTE(SUBSTITUTE(AF68,"P",""),"I",""),"V",""),"B","") &amp;
          IF(
             OR(
               COUNTIF(AF68,"*"&amp;$BN$59&amp;"*"),
               COUNTIF(AF68,"*"&amp;$BN$60&amp;"*"),
               COUNTIF(AF68,"*"&amp;$BN$61&amp;"*"),
               COUNTIF(AF68,"*"&amp;$BN$62&amp;"*"),
               COUNTIF(AF68,"*"&amp;$BN$63&amp;"*")
             ),
             "",
             IF(
               SUMPRODUCT(--ISNUMBER(MID(AF68,ROW($1:$20),1)*1))&gt;0,
               "",
               Data!CU53
             )
          ),
          SUBSTITUTE(SUBSTITUTE(SUBSTITUTE(SUBSTITUTE(SUBSTITUTE(SUBSTITUTE(SUBSTITUTE(SUBSTITUTE(SUBSTITUTE(AF68,$BN$59,""),$BN$60,""),$BN$61,""),$BN$62,""),$BN$63,""),"P",""),"I",""),"V",""),"B","") &amp;
          Data!CU53
       ),
       ""
    )
)</f>
        <v/>
      </c>
      <c r="AG118" s="41" t="str" cm="1">
        <f t="array" ref="AG118">IF(AND($Y$57=1,AG68&lt;&gt;""),
    "O"&amp;Data!CV53,
    IF(AG68&lt;&gt;"",
       IF(OR(COUNTIF(AG68,"L*"),COUNTIF(AG68,"X*")),
          SUBSTITUTE(SUBSTITUTE(SUBSTITUTE(SUBSTITUTE(AG68,"P",""),"I",""),"V",""),"B","") &amp;
          IF(
             OR(
               COUNTIF(AG68,"*"&amp;$BN$59&amp;"*"),
               COUNTIF(AG68,"*"&amp;$BN$60&amp;"*"),
               COUNTIF(AG68,"*"&amp;$BN$61&amp;"*"),
               COUNTIF(AG68,"*"&amp;$BN$62&amp;"*"),
               COUNTIF(AG68,"*"&amp;$BN$63&amp;"*")
             ),
             "",
             IF(
               SUMPRODUCT(--ISNUMBER(MID(AG68,ROW($1:$20),1)*1))&gt;0,
               "",
               Data!CV53
             )
          ),
          SUBSTITUTE(SUBSTITUTE(SUBSTITUTE(SUBSTITUTE(SUBSTITUTE(SUBSTITUTE(SUBSTITUTE(SUBSTITUTE(SUBSTITUTE(AG68,$BN$59,""),$BN$60,""),$BN$61,""),$BN$62,""),$BN$63,""),"P",""),"I",""),"V",""),"B","") &amp;
          Data!CV53
       ),
       ""
    )
)</f>
        <v/>
      </c>
      <c r="AH118" s="41" t="str" cm="1">
        <f t="array" ref="AH118">IF(AND($Y$57=1,AH68&lt;&gt;""),
    "O"&amp;Data!CW53,
    IF(AH68&lt;&gt;"",
       IF(OR(COUNTIF(AH68,"L*"),COUNTIF(AH68,"X*")),
          SUBSTITUTE(SUBSTITUTE(SUBSTITUTE(SUBSTITUTE(AH68,"P",""),"I",""),"V",""),"B","") &amp;
          IF(
             OR(
               COUNTIF(AH68,"*"&amp;$BN$59&amp;"*"),
               COUNTIF(AH68,"*"&amp;$BN$60&amp;"*"),
               COUNTIF(AH68,"*"&amp;$BN$61&amp;"*"),
               COUNTIF(AH68,"*"&amp;$BN$62&amp;"*"),
               COUNTIF(AH68,"*"&amp;$BN$63&amp;"*")
             ),
             "",
             IF(
               SUMPRODUCT(--ISNUMBER(MID(AH68,ROW($1:$20),1)*1))&gt;0,
               "",
               Data!CW53
             )
          ),
          SUBSTITUTE(SUBSTITUTE(SUBSTITUTE(SUBSTITUTE(SUBSTITUTE(SUBSTITUTE(SUBSTITUTE(SUBSTITUTE(SUBSTITUTE(AH68,$BN$59,""),$BN$60,""),$BN$61,""),$BN$62,""),$BN$63,""),"P",""),"I",""),"V",""),"B","") &amp;
          Data!CW53
       ),
       ""
    )
)</f>
        <v/>
      </c>
      <c r="AI118" s="41" t="str" cm="1">
        <f t="array" ref="AI118">IF(AND($Y$57=1,AI68&lt;&gt;""),
    "O"&amp;Data!CX53,
    IF(AI68&lt;&gt;"",
       IF(OR(COUNTIF(AI68,"L*"),COUNTIF(AI68,"X*")),
          SUBSTITUTE(SUBSTITUTE(SUBSTITUTE(SUBSTITUTE(AI68,"P",""),"I",""),"V",""),"B","") &amp;
          IF(
             OR(
               COUNTIF(AI68,"*"&amp;$BN$59&amp;"*"),
               COUNTIF(AI68,"*"&amp;$BN$60&amp;"*"),
               COUNTIF(AI68,"*"&amp;$BN$61&amp;"*"),
               COUNTIF(AI68,"*"&amp;$BN$62&amp;"*"),
               COUNTIF(AI68,"*"&amp;$BN$63&amp;"*")
             ),
             "",
             IF(
               SUMPRODUCT(--ISNUMBER(MID(AI68,ROW($1:$20),1)*1))&gt;0,
               "",
               Data!CX53
             )
          ),
          SUBSTITUTE(SUBSTITUTE(SUBSTITUTE(SUBSTITUTE(SUBSTITUTE(SUBSTITUTE(SUBSTITUTE(SUBSTITUTE(SUBSTITUTE(AI68,$BN$59,""),$BN$60,""),$BN$61,""),$BN$62,""),$BN$63,""),"P",""),"I",""),"V",""),"B","") &amp;
          Data!CX53
       ),
       ""
    )
)</f>
        <v/>
      </c>
      <c r="AJ118" s="41" t="str" cm="1">
        <f t="array" ref="AJ118">IF(AND($Y$57=1,AJ68&lt;&gt;""),
    "O"&amp;Data!CY53,
    IF(AJ68&lt;&gt;"",
       IF(OR(COUNTIF(AJ68,"L*"),COUNTIF(AJ68,"X*")),
          SUBSTITUTE(SUBSTITUTE(SUBSTITUTE(SUBSTITUTE(AJ68,"P",""),"I",""),"V",""),"B","") &amp;
          IF(
             OR(
               COUNTIF(AJ68,"*"&amp;$BN$59&amp;"*"),
               COUNTIF(AJ68,"*"&amp;$BN$60&amp;"*"),
               COUNTIF(AJ68,"*"&amp;$BN$61&amp;"*"),
               COUNTIF(AJ68,"*"&amp;$BN$62&amp;"*"),
               COUNTIF(AJ68,"*"&amp;$BN$63&amp;"*")
             ),
             "",
             IF(
               SUMPRODUCT(--ISNUMBER(MID(AJ68,ROW($1:$20),1)*1))&gt;0,
               "",
               Data!CY53
             )
          ),
          SUBSTITUTE(SUBSTITUTE(SUBSTITUTE(SUBSTITUTE(SUBSTITUTE(SUBSTITUTE(SUBSTITUTE(SUBSTITUTE(SUBSTITUTE(AJ68,$BN$59,""),$BN$60,""),$BN$61,""),$BN$62,""),$BN$63,""),"P",""),"I",""),"V",""),"B","") &amp;
          Data!CY53
       ),
       ""
    )
)</f>
        <v/>
      </c>
    </row>
    <row r="119" spans="1:54" ht="23.25" customHeight="1" x14ac:dyDescent="0.35">
      <c r="A119" s="1196"/>
      <c r="B119" s="22">
        <v>9</v>
      </c>
      <c r="C119" s="41" t="str" cm="1">
        <f t="array" ref="C119">IF(AND($Y$57=1,C69&lt;&gt;""),
    "O"&amp;Data!BR54,
    IF(C69&lt;&gt;"",
       IF(OR(COUNTIF(C69,"L*"),COUNTIF(C69,"X*")),
          SUBSTITUTE(SUBSTITUTE(SUBSTITUTE(SUBSTITUTE(C69,"P",""),"I",""),"V",""),"B","") &amp;
          IF(
             OR(
               COUNTIF(C69,"*"&amp;$BN$59&amp;"*"),
               COUNTIF(C69,"*"&amp;$BN$60&amp;"*"),
               COUNTIF(C69,"*"&amp;$BN$61&amp;"*"),
               COUNTIF(C69,"*"&amp;$BN$62&amp;"*"),
               COUNTIF(C69,"*"&amp;$BN$63&amp;"*")
             ),
             "",
             IF(
               SUMPRODUCT(--ISNUMBER(MID(C69,ROW($1:$20),1)*1))&gt;0,
               "",
               Data!BR54
             )
          ),
          SUBSTITUTE(SUBSTITUTE(SUBSTITUTE(SUBSTITUTE(SUBSTITUTE(SUBSTITUTE(SUBSTITUTE(SUBSTITUTE(SUBSTITUTE(C69,$BN$59,""),$BN$60,""),$BN$61,""),$BN$62,""),$BN$63,""),"P",""),"I",""),"V",""),"B","") &amp;
          Data!BR54
       ),
       ""
    )
)</f>
        <v/>
      </c>
      <c r="D119" s="41" t="str" cm="1">
        <f t="array" ref="D119">IF(AND($Y$57=1,D69&lt;&gt;""),
    "O"&amp;Data!BS54,
    IF(D69&lt;&gt;"",
       IF(OR(COUNTIF(D69,"L*"),COUNTIF(D69,"X*")),
          SUBSTITUTE(SUBSTITUTE(SUBSTITUTE(SUBSTITUTE(D69,"P",""),"I",""),"V",""),"B","") &amp;
          IF(
             OR(
               COUNTIF(D69,"*"&amp;$BN$59&amp;"*"),
               COUNTIF(D69,"*"&amp;$BN$60&amp;"*"),
               COUNTIF(D69,"*"&amp;$BN$61&amp;"*"),
               COUNTIF(D69,"*"&amp;$BN$62&amp;"*"),
               COUNTIF(D69,"*"&amp;$BN$63&amp;"*")
             ),
             "",
             IF(
               SUMPRODUCT(--ISNUMBER(MID(D69,ROW($1:$20),1)*1))&gt;0,
               "",
               Data!BS54
             )
          ),
          SUBSTITUTE(SUBSTITUTE(SUBSTITUTE(SUBSTITUTE(SUBSTITUTE(SUBSTITUTE(SUBSTITUTE(SUBSTITUTE(SUBSTITUTE(D69,$BN$59,""),$BN$60,""),$BN$61,""),$BN$62,""),$BN$63,""),"P",""),"I",""),"V",""),"B","") &amp;
          Data!BS54
       ),
       ""
    )
)</f>
        <v/>
      </c>
      <c r="E119" s="41" t="str" cm="1">
        <f t="array" ref="E119">IF(AND($Y$57=1,E69&lt;&gt;""),
    "O"&amp;Data!BT54,
    IF(E69&lt;&gt;"",
       IF(OR(COUNTIF(E69,"L*"),COUNTIF(E69,"X*")),
          SUBSTITUTE(SUBSTITUTE(SUBSTITUTE(SUBSTITUTE(E69,"P",""),"I",""),"V",""),"B","") &amp;
          IF(
             OR(
               COUNTIF(E69,"*"&amp;$BN$59&amp;"*"),
               COUNTIF(E69,"*"&amp;$BN$60&amp;"*"),
               COUNTIF(E69,"*"&amp;$BN$61&amp;"*"),
               COUNTIF(E69,"*"&amp;$BN$62&amp;"*"),
               COUNTIF(E69,"*"&amp;$BN$63&amp;"*")
             ),
             "",
             IF(
               SUMPRODUCT(--ISNUMBER(MID(E69,ROW($1:$20),1)*1))&gt;0,
               "",
               Data!BT54
             )
          ),
          SUBSTITUTE(SUBSTITUTE(SUBSTITUTE(SUBSTITUTE(SUBSTITUTE(SUBSTITUTE(SUBSTITUTE(SUBSTITUTE(SUBSTITUTE(E69,$BN$59,""),$BN$60,""),$BN$61,""),$BN$62,""),$BN$63,""),"P",""),"I",""),"V",""),"B","") &amp;
          Data!BT54
       ),
       ""
    )
)</f>
        <v/>
      </c>
      <c r="F119" s="41" t="str" cm="1">
        <f t="array" ref="F119">IF(AND($Y$57=1,F69&lt;&gt;""),
    "O"&amp;Data!BU54,
    IF(F69&lt;&gt;"",
       IF(OR(COUNTIF(F69,"L*"),COUNTIF(F69,"X*")),
          SUBSTITUTE(SUBSTITUTE(SUBSTITUTE(SUBSTITUTE(F69,"P",""),"I",""),"V",""),"B","") &amp;
          IF(
             OR(
               COUNTIF(F69,"*"&amp;$BN$59&amp;"*"),
               COUNTIF(F69,"*"&amp;$BN$60&amp;"*"),
               COUNTIF(F69,"*"&amp;$BN$61&amp;"*"),
               COUNTIF(F69,"*"&amp;$BN$62&amp;"*"),
               COUNTIF(F69,"*"&amp;$BN$63&amp;"*")
             ),
             "",
             IF(
               SUMPRODUCT(--ISNUMBER(MID(F69,ROW($1:$20),1)*1))&gt;0,
               "",
               Data!BU54
             )
          ),
          SUBSTITUTE(SUBSTITUTE(SUBSTITUTE(SUBSTITUTE(SUBSTITUTE(SUBSTITUTE(SUBSTITUTE(SUBSTITUTE(SUBSTITUTE(F69,$BN$59,""),$BN$60,""),$BN$61,""),$BN$62,""),$BN$63,""),"P",""),"I",""),"V",""),"B","") &amp;
          Data!BU54
       ),
       ""
    )
)</f>
        <v/>
      </c>
      <c r="G119" s="41" t="str" cm="1">
        <f t="array" ref="G119">IF(AND($Y$57=1,G69&lt;&gt;""),
    "O"&amp;Data!BV54,
    IF(G69&lt;&gt;"",
       IF(OR(COUNTIF(G69,"L*"),COUNTIF(G69,"X*")),
          SUBSTITUTE(SUBSTITUTE(SUBSTITUTE(SUBSTITUTE(G69,"P",""),"I",""),"V",""),"B","") &amp;
          IF(
             OR(
               COUNTIF(G69,"*"&amp;$BN$59&amp;"*"),
               COUNTIF(G69,"*"&amp;$BN$60&amp;"*"),
               COUNTIF(G69,"*"&amp;$BN$61&amp;"*"),
               COUNTIF(G69,"*"&amp;$BN$62&amp;"*"),
               COUNTIF(G69,"*"&amp;$BN$63&amp;"*")
             ),
             "",
             IF(
               SUMPRODUCT(--ISNUMBER(MID(G69,ROW($1:$20),1)*1))&gt;0,
               "",
               Data!BV54
             )
          ),
          SUBSTITUTE(SUBSTITUTE(SUBSTITUTE(SUBSTITUTE(SUBSTITUTE(SUBSTITUTE(SUBSTITUTE(SUBSTITUTE(SUBSTITUTE(G69,$BN$59,""),$BN$60,""),$BN$61,""),$BN$62,""),$BN$63,""),"P",""),"I",""),"V",""),"B","") &amp;
          Data!BV54
       ),
       ""
    )
)</f>
        <v/>
      </c>
      <c r="H119" s="41" t="str" cm="1">
        <f t="array" ref="H119">IF(AND($Y$57=1,H69&lt;&gt;""),
    "O"&amp;Data!BW54,
    IF(H69&lt;&gt;"",
       IF(OR(COUNTIF(H69,"L*"),COUNTIF(H69,"X*")),
          SUBSTITUTE(SUBSTITUTE(SUBSTITUTE(SUBSTITUTE(H69,"P",""),"I",""),"V",""),"B","") &amp;
          IF(
             OR(
               COUNTIF(H69,"*"&amp;$BN$59&amp;"*"),
               COUNTIF(H69,"*"&amp;$BN$60&amp;"*"),
               COUNTIF(H69,"*"&amp;$BN$61&amp;"*"),
               COUNTIF(H69,"*"&amp;$BN$62&amp;"*"),
               COUNTIF(H69,"*"&amp;$BN$63&amp;"*")
             ),
             "",
             IF(
               SUMPRODUCT(--ISNUMBER(MID(H69,ROW($1:$20),1)*1))&gt;0,
               "",
               Data!BW54
             )
          ),
          SUBSTITUTE(SUBSTITUTE(SUBSTITUTE(SUBSTITUTE(SUBSTITUTE(SUBSTITUTE(SUBSTITUTE(SUBSTITUTE(SUBSTITUTE(H69,$BN$59,""),$BN$60,""),$BN$61,""),$BN$62,""),$BN$63,""),"P",""),"I",""),"V",""),"B","") &amp;
          Data!BW54
       ),
       ""
    )
)</f>
        <v/>
      </c>
      <c r="I119" s="41" t="str" cm="1">
        <f t="array" ref="I119">IF(AND($Y$57=1,I69&lt;&gt;""),
    "O"&amp;Data!BX54,
    IF(I69&lt;&gt;"",
       IF(OR(COUNTIF(I69,"L*"),COUNTIF(I69,"X*")),
          SUBSTITUTE(SUBSTITUTE(SUBSTITUTE(SUBSTITUTE(I69,"P",""),"I",""),"V",""),"B","") &amp;
          IF(
             OR(
               COUNTIF(I69,"*"&amp;$BN$59&amp;"*"),
               COUNTIF(I69,"*"&amp;$BN$60&amp;"*"),
               COUNTIF(I69,"*"&amp;$BN$61&amp;"*"),
               COUNTIF(I69,"*"&amp;$BN$62&amp;"*"),
               COUNTIF(I69,"*"&amp;$BN$63&amp;"*")
             ),
             "",
             IF(
               SUMPRODUCT(--ISNUMBER(MID(I69,ROW($1:$20),1)*1))&gt;0,
               "",
               Data!BX54
             )
          ),
          SUBSTITUTE(SUBSTITUTE(SUBSTITUTE(SUBSTITUTE(SUBSTITUTE(SUBSTITUTE(SUBSTITUTE(SUBSTITUTE(SUBSTITUTE(I69,$BN$59,""),$BN$60,""),$BN$61,""),$BN$62,""),$BN$63,""),"P",""),"I",""),"V",""),"B","") &amp;
          Data!BX54
       ),
       ""
    )
)</f>
        <v/>
      </c>
      <c r="J119" s="41" t="str" cm="1">
        <f t="array" ref="J119">IF(AND($Y$57=1,J69&lt;&gt;""),
    "O"&amp;Data!BY54,
    IF(J69&lt;&gt;"",
       IF(OR(COUNTIF(J69,"L*"),COUNTIF(J69,"X*")),
          SUBSTITUTE(SUBSTITUTE(SUBSTITUTE(SUBSTITUTE(J69,"P",""),"I",""),"V",""),"B","") &amp;
          IF(
             OR(
               COUNTIF(J69,"*"&amp;$BN$59&amp;"*"),
               COUNTIF(J69,"*"&amp;$BN$60&amp;"*"),
               COUNTIF(J69,"*"&amp;$BN$61&amp;"*"),
               COUNTIF(J69,"*"&amp;$BN$62&amp;"*"),
               COUNTIF(J69,"*"&amp;$BN$63&amp;"*")
             ),
             "",
             IF(
               SUMPRODUCT(--ISNUMBER(MID(J69,ROW($1:$20),1)*1))&gt;0,
               "",
               Data!BY54
             )
          ),
          SUBSTITUTE(SUBSTITUTE(SUBSTITUTE(SUBSTITUTE(SUBSTITUTE(SUBSTITUTE(SUBSTITUTE(SUBSTITUTE(SUBSTITUTE(J69,$BN$59,""),$BN$60,""),$BN$61,""),$BN$62,""),$BN$63,""),"P",""),"I",""),"V",""),"B","") &amp;
          Data!BY54
       ),
       ""
    )
)</f>
        <v/>
      </c>
      <c r="K119" s="41" t="str" cm="1">
        <f t="array" ref="K119">IF(AND($Y$57=1,K69&lt;&gt;""),
    "O"&amp;Data!BZ54,
    IF(K69&lt;&gt;"",
       IF(OR(COUNTIF(K69,"L*"),COUNTIF(K69,"X*")),
          SUBSTITUTE(SUBSTITUTE(SUBSTITUTE(SUBSTITUTE(K69,"P",""),"I",""),"V",""),"B","") &amp;
          IF(
             OR(
               COUNTIF(K69,"*"&amp;$BN$59&amp;"*"),
               COUNTIF(K69,"*"&amp;$BN$60&amp;"*"),
               COUNTIF(K69,"*"&amp;$BN$61&amp;"*"),
               COUNTIF(K69,"*"&amp;$BN$62&amp;"*"),
               COUNTIF(K69,"*"&amp;$BN$63&amp;"*")
             ),
             "",
             IF(
               SUMPRODUCT(--ISNUMBER(MID(K69,ROW($1:$20),1)*1))&gt;0,
               "",
               Data!BZ54
             )
          ),
          SUBSTITUTE(SUBSTITUTE(SUBSTITUTE(SUBSTITUTE(SUBSTITUTE(SUBSTITUTE(SUBSTITUTE(SUBSTITUTE(SUBSTITUTE(K69,$BN$59,""),$BN$60,""),$BN$61,""),$BN$62,""),$BN$63,""),"P",""),"I",""),"V",""),"B","") &amp;
          Data!BZ54
       ),
       ""
    )
)</f>
        <v/>
      </c>
      <c r="L119" s="41" t="str" cm="1">
        <f t="array" ref="L119">IF(AND($Y$57=1,L69&lt;&gt;""),
    "O"&amp;Data!CA54,
    IF(L69&lt;&gt;"",
       IF(OR(COUNTIF(L69,"L*"),COUNTIF(L69,"X*")),
          SUBSTITUTE(SUBSTITUTE(SUBSTITUTE(SUBSTITUTE(L69,"P",""),"I",""),"V",""),"B","") &amp;
          IF(
             OR(
               COUNTIF(L69,"*"&amp;$BN$59&amp;"*"),
               COUNTIF(L69,"*"&amp;$BN$60&amp;"*"),
               COUNTIF(L69,"*"&amp;$BN$61&amp;"*"),
               COUNTIF(L69,"*"&amp;$BN$62&amp;"*"),
               COUNTIF(L69,"*"&amp;$BN$63&amp;"*")
             ),
             "",
             IF(
               SUMPRODUCT(--ISNUMBER(MID(L69,ROW($1:$20),1)*1))&gt;0,
               "",
               Data!CA54
             )
          ),
          SUBSTITUTE(SUBSTITUTE(SUBSTITUTE(SUBSTITUTE(SUBSTITUTE(SUBSTITUTE(SUBSTITUTE(SUBSTITUTE(SUBSTITUTE(L69,$BN$59,""),$BN$60,""),$BN$61,""),$BN$62,""),$BN$63,""),"P",""),"I",""),"V",""),"B","") &amp;
          Data!CA54
       ),
       ""
    )
)</f>
        <v/>
      </c>
      <c r="M119" s="41" t="str" cm="1">
        <f t="array" ref="M119">IF(AND($Y$57=1,M69&lt;&gt;""),
    "O"&amp;Data!CB54,
    IF(M69&lt;&gt;"",
       IF(OR(COUNTIF(M69,"L*"),COUNTIF(M69,"X*")),
          SUBSTITUTE(SUBSTITUTE(SUBSTITUTE(SUBSTITUTE(M69,"P",""),"I",""),"V",""),"B","") &amp;
          IF(
             OR(
               COUNTIF(M69,"*"&amp;$BN$59&amp;"*"),
               COUNTIF(M69,"*"&amp;$BN$60&amp;"*"),
               COUNTIF(M69,"*"&amp;$BN$61&amp;"*"),
               COUNTIF(M69,"*"&amp;$BN$62&amp;"*"),
               COUNTIF(M69,"*"&amp;$BN$63&amp;"*")
             ),
             "",
             IF(
               SUMPRODUCT(--ISNUMBER(MID(M69,ROW($1:$20),1)*1))&gt;0,
               "",
               Data!CB54
             )
          ),
          SUBSTITUTE(SUBSTITUTE(SUBSTITUTE(SUBSTITUTE(SUBSTITUTE(SUBSTITUTE(SUBSTITUTE(SUBSTITUTE(SUBSTITUTE(M69,$BN$59,""),$BN$60,""),$BN$61,""),$BN$62,""),$BN$63,""),"P",""),"I",""),"V",""),"B","") &amp;
          Data!CB54
       ),
       ""
    )
)</f>
        <v/>
      </c>
      <c r="N119" s="41" t="str" cm="1">
        <f t="array" ref="N119">IF(AND($Y$57=1,N69&lt;&gt;""),
    "O"&amp;Data!CC54,
    IF(N69&lt;&gt;"",
       IF(OR(COUNTIF(N69,"L*"),COUNTIF(N69,"X*")),
          SUBSTITUTE(SUBSTITUTE(SUBSTITUTE(SUBSTITUTE(N69,"P",""),"I",""),"V",""),"B","") &amp;
          IF(
             OR(
               COUNTIF(N69,"*"&amp;$BN$59&amp;"*"),
               COUNTIF(N69,"*"&amp;$BN$60&amp;"*"),
               COUNTIF(N69,"*"&amp;$BN$61&amp;"*"),
               COUNTIF(N69,"*"&amp;$BN$62&amp;"*"),
               COUNTIF(N69,"*"&amp;$BN$63&amp;"*")
             ),
             "",
             IF(
               SUMPRODUCT(--ISNUMBER(MID(N69,ROW($1:$20),1)*1))&gt;0,
               "",
               Data!CC54
             )
          ),
          SUBSTITUTE(SUBSTITUTE(SUBSTITUTE(SUBSTITUTE(SUBSTITUTE(SUBSTITUTE(SUBSTITUTE(SUBSTITUTE(SUBSTITUTE(N69,$BN$59,""),$BN$60,""),$BN$61,""),$BN$62,""),$BN$63,""),"P",""),"I",""),"V",""),"B","") &amp;
          Data!CC54
       ),
       ""
    )
)</f>
        <v/>
      </c>
      <c r="O119" s="41" t="str" cm="1">
        <f t="array" ref="O119">IF(AND($Y$57=1,O69&lt;&gt;""),
    "O"&amp;Data!CD54,
    IF(O69&lt;&gt;"",
       IF(OR(COUNTIF(O69,"L*"),COUNTIF(O69,"X*")),
          SUBSTITUTE(SUBSTITUTE(SUBSTITUTE(SUBSTITUTE(O69,"P",""),"I",""),"V",""),"B","") &amp;
          IF(
             OR(
               COUNTIF(O69,"*"&amp;$BN$59&amp;"*"),
               COUNTIF(O69,"*"&amp;$BN$60&amp;"*"),
               COUNTIF(O69,"*"&amp;$BN$61&amp;"*"),
               COUNTIF(O69,"*"&amp;$BN$62&amp;"*"),
               COUNTIF(O69,"*"&amp;$BN$63&amp;"*")
             ),
             "",
             IF(
               SUMPRODUCT(--ISNUMBER(MID(O69,ROW($1:$20),1)*1))&gt;0,
               "",
               Data!CD54
             )
          ),
          SUBSTITUTE(SUBSTITUTE(SUBSTITUTE(SUBSTITUTE(SUBSTITUTE(SUBSTITUTE(SUBSTITUTE(SUBSTITUTE(SUBSTITUTE(O69,$BN$59,""),$BN$60,""),$BN$61,""),$BN$62,""),$BN$63,""),"P",""),"I",""),"V",""),"B","") &amp;
          Data!CD54
       ),
       ""
    )
)</f>
        <v/>
      </c>
      <c r="P119" s="41" t="str" cm="1">
        <f t="array" ref="P119">IF(AND($Y$57=1,P69&lt;&gt;""),
    "O"&amp;Data!CE54,
    IF(P69&lt;&gt;"",
       IF(OR(COUNTIF(P69,"L*"),COUNTIF(P69,"X*")),
          SUBSTITUTE(SUBSTITUTE(SUBSTITUTE(SUBSTITUTE(P69,"P",""),"I",""),"V",""),"B","") &amp;
          IF(
             OR(
               COUNTIF(P69,"*"&amp;$BN$59&amp;"*"),
               COUNTIF(P69,"*"&amp;$BN$60&amp;"*"),
               COUNTIF(P69,"*"&amp;$BN$61&amp;"*"),
               COUNTIF(P69,"*"&amp;$BN$62&amp;"*"),
               COUNTIF(P69,"*"&amp;$BN$63&amp;"*")
             ),
             "",
             IF(
               SUMPRODUCT(--ISNUMBER(MID(P69,ROW($1:$20),1)*1))&gt;0,
               "",
               Data!CE54
             )
          ),
          SUBSTITUTE(SUBSTITUTE(SUBSTITUTE(SUBSTITUTE(SUBSTITUTE(SUBSTITUTE(SUBSTITUTE(SUBSTITUTE(SUBSTITUTE(P69,$BN$59,""),$BN$60,""),$BN$61,""),$BN$62,""),$BN$63,""),"P",""),"I",""),"V",""),"B","") &amp;
          Data!CE54
       ),
       ""
    )
)</f>
        <v/>
      </c>
      <c r="Q119" s="41" t="str" cm="1">
        <f t="array" ref="Q119">IF(AND($Y$57=1,Q69&lt;&gt;""),
    "O"&amp;Data!CF54,
    IF(Q69&lt;&gt;"",
       IF(OR(COUNTIF(Q69,"L*"),COUNTIF(Q69,"X*")),
          SUBSTITUTE(SUBSTITUTE(SUBSTITUTE(SUBSTITUTE(Q69,"P",""),"I",""),"V",""),"B","") &amp;
          IF(
             OR(
               COUNTIF(Q69,"*"&amp;$BN$59&amp;"*"),
               COUNTIF(Q69,"*"&amp;$BN$60&amp;"*"),
               COUNTIF(Q69,"*"&amp;$BN$61&amp;"*"),
               COUNTIF(Q69,"*"&amp;$BN$62&amp;"*"),
               COUNTIF(Q69,"*"&amp;$BN$63&amp;"*")
             ),
             "",
             IF(
               SUMPRODUCT(--ISNUMBER(MID(Q69,ROW($1:$20),1)*1))&gt;0,
               "",
               Data!CF54
             )
          ),
          SUBSTITUTE(SUBSTITUTE(SUBSTITUTE(SUBSTITUTE(SUBSTITUTE(SUBSTITUTE(SUBSTITUTE(SUBSTITUTE(SUBSTITUTE(Q69,$BN$59,""),$BN$60,""),$BN$61,""),$BN$62,""),$BN$63,""),"P",""),"I",""),"V",""),"B","") &amp;
          Data!CF54
       ),
       ""
    )
)</f>
        <v/>
      </c>
      <c r="R119" s="41" t="str" cm="1">
        <f t="array" ref="R119">IF(AND($Y$57=1,R69&lt;&gt;""),
    "O"&amp;Data!CG54,
    IF(R69&lt;&gt;"",
       IF(OR(COUNTIF(R69,"L*"),COUNTIF(R69,"X*")),
          SUBSTITUTE(SUBSTITUTE(SUBSTITUTE(SUBSTITUTE(R69,"P",""),"I",""),"V",""),"B","") &amp;
          IF(
             OR(
               COUNTIF(R69,"*"&amp;$BN$59&amp;"*"),
               COUNTIF(R69,"*"&amp;$BN$60&amp;"*"),
               COUNTIF(R69,"*"&amp;$BN$61&amp;"*"),
               COUNTIF(R69,"*"&amp;$BN$62&amp;"*"),
               COUNTIF(R69,"*"&amp;$BN$63&amp;"*")
             ),
             "",
             IF(
               SUMPRODUCT(--ISNUMBER(MID(R69,ROW($1:$20),1)*1))&gt;0,
               "",
               Data!CG54
             )
          ),
          SUBSTITUTE(SUBSTITUTE(SUBSTITUTE(SUBSTITUTE(SUBSTITUTE(SUBSTITUTE(SUBSTITUTE(SUBSTITUTE(SUBSTITUTE(R69,$BN$59,""),$BN$60,""),$BN$61,""),$BN$62,""),$BN$63,""),"P",""),"I",""),"V",""),"B","") &amp;
          Data!CG54
       ),
       ""
    )
)</f>
        <v/>
      </c>
      <c r="S119" s="41" t="str" cm="1">
        <f t="array" ref="S119">IF(AND($Y$57=1,S69&lt;&gt;""),
    "O"&amp;Data!CH54,
    IF(S69&lt;&gt;"",
       IF(OR(COUNTIF(S69,"L*"),COUNTIF(S69,"X*")),
          SUBSTITUTE(SUBSTITUTE(SUBSTITUTE(SUBSTITUTE(S69,"P",""),"I",""),"V",""),"B","") &amp;
          IF(
             OR(
               COUNTIF(S69,"*"&amp;$BN$59&amp;"*"),
               COUNTIF(S69,"*"&amp;$BN$60&amp;"*"),
               COUNTIF(S69,"*"&amp;$BN$61&amp;"*"),
               COUNTIF(S69,"*"&amp;$BN$62&amp;"*"),
               COUNTIF(S69,"*"&amp;$BN$63&amp;"*")
             ),
             "",
             IF(
               SUMPRODUCT(--ISNUMBER(MID(S69,ROW($1:$20),1)*1))&gt;0,
               "",
               Data!CH54
             )
          ),
          SUBSTITUTE(SUBSTITUTE(SUBSTITUTE(SUBSTITUTE(SUBSTITUTE(SUBSTITUTE(SUBSTITUTE(SUBSTITUTE(SUBSTITUTE(S69,$BN$59,""),$BN$60,""),$BN$61,""),$BN$62,""),$BN$63,""),"P",""),"I",""),"V",""),"B","") &amp;
          Data!CH54
       ),
       ""
    )
)</f>
        <v/>
      </c>
      <c r="T119" s="41" t="str" cm="1">
        <f t="array" ref="T119">IF(AND($Y$57=1,T69&lt;&gt;""),
    "O"&amp;Data!CI54,
    IF(T69&lt;&gt;"",
       IF(OR(COUNTIF(T69,"L*"),COUNTIF(T69,"X*")),
          SUBSTITUTE(SUBSTITUTE(SUBSTITUTE(SUBSTITUTE(T69,"P",""),"I",""),"V",""),"B","") &amp;
          IF(
             OR(
               COUNTIF(T69,"*"&amp;$BN$59&amp;"*"),
               COUNTIF(T69,"*"&amp;$BN$60&amp;"*"),
               COUNTIF(T69,"*"&amp;$BN$61&amp;"*"),
               COUNTIF(T69,"*"&amp;$BN$62&amp;"*"),
               COUNTIF(T69,"*"&amp;$BN$63&amp;"*")
             ),
             "",
             IF(
               SUMPRODUCT(--ISNUMBER(MID(T69,ROW($1:$20),1)*1))&gt;0,
               "",
               Data!CI54
             )
          ),
          SUBSTITUTE(SUBSTITUTE(SUBSTITUTE(SUBSTITUTE(SUBSTITUTE(SUBSTITUTE(SUBSTITUTE(SUBSTITUTE(SUBSTITUTE(T69,$BN$59,""),$BN$60,""),$BN$61,""),$BN$62,""),$BN$63,""),"P",""),"I",""),"V",""),"B","") &amp;
          Data!CI54
       ),
       ""
    )
)</f>
        <v/>
      </c>
      <c r="U119" s="41" t="str" cm="1">
        <f t="array" ref="U119">IF(AND($Y$57=1,U69&lt;&gt;""),
    "O"&amp;Data!CJ54,
    IF(U69&lt;&gt;"",
       IF(OR(COUNTIF(U69,"L*"),COUNTIF(U69,"X*")),
          SUBSTITUTE(SUBSTITUTE(SUBSTITUTE(SUBSTITUTE(U69,"P",""),"I",""),"V",""),"B","") &amp;
          IF(
             OR(
               COUNTIF(U69,"*"&amp;$BN$59&amp;"*"),
               COUNTIF(U69,"*"&amp;$BN$60&amp;"*"),
               COUNTIF(U69,"*"&amp;$BN$61&amp;"*"),
               COUNTIF(U69,"*"&amp;$BN$62&amp;"*"),
               COUNTIF(U69,"*"&amp;$BN$63&amp;"*")
             ),
             "",
             IF(
               SUMPRODUCT(--ISNUMBER(MID(U69,ROW($1:$20),1)*1))&gt;0,
               "",
               Data!CJ54
             )
          ),
          SUBSTITUTE(SUBSTITUTE(SUBSTITUTE(SUBSTITUTE(SUBSTITUTE(SUBSTITUTE(SUBSTITUTE(SUBSTITUTE(SUBSTITUTE(U69,$BN$59,""),$BN$60,""),$BN$61,""),$BN$62,""),$BN$63,""),"P",""),"I",""),"V",""),"B","") &amp;
          Data!CJ54
       ),
       ""
    )
)</f>
        <v/>
      </c>
      <c r="V119" s="41" t="str" cm="1">
        <f t="array" ref="V119">IF(AND($Y$57=1,V69&lt;&gt;""),
    "O"&amp;Data!CK54,
    IF(V69&lt;&gt;"",
       IF(OR(COUNTIF(V69,"L*"),COUNTIF(V69,"X*")),
          SUBSTITUTE(SUBSTITUTE(SUBSTITUTE(SUBSTITUTE(V69,"P",""),"I",""),"V",""),"B","") &amp;
          IF(
             OR(
               COUNTIF(V69,"*"&amp;$BN$59&amp;"*"),
               COUNTIF(V69,"*"&amp;$BN$60&amp;"*"),
               COUNTIF(V69,"*"&amp;$BN$61&amp;"*"),
               COUNTIF(V69,"*"&amp;$BN$62&amp;"*"),
               COUNTIF(V69,"*"&amp;$BN$63&amp;"*")
             ),
             "",
             IF(
               SUMPRODUCT(--ISNUMBER(MID(V69,ROW($1:$20),1)*1))&gt;0,
               "",
               Data!CK54
             )
          ),
          SUBSTITUTE(SUBSTITUTE(SUBSTITUTE(SUBSTITUTE(SUBSTITUTE(SUBSTITUTE(SUBSTITUTE(SUBSTITUTE(SUBSTITUTE(V69,$BN$59,""),$BN$60,""),$BN$61,""),$BN$62,""),$BN$63,""),"P",""),"I",""),"V",""),"B","") &amp;
          Data!CK54
       ),
       ""
    )
)</f>
        <v/>
      </c>
      <c r="W119" s="41" t="str" cm="1">
        <f t="array" ref="W119">IF(AND($Y$57=1,W69&lt;&gt;""),
    "O"&amp;Data!CL54,
    IF(W69&lt;&gt;"",
       IF(OR(COUNTIF(W69,"L*"),COUNTIF(W69,"X*")),
          SUBSTITUTE(SUBSTITUTE(SUBSTITUTE(SUBSTITUTE(W69,"P",""),"I",""),"V",""),"B","") &amp;
          IF(
             OR(
               COUNTIF(W69,"*"&amp;$BN$59&amp;"*"),
               COUNTIF(W69,"*"&amp;$BN$60&amp;"*"),
               COUNTIF(W69,"*"&amp;$BN$61&amp;"*"),
               COUNTIF(W69,"*"&amp;$BN$62&amp;"*"),
               COUNTIF(W69,"*"&amp;$BN$63&amp;"*")
             ),
             "",
             IF(
               SUMPRODUCT(--ISNUMBER(MID(W69,ROW($1:$20),1)*1))&gt;0,
               "",
               Data!CL54
             )
          ),
          SUBSTITUTE(SUBSTITUTE(SUBSTITUTE(SUBSTITUTE(SUBSTITUTE(SUBSTITUTE(SUBSTITUTE(SUBSTITUTE(SUBSTITUTE(W69,$BN$59,""),$BN$60,""),$BN$61,""),$BN$62,""),$BN$63,""),"P",""),"I",""),"V",""),"B","") &amp;
          Data!CL54
       ),
       ""
    )
)</f>
        <v/>
      </c>
      <c r="X119" s="41" t="str" cm="1">
        <f t="array" ref="X119">IF(AND($Y$57=1,X69&lt;&gt;""),
    "O"&amp;Data!CM54,
    IF(X69&lt;&gt;"",
       IF(OR(COUNTIF(X69,"L*"),COUNTIF(X69,"X*")),
          SUBSTITUTE(SUBSTITUTE(SUBSTITUTE(SUBSTITUTE(X69,"P",""),"I",""),"V",""),"B","") &amp;
          IF(
             OR(
               COUNTIF(X69,"*"&amp;$BN$59&amp;"*"),
               COUNTIF(X69,"*"&amp;$BN$60&amp;"*"),
               COUNTIF(X69,"*"&amp;$BN$61&amp;"*"),
               COUNTIF(X69,"*"&amp;$BN$62&amp;"*"),
               COUNTIF(X69,"*"&amp;$BN$63&amp;"*")
             ),
             "",
             IF(
               SUMPRODUCT(--ISNUMBER(MID(X69,ROW($1:$20),1)*1))&gt;0,
               "",
               Data!CM54
             )
          ),
          SUBSTITUTE(SUBSTITUTE(SUBSTITUTE(SUBSTITUTE(SUBSTITUTE(SUBSTITUTE(SUBSTITUTE(SUBSTITUTE(SUBSTITUTE(X69,$BN$59,""),$BN$60,""),$BN$61,""),$BN$62,""),$BN$63,""),"P",""),"I",""),"V",""),"B","") &amp;
          Data!CM54
       ),
       ""
    )
)</f>
        <v/>
      </c>
      <c r="Y119" s="41" t="str" cm="1">
        <f t="array" ref="Y119">IF(AND($Y$57=1,Y69&lt;&gt;""),
    "O"&amp;Data!CN54,
    IF(Y69&lt;&gt;"",
       IF(OR(COUNTIF(Y69,"L*"),COUNTIF(Y69,"X*")),
          SUBSTITUTE(SUBSTITUTE(SUBSTITUTE(SUBSTITUTE(Y69,"P",""),"I",""),"V",""),"B","") &amp;
          IF(
             OR(
               COUNTIF(Y69,"*"&amp;$BN$59&amp;"*"),
               COUNTIF(Y69,"*"&amp;$BN$60&amp;"*"),
               COUNTIF(Y69,"*"&amp;$BN$61&amp;"*"),
               COUNTIF(Y69,"*"&amp;$BN$62&amp;"*"),
               COUNTIF(Y69,"*"&amp;$BN$63&amp;"*")
             ),
             "",
             IF(
               SUMPRODUCT(--ISNUMBER(MID(Y69,ROW($1:$20),1)*1))&gt;0,
               "",
               Data!CN54
             )
          ),
          SUBSTITUTE(SUBSTITUTE(SUBSTITUTE(SUBSTITUTE(SUBSTITUTE(SUBSTITUTE(SUBSTITUTE(SUBSTITUTE(SUBSTITUTE(Y69,$BN$59,""),$BN$60,""),$BN$61,""),$BN$62,""),$BN$63,""),"P",""),"I",""),"V",""),"B","") &amp;
          Data!CN54
       ),
       ""
    )
)</f>
        <v/>
      </c>
      <c r="Z119" s="41" t="str" cm="1">
        <f t="array" ref="Z119">IF(AND($Y$57=1,Z69&lt;&gt;""),
    "O"&amp;Data!CO54,
    IF(Z69&lt;&gt;"",
       IF(OR(COUNTIF(Z69,"L*"),COUNTIF(Z69,"X*")),
          SUBSTITUTE(SUBSTITUTE(SUBSTITUTE(SUBSTITUTE(Z69,"P",""),"I",""),"V",""),"B","") &amp;
          IF(
             OR(
               COUNTIF(Z69,"*"&amp;$BN$59&amp;"*"),
               COUNTIF(Z69,"*"&amp;$BN$60&amp;"*"),
               COUNTIF(Z69,"*"&amp;$BN$61&amp;"*"),
               COUNTIF(Z69,"*"&amp;$BN$62&amp;"*"),
               COUNTIF(Z69,"*"&amp;$BN$63&amp;"*")
             ),
             "",
             IF(
               SUMPRODUCT(--ISNUMBER(MID(Z69,ROW($1:$20),1)*1))&gt;0,
               "",
               Data!CO54
             )
          ),
          SUBSTITUTE(SUBSTITUTE(SUBSTITUTE(SUBSTITUTE(SUBSTITUTE(SUBSTITUTE(SUBSTITUTE(SUBSTITUTE(SUBSTITUTE(Z69,$BN$59,""),$BN$60,""),$BN$61,""),$BN$62,""),$BN$63,""),"P",""),"I",""),"V",""),"B","") &amp;
          Data!CO54
       ),
       ""
    )
)</f>
        <v/>
      </c>
      <c r="AA119" s="41" t="str" cm="1">
        <f t="array" ref="AA119">IF(AND($Y$57=1,AA69&lt;&gt;""),
    "O"&amp;Data!CP54,
    IF(AA69&lt;&gt;"",
       IF(OR(COUNTIF(AA69,"L*"),COUNTIF(AA69,"X*")),
          SUBSTITUTE(SUBSTITUTE(SUBSTITUTE(SUBSTITUTE(AA69,"P",""),"I",""),"V",""),"B","") &amp;
          IF(
             OR(
               COUNTIF(AA69,"*"&amp;$BN$59&amp;"*"),
               COUNTIF(AA69,"*"&amp;$BN$60&amp;"*"),
               COUNTIF(AA69,"*"&amp;$BN$61&amp;"*"),
               COUNTIF(AA69,"*"&amp;$BN$62&amp;"*"),
               COUNTIF(AA69,"*"&amp;$BN$63&amp;"*")
             ),
             "",
             IF(
               SUMPRODUCT(--ISNUMBER(MID(AA69,ROW($1:$20),1)*1))&gt;0,
               "",
               Data!CP54
             )
          ),
          SUBSTITUTE(SUBSTITUTE(SUBSTITUTE(SUBSTITUTE(SUBSTITUTE(SUBSTITUTE(SUBSTITUTE(SUBSTITUTE(SUBSTITUTE(AA69,$BN$59,""),$BN$60,""),$BN$61,""),$BN$62,""),$BN$63,""),"P",""),"I",""),"V",""),"B","") &amp;
          Data!CP54
       ),
       ""
    )
)</f>
        <v/>
      </c>
      <c r="AB119" s="41" t="str" cm="1">
        <f t="array" ref="AB119">IF(AND($Y$57=1,AB69&lt;&gt;""),
    "O"&amp;Data!CQ54,
    IF(AB69&lt;&gt;"",
       IF(OR(COUNTIF(AB69,"L*"),COUNTIF(AB69,"X*")),
          SUBSTITUTE(SUBSTITUTE(SUBSTITUTE(SUBSTITUTE(AB69,"P",""),"I",""),"V",""),"B","") &amp;
          IF(
             OR(
               COUNTIF(AB69,"*"&amp;$BN$59&amp;"*"),
               COUNTIF(AB69,"*"&amp;$BN$60&amp;"*"),
               COUNTIF(AB69,"*"&amp;$BN$61&amp;"*"),
               COUNTIF(AB69,"*"&amp;$BN$62&amp;"*"),
               COUNTIF(AB69,"*"&amp;$BN$63&amp;"*")
             ),
             "",
             IF(
               SUMPRODUCT(--ISNUMBER(MID(AB69,ROW($1:$20),1)*1))&gt;0,
               "",
               Data!CQ54
             )
          ),
          SUBSTITUTE(SUBSTITUTE(SUBSTITUTE(SUBSTITUTE(SUBSTITUTE(SUBSTITUTE(SUBSTITUTE(SUBSTITUTE(SUBSTITUTE(AB69,$BN$59,""),$BN$60,""),$BN$61,""),$BN$62,""),$BN$63,""),"P",""),"I",""),"V",""),"B","") &amp;
          Data!CQ54
       ),
       ""
    )
)</f>
        <v/>
      </c>
      <c r="AC119" s="41" t="str" cm="1">
        <f t="array" ref="AC119">IF(AND($Y$57=1,AC69&lt;&gt;""),
    "O"&amp;Data!CR54,
    IF(AC69&lt;&gt;"",
       IF(OR(COUNTIF(AC69,"L*"),COUNTIF(AC69,"X*")),
          SUBSTITUTE(SUBSTITUTE(SUBSTITUTE(SUBSTITUTE(AC69,"P",""),"I",""),"V",""),"B","") &amp;
          IF(
             OR(
               COUNTIF(AC69,"*"&amp;$BN$59&amp;"*"),
               COUNTIF(AC69,"*"&amp;$BN$60&amp;"*"),
               COUNTIF(AC69,"*"&amp;$BN$61&amp;"*"),
               COUNTIF(AC69,"*"&amp;$BN$62&amp;"*"),
               COUNTIF(AC69,"*"&amp;$BN$63&amp;"*")
             ),
             "",
             IF(
               SUMPRODUCT(--ISNUMBER(MID(AC69,ROW($1:$20),1)*1))&gt;0,
               "",
               Data!CR54
             )
          ),
          SUBSTITUTE(SUBSTITUTE(SUBSTITUTE(SUBSTITUTE(SUBSTITUTE(SUBSTITUTE(SUBSTITUTE(SUBSTITUTE(SUBSTITUTE(AC69,$BN$59,""),$BN$60,""),$BN$61,""),$BN$62,""),$BN$63,""),"P",""),"I",""),"V",""),"B","") &amp;
          Data!CR54
       ),
       ""
    )
)</f>
        <v/>
      </c>
      <c r="AD119" s="41" t="str" cm="1">
        <f t="array" ref="AD119">IF(AND($Y$57=1,AD69&lt;&gt;""),
    "O"&amp;Data!CS54,
    IF(AD69&lt;&gt;"",
       IF(OR(COUNTIF(AD69,"L*"),COUNTIF(AD69,"X*")),
          SUBSTITUTE(SUBSTITUTE(SUBSTITUTE(SUBSTITUTE(AD69,"P",""),"I",""),"V",""),"B","") &amp;
          IF(
             OR(
               COUNTIF(AD69,"*"&amp;$BN$59&amp;"*"),
               COUNTIF(AD69,"*"&amp;$BN$60&amp;"*"),
               COUNTIF(AD69,"*"&amp;$BN$61&amp;"*"),
               COUNTIF(AD69,"*"&amp;$BN$62&amp;"*"),
               COUNTIF(AD69,"*"&amp;$BN$63&amp;"*")
             ),
             "",
             IF(
               SUMPRODUCT(--ISNUMBER(MID(AD69,ROW($1:$20),1)*1))&gt;0,
               "",
               Data!CS54
             )
          ),
          SUBSTITUTE(SUBSTITUTE(SUBSTITUTE(SUBSTITUTE(SUBSTITUTE(SUBSTITUTE(SUBSTITUTE(SUBSTITUTE(SUBSTITUTE(AD69,$BN$59,""),$BN$60,""),$BN$61,""),$BN$62,""),$BN$63,""),"P",""),"I",""),"V",""),"B","") &amp;
          Data!CS54
       ),
       ""
    )
)</f>
        <v/>
      </c>
      <c r="AE119" s="41" t="str" cm="1">
        <f t="array" ref="AE119">IF(AND($Y$57=1,AE69&lt;&gt;""),
    "O"&amp;Data!CT54,
    IF(AE69&lt;&gt;"",
       IF(OR(COUNTIF(AE69,"L*"),COUNTIF(AE69,"X*")),
          SUBSTITUTE(SUBSTITUTE(SUBSTITUTE(SUBSTITUTE(AE69,"P",""),"I",""),"V",""),"B","") &amp;
          IF(
             OR(
               COUNTIF(AE69,"*"&amp;$BN$59&amp;"*"),
               COUNTIF(AE69,"*"&amp;$BN$60&amp;"*"),
               COUNTIF(AE69,"*"&amp;$BN$61&amp;"*"),
               COUNTIF(AE69,"*"&amp;$BN$62&amp;"*"),
               COUNTIF(AE69,"*"&amp;$BN$63&amp;"*")
             ),
             "",
             IF(
               SUMPRODUCT(--ISNUMBER(MID(AE69,ROW($1:$20),1)*1))&gt;0,
               "",
               Data!CT54
             )
          ),
          SUBSTITUTE(SUBSTITUTE(SUBSTITUTE(SUBSTITUTE(SUBSTITUTE(SUBSTITUTE(SUBSTITUTE(SUBSTITUTE(SUBSTITUTE(AE69,$BN$59,""),$BN$60,""),$BN$61,""),$BN$62,""),$BN$63,""),"P",""),"I",""),"V",""),"B","") &amp;
          Data!CT54
       ),
       ""
    )
)</f>
        <v/>
      </c>
      <c r="AF119" s="41" t="str" cm="1">
        <f t="array" ref="AF119">IF(AND($Y$57=1,AF69&lt;&gt;""),
    "O"&amp;Data!CU54,
    IF(AF69&lt;&gt;"",
       IF(OR(COUNTIF(AF69,"L*"),COUNTIF(AF69,"X*")),
          SUBSTITUTE(SUBSTITUTE(SUBSTITUTE(SUBSTITUTE(AF69,"P",""),"I",""),"V",""),"B","") &amp;
          IF(
             OR(
               COUNTIF(AF69,"*"&amp;$BN$59&amp;"*"),
               COUNTIF(AF69,"*"&amp;$BN$60&amp;"*"),
               COUNTIF(AF69,"*"&amp;$BN$61&amp;"*"),
               COUNTIF(AF69,"*"&amp;$BN$62&amp;"*"),
               COUNTIF(AF69,"*"&amp;$BN$63&amp;"*")
             ),
             "",
             IF(
               SUMPRODUCT(--ISNUMBER(MID(AF69,ROW($1:$20),1)*1))&gt;0,
               "",
               Data!CU54
             )
          ),
          SUBSTITUTE(SUBSTITUTE(SUBSTITUTE(SUBSTITUTE(SUBSTITUTE(SUBSTITUTE(SUBSTITUTE(SUBSTITUTE(SUBSTITUTE(AF69,$BN$59,""),$BN$60,""),$BN$61,""),$BN$62,""),$BN$63,""),"P",""),"I",""),"V",""),"B","") &amp;
          Data!CU54
       ),
       ""
    )
)</f>
        <v/>
      </c>
      <c r="AG119" s="41" t="str" cm="1">
        <f t="array" ref="AG119">IF(AND($Y$57=1,AG69&lt;&gt;""),
    "O"&amp;Data!CV54,
    IF(AG69&lt;&gt;"",
       IF(OR(COUNTIF(AG69,"L*"),COUNTIF(AG69,"X*")),
          SUBSTITUTE(SUBSTITUTE(SUBSTITUTE(SUBSTITUTE(AG69,"P",""),"I",""),"V",""),"B","") &amp;
          IF(
             OR(
               COUNTIF(AG69,"*"&amp;$BN$59&amp;"*"),
               COUNTIF(AG69,"*"&amp;$BN$60&amp;"*"),
               COUNTIF(AG69,"*"&amp;$BN$61&amp;"*"),
               COUNTIF(AG69,"*"&amp;$BN$62&amp;"*"),
               COUNTIF(AG69,"*"&amp;$BN$63&amp;"*")
             ),
             "",
             IF(
               SUMPRODUCT(--ISNUMBER(MID(AG69,ROW($1:$20),1)*1))&gt;0,
               "",
               Data!CV54
             )
          ),
          SUBSTITUTE(SUBSTITUTE(SUBSTITUTE(SUBSTITUTE(SUBSTITUTE(SUBSTITUTE(SUBSTITUTE(SUBSTITUTE(SUBSTITUTE(AG69,$BN$59,""),$BN$60,""),$BN$61,""),$BN$62,""),$BN$63,""),"P",""),"I",""),"V",""),"B","") &amp;
          Data!CV54
       ),
       ""
    )
)</f>
        <v/>
      </c>
      <c r="AH119" s="41" t="str" cm="1">
        <f t="array" ref="AH119">IF(AND($Y$57=1,AH69&lt;&gt;""),
    "O"&amp;Data!CW54,
    IF(AH69&lt;&gt;"",
       IF(OR(COUNTIF(AH69,"L*"),COUNTIF(AH69,"X*")),
          SUBSTITUTE(SUBSTITUTE(SUBSTITUTE(SUBSTITUTE(AH69,"P",""),"I",""),"V",""),"B","") &amp;
          IF(
             OR(
               COUNTIF(AH69,"*"&amp;$BN$59&amp;"*"),
               COUNTIF(AH69,"*"&amp;$BN$60&amp;"*"),
               COUNTIF(AH69,"*"&amp;$BN$61&amp;"*"),
               COUNTIF(AH69,"*"&amp;$BN$62&amp;"*"),
               COUNTIF(AH69,"*"&amp;$BN$63&amp;"*")
             ),
             "",
             IF(
               SUMPRODUCT(--ISNUMBER(MID(AH69,ROW($1:$20),1)*1))&gt;0,
               "",
               Data!CW54
             )
          ),
          SUBSTITUTE(SUBSTITUTE(SUBSTITUTE(SUBSTITUTE(SUBSTITUTE(SUBSTITUTE(SUBSTITUTE(SUBSTITUTE(SUBSTITUTE(AH69,$BN$59,""),$BN$60,""),$BN$61,""),$BN$62,""),$BN$63,""),"P",""),"I",""),"V",""),"B","") &amp;
          Data!CW54
       ),
       ""
    )
)</f>
        <v/>
      </c>
      <c r="AI119" s="41" t="str" cm="1">
        <f t="array" ref="AI119">IF(AND($Y$57=1,AI69&lt;&gt;""),
    "O"&amp;Data!CX54,
    IF(AI69&lt;&gt;"",
       IF(OR(COUNTIF(AI69,"L*"),COUNTIF(AI69,"X*")),
          SUBSTITUTE(SUBSTITUTE(SUBSTITUTE(SUBSTITUTE(AI69,"P",""),"I",""),"V",""),"B","") &amp;
          IF(
             OR(
               COUNTIF(AI69,"*"&amp;$BN$59&amp;"*"),
               COUNTIF(AI69,"*"&amp;$BN$60&amp;"*"),
               COUNTIF(AI69,"*"&amp;$BN$61&amp;"*"),
               COUNTIF(AI69,"*"&amp;$BN$62&amp;"*"),
               COUNTIF(AI69,"*"&amp;$BN$63&amp;"*")
             ),
             "",
             IF(
               SUMPRODUCT(--ISNUMBER(MID(AI69,ROW($1:$20),1)*1))&gt;0,
               "",
               Data!CX54
             )
          ),
          SUBSTITUTE(SUBSTITUTE(SUBSTITUTE(SUBSTITUTE(SUBSTITUTE(SUBSTITUTE(SUBSTITUTE(SUBSTITUTE(SUBSTITUTE(AI69,$BN$59,""),$BN$60,""),$BN$61,""),$BN$62,""),$BN$63,""),"P",""),"I",""),"V",""),"B","") &amp;
          Data!CX54
       ),
       ""
    )
)</f>
        <v/>
      </c>
      <c r="AJ119" s="41" t="str" cm="1">
        <f t="array" ref="AJ119">IF(AND($Y$57=1,AJ69&lt;&gt;""),
    "O"&amp;Data!CY54,
    IF(AJ69&lt;&gt;"",
       IF(OR(COUNTIF(AJ69,"L*"),COUNTIF(AJ69,"X*")),
          SUBSTITUTE(SUBSTITUTE(SUBSTITUTE(SUBSTITUTE(AJ69,"P",""),"I",""),"V",""),"B","") &amp;
          IF(
             OR(
               COUNTIF(AJ69,"*"&amp;$BN$59&amp;"*"),
               COUNTIF(AJ69,"*"&amp;$BN$60&amp;"*"),
               COUNTIF(AJ69,"*"&amp;$BN$61&amp;"*"),
               COUNTIF(AJ69,"*"&amp;$BN$62&amp;"*"),
               COUNTIF(AJ69,"*"&amp;$BN$63&amp;"*")
             ),
             "",
             IF(
               SUMPRODUCT(--ISNUMBER(MID(AJ69,ROW($1:$20),1)*1))&gt;0,
               "",
               Data!CY54
             )
          ),
          SUBSTITUTE(SUBSTITUTE(SUBSTITUTE(SUBSTITUTE(SUBSTITUTE(SUBSTITUTE(SUBSTITUTE(SUBSTITUTE(SUBSTITUTE(AJ69,$BN$59,""),$BN$60,""),$BN$61,""),$BN$62,""),$BN$63,""),"P",""),"I",""),"V",""),"B","") &amp;
          Data!CY54
       ),
       ""
    )
)</f>
        <v/>
      </c>
    </row>
    <row r="120" spans="1:54" ht="23.25" customHeight="1" x14ac:dyDescent="0.35">
      <c r="A120" s="1196"/>
      <c r="B120" s="22">
        <v>10</v>
      </c>
      <c r="C120" s="41" t="str" cm="1">
        <f t="array" ref="C120">IF(AND($Y$57=1,C70&lt;&gt;""),
    "O"&amp;Data!BR55,
    IF(C70&lt;&gt;"",
       IF(OR(COUNTIF(C70,"L*"),COUNTIF(C70,"X*")),
          SUBSTITUTE(SUBSTITUTE(SUBSTITUTE(SUBSTITUTE(C70,"P",""),"I",""),"V",""),"B","") &amp;
          IF(
             OR(
               COUNTIF(C70,"*"&amp;$BN$59&amp;"*"),
               COUNTIF(C70,"*"&amp;$BN$60&amp;"*"),
               COUNTIF(C70,"*"&amp;$BN$61&amp;"*"),
               COUNTIF(C70,"*"&amp;$BN$62&amp;"*"),
               COUNTIF(C70,"*"&amp;$BN$63&amp;"*")
             ),
             "",
             IF(
               SUMPRODUCT(--ISNUMBER(MID(C70,ROW($1:$20),1)*1))&gt;0,
               "",
               Data!BR55
             )
          ),
          SUBSTITUTE(SUBSTITUTE(SUBSTITUTE(SUBSTITUTE(SUBSTITUTE(SUBSTITUTE(SUBSTITUTE(SUBSTITUTE(SUBSTITUTE(C70,$BN$59,""),$BN$60,""),$BN$61,""),$BN$62,""),$BN$63,""),"P",""),"I",""),"V",""),"B","") &amp;
          Data!BR55
       ),
       ""
    )
)</f>
        <v/>
      </c>
      <c r="D120" s="41" t="str" cm="1">
        <f t="array" ref="D120">IF(AND($Y$57=1,D70&lt;&gt;""),
    "O"&amp;Data!BS55,
    IF(D70&lt;&gt;"",
       IF(OR(COUNTIF(D70,"L*"),COUNTIF(D70,"X*")),
          SUBSTITUTE(SUBSTITUTE(SUBSTITUTE(SUBSTITUTE(D70,"P",""),"I",""),"V",""),"B","") &amp;
          IF(
             OR(
               COUNTIF(D70,"*"&amp;$BN$59&amp;"*"),
               COUNTIF(D70,"*"&amp;$BN$60&amp;"*"),
               COUNTIF(D70,"*"&amp;$BN$61&amp;"*"),
               COUNTIF(D70,"*"&amp;$BN$62&amp;"*"),
               COUNTIF(D70,"*"&amp;$BN$63&amp;"*")
             ),
             "",
             IF(
               SUMPRODUCT(--ISNUMBER(MID(D70,ROW($1:$20),1)*1))&gt;0,
               "",
               Data!BS55
             )
          ),
          SUBSTITUTE(SUBSTITUTE(SUBSTITUTE(SUBSTITUTE(SUBSTITUTE(SUBSTITUTE(SUBSTITUTE(SUBSTITUTE(SUBSTITUTE(D70,$BN$59,""),$BN$60,""),$BN$61,""),$BN$62,""),$BN$63,""),"P",""),"I",""),"V",""),"B","") &amp;
          Data!BS55
       ),
       ""
    )
)</f>
        <v/>
      </c>
      <c r="E120" s="41" t="str" cm="1">
        <f t="array" ref="E120">IF(AND($Y$57=1,E70&lt;&gt;""),
    "O"&amp;Data!BT55,
    IF(E70&lt;&gt;"",
       IF(OR(COUNTIF(E70,"L*"),COUNTIF(E70,"X*")),
          SUBSTITUTE(SUBSTITUTE(SUBSTITUTE(SUBSTITUTE(E70,"P",""),"I",""),"V",""),"B","") &amp;
          IF(
             OR(
               COUNTIF(E70,"*"&amp;$BN$59&amp;"*"),
               COUNTIF(E70,"*"&amp;$BN$60&amp;"*"),
               COUNTIF(E70,"*"&amp;$BN$61&amp;"*"),
               COUNTIF(E70,"*"&amp;$BN$62&amp;"*"),
               COUNTIF(E70,"*"&amp;$BN$63&amp;"*")
             ),
             "",
             IF(
               SUMPRODUCT(--ISNUMBER(MID(E70,ROW($1:$20),1)*1))&gt;0,
               "",
               Data!BT55
             )
          ),
          SUBSTITUTE(SUBSTITUTE(SUBSTITUTE(SUBSTITUTE(SUBSTITUTE(SUBSTITUTE(SUBSTITUTE(SUBSTITUTE(SUBSTITUTE(E70,$BN$59,""),$BN$60,""),$BN$61,""),$BN$62,""),$BN$63,""),"P",""),"I",""),"V",""),"B","") &amp;
          Data!BT55
       ),
       ""
    )
)</f>
        <v/>
      </c>
      <c r="F120" s="41" t="str" cm="1">
        <f t="array" ref="F120">IF(AND($Y$57=1,F70&lt;&gt;""),
    "O"&amp;Data!BU55,
    IF(F70&lt;&gt;"",
       IF(OR(COUNTIF(F70,"L*"),COUNTIF(F70,"X*")),
          SUBSTITUTE(SUBSTITUTE(SUBSTITUTE(SUBSTITUTE(F70,"P",""),"I",""),"V",""),"B","") &amp;
          IF(
             OR(
               COUNTIF(F70,"*"&amp;$BN$59&amp;"*"),
               COUNTIF(F70,"*"&amp;$BN$60&amp;"*"),
               COUNTIF(F70,"*"&amp;$BN$61&amp;"*"),
               COUNTIF(F70,"*"&amp;$BN$62&amp;"*"),
               COUNTIF(F70,"*"&amp;$BN$63&amp;"*")
             ),
             "",
             IF(
               SUMPRODUCT(--ISNUMBER(MID(F70,ROW($1:$20),1)*1))&gt;0,
               "",
               Data!BU55
             )
          ),
          SUBSTITUTE(SUBSTITUTE(SUBSTITUTE(SUBSTITUTE(SUBSTITUTE(SUBSTITUTE(SUBSTITUTE(SUBSTITUTE(SUBSTITUTE(F70,$BN$59,""),$BN$60,""),$BN$61,""),$BN$62,""),$BN$63,""),"P",""),"I",""),"V",""),"B","") &amp;
          Data!BU55
       ),
       ""
    )
)</f>
        <v/>
      </c>
      <c r="G120" s="41" t="str" cm="1">
        <f t="array" ref="G120">IF(AND($Y$57=1,G70&lt;&gt;""),
    "O"&amp;Data!BV55,
    IF(G70&lt;&gt;"",
       IF(OR(COUNTIF(G70,"L*"),COUNTIF(G70,"X*")),
          SUBSTITUTE(SUBSTITUTE(SUBSTITUTE(SUBSTITUTE(G70,"P",""),"I",""),"V",""),"B","") &amp;
          IF(
             OR(
               COUNTIF(G70,"*"&amp;$BN$59&amp;"*"),
               COUNTIF(G70,"*"&amp;$BN$60&amp;"*"),
               COUNTIF(G70,"*"&amp;$BN$61&amp;"*"),
               COUNTIF(G70,"*"&amp;$BN$62&amp;"*"),
               COUNTIF(G70,"*"&amp;$BN$63&amp;"*")
             ),
             "",
             IF(
               SUMPRODUCT(--ISNUMBER(MID(G70,ROW($1:$20),1)*1))&gt;0,
               "",
               Data!BV55
             )
          ),
          SUBSTITUTE(SUBSTITUTE(SUBSTITUTE(SUBSTITUTE(SUBSTITUTE(SUBSTITUTE(SUBSTITUTE(SUBSTITUTE(SUBSTITUTE(G70,$BN$59,""),$BN$60,""),$BN$61,""),$BN$62,""),$BN$63,""),"P",""),"I",""),"V",""),"B","") &amp;
          Data!BV55
       ),
       ""
    )
)</f>
        <v/>
      </c>
      <c r="H120" s="41" t="str" cm="1">
        <f t="array" ref="H120">IF(AND($Y$57=1,H70&lt;&gt;""),
    "O"&amp;Data!BW55,
    IF(H70&lt;&gt;"",
       IF(OR(COUNTIF(H70,"L*"),COUNTIF(H70,"X*")),
          SUBSTITUTE(SUBSTITUTE(SUBSTITUTE(SUBSTITUTE(H70,"P",""),"I",""),"V",""),"B","") &amp;
          IF(
             OR(
               COUNTIF(H70,"*"&amp;$BN$59&amp;"*"),
               COUNTIF(H70,"*"&amp;$BN$60&amp;"*"),
               COUNTIF(H70,"*"&amp;$BN$61&amp;"*"),
               COUNTIF(H70,"*"&amp;$BN$62&amp;"*"),
               COUNTIF(H70,"*"&amp;$BN$63&amp;"*")
             ),
             "",
             IF(
               SUMPRODUCT(--ISNUMBER(MID(H70,ROW($1:$20),1)*1))&gt;0,
               "",
               Data!BW55
             )
          ),
          SUBSTITUTE(SUBSTITUTE(SUBSTITUTE(SUBSTITUTE(SUBSTITUTE(SUBSTITUTE(SUBSTITUTE(SUBSTITUTE(SUBSTITUTE(H70,$BN$59,""),$BN$60,""),$BN$61,""),$BN$62,""),$BN$63,""),"P",""),"I",""),"V",""),"B","") &amp;
          Data!BW55
       ),
       ""
    )
)</f>
        <v/>
      </c>
      <c r="I120" s="41" t="str" cm="1">
        <f t="array" ref="I120">IF(AND($Y$57=1,I70&lt;&gt;""),
    "O"&amp;Data!BX55,
    IF(I70&lt;&gt;"",
       IF(OR(COUNTIF(I70,"L*"),COUNTIF(I70,"X*")),
          SUBSTITUTE(SUBSTITUTE(SUBSTITUTE(SUBSTITUTE(I70,"P",""),"I",""),"V",""),"B","") &amp;
          IF(
             OR(
               COUNTIF(I70,"*"&amp;$BN$59&amp;"*"),
               COUNTIF(I70,"*"&amp;$BN$60&amp;"*"),
               COUNTIF(I70,"*"&amp;$BN$61&amp;"*"),
               COUNTIF(I70,"*"&amp;$BN$62&amp;"*"),
               COUNTIF(I70,"*"&amp;$BN$63&amp;"*")
             ),
             "",
             IF(
               SUMPRODUCT(--ISNUMBER(MID(I70,ROW($1:$20),1)*1))&gt;0,
               "",
               Data!BX55
             )
          ),
          SUBSTITUTE(SUBSTITUTE(SUBSTITUTE(SUBSTITUTE(SUBSTITUTE(SUBSTITUTE(SUBSTITUTE(SUBSTITUTE(SUBSTITUTE(I70,$BN$59,""),$BN$60,""),$BN$61,""),$BN$62,""),$BN$63,""),"P",""),"I",""),"V",""),"B","") &amp;
          Data!BX55
       ),
       ""
    )
)</f>
        <v/>
      </c>
      <c r="J120" s="41" t="str" cm="1">
        <f t="array" ref="J120">IF(AND($Y$57=1,J70&lt;&gt;""),
    "O"&amp;Data!BY55,
    IF(J70&lt;&gt;"",
       IF(OR(COUNTIF(J70,"L*"),COUNTIF(J70,"X*")),
          SUBSTITUTE(SUBSTITUTE(SUBSTITUTE(SUBSTITUTE(J70,"P",""),"I",""),"V",""),"B","") &amp;
          IF(
             OR(
               COUNTIF(J70,"*"&amp;$BN$59&amp;"*"),
               COUNTIF(J70,"*"&amp;$BN$60&amp;"*"),
               COUNTIF(J70,"*"&amp;$BN$61&amp;"*"),
               COUNTIF(J70,"*"&amp;$BN$62&amp;"*"),
               COUNTIF(J70,"*"&amp;$BN$63&amp;"*")
             ),
             "",
             IF(
               SUMPRODUCT(--ISNUMBER(MID(J70,ROW($1:$20),1)*1))&gt;0,
               "",
               Data!BY55
             )
          ),
          SUBSTITUTE(SUBSTITUTE(SUBSTITUTE(SUBSTITUTE(SUBSTITUTE(SUBSTITUTE(SUBSTITUTE(SUBSTITUTE(SUBSTITUTE(J70,$BN$59,""),$BN$60,""),$BN$61,""),$BN$62,""),$BN$63,""),"P",""),"I",""),"V",""),"B","") &amp;
          Data!BY55
       ),
       ""
    )
)</f>
        <v/>
      </c>
      <c r="K120" s="41" t="str" cm="1">
        <f t="array" ref="K120">IF(AND($Y$57=1,K70&lt;&gt;""),
    "O"&amp;Data!BZ55,
    IF(K70&lt;&gt;"",
       IF(OR(COUNTIF(K70,"L*"),COUNTIF(K70,"X*")),
          SUBSTITUTE(SUBSTITUTE(SUBSTITUTE(SUBSTITUTE(K70,"P",""),"I",""),"V",""),"B","") &amp;
          IF(
             OR(
               COUNTIF(K70,"*"&amp;$BN$59&amp;"*"),
               COUNTIF(K70,"*"&amp;$BN$60&amp;"*"),
               COUNTIF(K70,"*"&amp;$BN$61&amp;"*"),
               COUNTIF(K70,"*"&amp;$BN$62&amp;"*"),
               COUNTIF(K70,"*"&amp;$BN$63&amp;"*")
             ),
             "",
             IF(
               SUMPRODUCT(--ISNUMBER(MID(K70,ROW($1:$20),1)*1))&gt;0,
               "",
               Data!BZ55
             )
          ),
          SUBSTITUTE(SUBSTITUTE(SUBSTITUTE(SUBSTITUTE(SUBSTITUTE(SUBSTITUTE(SUBSTITUTE(SUBSTITUTE(SUBSTITUTE(K70,$BN$59,""),$BN$60,""),$BN$61,""),$BN$62,""),$BN$63,""),"P",""),"I",""),"V",""),"B","") &amp;
          Data!BZ55
       ),
       ""
    )
)</f>
        <v/>
      </c>
      <c r="L120" s="41" t="str" cm="1">
        <f t="array" ref="L120">IF(AND($Y$57=1,L70&lt;&gt;""),
    "O"&amp;Data!CA55,
    IF(L70&lt;&gt;"",
       IF(OR(COUNTIF(L70,"L*"),COUNTIF(L70,"X*")),
          SUBSTITUTE(SUBSTITUTE(SUBSTITUTE(SUBSTITUTE(L70,"P",""),"I",""),"V",""),"B","") &amp;
          IF(
             OR(
               COUNTIF(L70,"*"&amp;$BN$59&amp;"*"),
               COUNTIF(L70,"*"&amp;$BN$60&amp;"*"),
               COUNTIF(L70,"*"&amp;$BN$61&amp;"*"),
               COUNTIF(L70,"*"&amp;$BN$62&amp;"*"),
               COUNTIF(L70,"*"&amp;$BN$63&amp;"*")
             ),
             "",
             IF(
               SUMPRODUCT(--ISNUMBER(MID(L70,ROW($1:$20),1)*1))&gt;0,
               "",
               Data!CA55
             )
          ),
          SUBSTITUTE(SUBSTITUTE(SUBSTITUTE(SUBSTITUTE(SUBSTITUTE(SUBSTITUTE(SUBSTITUTE(SUBSTITUTE(SUBSTITUTE(L70,$BN$59,""),$BN$60,""),$BN$61,""),$BN$62,""),$BN$63,""),"P",""),"I",""),"V",""),"B","") &amp;
          Data!CA55
       ),
       ""
    )
)</f>
        <v/>
      </c>
      <c r="M120" s="41" t="str" cm="1">
        <f t="array" ref="M120">IF(AND($Y$57=1,M70&lt;&gt;""),
    "O"&amp;Data!CB55,
    IF(M70&lt;&gt;"",
       IF(OR(COUNTIF(M70,"L*"),COUNTIF(M70,"X*")),
          SUBSTITUTE(SUBSTITUTE(SUBSTITUTE(SUBSTITUTE(M70,"P",""),"I",""),"V",""),"B","") &amp;
          IF(
             OR(
               COUNTIF(M70,"*"&amp;$BN$59&amp;"*"),
               COUNTIF(M70,"*"&amp;$BN$60&amp;"*"),
               COUNTIF(M70,"*"&amp;$BN$61&amp;"*"),
               COUNTIF(M70,"*"&amp;$BN$62&amp;"*"),
               COUNTIF(M70,"*"&amp;$BN$63&amp;"*")
             ),
             "",
             IF(
               SUMPRODUCT(--ISNUMBER(MID(M70,ROW($1:$20),1)*1))&gt;0,
               "",
               Data!CB55
             )
          ),
          SUBSTITUTE(SUBSTITUTE(SUBSTITUTE(SUBSTITUTE(SUBSTITUTE(SUBSTITUTE(SUBSTITUTE(SUBSTITUTE(SUBSTITUTE(M70,$BN$59,""),$BN$60,""),$BN$61,""),$BN$62,""),$BN$63,""),"P",""),"I",""),"V",""),"B","") &amp;
          Data!CB55
       ),
       ""
    )
)</f>
        <v/>
      </c>
      <c r="N120" s="41" t="str" cm="1">
        <f t="array" ref="N120">IF(AND($Y$57=1,N70&lt;&gt;""),
    "O"&amp;Data!CC55,
    IF(N70&lt;&gt;"",
       IF(OR(COUNTIF(N70,"L*"),COUNTIF(N70,"X*")),
          SUBSTITUTE(SUBSTITUTE(SUBSTITUTE(SUBSTITUTE(N70,"P",""),"I",""),"V",""),"B","") &amp;
          IF(
             OR(
               COUNTIF(N70,"*"&amp;$BN$59&amp;"*"),
               COUNTIF(N70,"*"&amp;$BN$60&amp;"*"),
               COUNTIF(N70,"*"&amp;$BN$61&amp;"*"),
               COUNTIF(N70,"*"&amp;$BN$62&amp;"*"),
               COUNTIF(N70,"*"&amp;$BN$63&amp;"*")
             ),
             "",
             IF(
               SUMPRODUCT(--ISNUMBER(MID(N70,ROW($1:$20),1)*1))&gt;0,
               "",
               Data!CC55
             )
          ),
          SUBSTITUTE(SUBSTITUTE(SUBSTITUTE(SUBSTITUTE(SUBSTITUTE(SUBSTITUTE(SUBSTITUTE(SUBSTITUTE(SUBSTITUTE(N70,$BN$59,""),$BN$60,""),$BN$61,""),$BN$62,""),$BN$63,""),"P",""),"I",""),"V",""),"B","") &amp;
          Data!CC55
       ),
       ""
    )
)</f>
        <v/>
      </c>
      <c r="O120" s="41" t="str" cm="1">
        <f t="array" ref="O120">IF(AND($Y$57=1,O70&lt;&gt;""),
    "O"&amp;Data!CD55,
    IF(O70&lt;&gt;"",
       IF(OR(COUNTIF(O70,"L*"),COUNTIF(O70,"X*")),
          SUBSTITUTE(SUBSTITUTE(SUBSTITUTE(SUBSTITUTE(O70,"P",""),"I",""),"V",""),"B","") &amp;
          IF(
             OR(
               COUNTIF(O70,"*"&amp;$BN$59&amp;"*"),
               COUNTIF(O70,"*"&amp;$BN$60&amp;"*"),
               COUNTIF(O70,"*"&amp;$BN$61&amp;"*"),
               COUNTIF(O70,"*"&amp;$BN$62&amp;"*"),
               COUNTIF(O70,"*"&amp;$BN$63&amp;"*")
             ),
             "",
             IF(
               SUMPRODUCT(--ISNUMBER(MID(O70,ROW($1:$20),1)*1))&gt;0,
               "",
               Data!CD55
             )
          ),
          SUBSTITUTE(SUBSTITUTE(SUBSTITUTE(SUBSTITUTE(SUBSTITUTE(SUBSTITUTE(SUBSTITUTE(SUBSTITUTE(SUBSTITUTE(O70,$BN$59,""),$BN$60,""),$BN$61,""),$BN$62,""),$BN$63,""),"P",""),"I",""),"V",""),"B","") &amp;
          Data!CD55
       ),
       ""
    )
)</f>
        <v/>
      </c>
      <c r="P120" s="41" t="str" cm="1">
        <f t="array" ref="P120">IF(AND($Y$57=1,P70&lt;&gt;""),
    "O"&amp;Data!CE55,
    IF(P70&lt;&gt;"",
       IF(OR(COUNTIF(P70,"L*"),COUNTIF(P70,"X*")),
          SUBSTITUTE(SUBSTITUTE(SUBSTITUTE(SUBSTITUTE(P70,"P",""),"I",""),"V",""),"B","") &amp;
          IF(
             OR(
               COUNTIF(P70,"*"&amp;$BN$59&amp;"*"),
               COUNTIF(P70,"*"&amp;$BN$60&amp;"*"),
               COUNTIF(P70,"*"&amp;$BN$61&amp;"*"),
               COUNTIF(P70,"*"&amp;$BN$62&amp;"*"),
               COUNTIF(P70,"*"&amp;$BN$63&amp;"*")
             ),
             "",
             IF(
               SUMPRODUCT(--ISNUMBER(MID(P70,ROW($1:$20),1)*1))&gt;0,
               "",
               Data!CE55
             )
          ),
          SUBSTITUTE(SUBSTITUTE(SUBSTITUTE(SUBSTITUTE(SUBSTITUTE(SUBSTITUTE(SUBSTITUTE(SUBSTITUTE(SUBSTITUTE(P70,$BN$59,""),$BN$60,""),$BN$61,""),$BN$62,""),$BN$63,""),"P",""),"I",""),"V",""),"B","") &amp;
          Data!CE55
       ),
       ""
    )
)</f>
        <v/>
      </c>
      <c r="Q120" s="41" t="str" cm="1">
        <f t="array" ref="Q120">IF(AND($Y$57=1,Q70&lt;&gt;""),
    "O"&amp;Data!CF55,
    IF(Q70&lt;&gt;"",
       IF(OR(COUNTIF(Q70,"L*"),COUNTIF(Q70,"X*")),
          SUBSTITUTE(SUBSTITUTE(SUBSTITUTE(SUBSTITUTE(Q70,"P",""),"I",""),"V",""),"B","") &amp;
          IF(
             OR(
               COUNTIF(Q70,"*"&amp;$BN$59&amp;"*"),
               COUNTIF(Q70,"*"&amp;$BN$60&amp;"*"),
               COUNTIF(Q70,"*"&amp;$BN$61&amp;"*"),
               COUNTIF(Q70,"*"&amp;$BN$62&amp;"*"),
               COUNTIF(Q70,"*"&amp;$BN$63&amp;"*")
             ),
             "",
             IF(
               SUMPRODUCT(--ISNUMBER(MID(Q70,ROW($1:$20),1)*1))&gt;0,
               "",
               Data!CF55
             )
          ),
          SUBSTITUTE(SUBSTITUTE(SUBSTITUTE(SUBSTITUTE(SUBSTITUTE(SUBSTITUTE(SUBSTITUTE(SUBSTITUTE(SUBSTITUTE(Q70,$BN$59,""),$BN$60,""),$BN$61,""),$BN$62,""),$BN$63,""),"P",""),"I",""),"V",""),"B","") &amp;
          Data!CF55
       ),
       ""
    )
)</f>
        <v/>
      </c>
      <c r="R120" s="41" t="str" cm="1">
        <f t="array" ref="R120">IF(AND($Y$57=1,R70&lt;&gt;""),
    "O"&amp;Data!CG55,
    IF(R70&lt;&gt;"",
       IF(OR(COUNTIF(R70,"L*"),COUNTIF(R70,"X*")),
          SUBSTITUTE(SUBSTITUTE(SUBSTITUTE(SUBSTITUTE(R70,"P",""),"I",""),"V",""),"B","") &amp;
          IF(
             OR(
               COUNTIF(R70,"*"&amp;$BN$59&amp;"*"),
               COUNTIF(R70,"*"&amp;$BN$60&amp;"*"),
               COUNTIF(R70,"*"&amp;$BN$61&amp;"*"),
               COUNTIF(R70,"*"&amp;$BN$62&amp;"*"),
               COUNTIF(R70,"*"&amp;$BN$63&amp;"*")
             ),
             "",
             IF(
               SUMPRODUCT(--ISNUMBER(MID(R70,ROW($1:$20),1)*1))&gt;0,
               "",
               Data!CG55
             )
          ),
          SUBSTITUTE(SUBSTITUTE(SUBSTITUTE(SUBSTITUTE(SUBSTITUTE(SUBSTITUTE(SUBSTITUTE(SUBSTITUTE(SUBSTITUTE(R70,$BN$59,""),$BN$60,""),$BN$61,""),$BN$62,""),$BN$63,""),"P",""),"I",""),"V",""),"B","") &amp;
          Data!CG55
       ),
       ""
    )
)</f>
        <v/>
      </c>
      <c r="S120" s="41" t="str" cm="1">
        <f t="array" ref="S120">IF(AND($Y$57=1,S70&lt;&gt;""),
    "O"&amp;Data!CH55,
    IF(S70&lt;&gt;"",
       IF(OR(COUNTIF(S70,"L*"),COUNTIF(S70,"X*")),
          SUBSTITUTE(SUBSTITUTE(SUBSTITUTE(SUBSTITUTE(S70,"P",""),"I",""),"V",""),"B","") &amp;
          IF(
             OR(
               COUNTIF(S70,"*"&amp;$BN$59&amp;"*"),
               COUNTIF(S70,"*"&amp;$BN$60&amp;"*"),
               COUNTIF(S70,"*"&amp;$BN$61&amp;"*"),
               COUNTIF(S70,"*"&amp;$BN$62&amp;"*"),
               COUNTIF(S70,"*"&amp;$BN$63&amp;"*")
             ),
             "",
             IF(
               SUMPRODUCT(--ISNUMBER(MID(S70,ROW($1:$20),1)*1))&gt;0,
               "",
               Data!CH55
             )
          ),
          SUBSTITUTE(SUBSTITUTE(SUBSTITUTE(SUBSTITUTE(SUBSTITUTE(SUBSTITUTE(SUBSTITUTE(SUBSTITUTE(SUBSTITUTE(S70,$BN$59,""),$BN$60,""),$BN$61,""),$BN$62,""),$BN$63,""),"P",""),"I",""),"V",""),"B","") &amp;
          Data!CH55
       ),
       ""
    )
)</f>
        <v/>
      </c>
      <c r="T120" s="41" t="str" cm="1">
        <f t="array" ref="T120">IF(AND($Y$57=1,T70&lt;&gt;""),
    "O"&amp;Data!CI55,
    IF(T70&lt;&gt;"",
       IF(OR(COUNTIF(T70,"L*"),COUNTIF(T70,"X*")),
          SUBSTITUTE(SUBSTITUTE(SUBSTITUTE(SUBSTITUTE(T70,"P",""),"I",""),"V",""),"B","") &amp;
          IF(
             OR(
               COUNTIF(T70,"*"&amp;$BN$59&amp;"*"),
               COUNTIF(T70,"*"&amp;$BN$60&amp;"*"),
               COUNTIF(T70,"*"&amp;$BN$61&amp;"*"),
               COUNTIF(T70,"*"&amp;$BN$62&amp;"*"),
               COUNTIF(T70,"*"&amp;$BN$63&amp;"*")
             ),
             "",
             IF(
               SUMPRODUCT(--ISNUMBER(MID(T70,ROW($1:$20),1)*1))&gt;0,
               "",
               Data!CI55
             )
          ),
          SUBSTITUTE(SUBSTITUTE(SUBSTITUTE(SUBSTITUTE(SUBSTITUTE(SUBSTITUTE(SUBSTITUTE(SUBSTITUTE(SUBSTITUTE(T70,$BN$59,""),$BN$60,""),$BN$61,""),$BN$62,""),$BN$63,""),"P",""),"I",""),"V",""),"B","") &amp;
          Data!CI55
       ),
       ""
    )
)</f>
        <v/>
      </c>
      <c r="U120" s="41" t="str" cm="1">
        <f t="array" ref="U120">IF(AND($Y$57=1,U70&lt;&gt;""),
    "O"&amp;Data!CJ55,
    IF(U70&lt;&gt;"",
       IF(OR(COUNTIF(U70,"L*"),COUNTIF(U70,"X*")),
          SUBSTITUTE(SUBSTITUTE(SUBSTITUTE(SUBSTITUTE(U70,"P",""),"I",""),"V",""),"B","") &amp;
          IF(
             OR(
               COUNTIF(U70,"*"&amp;$BN$59&amp;"*"),
               COUNTIF(U70,"*"&amp;$BN$60&amp;"*"),
               COUNTIF(U70,"*"&amp;$BN$61&amp;"*"),
               COUNTIF(U70,"*"&amp;$BN$62&amp;"*"),
               COUNTIF(U70,"*"&amp;$BN$63&amp;"*")
             ),
             "",
             IF(
               SUMPRODUCT(--ISNUMBER(MID(U70,ROW($1:$20),1)*1))&gt;0,
               "",
               Data!CJ55
             )
          ),
          SUBSTITUTE(SUBSTITUTE(SUBSTITUTE(SUBSTITUTE(SUBSTITUTE(SUBSTITUTE(SUBSTITUTE(SUBSTITUTE(SUBSTITUTE(U70,$BN$59,""),$BN$60,""),$BN$61,""),$BN$62,""),$BN$63,""),"P",""),"I",""),"V",""),"B","") &amp;
          Data!CJ55
       ),
       ""
    )
)</f>
        <v/>
      </c>
      <c r="V120" s="41" t="str" cm="1">
        <f t="array" ref="V120">IF(AND($Y$57=1,V70&lt;&gt;""),
    "O"&amp;Data!CK55,
    IF(V70&lt;&gt;"",
       IF(OR(COUNTIF(V70,"L*"),COUNTIF(V70,"X*")),
          SUBSTITUTE(SUBSTITUTE(SUBSTITUTE(SUBSTITUTE(V70,"P",""),"I",""),"V",""),"B","") &amp;
          IF(
             OR(
               COUNTIF(V70,"*"&amp;$BN$59&amp;"*"),
               COUNTIF(V70,"*"&amp;$BN$60&amp;"*"),
               COUNTIF(V70,"*"&amp;$BN$61&amp;"*"),
               COUNTIF(V70,"*"&amp;$BN$62&amp;"*"),
               COUNTIF(V70,"*"&amp;$BN$63&amp;"*")
             ),
             "",
             IF(
               SUMPRODUCT(--ISNUMBER(MID(V70,ROW($1:$20),1)*1))&gt;0,
               "",
               Data!CK55
             )
          ),
          SUBSTITUTE(SUBSTITUTE(SUBSTITUTE(SUBSTITUTE(SUBSTITUTE(SUBSTITUTE(SUBSTITUTE(SUBSTITUTE(SUBSTITUTE(V70,$BN$59,""),$BN$60,""),$BN$61,""),$BN$62,""),$BN$63,""),"P",""),"I",""),"V",""),"B","") &amp;
          Data!CK55
       ),
       ""
    )
)</f>
        <v/>
      </c>
      <c r="W120" s="41" t="str" cm="1">
        <f t="array" ref="W120">IF(AND($Y$57=1,W70&lt;&gt;""),
    "O"&amp;Data!CL55,
    IF(W70&lt;&gt;"",
       IF(OR(COUNTIF(W70,"L*"),COUNTIF(W70,"X*")),
          SUBSTITUTE(SUBSTITUTE(SUBSTITUTE(SUBSTITUTE(W70,"P",""),"I",""),"V",""),"B","") &amp;
          IF(
             OR(
               COUNTIF(W70,"*"&amp;$BN$59&amp;"*"),
               COUNTIF(W70,"*"&amp;$BN$60&amp;"*"),
               COUNTIF(W70,"*"&amp;$BN$61&amp;"*"),
               COUNTIF(W70,"*"&amp;$BN$62&amp;"*"),
               COUNTIF(W70,"*"&amp;$BN$63&amp;"*")
             ),
             "",
             IF(
               SUMPRODUCT(--ISNUMBER(MID(W70,ROW($1:$20),1)*1))&gt;0,
               "",
               Data!CL55
             )
          ),
          SUBSTITUTE(SUBSTITUTE(SUBSTITUTE(SUBSTITUTE(SUBSTITUTE(SUBSTITUTE(SUBSTITUTE(SUBSTITUTE(SUBSTITUTE(W70,$BN$59,""),$BN$60,""),$BN$61,""),$BN$62,""),$BN$63,""),"P",""),"I",""),"V",""),"B","") &amp;
          Data!CL55
       ),
       ""
    )
)</f>
        <v/>
      </c>
      <c r="X120" s="41" t="str" cm="1">
        <f t="array" ref="X120">IF(AND($Y$57=1,X70&lt;&gt;""),
    "O"&amp;Data!CM55,
    IF(X70&lt;&gt;"",
       IF(OR(COUNTIF(X70,"L*"),COUNTIF(X70,"X*")),
          SUBSTITUTE(SUBSTITUTE(SUBSTITUTE(SUBSTITUTE(X70,"P",""),"I",""),"V",""),"B","") &amp;
          IF(
             OR(
               COUNTIF(X70,"*"&amp;$BN$59&amp;"*"),
               COUNTIF(X70,"*"&amp;$BN$60&amp;"*"),
               COUNTIF(X70,"*"&amp;$BN$61&amp;"*"),
               COUNTIF(X70,"*"&amp;$BN$62&amp;"*"),
               COUNTIF(X70,"*"&amp;$BN$63&amp;"*")
             ),
             "",
             IF(
               SUMPRODUCT(--ISNUMBER(MID(X70,ROW($1:$20),1)*1))&gt;0,
               "",
               Data!CM55
             )
          ),
          SUBSTITUTE(SUBSTITUTE(SUBSTITUTE(SUBSTITUTE(SUBSTITUTE(SUBSTITUTE(SUBSTITUTE(SUBSTITUTE(SUBSTITUTE(X70,$BN$59,""),$BN$60,""),$BN$61,""),$BN$62,""),$BN$63,""),"P",""),"I",""),"V",""),"B","") &amp;
          Data!CM55
       ),
       ""
    )
)</f>
        <v/>
      </c>
      <c r="Y120" s="41" t="str" cm="1">
        <f t="array" ref="Y120">IF(AND($Y$57=1,Y70&lt;&gt;""),
    "O"&amp;Data!CN55,
    IF(Y70&lt;&gt;"",
       IF(OR(COUNTIF(Y70,"L*"),COUNTIF(Y70,"X*")),
          SUBSTITUTE(SUBSTITUTE(SUBSTITUTE(SUBSTITUTE(Y70,"P",""),"I",""),"V",""),"B","") &amp;
          IF(
             OR(
               COUNTIF(Y70,"*"&amp;$BN$59&amp;"*"),
               COUNTIF(Y70,"*"&amp;$BN$60&amp;"*"),
               COUNTIF(Y70,"*"&amp;$BN$61&amp;"*"),
               COUNTIF(Y70,"*"&amp;$BN$62&amp;"*"),
               COUNTIF(Y70,"*"&amp;$BN$63&amp;"*")
             ),
             "",
             IF(
               SUMPRODUCT(--ISNUMBER(MID(Y70,ROW($1:$20),1)*1))&gt;0,
               "",
               Data!CN55
             )
          ),
          SUBSTITUTE(SUBSTITUTE(SUBSTITUTE(SUBSTITUTE(SUBSTITUTE(SUBSTITUTE(SUBSTITUTE(SUBSTITUTE(SUBSTITUTE(Y70,$BN$59,""),$BN$60,""),$BN$61,""),$BN$62,""),$BN$63,""),"P",""),"I",""),"V",""),"B","") &amp;
          Data!CN55
       ),
       ""
    )
)</f>
        <v/>
      </c>
      <c r="Z120" s="41" t="str" cm="1">
        <f t="array" ref="Z120">IF(AND($Y$57=1,Z70&lt;&gt;""),
    "O"&amp;Data!CO55,
    IF(Z70&lt;&gt;"",
       IF(OR(COUNTIF(Z70,"L*"),COUNTIF(Z70,"X*")),
          SUBSTITUTE(SUBSTITUTE(SUBSTITUTE(SUBSTITUTE(Z70,"P",""),"I",""),"V",""),"B","") &amp;
          IF(
             OR(
               COUNTIF(Z70,"*"&amp;$BN$59&amp;"*"),
               COUNTIF(Z70,"*"&amp;$BN$60&amp;"*"),
               COUNTIF(Z70,"*"&amp;$BN$61&amp;"*"),
               COUNTIF(Z70,"*"&amp;$BN$62&amp;"*"),
               COUNTIF(Z70,"*"&amp;$BN$63&amp;"*")
             ),
             "",
             IF(
               SUMPRODUCT(--ISNUMBER(MID(Z70,ROW($1:$20),1)*1))&gt;0,
               "",
               Data!CO55
             )
          ),
          SUBSTITUTE(SUBSTITUTE(SUBSTITUTE(SUBSTITUTE(SUBSTITUTE(SUBSTITUTE(SUBSTITUTE(SUBSTITUTE(SUBSTITUTE(Z70,$BN$59,""),$BN$60,""),$BN$61,""),$BN$62,""),$BN$63,""),"P",""),"I",""),"V",""),"B","") &amp;
          Data!CO55
       ),
       ""
    )
)</f>
        <v/>
      </c>
      <c r="AA120" s="41" t="str" cm="1">
        <f t="array" ref="AA120">IF(AND($Y$57=1,AA70&lt;&gt;""),
    "O"&amp;Data!CP55,
    IF(AA70&lt;&gt;"",
       IF(OR(COUNTIF(AA70,"L*"),COUNTIF(AA70,"X*")),
          SUBSTITUTE(SUBSTITUTE(SUBSTITUTE(SUBSTITUTE(AA70,"P",""),"I",""),"V",""),"B","") &amp;
          IF(
             OR(
               COUNTIF(AA70,"*"&amp;$BN$59&amp;"*"),
               COUNTIF(AA70,"*"&amp;$BN$60&amp;"*"),
               COUNTIF(AA70,"*"&amp;$BN$61&amp;"*"),
               COUNTIF(AA70,"*"&amp;$BN$62&amp;"*"),
               COUNTIF(AA70,"*"&amp;$BN$63&amp;"*")
             ),
             "",
             IF(
               SUMPRODUCT(--ISNUMBER(MID(AA70,ROW($1:$20),1)*1))&gt;0,
               "",
               Data!CP55
             )
          ),
          SUBSTITUTE(SUBSTITUTE(SUBSTITUTE(SUBSTITUTE(SUBSTITUTE(SUBSTITUTE(SUBSTITUTE(SUBSTITUTE(SUBSTITUTE(AA70,$BN$59,""),$BN$60,""),$BN$61,""),$BN$62,""),$BN$63,""),"P",""),"I",""),"V",""),"B","") &amp;
          Data!CP55
       ),
       ""
    )
)</f>
        <v/>
      </c>
      <c r="AB120" s="41" t="str" cm="1">
        <f t="array" ref="AB120">IF(AND($Y$57=1,AB70&lt;&gt;""),
    "O"&amp;Data!CQ55,
    IF(AB70&lt;&gt;"",
       IF(OR(COUNTIF(AB70,"L*"),COUNTIF(AB70,"X*")),
          SUBSTITUTE(SUBSTITUTE(SUBSTITUTE(SUBSTITUTE(AB70,"P",""),"I",""),"V",""),"B","") &amp;
          IF(
             OR(
               COUNTIF(AB70,"*"&amp;$BN$59&amp;"*"),
               COUNTIF(AB70,"*"&amp;$BN$60&amp;"*"),
               COUNTIF(AB70,"*"&amp;$BN$61&amp;"*"),
               COUNTIF(AB70,"*"&amp;$BN$62&amp;"*"),
               COUNTIF(AB70,"*"&amp;$BN$63&amp;"*")
             ),
             "",
             IF(
               SUMPRODUCT(--ISNUMBER(MID(AB70,ROW($1:$20),1)*1))&gt;0,
               "",
               Data!CQ55
             )
          ),
          SUBSTITUTE(SUBSTITUTE(SUBSTITUTE(SUBSTITUTE(SUBSTITUTE(SUBSTITUTE(SUBSTITUTE(SUBSTITUTE(SUBSTITUTE(AB70,$BN$59,""),$BN$60,""),$BN$61,""),$BN$62,""),$BN$63,""),"P",""),"I",""),"V",""),"B","") &amp;
          Data!CQ55
       ),
       ""
    )
)</f>
        <v/>
      </c>
      <c r="AC120" s="41" t="str" cm="1">
        <f t="array" ref="AC120">IF(AND($Y$57=1,AC70&lt;&gt;""),
    "O"&amp;Data!CR55,
    IF(AC70&lt;&gt;"",
       IF(OR(COUNTIF(AC70,"L*"),COUNTIF(AC70,"X*")),
          SUBSTITUTE(SUBSTITUTE(SUBSTITUTE(SUBSTITUTE(AC70,"P",""),"I",""),"V",""),"B","") &amp;
          IF(
             OR(
               COUNTIF(AC70,"*"&amp;$BN$59&amp;"*"),
               COUNTIF(AC70,"*"&amp;$BN$60&amp;"*"),
               COUNTIF(AC70,"*"&amp;$BN$61&amp;"*"),
               COUNTIF(AC70,"*"&amp;$BN$62&amp;"*"),
               COUNTIF(AC70,"*"&amp;$BN$63&amp;"*")
             ),
             "",
             IF(
               SUMPRODUCT(--ISNUMBER(MID(AC70,ROW($1:$20),1)*1))&gt;0,
               "",
               Data!CR55
             )
          ),
          SUBSTITUTE(SUBSTITUTE(SUBSTITUTE(SUBSTITUTE(SUBSTITUTE(SUBSTITUTE(SUBSTITUTE(SUBSTITUTE(SUBSTITUTE(AC70,$BN$59,""),$BN$60,""),$BN$61,""),$BN$62,""),$BN$63,""),"P",""),"I",""),"V",""),"B","") &amp;
          Data!CR55
       ),
       ""
    )
)</f>
        <v/>
      </c>
      <c r="AD120" s="41" t="str" cm="1">
        <f t="array" ref="AD120">IF(AND($Y$57=1,AD70&lt;&gt;""),
    "O"&amp;Data!CS55,
    IF(AD70&lt;&gt;"",
       IF(OR(COUNTIF(AD70,"L*"),COUNTIF(AD70,"X*")),
          SUBSTITUTE(SUBSTITUTE(SUBSTITUTE(SUBSTITUTE(AD70,"P",""),"I",""),"V",""),"B","") &amp;
          IF(
             OR(
               COUNTIF(AD70,"*"&amp;$BN$59&amp;"*"),
               COUNTIF(AD70,"*"&amp;$BN$60&amp;"*"),
               COUNTIF(AD70,"*"&amp;$BN$61&amp;"*"),
               COUNTIF(AD70,"*"&amp;$BN$62&amp;"*"),
               COUNTIF(AD70,"*"&amp;$BN$63&amp;"*")
             ),
             "",
             IF(
               SUMPRODUCT(--ISNUMBER(MID(AD70,ROW($1:$20),1)*1))&gt;0,
               "",
               Data!CS55
             )
          ),
          SUBSTITUTE(SUBSTITUTE(SUBSTITUTE(SUBSTITUTE(SUBSTITUTE(SUBSTITUTE(SUBSTITUTE(SUBSTITUTE(SUBSTITUTE(AD70,$BN$59,""),$BN$60,""),$BN$61,""),$BN$62,""),$BN$63,""),"P",""),"I",""),"V",""),"B","") &amp;
          Data!CS55
       ),
       ""
    )
)</f>
        <v/>
      </c>
      <c r="AE120" s="41" t="str" cm="1">
        <f t="array" ref="AE120">IF(AND($Y$57=1,AE70&lt;&gt;""),
    "O"&amp;Data!CT55,
    IF(AE70&lt;&gt;"",
       IF(OR(COUNTIF(AE70,"L*"),COUNTIF(AE70,"X*")),
          SUBSTITUTE(SUBSTITUTE(SUBSTITUTE(SUBSTITUTE(AE70,"P",""),"I",""),"V",""),"B","") &amp;
          IF(
             OR(
               COUNTIF(AE70,"*"&amp;$BN$59&amp;"*"),
               COUNTIF(AE70,"*"&amp;$BN$60&amp;"*"),
               COUNTIF(AE70,"*"&amp;$BN$61&amp;"*"),
               COUNTIF(AE70,"*"&amp;$BN$62&amp;"*"),
               COUNTIF(AE70,"*"&amp;$BN$63&amp;"*")
             ),
             "",
             IF(
               SUMPRODUCT(--ISNUMBER(MID(AE70,ROW($1:$20),1)*1))&gt;0,
               "",
               Data!CT55
             )
          ),
          SUBSTITUTE(SUBSTITUTE(SUBSTITUTE(SUBSTITUTE(SUBSTITUTE(SUBSTITUTE(SUBSTITUTE(SUBSTITUTE(SUBSTITUTE(AE70,$BN$59,""),$BN$60,""),$BN$61,""),$BN$62,""),$BN$63,""),"P",""),"I",""),"V",""),"B","") &amp;
          Data!CT55
       ),
       ""
    )
)</f>
        <v/>
      </c>
      <c r="AF120" s="41" t="str" cm="1">
        <f t="array" ref="AF120">IF(AND($Y$57=1,AF70&lt;&gt;""),
    "O"&amp;Data!CU55,
    IF(AF70&lt;&gt;"",
       IF(OR(COUNTIF(AF70,"L*"),COUNTIF(AF70,"X*")),
          SUBSTITUTE(SUBSTITUTE(SUBSTITUTE(SUBSTITUTE(AF70,"P",""),"I",""),"V",""),"B","") &amp;
          IF(
             OR(
               COUNTIF(AF70,"*"&amp;$BN$59&amp;"*"),
               COUNTIF(AF70,"*"&amp;$BN$60&amp;"*"),
               COUNTIF(AF70,"*"&amp;$BN$61&amp;"*"),
               COUNTIF(AF70,"*"&amp;$BN$62&amp;"*"),
               COUNTIF(AF70,"*"&amp;$BN$63&amp;"*")
             ),
             "",
             IF(
               SUMPRODUCT(--ISNUMBER(MID(AF70,ROW($1:$20),1)*1))&gt;0,
               "",
               Data!CU55
             )
          ),
          SUBSTITUTE(SUBSTITUTE(SUBSTITUTE(SUBSTITUTE(SUBSTITUTE(SUBSTITUTE(SUBSTITUTE(SUBSTITUTE(SUBSTITUTE(AF70,$BN$59,""),$BN$60,""),$BN$61,""),$BN$62,""),$BN$63,""),"P",""),"I",""),"V",""),"B","") &amp;
          Data!CU55
       ),
       ""
    )
)</f>
        <v/>
      </c>
      <c r="AG120" s="41" t="str" cm="1">
        <f t="array" ref="AG120">IF(AND($Y$57=1,AG70&lt;&gt;""),
    "O"&amp;Data!CV55,
    IF(AG70&lt;&gt;"",
       IF(OR(COUNTIF(AG70,"L*"),COUNTIF(AG70,"X*")),
          SUBSTITUTE(SUBSTITUTE(SUBSTITUTE(SUBSTITUTE(AG70,"P",""),"I",""),"V",""),"B","") &amp;
          IF(
             OR(
               COUNTIF(AG70,"*"&amp;$BN$59&amp;"*"),
               COUNTIF(AG70,"*"&amp;$BN$60&amp;"*"),
               COUNTIF(AG70,"*"&amp;$BN$61&amp;"*"),
               COUNTIF(AG70,"*"&amp;$BN$62&amp;"*"),
               COUNTIF(AG70,"*"&amp;$BN$63&amp;"*")
             ),
             "",
             IF(
               SUMPRODUCT(--ISNUMBER(MID(AG70,ROW($1:$20),1)*1))&gt;0,
               "",
               Data!CV55
             )
          ),
          SUBSTITUTE(SUBSTITUTE(SUBSTITUTE(SUBSTITUTE(SUBSTITUTE(SUBSTITUTE(SUBSTITUTE(SUBSTITUTE(SUBSTITUTE(AG70,$BN$59,""),$BN$60,""),$BN$61,""),$BN$62,""),$BN$63,""),"P",""),"I",""),"V",""),"B","") &amp;
          Data!CV55
       ),
       ""
    )
)</f>
        <v/>
      </c>
      <c r="AH120" s="41" t="str" cm="1">
        <f t="array" ref="AH120">IF(AND($Y$57=1,AH70&lt;&gt;""),
    "O"&amp;Data!CW55,
    IF(AH70&lt;&gt;"",
       IF(OR(COUNTIF(AH70,"L*"),COUNTIF(AH70,"X*")),
          SUBSTITUTE(SUBSTITUTE(SUBSTITUTE(SUBSTITUTE(AH70,"P",""),"I",""),"V",""),"B","") &amp;
          IF(
             OR(
               COUNTIF(AH70,"*"&amp;$BN$59&amp;"*"),
               COUNTIF(AH70,"*"&amp;$BN$60&amp;"*"),
               COUNTIF(AH70,"*"&amp;$BN$61&amp;"*"),
               COUNTIF(AH70,"*"&amp;$BN$62&amp;"*"),
               COUNTIF(AH70,"*"&amp;$BN$63&amp;"*")
             ),
             "",
             IF(
               SUMPRODUCT(--ISNUMBER(MID(AH70,ROW($1:$20),1)*1))&gt;0,
               "",
               Data!CW55
             )
          ),
          SUBSTITUTE(SUBSTITUTE(SUBSTITUTE(SUBSTITUTE(SUBSTITUTE(SUBSTITUTE(SUBSTITUTE(SUBSTITUTE(SUBSTITUTE(AH70,$BN$59,""),$BN$60,""),$BN$61,""),$BN$62,""),$BN$63,""),"P",""),"I",""),"V",""),"B","") &amp;
          Data!CW55
       ),
       ""
    )
)</f>
        <v/>
      </c>
      <c r="AI120" s="41" t="str" cm="1">
        <f t="array" ref="AI120">IF(AND($Y$57=1,AI70&lt;&gt;""),
    "O"&amp;Data!CX55,
    IF(AI70&lt;&gt;"",
       IF(OR(COUNTIF(AI70,"L*"),COUNTIF(AI70,"X*")),
          SUBSTITUTE(SUBSTITUTE(SUBSTITUTE(SUBSTITUTE(AI70,"P",""),"I",""),"V",""),"B","") &amp;
          IF(
             OR(
               COUNTIF(AI70,"*"&amp;$BN$59&amp;"*"),
               COUNTIF(AI70,"*"&amp;$BN$60&amp;"*"),
               COUNTIF(AI70,"*"&amp;$BN$61&amp;"*"),
               COUNTIF(AI70,"*"&amp;$BN$62&amp;"*"),
               COUNTIF(AI70,"*"&amp;$BN$63&amp;"*")
             ),
             "",
             IF(
               SUMPRODUCT(--ISNUMBER(MID(AI70,ROW($1:$20),1)*1))&gt;0,
               "",
               Data!CX55
             )
          ),
          SUBSTITUTE(SUBSTITUTE(SUBSTITUTE(SUBSTITUTE(SUBSTITUTE(SUBSTITUTE(SUBSTITUTE(SUBSTITUTE(SUBSTITUTE(AI70,$BN$59,""),$BN$60,""),$BN$61,""),$BN$62,""),$BN$63,""),"P",""),"I",""),"V",""),"B","") &amp;
          Data!CX55
       ),
       ""
    )
)</f>
        <v/>
      </c>
      <c r="AJ120" s="41" t="str" cm="1">
        <f t="array" ref="AJ120">IF(AND($Y$57=1,AJ70&lt;&gt;""),
    "O"&amp;Data!CY55,
    IF(AJ70&lt;&gt;"",
       IF(OR(COUNTIF(AJ70,"L*"),COUNTIF(AJ70,"X*")),
          SUBSTITUTE(SUBSTITUTE(SUBSTITUTE(SUBSTITUTE(AJ70,"P",""),"I",""),"V",""),"B","") &amp;
          IF(
             OR(
               COUNTIF(AJ70,"*"&amp;$BN$59&amp;"*"),
               COUNTIF(AJ70,"*"&amp;$BN$60&amp;"*"),
               COUNTIF(AJ70,"*"&amp;$BN$61&amp;"*"),
               COUNTIF(AJ70,"*"&amp;$BN$62&amp;"*"),
               COUNTIF(AJ70,"*"&amp;$BN$63&amp;"*")
             ),
             "",
             IF(
               SUMPRODUCT(--ISNUMBER(MID(AJ70,ROW($1:$20),1)*1))&gt;0,
               "",
               Data!CY55
             )
          ),
          SUBSTITUTE(SUBSTITUTE(SUBSTITUTE(SUBSTITUTE(SUBSTITUTE(SUBSTITUTE(SUBSTITUTE(SUBSTITUTE(SUBSTITUTE(AJ70,$BN$59,""),$BN$60,""),$BN$61,""),$BN$62,""),$BN$63,""),"P",""),"I",""),"V",""),"B","") &amp;
          Data!CY55
       ),
       ""
    )
)</f>
        <v/>
      </c>
    </row>
    <row r="121" spans="1:54" ht="23.25" customHeight="1" x14ac:dyDescent="0.35">
      <c r="A121" s="1196"/>
      <c r="B121" s="22">
        <v>11</v>
      </c>
      <c r="C121" s="41" t="str" cm="1">
        <f t="array" ref="C121">IF(AND($Y$57=1,C71&lt;&gt;""),
    "O"&amp;Data!BR56,
    IF(C71&lt;&gt;"",
       IF(OR(COUNTIF(C71,"L*"),COUNTIF(C71,"X*")),
          SUBSTITUTE(SUBSTITUTE(SUBSTITUTE(SUBSTITUTE(C71,"P",""),"I",""),"V",""),"B","") &amp;
          IF(
             OR(
               COUNTIF(C71,"*"&amp;$BN$59&amp;"*"),
               COUNTIF(C71,"*"&amp;$BN$60&amp;"*"),
               COUNTIF(C71,"*"&amp;$BN$61&amp;"*"),
               COUNTIF(C71,"*"&amp;$BN$62&amp;"*"),
               COUNTIF(C71,"*"&amp;$BN$63&amp;"*")
             ),
             "",
             IF(
               SUMPRODUCT(--ISNUMBER(MID(C71,ROW($1:$20),1)*1))&gt;0,
               "",
               Data!BR56
             )
          ),
          SUBSTITUTE(SUBSTITUTE(SUBSTITUTE(SUBSTITUTE(SUBSTITUTE(SUBSTITUTE(SUBSTITUTE(SUBSTITUTE(SUBSTITUTE(C71,$BN$59,""),$BN$60,""),$BN$61,""),$BN$62,""),$BN$63,""),"P",""),"I",""),"V",""),"B","") &amp;
          Data!BR56
       ),
       ""
    )
)</f>
        <v/>
      </c>
      <c r="D121" s="41" t="str" cm="1">
        <f t="array" ref="D121">IF(AND($Y$57=1,D71&lt;&gt;""),
    "O"&amp;Data!BS56,
    IF(D71&lt;&gt;"",
       IF(OR(COUNTIF(D71,"L*"),COUNTIF(D71,"X*")),
          SUBSTITUTE(SUBSTITUTE(SUBSTITUTE(SUBSTITUTE(D71,"P",""),"I",""),"V",""),"B","") &amp;
          IF(
             OR(
               COUNTIF(D71,"*"&amp;$BN$59&amp;"*"),
               COUNTIF(D71,"*"&amp;$BN$60&amp;"*"),
               COUNTIF(D71,"*"&amp;$BN$61&amp;"*"),
               COUNTIF(D71,"*"&amp;$BN$62&amp;"*"),
               COUNTIF(D71,"*"&amp;$BN$63&amp;"*")
             ),
             "",
             IF(
               SUMPRODUCT(--ISNUMBER(MID(D71,ROW($1:$20),1)*1))&gt;0,
               "",
               Data!BS56
             )
          ),
          SUBSTITUTE(SUBSTITUTE(SUBSTITUTE(SUBSTITUTE(SUBSTITUTE(SUBSTITUTE(SUBSTITUTE(SUBSTITUTE(SUBSTITUTE(D71,$BN$59,""),$BN$60,""),$BN$61,""),$BN$62,""),$BN$63,""),"P",""),"I",""),"V",""),"B","") &amp;
          Data!BS56
       ),
       ""
    )
)</f>
        <v/>
      </c>
      <c r="E121" s="41" t="str" cm="1">
        <f t="array" ref="E121">IF(AND($Y$57=1,E71&lt;&gt;""),
    "O"&amp;Data!BT56,
    IF(E71&lt;&gt;"",
       IF(OR(COUNTIF(E71,"L*"),COUNTIF(E71,"X*")),
          SUBSTITUTE(SUBSTITUTE(SUBSTITUTE(SUBSTITUTE(E71,"P",""),"I",""),"V",""),"B","") &amp;
          IF(
             OR(
               COUNTIF(E71,"*"&amp;$BN$59&amp;"*"),
               COUNTIF(E71,"*"&amp;$BN$60&amp;"*"),
               COUNTIF(E71,"*"&amp;$BN$61&amp;"*"),
               COUNTIF(E71,"*"&amp;$BN$62&amp;"*"),
               COUNTIF(E71,"*"&amp;$BN$63&amp;"*")
             ),
             "",
             IF(
               SUMPRODUCT(--ISNUMBER(MID(E71,ROW($1:$20),1)*1))&gt;0,
               "",
               Data!BT56
             )
          ),
          SUBSTITUTE(SUBSTITUTE(SUBSTITUTE(SUBSTITUTE(SUBSTITUTE(SUBSTITUTE(SUBSTITUTE(SUBSTITUTE(SUBSTITUTE(E71,$BN$59,""),$BN$60,""),$BN$61,""),$BN$62,""),$BN$63,""),"P",""),"I",""),"V",""),"B","") &amp;
          Data!BT56
       ),
       ""
    )
)</f>
        <v/>
      </c>
      <c r="F121" s="41" t="str" cm="1">
        <f t="array" ref="F121">IF(AND($Y$57=1,F71&lt;&gt;""),
    "O"&amp;Data!BU56,
    IF(F71&lt;&gt;"",
       IF(OR(COUNTIF(F71,"L*"),COUNTIF(F71,"X*")),
          SUBSTITUTE(SUBSTITUTE(SUBSTITUTE(SUBSTITUTE(F71,"P",""),"I",""),"V",""),"B","") &amp;
          IF(
             OR(
               COUNTIF(F71,"*"&amp;$BN$59&amp;"*"),
               COUNTIF(F71,"*"&amp;$BN$60&amp;"*"),
               COUNTIF(F71,"*"&amp;$BN$61&amp;"*"),
               COUNTIF(F71,"*"&amp;$BN$62&amp;"*"),
               COUNTIF(F71,"*"&amp;$BN$63&amp;"*")
             ),
             "",
             IF(
               SUMPRODUCT(--ISNUMBER(MID(F71,ROW($1:$20),1)*1))&gt;0,
               "",
               Data!BU56
             )
          ),
          SUBSTITUTE(SUBSTITUTE(SUBSTITUTE(SUBSTITUTE(SUBSTITUTE(SUBSTITUTE(SUBSTITUTE(SUBSTITUTE(SUBSTITUTE(F71,$BN$59,""),$BN$60,""),$BN$61,""),$BN$62,""),$BN$63,""),"P",""),"I",""),"V",""),"B","") &amp;
          Data!BU56
       ),
       ""
    )
)</f>
        <v/>
      </c>
      <c r="G121" s="41" t="str" cm="1">
        <f t="array" ref="G121">IF(AND($Y$57=1,G71&lt;&gt;""),
    "O"&amp;Data!BV56,
    IF(G71&lt;&gt;"",
       IF(OR(COUNTIF(G71,"L*"),COUNTIF(G71,"X*")),
          SUBSTITUTE(SUBSTITUTE(SUBSTITUTE(SUBSTITUTE(G71,"P",""),"I",""),"V",""),"B","") &amp;
          IF(
             OR(
               COUNTIF(G71,"*"&amp;$BN$59&amp;"*"),
               COUNTIF(G71,"*"&amp;$BN$60&amp;"*"),
               COUNTIF(G71,"*"&amp;$BN$61&amp;"*"),
               COUNTIF(G71,"*"&amp;$BN$62&amp;"*"),
               COUNTIF(G71,"*"&amp;$BN$63&amp;"*")
             ),
             "",
             IF(
               SUMPRODUCT(--ISNUMBER(MID(G71,ROW($1:$20),1)*1))&gt;0,
               "",
               Data!BV56
             )
          ),
          SUBSTITUTE(SUBSTITUTE(SUBSTITUTE(SUBSTITUTE(SUBSTITUTE(SUBSTITUTE(SUBSTITUTE(SUBSTITUTE(SUBSTITUTE(G71,$BN$59,""),$BN$60,""),$BN$61,""),$BN$62,""),$BN$63,""),"P",""),"I",""),"V",""),"B","") &amp;
          Data!BV56
       ),
       ""
    )
)</f>
        <v/>
      </c>
      <c r="H121" s="41" t="str" cm="1">
        <f t="array" ref="H121">IF(AND($Y$57=1,H71&lt;&gt;""),
    "O"&amp;Data!BW56,
    IF(H71&lt;&gt;"",
       IF(OR(COUNTIF(H71,"L*"),COUNTIF(H71,"X*")),
          SUBSTITUTE(SUBSTITUTE(SUBSTITUTE(SUBSTITUTE(H71,"P",""),"I",""),"V",""),"B","") &amp;
          IF(
             OR(
               COUNTIF(H71,"*"&amp;$BN$59&amp;"*"),
               COUNTIF(H71,"*"&amp;$BN$60&amp;"*"),
               COUNTIF(H71,"*"&amp;$BN$61&amp;"*"),
               COUNTIF(H71,"*"&amp;$BN$62&amp;"*"),
               COUNTIF(H71,"*"&amp;$BN$63&amp;"*")
             ),
             "",
             IF(
               SUMPRODUCT(--ISNUMBER(MID(H71,ROW($1:$20),1)*1))&gt;0,
               "",
               Data!BW56
             )
          ),
          SUBSTITUTE(SUBSTITUTE(SUBSTITUTE(SUBSTITUTE(SUBSTITUTE(SUBSTITUTE(SUBSTITUTE(SUBSTITUTE(SUBSTITUTE(H71,$BN$59,""),$BN$60,""),$BN$61,""),$BN$62,""),$BN$63,""),"P",""),"I",""),"V",""),"B","") &amp;
          Data!BW56
       ),
       ""
    )
)</f>
        <v/>
      </c>
      <c r="I121" s="41" t="str" cm="1">
        <f t="array" ref="I121">IF(AND($Y$57=1,I71&lt;&gt;""),
    "O"&amp;Data!BX56,
    IF(I71&lt;&gt;"",
       IF(OR(COUNTIF(I71,"L*"),COUNTIF(I71,"X*")),
          SUBSTITUTE(SUBSTITUTE(SUBSTITUTE(SUBSTITUTE(I71,"P",""),"I",""),"V",""),"B","") &amp;
          IF(
             OR(
               COUNTIF(I71,"*"&amp;$BN$59&amp;"*"),
               COUNTIF(I71,"*"&amp;$BN$60&amp;"*"),
               COUNTIF(I71,"*"&amp;$BN$61&amp;"*"),
               COUNTIF(I71,"*"&amp;$BN$62&amp;"*"),
               COUNTIF(I71,"*"&amp;$BN$63&amp;"*")
             ),
             "",
             IF(
               SUMPRODUCT(--ISNUMBER(MID(I71,ROW($1:$20),1)*1))&gt;0,
               "",
               Data!BX56
             )
          ),
          SUBSTITUTE(SUBSTITUTE(SUBSTITUTE(SUBSTITUTE(SUBSTITUTE(SUBSTITUTE(SUBSTITUTE(SUBSTITUTE(SUBSTITUTE(I71,$BN$59,""),$BN$60,""),$BN$61,""),$BN$62,""),$BN$63,""),"P",""),"I",""),"V",""),"B","") &amp;
          Data!BX56
       ),
       ""
    )
)</f>
        <v/>
      </c>
      <c r="J121" s="41" t="str" cm="1">
        <f t="array" ref="J121">IF(AND($Y$57=1,J71&lt;&gt;""),
    "O"&amp;Data!BY56,
    IF(J71&lt;&gt;"",
       IF(OR(COUNTIF(J71,"L*"),COUNTIF(J71,"X*")),
          SUBSTITUTE(SUBSTITUTE(SUBSTITUTE(SUBSTITUTE(J71,"P",""),"I",""),"V",""),"B","") &amp;
          IF(
             OR(
               COUNTIF(J71,"*"&amp;$BN$59&amp;"*"),
               COUNTIF(J71,"*"&amp;$BN$60&amp;"*"),
               COUNTIF(J71,"*"&amp;$BN$61&amp;"*"),
               COUNTIF(J71,"*"&amp;$BN$62&amp;"*"),
               COUNTIF(J71,"*"&amp;$BN$63&amp;"*")
             ),
             "",
             IF(
               SUMPRODUCT(--ISNUMBER(MID(J71,ROW($1:$20),1)*1))&gt;0,
               "",
               Data!BY56
             )
          ),
          SUBSTITUTE(SUBSTITUTE(SUBSTITUTE(SUBSTITUTE(SUBSTITUTE(SUBSTITUTE(SUBSTITUTE(SUBSTITUTE(SUBSTITUTE(J71,$BN$59,""),$BN$60,""),$BN$61,""),$BN$62,""),$BN$63,""),"P",""),"I",""),"V",""),"B","") &amp;
          Data!BY56
       ),
       ""
    )
)</f>
        <v/>
      </c>
      <c r="K121" s="41" t="str" cm="1">
        <f t="array" ref="K121">IF(AND($Y$57=1,K71&lt;&gt;""),
    "O"&amp;Data!BZ56,
    IF(K71&lt;&gt;"",
       IF(OR(COUNTIF(K71,"L*"),COUNTIF(K71,"X*")),
          SUBSTITUTE(SUBSTITUTE(SUBSTITUTE(SUBSTITUTE(K71,"P",""),"I",""),"V",""),"B","") &amp;
          IF(
             OR(
               COUNTIF(K71,"*"&amp;$BN$59&amp;"*"),
               COUNTIF(K71,"*"&amp;$BN$60&amp;"*"),
               COUNTIF(K71,"*"&amp;$BN$61&amp;"*"),
               COUNTIF(K71,"*"&amp;$BN$62&amp;"*"),
               COUNTIF(K71,"*"&amp;$BN$63&amp;"*")
             ),
             "",
             IF(
               SUMPRODUCT(--ISNUMBER(MID(K71,ROW($1:$20),1)*1))&gt;0,
               "",
               Data!BZ56
             )
          ),
          SUBSTITUTE(SUBSTITUTE(SUBSTITUTE(SUBSTITUTE(SUBSTITUTE(SUBSTITUTE(SUBSTITUTE(SUBSTITUTE(SUBSTITUTE(K71,$BN$59,""),$BN$60,""),$BN$61,""),$BN$62,""),$BN$63,""),"P",""),"I",""),"V",""),"B","") &amp;
          Data!BZ56
       ),
       ""
    )
)</f>
        <v/>
      </c>
      <c r="L121" s="41" t="str" cm="1">
        <f t="array" ref="L121">IF(AND($Y$57=1,L71&lt;&gt;""),
    "O"&amp;Data!CA56,
    IF(L71&lt;&gt;"",
       IF(OR(COUNTIF(L71,"L*"),COUNTIF(L71,"X*")),
          SUBSTITUTE(SUBSTITUTE(SUBSTITUTE(SUBSTITUTE(L71,"P",""),"I",""),"V",""),"B","") &amp;
          IF(
             OR(
               COUNTIF(L71,"*"&amp;$BN$59&amp;"*"),
               COUNTIF(L71,"*"&amp;$BN$60&amp;"*"),
               COUNTIF(L71,"*"&amp;$BN$61&amp;"*"),
               COUNTIF(L71,"*"&amp;$BN$62&amp;"*"),
               COUNTIF(L71,"*"&amp;$BN$63&amp;"*")
             ),
             "",
             IF(
               SUMPRODUCT(--ISNUMBER(MID(L71,ROW($1:$20),1)*1))&gt;0,
               "",
               Data!CA56
             )
          ),
          SUBSTITUTE(SUBSTITUTE(SUBSTITUTE(SUBSTITUTE(SUBSTITUTE(SUBSTITUTE(SUBSTITUTE(SUBSTITUTE(SUBSTITUTE(L71,$BN$59,""),$BN$60,""),$BN$61,""),$BN$62,""),$BN$63,""),"P",""),"I",""),"V",""),"B","") &amp;
          Data!CA56
       ),
       ""
    )
)</f>
        <v/>
      </c>
      <c r="M121" s="41" t="str" cm="1">
        <f t="array" ref="M121">IF(AND($Y$57=1,M71&lt;&gt;""),
    "O"&amp;Data!CB56,
    IF(M71&lt;&gt;"",
       IF(OR(COUNTIF(M71,"L*"),COUNTIF(M71,"X*")),
          SUBSTITUTE(SUBSTITUTE(SUBSTITUTE(SUBSTITUTE(M71,"P",""),"I",""),"V",""),"B","") &amp;
          IF(
             OR(
               COUNTIF(M71,"*"&amp;$BN$59&amp;"*"),
               COUNTIF(M71,"*"&amp;$BN$60&amp;"*"),
               COUNTIF(M71,"*"&amp;$BN$61&amp;"*"),
               COUNTIF(M71,"*"&amp;$BN$62&amp;"*"),
               COUNTIF(M71,"*"&amp;$BN$63&amp;"*")
             ),
             "",
             IF(
               SUMPRODUCT(--ISNUMBER(MID(M71,ROW($1:$20),1)*1))&gt;0,
               "",
               Data!CB56
             )
          ),
          SUBSTITUTE(SUBSTITUTE(SUBSTITUTE(SUBSTITUTE(SUBSTITUTE(SUBSTITUTE(SUBSTITUTE(SUBSTITUTE(SUBSTITUTE(M71,$BN$59,""),$BN$60,""),$BN$61,""),$BN$62,""),$BN$63,""),"P",""),"I",""),"V",""),"B","") &amp;
          Data!CB56
       ),
       ""
    )
)</f>
        <v/>
      </c>
      <c r="N121" s="41" t="str" cm="1">
        <f t="array" ref="N121">IF(AND($Y$57=1,N71&lt;&gt;""),
    "O"&amp;Data!CC56,
    IF(N71&lt;&gt;"",
       IF(OR(COUNTIF(N71,"L*"),COUNTIF(N71,"X*")),
          SUBSTITUTE(SUBSTITUTE(SUBSTITUTE(SUBSTITUTE(N71,"P",""),"I",""),"V",""),"B","") &amp;
          IF(
             OR(
               COUNTIF(N71,"*"&amp;$BN$59&amp;"*"),
               COUNTIF(N71,"*"&amp;$BN$60&amp;"*"),
               COUNTIF(N71,"*"&amp;$BN$61&amp;"*"),
               COUNTIF(N71,"*"&amp;$BN$62&amp;"*"),
               COUNTIF(N71,"*"&amp;$BN$63&amp;"*")
             ),
             "",
             IF(
               SUMPRODUCT(--ISNUMBER(MID(N71,ROW($1:$20),1)*1))&gt;0,
               "",
               Data!CC56
             )
          ),
          SUBSTITUTE(SUBSTITUTE(SUBSTITUTE(SUBSTITUTE(SUBSTITUTE(SUBSTITUTE(SUBSTITUTE(SUBSTITUTE(SUBSTITUTE(N71,$BN$59,""),$BN$60,""),$BN$61,""),$BN$62,""),$BN$63,""),"P",""),"I",""),"V",""),"B","") &amp;
          Data!CC56
       ),
       ""
    )
)</f>
        <v/>
      </c>
      <c r="O121" s="41" t="str" cm="1">
        <f t="array" ref="O121">IF(AND($Y$57=1,O71&lt;&gt;""),
    "O"&amp;Data!CD56,
    IF(O71&lt;&gt;"",
       IF(OR(COUNTIF(O71,"L*"),COUNTIF(O71,"X*")),
          SUBSTITUTE(SUBSTITUTE(SUBSTITUTE(SUBSTITUTE(O71,"P",""),"I",""),"V",""),"B","") &amp;
          IF(
             OR(
               COUNTIF(O71,"*"&amp;$BN$59&amp;"*"),
               COUNTIF(O71,"*"&amp;$BN$60&amp;"*"),
               COUNTIF(O71,"*"&amp;$BN$61&amp;"*"),
               COUNTIF(O71,"*"&amp;$BN$62&amp;"*"),
               COUNTIF(O71,"*"&amp;$BN$63&amp;"*")
             ),
             "",
             IF(
               SUMPRODUCT(--ISNUMBER(MID(O71,ROW($1:$20),1)*1))&gt;0,
               "",
               Data!CD56
             )
          ),
          SUBSTITUTE(SUBSTITUTE(SUBSTITUTE(SUBSTITUTE(SUBSTITUTE(SUBSTITUTE(SUBSTITUTE(SUBSTITUTE(SUBSTITUTE(O71,$BN$59,""),$BN$60,""),$BN$61,""),$BN$62,""),$BN$63,""),"P",""),"I",""),"V",""),"B","") &amp;
          Data!CD56
       ),
       ""
    )
)</f>
        <v/>
      </c>
      <c r="P121" s="41" t="str" cm="1">
        <f t="array" ref="P121">IF(AND($Y$57=1,P71&lt;&gt;""),
    "O"&amp;Data!CE56,
    IF(P71&lt;&gt;"",
       IF(OR(COUNTIF(P71,"L*"),COUNTIF(P71,"X*")),
          SUBSTITUTE(SUBSTITUTE(SUBSTITUTE(SUBSTITUTE(P71,"P",""),"I",""),"V",""),"B","") &amp;
          IF(
             OR(
               COUNTIF(P71,"*"&amp;$BN$59&amp;"*"),
               COUNTIF(P71,"*"&amp;$BN$60&amp;"*"),
               COUNTIF(P71,"*"&amp;$BN$61&amp;"*"),
               COUNTIF(P71,"*"&amp;$BN$62&amp;"*"),
               COUNTIF(P71,"*"&amp;$BN$63&amp;"*")
             ),
             "",
             IF(
               SUMPRODUCT(--ISNUMBER(MID(P71,ROW($1:$20),1)*1))&gt;0,
               "",
               Data!CE56
             )
          ),
          SUBSTITUTE(SUBSTITUTE(SUBSTITUTE(SUBSTITUTE(SUBSTITUTE(SUBSTITUTE(SUBSTITUTE(SUBSTITUTE(SUBSTITUTE(P71,$BN$59,""),$BN$60,""),$BN$61,""),$BN$62,""),$BN$63,""),"P",""),"I",""),"V",""),"B","") &amp;
          Data!CE56
       ),
       ""
    )
)</f>
        <v/>
      </c>
      <c r="Q121" s="41" t="str" cm="1">
        <f t="array" ref="Q121">IF(AND($Y$57=1,Q71&lt;&gt;""),
    "O"&amp;Data!CF56,
    IF(Q71&lt;&gt;"",
       IF(OR(COUNTIF(Q71,"L*"),COUNTIF(Q71,"X*")),
          SUBSTITUTE(SUBSTITUTE(SUBSTITUTE(SUBSTITUTE(Q71,"P",""),"I",""),"V",""),"B","") &amp;
          IF(
             OR(
               COUNTIF(Q71,"*"&amp;$BN$59&amp;"*"),
               COUNTIF(Q71,"*"&amp;$BN$60&amp;"*"),
               COUNTIF(Q71,"*"&amp;$BN$61&amp;"*"),
               COUNTIF(Q71,"*"&amp;$BN$62&amp;"*"),
               COUNTIF(Q71,"*"&amp;$BN$63&amp;"*")
             ),
             "",
             IF(
               SUMPRODUCT(--ISNUMBER(MID(Q71,ROW($1:$20),1)*1))&gt;0,
               "",
               Data!CF56
             )
          ),
          SUBSTITUTE(SUBSTITUTE(SUBSTITUTE(SUBSTITUTE(SUBSTITUTE(SUBSTITUTE(SUBSTITUTE(SUBSTITUTE(SUBSTITUTE(Q71,$BN$59,""),$BN$60,""),$BN$61,""),$BN$62,""),$BN$63,""),"P",""),"I",""),"V",""),"B","") &amp;
          Data!CF56
       ),
       ""
    )
)</f>
        <v/>
      </c>
      <c r="R121" s="41" t="str" cm="1">
        <f t="array" ref="R121">IF(AND($Y$57=1,R71&lt;&gt;""),
    "O"&amp;Data!CG56,
    IF(R71&lt;&gt;"",
       IF(OR(COUNTIF(R71,"L*"),COUNTIF(R71,"X*")),
          SUBSTITUTE(SUBSTITUTE(SUBSTITUTE(SUBSTITUTE(R71,"P",""),"I",""),"V",""),"B","") &amp;
          IF(
             OR(
               COUNTIF(R71,"*"&amp;$BN$59&amp;"*"),
               COUNTIF(R71,"*"&amp;$BN$60&amp;"*"),
               COUNTIF(R71,"*"&amp;$BN$61&amp;"*"),
               COUNTIF(R71,"*"&amp;$BN$62&amp;"*"),
               COUNTIF(R71,"*"&amp;$BN$63&amp;"*")
             ),
             "",
             IF(
               SUMPRODUCT(--ISNUMBER(MID(R71,ROW($1:$20),1)*1))&gt;0,
               "",
               Data!CG56
             )
          ),
          SUBSTITUTE(SUBSTITUTE(SUBSTITUTE(SUBSTITUTE(SUBSTITUTE(SUBSTITUTE(SUBSTITUTE(SUBSTITUTE(SUBSTITUTE(R71,$BN$59,""),$BN$60,""),$BN$61,""),$BN$62,""),$BN$63,""),"P",""),"I",""),"V",""),"B","") &amp;
          Data!CG56
       ),
       ""
    )
)</f>
        <v/>
      </c>
      <c r="S121" s="41" t="str" cm="1">
        <f t="array" ref="S121">IF(AND($Y$57=1,S71&lt;&gt;""),
    "O"&amp;Data!CH56,
    IF(S71&lt;&gt;"",
       IF(OR(COUNTIF(S71,"L*"),COUNTIF(S71,"X*")),
          SUBSTITUTE(SUBSTITUTE(SUBSTITUTE(SUBSTITUTE(S71,"P",""),"I",""),"V",""),"B","") &amp;
          IF(
             OR(
               COUNTIF(S71,"*"&amp;$BN$59&amp;"*"),
               COUNTIF(S71,"*"&amp;$BN$60&amp;"*"),
               COUNTIF(S71,"*"&amp;$BN$61&amp;"*"),
               COUNTIF(S71,"*"&amp;$BN$62&amp;"*"),
               COUNTIF(S71,"*"&amp;$BN$63&amp;"*")
             ),
             "",
             IF(
               SUMPRODUCT(--ISNUMBER(MID(S71,ROW($1:$20),1)*1))&gt;0,
               "",
               Data!CH56
             )
          ),
          SUBSTITUTE(SUBSTITUTE(SUBSTITUTE(SUBSTITUTE(SUBSTITUTE(SUBSTITUTE(SUBSTITUTE(SUBSTITUTE(SUBSTITUTE(S71,$BN$59,""),$BN$60,""),$BN$61,""),$BN$62,""),$BN$63,""),"P",""),"I",""),"V",""),"B","") &amp;
          Data!CH56
       ),
       ""
    )
)</f>
        <v/>
      </c>
      <c r="T121" s="41" t="str" cm="1">
        <f t="array" ref="T121">IF(AND($Y$57=1,T71&lt;&gt;""),
    "O"&amp;Data!CI56,
    IF(T71&lt;&gt;"",
       IF(OR(COUNTIF(T71,"L*"),COUNTIF(T71,"X*")),
          SUBSTITUTE(SUBSTITUTE(SUBSTITUTE(SUBSTITUTE(T71,"P",""),"I",""),"V",""),"B","") &amp;
          IF(
             OR(
               COUNTIF(T71,"*"&amp;$BN$59&amp;"*"),
               COUNTIF(T71,"*"&amp;$BN$60&amp;"*"),
               COUNTIF(T71,"*"&amp;$BN$61&amp;"*"),
               COUNTIF(T71,"*"&amp;$BN$62&amp;"*"),
               COUNTIF(T71,"*"&amp;$BN$63&amp;"*")
             ),
             "",
             IF(
               SUMPRODUCT(--ISNUMBER(MID(T71,ROW($1:$20),1)*1))&gt;0,
               "",
               Data!CI56
             )
          ),
          SUBSTITUTE(SUBSTITUTE(SUBSTITUTE(SUBSTITUTE(SUBSTITUTE(SUBSTITUTE(SUBSTITUTE(SUBSTITUTE(SUBSTITUTE(T71,$BN$59,""),$BN$60,""),$BN$61,""),$BN$62,""),$BN$63,""),"P",""),"I",""),"V",""),"B","") &amp;
          Data!CI56
       ),
       ""
    )
)</f>
        <v/>
      </c>
      <c r="U121" s="41" t="str" cm="1">
        <f t="array" ref="U121">IF(AND($Y$57=1,U71&lt;&gt;""),
    "O"&amp;Data!CJ56,
    IF(U71&lt;&gt;"",
       IF(OR(COUNTIF(U71,"L*"),COUNTIF(U71,"X*")),
          SUBSTITUTE(SUBSTITUTE(SUBSTITUTE(SUBSTITUTE(U71,"P",""),"I",""),"V",""),"B","") &amp;
          IF(
             OR(
               COUNTIF(U71,"*"&amp;$BN$59&amp;"*"),
               COUNTIF(U71,"*"&amp;$BN$60&amp;"*"),
               COUNTIF(U71,"*"&amp;$BN$61&amp;"*"),
               COUNTIF(U71,"*"&amp;$BN$62&amp;"*"),
               COUNTIF(U71,"*"&amp;$BN$63&amp;"*")
             ),
             "",
             IF(
               SUMPRODUCT(--ISNUMBER(MID(U71,ROW($1:$20),1)*1))&gt;0,
               "",
               Data!CJ56
             )
          ),
          SUBSTITUTE(SUBSTITUTE(SUBSTITUTE(SUBSTITUTE(SUBSTITUTE(SUBSTITUTE(SUBSTITUTE(SUBSTITUTE(SUBSTITUTE(U71,$BN$59,""),$BN$60,""),$BN$61,""),$BN$62,""),$BN$63,""),"P",""),"I",""),"V",""),"B","") &amp;
          Data!CJ56
       ),
       ""
    )
)</f>
        <v/>
      </c>
      <c r="V121" s="41" t="str" cm="1">
        <f t="array" ref="V121">IF(AND($Y$57=1,V71&lt;&gt;""),
    "O"&amp;Data!CK56,
    IF(V71&lt;&gt;"",
       IF(OR(COUNTIF(V71,"L*"),COUNTIF(V71,"X*")),
          SUBSTITUTE(SUBSTITUTE(SUBSTITUTE(SUBSTITUTE(V71,"P",""),"I",""),"V",""),"B","") &amp;
          IF(
             OR(
               COUNTIF(V71,"*"&amp;$BN$59&amp;"*"),
               COUNTIF(V71,"*"&amp;$BN$60&amp;"*"),
               COUNTIF(V71,"*"&amp;$BN$61&amp;"*"),
               COUNTIF(V71,"*"&amp;$BN$62&amp;"*"),
               COUNTIF(V71,"*"&amp;$BN$63&amp;"*")
             ),
             "",
             IF(
               SUMPRODUCT(--ISNUMBER(MID(V71,ROW($1:$20),1)*1))&gt;0,
               "",
               Data!CK56
             )
          ),
          SUBSTITUTE(SUBSTITUTE(SUBSTITUTE(SUBSTITUTE(SUBSTITUTE(SUBSTITUTE(SUBSTITUTE(SUBSTITUTE(SUBSTITUTE(V71,$BN$59,""),$BN$60,""),$BN$61,""),$BN$62,""),$BN$63,""),"P",""),"I",""),"V",""),"B","") &amp;
          Data!CK56
       ),
       ""
    )
)</f>
        <v/>
      </c>
      <c r="W121" s="41" t="str" cm="1">
        <f t="array" ref="W121">IF(AND($Y$57=1,W71&lt;&gt;""),
    "O"&amp;Data!CL56,
    IF(W71&lt;&gt;"",
       IF(OR(COUNTIF(W71,"L*"),COUNTIF(W71,"X*")),
          SUBSTITUTE(SUBSTITUTE(SUBSTITUTE(SUBSTITUTE(W71,"P",""),"I",""),"V",""),"B","") &amp;
          IF(
             OR(
               COUNTIF(W71,"*"&amp;$BN$59&amp;"*"),
               COUNTIF(W71,"*"&amp;$BN$60&amp;"*"),
               COUNTIF(W71,"*"&amp;$BN$61&amp;"*"),
               COUNTIF(W71,"*"&amp;$BN$62&amp;"*"),
               COUNTIF(W71,"*"&amp;$BN$63&amp;"*")
             ),
             "",
             IF(
               SUMPRODUCT(--ISNUMBER(MID(W71,ROW($1:$20),1)*1))&gt;0,
               "",
               Data!CL56
             )
          ),
          SUBSTITUTE(SUBSTITUTE(SUBSTITUTE(SUBSTITUTE(SUBSTITUTE(SUBSTITUTE(SUBSTITUTE(SUBSTITUTE(SUBSTITUTE(W71,$BN$59,""),$BN$60,""),$BN$61,""),$BN$62,""),$BN$63,""),"P",""),"I",""),"V",""),"B","") &amp;
          Data!CL56
       ),
       ""
    )
)</f>
        <v/>
      </c>
      <c r="X121" s="41" t="str" cm="1">
        <f t="array" ref="X121">IF(AND($Y$57=1,X71&lt;&gt;""),
    "O"&amp;Data!CM56,
    IF(X71&lt;&gt;"",
       IF(OR(COUNTIF(X71,"L*"),COUNTIF(X71,"X*")),
          SUBSTITUTE(SUBSTITUTE(SUBSTITUTE(SUBSTITUTE(X71,"P",""),"I",""),"V",""),"B","") &amp;
          IF(
             OR(
               COUNTIF(X71,"*"&amp;$BN$59&amp;"*"),
               COUNTIF(X71,"*"&amp;$BN$60&amp;"*"),
               COUNTIF(X71,"*"&amp;$BN$61&amp;"*"),
               COUNTIF(X71,"*"&amp;$BN$62&amp;"*"),
               COUNTIF(X71,"*"&amp;$BN$63&amp;"*")
             ),
             "",
             IF(
               SUMPRODUCT(--ISNUMBER(MID(X71,ROW($1:$20),1)*1))&gt;0,
               "",
               Data!CM56
             )
          ),
          SUBSTITUTE(SUBSTITUTE(SUBSTITUTE(SUBSTITUTE(SUBSTITUTE(SUBSTITUTE(SUBSTITUTE(SUBSTITUTE(SUBSTITUTE(X71,$BN$59,""),$BN$60,""),$BN$61,""),$BN$62,""),$BN$63,""),"P",""),"I",""),"V",""),"B","") &amp;
          Data!CM56
       ),
       ""
    )
)</f>
        <v/>
      </c>
      <c r="Y121" s="41" t="str" cm="1">
        <f t="array" ref="Y121">IF(AND($Y$57=1,Y71&lt;&gt;""),
    "O"&amp;Data!CN56,
    IF(Y71&lt;&gt;"",
       IF(OR(COUNTIF(Y71,"L*"),COUNTIF(Y71,"X*")),
          SUBSTITUTE(SUBSTITUTE(SUBSTITUTE(SUBSTITUTE(Y71,"P",""),"I",""),"V",""),"B","") &amp;
          IF(
             OR(
               COUNTIF(Y71,"*"&amp;$BN$59&amp;"*"),
               COUNTIF(Y71,"*"&amp;$BN$60&amp;"*"),
               COUNTIF(Y71,"*"&amp;$BN$61&amp;"*"),
               COUNTIF(Y71,"*"&amp;$BN$62&amp;"*"),
               COUNTIF(Y71,"*"&amp;$BN$63&amp;"*")
             ),
             "",
             IF(
               SUMPRODUCT(--ISNUMBER(MID(Y71,ROW($1:$20),1)*1))&gt;0,
               "",
               Data!CN56
             )
          ),
          SUBSTITUTE(SUBSTITUTE(SUBSTITUTE(SUBSTITUTE(SUBSTITUTE(SUBSTITUTE(SUBSTITUTE(SUBSTITUTE(SUBSTITUTE(Y71,$BN$59,""),$BN$60,""),$BN$61,""),$BN$62,""),$BN$63,""),"P",""),"I",""),"V",""),"B","") &amp;
          Data!CN56
       ),
       ""
    )
)</f>
        <v/>
      </c>
      <c r="Z121" s="41" t="str" cm="1">
        <f t="array" ref="Z121">IF(AND($Y$57=1,Z71&lt;&gt;""),
    "O"&amp;Data!CO56,
    IF(Z71&lt;&gt;"",
       IF(OR(COUNTIF(Z71,"L*"),COUNTIF(Z71,"X*")),
          SUBSTITUTE(SUBSTITUTE(SUBSTITUTE(SUBSTITUTE(Z71,"P",""),"I",""),"V",""),"B","") &amp;
          IF(
             OR(
               COUNTIF(Z71,"*"&amp;$BN$59&amp;"*"),
               COUNTIF(Z71,"*"&amp;$BN$60&amp;"*"),
               COUNTIF(Z71,"*"&amp;$BN$61&amp;"*"),
               COUNTIF(Z71,"*"&amp;$BN$62&amp;"*"),
               COUNTIF(Z71,"*"&amp;$BN$63&amp;"*")
             ),
             "",
             IF(
               SUMPRODUCT(--ISNUMBER(MID(Z71,ROW($1:$20),1)*1))&gt;0,
               "",
               Data!CO56
             )
          ),
          SUBSTITUTE(SUBSTITUTE(SUBSTITUTE(SUBSTITUTE(SUBSTITUTE(SUBSTITUTE(SUBSTITUTE(SUBSTITUTE(SUBSTITUTE(Z71,$BN$59,""),$BN$60,""),$BN$61,""),$BN$62,""),$BN$63,""),"P",""),"I",""),"V",""),"B","") &amp;
          Data!CO56
       ),
       ""
    )
)</f>
        <v/>
      </c>
      <c r="AA121" s="41" t="str" cm="1">
        <f t="array" ref="AA121">IF(AND($Y$57=1,AA71&lt;&gt;""),
    "O"&amp;Data!CP56,
    IF(AA71&lt;&gt;"",
       IF(OR(COUNTIF(AA71,"L*"),COUNTIF(AA71,"X*")),
          SUBSTITUTE(SUBSTITUTE(SUBSTITUTE(SUBSTITUTE(AA71,"P",""),"I",""),"V",""),"B","") &amp;
          IF(
             OR(
               COUNTIF(AA71,"*"&amp;$BN$59&amp;"*"),
               COUNTIF(AA71,"*"&amp;$BN$60&amp;"*"),
               COUNTIF(AA71,"*"&amp;$BN$61&amp;"*"),
               COUNTIF(AA71,"*"&amp;$BN$62&amp;"*"),
               COUNTIF(AA71,"*"&amp;$BN$63&amp;"*")
             ),
             "",
             IF(
               SUMPRODUCT(--ISNUMBER(MID(AA71,ROW($1:$20),1)*1))&gt;0,
               "",
               Data!CP56
             )
          ),
          SUBSTITUTE(SUBSTITUTE(SUBSTITUTE(SUBSTITUTE(SUBSTITUTE(SUBSTITUTE(SUBSTITUTE(SUBSTITUTE(SUBSTITUTE(AA71,$BN$59,""),$BN$60,""),$BN$61,""),$BN$62,""),$BN$63,""),"P",""),"I",""),"V",""),"B","") &amp;
          Data!CP56
       ),
       ""
    )
)</f>
        <v/>
      </c>
      <c r="AB121" s="41" t="str" cm="1">
        <f t="array" ref="AB121">IF(AND($Y$57=1,AB71&lt;&gt;""),
    "O"&amp;Data!CQ56,
    IF(AB71&lt;&gt;"",
       IF(OR(COUNTIF(AB71,"L*"),COUNTIF(AB71,"X*")),
          SUBSTITUTE(SUBSTITUTE(SUBSTITUTE(SUBSTITUTE(AB71,"P",""),"I",""),"V",""),"B","") &amp;
          IF(
             OR(
               COUNTIF(AB71,"*"&amp;$BN$59&amp;"*"),
               COUNTIF(AB71,"*"&amp;$BN$60&amp;"*"),
               COUNTIF(AB71,"*"&amp;$BN$61&amp;"*"),
               COUNTIF(AB71,"*"&amp;$BN$62&amp;"*"),
               COUNTIF(AB71,"*"&amp;$BN$63&amp;"*")
             ),
             "",
             IF(
               SUMPRODUCT(--ISNUMBER(MID(AB71,ROW($1:$20),1)*1))&gt;0,
               "",
               Data!CQ56
             )
          ),
          SUBSTITUTE(SUBSTITUTE(SUBSTITUTE(SUBSTITUTE(SUBSTITUTE(SUBSTITUTE(SUBSTITUTE(SUBSTITUTE(SUBSTITUTE(AB71,$BN$59,""),$BN$60,""),$BN$61,""),$BN$62,""),$BN$63,""),"P",""),"I",""),"V",""),"B","") &amp;
          Data!CQ56
       ),
       ""
    )
)</f>
        <v/>
      </c>
      <c r="AC121" s="41" t="str" cm="1">
        <f t="array" ref="AC121">IF(AND($Y$57=1,AC71&lt;&gt;""),
    "O"&amp;Data!CR56,
    IF(AC71&lt;&gt;"",
       IF(OR(COUNTIF(AC71,"L*"),COUNTIF(AC71,"X*")),
          SUBSTITUTE(SUBSTITUTE(SUBSTITUTE(SUBSTITUTE(AC71,"P",""),"I",""),"V",""),"B","") &amp;
          IF(
             OR(
               COUNTIF(AC71,"*"&amp;$BN$59&amp;"*"),
               COUNTIF(AC71,"*"&amp;$BN$60&amp;"*"),
               COUNTIF(AC71,"*"&amp;$BN$61&amp;"*"),
               COUNTIF(AC71,"*"&amp;$BN$62&amp;"*"),
               COUNTIF(AC71,"*"&amp;$BN$63&amp;"*")
             ),
             "",
             IF(
               SUMPRODUCT(--ISNUMBER(MID(AC71,ROW($1:$20),1)*1))&gt;0,
               "",
               Data!CR56
             )
          ),
          SUBSTITUTE(SUBSTITUTE(SUBSTITUTE(SUBSTITUTE(SUBSTITUTE(SUBSTITUTE(SUBSTITUTE(SUBSTITUTE(SUBSTITUTE(AC71,$BN$59,""),$BN$60,""),$BN$61,""),$BN$62,""),$BN$63,""),"P",""),"I",""),"V",""),"B","") &amp;
          Data!CR56
       ),
       ""
    )
)</f>
        <v/>
      </c>
      <c r="AD121" s="41" t="str" cm="1">
        <f t="array" ref="AD121">IF(AND($Y$57=1,AD71&lt;&gt;""),
    "O"&amp;Data!CS56,
    IF(AD71&lt;&gt;"",
       IF(OR(COUNTIF(AD71,"L*"),COUNTIF(AD71,"X*")),
          SUBSTITUTE(SUBSTITUTE(SUBSTITUTE(SUBSTITUTE(AD71,"P",""),"I",""),"V",""),"B","") &amp;
          IF(
             OR(
               COUNTIF(AD71,"*"&amp;$BN$59&amp;"*"),
               COUNTIF(AD71,"*"&amp;$BN$60&amp;"*"),
               COUNTIF(AD71,"*"&amp;$BN$61&amp;"*"),
               COUNTIF(AD71,"*"&amp;$BN$62&amp;"*"),
               COUNTIF(AD71,"*"&amp;$BN$63&amp;"*")
             ),
             "",
             IF(
               SUMPRODUCT(--ISNUMBER(MID(AD71,ROW($1:$20),1)*1))&gt;0,
               "",
               Data!CS56
             )
          ),
          SUBSTITUTE(SUBSTITUTE(SUBSTITUTE(SUBSTITUTE(SUBSTITUTE(SUBSTITUTE(SUBSTITUTE(SUBSTITUTE(SUBSTITUTE(AD71,$BN$59,""),$BN$60,""),$BN$61,""),$BN$62,""),$BN$63,""),"P",""),"I",""),"V",""),"B","") &amp;
          Data!CS56
       ),
       ""
    )
)</f>
        <v/>
      </c>
      <c r="AE121" s="41" t="str" cm="1">
        <f t="array" ref="AE121">IF(AND($Y$57=1,AE71&lt;&gt;""),
    "O"&amp;Data!CT56,
    IF(AE71&lt;&gt;"",
       IF(OR(COUNTIF(AE71,"L*"),COUNTIF(AE71,"X*")),
          SUBSTITUTE(SUBSTITUTE(SUBSTITUTE(SUBSTITUTE(AE71,"P",""),"I",""),"V",""),"B","") &amp;
          IF(
             OR(
               COUNTIF(AE71,"*"&amp;$BN$59&amp;"*"),
               COUNTIF(AE71,"*"&amp;$BN$60&amp;"*"),
               COUNTIF(AE71,"*"&amp;$BN$61&amp;"*"),
               COUNTIF(AE71,"*"&amp;$BN$62&amp;"*"),
               COUNTIF(AE71,"*"&amp;$BN$63&amp;"*")
             ),
             "",
             IF(
               SUMPRODUCT(--ISNUMBER(MID(AE71,ROW($1:$20),1)*1))&gt;0,
               "",
               Data!CT56
             )
          ),
          SUBSTITUTE(SUBSTITUTE(SUBSTITUTE(SUBSTITUTE(SUBSTITUTE(SUBSTITUTE(SUBSTITUTE(SUBSTITUTE(SUBSTITUTE(AE71,$BN$59,""),$BN$60,""),$BN$61,""),$BN$62,""),$BN$63,""),"P",""),"I",""),"V",""),"B","") &amp;
          Data!CT56
       ),
       ""
    )
)</f>
        <v/>
      </c>
      <c r="AF121" s="41" t="str" cm="1">
        <f t="array" ref="AF121">IF(AND($Y$57=1,AF71&lt;&gt;""),
    "O"&amp;Data!CU56,
    IF(AF71&lt;&gt;"",
       IF(OR(COUNTIF(AF71,"L*"),COUNTIF(AF71,"X*")),
          SUBSTITUTE(SUBSTITUTE(SUBSTITUTE(SUBSTITUTE(AF71,"P",""),"I",""),"V",""),"B","") &amp;
          IF(
             OR(
               COUNTIF(AF71,"*"&amp;$BN$59&amp;"*"),
               COUNTIF(AF71,"*"&amp;$BN$60&amp;"*"),
               COUNTIF(AF71,"*"&amp;$BN$61&amp;"*"),
               COUNTIF(AF71,"*"&amp;$BN$62&amp;"*"),
               COUNTIF(AF71,"*"&amp;$BN$63&amp;"*")
             ),
             "",
             IF(
               SUMPRODUCT(--ISNUMBER(MID(AF71,ROW($1:$20),1)*1))&gt;0,
               "",
               Data!CU56
             )
          ),
          SUBSTITUTE(SUBSTITUTE(SUBSTITUTE(SUBSTITUTE(SUBSTITUTE(SUBSTITUTE(SUBSTITUTE(SUBSTITUTE(SUBSTITUTE(AF71,$BN$59,""),$BN$60,""),$BN$61,""),$BN$62,""),$BN$63,""),"P",""),"I",""),"V",""),"B","") &amp;
          Data!CU56
       ),
       ""
    )
)</f>
        <v/>
      </c>
      <c r="AG121" s="41" t="str" cm="1">
        <f t="array" ref="AG121">IF(AND($Y$57=1,AG71&lt;&gt;""),
    "O"&amp;Data!CV56,
    IF(AG71&lt;&gt;"",
       IF(OR(COUNTIF(AG71,"L*"),COUNTIF(AG71,"X*")),
          SUBSTITUTE(SUBSTITUTE(SUBSTITUTE(SUBSTITUTE(AG71,"P",""),"I",""),"V",""),"B","") &amp;
          IF(
             OR(
               COUNTIF(AG71,"*"&amp;$BN$59&amp;"*"),
               COUNTIF(AG71,"*"&amp;$BN$60&amp;"*"),
               COUNTIF(AG71,"*"&amp;$BN$61&amp;"*"),
               COUNTIF(AG71,"*"&amp;$BN$62&amp;"*"),
               COUNTIF(AG71,"*"&amp;$BN$63&amp;"*")
             ),
             "",
             IF(
               SUMPRODUCT(--ISNUMBER(MID(AG71,ROW($1:$20),1)*1))&gt;0,
               "",
               Data!CV56
             )
          ),
          SUBSTITUTE(SUBSTITUTE(SUBSTITUTE(SUBSTITUTE(SUBSTITUTE(SUBSTITUTE(SUBSTITUTE(SUBSTITUTE(SUBSTITUTE(AG71,$BN$59,""),$BN$60,""),$BN$61,""),$BN$62,""),$BN$63,""),"P",""),"I",""),"V",""),"B","") &amp;
          Data!CV56
       ),
       ""
    )
)</f>
        <v/>
      </c>
      <c r="AH121" s="41" t="str" cm="1">
        <f t="array" ref="AH121">IF(AND($Y$57=1,AH71&lt;&gt;""),
    "O"&amp;Data!CW56,
    IF(AH71&lt;&gt;"",
       IF(OR(COUNTIF(AH71,"L*"),COUNTIF(AH71,"X*")),
          SUBSTITUTE(SUBSTITUTE(SUBSTITUTE(SUBSTITUTE(AH71,"P",""),"I",""),"V",""),"B","") &amp;
          IF(
             OR(
               COUNTIF(AH71,"*"&amp;$BN$59&amp;"*"),
               COUNTIF(AH71,"*"&amp;$BN$60&amp;"*"),
               COUNTIF(AH71,"*"&amp;$BN$61&amp;"*"),
               COUNTIF(AH71,"*"&amp;$BN$62&amp;"*"),
               COUNTIF(AH71,"*"&amp;$BN$63&amp;"*")
             ),
             "",
             IF(
               SUMPRODUCT(--ISNUMBER(MID(AH71,ROW($1:$20),1)*1))&gt;0,
               "",
               Data!CW56
             )
          ),
          SUBSTITUTE(SUBSTITUTE(SUBSTITUTE(SUBSTITUTE(SUBSTITUTE(SUBSTITUTE(SUBSTITUTE(SUBSTITUTE(SUBSTITUTE(AH71,$BN$59,""),$BN$60,""),$BN$61,""),$BN$62,""),$BN$63,""),"P",""),"I",""),"V",""),"B","") &amp;
          Data!CW56
       ),
       ""
    )
)</f>
        <v/>
      </c>
      <c r="AI121" s="41" t="str" cm="1">
        <f t="array" ref="AI121">IF(AND($Y$57=1,AI71&lt;&gt;""),
    "O"&amp;Data!CX56,
    IF(AI71&lt;&gt;"",
       IF(OR(COUNTIF(AI71,"L*"),COUNTIF(AI71,"X*")),
          SUBSTITUTE(SUBSTITUTE(SUBSTITUTE(SUBSTITUTE(AI71,"P",""),"I",""),"V",""),"B","") &amp;
          IF(
             OR(
               COUNTIF(AI71,"*"&amp;$BN$59&amp;"*"),
               COUNTIF(AI71,"*"&amp;$BN$60&amp;"*"),
               COUNTIF(AI71,"*"&amp;$BN$61&amp;"*"),
               COUNTIF(AI71,"*"&amp;$BN$62&amp;"*"),
               COUNTIF(AI71,"*"&amp;$BN$63&amp;"*")
             ),
             "",
             IF(
               SUMPRODUCT(--ISNUMBER(MID(AI71,ROW($1:$20),1)*1))&gt;0,
               "",
               Data!CX56
             )
          ),
          SUBSTITUTE(SUBSTITUTE(SUBSTITUTE(SUBSTITUTE(SUBSTITUTE(SUBSTITUTE(SUBSTITUTE(SUBSTITUTE(SUBSTITUTE(AI71,$BN$59,""),$BN$60,""),$BN$61,""),$BN$62,""),$BN$63,""),"P",""),"I",""),"V",""),"B","") &amp;
          Data!CX56
       ),
       ""
    )
)</f>
        <v/>
      </c>
      <c r="AJ121" s="41" t="str" cm="1">
        <f t="array" ref="AJ121">IF(AND($Y$57=1,AJ71&lt;&gt;""),
    "O"&amp;Data!CY56,
    IF(AJ71&lt;&gt;"",
       IF(OR(COUNTIF(AJ71,"L*"),COUNTIF(AJ71,"X*")),
          SUBSTITUTE(SUBSTITUTE(SUBSTITUTE(SUBSTITUTE(AJ71,"P",""),"I",""),"V",""),"B","") &amp;
          IF(
             OR(
               COUNTIF(AJ71,"*"&amp;$BN$59&amp;"*"),
               COUNTIF(AJ71,"*"&amp;$BN$60&amp;"*"),
               COUNTIF(AJ71,"*"&amp;$BN$61&amp;"*"),
               COUNTIF(AJ71,"*"&amp;$BN$62&amp;"*"),
               COUNTIF(AJ71,"*"&amp;$BN$63&amp;"*")
             ),
             "",
             IF(
               SUMPRODUCT(--ISNUMBER(MID(AJ71,ROW($1:$20),1)*1))&gt;0,
               "",
               Data!CY56
             )
          ),
          SUBSTITUTE(SUBSTITUTE(SUBSTITUTE(SUBSTITUTE(SUBSTITUTE(SUBSTITUTE(SUBSTITUTE(SUBSTITUTE(SUBSTITUTE(AJ71,$BN$59,""),$BN$60,""),$BN$61,""),$BN$62,""),$BN$63,""),"P",""),"I",""),"V",""),"B","") &amp;
          Data!CY56
       ),
       ""
    )
)</f>
        <v/>
      </c>
    </row>
    <row r="122" spans="1:54" ht="24" customHeight="1" thickBot="1" x14ac:dyDescent="0.4">
      <c r="A122" s="1197"/>
      <c r="B122" s="23">
        <v>12</v>
      </c>
      <c r="C122" s="41" t="str" cm="1">
        <f t="array" ref="C122">IF(AND($Y$57=1,C72&lt;&gt;""),
    "O"&amp;Data!BR57,
    IF(C72&lt;&gt;"",
       IF(OR(COUNTIF(C72,"L*"),COUNTIF(C72,"X*")),
          SUBSTITUTE(SUBSTITUTE(SUBSTITUTE(SUBSTITUTE(C72,"P",""),"I",""),"V",""),"B","") &amp;
          IF(
             OR(
               COUNTIF(C72,"*"&amp;$BN$59&amp;"*"),
               COUNTIF(C72,"*"&amp;$BN$60&amp;"*"),
               COUNTIF(C72,"*"&amp;$BN$61&amp;"*"),
               COUNTIF(C72,"*"&amp;$BN$62&amp;"*"),
               COUNTIF(C72,"*"&amp;$BN$63&amp;"*")
             ),
             "",
             IF(
               SUMPRODUCT(--ISNUMBER(MID(C72,ROW($1:$20),1)*1))&gt;0,
               "",
               Data!BR57
             )
          ),
          SUBSTITUTE(SUBSTITUTE(SUBSTITUTE(SUBSTITUTE(SUBSTITUTE(SUBSTITUTE(SUBSTITUTE(SUBSTITUTE(SUBSTITUTE(C72,$BN$59,""),$BN$60,""),$BN$61,""),$BN$62,""),$BN$63,""),"P",""),"I",""),"V",""),"B","") &amp;
          Data!BR57
       ),
       ""
    )
)</f>
        <v/>
      </c>
      <c r="D122" s="41" t="str" cm="1">
        <f t="array" ref="D122">IF(AND($Y$57=1,D72&lt;&gt;""),
    "O"&amp;Data!BS57,
    IF(D72&lt;&gt;"",
       IF(OR(COUNTIF(D72,"L*"),COUNTIF(D72,"X*")),
          SUBSTITUTE(SUBSTITUTE(SUBSTITUTE(SUBSTITUTE(D72,"P",""),"I",""),"V",""),"B","") &amp;
          IF(
             OR(
               COUNTIF(D72,"*"&amp;$BN$59&amp;"*"),
               COUNTIF(D72,"*"&amp;$BN$60&amp;"*"),
               COUNTIF(D72,"*"&amp;$BN$61&amp;"*"),
               COUNTIF(D72,"*"&amp;$BN$62&amp;"*"),
               COUNTIF(D72,"*"&amp;$BN$63&amp;"*")
             ),
             "",
             IF(
               SUMPRODUCT(--ISNUMBER(MID(D72,ROW($1:$20),1)*1))&gt;0,
               "",
               Data!BS57
             )
          ),
          SUBSTITUTE(SUBSTITUTE(SUBSTITUTE(SUBSTITUTE(SUBSTITUTE(SUBSTITUTE(SUBSTITUTE(SUBSTITUTE(SUBSTITUTE(D72,$BN$59,""),$BN$60,""),$BN$61,""),$BN$62,""),$BN$63,""),"P",""),"I",""),"V",""),"B","") &amp;
          Data!BS57
       ),
       ""
    )
)</f>
        <v/>
      </c>
      <c r="E122" s="41" t="str" cm="1">
        <f t="array" ref="E122">IF(AND($Y$57=1,E72&lt;&gt;""),
    "O"&amp;Data!BT57,
    IF(E72&lt;&gt;"",
       IF(OR(COUNTIF(E72,"L*"),COUNTIF(E72,"X*")),
          SUBSTITUTE(SUBSTITUTE(SUBSTITUTE(SUBSTITUTE(E72,"P",""),"I",""),"V",""),"B","") &amp;
          IF(
             OR(
               COUNTIF(E72,"*"&amp;$BN$59&amp;"*"),
               COUNTIF(E72,"*"&amp;$BN$60&amp;"*"),
               COUNTIF(E72,"*"&amp;$BN$61&amp;"*"),
               COUNTIF(E72,"*"&amp;$BN$62&amp;"*"),
               COUNTIF(E72,"*"&amp;$BN$63&amp;"*")
             ),
             "",
             IF(
               SUMPRODUCT(--ISNUMBER(MID(E72,ROW($1:$20),1)*1))&gt;0,
               "",
               Data!BT57
             )
          ),
          SUBSTITUTE(SUBSTITUTE(SUBSTITUTE(SUBSTITUTE(SUBSTITUTE(SUBSTITUTE(SUBSTITUTE(SUBSTITUTE(SUBSTITUTE(E72,$BN$59,""),$BN$60,""),$BN$61,""),$BN$62,""),$BN$63,""),"P",""),"I",""),"V",""),"B","") &amp;
          Data!BT57
       ),
       ""
    )
)</f>
        <v/>
      </c>
      <c r="F122" s="41" t="str" cm="1">
        <f t="array" ref="F122">IF(AND($Y$57=1,F72&lt;&gt;""),
    "O"&amp;Data!BU57,
    IF(F72&lt;&gt;"",
       IF(OR(COUNTIF(F72,"L*"),COUNTIF(F72,"X*")),
          SUBSTITUTE(SUBSTITUTE(SUBSTITUTE(SUBSTITUTE(F72,"P",""),"I",""),"V",""),"B","") &amp;
          IF(
             OR(
               COUNTIF(F72,"*"&amp;$BN$59&amp;"*"),
               COUNTIF(F72,"*"&amp;$BN$60&amp;"*"),
               COUNTIF(F72,"*"&amp;$BN$61&amp;"*"),
               COUNTIF(F72,"*"&amp;$BN$62&amp;"*"),
               COUNTIF(F72,"*"&amp;$BN$63&amp;"*")
             ),
             "",
             IF(
               SUMPRODUCT(--ISNUMBER(MID(F72,ROW($1:$20),1)*1))&gt;0,
               "",
               Data!BU57
             )
          ),
          SUBSTITUTE(SUBSTITUTE(SUBSTITUTE(SUBSTITUTE(SUBSTITUTE(SUBSTITUTE(SUBSTITUTE(SUBSTITUTE(SUBSTITUTE(F72,$BN$59,""),$BN$60,""),$BN$61,""),$BN$62,""),$BN$63,""),"P",""),"I",""),"V",""),"B","") &amp;
          Data!BU57
       ),
       ""
    )
)</f>
        <v/>
      </c>
      <c r="G122" s="41" t="str" cm="1">
        <f t="array" ref="G122">IF(AND($Y$57=1,G72&lt;&gt;""),
    "O"&amp;Data!BV57,
    IF(G72&lt;&gt;"",
       IF(OR(COUNTIF(G72,"L*"),COUNTIF(G72,"X*")),
          SUBSTITUTE(SUBSTITUTE(SUBSTITUTE(SUBSTITUTE(G72,"P",""),"I",""),"V",""),"B","") &amp;
          IF(
             OR(
               COUNTIF(G72,"*"&amp;$BN$59&amp;"*"),
               COUNTIF(G72,"*"&amp;$BN$60&amp;"*"),
               COUNTIF(G72,"*"&amp;$BN$61&amp;"*"),
               COUNTIF(G72,"*"&amp;$BN$62&amp;"*"),
               COUNTIF(G72,"*"&amp;$BN$63&amp;"*")
             ),
             "",
             IF(
               SUMPRODUCT(--ISNUMBER(MID(G72,ROW($1:$20),1)*1))&gt;0,
               "",
               Data!BV57
             )
          ),
          SUBSTITUTE(SUBSTITUTE(SUBSTITUTE(SUBSTITUTE(SUBSTITUTE(SUBSTITUTE(SUBSTITUTE(SUBSTITUTE(SUBSTITUTE(G72,$BN$59,""),$BN$60,""),$BN$61,""),$BN$62,""),$BN$63,""),"P",""),"I",""),"V",""),"B","") &amp;
          Data!BV57
       ),
       ""
    )
)</f>
        <v/>
      </c>
      <c r="H122" s="41" t="str" cm="1">
        <f t="array" ref="H122">IF(AND($Y$57=1,H72&lt;&gt;""),
    "O"&amp;Data!BW57,
    IF(H72&lt;&gt;"",
       IF(OR(COUNTIF(H72,"L*"),COUNTIF(H72,"X*")),
          SUBSTITUTE(SUBSTITUTE(SUBSTITUTE(SUBSTITUTE(H72,"P",""),"I",""),"V",""),"B","") &amp;
          IF(
             OR(
               COUNTIF(H72,"*"&amp;$BN$59&amp;"*"),
               COUNTIF(H72,"*"&amp;$BN$60&amp;"*"),
               COUNTIF(H72,"*"&amp;$BN$61&amp;"*"),
               COUNTIF(H72,"*"&amp;$BN$62&amp;"*"),
               COUNTIF(H72,"*"&amp;$BN$63&amp;"*")
             ),
             "",
             IF(
               SUMPRODUCT(--ISNUMBER(MID(H72,ROW($1:$20),1)*1))&gt;0,
               "",
               Data!BW57
             )
          ),
          SUBSTITUTE(SUBSTITUTE(SUBSTITUTE(SUBSTITUTE(SUBSTITUTE(SUBSTITUTE(SUBSTITUTE(SUBSTITUTE(SUBSTITUTE(H72,$BN$59,""),$BN$60,""),$BN$61,""),$BN$62,""),$BN$63,""),"P",""),"I",""),"V",""),"B","") &amp;
          Data!BW57
       ),
       ""
    )
)</f>
        <v/>
      </c>
      <c r="I122" s="41" t="str" cm="1">
        <f t="array" ref="I122">IF(AND($Y$57=1,I72&lt;&gt;""),
    "O"&amp;Data!BX57,
    IF(I72&lt;&gt;"",
       IF(OR(COUNTIF(I72,"L*"),COUNTIF(I72,"X*")),
          SUBSTITUTE(SUBSTITUTE(SUBSTITUTE(SUBSTITUTE(I72,"P",""),"I",""),"V",""),"B","") &amp;
          IF(
             OR(
               COUNTIF(I72,"*"&amp;$BN$59&amp;"*"),
               COUNTIF(I72,"*"&amp;$BN$60&amp;"*"),
               COUNTIF(I72,"*"&amp;$BN$61&amp;"*"),
               COUNTIF(I72,"*"&amp;$BN$62&amp;"*"),
               COUNTIF(I72,"*"&amp;$BN$63&amp;"*")
             ),
             "",
             IF(
               SUMPRODUCT(--ISNUMBER(MID(I72,ROW($1:$20),1)*1))&gt;0,
               "",
               Data!BX57
             )
          ),
          SUBSTITUTE(SUBSTITUTE(SUBSTITUTE(SUBSTITUTE(SUBSTITUTE(SUBSTITUTE(SUBSTITUTE(SUBSTITUTE(SUBSTITUTE(I72,$BN$59,""),$BN$60,""),$BN$61,""),$BN$62,""),$BN$63,""),"P",""),"I",""),"V",""),"B","") &amp;
          Data!BX57
       ),
       ""
    )
)</f>
        <v/>
      </c>
      <c r="J122" s="41" t="str" cm="1">
        <f t="array" ref="J122">IF(AND($Y$57=1,J72&lt;&gt;""),
    "O"&amp;Data!BY57,
    IF(J72&lt;&gt;"",
       IF(OR(COUNTIF(J72,"L*"),COUNTIF(J72,"X*")),
          SUBSTITUTE(SUBSTITUTE(SUBSTITUTE(SUBSTITUTE(J72,"P",""),"I",""),"V",""),"B","") &amp;
          IF(
             OR(
               COUNTIF(J72,"*"&amp;$BN$59&amp;"*"),
               COUNTIF(J72,"*"&amp;$BN$60&amp;"*"),
               COUNTIF(J72,"*"&amp;$BN$61&amp;"*"),
               COUNTIF(J72,"*"&amp;$BN$62&amp;"*"),
               COUNTIF(J72,"*"&amp;$BN$63&amp;"*")
             ),
             "",
             IF(
               SUMPRODUCT(--ISNUMBER(MID(J72,ROW($1:$20),1)*1))&gt;0,
               "",
               Data!BY57
             )
          ),
          SUBSTITUTE(SUBSTITUTE(SUBSTITUTE(SUBSTITUTE(SUBSTITUTE(SUBSTITUTE(SUBSTITUTE(SUBSTITUTE(SUBSTITUTE(J72,$BN$59,""),$BN$60,""),$BN$61,""),$BN$62,""),$BN$63,""),"P",""),"I",""),"V",""),"B","") &amp;
          Data!BY57
       ),
       ""
    )
)</f>
        <v/>
      </c>
      <c r="K122" s="41" t="str" cm="1">
        <f t="array" ref="K122">IF(AND($Y$57=1,K72&lt;&gt;""),
    "O"&amp;Data!BZ57,
    IF(K72&lt;&gt;"",
       IF(OR(COUNTIF(K72,"L*"),COUNTIF(K72,"X*")),
          SUBSTITUTE(SUBSTITUTE(SUBSTITUTE(SUBSTITUTE(K72,"P",""),"I",""),"V",""),"B","") &amp;
          IF(
             OR(
               COUNTIF(K72,"*"&amp;$BN$59&amp;"*"),
               COUNTIF(K72,"*"&amp;$BN$60&amp;"*"),
               COUNTIF(K72,"*"&amp;$BN$61&amp;"*"),
               COUNTIF(K72,"*"&amp;$BN$62&amp;"*"),
               COUNTIF(K72,"*"&amp;$BN$63&amp;"*")
             ),
             "",
             IF(
               SUMPRODUCT(--ISNUMBER(MID(K72,ROW($1:$20),1)*1))&gt;0,
               "",
               Data!BZ57
             )
          ),
          SUBSTITUTE(SUBSTITUTE(SUBSTITUTE(SUBSTITUTE(SUBSTITUTE(SUBSTITUTE(SUBSTITUTE(SUBSTITUTE(SUBSTITUTE(K72,$BN$59,""),$BN$60,""),$BN$61,""),$BN$62,""),$BN$63,""),"P",""),"I",""),"V",""),"B","") &amp;
          Data!BZ57
       ),
       ""
    )
)</f>
        <v/>
      </c>
      <c r="L122" s="41" t="str" cm="1">
        <f t="array" ref="L122">IF(AND($Y$57=1,L72&lt;&gt;""),
    "O"&amp;Data!CA57,
    IF(L72&lt;&gt;"",
       IF(OR(COUNTIF(L72,"L*"),COUNTIF(L72,"X*")),
          SUBSTITUTE(SUBSTITUTE(SUBSTITUTE(SUBSTITUTE(L72,"P",""),"I",""),"V",""),"B","") &amp;
          IF(
             OR(
               COUNTIF(L72,"*"&amp;$BN$59&amp;"*"),
               COUNTIF(L72,"*"&amp;$BN$60&amp;"*"),
               COUNTIF(L72,"*"&amp;$BN$61&amp;"*"),
               COUNTIF(L72,"*"&amp;$BN$62&amp;"*"),
               COUNTIF(L72,"*"&amp;$BN$63&amp;"*")
             ),
             "",
             IF(
               SUMPRODUCT(--ISNUMBER(MID(L72,ROW($1:$20),1)*1))&gt;0,
               "",
               Data!CA57
             )
          ),
          SUBSTITUTE(SUBSTITUTE(SUBSTITUTE(SUBSTITUTE(SUBSTITUTE(SUBSTITUTE(SUBSTITUTE(SUBSTITUTE(SUBSTITUTE(L72,$BN$59,""),$BN$60,""),$BN$61,""),$BN$62,""),$BN$63,""),"P",""),"I",""),"V",""),"B","") &amp;
          Data!CA57
       ),
       ""
    )
)</f>
        <v/>
      </c>
      <c r="M122" s="41" t="str" cm="1">
        <f t="array" ref="M122">IF(AND($Y$57=1,M72&lt;&gt;""),
    "O"&amp;Data!CB57,
    IF(M72&lt;&gt;"",
       IF(OR(COUNTIF(M72,"L*"),COUNTIF(M72,"X*")),
          SUBSTITUTE(SUBSTITUTE(SUBSTITUTE(SUBSTITUTE(M72,"P",""),"I",""),"V",""),"B","") &amp;
          IF(
             OR(
               COUNTIF(M72,"*"&amp;$BN$59&amp;"*"),
               COUNTIF(M72,"*"&amp;$BN$60&amp;"*"),
               COUNTIF(M72,"*"&amp;$BN$61&amp;"*"),
               COUNTIF(M72,"*"&amp;$BN$62&amp;"*"),
               COUNTIF(M72,"*"&amp;$BN$63&amp;"*")
             ),
             "",
             IF(
               SUMPRODUCT(--ISNUMBER(MID(M72,ROW($1:$20),1)*1))&gt;0,
               "",
               Data!CB57
             )
          ),
          SUBSTITUTE(SUBSTITUTE(SUBSTITUTE(SUBSTITUTE(SUBSTITUTE(SUBSTITUTE(SUBSTITUTE(SUBSTITUTE(SUBSTITUTE(M72,$BN$59,""),$BN$60,""),$BN$61,""),$BN$62,""),$BN$63,""),"P",""),"I",""),"V",""),"B","") &amp;
          Data!CB57
       ),
       ""
    )
)</f>
        <v/>
      </c>
      <c r="N122" s="41" t="str" cm="1">
        <f t="array" ref="N122">IF(AND($Y$57=1,N72&lt;&gt;""),
    "O"&amp;Data!CC57,
    IF(N72&lt;&gt;"",
       IF(OR(COUNTIF(N72,"L*"),COUNTIF(N72,"X*")),
          SUBSTITUTE(SUBSTITUTE(SUBSTITUTE(SUBSTITUTE(N72,"P",""),"I",""),"V",""),"B","") &amp;
          IF(
             OR(
               COUNTIF(N72,"*"&amp;$BN$59&amp;"*"),
               COUNTIF(N72,"*"&amp;$BN$60&amp;"*"),
               COUNTIF(N72,"*"&amp;$BN$61&amp;"*"),
               COUNTIF(N72,"*"&amp;$BN$62&amp;"*"),
               COUNTIF(N72,"*"&amp;$BN$63&amp;"*")
             ),
             "",
             IF(
               SUMPRODUCT(--ISNUMBER(MID(N72,ROW($1:$20),1)*1))&gt;0,
               "",
               Data!CC57
             )
          ),
          SUBSTITUTE(SUBSTITUTE(SUBSTITUTE(SUBSTITUTE(SUBSTITUTE(SUBSTITUTE(SUBSTITUTE(SUBSTITUTE(SUBSTITUTE(N72,$BN$59,""),$BN$60,""),$BN$61,""),$BN$62,""),$BN$63,""),"P",""),"I",""),"V",""),"B","") &amp;
          Data!CC57
       ),
       ""
    )
)</f>
        <v/>
      </c>
      <c r="O122" s="41" t="str" cm="1">
        <f t="array" ref="O122">IF(AND($Y$57=1,O72&lt;&gt;""),
    "O"&amp;Data!CD57,
    IF(O72&lt;&gt;"",
       IF(OR(COUNTIF(O72,"L*"),COUNTIF(O72,"X*")),
          SUBSTITUTE(SUBSTITUTE(SUBSTITUTE(SUBSTITUTE(O72,"P",""),"I",""),"V",""),"B","") &amp;
          IF(
             OR(
               COUNTIF(O72,"*"&amp;$BN$59&amp;"*"),
               COUNTIF(O72,"*"&amp;$BN$60&amp;"*"),
               COUNTIF(O72,"*"&amp;$BN$61&amp;"*"),
               COUNTIF(O72,"*"&amp;$BN$62&amp;"*"),
               COUNTIF(O72,"*"&amp;$BN$63&amp;"*")
             ),
             "",
             IF(
               SUMPRODUCT(--ISNUMBER(MID(O72,ROW($1:$20),1)*1))&gt;0,
               "",
               Data!CD57
             )
          ),
          SUBSTITUTE(SUBSTITUTE(SUBSTITUTE(SUBSTITUTE(SUBSTITUTE(SUBSTITUTE(SUBSTITUTE(SUBSTITUTE(SUBSTITUTE(O72,$BN$59,""),$BN$60,""),$BN$61,""),$BN$62,""),$BN$63,""),"P",""),"I",""),"V",""),"B","") &amp;
          Data!CD57
       ),
       ""
    )
)</f>
        <v/>
      </c>
      <c r="P122" s="41" t="str" cm="1">
        <f t="array" ref="P122">IF(AND($Y$57=1,P72&lt;&gt;""),
    "O"&amp;Data!CE57,
    IF(P72&lt;&gt;"",
       IF(OR(COUNTIF(P72,"L*"),COUNTIF(P72,"X*")),
          SUBSTITUTE(SUBSTITUTE(SUBSTITUTE(SUBSTITUTE(P72,"P",""),"I",""),"V",""),"B","") &amp;
          IF(
             OR(
               COUNTIF(P72,"*"&amp;$BN$59&amp;"*"),
               COUNTIF(P72,"*"&amp;$BN$60&amp;"*"),
               COUNTIF(P72,"*"&amp;$BN$61&amp;"*"),
               COUNTIF(P72,"*"&amp;$BN$62&amp;"*"),
               COUNTIF(P72,"*"&amp;$BN$63&amp;"*")
             ),
             "",
             IF(
               SUMPRODUCT(--ISNUMBER(MID(P72,ROW($1:$20),1)*1))&gt;0,
               "",
               Data!CE57
             )
          ),
          SUBSTITUTE(SUBSTITUTE(SUBSTITUTE(SUBSTITUTE(SUBSTITUTE(SUBSTITUTE(SUBSTITUTE(SUBSTITUTE(SUBSTITUTE(P72,$BN$59,""),$BN$60,""),$BN$61,""),$BN$62,""),$BN$63,""),"P",""),"I",""),"V",""),"B","") &amp;
          Data!CE57
       ),
       ""
    )
)</f>
        <v/>
      </c>
      <c r="Q122" s="41" t="str" cm="1">
        <f t="array" ref="Q122">IF(AND($Y$57=1,Q72&lt;&gt;""),
    "O"&amp;Data!CF57,
    IF(Q72&lt;&gt;"",
       IF(OR(COUNTIF(Q72,"L*"),COUNTIF(Q72,"X*")),
          SUBSTITUTE(SUBSTITUTE(SUBSTITUTE(SUBSTITUTE(Q72,"P",""),"I",""),"V",""),"B","") &amp;
          IF(
             OR(
               COUNTIF(Q72,"*"&amp;$BN$59&amp;"*"),
               COUNTIF(Q72,"*"&amp;$BN$60&amp;"*"),
               COUNTIF(Q72,"*"&amp;$BN$61&amp;"*"),
               COUNTIF(Q72,"*"&amp;$BN$62&amp;"*"),
               COUNTIF(Q72,"*"&amp;$BN$63&amp;"*")
             ),
             "",
             IF(
               SUMPRODUCT(--ISNUMBER(MID(Q72,ROW($1:$20),1)*1))&gt;0,
               "",
               Data!CF57
             )
          ),
          SUBSTITUTE(SUBSTITUTE(SUBSTITUTE(SUBSTITUTE(SUBSTITUTE(SUBSTITUTE(SUBSTITUTE(SUBSTITUTE(SUBSTITUTE(Q72,$BN$59,""),$BN$60,""),$BN$61,""),$BN$62,""),$BN$63,""),"P",""),"I",""),"V",""),"B","") &amp;
          Data!CF57
       ),
       ""
    )
)</f>
        <v/>
      </c>
      <c r="R122" s="41" t="str" cm="1">
        <f t="array" ref="R122">IF(AND($Y$57=1,R72&lt;&gt;""),
    "O"&amp;Data!CG57,
    IF(R72&lt;&gt;"",
       IF(OR(COUNTIF(R72,"L*"),COUNTIF(R72,"X*")),
          SUBSTITUTE(SUBSTITUTE(SUBSTITUTE(SUBSTITUTE(R72,"P",""),"I",""),"V",""),"B","") &amp;
          IF(
             OR(
               COUNTIF(R72,"*"&amp;$BN$59&amp;"*"),
               COUNTIF(R72,"*"&amp;$BN$60&amp;"*"),
               COUNTIF(R72,"*"&amp;$BN$61&amp;"*"),
               COUNTIF(R72,"*"&amp;$BN$62&amp;"*"),
               COUNTIF(R72,"*"&amp;$BN$63&amp;"*")
             ),
             "",
             IF(
               SUMPRODUCT(--ISNUMBER(MID(R72,ROW($1:$20),1)*1))&gt;0,
               "",
               Data!CG57
             )
          ),
          SUBSTITUTE(SUBSTITUTE(SUBSTITUTE(SUBSTITUTE(SUBSTITUTE(SUBSTITUTE(SUBSTITUTE(SUBSTITUTE(SUBSTITUTE(R72,$BN$59,""),$BN$60,""),$BN$61,""),$BN$62,""),$BN$63,""),"P",""),"I",""),"V",""),"B","") &amp;
          Data!CG57
       ),
       ""
    )
)</f>
        <v/>
      </c>
      <c r="S122" s="41" t="str" cm="1">
        <f t="array" ref="S122">IF(AND($Y$57=1,S72&lt;&gt;""),
    "O"&amp;Data!CH57,
    IF(S72&lt;&gt;"",
       IF(OR(COUNTIF(S72,"L*"),COUNTIF(S72,"X*")),
          SUBSTITUTE(SUBSTITUTE(SUBSTITUTE(SUBSTITUTE(S72,"P",""),"I",""),"V",""),"B","") &amp;
          IF(
             OR(
               COUNTIF(S72,"*"&amp;$BN$59&amp;"*"),
               COUNTIF(S72,"*"&amp;$BN$60&amp;"*"),
               COUNTIF(S72,"*"&amp;$BN$61&amp;"*"),
               COUNTIF(S72,"*"&amp;$BN$62&amp;"*"),
               COUNTIF(S72,"*"&amp;$BN$63&amp;"*")
             ),
             "",
             IF(
               SUMPRODUCT(--ISNUMBER(MID(S72,ROW($1:$20),1)*1))&gt;0,
               "",
               Data!CH57
             )
          ),
          SUBSTITUTE(SUBSTITUTE(SUBSTITUTE(SUBSTITUTE(SUBSTITUTE(SUBSTITUTE(SUBSTITUTE(SUBSTITUTE(SUBSTITUTE(S72,$BN$59,""),$BN$60,""),$BN$61,""),$BN$62,""),$BN$63,""),"P",""),"I",""),"V",""),"B","") &amp;
          Data!CH57
       ),
       ""
    )
)</f>
        <v/>
      </c>
      <c r="T122" s="41" t="str" cm="1">
        <f t="array" ref="T122">IF(AND($Y$57=1,T72&lt;&gt;""),
    "O"&amp;Data!CI57,
    IF(T72&lt;&gt;"",
       IF(OR(COUNTIF(T72,"L*"),COUNTIF(T72,"X*")),
          SUBSTITUTE(SUBSTITUTE(SUBSTITUTE(SUBSTITUTE(T72,"P",""),"I",""),"V",""),"B","") &amp;
          IF(
             OR(
               COUNTIF(T72,"*"&amp;$BN$59&amp;"*"),
               COUNTIF(T72,"*"&amp;$BN$60&amp;"*"),
               COUNTIF(T72,"*"&amp;$BN$61&amp;"*"),
               COUNTIF(T72,"*"&amp;$BN$62&amp;"*"),
               COUNTIF(T72,"*"&amp;$BN$63&amp;"*")
             ),
             "",
             IF(
               SUMPRODUCT(--ISNUMBER(MID(T72,ROW($1:$20),1)*1))&gt;0,
               "",
               Data!CI57
             )
          ),
          SUBSTITUTE(SUBSTITUTE(SUBSTITUTE(SUBSTITUTE(SUBSTITUTE(SUBSTITUTE(SUBSTITUTE(SUBSTITUTE(SUBSTITUTE(T72,$BN$59,""),$BN$60,""),$BN$61,""),$BN$62,""),$BN$63,""),"P",""),"I",""),"V",""),"B","") &amp;
          Data!CI57
       ),
       ""
    )
)</f>
        <v/>
      </c>
      <c r="U122" s="41" t="str" cm="1">
        <f t="array" ref="U122">IF(AND($Y$57=1,U72&lt;&gt;""),
    "O"&amp;Data!CJ57,
    IF(U72&lt;&gt;"",
       IF(OR(COUNTIF(U72,"L*"),COUNTIF(U72,"X*")),
          SUBSTITUTE(SUBSTITUTE(SUBSTITUTE(SUBSTITUTE(U72,"P",""),"I",""),"V",""),"B","") &amp;
          IF(
             OR(
               COUNTIF(U72,"*"&amp;$BN$59&amp;"*"),
               COUNTIF(U72,"*"&amp;$BN$60&amp;"*"),
               COUNTIF(U72,"*"&amp;$BN$61&amp;"*"),
               COUNTIF(U72,"*"&amp;$BN$62&amp;"*"),
               COUNTIF(U72,"*"&amp;$BN$63&amp;"*")
             ),
             "",
             IF(
               SUMPRODUCT(--ISNUMBER(MID(U72,ROW($1:$20),1)*1))&gt;0,
               "",
               Data!CJ57
             )
          ),
          SUBSTITUTE(SUBSTITUTE(SUBSTITUTE(SUBSTITUTE(SUBSTITUTE(SUBSTITUTE(SUBSTITUTE(SUBSTITUTE(SUBSTITUTE(U72,$BN$59,""),$BN$60,""),$BN$61,""),$BN$62,""),$BN$63,""),"P",""),"I",""),"V",""),"B","") &amp;
          Data!CJ57
       ),
       ""
    )
)</f>
        <v/>
      </c>
      <c r="V122" s="41" t="str" cm="1">
        <f t="array" ref="V122">IF(AND($Y$57=1,V72&lt;&gt;""),
    "O"&amp;Data!CK57,
    IF(V72&lt;&gt;"",
       IF(OR(COUNTIF(V72,"L*"),COUNTIF(V72,"X*")),
          SUBSTITUTE(SUBSTITUTE(SUBSTITUTE(SUBSTITUTE(V72,"P",""),"I",""),"V",""),"B","") &amp;
          IF(
             OR(
               COUNTIF(V72,"*"&amp;$BN$59&amp;"*"),
               COUNTIF(V72,"*"&amp;$BN$60&amp;"*"),
               COUNTIF(V72,"*"&amp;$BN$61&amp;"*"),
               COUNTIF(V72,"*"&amp;$BN$62&amp;"*"),
               COUNTIF(V72,"*"&amp;$BN$63&amp;"*")
             ),
             "",
             IF(
               SUMPRODUCT(--ISNUMBER(MID(V72,ROW($1:$20),1)*1))&gt;0,
               "",
               Data!CK57
             )
          ),
          SUBSTITUTE(SUBSTITUTE(SUBSTITUTE(SUBSTITUTE(SUBSTITUTE(SUBSTITUTE(SUBSTITUTE(SUBSTITUTE(SUBSTITUTE(V72,$BN$59,""),$BN$60,""),$BN$61,""),$BN$62,""),$BN$63,""),"P",""),"I",""),"V",""),"B","") &amp;
          Data!CK57
       ),
       ""
    )
)</f>
        <v/>
      </c>
      <c r="W122" s="41" t="str" cm="1">
        <f t="array" ref="W122">IF(AND($Y$57=1,W72&lt;&gt;""),
    "O"&amp;Data!CL57,
    IF(W72&lt;&gt;"",
       IF(OR(COUNTIF(W72,"L*"),COUNTIF(W72,"X*")),
          SUBSTITUTE(SUBSTITUTE(SUBSTITUTE(SUBSTITUTE(W72,"P",""),"I",""),"V",""),"B","") &amp;
          IF(
             OR(
               COUNTIF(W72,"*"&amp;$BN$59&amp;"*"),
               COUNTIF(W72,"*"&amp;$BN$60&amp;"*"),
               COUNTIF(W72,"*"&amp;$BN$61&amp;"*"),
               COUNTIF(W72,"*"&amp;$BN$62&amp;"*"),
               COUNTIF(W72,"*"&amp;$BN$63&amp;"*")
             ),
             "",
             IF(
               SUMPRODUCT(--ISNUMBER(MID(W72,ROW($1:$20),1)*1))&gt;0,
               "",
               Data!CL57
             )
          ),
          SUBSTITUTE(SUBSTITUTE(SUBSTITUTE(SUBSTITUTE(SUBSTITUTE(SUBSTITUTE(SUBSTITUTE(SUBSTITUTE(SUBSTITUTE(W72,$BN$59,""),$BN$60,""),$BN$61,""),$BN$62,""),$BN$63,""),"P",""),"I",""),"V",""),"B","") &amp;
          Data!CL57
       ),
       ""
    )
)</f>
        <v/>
      </c>
      <c r="X122" s="41" t="str" cm="1">
        <f t="array" ref="X122">IF(AND($Y$57=1,X72&lt;&gt;""),
    "O"&amp;Data!CM57,
    IF(X72&lt;&gt;"",
       IF(OR(COUNTIF(X72,"L*"),COUNTIF(X72,"X*")),
          SUBSTITUTE(SUBSTITUTE(SUBSTITUTE(SUBSTITUTE(X72,"P",""),"I",""),"V",""),"B","") &amp;
          IF(
             OR(
               COUNTIF(X72,"*"&amp;$BN$59&amp;"*"),
               COUNTIF(X72,"*"&amp;$BN$60&amp;"*"),
               COUNTIF(X72,"*"&amp;$BN$61&amp;"*"),
               COUNTIF(X72,"*"&amp;$BN$62&amp;"*"),
               COUNTIF(X72,"*"&amp;$BN$63&amp;"*")
             ),
             "",
             IF(
               SUMPRODUCT(--ISNUMBER(MID(X72,ROW($1:$20),1)*1))&gt;0,
               "",
               Data!CM57
             )
          ),
          SUBSTITUTE(SUBSTITUTE(SUBSTITUTE(SUBSTITUTE(SUBSTITUTE(SUBSTITUTE(SUBSTITUTE(SUBSTITUTE(SUBSTITUTE(X72,$BN$59,""),$BN$60,""),$BN$61,""),$BN$62,""),$BN$63,""),"P",""),"I",""),"V",""),"B","") &amp;
          Data!CM57
       ),
       ""
    )
)</f>
        <v/>
      </c>
      <c r="Y122" s="41" t="str" cm="1">
        <f t="array" ref="Y122">IF(AND($Y$57=1,Y72&lt;&gt;""),
    "O"&amp;Data!CN57,
    IF(Y72&lt;&gt;"",
       IF(OR(COUNTIF(Y72,"L*"),COUNTIF(Y72,"X*")),
          SUBSTITUTE(SUBSTITUTE(SUBSTITUTE(SUBSTITUTE(Y72,"P",""),"I",""),"V",""),"B","") &amp;
          IF(
             OR(
               COUNTIF(Y72,"*"&amp;$BN$59&amp;"*"),
               COUNTIF(Y72,"*"&amp;$BN$60&amp;"*"),
               COUNTIF(Y72,"*"&amp;$BN$61&amp;"*"),
               COUNTIF(Y72,"*"&amp;$BN$62&amp;"*"),
               COUNTIF(Y72,"*"&amp;$BN$63&amp;"*")
             ),
             "",
             IF(
               SUMPRODUCT(--ISNUMBER(MID(Y72,ROW($1:$20),1)*1))&gt;0,
               "",
               Data!CN57
             )
          ),
          SUBSTITUTE(SUBSTITUTE(SUBSTITUTE(SUBSTITUTE(SUBSTITUTE(SUBSTITUTE(SUBSTITUTE(SUBSTITUTE(SUBSTITUTE(Y72,$BN$59,""),$BN$60,""),$BN$61,""),$BN$62,""),$BN$63,""),"P",""),"I",""),"V",""),"B","") &amp;
          Data!CN57
       ),
       ""
    )
)</f>
        <v/>
      </c>
      <c r="Z122" s="41" t="str" cm="1">
        <f t="array" ref="Z122">IF(AND($Y$57=1,Z72&lt;&gt;""),
    "O"&amp;Data!CO57,
    IF(Z72&lt;&gt;"",
       IF(OR(COUNTIF(Z72,"L*"),COUNTIF(Z72,"X*")),
          SUBSTITUTE(SUBSTITUTE(SUBSTITUTE(SUBSTITUTE(Z72,"P",""),"I",""),"V",""),"B","") &amp;
          IF(
             OR(
               COUNTIF(Z72,"*"&amp;$BN$59&amp;"*"),
               COUNTIF(Z72,"*"&amp;$BN$60&amp;"*"),
               COUNTIF(Z72,"*"&amp;$BN$61&amp;"*"),
               COUNTIF(Z72,"*"&amp;$BN$62&amp;"*"),
               COUNTIF(Z72,"*"&amp;$BN$63&amp;"*")
             ),
             "",
             IF(
               SUMPRODUCT(--ISNUMBER(MID(Z72,ROW($1:$20),1)*1))&gt;0,
               "",
               Data!CO57
             )
          ),
          SUBSTITUTE(SUBSTITUTE(SUBSTITUTE(SUBSTITUTE(SUBSTITUTE(SUBSTITUTE(SUBSTITUTE(SUBSTITUTE(SUBSTITUTE(Z72,$BN$59,""),$BN$60,""),$BN$61,""),$BN$62,""),$BN$63,""),"P",""),"I",""),"V",""),"B","") &amp;
          Data!CO57
       ),
       ""
    )
)</f>
        <v/>
      </c>
      <c r="AA122" s="41" t="str" cm="1">
        <f t="array" ref="AA122">IF(AND($Y$57=1,AA72&lt;&gt;""),
    "O"&amp;Data!CP57,
    IF(AA72&lt;&gt;"",
       IF(OR(COUNTIF(AA72,"L*"),COUNTIF(AA72,"X*")),
          SUBSTITUTE(SUBSTITUTE(SUBSTITUTE(SUBSTITUTE(AA72,"P",""),"I",""),"V",""),"B","") &amp;
          IF(
             OR(
               COUNTIF(AA72,"*"&amp;$BN$59&amp;"*"),
               COUNTIF(AA72,"*"&amp;$BN$60&amp;"*"),
               COUNTIF(AA72,"*"&amp;$BN$61&amp;"*"),
               COUNTIF(AA72,"*"&amp;$BN$62&amp;"*"),
               COUNTIF(AA72,"*"&amp;$BN$63&amp;"*")
             ),
             "",
             IF(
               SUMPRODUCT(--ISNUMBER(MID(AA72,ROW($1:$20),1)*1))&gt;0,
               "",
               Data!CP57
             )
          ),
          SUBSTITUTE(SUBSTITUTE(SUBSTITUTE(SUBSTITUTE(SUBSTITUTE(SUBSTITUTE(SUBSTITUTE(SUBSTITUTE(SUBSTITUTE(AA72,$BN$59,""),$BN$60,""),$BN$61,""),$BN$62,""),$BN$63,""),"P",""),"I",""),"V",""),"B","") &amp;
          Data!CP57
       ),
       ""
    )
)</f>
        <v/>
      </c>
      <c r="AB122" s="41" t="str" cm="1">
        <f t="array" ref="AB122">IF(AND($Y$57=1,AB72&lt;&gt;""),
    "O"&amp;Data!CQ57,
    IF(AB72&lt;&gt;"",
       IF(OR(COUNTIF(AB72,"L*"),COUNTIF(AB72,"X*")),
          SUBSTITUTE(SUBSTITUTE(SUBSTITUTE(SUBSTITUTE(AB72,"P",""),"I",""),"V",""),"B","") &amp;
          IF(
             OR(
               COUNTIF(AB72,"*"&amp;$BN$59&amp;"*"),
               COUNTIF(AB72,"*"&amp;$BN$60&amp;"*"),
               COUNTIF(AB72,"*"&amp;$BN$61&amp;"*"),
               COUNTIF(AB72,"*"&amp;$BN$62&amp;"*"),
               COUNTIF(AB72,"*"&amp;$BN$63&amp;"*")
             ),
             "",
             IF(
               SUMPRODUCT(--ISNUMBER(MID(AB72,ROW($1:$20),1)*1))&gt;0,
               "",
               Data!CQ57
             )
          ),
          SUBSTITUTE(SUBSTITUTE(SUBSTITUTE(SUBSTITUTE(SUBSTITUTE(SUBSTITUTE(SUBSTITUTE(SUBSTITUTE(SUBSTITUTE(AB72,$BN$59,""),$BN$60,""),$BN$61,""),$BN$62,""),$BN$63,""),"P",""),"I",""),"V",""),"B","") &amp;
          Data!CQ57
       ),
       ""
    )
)</f>
        <v/>
      </c>
      <c r="AC122" s="41" t="str" cm="1">
        <f t="array" ref="AC122">IF(AND($Y$57=1,AC72&lt;&gt;""),
    "O"&amp;Data!CR57,
    IF(AC72&lt;&gt;"",
       IF(OR(COUNTIF(AC72,"L*"),COUNTIF(AC72,"X*")),
          SUBSTITUTE(SUBSTITUTE(SUBSTITUTE(SUBSTITUTE(AC72,"P",""),"I",""),"V",""),"B","") &amp;
          IF(
             OR(
               COUNTIF(AC72,"*"&amp;$BN$59&amp;"*"),
               COUNTIF(AC72,"*"&amp;$BN$60&amp;"*"),
               COUNTIF(AC72,"*"&amp;$BN$61&amp;"*"),
               COUNTIF(AC72,"*"&amp;$BN$62&amp;"*"),
               COUNTIF(AC72,"*"&amp;$BN$63&amp;"*")
             ),
             "",
             IF(
               SUMPRODUCT(--ISNUMBER(MID(AC72,ROW($1:$20),1)*1))&gt;0,
               "",
               Data!CR57
             )
          ),
          SUBSTITUTE(SUBSTITUTE(SUBSTITUTE(SUBSTITUTE(SUBSTITUTE(SUBSTITUTE(SUBSTITUTE(SUBSTITUTE(SUBSTITUTE(AC72,$BN$59,""),$BN$60,""),$BN$61,""),$BN$62,""),$BN$63,""),"P",""),"I",""),"V",""),"B","") &amp;
          Data!CR57
       ),
       ""
    )
)</f>
        <v/>
      </c>
      <c r="AD122" s="41" t="str" cm="1">
        <f t="array" ref="AD122">IF(AND($Y$57=1,AD72&lt;&gt;""),
    "O"&amp;Data!CS57,
    IF(AD72&lt;&gt;"",
       IF(OR(COUNTIF(AD72,"L*"),COUNTIF(AD72,"X*")),
          SUBSTITUTE(SUBSTITUTE(SUBSTITUTE(SUBSTITUTE(AD72,"P",""),"I",""),"V",""),"B","") &amp;
          IF(
             OR(
               COUNTIF(AD72,"*"&amp;$BN$59&amp;"*"),
               COUNTIF(AD72,"*"&amp;$BN$60&amp;"*"),
               COUNTIF(AD72,"*"&amp;$BN$61&amp;"*"),
               COUNTIF(AD72,"*"&amp;$BN$62&amp;"*"),
               COUNTIF(AD72,"*"&amp;$BN$63&amp;"*")
             ),
             "",
             IF(
               SUMPRODUCT(--ISNUMBER(MID(AD72,ROW($1:$20),1)*1))&gt;0,
               "",
               Data!CS57
             )
          ),
          SUBSTITUTE(SUBSTITUTE(SUBSTITUTE(SUBSTITUTE(SUBSTITUTE(SUBSTITUTE(SUBSTITUTE(SUBSTITUTE(SUBSTITUTE(AD72,$BN$59,""),$BN$60,""),$BN$61,""),$BN$62,""),$BN$63,""),"P",""),"I",""),"V",""),"B","") &amp;
          Data!CS57
       ),
       ""
    )
)</f>
        <v/>
      </c>
      <c r="AE122" s="41" t="str" cm="1">
        <f t="array" ref="AE122">IF(AND($Y$57=1,AE72&lt;&gt;""),
    "O"&amp;Data!CT57,
    IF(AE72&lt;&gt;"",
       IF(OR(COUNTIF(AE72,"L*"),COUNTIF(AE72,"X*")),
          SUBSTITUTE(SUBSTITUTE(SUBSTITUTE(SUBSTITUTE(AE72,"P",""),"I",""),"V",""),"B","") &amp;
          IF(
             OR(
               COUNTIF(AE72,"*"&amp;$BN$59&amp;"*"),
               COUNTIF(AE72,"*"&amp;$BN$60&amp;"*"),
               COUNTIF(AE72,"*"&amp;$BN$61&amp;"*"),
               COUNTIF(AE72,"*"&amp;$BN$62&amp;"*"),
               COUNTIF(AE72,"*"&amp;$BN$63&amp;"*")
             ),
             "",
             IF(
               SUMPRODUCT(--ISNUMBER(MID(AE72,ROW($1:$20),1)*1))&gt;0,
               "",
               Data!CT57
             )
          ),
          SUBSTITUTE(SUBSTITUTE(SUBSTITUTE(SUBSTITUTE(SUBSTITUTE(SUBSTITUTE(SUBSTITUTE(SUBSTITUTE(SUBSTITUTE(AE72,$BN$59,""),$BN$60,""),$BN$61,""),$BN$62,""),$BN$63,""),"P",""),"I",""),"V",""),"B","") &amp;
          Data!CT57
       ),
       ""
    )
)</f>
        <v/>
      </c>
      <c r="AF122" s="41" t="str" cm="1">
        <f t="array" ref="AF122">IF(AND($Y$57=1,AF72&lt;&gt;""),
    "O"&amp;Data!CU57,
    IF(AF72&lt;&gt;"",
       IF(OR(COUNTIF(AF72,"L*"),COUNTIF(AF72,"X*")),
          SUBSTITUTE(SUBSTITUTE(SUBSTITUTE(SUBSTITUTE(AF72,"P",""),"I",""),"V",""),"B","") &amp;
          IF(
             OR(
               COUNTIF(AF72,"*"&amp;$BN$59&amp;"*"),
               COUNTIF(AF72,"*"&amp;$BN$60&amp;"*"),
               COUNTIF(AF72,"*"&amp;$BN$61&amp;"*"),
               COUNTIF(AF72,"*"&amp;$BN$62&amp;"*"),
               COUNTIF(AF72,"*"&amp;$BN$63&amp;"*")
             ),
             "",
             IF(
               SUMPRODUCT(--ISNUMBER(MID(AF72,ROW($1:$20),1)*1))&gt;0,
               "",
               Data!CU57
             )
          ),
          SUBSTITUTE(SUBSTITUTE(SUBSTITUTE(SUBSTITUTE(SUBSTITUTE(SUBSTITUTE(SUBSTITUTE(SUBSTITUTE(SUBSTITUTE(AF72,$BN$59,""),$BN$60,""),$BN$61,""),$BN$62,""),$BN$63,""),"P",""),"I",""),"V",""),"B","") &amp;
          Data!CU57
       ),
       ""
    )
)</f>
        <v/>
      </c>
      <c r="AG122" s="41" t="str" cm="1">
        <f t="array" ref="AG122">IF(AND($Y$57=1,AG72&lt;&gt;""),
    "O"&amp;Data!CV57,
    IF(AG72&lt;&gt;"",
       IF(OR(COUNTIF(AG72,"L*"),COUNTIF(AG72,"X*")),
          SUBSTITUTE(SUBSTITUTE(SUBSTITUTE(SUBSTITUTE(AG72,"P",""),"I",""),"V",""),"B","") &amp;
          IF(
             OR(
               COUNTIF(AG72,"*"&amp;$BN$59&amp;"*"),
               COUNTIF(AG72,"*"&amp;$BN$60&amp;"*"),
               COUNTIF(AG72,"*"&amp;$BN$61&amp;"*"),
               COUNTIF(AG72,"*"&amp;$BN$62&amp;"*"),
               COUNTIF(AG72,"*"&amp;$BN$63&amp;"*")
             ),
             "",
             IF(
               SUMPRODUCT(--ISNUMBER(MID(AG72,ROW($1:$20),1)*1))&gt;0,
               "",
               Data!CV57
             )
          ),
          SUBSTITUTE(SUBSTITUTE(SUBSTITUTE(SUBSTITUTE(SUBSTITUTE(SUBSTITUTE(SUBSTITUTE(SUBSTITUTE(SUBSTITUTE(AG72,$BN$59,""),$BN$60,""),$BN$61,""),$BN$62,""),$BN$63,""),"P",""),"I",""),"V",""),"B","") &amp;
          Data!CV57
       ),
       ""
    )
)</f>
        <v/>
      </c>
      <c r="AH122" s="41" t="str" cm="1">
        <f t="array" ref="AH122">IF(AND($Y$57=1,AH72&lt;&gt;""),
    "O"&amp;Data!CW57,
    IF(AH72&lt;&gt;"",
       IF(OR(COUNTIF(AH72,"L*"),COUNTIF(AH72,"X*")),
          SUBSTITUTE(SUBSTITUTE(SUBSTITUTE(SUBSTITUTE(AH72,"P",""),"I",""),"V",""),"B","") &amp;
          IF(
             OR(
               COUNTIF(AH72,"*"&amp;$BN$59&amp;"*"),
               COUNTIF(AH72,"*"&amp;$BN$60&amp;"*"),
               COUNTIF(AH72,"*"&amp;$BN$61&amp;"*"),
               COUNTIF(AH72,"*"&amp;$BN$62&amp;"*"),
               COUNTIF(AH72,"*"&amp;$BN$63&amp;"*")
             ),
             "",
             IF(
               SUMPRODUCT(--ISNUMBER(MID(AH72,ROW($1:$20),1)*1))&gt;0,
               "",
               Data!CW57
             )
          ),
          SUBSTITUTE(SUBSTITUTE(SUBSTITUTE(SUBSTITUTE(SUBSTITUTE(SUBSTITUTE(SUBSTITUTE(SUBSTITUTE(SUBSTITUTE(AH72,$BN$59,""),$BN$60,""),$BN$61,""),$BN$62,""),$BN$63,""),"P",""),"I",""),"V",""),"B","") &amp;
          Data!CW57
       ),
       ""
    )
)</f>
        <v/>
      </c>
      <c r="AI122" s="41" t="str" cm="1">
        <f t="array" ref="AI122">IF(AND($Y$57=1,AI72&lt;&gt;""),
    "O"&amp;Data!CX57,
    IF(AI72&lt;&gt;"",
       IF(OR(COUNTIF(AI72,"L*"),COUNTIF(AI72,"X*")),
          SUBSTITUTE(SUBSTITUTE(SUBSTITUTE(SUBSTITUTE(AI72,"P",""),"I",""),"V",""),"B","") &amp;
          IF(
             OR(
               COUNTIF(AI72,"*"&amp;$BN$59&amp;"*"),
               COUNTIF(AI72,"*"&amp;$BN$60&amp;"*"),
               COUNTIF(AI72,"*"&amp;$BN$61&amp;"*"),
               COUNTIF(AI72,"*"&amp;$BN$62&amp;"*"),
               COUNTIF(AI72,"*"&amp;$BN$63&amp;"*")
             ),
             "",
             IF(
               SUMPRODUCT(--ISNUMBER(MID(AI72,ROW($1:$20),1)*1))&gt;0,
               "",
               Data!CX57
             )
          ),
          SUBSTITUTE(SUBSTITUTE(SUBSTITUTE(SUBSTITUTE(SUBSTITUTE(SUBSTITUTE(SUBSTITUTE(SUBSTITUTE(SUBSTITUTE(AI72,$BN$59,""),$BN$60,""),$BN$61,""),$BN$62,""),$BN$63,""),"P",""),"I",""),"V",""),"B","") &amp;
          Data!CX57
       ),
       ""
    )
)</f>
        <v/>
      </c>
      <c r="AJ122" s="41" t="str" cm="1">
        <f t="array" ref="AJ122">IF(AND($Y$57=1,AJ72&lt;&gt;""),
    "O"&amp;Data!CY57,
    IF(AJ72&lt;&gt;"",
       IF(OR(COUNTIF(AJ72,"L*"),COUNTIF(AJ72,"X*")),
          SUBSTITUTE(SUBSTITUTE(SUBSTITUTE(SUBSTITUTE(AJ72,"P",""),"I",""),"V",""),"B","") &amp;
          IF(
             OR(
               COUNTIF(AJ72,"*"&amp;$BN$59&amp;"*"),
               COUNTIF(AJ72,"*"&amp;$BN$60&amp;"*"),
               COUNTIF(AJ72,"*"&amp;$BN$61&amp;"*"),
               COUNTIF(AJ72,"*"&amp;$BN$62&amp;"*"),
               COUNTIF(AJ72,"*"&amp;$BN$63&amp;"*")
             ),
             "",
             IF(
               SUMPRODUCT(--ISNUMBER(MID(AJ72,ROW($1:$20),1)*1))&gt;0,
               "",
               Data!CY57
             )
          ),
          SUBSTITUTE(SUBSTITUTE(SUBSTITUTE(SUBSTITUTE(SUBSTITUTE(SUBSTITUTE(SUBSTITUTE(SUBSTITUTE(SUBSTITUTE(AJ72,$BN$59,""),$BN$60,""),$BN$61,""),$BN$62,""),$BN$63,""),"P",""),"I",""),"V",""),"B","") &amp;
          Data!CY57
       ),
       ""
    )
)</f>
        <v/>
      </c>
    </row>
    <row r="123" spans="1:54" ht="15" customHeight="1" x14ac:dyDescent="0.35"/>
    <row r="124" spans="1:54" ht="21" customHeight="1" thickBot="1" x14ac:dyDescent="0.4">
      <c r="A124" s="1198" t="s">
        <v>19</v>
      </c>
      <c r="B124" s="1198"/>
      <c r="C124" s="1198"/>
      <c r="D124" s="1199"/>
      <c r="E124" s="1199"/>
      <c r="F124" s="1199"/>
      <c r="G124" s="1199"/>
      <c r="H124" s="1199"/>
      <c r="I124" s="1199"/>
      <c r="J124" s="1199"/>
      <c r="K124" s="1199"/>
      <c r="L124" s="1199"/>
      <c r="M124" s="1199"/>
      <c r="N124" s="1199"/>
      <c r="O124" s="1199"/>
      <c r="P124" s="1199"/>
      <c r="Q124" s="1199"/>
      <c r="R124" s="1199"/>
      <c r="S124" s="1199"/>
      <c r="T124" s="1199"/>
      <c r="U124" s="1199"/>
      <c r="V124" s="1199"/>
      <c r="W124" s="1199"/>
      <c r="X124" s="1199"/>
      <c r="Y124" s="1199"/>
      <c r="Z124" s="1199"/>
      <c r="AA124" s="1199"/>
      <c r="AB124" s="1199"/>
      <c r="AC124" s="1199"/>
      <c r="AD124" s="1199"/>
      <c r="AE124" s="1199"/>
      <c r="AF124" s="1199"/>
      <c r="AG124" s="1199"/>
      <c r="AH124" s="1199"/>
      <c r="AI124" s="1199"/>
    </row>
    <row r="125" spans="1:54" ht="15" customHeight="1" x14ac:dyDescent="0.35"/>
    <row r="126" spans="1:54" ht="20.25" customHeight="1" thickBot="1" x14ac:dyDescent="0.4">
      <c r="A126" s="1209" t="s">
        <v>134</v>
      </c>
      <c r="B126" s="1209"/>
      <c r="C126" s="1209"/>
      <c r="D126" s="1209"/>
      <c r="E126" s="1209"/>
      <c r="F126" s="1209"/>
      <c r="G126" s="1209"/>
      <c r="H126" s="1209"/>
      <c r="I126" s="1209"/>
      <c r="J126" s="1209"/>
      <c r="K126" s="1209"/>
      <c r="L126" s="1209"/>
      <c r="M126" s="1209"/>
      <c r="N126" s="1209"/>
      <c r="O126" s="1209"/>
      <c r="P126" s="1209"/>
      <c r="Q126" s="1209"/>
      <c r="R126" s="1209"/>
      <c r="S126" s="1209"/>
      <c r="T126" s="1209"/>
      <c r="U126" s="1209"/>
      <c r="V126" s="1209"/>
      <c r="W126" s="1209"/>
      <c r="X126" s="1209"/>
      <c r="Y126" s="1209"/>
      <c r="Z126" s="1209"/>
      <c r="AA126" s="1209"/>
      <c r="AB126" s="1209"/>
      <c r="AC126" s="1209"/>
      <c r="AD126" s="1209"/>
      <c r="AE126" s="1209"/>
      <c r="AF126" s="1209"/>
      <c r="AG126" s="1209"/>
      <c r="AH126" s="1209"/>
      <c r="AI126" s="1209"/>
    </row>
    <row r="127" spans="1:54" ht="24" customHeight="1" thickBot="1" x14ac:dyDescent="0.4">
      <c r="A127" s="34"/>
      <c r="B127" s="35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</row>
    <row r="128" spans="1:54" ht="15" customHeight="1" thickBot="1" x14ac:dyDescent="0.4">
      <c r="A128" s="1202"/>
      <c r="B128" s="1203"/>
      <c r="C128" s="1207" t="s">
        <v>17</v>
      </c>
      <c r="D128" s="1207"/>
      <c r="E128" s="1207"/>
      <c r="F128" s="1207"/>
      <c r="G128" s="1207"/>
      <c r="H128" s="1207"/>
      <c r="I128" s="1207"/>
      <c r="J128" s="1207"/>
      <c r="K128" s="1207"/>
      <c r="L128" s="1207"/>
      <c r="M128" s="1207"/>
      <c r="N128" s="1207"/>
      <c r="O128" s="1207"/>
      <c r="P128" s="1207"/>
      <c r="Q128" s="1207"/>
      <c r="R128" s="1207"/>
      <c r="S128" s="1207"/>
      <c r="T128" s="1207"/>
      <c r="U128" s="1207"/>
      <c r="V128" s="1208"/>
      <c r="W128" s="6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8"/>
    </row>
    <row r="129" spans="1:54" ht="15.75" customHeight="1" thickBot="1" x14ac:dyDescent="0.4">
      <c r="A129" s="1204"/>
      <c r="B129" s="1205"/>
      <c r="C129" s="16">
        <v>1</v>
      </c>
      <c r="D129" s="17">
        <v>2</v>
      </c>
      <c r="E129" s="17">
        <v>3</v>
      </c>
      <c r="F129" s="17">
        <v>4</v>
      </c>
      <c r="G129" s="17">
        <v>5</v>
      </c>
      <c r="H129" s="17">
        <v>6</v>
      </c>
      <c r="I129" s="17">
        <v>7</v>
      </c>
      <c r="J129" s="17">
        <v>8</v>
      </c>
      <c r="K129" s="17">
        <v>9</v>
      </c>
      <c r="L129" s="17">
        <v>10</v>
      </c>
      <c r="M129" s="17">
        <v>11</v>
      </c>
      <c r="N129" s="17">
        <v>12</v>
      </c>
      <c r="O129" s="17">
        <v>13</v>
      </c>
      <c r="P129" s="17">
        <v>14</v>
      </c>
      <c r="Q129" s="17">
        <v>15</v>
      </c>
      <c r="R129" s="17">
        <v>16</v>
      </c>
      <c r="S129" s="17">
        <v>17</v>
      </c>
      <c r="T129" s="17">
        <v>18</v>
      </c>
      <c r="U129" s="17">
        <v>19</v>
      </c>
      <c r="V129" s="18">
        <v>20</v>
      </c>
      <c r="W129" s="17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20"/>
      <c r="AR129" s="1195" t="s">
        <v>792</v>
      </c>
      <c r="AS129" s="1195"/>
      <c r="AT129" s="112"/>
    </row>
    <row r="130" spans="1:54" ht="23.25" customHeight="1" thickBot="1" x14ac:dyDescent="0.4">
      <c r="A130" s="1196" t="s">
        <v>18</v>
      </c>
      <c r="B130" s="21">
        <v>1</v>
      </c>
      <c r="C130" s="1122" t="e" cm="1">
        <f t="array" ref="C130">--_xlfn.TEXTJOIN(
    "",
    TRUE,
    IF(ISNUMBER(--MID(C61,ROW($1:$20),1)),
       MID(C61,ROW($1:$20),1),
       ""
    )
)</f>
        <v>#VALUE!</v>
      </c>
      <c r="D130" s="1122" t="str">
        <f>IF(
   LEFT('ARDT Cutter Entry'!D111,1)&lt;&gt;"X",
   "",
   IF(
      LEN('ARDT Cutter Entry'!D111)=LEN(Data!BS46)+1,
      Data!BS46 &amp; "",
      MID(
        'ARDT Cutter Entry'!D111,
        2,
        LEN('ARDT Cutter Entry'!D111)-1-LEN(Data!BS46)
      )
   )
)</f>
        <v/>
      </c>
      <c r="E130" s="1122" t="str">
        <f>IF(
   LEFT('ARDT Cutter Entry'!E111,1)&lt;&gt;"X",
   "",
   IF(
      LEN('ARDT Cutter Entry'!E111)=LEN(Data!BT46)+1,
      Data!BT46 &amp; "",
      MID(
        'ARDT Cutter Entry'!E111,
        2,
        LEN('ARDT Cutter Entry'!E111)-1-LEN(Data!BT46)
      )
   )
)</f>
        <v/>
      </c>
      <c r="F130" s="1122" t="str">
        <f>IF(
   LEFT('ARDT Cutter Entry'!F111,1)&lt;&gt;"X",
   "",
   IF(
      LEN('ARDT Cutter Entry'!F111)=LEN(Data!BU46)+1,
      Data!BU46 &amp; "",
      MID(
        'ARDT Cutter Entry'!F111,
        2,
        LEN('ARDT Cutter Entry'!F111)-1-LEN(Data!BU46)
      )
   )
)</f>
        <v/>
      </c>
      <c r="G130" s="1122" t="str">
        <f>IF(
   LEFT('ARDT Cutter Entry'!G111,1)&lt;&gt;"X",
   "",
   IF(
      LEN('ARDT Cutter Entry'!G111)=LEN(Data!BV46)+1,
      Data!BV46 &amp; "",
      MID(
        'ARDT Cutter Entry'!G111,
        2,
        LEN('ARDT Cutter Entry'!G111)-1-LEN(Data!BV46)
      )
   )
)</f>
        <v/>
      </c>
      <c r="H130" s="1122" t="str">
        <f>IF(
   LEFT('ARDT Cutter Entry'!H111,1)&lt;&gt;"X",
   "",
   IF(
      LEN('ARDT Cutter Entry'!H111)=LEN(Data!BW46)+1,
      Data!BW46 &amp; "",
      MID(
        'ARDT Cutter Entry'!H111,
        2,
        LEN('ARDT Cutter Entry'!H111)-1-LEN(Data!BW46)
      )
   )
)</f>
        <v/>
      </c>
      <c r="I130" s="1122" t="str">
        <f>IF(
   LEFT('ARDT Cutter Entry'!I111,1)&lt;&gt;"X",
   "",
   IF(
      LEN('ARDT Cutter Entry'!I111)=LEN(Data!BX46)+1,
      Data!BX46 &amp; "",
      MID(
        'ARDT Cutter Entry'!I111,
        2,
        LEN('ARDT Cutter Entry'!I111)-1-LEN(Data!BX46)
      )
   )
)</f>
        <v/>
      </c>
      <c r="J130" s="1122" t="str">
        <f>IF(
   LEFT('ARDT Cutter Entry'!J111,1)&lt;&gt;"X",
   "",
   IF(
      LEN('ARDT Cutter Entry'!J111)=LEN(Data!BY46)+1,
      Data!BY46 &amp; "",
      MID(
        'ARDT Cutter Entry'!J111,
        2,
        LEN('ARDT Cutter Entry'!J111)-1-LEN(Data!BY46)
      )
   )
)</f>
        <v/>
      </c>
      <c r="K130" s="1122" t="str">
        <f>IF(
   LEFT('ARDT Cutter Entry'!K111,1)&lt;&gt;"X",
   "",
   IF(
      LEN('ARDT Cutter Entry'!K111)=LEN(Data!BZ46)+1,
      Data!BZ46 &amp; "",
      MID(
        'ARDT Cutter Entry'!K111,
        2,
        LEN('ARDT Cutter Entry'!K111)-1-LEN(Data!BZ46)
      )
   )
)</f>
        <v/>
      </c>
      <c r="L130" s="1122" t="str">
        <f>IF(
   LEFT('ARDT Cutter Entry'!L111,1)&lt;&gt;"X",
   "",
   IF(
      LEN('ARDT Cutter Entry'!L111)=LEN(Data!CA46)+1,
      Data!CA46 &amp; "",
      MID(
        'ARDT Cutter Entry'!L111,
        2,
        LEN('ARDT Cutter Entry'!L111)-1-LEN(Data!CA46)
      )
   )
)</f>
        <v/>
      </c>
      <c r="M130" s="1122" t="str">
        <f>IF(
   LEFT('ARDT Cutter Entry'!M111,1)&lt;&gt;"X",
   "",
   IF(
      LEN('ARDT Cutter Entry'!M111)=LEN(Data!CB46)+1,
      Data!CB46 &amp; "",
      MID(
        'ARDT Cutter Entry'!M111,
        2,
        LEN('ARDT Cutter Entry'!M111)-1-LEN(Data!CB46)
      )
   )
)</f>
        <v/>
      </c>
      <c r="N130" s="1122" t="str">
        <f>IF(
   LEFT('ARDT Cutter Entry'!N111,1)&lt;&gt;"X",
   "",
   IF(
      LEN('ARDT Cutter Entry'!N111)=LEN(Data!CC46)+1,
      Data!CC46 &amp; "",
      MID(
        'ARDT Cutter Entry'!N111,
        2,
        LEN('ARDT Cutter Entry'!N111)-1-LEN(Data!CC46)
      )
   )
)</f>
        <v/>
      </c>
      <c r="O130" s="1122" t="str">
        <f>IF(
   LEFT('ARDT Cutter Entry'!O111,1)&lt;&gt;"X",
   "",
   IF(
      LEN('ARDT Cutter Entry'!O111)=LEN(Data!CD46)+1,
      Data!CD46 &amp; "",
      MID(
        'ARDT Cutter Entry'!O111,
        2,
        LEN('ARDT Cutter Entry'!O111)-1-LEN(Data!CD46)
      )
   )
)</f>
        <v/>
      </c>
      <c r="P130" s="1122" t="str">
        <f>IF(
   LEFT('ARDT Cutter Entry'!P111,1)&lt;&gt;"X",
   "",
   IF(
      LEN('ARDT Cutter Entry'!P111)=LEN(Data!CE46)+1,
      Data!CE46 &amp; "",
      MID(
        'ARDT Cutter Entry'!P111,
        2,
        LEN('ARDT Cutter Entry'!P111)-1-LEN(Data!CE46)
      )
   )
)</f>
        <v/>
      </c>
      <c r="Q130" s="1122" t="str">
        <f>IF(
   LEFT('ARDT Cutter Entry'!Q111,1)&lt;&gt;"X",
   "",
   IF(
      LEN('ARDT Cutter Entry'!Q111)=LEN(Data!CF46)+1,
      Data!CF46 &amp; "",
      MID(
        'ARDT Cutter Entry'!Q111,
        2,
        LEN('ARDT Cutter Entry'!Q111)-1-LEN(Data!CF46)
      )
   )
)</f>
        <v/>
      </c>
      <c r="R130" s="1122" t="str">
        <f>IF(
   LEFT('ARDT Cutter Entry'!R111,1)&lt;&gt;"X",
   "",
   IF(
      LEN('ARDT Cutter Entry'!R111)=LEN(Data!CG46)+1,
      Data!CG46 &amp; "",
      MID(
        'ARDT Cutter Entry'!R111,
        2,
        LEN('ARDT Cutter Entry'!R111)-1-LEN(Data!CG46)
      )
   )
)</f>
        <v/>
      </c>
      <c r="S130" s="1122" t="str">
        <f>IF(
   LEFT('ARDT Cutter Entry'!S111,1)&lt;&gt;"X",
   "",
   IF(
      LEN('ARDT Cutter Entry'!S111)=LEN(Data!CH46)+1,
      Data!CH46 &amp; "",
      MID(
        'ARDT Cutter Entry'!S111,
        2,
        LEN('ARDT Cutter Entry'!S111)-1-LEN(Data!CH46)
      )
   )
)</f>
        <v/>
      </c>
      <c r="T130" s="1122" t="str">
        <f>IF(
   LEFT('ARDT Cutter Entry'!T111,1)&lt;&gt;"X",
   "",
   IF(
      LEN('ARDT Cutter Entry'!T111)=LEN(Data!CI46)+1,
      Data!CI46 &amp; "",
      MID(
        'ARDT Cutter Entry'!T111,
        2,
        LEN('ARDT Cutter Entry'!T111)-1-LEN(Data!CI46)
      )
   )
)</f>
        <v/>
      </c>
      <c r="U130" s="1122" t="str">
        <f>IF(
   LEFT('ARDT Cutter Entry'!U111,1)&lt;&gt;"X",
   "",
   IF(
      LEN('ARDT Cutter Entry'!U111)=LEN(Data!CJ46)+1,
      Data!CJ46 &amp; "",
      MID(
        'ARDT Cutter Entry'!U111,
        2,
        LEN('ARDT Cutter Entry'!U111)-1-LEN(Data!CJ46)
      )
   )
)</f>
        <v/>
      </c>
      <c r="V130" s="1122" t="str">
        <f>IF(
   LEFT('ARDT Cutter Entry'!V111,1)&lt;&gt;"X",
   "",
   IF(
      LEN('ARDT Cutter Entry'!V111)=LEN(Data!CK46)+1,
      Data!CK46 &amp; "",
      MID(
        'ARDT Cutter Entry'!V111,
        2,
        LEN('ARDT Cutter Entry'!V111)-1-LEN(Data!CK46)
      )
   )
)</f>
        <v/>
      </c>
      <c r="W130" s="1122" t="str">
        <f>IF(
   LEFT('ARDT Cutter Entry'!W111,1)&lt;&gt;"X",
   "",
   IF(
      LEN('ARDT Cutter Entry'!W111)=LEN(Data!CL46)+1,
      Data!CL46 &amp; "",
      MID(
        'ARDT Cutter Entry'!W111,
        2,
        LEN('ARDT Cutter Entry'!W111)-1-LEN(Data!CL46)
      )
   )
)</f>
        <v/>
      </c>
      <c r="X130" s="1122" t="str">
        <f>IF(
   LEFT('ARDT Cutter Entry'!X111,1)&lt;&gt;"X",
   "",
   IF(
      LEN('ARDT Cutter Entry'!X111)=LEN(Data!CM46)+1,
      Data!CM46 &amp; "",
      MID(
        'ARDT Cutter Entry'!X111,
        2,
        LEN('ARDT Cutter Entry'!X111)-1-LEN(Data!CM46)
      )
   )
)</f>
        <v/>
      </c>
      <c r="Y130" s="1122" t="str">
        <f>IF(
   LEFT('ARDT Cutter Entry'!Y111,1)&lt;&gt;"X",
   "",
   IF(
      LEN('ARDT Cutter Entry'!Y111)=LEN(Data!CN46)+1,
      Data!CN46 &amp; "",
      MID(
        'ARDT Cutter Entry'!Y111,
        2,
        LEN('ARDT Cutter Entry'!Y111)-1-LEN(Data!CN46)
      )
   )
)</f>
        <v/>
      </c>
      <c r="Z130" s="1122" t="str">
        <f>IF(
   LEFT('ARDT Cutter Entry'!Z111,1)&lt;&gt;"X",
   "",
   IF(
      LEN('ARDT Cutter Entry'!Z111)=LEN(Data!CO46)+1,
      Data!CO46 &amp; "",
      MID(
        'ARDT Cutter Entry'!Z111,
        2,
        LEN('ARDT Cutter Entry'!Z111)-1-LEN(Data!CO46)
      )
   )
)</f>
        <v/>
      </c>
      <c r="AA130" s="1122" t="str">
        <f>IF(
   LEFT('ARDT Cutter Entry'!AA111,1)&lt;&gt;"X",
   "",
   IF(
      LEN('ARDT Cutter Entry'!AA111)=LEN(Data!CP46)+1,
      Data!CP46 &amp; "",
      MID(
        'ARDT Cutter Entry'!AA111,
        2,
        LEN('ARDT Cutter Entry'!AA111)-1-LEN(Data!CP46)
      )
   )
)</f>
        <v/>
      </c>
      <c r="AB130" s="1122" t="str">
        <f>IF(
   LEFT('ARDT Cutter Entry'!AB111,1)&lt;&gt;"X",
   "",
   IF(
      LEN('ARDT Cutter Entry'!AB111)=LEN(Data!CQ46)+1,
      Data!CQ46 &amp; "",
      MID(
        'ARDT Cutter Entry'!AB111,
        2,
        LEN('ARDT Cutter Entry'!AB111)-1-LEN(Data!CQ46)
      )
   )
)</f>
        <v/>
      </c>
      <c r="AC130" s="1122" t="str">
        <f>IF(
   LEFT('ARDT Cutter Entry'!AC111,1)&lt;&gt;"X",
   "",
   IF(
      LEN('ARDT Cutter Entry'!AC111)=LEN(Data!CR46)+1,
      Data!CR46 &amp; "",
      MID(
        'ARDT Cutter Entry'!AC111,
        2,
        LEN('ARDT Cutter Entry'!AC111)-1-LEN(Data!CR46)
      )
   )
)</f>
        <v/>
      </c>
      <c r="AD130" s="1122" t="str">
        <f>IF(
   LEFT('ARDT Cutter Entry'!AD111,1)&lt;&gt;"X",
   "",
   IF(
      LEN('ARDT Cutter Entry'!AD111)=LEN(Data!CS46)+1,
      Data!CS46 &amp; "",
      MID(
        'ARDT Cutter Entry'!AD111,
        2,
        LEN('ARDT Cutter Entry'!AD111)-1-LEN(Data!CS46)
      )
   )
)</f>
        <v/>
      </c>
      <c r="AE130" s="1122" t="str">
        <f>IF(
   LEFT('ARDT Cutter Entry'!AE111,1)&lt;&gt;"X",
   "",
   IF(
      LEN('ARDT Cutter Entry'!AE111)=LEN(Data!CT46)+1,
      Data!CT46 &amp; "",
      MID(
        'ARDT Cutter Entry'!AE111,
        2,
        LEN('ARDT Cutter Entry'!AE111)-1-LEN(Data!CT46)
      )
   )
)</f>
        <v/>
      </c>
      <c r="AF130" s="1122" t="str">
        <f>IF(
   LEFT('ARDT Cutter Entry'!AF111,1)&lt;&gt;"X",
   "",
   IF(
      LEN('ARDT Cutter Entry'!AF111)=LEN(Data!CU46)+1,
      Data!CU46 &amp; "",
      MID(
        'ARDT Cutter Entry'!AF111,
        2,
        LEN('ARDT Cutter Entry'!AF111)-1-LEN(Data!CU46)
      )
   )
)</f>
        <v/>
      </c>
      <c r="AG130" s="1122" t="str">
        <f>IF(
   LEFT('ARDT Cutter Entry'!AG111,1)&lt;&gt;"X",
   "",
   IF(
      LEN('ARDT Cutter Entry'!AG111)=LEN(Data!CV46)+1,
      Data!CV46 &amp; "",
      MID(
        'ARDT Cutter Entry'!AG111,
        2,
        LEN('ARDT Cutter Entry'!AG111)-1-LEN(Data!CV46)
      )
   )
)</f>
        <v/>
      </c>
      <c r="AH130" s="1122" t="str">
        <f>IF(
   LEFT('ARDT Cutter Entry'!AH111,1)&lt;&gt;"X",
   "",
   IF(
      LEN('ARDT Cutter Entry'!AH111)=LEN(Data!CW46)+1,
      Data!CW46 &amp; "",
      MID(
        'ARDT Cutter Entry'!AH111,
        2,
        LEN('ARDT Cutter Entry'!AH111)-1-LEN(Data!CW46)
      )
   )
)</f>
        <v/>
      </c>
      <c r="AI130" s="1122" t="str">
        <f>IF(
   LEFT('ARDT Cutter Entry'!AI111,1)&lt;&gt;"X",
   "",
   IF(
      LEN('ARDT Cutter Entry'!AI111)=LEN(Data!CX46)+1,
      Data!CX46 &amp; "",
      MID(
        'ARDT Cutter Entry'!AI111,
        2,
        LEN('ARDT Cutter Entry'!AI111)-1-LEN(Data!CX46)
      )
   )
)</f>
        <v/>
      </c>
      <c r="AJ130" s="41"/>
      <c r="AK130" t="s">
        <v>1543</v>
      </c>
      <c r="AR130" s="107" t="s">
        <v>791</v>
      </c>
      <c r="AS130" s="108">
        <f>IF(Data!B24&lt;&gt;"",IF(AND(Data!L21&lt;&gt;1,Data!L23&lt;&gt;1),IF(Data!L24&lt;&gt;1,IF('ARDT Cutter Entry'!C23&lt;&gt;"",Data!C72+'ARDT Cutter Entry'!BI97+('ARDT Cutter Entry'!AL21+'ARDT Cutter Entry'!AL22+'ARDT Cutter Entry'!AL23+'ARDT Cutter Entry'!AL24)*100+Data!AL26+IF(COUNTIF(Data!B23,"S*"),Data!L26*100,Data!L26*135)+Data!G50+'ARDT Cutter Entry'!BI96,0),500),550),0)</f>
        <v>0</v>
      </c>
      <c r="AT130" s="113"/>
    </row>
    <row r="131" spans="1:54" s="9" customFormat="1" ht="23.25" customHeight="1" thickBot="1" x14ac:dyDescent="0.4">
      <c r="A131" s="1196"/>
      <c r="B131" s="22">
        <v>2</v>
      </c>
      <c r="C131" s="1122" t="e" cm="1">
        <f t="array" ref="C131">--_xlfn.TEXTJOIN(
    "",
    TRUE,
    IF(ISNUMBER(--MID(C62,ROW($1:$20),1)),
       MID(C62,ROW($1:$20),1),
       ""
    )
)</f>
        <v>#VALUE!</v>
      </c>
      <c r="D131" s="1122" t="str">
        <f>IF(
   LEFT('ARDT Cutter Entry'!D112,1)&lt;&gt;"X",
   "",
   IF(
      LEN('ARDT Cutter Entry'!D112)=LEN(Data!BS47)+1,
      Data!BS47 &amp; "",
      MID(
        'ARDT Cutter Entry'!D112,
        2,
        LEN('ARDT Cutter Entry'!D112)-1-LEN(Data!BS47)
      )
   )
)</f>
        <v/>
      </c>
      <c r="E131" s="1122" t="str">
        <f>IF(
   LEFT('ARDT Cutter Entry'!E112,1)&lt;&gt;"X",
   "",
   IF(
      LEN('ARDT Cutter Entry'!E112)=LEN(Data!BT47)+1,
      Data!BT47 &amp; "",
      MID(
        'ARDT Cutter Entry'!E112,
        2,
        LEN('ARDT Cutter Entry'!E112)-1-LEN(Data!BT47)
      )
   )
)</f>
        <v/>
      </c>
      <c r="F131" s="1122" t="str">
        <f>IF(
   LEFT('ARDT Cutter Entry'!F112,1)&lt;&gt;"X",
   "",
   IF(
      LEN('ARDT Cutter Entry'!F112)=LEN(Data!BU47)+1,
      Data!BU47 &amp; "",
      MID(
        'ARDT Cutter Entry'!F112,
        2,
        LEN('ARDT Cutter Entry'!F112)-1-LEN(Data!BU47)
      )
   )
)</f>
        <v/>
      </c>
      <c r="G131" s="1122" t="str">
        <f>IF(
   LEFT('ARDT Cutter Entry'!G112,1)&lt;&gt;"X",
   "",
   IF(
      LEN('ARDT Cutter Entry'!G112)=LEN(Data!BV47)+1,
      Data!BV47 &amp; "",
      MID(
        'ARDT Cutter Entry'!G112,
        2,
        LEN('ARDT Cutter Entry'!G112)-1-LEN(Data!BV47)
      )
   )
)</f>
        <v/>
      </c>
      <c r="H131" s="1122" t="str">
        <f>IF(
   LEFT('ARDT Cutter Entry'!H112,1)&lt;&gt;"X",
   "",
   IF(
      LEN('ARDT Cutter Entry'!H112)=LEN(Data!BW47)+1,
      Data!BW47 &amp; "",
      MID(
        'ARDT Cutter Entry'!H112,
        2,
        LEN('ARDT Cutter Entry'!H112)-1-LEN(Data!BW47)
      )
   )
)</f>
        <v/>
      </c>
      <c r="I131" s="1122" t="str">
        <f>IF(
   LEFT('ARDT Cutter Entry'!I112,1)&lt;&gt;"X",
   "",
   IF(
      LEN('ARDT Cutter Entry'!I112)=LEN(Data!BX47)+1,
      Data!BX47 &amp; "",
      MID(
        'ARDT Cutter Entry'!I112,
        2,
        LEN('ARDT Cutter Entry'!I112)-1-LEN(Data!BX47)
      )
   )
)</f>
        <v/>
      </c>
      <c r="J131" s="1122" t="str">
        <f>IF(
   LEFT('ARDT Cutter Entry'!J112,1)&lt;&gt;"X",
   "",
   IF(
      LEN('ARDT Cutter Entry'!J112)=LEN(Data!BY47)+1,
      Data!BY47 &amp; "",
      MID(
        'ARDT Cutter Entry'!J112,
        2,
        LEN('ARDT Cutter Entry'!J112)-1-LEN(Data!BY47)
      )
   )
)</f>
        <v/>
      </c>
      <c r="K131" s="1122" t="str">
        <f>IF(
   LEFT('ARDT Cutter Entry'!K112,1)&lt;&gt;"X",
   "",
   IF(
      LEN('ARDT Cutter Entry'!K112)=LEN(Data!BZ47)+1,
      Data!BZ47 &amp; "",
      MID(
        'ARDT Cutter Entry'!K112,
        2,
        LEN('ARDT Cutter Entry'!K112)-1-LEN(Data!BZ47)
      )
   )
)</f>
        <v/>
      </c>
      <c r="L131" s="1122" t="str">
        <f>IF(
   LEFT('ARDT Cutter Entry'!L112,1)&lt;&gt;"X",
   "",
   IF(
      LEN('ARDT Cutter Entry'!L112)=LEN(Data!CA47)+1,
      Data!CA47 &amp; "",
      MID(
        'ARDT Cutter Entry'!L112,
        2,
        LEN('ARDT Cutter Entry'!L112)-1-LEN(Data!CA47)
      )
   )
)</f>
        <v/>
      </c>
      <c r="M131" s="1122" t="str">
        <f>IF(
   LEFT('ARDT Cutter Entry'!M112,1)&lt;&gt;"X",
   "",
   IF(
      LEN('ARDT Cutter Entry'!M112)=LEN(Data!CB47)+1,
      Data!CB47 &amp; "",
      MID(
        'ARDT Cutter Entry'!M112,
        2,
        LEN('ARDT Cutter Entry'!M112)-1-LEN(Data!CB47)
      )
   )
)</f>
        <v/>
      </c>
      <c r="N131" s="1122" t="str">
        <f>IF(
   LEFT('ARDT Cutter Entry'!N112,1)&lt;&gt;"X",
   "",
   IF(
      LEN('ARDT Cutter Entry'!N112)=LEN(Data!CC47)+1,
      Data!CC47 &amp; "",
      MID(
        'ARDT Cutter Entry'!N112,
        2,
        LEN('ARDT Cutter Entry'!N112)-1-LEN(Data!CC47)
      )
   )
)</f>
        <v/>
      </c>
      <c r="O131" s="1122" t="str">
        <f>IF(
   LEFT('ARDT Cutter Entry'!O112,1)&lt;&gt;"X",
   "",
   IF(
      LEN('ARDT Cutter Entry'!O112)=LEN(Data!CD47)+1,
      Data!CD47 &amp; "",
      MID(
        'ARDT Cutter Entry'!O112,
        2,
        LEN('ARDT Cutter Entry'!O112)-1-LEN(Data!CD47)
      )
   )
)</f>
        <v/>
      </c>
      <c r="P131" s="1122" t="str">
        <f>IF(
   LEFT('ARDT Cutter Entry'!P112,1)&lt;&gt;"X",
   "",
   IF(
      LEN('ARDT Cutter Entry'!P112)=LEN(Data!CE47)+1,
      Data!CE47 &amp; "",
      MID(
        'ARDT Cutter Entry'!P112,
        2,
        LEN('ARDT Cutter Entry'!P112)-1-LEN(Data!CE47)
      )
   )
)</f>
        <v/>
      </c>
      <c r="Q131" s="1122" t="str">
        <f>IF(
   LEFT('ARDT Cutter Entry'!Q112,1)&lt;&gt;"X",
   "",
   IF(
      LEN('ARDT Cutter Entry'!Q112)=LEN(Data!CF47)+1,
      Data!CF47 &amp; "",
      MID(
        'ARDT Cutter Entry'!Q112,
        2,
        LEN('ARDT Cutter Entry'!Q112)-1-LEN(Data!CF47)
      )
   )
)</f>
        <v/>
      </c>
      <c r="R131" s="1122" t="str">
        <f>IF(
   LEFT('ARDT Cutter Entry'!R112,1)&lt;&gt;"X",
   "",
   IF(
      LEN('ARDT Cutter Entry'!R112)=LEN(Data!CG47)+1,
      Data!CG47 &amp; "",
      MID(
        'ARDT Cutter Entry'!R112,
        2,
        LEN('ARDT Cutter Entry'!R112)-1-LEN(Data!CG47)
      )
   )
)</f>
        <v/>
      </c>
      <c r="S131" s="1122" t="str">
        <f>IF(
   LEFT('ARDT Cutter Entry'!S112,1)&lt;&gt;"X",
   "",
   IF(
      LEN('ARDT Cutter Entry'!S112)=LEN(Data!CH47)+1,
      Data!CH47 &amp; "",
      MID(
        'ARDT Cutter Entry'!S112,
        2,
        LEN('ARDT Cutter Entry'!S112)-1-LEN(Data!CH47)
      )
   )
)</f>
        <v/>
      </c>
      <c r="T131" s="1122" t="str">
        <f>IF(
   LEFT('ARDT Cutter Entry'!T112,1)&lt;&gt;"X",
   "",
   IF(
      LEN('ARDT Cutter Entry'!T112)=LEN(Data!CI47)+1,
      Data!CI47 &amp; "",
      MID(
        'ARDT Cutter Entry'!T112,
        2,
        LEN('ARDT Cutter Entry'!T112)-1-LEN(Data!CI47)
      )
   )
)</f>
        <v/>
      </c>
      <c r="U131" s="1122" t="str">
        <f>IF(
   LEFT('ARDT Cutter Entry'!U112,1)&lt;&gt;"X",
   "",
   IF(
      LEN('ARDT Cutter Entry'!U112)=LEN(Data!CJ47)+1,
      Data!CJ47 &amp; "",
      MID(
        'ARDT Cutter Entry'!U112,
        2,
        LEN('ARDT Cutter Entry'!U112)-1-LEN(Data!CJ47)
      )
   )
)</f>
        <v/>
      </c>
      <c r="V131" s="1122" t="str">
        <f>IF(
   LEFT('ARDT Cutter Entry'!V112,1)&lt;&gt;"X",
   "",
   IF(
      LEN('ARDT Cutter Entry'!V112)=LEN(Data!CK47)+1,
      Data!CK47 &amp; "",
      MID(
        'ARDT Cutter Entry'!V112,
        2,
        LEN('ARDT Cutter Entry'!V112)-1-LEN(Data!CK47)
      )
   )
)</f>
        <v/>
      </c>
      <c r="W131" s="1122" t="str">
        <f>IF(
   LEFT('ARDT Cutter Entry'!W112,1)&lt;&gt;"X",
   "",
   IF(
      LEN('ARDT Cutter Entry'!W112)=LEN(Data!CL47)+1,
      Data!CL47 &amp; "",
      MID(
        'ARDT Cutter Entry'!W112,
        2,
        LEN('ARDT Cutter Entry'!W112)-1-LEN(Data!CL47)
      )
   )
)</f>
        <v/>
      </c>
      <c r="X131" s="1122" t="str">
        <f>IF(
   LEFT('ARDT Cutter Entry'!X112,1)&lt;&gt;"X",
   "",
   IF(
      LEN('ARDT Cutter Entry'!X112)=LEN(Data!CM47)+1,
      Data!CM47 &amp; "",
      MID(
        'ARDT Cutter Entry'!X112,
        2,
        LEN('ARDT Cutter Entry'!X112)-1-LEN(Data!CM47)
      )
   )
)</f>
        <v/>
      </c>
      <c r="Y131" s="1122" t="str">
        <f>IF(
   LEFT('ARDT Cutter Entry'!Y112,1)&lt;&gt;"X",
   "",
   IF(
      LEN('ARDT Cutter Entry'!Y112)=LEN(Data!CN47)+1,
      Data!CN47 &amp; "",
      MID(
        'ARDT Cutter Entry'!Y112,
        2,
        LEN('ARDT Cutter Entry'!Y112)-1-LEN(Data!CN47)
      )
   )
)</f>
        <v/>
      </c>
      <c r="Z131" s="1122" t="str">
        <f>IF(
   LEFT('ARDT Cutter Entry'!Z112,1)&lt;&gt;"X",
   "",
   IF(
      LEN('ARDT Cutter Entry'!Z112)=LEN(Data!CO47)+1,
      Data!CO47 &amp; "",
      MID(
        'ARDT Cutter Entry'!Z112,
        2,
        LEN('ARDT Cutter Entry'!Z112)-1-LEN(Data!CO47)
      )
   )
)</f>
        <v/>
      </c>
      <c r="AA131" s="1122" t="str">
        <f>IF(
   LEFT('ARDT Cutter Entry'!AA112,1)&lt;&gt;"X",
   "",
   IF(
      LEN('ARDT Cutter Entry'!AA112)=LEN(Data!CP47)+1,
      Data!CP47 &amp; "",
      MID(
        'ARDT Cutter Entry'!AA112,
        2,
        LEN('ARDT Cutter Entry'!AA112)-1-LEN(Data!CP47)
      )
   )
)</f>
        <v/>
      </c>
      <c r="AB131" s="1122" t="str">
        <f>IF(
   LEFT('ARDT Cutter Entry'!AB112,1)&lt;&gt;"X",
   "",
   IF(
      LEN('ARDT Cutter Entry'!AB112)=LEN(Data!CQ47)+1,
      Data!CQ47 &amp; "",
      MID(
        'ARDT Cutter Entry'!AB112,
        2,
        LEN('ARDT Cutter Entry'!AB112)-1-LEN(Data!CQ47)
      )
   )
)</f>
        <v/>
      </c>
      <c r="AC131" s="1122" t="str">
        <f>IF(
   LEFT('ARDT Cutter Entry'!AC112,1)&lt;&gt;"X",
   "",
   IF(
      LEN('ARDT Cutter Entry'!AC112)=LEN(Data!CR47)+1,
      Data!CR47 &amp; "",
      MID(
        'ARDT Cutter Entry'!AC112,
        2,
        LEN('ARDT Cutter Entry'!AC112)-1-LEN(Data!CR47)
      )
   )
)</f>
        <v/>
      </c>
      <c r="AD131" s="1122" t="str">
        <f>IF(
   LEFT('ARDT Cutter Entry'!AD112,1)&lt;&gt;"X",
   "",
   IF(
      LEN('ARDT Cutter Entry'!AD112)=LEN(Data!CS47)+1,
      Data!CS47 &amp; "",
      MID(
        'ARDT Cutter Entry'!AD112,
        2,
        LEN('ARDT Cutter Entry'!AD112)-1-LEN(Data!CS47)
      )
   )
)</f>
        <v/>
      </c>
      <c r="AE131" s="1122" t="str">
        <f>IF(
   LEFT('ARDT Cutter Entry'!AE112,1)&lt;&gt;"X",
   "",
   IF(
      LEN('ARDT Cutter Entry'!AE112)=LEN(Data!CT47)+1,
      Data!CT47 &amp; "",
      MID(
        'ARDT Cutter Entry'!AE112,
        2,
        LEN('ARDT Cutter Entry'!AE112)-1-LEN(Data!CT47)
      )
   )
)</f>
        <v/>
      </c>
      <c r="AF131" s="1122" t="str">
        <f>IF(
   LEFT('ARDT Cutter Entry'!AF112,1)&lt;&gt;"X",
   "",
   IF(
      LEN('ARDT Cutter Entry'!AF112)=LEN(Data!CU47)+1,
      Data!CU47 &amp; "",
      MID(
        'ARDT Cutter Entry'!AF112,
        2,
        LEN('ARDT Cutter Entry'!AF112)-1-LEN(Data!CU47)
      )
   )
)</f>
        <v/>
      </c>
      <c r="AG131" s="1122" t="str">
        <f>IF(
   LEFT('ARDT Cutter Entry'!AG112,1)&lt;&gt;"X",
   "",
   IF(
      LEN('ARDT Cutter Entry'!AG112)=LEN(Data!CV47)+1,
      Data!CV47 &amp; "",
      MID(
        'ARDT Cutter Entry'!AG112,
        2,
        LEN('ARDT Cutter Entry'!AG112)-1-LEN(Data!CV47)
      )
   )
)</f>
        <v/>
      </c>
      <c r="AH131" s="1122" t="str">
        <f>IF(
   LEFT('ARDT Cutter Entry'!AH112,1)&lt;&gt;"X",
   "",
   IF(
      LEN('ARDT Cutter Entry'!AH112)=LEN(Data!CW47)+1,
      Data!CW47 &amp; "",
      MID(
        'ARDT Cutter Entry'!AH112,
        2,
        LEN('ARDT Cutter Entry'!AH112)-1-LEN(Data!CW47)
      )
   )
)</f>
        <v/>
      </c>
      <c r="AI131" s="1122" t="str">
        <f>IF(
   LEFT('ARDT Cutter Entry'!AI112,1)&lt;&gt;"X",
   "",
   IF(
      LEN('ARDT Cutter Entry'!AI112)=LEN(Data!CX47)+1,
      Data!CX47 &amp; "",
      MID(
        'ARDT Cutter Entry'!AI112,
        2,
        LEN('ARDT Cutter Entry'!AI112)-1-LEN(Data!CX47)
      )
   )
)</f>
        <v/>
      </c>
      <c r="AJ131" s="41"/>
      <c r="AK131"/>
      <c r="AL131"/>
      <c r="AM131"/>
      <c r="AN131" s="13"/>
      <c r="AO131" s="13"/>
      <c r="AP131" s="13"/>
      <c r="AQ131" s="13"/>
      <c r="AR131" s="107" t="s">
        <v>793</v>
      </c>
      <c r="AS131" s="108" t="e">
        <f>IF('Eng. Cutter Entry'!C23&lt;&gt;"",AT131,IF(AT131&lt;&gt;Data!C72,AT131,0))</f>
        <v>#VALUE!</v>
      </c>
      <c r="AT131" s="113" t="e">
        <f>IF(Data!B24&lt;&gt;"",IF(AND(Data!L21&lt;&gt;1,Data!L22&lt;&gt;1,Data!L23&lt;&gt;1),IF(Data!L24&lt;&gt;1,Data!C72+'ARDT Cutter Entry'!BI103+('ARDT Cutter Entry'!AL81+'ARDT Cutter Entry'!AL82+'ARDT Cutter Entry'!AL83+'ARDT Cutter Entry'!AL84)*100+IF(COUNTIF(Data!B23,"S*"),Data!L27*100,Data!L27*135)+Data!G50+'ARDT Cutter Entry'!BI100,500),550),0)</f>
        <v>#VALUE!</v>
      </c>
      <c r="AU131" s="13" t="e">
        <f>Data!C72+'ARDT Cutter Entry'!BI103+('ARDT Cutter Entry'!AL81+'ARDT Cutter Entry'!AL82+'ARDT Cutter Entry'!AL83)*100+Data!L27*135+Data!G50+'ARDT Cutter Entry'!BI100</f>
        <v>#VALUE!</v>
      </c>
      <c r="AV131" s="13"/>
      <c r="AW131" s="13"/>
      <c r="AX131" s="13"/>
      <c r="AY131" s="13"/>
      <c r="AZ131" s="95"/>
      <c r="BA131" s="95"/>
      <c r="BB131" s="95"/>
    </row>
    <row r="132" spans="1:54" s="9" customFormat="1" ht="23.25" customHeight="1" thickBot="1" x14ac:dyDescent="0.4">
      <c r="A132" s="1196"/>
      <c r="B132" s="22">
        <v>3</v>
      </c>
      <c r="C132" s="1122" t="e" cm="1">
        <f t="array" ref="C132">--_xlfn.TEXTJOIN(
    "",
    TRUE,
    IF(ISNUMBER(--MID(C63,ROW($1:$20),1)),
       MID(C63,ROW($1:$20),1),
       ""
    )
)</f>
        <v>#VALUE!</v>
      </c>
      <c r="D132" s="1122" t="str">
        <f>IF(
   LEFT('ARDT Cutter Entry'!D113,1)&lt;&gt;"X",
   "",
   IF(
      LEN('ARDT Cutter Entry'!D113)=LEN(Data!BS48)+1,
      Data!BS48 &amp; "",
      MID(
        'ARDT Cutter Entry'!D113,
        2,
        LEN('ARDT Cutter Entry'!D113)-1-LEN(Data!BS48)
      )
   )
)</f>
        <v/>
      </c>
      <c r="E132" s="1122" t="str">
        <f>IF(
   LEFT('ARDT Cutter Entry'!E113,1)&lt;&gt;"X",
   "",
   IF(
      LEN('ARDT Cutter Entry'!E113)=LEN(Data!BT48)+1,
      Data!BT48 &amp; "",
      MID(
        'ARDT Cutter Entry'!E113,
        2,
        LEN('ARDT Cutter Entry'!E113)-1-LEN(Data!BT48)
      )
   )
)</f>
        <v/>
      </c>
      <c r="F132" s="1122" t="str">
        <f>IF(
   LEFT('ARDT Cutter Entry'!F113,1)&lt;&gt;"X",
   "",
   IF(
      LEN('ARDT Cutter Entry'!F113)=LEN(Data!BU48)+1,
      Data!BU48 &amp; "",
      MID(
        'ARDT Cutter Entry'!F113,
        2,
        LEN('ARDT Cutter Entry'!F113)-1-LEN(Data!BU48)
      )
   )
)</f>
        <v/>
      </c>
      <c r="G132" s="1122" t="str">
        <f>IF(
   LEFT('ARDT Cutter Entry'!G113,1)&lt;&gt;"X",
   "",
   IF(
      LEN('ARDT Cutter Entry'!G113)=LEN(Data!BV48)+1,
      Data!BV48 &amp; "",
      MID(
        'ARDT Cutter Entry'!G113,
        2,
        LEN('ARDT Cutter Entry'!G113)-1-LEN(Data!BV48)
      )
   )
)</f>
        <v/>
      </c>
      <c r="H132" s="1122" t="str">
        <f>IF(
   LEFT('ARDT Cutter Entry'!H113,1)&lt;&gt;"X",
   "",
   IF(
      LEN('ARDT Cutter Entry'!H113)=LEN(Data!BW48)+1,
      Data!BW48 &amp; "",
      MID(
        'ARDT Cutter Entry'!H113,
        2,
        LEN('ARDT Cutter Entry'!H113)-1-LEN(Data!BW48)
      )
   )
)</f>
        <v/>
      </c>
      <c r="I132" s="1122" t="str">
        <f>IF(
   LEFT('ARDT Cutter Entry'!I113,1)&lt;&gt;"X",
   "",
   IF(
      LEN('ARDT Cutter Entry'!I113)=LEN(Data!BX48)+1,
      Data!BX48 &amp; "",
      MID(
        'ARDT Cutter Entry'!I113,
        2,
        LEN('ARDT Cutter Entry'!I113)-1-LEN(Data!BX48)
      )
   )
)</f>
        <v/>
      </c>
      <c r="J132" s="1122" t="str">
        <f>IF(
   LEFT('ARDT Cutter Entry'!J113,1)&lt;&gt;"X",
   "",
   IF(
      LEN('ARDT Cutter Entry'!J113)=LEN(Data!BY48)+1,
      Data!BY48 &amp; "",
      MID(
        'ARDT Cutter Entry'!J113,
        2,
        LEN('ARDT Cutter Entry'!J113)-1-LEN(Data!BY48)
      )
   )
)</f>
        <v/>
      </c>
      <c r="K132" s="1122" t="str">
        <f>IF(
   LEFT('ARDT Cutter Entry'!K113,1)&lt;&gt;"X",
   "",
   IF(
      LEN('ARDT Cutter Entry'!K113)=LEN(Data!BZ48)+1,
      Data!BZ48 &amp; "",
      MID(
        'ARDT Cutter Entry'!K113,
        2,
        LEN('ARDT Cutter Entry'!K113)-1-LEN(Data!BZ48)
      )
   )
)</f>
        <v/>
      </c>
      <c r="L132" s="1122" t="str">
        <f>IF(
   LEFT('ARDT Cutter Entry'!L113,1)&lt;&gt;"X",
   "",
   IF(
      LEN('ARDT Cutter Entry'!L113)=LEN(Data!CA48)+1,
      Data!CA48 &amp; "",
      MID(
        'ARDT Cutter Entry'!L113,
        2,
        LEN('ARDT Cutter Entry'!L113)-1-LEN(Data!CA48)
      )
   )
)</f>
        <v/>
      </c>
      <c r="M132" s="1122" t="str">
        <f>IF(
   LEFT('ARDT Cutter Entry'!M113,1)&lt;&gt;"X",
   "",
   IF(
      LEN('ARDT Cutter Entry'!M113)=LEN(Data!CB48)+1,
      Data!CB48 &amp; "",
      MID(
        'ARDT Cutter Entry'!M113,
        2,
        LEN('ARDT Cutter Entry'!M113)-1-LEN(Data!CB48)
      )
   )
)</f>
        <v/>
      </c>
      <c r="N132" s="1122" t="str">
        <f>IF(
   LEFT('ARDT Cutter Entry'!N113,1)&lt;&gt;"X",
   "",
   IF(
      LEN('ARDT Cutter Entry'!N113)=LEN(Data!CC48)+1,
      Data!CC48 &amp; "",
      MID(
        'ARDT Cutter Entry'!N113,
        2,
        LEN('ARDT Cutter Entry'!N113)-1-LEN(Data!CC48)
      )
   )
)</f>
        <v/>
      </c>
      <c r="O132" s="1122" t="str">
        <f>IF(
   LEFT('ARDT Cutter Entry'!O113,1)&lt;&gt;"X",
   "",
   IF(
      LEN('ARDT Cutter Entry'!O113)=LEN(Data!CD48)+1,
      Data!CD48 &amp; "",
      MID(
        'ARDT Cutter Entry'!O113,
        2,
        LEN('ARDT Cutter Entry'!O113)-1-LEN(Data!CD48)
      )
   )
)</f>
        <v/>
      </c>
      <c r="P132" s="1122" t="str">
        <f>IF(
   LEFT('ARDT Cutter Entry'!P113,1)&lt;&gt;"X",
   "",
   IF(
      LEN('ARDT Cutter Entry'!P113)=LEN(Data!CE48)+1,
      Data!CE48 &amp; "",
      MID(
        'ARDT Cutter Entry'!P113,
        2,
        LEN('ARDT Cutter Entry'!P113)-1-LEN(Data!CE48)
      )
   )
)</f>
        <v/>
      </c>
      <c r="Q132" s="1122" t="str">
        <f>IF(
   LEFT('ARDT Cutter Entry'!Q113,1)&lt;&gt;"X",
   "",
   IF(
      LEN('ARDT Cutter Entry'!Q113)=LEN(Data!CF48)+1,
      Data!CF48 &amp; "",
      MID(
        'ARDT Cutter Entry'!Q113,
        2,
        LEN('ARDT Cutter Entry'!Q113)-1-LEN(Data!CF48)
      )
   )
)</f>
        <v/>
      </c>
      <c r="R132" s="1122" t="str">
        <f>IF(
   LEFT('ARDT Cutter Entry'!R113,1)&lt;&gt;"X",
   "",
   IF(
      LEN('ARDT Cutter Entry'!R113)=LEN(Data!CG48)+1,
      Data!CG48 &amp; "",
      MID(
        'ARDT Cutter Entry'!R113,
        2,
        LEN('ARDT Cutter Entry'!R113)-1-LEN(Data!CG48)
      )
   )
)</f>
        <v/>
      </c>
      <c r="S132" s="1122" t="str">
        <f>IF(
   LEFT('ARDT Cutter Entry'!S113,1)&lt;&gt;"X",
   "",
   IF(
      LEN('ARDT Cutter Entry'!S113)=LEN(Data!CH48)+1,
      Data!CH48 &amp; "",
      MID(
        'ARDT Cutter Entry'!S113,
        2,
        LEN('ARDT Cutter Entry'!S113)-1-LEN(Data!CH48)
      )
   )
)</f>
        <v/>
      </c>
      <c r="T132" s="1122" t="str">
        <f>IF(
   LEFT('ARDT Cutter Entry'!T113,1)&lt;&gt;"X",
   "",
   IF(
      LEN('ARDT Cutter Entry'!T113)=LEN(Data!CI48)+1,
      Data!CI48 &amp; "",
      MID(
        'ARDT Cutter Entry'!T113,
        2,
        LEN('ARDT Cutter Entry'!T113)-1-LEN(Data!CI48)
      )
   )
)</f>
        <v/>
      </c>
      <c r="U132" s="1122" t="str">
        <f>IF(
   LEFT('ARDT Cutter Entry'!U113,1)&lt;&gt;"X",
   "",
   IF(
      LEN('ARDT Cutter Entry'!U113)=LEN(Data!CJ48)+1,
      Data!CJ48 &amp; "",
      MID(
        'ARDT Cutter Entry'!U113,
        2,
        LEN('ARDT Cutter Entry'!U113)-1-LEN(Data!CJ48)
      )
   )
)</f>
        <v/>
      </c>
      <c r="V132" s="1122" t="str">
        <f>IF(
   LEFT('ARDT Cutter Entry'!V113,1)&lt;&gt;"X",
   "",
   IF(
      LEN('ARDT Cutter Entry'!V113)=LEN(Data!CK48)+1,
      Data!CK48 &amp; "",
      MID(
        'ARDT Cutter Entry'!V113,
        2,
        LEN('ARDT Cutter Entry'!V113)-1-LEN(Data!CK48)
      )
   )
)</f>
        <v/>
      </c>
      <c r="W132" s="1122" t="str">
        <f>IF(
   LEFT('ARDT Cutter Entry'!W113,1)&lt;&gt;"X",
   "",
   IF(
      LEN('ARDT Cutter Entry'!W113)=LEN(Data!CL48)+1,
      Data!CL48 &amp; "",
      MID(
        'ARDT Cutter Entry'!W113,
        2,
        LEN('ARDT Cutter Entry'!W113)-1-LEN(Data!CL48)
      )
   )
)</f>
        <v/>
      </c>
      <c r="X132" s="1122" t="str">
        <f>IF(
   LEFT('ARDT Cutter Entry'!X113,1)&lt;&gt;"X",
   "",
   IF(
      LEN('ARDT Cutter Entry'!X113)=LEN(Data!CM48)+1,
      Data!CM48 &amp; "",
      MID(
        'ARDT Cutter Entry'!X113,
        2,
        LEN('ARDT Cutter Entry'!X113)-1-LEN(Data!CM48)
      )
   )
)</f>
        <v/>
      </c>
      <c r="Y132" s="1122" t="str">
        <f>IF(
   LEFT('ARDT Cutter Entry'!Y113,1)&lt;&gt;"X",
   "",
   IF(
      LEN('ARDT Cutter Entry'!Y113)=LEN(Data!CN48)+1,
      Data!CN48 &amp; "",
      MID(
        'ARDT Cutter Entry'!Y113,
        2,
        LEN('ARDT Cutter Entry'!Y113)-1-LEN(Data!CN48)
      )
   )
)</f>
        <v/>
      </c>
      <c r="Z132" s="1122" t="str">
        <f>IF(
   LEFT('ARDT Cutter Entry'!Z113,1)&lt;&gt;"X",
   "",
   IF(
      LEN('ARDT Cutter Entry'!Z113)=LEN(Data!CO48)+1,
      Data!CO48 &amp; "",
      MID(
        'ARDT Cutter Entry'!Z113,
        2,
        LEN('ARDT Cutter Entry'!Z113)-1-LEN(Data!CO48)
      )
   )
)</f>
        <v/>
      </c>
      <c r="AA132" s="1122" t="str">
        <f>IF(
   LEFT('ARDT Cutter Entry'!AA113,1)&lt;&gt;"X",
   "",
   IF(
      LEN('ARDT Cutter Entry'!AA113)=LEN(Data!CP48)+1,
      Data!CP48 &amp; "",
      MID(
        'ARDT Cutter Entry'!AA113,
        2,
        LEN('ARDT Cutter Entry'!AA113)-1-LEN(Data!CP48)
      )
   )
)</f>
        <v/>
      </c>
      <c r="AB132" s="1122" t="str">
        <f>IF(
   LEFT('ARDT Cutter Entry'!AB113,1)&lt;&gt;"X",
   "",
   IF(
      LEN('ARDT Cutter Entry'!AB113)=LEN(Data!CQ48)+1,
      Data!CQ48 &amp; "",
      MID(
        'ARDT Cutter Entry'!AB113,
        2,
        LEN('ARDT Cutter Entry'!AB113)-1-LEN(Data!CQ48)
      )
   )
)</f>
        <v/>
      </c>
      <c r="AC132" s="1122" t="str">
        <f>IF(
   LEFT('ARDT Cutter Entry'!AC113,1)&lt;&gt;"X",
   "",
   IF(
      LEN('ARDT Cutter Entry'!AC113)=LEN(Data!CR48)+1,
      Data!CR48 &amp; "",
      MID(
        'ARDT Cutter Entry'!AC113,
        2,
        LEN('ARDT Cutter Entry'!AC113)-1-LEN(Data!CR48)
      )
   )
)</f>
        <v/>
      </c>
      <c r="AD132" s="1122" t="str">
        <f>IF(
   LEFT('ARDT Cutter Entry'!AD113,1)&lt;&gt;"X",
   "",
   IF(
      LEN('ARDT Cutter Entry'!AD113)=LEN(Data!CS48)+1,
      Data!CS48 &amp; "",
      MID(
        'ARDT Cutter Entry'!AD113,
        2,
        LEN('ARDT Cutter Entry'!AD113)-1-LEN(Data!CS48)
      )
   )
)</f>
        <v/>
      </c>
      <c r="AE132" s="1122" t="str">
        <f>IF(
   LEFT('ARDT Cutter Entry'!AE113,1)&lt;&gt;"X",
   "",
   IF(
      LEN('ARDT Cutter Entry'!AE113)=LEN(Data!CT48)+1,
      Data!CT48 &amp; "",
      MID(
        'ARDT Cutter Entry'!AE113,
        2,
        LEN('ARDT Cutter Entry'!AE113)-1-LEN(Data!CT48)
      )
   )
)</f>
        <v/>
      </c>
      <c r="AF132" s="1122" t="str">
        <f>IF(
   LEFT('ARDT Cutter Entry'!AF113,1)&lt;&gt;"X",
   "",
   IF(
      LEN('ARDT Cutter Entry'!AF113)=LEN(Data!CU48)+1,
      Data!CU48 &amp; "",
      MID(
        'ARDT Cutter Entry'!AF113,
        2,
        LEN('ARDT Cutter Entry'!AF113)-1-LEN(Data!CU48)
      )
   )
)</f>
        <v/>
      </c>
      <c r="AG132" s="1122" t="str">
        <f>IF(
   LEFT('ARDT Cutter Entry'!AG113,1)&lt;&gt;"X",
   "",
   IF(
      LEN('ARDT Cutter Entry'!AG113)=LEN(Data!CV48)+1,
      Data!CV48 &amp; "",
      MID(
        'ARDT Cutter Entry'!AG113,
        2,
        LEN('ARDT Cutter Entry'!AG113)-1-LEN(Data!CV48)
      )
   )
)</f>
        <v/>
      </c>
      <c r="AH132" s="1122" t="str">
        <f>IF(
   LEFT('ARDT Cutter Entry'!AH113,1)&lt;&gt;"X",
   "",
   IF(
      LEN('ARDT Cutter Entry'!AH113)=LEN(Data!CW48)+1,
      Data!CW48 &amp; "",
      MID(
        'ARDT Cutter Entry'!AH113,
        2,
        LEN('ARDT Cutter Entry'!AH113)-1-LEN(Data!CW48)
      )
   )
)</f>
        <v/>
      </c>
      <c r="AI132" s="1122" t="str">
        <f>IF(
   LEFT('ARDT Cutter Entry'!AI113,1)&lt;&gt;"X",
   "",
   IF(
      LEN('ARDT Cutter Entry'!AI113)=LEN(Data!CX48)+1,
      Data!CX48 &amp; "",
      MID(
        'ARDT Cutter Entry'!AI113,
        2,
        LEN('ARDT Cutter Entry'!AI113)-1-LEN(Data!CX48)
      )
   )
)</f>
        <v/>
      </c>
      <c r="AJ132" s="41"/>
      <c r="AK132"/>
      <c r="AL132"/>
      <c r="AM132"/>
      <c r="AN132" s="13"/>
      <c r="AO132" s="13"/>
      <c r="AP132" s="13"/>
      <c r="AQ132" s="13"/>
      <c r="AR132" s="107" t="s">
        <v>794</v>
      </c>
      <c r="AS132" s="33">
        <f>IF(OR(Data!L22=1,Data!L23=1),550,IF(Data!L24=1,500,Quotation!AL77))</f>
        <v>0</v>
      </c>
      <c r="AT132" s="113"/>
      <c r="AU132" s="13"/>
      <c r="AV132" s="13"/>
      <c r="AW132" s="13"/>
      <c r="AX132" s="13"/>
      <c r="AY132" s="13"/>
      <c r="AZ132" s="95"/>
      <c r="BA132" s="95"/>
      <c r="BB132" s="95"/>
    </row>
    <row r="133" spans="1:54" ht="23.25" customHeight="1" thickBot="1" x14ac:dyDescent="0.4">
      <c r="A133" s="1196"/>
      <c r="B133" s="22">
        <v>4</v>
      </c>
      <c r="C133" s="1122" t="e" cm="1">
        <f t="array" ref="C133">--_xlfn.TEXTJOIN(
    "",
    TRUE,
    IF(ISNUMBER(--MID(C64,ROW($1:$20),1)),
       MID(C64,ROW($1:$20),1),
       ""
    )
)</f>
        <v>#VALUE!</v>
      </c>
      <c r="D133" s="1122" t="str">
        <f>IF(
   LEFT('ARDT Cutter Entry'!D114,1)&lt;&gt;"X",
   "",
   IF(
      LEN('ARDT Cutter Entry'!D114)=LEN(Data!BS49)+1,
      Data!BS49 &amp; "",
      MID(
        'ARDT Cutter Entry'!D114,
        2,
        LEN('ARDT Cutter Entry'!D114)-1-LEN(Data!BS49)
      )
   )
)</f>
        <v/>
      </c>
      <c r="E133" s="1122" t="str">
        <f>IF(
   LEFT('ARDT Cutter Entry'!E114,1)&lt;&gt;"X",
   "",
   IF(
      LEN('ARDT Cutter Entry'!E114)=LEN(Data!BT49)+1,
      Data!BT49 &amp; "",
      MID(
        'ARDT Cutter Entry'!E114,
        2,
        LEN('ARDT Cutter Entry'!E114)-1-LEN(Data!BT49)
      )
   )
)</f>
        <v/>
      </c>
      <c r="F133" s="1122" t="str">
        <f>IF(
   LEFT('ARDT Cutter Entry'!F114,1)&lt;&gt;"X",
   "",
   IF(
      LEN('ARDT Cutter Entry'!F114)=LEN(Data!BU49)+1,
      Data!BU49 &amp; "",
      MID(
        'ARDT Cutter Entry'!F114,
        2,
        LEN('ARDT Cutter Entry'!F114)-1-LEN(Data!BU49)
      )
   )
)</f>
        <v/>
      </c>
      <c r="G133" s="1122" t="str">
        <f>IF(
   LEFT('ARDT Cutter Entry'!G114,1)&lt;&gt;"X",
   "",
   IF(
      LEN('ARDT Cutter Entry'!G114)=LEN(Data!BV49)+1,
      Data!BV49 &amp; "",
      MID(
        'ARDT Cutter Entry'!G114,
        2,
        LEN('ARDT Cutter Entry'!G114)-1-LEN(Data!BV49)
      )
   )
)</f>
        <v/>
      </c>
      <c r="H133" s="1122" t="str">
        <f>IF(
   LEFT('ARDT Cutter Entry'!H114,1)&lt;&gt;"X",
   "",
   IF(
      LEN('ARDT Cutter Entry'!H114)=LEN(Data!BW49)+1,
      Data!BW49 &amp; "",
      MID(
        'ARDT Cutter Entry'!H114,
        2,
        LEN('ARDT Cutter Entry'!H114)-1-LEN(Data!BW49)
      )
   )
)</f>
        <v/>
      </c>
      <c r="I133" s="1122" t="str">
        <f>IF(
   LEFT('ARDT Cutter Entry'!I114,1)&lt;&gt;"X",
   "",
   IF(
      LEN('ARDT Cutter Entry'!I114)=LEN(Data!BX49)+1,
      Data!BX49 &amp; "",
      MID(
        'ARDT Cutter Entry'!I114,
        2,
        LEN('ARDT Cutter Entry'!I114)-1-LEN(Data!BX49)
      )
   )
)</f>
        <v/>
      </c>
      <c r="J133" s="1122" t="str">
        <f>IF(
   LEFT('ARDT Cutter Entry'!J114,1)&lt;&gt;"X",
   "",
   IF(
      LEN('ARDT Cutter Entry'!J114)=LEN(Data!BY49)+1,
      Data!BY49 &amp; "",
      MID(
        'ARDT Cutter Entry'!J114,
        2,
        LEN('ARDT Cutter Entry'!J114)-1-LEN(Data!BY49)
      )
   )
)</f>
        <v/>
      </c>
      <c r="K133" s="1122" t="str">
        <f>IF(
   LEFT('ARDT Cutter Entry'!K114,1)&lt;&gt;"X",
   "",
   IF(
      LEN('ARDT Cutter Entry'!K114)=LEN(Data!BZ49)+1,
      Data!BZ49 &amp; "",
      MID(
        'ARDT Cutter Entry'!K114,
        2,
        LEN('ARDT Cutter Entry'!K114)-1-LEN(Data!BZ49)
      )
   )
)</f>
        <v/>
      </c>
      <c r="L133" s="1122" t="str">
        <f>IF(
   LEFT('ARDT Cutter Entry'!L114,1)&lt;&gt;"X",
   "",
   IF(
      LEN('ARDT Cutter Entry'!L114)=LEN(Data!CA49)+1,
      Data!CA49 &amp; "",
      MID(
        'ARDT Cutter Entry'!L114,
        2,
        LEN('ARDT Cutter Entry'!L114)-1-LEN(Data!CA49)
      )
   )
)</f>
        <v/>
      </c>
      <c r="M133" s="1122" t="str">
        <f>IF(
   LEFT('ARDT Cutter Entry'!M114,1)&lt;&gt;"X",
   "",
   IF(
      LEN('ARDT Cutter Entry'!M114)=LEN(Data!CB49)+1,
      Data!CB49 &amp; "",
      MID(
        'ARDT Cutter Entry'!M114,
        2,
        LEN('ARDT Cutter Entry'!M114)-1-LEN(Data!CB49)
      )
   )
)</f>
        <v/>
      </c>
      <c r="N133" s="1122" t="str">
        <f>IF(
   LEFT('ARDT Cutter Entry'!N114,1)&lt;&gt;"X",
   "",
   IF(
      LEN('ARDT Cutter Entry'!N114)=LEN(Data!CC49)+1,
      Data!CC49 &amp; "",
      MID(
        'ARDT Cutter Entry'!N114,
        2,
        LEN('ARDT Cutter Entry'!N114)-1-LEN(Data!CC49)
      )
   )
)</f>
        <v/>
      </c>
      <c r="O133" s="1122" t="str">
        <f>IF(
   LEFT('ARDT Cutter Entry'!O114,1)&lt;&gt;"X",
   "",
   IF(
      LEN('ARDT Cutter Entry'!O114)=LEN(Data!CD49)+1,
      Data!CD49 &amp; "",
      MID(
        'ARDT Cutter Entry'!O114,
        2,
        LEN('ARDT Cutter Entry'!O114)-1-LEN(Data!CD49)
      )
   )
)</f>
        <v/>
      </c>
      <c r="P133" s="1122" t="str">
        <f>IF(
   LEFT('ARDT Cutter Entry'!P114,1)&lt;&gt;"X",
   "",
   IF(
      LEN('ARDT Cutter Entry'!P114)=LEN(Data!CE49)+1,
      Data!CE49 &amp; "",
      MID(
        'ARDT Cutter Entry'!P114,
        2,
        LEN('ARDT Cutter Entry'!P114)-1-LEN(Data!CE49)
      )
   )
)</f>
        <v/>
      </c>
      <c r="Q133" s="1122" t="str">
        <f>IF(
   LEFT('ARDT Cutter Entry'!Q114,1)&lt;&gt;"X",
   "",
   IF(
      LEN('ARDT Cutter Entry'!Q114)=LEN(Data!CF49)+1,
      Data!CF49 &amp; "",
      MID(
        'ARDT Cutter Entry'!Q114,
        2,
        LEN('ARDT Cutter Entry'!Q114)-1-LEN(Data!CF49)
      )
   )
)</f>
        <v/>
      </c>
      <c r="R133" s="1122" t="str">
        <f>IF(
   LEFT('ARDT Cutter Entry'!R114,1)&lt;&gt;"X",
   "",
   IF(
      LEN('ARDT Cutter Entry'!R114)=LEN(Data!CG49)+1,
      Data!CG49 &amp; "",
      MID(
        'ARDT Cutter Entry'!R114,
        2,
        LEN('ARDT Cutter Entry'!R114)-1-LEN(Data!CG49)
      )
   )
)</f>
        <v/>
      </c>
      <c r="S133" s="1122" t="str">
        <f>IF(
   LEFT('ARDT Cutter Entry'!S114,1)&lt;&gt;"X",
   "",
   IF(
      LEN('ARDT Cutter Entry'!S114)=LEN(Data!CH49)+1,
      Data!CH49 &amp; "",
      MID(
        'ARDT Cutter Entry'!S114,
        2,
        LEN('ARDT Cutter Entry'!S114)-1-LEN(Data!CH49)
      )
   )
)</f>
        <v/>
      </c>
      <c r="T133" s="1122" t="str">
        <f>IF(
   LEFT('ARDT Cutter Entry'!T114,1)&lt;&gt;"X",
   "",
   IF(
      LEN('ARDT Cutter Entry'!T114)=LEN(Data!CI49)+1,
      Data!CI49 &amp; "",
      MID(
        'ARDT Cutter Entry'!T114,
        2,
        LEN('ARDT Cutter Entry'!T114)-1-LEN(Data!CI49)
      )
   )
)</f>
        <v/>
      </c>
      <c r="U133" s="1122" t="str">
        <f>IF(
   LEFT('ARDT Cutter Entry'!U114,1)&lt;&gt;"X",
   "",
   IF(
      LEN('ARDT Cutter Entry'!U114)=LEN(Data!CJ49)+1,
      Data!CJ49 &amp; "",
      MID(
        'ARDT Cutter Entry'!U114,
        2,
        LEN('ARDT Cutter Entry'!U114)-1-LEN(Data!CJ49)
      )
   )
)</f>
        <v/>
      </c>
      <c r="V133" s="1122" t="str">
        <f>IF(
   LEFT('ARDT Cutter Entry'!V114,1)&lt;&gt;"X",
   "",
   IF(
      LEN('ARDT Cutter Entry'!V114)=LEN(Data!CK49)+1,
      Data!CK49 &amp; "",
      MID(
        'ARDT Cutter Entry'!V114,
        2,
        LEN('ARDT Cutter Entry'!V114)-1-LEN(Data!CK49)
      )
   )
)</f>
        <v/>
      </c>
      <c r="W133" s="1122" t="str">
        <f>IF(
   LEFT('ARDT Cutter Entry'!W114,1)&lt;&gt;"X",
   "",
   IF(
      LEN('ARDT Cutter Entry'!W114)=LEN(Data!CL49)+1,
      Data!CL49 &amp; "",
      MID(
        'ARDT Cutter Entry'!W114,
        2,
        LEN('ARDT Cutter Entry'!W114)-1-LEN(Data!CL49)
      )
   )
)</f>
        <v/>
      </c>
      <c r="X133" s="1122" t="str">
        <f>IF(
   LEFT('ARDT Cutter Entry'!X114,1)&lt;&gt;"X",
   "",
   IF(
      LEN('ARDT Cutter Entry'!X114)=LEN(Data!CM49)+1,
      Data!CM49 &amp; "",
      MID(
        'ARDT Cutter Entry'!X114,
        2,
        LEN('ARDT Cutter Entry'!X114)-1-LEN(Data!CM49)
      )
   )
)</f>
        <v/>
      </c>
      <c r="Y133" s="1122" t="str">
        <f>IF(
   LEFT('ARDT Cutter Entry'!Y114,1)&lt;&gt;"X",
   "",
   IF(
      LEN('ARDT Cutter Entry'!Y114)=LEN(Data!CN49)+1,
      Data!CN49 &amp; "",
      MID(
        'ARDT Cutter Entry'!Y114,
        2,
        LEN('ARDT Cutter Entry'!Y114)-1-LEN(Data!CN49)
      )
   )
)</f>
        <v/>
      </c>
      <c r="Z133" s="1122" t="str">
        <f>IF(
   LEFT('ARDT Cutter Entry'!Z114,1)&lt;&gt;"X",
   "",
   IF(
      LEN('ARDT Cutter Entry'!Z114)=LEN(Data!CO49)+1,
      Data!CO49 &amp; "",
      MID(
        'ARDT Cutter Entry'!Z114,
        2,
        LEN('ARDT Cutter Entry'!Z114)-1-LEN(Data!CO49)
      )
   )
)</f>
        <v/>
      </c>
      <c r="AA133" s="1122" t="str">
        <f>IF(
   LEFT('ARDT Cutter Entry'!AA114,1)&lt;&gt;"X",
   "",
   IF(
      LEN('ARDT Cutter Entry'!AA114)=LEN(Data!CP49)+1,
      Data!CP49 &amp; "",
      MID(
        'ARDT Cutter Entry'!AA114,
        2,
        LEN('ARDT Cutter Entry'!AA114)-1-LEN(Data!CP49)
      )
   )
)</f>
        <v/>
      </c>
      <c r="AB133" s="1122" t="str">
        <f>IF(
   LEFT('ARDT Cutter Entry'!AB114,1)&lt;&gt;"X",
   "",
   IF(
      LEN('ARDT Cutter Entry'!AB114)=LEN(Data!CQ49)+1,
      Data!CQ49 &amp; "",
      MID(
        'ARDT Cutter Entry'!AB114,
        2,
        LEN('ARDT Cutter Entry'!AB114)-1-LEN(Data!CQ49)
      )
   )
)</f>
        <v/>
      </c>
      <c r="AC133" s="1122" t="str">
        <f>IF(
   LEFT('ARDT Cutter Entry'!AC114,1)&lt;&gt;"X",
   "",
   IF(
      LEN('ARDT Cutter Entry'!AC114)=LEN(Data!CR49)+1,
      Data!CR49 &amp; "",
      MID(
        'ARDT Cutter Entry'!AC114,
        2,
        LEN('ARDT Cutter Entry'!AC114)-1-LEN(Data!CR49)
      )
   )
)</f>
        <v/>
      </c>
      <c r="AD133" s="1122" t="str">
        <f>IF(
   LEFT('ARDT Cutter Entry'!AD114,1)&lt;&gt;"X",
   "",
   IF(
      LEN('ARDT Cutter Entry'!AD114)=LEN(Data!CS49)+1,
      Data!CS49 &amp; "",
      MID(
        'ARDT Cutter Entry'!AD114,
        2,
        LEN('ARDT Cutter Entry'!AD114)-1-LEN(Data!CS49)
      )
   )
)</f>
        <v/>
      </c>
      <c r="AE133" s="1122" t="str">
        <f>IF(
   LEFT('ARDT Cutter Entry'!AE114,1)&lt;&gt;"X",
   "",
   IF(
      LEN('ARDT Cutter Entry'!AE114)=LEN(Data!CT49)+1,
      Data!CT49 &amp; "",
      MID(
        'ARDT Cutter Entry'!AE114,
        2,
        LEN('ARDT Cutter Entry'!AE114)-1-LEN(Data!CT49)
      )
   )
)</f>
        <v/>
      </c>
      <c r="AF133" s="1122" t="str">
        <f>IF(
   LEFT('ARDT Cutter Entry'!AF114,1)&lt;&gt;"X",
   "",
   IF(
      LEN('ARDT Cutter Entry'!AF114)=LEN(Data!CU49)+1,
      Data!CU49 &amp; "",
      MID(
        'ARDT Cutter Entry'!AF114,
        2,
        LEN('ARDT Cutter Entry'!AF114)-1-LEN(Data!CU49)
      )
   )
)</f>
        <v/>
      </c>
      <c r="AG133" s="1122" t="str">
        <f>IF(
   LEFT('ARDT Cutter Entry'!AG114,1)&lt;&gt;"X",
   "",
   IF(
      LEN('ARDT Cutter Entry'!AG114)=LEN(Data!CV49)+1,
      Data!CV49 &amp; "",
      MID(
        'ARDT Cutter Entry'!AG114,
        2,
        LEN('ARDT Cutter Entry'!AG114)-1-LEN(Data!CV49)
      )
   )
)</f>
        <v/>
      </c>
      <c r="AH133" s="1122" t="str">
        <f>IF(
   LEFT('ARDT Cutter Entry'!AH114,1)&lt;&gt;"X",
   "",
   IF(
      LEN('ARDT Cutter Entry'!AH114)=LEN(Data!CW49)+1,
      Data!CW49 &amp; "",
      MID(
        'ARDT Cutter Entry'!AH114,
        2,
        LEN('ARDT Cutter Entry'!AH114)-1-LEN(Data!CW49)
      )
   )
)</f>
        <v/>
      </c>
      <c r="AI133" s="1122" t="str">
        <f>IF(
   LEFT('ARDT Cutter Entry'!AI114,1)&lt;&gt;"X",
   "",
   IF(
      LEN('ARDT Cutter Entry'!AI114)=LEN(Data!CX49)+1,
      Data!CX49 &amp; "",
      MID(
        'ARDT Cutter Entry'!AI114,
        2,
        LEN('ARDT Cutter Entry'!AI114)-1-LEN(Data!CX49)
      )
   )
)</f>
        <v/>
      </c>
      <c r="AJ133" s="41"/>
      <c r="AR133" s="107" t="s">
        <v>844</v>
      </c>
      <c r="AS133" s="33">
        <f>IF(AND(Data!L21&lt;&gt;1,Data!L22&lt;&gt;1,Data!L23&lt;&gt;1),IF(Data!L24&lt;&gt;1,Quotation!Y77,500),550)</f>
        <v>0</v>
      </c>
      <c r="AT133" s="114"/>
    </row>
    <row r="134" spans="1:54" ht="23.25" customHeight="1" x14ac:dyDescent="0.35">
      <c r="A134" s="1196"/>
      <c r="B134" s="22">
        <v>5</v>
      </c>
      <c r="C134" s="1122" t="str">
        <f>IF(
   LEFT('ARDT Cutter Entry'!C115,1)&lt;&gt;"X",
   "",
   IF(
      LEN('ARDT Cutter Entry'!C115)=LEN(Data!BR50)+1,
      Data!BR50 &amp; "",
      MID(
        'ARDT Cutter Entry'!C115,
        2,
        LEN('ARDT Cutter Entry'!C115)-1-LEN(Data!BR50)
      )
   )
)</f>
        <v/>
      </c>
      <c r="D134" s="1122" t="str">
        <f>IF(
   LEFT('ARDT Cutter Entry'!D115,1)&lt;&gt;"X",
   "",
   IF(
      LEN('ARDT Cutter Entry'!D115)=LEN(Data!BS50)+1,
      Data!BS50 &amp; "",
      MID(
        'ARDT Cutter Entry'!D115,
        2,
        LEN('ARDT Cutter Entry'!D115)-1-LEN(Data!BS50)
      )
   )
)</f>
        <v/>
      </c>
      <c r="E134" s="1122" t="str">
        <f>IF(
   LEFT('ARDT Cutter Entry'!E115,1)&lt;&gt;"X",
   "",
   IF(
      LEN('ARDT Cutter Entry'!E115)=LEN(Data!BT50)+1,
      Data!BT50 &amp; "",
      MID(
        'ARDT Cutter Entry'!E115,
        2,
        LEN('ARDT Cutter Entry'!E115)-1-LEN(Data!BT50)
      )
   )
)</f>
        <v/>
      </c>
      <c r="F134" s="1122" t="str">
        <f>IF(
   LEFT('ARDT Cutter Entry'!F115,1)&lt;&gt;"X",
   "",
   IF(
      LEN('ARDT Cutter Entry'!F115)=LEN(Data!BU50)+1,
      Data!BU50 &amp; "",
      MID(
        'ARDT Cutter Entry'!F115,
        2,
        LEN('ARDT Cutter Entry'!F115)-1-LEN(Data!BU50)
      )
   )
)</f>
        <v/>
      </c>
      <c r="G134" s="1122" t="str">
        <f>IF(
   LEFT('ARDT Cutter Entry'!G115,1)&lt;&gt;"X",
   "",
   IF(
      LEN('ARDT Cutter Entry'!G115)=LEN(Data!BV50)+1,
      Data!BV50 &amp; "",
      MID(
        'ARDT Cutter Entry'!G115,
        2,
        LEN('ARDT Cutter Entry'!G115)-1-LEN(Data!BV50)
      )
   )
)</f>
        <v/>
      </c>
      <c r="H134" s="1122" t="str">
        <f>IF(
   LEFT('ARDT Cutter Entry'!H115,1)&lt;&gt;"X",
   "",
   IF(
      LEN('ARDT Cutter Entry'!H115)=LEN(Data!BW50)+1,
      Data!BW50 &amp; "",
      MID(
        'ARDT Cutter Entry'!H115,
        2,
        LEN('ARDT Cutter Entry'!H115)-1-LEN(Data!BW50)
      )
   )
)</f>
        <v/>
      </c>
      <c r="I134" s="1122" t="str">
        <f>IF(
   LEFT('ARDT Cutter Entry'!I115,1)&lt;&gt;"X",
   "",
   IF(
      LEN('ARDT Cutter Entry'!I115)=LEN(Data!BX50)+1,
      Data!BX50 &amp; "",
      MID(
        'ARDT Cutter Entry'!I115,
        2,
        LEN('ARDT Cutter Entry'!I115)-1-LEN(Data!BX50)
      )
   )
)</f>
        <v/>
      </c>
      <c r="J134" s="1122" t="str">
        <f>IF(
   LEFT('ARDT Cutter Entry'!J115,1)&lt;&gt;"X",
   "",
   IF(
      LEN('ARDT Cutter Entry'!J115)=LEN(Data!BY50)+1,
      Data!BY50 &amp; "",
      MID(
        'ARDT Cutter Entry'!J115,
        2,
        LEN('ARDT Cutter Entry'!J115)-1-LEN(Data!BY50)
      )
   )
)</f>
        <v/>
      </c>
      <c r="K134" s="1122" t="str">
        <f>IF(
   LEFT('ARDT Cutter Entry'!K115,1)&lt;&gt;"X",
   "",
   IF(
      LEN('ARDT Cutter Entry'!K115)=LEN(Data!BZ50)+1,
      Data!BZ50 &amp; "",
      MID(
        'ARDT Cutter Entry'!K115,
        2,
        LEN('ARDT Cutter Entry'!K115)-1-LEN(Data!BZ50)
      )
   )
)</f>
        <v/>
      </c>
      <c r="L134" s="1122" t="str">
        <f>IF(
   LEFT('ARDT Cutter Entry'!L115,1)&lt;&gt;"X",
   "",
   IF(
      LEN('ARDT Cutter Entry'!L115)=LEN(Data!CA50)+1,
      Data!CA50 &amp; "",
      MID(
        'ARDT Cutter Entry'!L115,
        2,
        LEN('ARDT Cutter Entry'!L115)-1-LEN(Data!CA50)
      )
   )
)</f>
        <v/>
      </c>
      <c r="M134" s="1122" t="str">
        <f>IF(
   LEFT('ARDT Cutter Entry'!M115,1)&lt;&gt;"X",
   "",
   IF(
      LEN('ARDT Cutter Entry'!M115)=LEN(Data!CB50)+1,
      Data!CB50 &amp; "",
      MID(
        'ARDT Cutter Entry'!M115,
        2,
        LEN('ARDT Cutter Entry'!M115)-1-LEN(Data!CB50)
      )
   )
)</f>
        <v/>
      </c>
      <c r="N134" s="1122" t="str">
        <f>IF(
   LEFT('ARDT Cutter Entry'!N115,1)&lt;&gt;"X",
   "",
   IF(
      LEN('ARDT Cutter Entry'!N115)=LEN(Data!CC50)+1,
      Data!CC50 &amp; "",
      MID(
        'ARDT Cutter Entry'!N115,
        2,
        LEN('ARDT Cutter Entry'!N115)-1-LEN(Data!CC50)
      )
   )
)</f>
        <v/>
      </c>
      <c r="O134" s="1122" t="str">
        <f>IF(
   LEFT('ARDT Cutter Entry'!O115,1)&lt;&gt;"X",
   "",
   IF(
      LEN('ARDT Cutter Entry'!O115)=LEN(Data!CD50)+1,
      Data!CD50 &amp; "",
      MID(
        'ARDT Cutter Entry'!O115,
        2,
        LEN('ARDT Cutter Entry'!O115)-1-LEN(Data!CD50)
      )
   )
)</f>
        <v/>
      </c>
      <c r="P134" s="1122" t="str">
        <f>IF(
   LEFT('ARDT Cutter Entry'!P115,1)&lt;&gt;"X",
   "",
   IF(
      LEN('ARDT Cutter Entry'!P115)=LEN(Data!CE50)+1,
      Data!CE50 &amp; "",
      MID(
        'ARDT Cutter Entry'!P115,
        2,
        LEN('ARDT Cutter Entry'!P115)-1-LEN(Data!CE50)
      )
   )
)</f>
        <v/>
      </c>
      <c r="Q134" s="1122" t="str">
        <f>IF(
   LEFT('ARDT Cutter Entry'!Q115,1)&lt;&gt;"X",
   "",
   IF(
      LEN('ARDT Cutter Entry'!Q115)=LEN(Data!CF50)+1,
      Data!CF50 &amp; "",
      MID(
        'ARDT Cutter Entry'!Q115,
        2,
        LEN('ARDT Cutter Entry'!Q115)-1-LEN(Data!CF50)
      )
   )
)</f>
        <v/>
      </c>
      <c r="R134" s="1122" t="str">
        <f>IF(
   LEFT('ARDT Cutter Entry'!R115,1)&lt;&gt;"X",
   "",
   IF(
      LEN('ARDT Cutter Entry'!R115)=LEN(Data!CG50)+1,
      Data!CG50 &amp; "",
      MID(
        'ARDT Cutter Entry'!R115,
        2,
        LEN('ARDT Cutter Entry'!R115)-1-LEN(Data!CG50)
      )
   )
)</f>
        <v/>
      </c>
      <c r="S134" s="1122" t="str">
        <f>IF(
   LEFT('ARDT Cutter Entry'!S115,1)&lt;&gt;"X",
   "",
   IF(
      LEN('ARDT Cutter Entry'!S115)=LEN(Data!CH50)+1,
      Data!CH50 &amp; "",
      MID(
        'ARDT Cutter Entry'!S115,
        2,
        LEN('ARDT Cutter Entry'!S115)-1-LEN(Data!CH50)
      )
   )
)</f>
        <v/>
      </c>
      <c r="T134" s="1122" t="str">
        <f>IF(
   LEFT('ARDT Cutter Entry'!T115,1)&lt;&gt;"X",
   "",
   IF(
      LEN('ARDT Cutter Entry'!T115)=LEN(Data!CI50)+1,
      Data!CI50 &amp; "",
      MID(
        'ARDT Cutter Entry'!T115,
        2,
        LEN('ARDT Cutter Entry'!T115)-1-LEN(Data!CI50)
      )
   )
)</f>
        <v/>
      </c>
      <c r="U134" s="1122" t="str">
        <f>IF(
   LEFT('ARDT Cutter Entry'!U115,1)&lt;&gt;"X",
   "",
   IF(
      LEN('ARDT Cutter Entry'!U115)=LEN(Data!CJ50)+1,
      Data!CJ50 &amp; "",
      MID(
        'ARDT Cutter Entry'!U115,
        2,
        LEN('ARDT Cutter Entry'!U115)-1-LEN(Data!CJ50)
      )
   )
)</f>
        <v/>
      </c>
      <c r="V134" s="1122" t="str">
        <f>IF(
   LEFT('ARDT Cutter Entry'!V115,1)&lt;&gt;"X",
   "",
   IF(
      LEN('ARDT Cutter Entry'!V115)=LEN(Data!CK50)+1,
      Data!CK50 &amp; "",
      MID(
        'ARDT Cutter Entry'!V115,
        2,
        LEN('ARDT Cutter Entry'!V115)-1-LEN(Data!CK50)
      )
   )
)</f>
        <v/>
      </c>
      <c r="W134" s="1122" t="str">
        <f>IF(
   LEFT('ARDT Cutter Entry'!W115,1)&lt;&gt;"X",
   "",
   IF(
      LEN('ARDT Cutter Entry'!W115)=LEN(Data!CL50)+1,
      Data!CL50 &amp; "",
      MID(
        'ARDT Cutter Entry'!W115,
        2,
        LEN('ARDT Cutter Entry'!W115)-1-LEN(Data!CL50)
      )
   )
)</f>
        <v/>
      </c>
      <c r="X134" s="1122" t="str">
        <f>IF(
   LEFT('ARDT Cutter Entry'!X115,1)&lt;&gt;"X",
   "",
   IF(
      LEN('ARDT Cutter Entry'!X115)=LEN(Data!CM50)+1,
      Data!CM50 &amp; "",
      MID(
        'ARDT Cutter Entry'!X115,
        2,
        LEN('ARDT Cutter Entry'!X115)-1-LEN(Data!CM50)
      )
   )
)</f>
        <v/>
      </c>
      <c r="Y134" s="1122" t="str">
        <f>IF(
   LEFT('ARDT Cutter Entry'!Y115,1)&lt;&gt;"X",
   "",
   IF(
      LEN('ARDT Cutter Entry'!Y115)=LEN(Data!CN50)+1,
      Data!CN50 &amp; "",
      MID(
        'ARDT Cutter Entry'!Y115,
        2,
        LEN('ARDT Cutter Entry'!Y115)-1-LEN(Data!CN50)
      )
   )
)</f>
        <v/>
      </c>
      <c r="Z134" s="1122" t="str">
        <f>IF(
   LEFT('ARDT Cutter Entry'!Z115,1)&lt;&gt;"X",
   "",
   IF(
      LEN('ARDT Cutter Entry'!Z115)=LEN(Data!CO50)+1,
      Data!CO50 &amp; "",
      MID(
        'ARDT Cutter Entry'!Z115,
        2,
        LEN('ARDT Cutter Entry'!Z115)-1-LEN(Data!CO50)
      )
   )
)</f>
        <v/>
      </c>
      <c r="AA134" s="1122" t="str">
        <f>IF(
   LEFT('ARDT Cutter Entry'!AA115,1)&lt;&gt;"X",
   "",
   IF(
      LEN('ARDT Cutter Entry'!AA115)=LEN(Data!CP50)+1,
      Data!CP50 &amp; "",
      MID(
        'ARDT Cutter Entry'!AA115,
        2,
        LEN('ARDT Cutter Entry'!AA115)-1-LEN(Data!CP50)
      )
   )
)</f>
        <v/>
      </c>
      <c r="AB134" s="1122" t="str">
        <f>IF(
   LEFT('ARDT Cutter Entry'!AB115,1)&lt;&gt;"X",
   "",
   IF(
      LEN('ARDT Cutter Entry'!AB115)=LEN(Data!CQ50)+1,
      Data!CQ50 &amp; "",
      MID(
        'ARDT Cutter Entry'!AB115,
        2,
        LEN('ARDT Cutter Entry'!AB115)-1-LEN(Data!CQ50)
      )
   )
)</f>
        <v/>
      </c>
      <c r="AC134" s="1122" t="str">
        <f>IF(
   LEFT('ARDT Cutter Entry'!AC115,1)&lt;&gt;"X",
   "",
   IF(
      LEN('ARDT Cutter Entry'!AC115)=LEN(Data!CR50)+1,
      Data!CR50 &amp; "",
      MID(
        'ARDT Cutter Entry'!AC115,
        2,
        LEN('ARDT Cutter Entry'!AC115)-1-LEN(Data!CR50)
      )
   )
)</f>
        <v/>
      </c>
      <c r="AD134" s="1122" t="str">
        <f>IF(
   LEFT('ARDT Cutter Entry'!AD115,1)&lt;&gt;"X",
   "",
   IF(
      LEN('ARDT Cutter Entry'!AD115)=LEN(Data!CS50)+1,
      Data!CS50 &amp; "",
      MID(
        'ARDT Cutter Entry'!AD115,
        2,
        LEN('ARDT Cutter Entry'!AD115)-1-LEN(Data!CS50)
      )
   )
)</f>
        <v/>
      </c>
      <c r="AE134" s="1122" t="str">
        <f>IF(
   LEFT('ARDT Cutter Entry'!AE115,1)&lt;&gt;"X",
   "",
   IF(
      LEN('ARDT Cutter Entry'!AE115)=LEN(Data!CT50)+1,
      Data!CT50 &amp; "",
      MID(
        'ARDT Cutter Entry'!AE115,
        2,
        LEN('ARDT Cutter Entry'!AE115)-1-LEN(Data!CT50)
      )
   )
)</f>
        <v/>
      </c>
      <c r="AF134" s="1122" t="str">
        <f>IF(
   LEFT('ARDT Cutter Entry'!AF115,1)&lt;&gt;"X",
   "",
   IF(
      LEN('ARDT Cutter Entry'!AF115)=LEN(Data!CU50)+1,
      Data!CU50 &amp; "",
      MID(
        'ARDT Cutter Entry'!AF115,
        2,
        LEN('ARDT Cutter Entry'!AF115)-1-LEN(Data!CU50)
      )
   )
)</f>
        <v/>
      </c>
      <c r="AG134" s="1122" t="str">
        <f>IF(
   LEFT('ARDT Cutter Entry'!AG115,1)&lt;&gt;"X",
   "",
   IF(
      LEN('ARDT Cutter Entry'!AG115)=LEN(Data!CV50)+1,
      Data!CV50 &amp; "",
      MID(
        'ARDT Cutter Entry'!AG115,
        2,
        LEN('ARDT Cutter Entry'!AG115)-1-LEN(Data!CV50)
      )
   )
)</f>
        <v/>
      </c>
      <c r="AH134" s="1122" t="str">
        <f>IF(
   LEFT('ARDT Cutter Entry'!AH115,1)&lt;&gt;"X",
   "",
   IF(
      LEN('ARDT Cutter Entry'!AH115)=LEN(Data!CW50)+1,
      Data!CW50 &amp; "",
      MID(
        'ARDT Cutter Entry'!AH115,
        2,
        LEN('ARDT Cutter Entry'!AH115)-1-LEN(Data!CW50)
      )
   )
)</f>
        <v/>
      </c>
      <c r="AI134" s="1122" t="str">
        <f>IF(
   LEFT('ARDT Cutter Entry'!AI115,1)&lt;&gt;"X",
   "",
   IF(
      LEN('ARDT Cutter Entry'!AI115)=LEN(Data!CX50)+1,
      Data!CX50 &amp; "",
      MID(
        'ARDT Cutter Entry'!AI115,
        2,
        LEN('ARDT Cutter Entry'!AI115)-1-LEN(Data!CX50)
      )
   )
)</f>
        <v/>
      </c>
      <c r="AJ134" s="41"/>
    </row>
    <row r="135" spans="1:54" ht="23.25" customHeight="1" x14ac:dyDescent="0.35">
      <c r="A135" s="1196"/>
      <c r="B135" s="22">
        <v>6</v>
      </c>
      <c r="C135" s="1122" t="str">
        <f>IF(
   LEFT('ARDT Cutter Entry'!C116,1)&lt;&gt;"X",
   "",
   IF(
      LEN('ARDT Cutter Entry'!C116)=LEN(Data!BR51)+1,
      Data!BR51 &amp; "",
      MID(
        'ARDT Cutter Entry'!C116,
        2,
        LEN('ARDT Cutter Entry'!C116)-1-LEN(Data!BR51)
      )
   )
)</f>
        <v/>
      </c>
      <c r="D135" s="1122" t="str">
        <f>IF(
   LEFT('ARDT Cutter Entry'!D116,1)&lt;&gt;"X",
   "",
   IF(
      LEN('ARDT Cutter Entry'!D116)=LEN(Data!BS51)+1,
      Data!BS51 &amp; "",
      MID(
        'ARDT Cutter Entry'!D116,
        2,
        LEN('ARDT Cutter Entry'!D116)-1-LEN(Data!BS51)
      )
   )
)</f>
        <v/>
      </c>
      <c r="E135" s="1122" t="str">
        <f>IF(
   LEFT('ARDT Cutter Entry'!E116,1)&lt;&gt;"X",
   "",
   IF(
      LEN('ARDT Cutter Entry'!E116)=LEN(Data!BT51)+1,
      Data!BT51 &amp; "",
      MID(
        'ARDT Cutter Entry'!E116,
        2,
        LEN('ARDT Cutter Entry'!E116)-1-LEN(Data!BT51)
      )
   )
)</f>
        <v/>
      </c>
      <c r="F135" s="1122" t="str">
        <f>IF(
   LEFT('ARDT Cutter Entry'!F116,1)&lt;&gt;"X",
   "",
   IF(
      LEN('ARDT Cutter Entry'!F116)=LEN(Data!BU51)+1,
      Data!BU51 &amp; "",
      MID(
        'ARDT Cutter Entry'!F116,
        2,
        LEN('ARDT Cutter Entry'!F116)-1-LEN(Data!BU51)
      )
   )
)</f>
        <v/>
      </c>
      <c r="G135" s="1122" t="str">
        <f>IF(
   LEFT('ARDT Cutter Entry'!G116,1)&lt;&gt;"X",
   "",
   IF(
      LEN('ARDT Cutter Entry'!G116)=LEN(Data!BV51)+1,
      Data!BV51 &amp; "",
      MID(
        'ARDT Cutter Entry'!G116,
        2,
        LEN('ARDT Cutter Entry'!G116)-1-LEN(Data!BV51)
      )
   )
)</f>
        <v/>
      </c>
      <c r="H135" s="1122" t="str">
        <f>IF(
   LEFT('ARDT Cutter Entry'!H116,1)&lt;&gt;"X",
   "",
   IF(
      LEN('ARDT Cutter Entry'!H116)=LEN(Data!BW51)+1,
      Data!BW51 &amp; "",
      MID(
        'ARDT Cutter Entry'!H116,
        2,
        LEN('ARDT Cutter Entry'!H116)-1-LEN(Data!BW51)
      )
   )
)</f>
        <v/>
      </c>
      <c r="I135" s="1122" t="str">
        <f>IF(
   LEFT('ARDT Cutter Entry'!I116,1)&lt;&gt;"X",
   "",
   IF(
      LEN('ARDT Cutter Entry'!I116)=LEN(Data!BX51)+1,
      Data!BX51 &amp; "",
      MID(
        'ARDT Cutter Entry'!I116,
        2,
        LEN('ARDT Cutter Entry'!I116)-1-LEN(Data!BX51)
      )
   )
)</f>
        <v/>
      </c>
      <c r="J135" s="1122" t="str">
        <f>IF(
   LEFT('ARDT Cutter Entry'!J116,1)&lt;&gt;"X",
   "",
   IF(
      LEN('ARDT Cutter Entry'!J116)=LEN(Data!BY51)+1,
      Data!BY51 &amp; "",
      MID(
        'ARDT Cutter Entry'!J116,
        2,
        LEN('ARDT Cutter Entry'!J116)-1-LEN(Data!BY51)
      )
   )
)</f>
        <v/>
      </c>
      <c r="K135" s="1122" t="str">
        <f>IF(
   LEFT('ARDT Cutter Entry'!K116,1)&lt;&gt;"X",
   "",
   IF(
      LEN('ARDT Cutter Entry'!K116)=LEN(Data!BZ51)+1,
      Data!BZ51 &amp; "",
      MID(
        'ARDT Cutter Entry'!K116,
        2,
        LEN('ARDT Cutter Entry'!K116)-1-LEN(Data!BZ51)
      )
   )
)</f>
        <v/>
      </c>
      <c r="L135" s="1122" t="str">
        <f>IF(
   LEFT('ARDT Cutter Entry'!L116,1)&lt;&gt;"X",
   "",
   IF(
      LEN('ARDT Cutter Entry'!L116)=LEN(Data!CA51)+1,
      Data!CA51 &amp; "",
      MID(
        'ARDT Cutter Entry'!L116,
        2,
        LEN('ARDT Cutter Entry'!L116)-1-LEN(Data!CA51)
      )
   )
)</f>
        <v/>
      </c>
      <c r="M135" s="1122" t="str">
        <f>IF(
   LEFT('ARDT Cutter Entry'!M116,1)&lt;&gt;"X",
   "",
   IF(
      LEN('ARDT Cutter Entry'!M116)=LEN(Data!CB51)+1,
      Data!CB51 &amp; "",
      MID(
        'ARDT Cutter Entry'!M116,
        2,
        LEN('ARDT Cutter Entry'!M116)-1-LEN(Data!CB51)
      )
   )
)</f>
        <v/>
      </c>
      <c r="N135" s="1122" t="str">
        <f>IF(
   LEFT('ARDT Cutter Entry'!N116,1)&lt;&gt;"X",
   "",
   IF(
      LEN('ARDT Cutter Entry'!N116)=LEN(Data!CC51)+1,
      Data!CC51 &amp; "",
      MID(
        'ARDT Cutter Entry'!N116,
        2,
        LEN('ARDT Cutter Entry'!N116)-1-LEN(Data!CC51)
      )
   )
)</f>
        <v/>
      </c>
      <c r="O135" s="1122" t="str">
        <f>IF(
   LEFT('ARDT Cutter Entry'!O116,1)&lt;&gt;"X",
   "",
   IF(
      LEN('ARDT Cutter Entry'!O116)=LEN(Data!CD51)+1,
      Data!CD51 &amp; "",
      MID(
        'ARDT Cutter Entry'!O116,
        2,
        LEN('ARDT Cutter Entry'!O116)-1-LEN(Data!CD51)
      )
   )
)</f>
        <v/>
      </c>
      <c r="P135" s="1122" t="str">
        <f>IF(
   LEFT('ARDT Cutter Entry'!P116,1)&lt;&gt;"X",
   "",
   IF(
      LEN('ARDT Cutter Entry'!P116)=LEN(Data!CE51)+1,
      Data!CE51 &amp; "",
      MID(
        'ARDT Cutter Entry'!P116,
        2,
        LEN('ARDT Cutter Entry'!P116)-1-LEN(Data!CE51)
      )
   )
)</f>
        <v/>
      </c>
      <c r="Q135" s="1122" t="str">
        <f>IF(
   LEFT('ARDT Cutter Entry'!Q116,1)&lt;&gt;"X",
   "",
   IF(
      LEN('ARDT Cutter Entry'!Q116)=LEN(Data!CF51)+1,
      Data!CF51 &amp; "",
      MID(
        'ARDT Cutter Entry'!Q116,
        2,
        LEN('ARDT Cutter Entry'!Q116)-1-LEN(Data!CF51)
      )
   )
)</f>
        <v/>
      </c>
      <c r="R135" s="1122" t="str">
        <f>IF(
   LEFT('ARDT Cutter Entry'!R116,1)&lt;&gt;"X",
   "",
   IF(
      LEN('ARDT Cutter Entry'!R116)=LEN(Data!CG51)+1,
      Data!CG51 &amp; "",
      MID(
        'ARDT Cutter Entry'!R116,
        2,
        LEN('ARDT Cutter Entry'!R116)-1-LEN(Data!CG51)
      )
   )
)</f>
        <v/>
      </c>
      <c r="S135" s="1122" t="str">
        <f>IF(
   LEFT('ARDT Cutter Entry'!S116,1)&lt;&gt;"X",
   "",
   IF(
      LEN('ARDT Cutter Entry'!S116)=LEN(Data!CH51)+1,
      Data!CH51 &amp; "",
      MID(
        'ARDT Cutter Entry'!S116,
        2,
        LEN('ARDT Cutter Entry'!S116)-1-LEN(Data!CH51)
      )
   )
)</f>
        <v/>
      </c>
      <c r="T135" s="1122" t="str">
        <f>IF(
   LEFT('ARDT Cutter Entry'!T116,1)&lt;&gt;"X",
   "",
   IF(
      LEN('ARDT Cutter Entry'!T116)=LEN(Data!CI51)+1,
      Data!CI51 &amp; "",
      MID(
        'ARDT Cutter Entry'!T116,
        2,
        LEN('ARDT Cutter Entry'!T116)-1-LEN(Data!CI51)
      )
   )
)</f>
        <v/>
      </c>
      <c r="U135" s="1122" t="str">
        <f>IF(
   LEFT('ARDT Cutter Entry'!U116,1)&lt;&gt;"X",
   "",
   IF(
      LEN('ARDT Cutter Entry'!U116)=LEN(Data!CJ51)+1,
      Data!CJ51 &amp; "",
      MID(
        'ARDT Cutter Entry'!U116,
        2,
        LEN('ARDT Cutter Entry'!U116)-1-LEN(Data!CJ51)
      )
   )
)</f>
        <v/>
      </c>
      <c r="V135" s="1122" t="str">
        <f>IF(
   LEFT('ARDT Cutter Entry'!V116,1)&lt;&gt;"X",
   "",
   IF(
      LEN('ARDT Cutter Entry'!V116)=LEN(Data!CK51)+1,
      Data!CK51 &amp; "",
      MID(
        'ARDT Cutter Entry'!V116,
        2,
        LEN('ARDT Cutter Entry'!V116)-1-LEN(Data!CK51)
      )
   )
)</f>
        <v/>
      </c>
      <c r="W135" s="1122" t="str">
        <f>IF(
   LEFT('ARDT Cutter Entry'!W116,1)&lt;&gt;"X",
   "",
   IF(
      LEN('ARDT Cutter Entry'!W116)=LEN(Data!CL51)+1,
      Data!CL51 &amp; "",
      MID(
        'ARDT Cutter Entry'!W116,
        2,
        LEN('ARDT Cutter Entry'!W116)-1-LEN(Data!CL51)
      )
   )
)</f>
        <v/>
      </c>
      <c r="X135" s="1122" t="str">
        <f>IF(
   LEFT('ARDT Cutter Entry'!X116,1)&lt;&gt;"X",
   "",
   IF(
      LEN('ARDT Cutter Entry'!X116)=LEN(Data!CM51)+1,
      Data!CM51 &amp; "",
      MID(
        'ARDT Cutter Entry'!X116,
        2,
        LEN('ARDT Cutter Entry'!X116)-1-LEN(Data!CM51)
      )
   )
)</f>
        <v/>
      </c>
      <c r="Y135" s="1122" t="str">
        <f>IF(
   LEFT('ARDT Cutter Entry'!Y116,1)&lt;&gt;"X",
   "",
   IF(
      LEN('ARDT Cutter Entry'!Y116)=LEN(Data!CN51)+1,
      Data!CN51 &amp; "",
      MID(
        'ARDT Cutter Entry'!Y116,
        2,
        LEN('ARDT Cutter Entry'!Y116)-1-LEN(Data!CN51)
      )
   )
)</f>
        <v/>
      </c>
      <c r="Z135" s="1122" t="str">
        <f>IF(
   LEFT('ARDT Cutter Entry'!Z116,1)&lt;&gt;"X",
   "",
   IF(
      LEN('ARDT Cutter Entry'!Z116)=LEN(Data!CO51)+1,
      Data!CO51 &amp; "",
      MID(
        'ARDT Cutter Entry'!Z116,
        2,
        LEN('ARDT Cutter Entry'!Z116)-1-LEN(Data!CO51)
      )
   )
)</f>
        <v/>
      </c>
      <c r="AA135" s="1122" t="str">
        <f>IF(
   LEFT('ARDT Cutter Entry'!AA116,1)&lt;&gt;"X",
   "",
   IF(
      LEN('ARDT Cutter Entry'!AA116)=LEN(Data!CP51)+1,
      Data!CP51 &amp; "",
      MID(
        'ARDT Cutter Entry'!AA116,
        2,
        LEN('ARDT Cutter Entry'!AA116)-1-LEN(Data!CP51)
      )
   )
)</f>
        <v/>
      </c>
      <c r="AB135" s="1122" t="str">
        <f>IF(
   LEFT('ARDT Cutter Entry'!AB116,1)&lt;&gt;"X",
   "",
   IF(
      LEN('ARDT Cutter Entry'!AB116)=LEN(Data!CQ51)+1,
      Data!CQ51 &amp; "",
      MID(
        'ARDT Cutter Entry'!AB116,
        2,
        LEN('ARDT Cutter Entry'!AB116)-1-LEN(Data!CQ51)
      )
   )
)</f>
        <v/>
      </c>
      <c r="AC135" s="1122" t="str">
        <f>IF(
   LEFT('ARDT Cutter Entry'!AC116,1)&lt;&gt;"X",
   "",
   IF(
      LEN('ARDT Cutter Entry'!AC116)=LEN(Data!CR51)+1,
      Data!CR51 &amp; "",
      MID(
        'ARDT Cutter Entry'!AC116,
        2,
        LEN('ARDT Cutter Entry'!AC116)-1-LEN(Data!CR51)
      )
   )
)</f>
        <v/>
      </c>
      <c r="AD135" s="1122" t="str">
        <f>IF(
   LEFT('ARDT Cutter Entry'!AD116,1)&lt;&gt;"X",
   "",
   IF(
      LEN('ARDT Cutter Entry'!AD116)=LEN(Data!CS51)+1,
      Data!CS51 &amp; "",
      MID(
        'ARDT Cutter Entry'!AD116,
        2,
        LEN('ARDT Cutter Entry'!AD116)-1-LEN(Data!CS51)
      )
   )
)</f>
        <v/>
      </c>
      <c r="AE135" s="1122" t="str">
        <f>IF(
   LEFT('ARDT Cutter Entry'!AE116,1)&lt;&gt;"X",
   "",
   IF(
      LEN('ARDT Cutter Entry'!AE116)=LEN(Data!CT51)+1,
      Data!CT51 &amp; "",
      MID(
        'ARDT Cutter Entry'!AE116,
        2,
        LEN('ARDT Cutter Entry'!AE116)-1-LEN(Data!CT51)
      )
   )
)</f>
        <v/>
      </c>
      <c r="AF135" s="1122" t="str">
        <f>IF(
   LEFT('ARDT Cutter Entry'!AF116,1)&lt;&gt;"X",
   "",
   IF(
      LEN('ARDT Cutter Entry'!AF116)=LEN(Data!CU51)+1,
      Data!CU51 &amp; "",
      MID(
        'ARDT Cutter Entry'!AF116,
        2,
        LEN('ARDT Cutter Entry'!AF116)-1-LEN(Data!CU51)
      )
   )
)</f>
        <v/>
      </c>
      <c r="AG135" s="1122" t="str">
        <f>IF(
   LEFT('ARDT Cutter Entry'!AG116,1)&lt;&gt;"X",
   "",
   IF(
      LEN('ARDT Cutter Entry'!AG116)=LEN(Data!CV51)+1,
      Data!CV51 &amp; "",
      MID(
        'ARDT Cutter Entry'!AG116,
        2,
        LEN('ARDT Cutter Entry'!AG116)-1-LEN(Data!CV51)
      )
   )
)</f>
        <v/>
      </c>
      <c r="AH135" s="1122" t="str">
        <f>IF(
   LEFT('ARDT Cutter Entry'!AH116,1)&lt;&gt;"X",
   "",
   IF(
      LEN('ARDT Cutter Entry'!AH116)=LEN(Data!CW51)+1,
      Data!CW51 &amp; "",
      MID(
        'ARDT Cutter Entry'!AH116,
        2,
        LEN('ARDT Cutter Entry'!AH116)-1-LEN(Data!CW51)
      )
   )
)</f>
        <v/>
      </c>
      <c r="AI135" s="1122" t="str">
        <f>IF(
   LEFT('ARDT Cutter Entry'!AI116,1)&lt;&gt;"X",
   "",
   IF(
      LEN('ARDT Cutter Entry'!AI116)=LEN(Data!CX51)+1,
      Data!CX51 &amp; "",
      MID(
        'ARDT Cutter Entry'!AI116,
        2,
        LEN('ARDT Cutter Entry'!AI116)-1-LEN(Data!CX51)
      )
   )
)</f>
        <v/>
      </c>
      <c r="AJ135" s="41"/>
    </row>
    <row r="136" spans="1:54" ht="23.25" customHeight="1" x14ac:dyDescent="0.35">
      <c r="A136" s="1196"/>
      <c r="B136" s="22">
        <v>7</v>
      </c>
      <c r="C136" s="1122" t="str">
        <f>IF(
   LEFT('ARDT Cutter Entry'!C117,1)&lt;&gt;"X",
   "",
   IF(
      LEN('ARDT Cutter Entry'!C117)=LEN(Data!BR52)+1,
      Data!BR52 &amp; "",
      MID(
        'ARDT Cutter Entry'!C117,
        2,
        LEN('ARDT Cutter Entry'!C117)-1-LEN(Data!BR52)
      )
   )
)</f>
        <v/>
      </c>
      <c r="D136" s="1122" t="str">
        <f>IF(
   LEFT('ARDT Cutter Entry'!D117,1)&lt;&gt;"X",
   "",
   IF(
      LEN('ARDT Cutter Entry'!D117)=LEN(Data!BS52)+1,
      Data!BS52 &amp; "",
      MID(
        'ARDT Cutter Entry'!D117,
        2,
        LEN('ARDT Cutter Entry'!D117)-1-LEN(Data!BS52)
      )
   )
)</f>
        <v/>
      </c>
      <c r="E136" s="1122" t="str">
        <f>IF(
   LEFT('ARDT Cutter Entry'!E117,1)&lt;&gt;"X",
   "",
   IF(
      LEN('ARDT Cutter Entry'!E117)=LEN(Data!BT52)+1,
      Data!BT52 &amp; "",
      MID(
        'ARDT Cutter Entry'!E117,
        2,
        LEN('ARDT Cutter Entry'!E117)-1-LEN(Data!BT52)
      )
   )
)</f>
        <v/>
      </c>
      <c r="F136" s="1122" t="str">
        <f>IF(
   LEFT('ARDT Cutter Entry'!F117,1)&lt;&gt;"X",
   "",
   IF(
      LEN('ARDT Cutter Entry'!F117)=LEN(Data!BU52)+1,
      Data!BU52 &amp; "",
      MID(
        'ARDT Cutter Entry'!F117,
        2,
        LEN('ARDT Cutter Entry'!F117)-1-LEN(Data!BU52)
      )
   )
)</f>
        <v/>
      </c>
      <c r="G136" s="1122" t="str">
        <f>IF(
   LEFT('ARDT Cutter Entry'!G117,1)&lt;&gt;"X",
   "",
   IF(
      LEN('ARDT Cutter Entry'!G117)=LEN(Data!BV52)+1,
      Data!BV52 &amp; "",
      MID(
        'ARDT Cutter Entry'!G117,
        2,
        LEN('ARDT Cutter Entry'!G117)-1-LEN(Data!BV52)
      )
   )
)</f>
        <v/>
      </c>
      <c r="H136" s="1122" t="str">
        <f>IF(
   LEFT('ARDT Cutter Entry'!H117,1)&lt;&gt;"X",
   "",
   IF(
      LEN('ARDT Cutter Entry'!H117)=LEN(Data!BW52)+1,
      Data!BW52 &amp; "",
      MID(
        'ARDT Cutter Entry'!H117,
        2,
        LEN('ARDT Cutter Entry'!H117)-1-LEN(Data!BW52)
      )
   )
)</f>
        <v/>
      </c>
      <c r="I136" s="1122" t="str">
        <f>IF(
   LEFT('ARDT Cutter Entry'!I117,1)&lt;&gt;"X",
   "",
   IF(
      LEN('ARDT Cutter Entry'!I117)=LEN(Data!BX52)+1,
      Data!BX52 &amp; "",
      MID(
        'ARDT Cutter Entry'!I117,
        2,
        LEN('ARDT Cutter Entry'!I117)-1-LEN(Data!BX52)
      )
   )
)</f>
        <v/>
      </c>
      <c r="J136" s="1122" t="str">
        <f>IF(
   LEFT('ARDT Cutter Entry'!J117,1)&lt;&gt;"X",
   "",
   IF(
      LEN('ARDT Cutter Entry'!J117)=LEN(Data!BY52)+1,
      Data!BY52 &amp; "",
      MID(
        'ARDT Cutter Entry'!J117,
        2,
        LEN('ARDT Cutter Entry'!J117)-1-LEN(Data!BY52)
      )
   )
)</f>
        <v/>
      </c>
      <c r="K136" s="1122" t="str">
        <f>IF(
   LEFT('ARDT Cutter Entry'!K117,1)&lt;&gt;"X",
   "",
   IF(
      LEN('ARDT Cutter Entry'!K117)=LEN(Data!BZ52)+1,
      Data!BZ52 &amp; "",
      MID(
        'ARDT Cutter Entry'!K117,
        2,
        LEN('ARDT Cutter Entry'!K117)-1-LEN(Data!BZ52)
      )
   )
)</f>
        <v/>
      </c>
      <c r="L136" s="1122" t="str">
        <f>IF(
   LEFT('ARDT Cutter Entry'!L117,1)&lt;&gt;"X",
   "",
   IF(
      LEN('ARDT Cutter Entry'!L117)=LEN(Data!CA52)+1,
      Data!CA52 &amp; "",
      MID(
        'ARDT Cutter Entry'!L117,
        2,
        LEN('ARDT Cutter Entry'!L117)-1-LEN(Data!CA52)
      )
   )
)</f>
        <v/>
      </c>
      <c r="M136" s="1122" t="str">
        <f>IF(
   LEFT('ARDT Cutter Entry'!M117,1)&lt;&gt;"X",
   "",
   IF(
      LEN('ARDT Cutter Entry'!M117)=LEN(Data!CB52)+1,
      Data!CB52 &amp; "",
      MID(
        'ARDT Cutter Entry'!M117,
        2,
        LEN('ARDT Cutter Entry'!M117)-1-LEN(Data!CB52)
      )
   )
)</f>
        <v/>
      </c>
      <c r="N136" s="1122" t="str">
        <f>IF(
   LEFT('ARDT Cutter Entry'!N117,1)&lt;&gt;"X",
   "",
   IF(
      LEN('ARDT Cutter Entry'!N117)=LEN(Data!CC52)+1,
      Data!CC52 &amp; "",
      MID(
        'ARDT Cutter Entry'!N117,
        2,
        LEN('ARDT Cutter Entry'!N117)-1-LEN(Data!CC52)
      )
   )
)</f>
        <v/>
      </c>
      <c r="O136" s="1122" t="str">
        <f>IF(
   LEFT('ARDT Cutter Entry'!O117,1)&lt;&gt;"X",
   "",
   IF(
      LEN('ARDT Cutter Entry'!O117)=LEN(Data!CD52)+1,
      Data!CD52 &amp; "",
      MID(
        'ARDT Cutter Entry'!O117,
        2,
        LEN('ARDT Cutter Entry'!O117)-1-LEN(Data!CD52)
      )
   )
)</f>
        <v/>
      </c>
      <c r="P136" s="1122" t="str">
        <f>IF(
   LEFT('ARDT Cutter Entry'!P117,1)&lt;&gt;"X",
   "",
   IF(
      LEN('ARDT Cutter Entry'!P117)=LEN(Data!CE52)+1,
      Data!CE52 &amp; "",
      MID(
        'ARDT Cutter Entry'!P117,
        2,
        LEN('ARDT Cutter Entry'!P117)-1-LEN(Data!CE52)
      )
   )
)</f>
        <v/>
      </c>
      <c r="Q136" s="1122" t="str">
        <f>IF(
   LEFT('ARDT Cutter Entry'!Q117,1)&lt;&gt;"X",
   "",
   IF(
      LEN('ARDT Cutter Entry'!Q117)=LEN(Data!CF52)+1,
      Data!CF52 &amp; "",
      MID(
        'ARDT Cutter Entry'!Q117,
        2,
        LEN('ARDT Cutter Entry'!Q117)-1-LEN(Data!CF52)
      )
   )
)</f>
        <v/>
      </c>
      <c r="R136" s="1122" t="str">
        <f>IF(
   LEFT('ARDT Cutter Entry'!R117,1)&lt;&gt;"X",
   "",
   IF(
      LEN('ARDT Cutter Entry'!R117)=LEN(Data!CG52)+1,
      Data!CG52 &amp; "",
      MID(
        'ARDT Cutter Entry'!R117,
        2,
        LEN('ARDT Cutter Entry'!R117)-1-LEN(Data!CG52)
      )
   )
)</f>
        <v/>
      </c>
      <c r="S136" s="1122" t="str">
        <f>IF(
   LEFT('ARDT Cutter Entry'!S117,1)&lt;&gt;"X",
   "",
   IF(
      LEN('ARDT Cutter Entry'!S117)=LEN(Data!CH52)+1,
      Data!CH52 &amp; "",
      MID(
        'ARDT Cutter Entry'!S117,
        2,
        LEN('ARDT Cutter Entry'!S117)-1-LEN(Data!CH52)
      )
   )
)</f>
        <v/>
      </c>
      <c r="T136" s="1122" t="str">
        <f>IF(
   LEFT('ARDT Cutter Entry'!T117,1)&lt;&gt;"X",
   "",
   IF(
      LEN('ARDT Cutter Entry'!T117)=LEN(Data!CI52)+1,
      Data!CI52 &amp; "",
      MID(
        'ARDT Cutter Entry'!T117,
        2,
        LEN('ARDT Cutter Entry'!T117)-1-LEN(Data!CI52)
      )
   )
)</f>
        <v/>
      </c>
      <c r="U136" s="1122" t="str">
        <f>IF(
   LEFT('ARDT Cutter Entry'!U117,1)&lt;&gt;"X",
   "",
   IF(
      LEN('ARDT Cutter Entry'!U117)=LEN(Data!CJ52)+1,
      Data!CJ52 &amp; "",
      MID(
        'ARDT Cutter Entry'!U117,
        2,
        LEN('ARDT Cutter Entry'!U117)-1-LEN(Data!CJ52)
      )
   )
)</f>
        <v/>
      </c>
      <c r="V136" s="1122" t="str">
        <f>IF(
   LEFT('ARDT Cutter Entry'!V117,1)&lt;&gt;"X",
   "",
   IF(
      LEN('ARDT Cutter Entry'!V117)=LEN(Data!CK52)+1,
      Data!CK52 &amp; "",
      MID(
        'ARDT Cutter Entry'!V117,
        2,
        LEN('ARDT Cutter Entry'!V117)-1-LEN(Data!CK52)
      )
   )
)</f>
        <v/>
      </c>
      <c r="W136" s="1122" t="str">
        <f>IF(
   LEFT('ARDT Cutter Entry'!W117,1)&lt;&gt;"X",
   "",
   IF(
      LEN('ARDT Cutter Entry'!W117)=LEN(Data!CL52)+1,
      Data!CL52 &amp; "",
      MID(
        'ARDT Cutter Entry'!W117,
        2,
        LEN('ARDT Cutter Entry'!W117)-1-LEN(Data!CL52)
      )
   )
)</f>
        <v/>
      </c>
      <c r="X136" s="1122" t="str">
        <f>IF(
   LEFT('ARDT Cutter Entry'!X117,1)&lt;&gt;"X",
   "",
   IF(
      LEN('ARDT Cutter Entry'!X117)=LEN(Data!CM52)+1,
      Data!CM52 &amp; "",
      MID(
        'ARDT Cutter Entry'!X117,
        2,
        LEN('ARDT Cutter Entry'!X117)-1-LEN(Data!CM52)
      )
   )
)</f>
        <v/>
      </c>
      <c r="Y136" s="1122" t="str">
        <f>IF(
   LEFT('ARDT Cutter Entry'!Y117,1)&lt;&gt;"X",
   "",
   IF(
      LEN('ARDT Cutter Entry'!Y117)=LEN(Data!CN52)+1,
      Data!CN52 &amp; "",
      MID(
        'ARDT Cutter Entry'!Y117,
        2,
        LEN('ARDT Cutter Entry'!Y117)-1-LEN(Data!CN52)
      )
   )
)</f>
        <v/>
      </c>
      <c r="Z136" s="1122" t="str">
        <f>IF(
   LEFT('ARDT Cutter Entry'!Z117,1)&lt;&gt;"X",
   "",
   IF(
      LEN('ARDT Cutter Entry'!Z117)=LEN(Data!CO52)+1,
      Data!CO52 &amp; "",
      MID(
        'ARDT Cutter Entry'!Z117,
        2,
        LEN('ARDT Cutter Entry'!Z117)-1-LEN(Data!CO52)
      )
   )
)</f>
        <v/>
      </c>
      <c r="AA136" s="1122" t="str">
        <f>IF(
   LEFT('ARDT Cutter Entry'!AA117,1)&lt;&gt;"X",
   "",
   IF(
      LEN('ARDT Cutter Entry'!AA117)=LEN(Data!CP52)+1,
      Data!CP52 &amp; "",
      MID(
        'ARDT Cutter Entry'!AA117,
        2,
        LEN('ARDT Cutter Entry'!AA117)-1-LEN(Data!CP52)
      )
   )
)</f>
        <v/>
      </c>
      <c r="AB136" s="1122" t="str">
        <f>IF(
   LEFT('ARDT Cutter Entry'!AB117,1)&lt;&gt;"X",
   "",
   IF(
      LEN('ARDT Cutter Entry'!AB117)=LEN(Data!CQ52)+1,
      Data!CQ52 &amp; "",
      MID(
        'ARDT Cutter Entry'!AB117,
        2,
        LEN('ARDT Cutter Entry'!AB117)-1-LEN(Data!CQ52)
      )
   )
)</f>
        <v/>
      </c>
      <c r="AC136" s="1122" t="str">
        <f>IF(
   LEFT('ARDT Cutter Entry'!AC117,1)&lt;&gt;"X",
   "",
   IF(
      LEN('ARDT Cutter Entry'!AC117)=LEN(Data!CR52)+1,
      Data!CR52 &amp; "",
      MID(
        'ARDT Cutter Entry'!AC117,
        2,
        LEN('ARDT Cutter Entry'!AC117)-1-LEN(Data!CR52)
      )
   )
)</f>
        <v/>
      </c>
      <c r="AD136" s="1122" t="str">
        <f>IF(
   LEFT('ARDT Cutter Entry'!AD117,1)&lt;&gt;"X",
   "",
   IF(
      LEN('ARDT Cutter Entry'!AD117)=LEN(Data!CS52)+1,
      Data!CS52 &amp; "",
      MID(
        'ARDT Cutter Entry'!AD117,
        2,
        LEN('ARDT Cutter Entry'!AD117)-1-LEN(Data!CS52)
      )
   )
)</f>
        <v/>
      </c>
      <c r="AE136" s="1122" t="str">
        <f>IF(
   LEFT('ARDT Cutter Entry'!AE117,1)&lt;&gt;"X",
   "",
   IF(
      LEN('ARDT Cutter Entry'!AE117)=LEN(Data!CT52)+1,
      Data!CT52 &amp; "",
      MID(
        'ARDT Cutter Entry'!AE117,
        2,
        LEN('ARDT Cutter Entry'!AE117)-1-LEN(Data!CT52)
      )
   )
)</f>
        <v/>
      </c>
      <c r="AF136" s="1122" t="str">
        <f>IF(
   LEFT('ARDT Cutter Entry'!AF117,1)&lt;&gt;"X",
   "",
   IF(
      LEN('ARDT Cutter Entry'!AF117)=LEN(Data!CU52)+1,
      Data!CU52 &amp; "",
      MID(
        'ARDT Cutter Entry'!AF117,
        2,
        LEN('ARDT Cutter Entry'!AF117)-1-LEN(Data!CU52)
      )
   )
)</f>
        <v/>
      </c>
      <c r="AG136" s="1122" t="str">
        <f>IF(
   LEFT('ARDT Cutter Entry'!AG117,1)&lt;&gt;"X",
   "",
   IF(
      LEN('ARDT Cutter Entry'!AG117)=LEN(Data!CV52)+1,
      Data!CV52 &amp; "",
      MID(
        'ARDT Cutter Entry'!AG117,
        2,
        LEN('ARDT Cutter Entry'!AG117)-1-LEN(Data!CV52)
      )
   )
)</f>
        <v/>
      </c>
      <c r="AH136" s="1122" t="str">
        <f>IF(
   LEFT('ARDT Cutter Entry'!AH117,1)&lt;&gt;"X",
   "",
   IF(
      LEN('ARDT Cutter Entry'!AH117)=LEN(Data!CW52)+1,
      Data!CW52 &amp; "",
      MID(
        'ARDT Cutter Entry'!AH117,
        2,
        LEN('ARDT Cutter Entry'!AH117)-1-LEN(Data!CW52)
      )
   )
)</f>
        <v/>
      </c>
      <c r="AI136" s="1122" t="str">
        <f>IF(
   LEFT('ARDT Cutter Entry'!AI117,1)&lt;&gt;"X",
   "",
   IF(
      LEN('ARDT Cutter Entry'!AI117)=LEN(Data!CX52)+1,
      Data!CX52 &amp; "",
      MID(
        'ARDT Cutter Entry'!AI117,
        2,
        LEN('ARDT Cutter Entry'!AI117)-1-LEN(Data!CX52)
      )
   )
)</f>
        <v/>
      </c>
      <c r="AJ136" s="41"/>
    </row>
    <row r="137" spans="1:54" ht="23.25" customHeight="1" x14ac:dyDescent="0.35">
      <c r="A137" s="1196"/>
      <c r="B137" s="22">
        <v>8</v>
      </c>
      <c r="C137" s="1122" t="str">
        <f>IF(
   LEFT('ARDT Cutter Entry'!C118,1)&lt;&gt;"X",
   "",
   IF(
      LEN('ARDT Cutter Entry'!C118)=LEN(Data!BR53)+1,
      Data!BR53 &amp; "",
      MID(
        'ARDT Cutter Entry'!C118,
        2,
        LEN('ARDT Cutter Entry'!C118)-1-LEN(Data!BR53)
      )
   )
)</f>
        <v/>
      </c>
      <c r="D137" s="1122" t="str">
        <f>IF(
   LEFT('ARDT Cutter Entry'!D118,1)&lt;&gt;"X",
   "",
   IF(
      LEN('ARDT Cutter Entry'!D118)=LEN(Data!BS53)+1,
      Data!BS53 &amp; "",
      MID(
        'ARDT Cutter Entry'!D118,
        2,
        LEN('ARDT Cutter Entry'!D118)-1-LEN(Data!BS53)
      )
   )
)</f>
        <v/>
      </c>
      <c r="E137" s="1122" t="str">
        <f>IF(
   LEFT('ARDT Cutter Entry'!E118,1)&lt;&gt;"X",
   "",
   IF(
      LEN('ARDT Cutter Entry'!E118)=LEN(Data!BT53)+1,
      Data!BT53 &amp; "",
      MID(
        'ARDT Cutter Entry'!E118,
        2,
        LEN('ARDT Cutter Entry'!E118)-1-LEN(Data!BT53)
      )
   )
)</f>
        <v/>
      </c>
      <c r="F137" s="1122" t="str">
        <f>IF(
   LEFT('ARDT Cutter Entry'!F118,1)&lt;&gt;"X",
   "",
   IF(
      LEN('ARDT Cutter Entry'!F118)=LEN(Data!BU53)+1,
      Data!BU53 &amp; "",
      MID(
        'ARDT Cutter Entry'!F118,
        2,
        LEN('ARDT Cutter Entry'!F118)-1-LEN(Data!BU53)
      )
   )
)</f>
        <v/>
      </c>
      <c r="G137" s="1122" t="str">
        <f>IF(
   LEFT('ARDT Cutter Entry'!G118,1)&lt;&gt;"X",
   "",
   IF(
      LEN('ARDT Cutter Entry'!G118)=LEN(Data!BV53)+1,
      Data!BV53 &amp; "",
      MID(
        'ARDT Cutter Entry'!G118,
        2,
        LEN('ARDT Cutter Entry'!G118)-1-LEN(Data!BV53)
      )
   )
)</f>
        <v/>
      </c>
      <c r="H137" s="1122" t="str">
        <f>IF(
   LEFT('ARDT Cutter Entry'!H118,1)&lt;&gt;"X",
   "",
   IF(
      LEN('ARDT Cutter Entry'!H118)=LEN(Data!BW53)+1,
      Data!BW53 &amp; "",
      MID(
        'ARDT Cutter Entry'!H118,
        2,
        LEN('ARDT Cutter Entry'!H118)-1-LEN(Data!BW53)
      )
   )
)</f>
        <v/>
      </c>
      <c r="I137" s="1122" t="str">
        <f>IF(
   LEFT('ARDT Cutter Entry'!I118,1)&lt;&gt;"X",
   "",
   IF(
      LEN('ARDT Cutter Entry'!I118)=LEN(Data!BX53)+1,
      Data!BX53 &amp; "",
      MID(
        'ARDT Cutter Entry'!I118,
        2,
        LEN('ARDT Cutter Entry'!I118)-1-LEN(Data!BX53)
      )
   )
)</f>
        <v/>
      </c>
      <c r="J137" s="1122" t="str">
        <f>IF(
   LEFT('ARDT Cutter Entry'!J118,1)&lt;&gt;"X",
   "",
   IF(
      LEN('ARDT Cutter Entry'!J118)=LEN(Data!BY53)+1,
      Data!BY53 &amp; "",
      MID(
        'ARDT Cutter Entry'!J118,
        2,
        LEN('ARDT Cutter Entry'!J118)-1-LEN(Data!BY53)
      )
   )
)</f>
        <v/>
      </c>
      <c r="K137" s="1122" t="str">
        <f>IF(
   LEFT('ARDT Cutter Entry'!K118,1)&lt;&gt;"X",
   "",
   IF(
      LEN('ARDT Cutter Entry'!K118)=LEN(Data!BZ53)+1,
      Data!BZ53 &amp; "",
      MID(
        'ARDT Cutter Entry'!K118,
        2,
        LEN('ARDT Cutter Entry'!K118)-1-LEN(Data!BZ53)
      )
   )
)</f>
        <v/>
      </c>
      <c r="L137" s="1122" t="str">
        <f>IF(
   LEFT('ARDT Cutter Entry'!L118,1)&lt;&gt;"X",
   "",
   IF(
      LEN('ARDT Cutter Entry'!L118)=LEN(Data!CA53)+1,
      Data!CA53 &amp; "",
      MID(
        'ARDT Cutter Entry'!L118,
        2,
        LEN('ARDT Cutter Entry'!L118)-1-LEN(Data!CA53)
      )
   )
)</f>
        <v/>
      </c>
      <c r="M137" s="1122" t="str">
        <f>IF(
   LEFT('ARDT Cutter Entry'!M118,1)&lt;&gt;"X",
   "",
   IF(
      LEN('ARDT Cutter Entry'!M118)=LEN(Data!CB53)+1,
      Data!CB53 &amp; "",
      MID(
        'ARDT Cutter Entry'!M118,
        2,
        LEN('ARDT Cutter Entry'!M118)-1-LEN(Data!CB53)
      )
   )
)</f>
        <v/>
      </c>
      <c r="N137" s="1122" t="str">
        <f>IF(
   LEFT('ARDT Cutter Entry'!N118,1)&lt;&gt;"X",
   "",
   IF(
      LEN('ARDT Cutter Entry'!N118)=LEN(Data!CC53)+1,
      Data!CC53 &amp; "",
      MID(
        'ARDT Cutter Entry'!N118,
        2,
        LEN('ARDT Cutter Entry'!N118)-1-LEN(Data!CC53)
      )
   )
)</f>
        <v/>
      </c>
      <c r="O137" s="1122" t="str">
        <f>IF(
   LEFT('ARDT Cutter Entry'!O118,1)&lt;&gt;"X",
   "",
   IF(
      LEN('ARDT Cutter Entry'!O118)=LEN(Data!CD53)+1,
      Data!CD53 &amp; "",
      MID(
        'ARDT Cutter Entry'!O118,
        2,
        LEN('ARDT Cutter Entry'!O118)-1-LEN(Data!CD53)
      )
   )
)</f>
        <v/>
      </c>
      <c r="P137" s="1122" t="str">
        <f>IF(
   LEFT('ARDT Cutter Entry'!P118,1)&lt;&gt;"X",
   "",
   IF(
      LEN('ARDT Cutter Entry'!P118)=LEN(Data!CE53)+1,
      Data!CE53 &amp; "",
      MID(
        'ARDT Cutter Entry'!P118,
        2,
        LEN('ARDT Cutter Entry'!P118)-1-LEN(Data!CE53)
      )
   )
)</f>
        <v/>
      </c>
      <c r="Q137" s="1122" t="str">
        <f>IF(
   LEFT('ARDT Cutter Entry'!Q118,1)&lt;&gt;"X",
   "",
   IF(
      LEN('ARDT Cutter Entry'!Q118)=LEN(Data!CF53)+1,
      Data!CF53 &amp; "",
      MID(
        'ARDT Cutter Entry'!Q118,
        2,
        LEN('ARDT Cutter Entry'!Q118)-1-LEN(Data!CF53)
      )
   )
)</f>
        <v/>
      </c>
      <c r="R137" s="1122" t="str">
        <f>IF(
   LEFT('ARDT Cutter Entry'!R118,1)&lt;&gt;"X",
   "",
   IF(
      LEN('ARDT Cutter Entry'!R118)=LEN(Data!CG53)+1,
      Data!CG53 &amp; "",
      MID(
        'ARDT Cutter Entry'!R118,
        2,
        LEN('ARDT Cutter Entry'!R118)-1-LEN(Data!CG53)
      )
   )
)</f>
        <v/>
      </c>
      <c r="S137" s="1122" t="str">
        <f>IF(
   LEFT('ARDT Cutter Entry'!S118,1)&lt;&gt;"X",
   "",
   IF(
      LEN('ARDT Cutter Entry'!S118)=LEN(Data!CH53)+1,
      Data!CH53 &amp; "",
      MID(
        'ARDT Cutter Entry'!S118,
        2,
        LEN('ARDT Cutter Entry'!S118)-1-LEN(Data!CH53)
      )
   )
)</f>
        <v/>
      </c>
      <c r="T137" s="1122" t="str">
        <f>IF(
   LEFT('ARDT Cutter Entry'!T118,1)&lt;&gt;"X",
   "",
   IF(
      LEN('ARDT Cutter Entry'!T118)=LEN(Data!CI53)+1,
      Data!CI53 &amp; "",
      MID(
        'ARDT Cutter Entry'!T118,
        2,
        LEN('ARDT Cutter Entry'!T118)-1-LEN(Data!CI53)
      )
   )
)</f>
        <v/>
      </c>
      <c r="U137" s="1122" t="str">
        <f>IF(
   LEFT('ARDT Cutter Entry'!U118,1)&lt;&gt;"X",
   "",
   IF(
      LEN('ARDT Cutter Entry'!U118)=LEN(Data!CJ53)+1,
      Data!CJ53 &amp; "",
      MID(
        'ARDT Cutter Entry'!U118,
        2,
        LEN('ARDT Cutter Entry'!U118)-1-LEN(Data!CJ53)
      )
   )
)</f>
        <v/>
      </c>
      <c r="V137" s="1122" t="str">
        <f>IF(
   LEFT('ARDT Cutter Entry'!V118,1)&lt;&gt;"X",
   "",
   IF(
      LEN('ARDT Cutter Entry'!V118)=LEN(Data!CK53)+1,
      Data!CK53 &amp; "",
      MID(
        'ARDT Cutter Entry'!V118,
        2,
        LEN('ARDT Cutter Entry'!V118)-1-LEN(Data!CK53)
      )
   )
)</f>
        <v/>
      </c>
      <c r="W137" s="1122" t="str">
        <f>IF(
   LEFT('ARDT Cutter Entry'!W118,1)&lt;&gt;"X",
   "",
   IF(
      LEN('ARDT Cutter Entry'!W118)=LEN(Data!CL53)+1,
      Data!CL53 &amp; "",
      MID(
        'ARDT Cutter Entry'!W118,
        2,
        LEN('ARDT Cutter Entry'!W118)-1-LEN(Data!CL53)
      )
   )
)</f>
        <v/>
      </c>
      <c r="X137" s="1122" t="str">
        <f>IF(
   LEFT('ARDT Cutter Entry'!X118,1)&lt;&gt;"X",
   "",
   IF(
      LEN('ARDT Cutter Entry'!X118)=LEN(Data!CM53)+1,
      Data!CM53 &amp; "",
      MID(
        'ARDT Cutter Entry'!X118,
        2,
        LEN('ARDT Cutter Entry'!X118)-1-LEN(Data!CM53)
      )
   )
)</f>
        <v/>
      </c>
      <c r="Y137" s="1122" t="str">
        <f>IF(
   LEFT('ARDT Cutter Entry'!Y118,1)&lt;&gt;"X",
   "",
   IF(
      LEN('ARDT Cutter Entry'!Y118)=LEN(Data!CN53)+1,
      Data!CN53 &amp; "",
      MID(
        'ARDT Cutter Entry'!Y118,
        2,
        LEN('ARDT Cutter Entry'!Y118)-1-LEN(Data!CN53)
      )
   )
)</f>
        <v/>
      </c>
      <c r="Z137" s="1122" t="str">
        <f>IF(
   LEFT('ARDT Cutter Entry'!Z118,1)&lt;&gt;"X",
   "",
   IF(
      LEN('ARDT Cutter Entry'!Z118)=LEN(Data!CO53)+1,
      Data!CO53 &amp; "",
      MID(
        'ARDT Cutter Entry'!Z118,
        2,
        LEN('ARDT Cutter Entry'!Z118)-1-LEN(Data!CO53)
      )
   )
)</f>
        <v/>
      </c>
      <c r="AA137" s="1122" t="str">
        <f>IF(
   LEFT('ARDT Cutter Entry'!AA118,1)&lt;&gt;"X",
   "",
   IF(
      LEN('ARDT Cutter Entry'!AA118)=LEN(Data!CP53)+1,
      Data!CP53 &amp; "",
      MID(
        'ARDT Cutter Entry'!AA118,
        2,
        LEN('ARDT Cutter Entry'!AA118)-1-LEN(Data!CP53)
      )
   )
)</f>
        <v/>
      </c>
      <c r="AB137" s="1122" t="str">
        <f>IF(
   LEFT('ARDT Cutter Entry'!AB118,1)&lt;&gt;"X",
   "",
   IF(
      LEN('ARDT Cutter Entry'!AB118)=LEN(Data!CQ53)+1,
      Data!CQ53 &amp; "",
      MID(
        'ARDT Cutter Entry'!AB118,
        2,
        LEN('ARDT Cutter Entry'!AB118)-1-LEN(Data!CQ53)
      )
   )
)</f>
        <v/>
      </c>
      <c r="AC137" s="1122" t="str">
        <f>IF(
   LEFT('ARDT Cutter Entry'!AC118,1)&lt;&gt;"X",
   "",
   IF(
      LEN('ARDT Cutter Entry'!AC118)=LEN(Data!CR53)+1,
      Data!CR53 &amp; "",
      MID(
        'ARDT Cutter Entry'!AC118,
        2,
        LEN('ARDT Cutter Entry'!AC118)-1-LEN(Data!CR53)
      )
   )
)</f>
        <v/>
      </c>
      <c r="AD137" s="1122" t="str">
        <f>IF(
   LEFT('ARDT Cutter Entry'!AD118,1)&lt;&gt;"X",
   "",
   IF(
      LEN('ARDT Cutter Entry'!AD118)=LEN(Data!CS53)+1,
      Data!CS53 &amp; "",
      MID(
        'ARDT Cutter Entry'!AD118,
        2,
        LEN('ARDT Cutter Entry'!AD118)-1-LEN(Data!CS53)
      )
   )
)</f>
        <v/>
      </c>
      <c r="AE137" s="1122" t="str">
        <f>IF(
   LEFT('ARDT Cutter Entry'!AE118,1)&lt;&gt;"X",
   "",
   IF(
      LEN('ARDT Cutter Entry'!AE118)=LEN(Data!CT53)+1,
      Data!CT53 &amp; "",
      MID(
        'ARDT Cutter Entry'!AE118,
        2,
        LEN('ARDT Cutter Entry'!AE118)-1-LEN(Data!CT53)
      )
   )
)</f>
        <v/>
      </c>
      <c r="AF137" s="1122" t="str">
        <f>IF(
   LEFT('ARDT Cutter Entry'!AF118,1)&lt;&gt;"X",
   "",
   IF(
      LEN('ARDT Cutter Entry'!AF118)=LEN(Data!CU53)+1,
      Data!CU53 &amp; "",
      MID(
        'ARDT Cutter Entry'!AF118,
        2,
        LEN('ARDT Cutter Entry'!AF118)-1-LEN(Data!CU53)
      )
   )
)</f>
        <v/>
      </c>
      <c r="AG137" s="1122" t="str">
        <f>IF(
   LEFT('ARDT Cutter Entry'!AG118,1)&lt;&gt;"X",
   "",
   IF(
      LEN('ARDT Cutter Entry'!AG118)=LEN(Data!CV53)+1,
      Data!CV53 &amp; "",
      MID(
        'ARDT Cutter Entry'!AG118,
        2,
        LEN('ARDT Cutter Entry'!AG118)-1-LEN(Data!CV53)
      )
   )
)</f>
        <v/>
      </c>
      <c r="AH137" s="1122" t="str">
        <f>IF(
   LEFT('ARDT Cutter Entry'!AH118,1)&lt;&gt;"X",
   "",
   IF(
      LEN('ARDT Cutter Entry'!AH118)=LEN(Data!CW53)+1,
      Data!CW53 &amp; "",
      MID(
        'ARDT Cutter Entry'!AH118,
        2,
        LEN('ARDT Cutter Entry'!AH118)-1-LEN(Data!CW53)
      )
   )
)</f>
        <v/>
      </c>
      <c r="AI137" s="1122" t="str">
        <f>IF(
   LEFT('ARDT Cutter Entry'!AI118,1)&lt;&gt;"X",
   "",
   IF(
      LEN('ARDT Cutter Entry'!AI118)=LEN(Data!CX53)+1,
      Data!CX53 &amp; "",
      MID(
        'ARDT Cutter Entry'!AI118,
        2,
        LEN('ARDT Cutter Entry'!AI118)-1-LEN(Data!CX53)
      )
   )
)</f>
        <v/>
      </c>
      <c r="AJ137" s="41"/>
    </row>
    <row r="138" spans="1:54" ht="23.25" customHeight="1" x14ac:dyDescent="0.35">
      <c r="A138" s="1196"/>
      <c r="B138" s="22">
        <v>9</v>
      </c>
      <c r="C138" s="1122" t="str">
        <f>IF(
   LEFT('ARDT Cutter Entry'!C119,1)&lt;&gt;"X",
   "",
   IF(
      LEN('ARDT Cutter Entry'!C119)=LEN(Data!BR54)+1,
      Data!BR54 &amp; "",
      MID(
        'ARDT Cutter Entry'!C119,
        2,
        LEN('ARDT Cutter Entry'!C119)-1-LEN(Data!BR54)
      )
   )
)</f>
        <v/>
      </c>
      <c r="D138" s="1122" t="str">
        <f>IF(
   LEFT('ARDT Cutter Entry'!D119,1)&lt;&gt;"X",
   "",
   IF(
      LEN('ARDT Cutter Entry'!D119)=LEN(Data!BS54)+1,
      Data!BS54 &amp; "",
      MID(
        'ARDT Cutter Entry'!D119,
        2,
        LEN('ARDT Cutter Entry'!D119)-1-LEN(Data!BS54)
      )
   )
)</f>
        <v/>
      </c>
      <c r="E138" s="1122" t="str">
        <f>IF(
   LEFT('ARDT Cutter Entry'!E119,1)&lt;&gt;"X",
   "",
   IF(
      LEN('ARDT Cutter Entry'!E119)=LEN(Data!BT54)+1,
      Data!BT54 &amp; "",
      MID(
        'ARDT Cutter Entry'!E119,
        2,
        LEN('ARDT Cutter Entry'!E119)-1-LEN(Data!BT54)
      )
   )
)</f>
        <v/>
      </c>
      <c r="F138" s="1122" t="str">
        <f>IF(
   LEFT('ARDT Cutter Entry'!F119,1)&lt;&gt;"X",
   "",
   IF(
      LEN('ARDT Cutter Entry'!F119)=LEN(Data!BU54)+1,
      Data!BU54 &amp; "",
      MID(
        'ARDT Cutter Entry'!F119,
        2,
        LEN('ARDT Cutter Entry'!F119)-1-LEN(Data!BU54)
      )
   )
)</f>
        <v/>
      </c>
      <c r="G138" s="1122" t="str">
        <f>IF(
   LEFT('ARDT Cutter Entry'!G119,1)&lt;&gt;"X",
   "",
   IF(
      LEN('ARDT Cutter Entry'!G119)=LEN(Data!BV54)+1,
      Data!BV54 &amp; "",
      MID(
        'ARDT Cutter Entry'!G119,
        2,
        LEN('ARDT Cutter Entry'!G119)-1-LEN(Data!BV54)
      )
   )
)</f>
        <v/>
      </c>
      <c r="H138" s="1122" t="str">
        <f>IF(
   LEFT('ARDT Cutter Entry'!H119,1)&lt;&gt;"X",
   "",
   IF(
      LEN('ARDT Cutter Entry'!H119)=LEN(Data!BW54)+1,
      Data!BW54 &amp; "",
      MID(
        'ARDT Cutter Entry'!H119,
        2,
        LEN('ARDT Cutter Entry'!H119)-1-LEN(Data!BW54)
      )
   )
)</f>
        <v/>
      </c>
      <c r="I138" s="1122" t="str">
        <f>IF(
   LEFT('ARDT Cutter Entry'!I119,1)&lt;&gt;"X",
   "",
   IF(
      LEN('ARDT Cutter Entry'!I119)=LEN(Data!BX54)+1,
      Data!BX54 &amp; "",
      MID(
        'ARDT Cutter Entry'!I119,
        2,
        LEN('ARDT Cutter Entry'!I119)-1-LEN(Data!BX54)
      )
   )
)</f>
        <v/>
      </c>
      <c r="J138" s="1122" t="str">
        <f>IF(
   LEFT('ARDT Cutter Entry'!J119,1)&lt;&gt;"X",
   "",
   IF(
      LEN('ARDT Cutter Entry'!J119)=LEN(Data!BY54)+1,
      Data!BY54 &amp; "",
      MID(
        'ARDT Cutter Entry'!J119,
        2,
        LEN('ARDT Cutter Entry'!J119)-1-LEN(Data!BY54)
      )
   )
)</f>
        <v/>
      </c>
      <c r="K138" s="1122" t="str">
        <f>IF(
   LEFT('ARDT Cutter Entry'!K119,1)&lt;&gt;"X",
   "",
   IF(
      LEN('ARDT Cutter Entry'!K119)=LEN(Data!BZ54)+1,
      Data!BZ54 &amp; "",
      MID(
        'ARDT Cutter Entry'!K119,
        2,
        LEN('ARDT Cutter Entry'!K119)-1-LEN(Data!BZ54)
      )
   )
)</f>
        <v/>
      </c>
      <c r="L138" s="1122" t="str">
        <f>IF(
   LEFT('ARDT Cutter Entry'!L119,1)&lt;&gt;"X",
   "",
   IF(
      LEN('ARDT Cutter Entry'!L119)=LEN(Data!CA54)+1,
      Data!CA54 &amp; "",
      MID(
        'ARDT Cutter Entry'!L119,
        2,
        LEN('ARDT Cutter Entry'!L119)-1-LEN(Data!CA54)
      )
   )
)</f>
        <v/>
      </c>
      <c r="M138" s="1122" t="str">
        <f>IF(
   LEFT('ARDT Cutter Entry'!M119,1)&lt;&gt;"X",
   "",
   IF(
      LEN('ARDT Cutter Entry'!M119)=LEN(Data!CB54)+1,
      Data!CB54 &amp; "",
      MID(
        'ARDT Cutter Entry'!M119,
        2,
        LEN('ARDT Cutter Entry'!M119)-1-LEN(Data!CB54)
      )
   )
)</f>
        <v/>
      </c>
      <c r="N138" s="1122" t="str">
        <f>IF(
   LEFT('ARDT Cutter Entry'!N119,1)&lt;&gt;"X",
   "",
   IF(
      LEN('ARDT Cutter Entry'!N119)=LEN(Data!CC54)+1,
      Data!CC54 &amp; "",
      MID(
        'ARDT Cutter Entry'!N119,
        2,
        LEN('ARDT Cutter Entry'!N119)-1-LEN(Data!CC54)
      )
   )
)</f>
        <v/>
      </c>
      <c r="O138" s="1122" t="str">
        <f>IF(
   LEFT('ARDT Cutter Entry'!O119,1)&lt;&gt;"X",
   "",
   IF(
      LEN('ARDT Cutter Entry'!O119)=LEN(Data!CD54)+1,
      Data!CD54 &amp; "",
      MID(
        'ARDT Cutter Entry'!O119,
        2,
        LEN('ARDT Cutter Entry'!O119)-1-LEN(Data!CD54)
      )
   )
)</f>
        <v/>
      </c>
      <c r="P138" s="1122" t="str">
        <f>IF(
   LEFT('ARDT Cutter Entry'!P119,1)&lt;&gt;"X",
   "",
   IF(
      LEN('ARDT Cutter Entry'!P119)=LEN(Data!CE54)+1,
      Data!CE54 &amp; "",
      MID(
        'ARDT Cutter Entry'!P119,
        2,
        LEN('ARDT Cutter Entry'!P119)-1-LEN(Data!CE54)
      )
   )
)</f>
        <v/>
      </c>
      <c r="Q138" s="1122" t="str">
        <f>IF(
   LEFT('ARDT Cutter Entry'!Q119,1)&lt;&gt;"X",
   "",
   IF(
      LEN('ARDT Cutter Entry'!Q119)=LEN(Data!CF54)+1,
      Data!CF54 &amp; "",
      MID(
        'ARDT Cutter Entry'!Q119,
        2,
        LEN('ARDT Cutter Entry'!Q119)-1-LEN(Data!CF54)
      )
   )
)</f>
        <v/>
      </c>
      <c r="R138" s="1122" t="str">
        <f>IF(
   LEFT('ARDT Cutter Entry'!R119,1)&lt;&gt;"X",
   "",
   IF(
      LEN('ARDT Cutter Entry'!R119)=LEN(Data!CG54)+1,
      Data!CG54 &amp; "",
      MID(
        'ARDT Cutter Entry'!R119,
        2,
        LEN('ARDT Cutter Entry'!R119)-1-LEN(Data!CG54)
      )
   )
)</f>
        <v/>
      </c>
      <c r="S138" s="1122" t="str">
        <f>IF(
   LEFT('ARDT Cutter Entry'!S119,1)&lt;&gt;"X",
   "",
   IF(
      LEN('ARDT Cutter Entry'!S119)=LEN(Data!CH54)+1,
      Data!CH54 &amp; "",
      MID(
        'ARDT Cutter Entry'!S119,
        2,
        LEN('ARDT Cutter Entry'!S119)-1-LEN(Data!CH54)
      )
   )
)</f>
        <v/>
      </c>
      <c r="T138" s="1122" t="str">
        <f>IF(
   LEFT('ARDT Cutter Entry'!T119,1)&lt;&gt;"X",
   "",
   IF(
      LEN('ARDT Cutter Entry'!T119)=LEN(Data!CI54)+1,
      Data!CI54 &amp; "",
      MID(
        'ARDT Cutter Entry'!T119,
        2,
        LEN('ARDT Cutter Entry'!T119)-1-LEN(Data!CI54)
      )
   )
)</f>
        <v/>
      </c>
      <c r="U138" s="1122" t="str">
        <f>IF(
   LEFT('ARDT Cutter Entry'!U119,1)&lt;&gt;"X",
   "",
   IF(
      LEN('ARDT Cutter Entry'!U119)=LEN(Data!CJ54)+1,
      Data!CJ54 &amp; "",
      MID(
        'ARDT Cutter Entry'!U119,
        2,
        LEN('ARDT Cutter Entry'!U119)-1-LEN(Data!CJ54)
      )
   )
)</f>
        <v/>
      </c>
      <c r="V138" s="1122" t="str">
        <f>IF(
   LEFT('ARDT Cutter Entry'!V119,1)&lt;&gt;"X",
   "",
   IF(
      LEN('ARDT Cutter Entry'!V119)=LEN(Data!CK54)+1,
      Data!CK54 &amp; "",
      MID(
        'ARDT Cutter Entry'!V119,
        2,
        LEN('ARDT Cutter Entry'!V119)-1-LEN(Data!CK54)
      )
   )
)</f>
        <v/>
      </c>
      <c r="W138" s="1122" t="str">
        <f>IF(
   LEFT('ARDT Cutter Entry'!W119,1)&lt;&gt;"X",
   "",
   IF(
      LEN('ARDT Cutter Entry'!W119)=LEN(Data!CL54)+1,
      Data!CL54 &amp; "",
      MID(
        'ARDT Cutter Entry'!W119,
        2,
        LEN('ARDT Cutter Entry'!W119)-1-LEN(Data!CL54)
      )
   )
)</f>
        <v/>
      </c>
      <c r="X138" s="1122" t="str">
        <f>IF(
   LEFT('ARDT Cutter Entry'!X119,1)&lt;&gt;"X",
   "",
   IF(
      LEN('ARDT Cutter Entry'!X119)=LEN(Data!CM54)+1,
      Data!CM54 &amp; "",
      MID(
        'ARDT Cutter Entry'!X119,
        2,
        LEN('ARDT Cutter Entry'!X119)-1-LEN(Data!CM54)
      )
   )
)</f>
        <v/>
      </c>
      <c r="Y138" s="1122" t="str">
        <f>IF(
   LEFT('ARDT Cutter Entry'!Y119,1)&lt;&gt;"X",
   "",
   IF(
      LEN('ARDT Cutter Entry'!Y119)=LEN(Data!CN54)+1,
      Data!CN54 &amp; "",
      MID(
        'ARDT Cutter Entry'!Y119,
        2,
        LEN('ARDT Cutter Entry'!Y119)-1-LEN(Data!CN54)
      )
   )
)</f>
        <v/>
      </c>
      <c r="Z138" s="1122" t="str">
        <f>IF(
   LEFT('ARDT Cutter Entry'!Z119,1)&lt;&gt;"X",
   "",
   IF(
      LEN('ARDT Cutter Entry'!Z119)=LEN(Data!CO54)+1,
      Data!CO54 &amp; "",
      MID(
        'ARDT Cutter Entry'!Z119,
        2,
        LEN('ARDT Cutter Entry'!Z119)-1-LEN(Data!CO54)
      )
   )
)</f>
        <v/>
      </c>
      <c r="AA138" s="1122" t="str">
        <f>IF(
   LEFT('ARDT Cutter Entry'!AA119,1)&lt;&gt;"X",
   "",
   IF(
      LEN('ARDT Cutter Entry'!AA119)=LEN(Data!CP54)+1,
      Data!CP54 &amp; "",
      MID(
        'ARDT Cutter Entry'!AA119,
        2,
        LEN('ARDT Cutter Entry'!AA119)-1-LEN(Data!CP54)
      )
   )
)</f>
        <v/>
      </c>
      <c r="AB138" s="1122" t="str">
        <f>IF(
   LEFT('ARDT Cutter Entry'!AB119,1)&lt;&gt;"X",
   "",
   IF(
      LEN('ARDT Cutter Entry'!AB119)=LEN(Data!CQ54)+1,
      Data!CQ54 &amp; "",
      MID(
        'ARDT Cutter Entry'!AB119,
        2,
        LEN('ARDT Cutter Entry'!AB119)-1-LEN(Data!CQ54)
      )
   )
)</f>
        <v/>
      </c>
      <c r="AC138" s="1122" t="str">
        <f>IF(
   LEFT('ARDT Cutter Entry'!AC119,1)&lt;&gt;"X",
   "",
   IF(
      LEN('ARDT Cutter Entry'!AC119)=LEN(Data!CR54)+1,
      Data!CR54 &amp; "",
      MID(
        'ARDT Cutter Entry'!AC119,
        2,
        LEN('ARDT Cutter Entry'!AC119)-1-LEN(Data!CR54)
      )
   )
)</f>
        <v/>
      </c>
      <c r="AD138" s="1122" t="str">
        <f>IF(
   LEFT('ARDT Cutter Entry'!AD119,1)&lt;&gt;"X",
   "",
   IF(
      LEN('ARDT Cutter Entry'!AD119)=LEN(Data!CS54)+1,
      Data!CS54 &amp; "",
      MID(
        'ARDT Cutter Entry'!AD119,
        2,
        LEN('ARDT Cutter Entry'!AD119)-1-LEN(Data!CS54)
      )
   )
)</f>
        <v/>
      </c>
      <c r="AE138" s="1122" t="str">
        <f>IF(
   LEFT('ARDT Cutter Entry'!AE119,1)&lt;&gt;"X",
   "",
   IF(
      LEN('ARDT Cutter Entry'!AE119)=LEN(Data!CT54)+1,
      Data!CT54 &amp; "",
      MID(
        'ARDT Cutter Entry'!AE119,
        2,
        LEN('ARDT Cutter Entry'!AE119)-1-LEN(Data!CT54)
      )
   )
)</f>
        <v/>
      </c>
      <c r="AF138" s="1122" t="str">
        <f>IF(
   LEFT('ARDT Cutter Entry'!AF119,1)&lt;&gt;"X",
   "",
   IF(
      LEN('ARDT Cutter Entry'!AF119)=LEN(Data!CU54)+1,
      Data!CU54 &amp; "",
      MID(
        'ARDT Cutter Entry'!AF119,
        2,
        LEN('ARDT Cutter Entry'!AF119)-1-LEN(Data!CU54)
      )
   )
)</f>
        <v/>
      </c>
      <c r="AG138" s="1122" t="str">
        <f>IF(
   LEFT('ARDT Cutter Entry'!AG119,1)&lt;&gt;"X",
   "",
   IF(
      LEN('ARDT Cutter Entry'!AG119)=LEN(Data!CV54)+1,
      Data!CV54 &amp; "",
      MID(
        'ARDT Cutter Entry'!AG119,
        2,
        LEN('ARDT Cutter Entry'!AG119)-1-LEN(Data!CV54)
      )
   )
)</f>
        <v/>
      </c>
      <c r="AH138" s="1122" t="str">
        <f>IF(
   LEFT('ARDT Cutter Entry'!AH119,1)&lt;&gt;"X",
   "",
   IF(
      LEN('ARDT Cutter Entry'!AH119)=LEN(Data!CW54)+1,
      Data!CW54 &amp; "",
      MID(
        'ARDT Cutter Entry'!AH119,
        2,
        LEN('ARDT Cutter Entry'!AH119)-1-LEN(Data!CW54)
      )
   )
)</f>
        <v/>
      </c>
      <c r="AI138" s="1122" t="str">
        <f>IF(
   LEFT('ARDT Cutter Entry'!AI119,1)&lt;&gt;"X",
   "",
   IF(
      LEN('ARDT Cutter Entry'!AI119)=LEN(Data!CX54)+1,
      Data!CX54 &amp; "",
      MID(
        'ARDT Cutter Entry'!AI119,
        2,
        LEN('ARDT Cutter Entry'!AI119)-1-LEN(Data!CX54)
      )
   )
)</f>
        <v/>
      </c>
      <c r="AJ138" s="41"/>
    </row>
    <row r="139" spans="1:54" ht="23.25" customHeight="1" x14ac:dyDescent="0.35">
      <c r="A139" s="1196"/>
      <c r="B139" s="22">
        <v>10</v>
      </c>
      <c r="C139" s="1122" t="str">
        <f>IF(
   LEFT('ARDT Cutter Entry'!C120,1)&lt;&gt;"X",
   "",
   IF(
      LEN('ARDT Cutter Entry'!C120)=LEN(Data!BR55)+1,
      Data!BR55 &amp; "",
      MID(
        'ARDT Cutter Entry'!C120,
        2,
        LEN('ARDT Cutter Entry'!C120)-1-LEN(Data!BR55)
      )
   )
)</f>
        <v/>
      </c>
      <c r="D139" s="1122" t="str">
        <f>IF(
   LEFT('ARDT Cutter Entry'!D120,1)&lt;&gt;"X",
   "",
   IF(
      LEN('ARDT Cutter Entry'!D120)=LEN(Data!BS55)+1,
      Data!BS55 &amp; "",
      MID(
        'ARDT Cutter Entry'!D120,
        2,
        LEN('ARDT Cutter Entry'!D120)-1-LEN(Data!BS55)
      )
   )
)</f>
        <v/>
      </c>
      <c r="E139" s="1122" t="str">
        <f>IF(
   LEFT('ARDT Cutter Entry'!E120,1)&lt;&gt;"X",
   "",
   IF(
      LEN('ARDT Cutter Entry'!E120)=LEN(Data!BT55)+1,
      Data!BT55 &amp; "",
      MID(
        'ARDT Cutter Entry'!E120,
        2,
        LEN('ARDT Cutter Entry'!E120)-1-LEN(Data!BT55)
      )
   )
)</f>
        <v/>
      </c>
      <c r="F139" s="1122" t="str">
        <f>IF(
   LEFT('ARDT Cutter Entry'!F120,1)&lt;&gt;"X",
   "",
   IF(
      LEN('ARDT Cutter Entry'!F120)=LEN(Data!BU55)+1,
      Data!BU55 &amp; "",
      MID(
        'ARDT Cutter Entry'!F120,
        2,
        LEN('ARDT Cutter Entry'!F120)-1-LEN(Data!BU55)
      )
   )
)</f>
        <v/>
      </c>
      <c r="G139" s="1122" t="str">
        <f>IF(
   LEFT('ARDT Cutter Entry'!G120,1)&lt;&gt;"X",
   "",
   IF(
      LEN('ARDT Cutter Entry'!G120)=LEN(Data!BV55)+1,
      Data!BV55 &amp; "",
      MID(
        'ARDT Cutter Entry'!G120,
        2,
        LEN('ARDT Cutter Entry'!G120)-1-LEN(Data!BV55)
      )
   )
)</f>
        <v/>
      </c>
      <c r="H139" s="1122" t="str">
        <f>IF(
   LEFT('ARDT Cutter Entry'!H120,1)&lt;&gt;"X",
   "",
   IF(
      LEN('ARDT Cutter Entry'!H120)=LEN(Data!BW55)+1,
      Data!BW55 &amp; "",
      MID(
        'ARDT Cutter Entry'!H120,
        2,
        LEN('ARDT Cutter Entry'!H120)-1-LEN(Data!BW55)
      )
   )
)</f>
        <v/>
      </c>
      <c r="I139" s="1122" t="str">
        <f>IF(
   LEFT('ARDT Cutter Entry'!I120,1)&lt;&gt;"X",
   "",
   IF(
      LEN('ARDT Cutter Entry'!I120)=LEN(Data!BX55)+1,
      Data!BX55 &amp; "",
      MID(
        'ARDT Cutter Entry'!I120,
        2,
        LEN('ARDT Cutter Entry'!I120)-1-LEN(Data!BX55)
      )
   )
)</f>
        <v/>
      </c>
      <c r="J139" s="1122" t="str">
        <f>IF(
   LEFT('ARDT Cutter Entry'!J120,1)&lt;&gt;"X",
   "",
   IF(
      LEN('ARDT Cutter Entry'!J120)=LEN(Data!BY55)+1,
      Data!BY55 &amp; "",
      MID(
        'ARDT Cutter Entry'!J120,
        2,
        LEN('ARDT Cutter Entry'!J120)-1-LEN(Data!BY55)
      )
   )
)</f>
        <v/>
      </c>
      <c r="K139" s="1122" t="str">
        <f>IF(
   LEFT('ARDT Cutter Entry'!K120,1)&lt;&gt;"X",
   "",
   IF(
      LEN('ARDT Cutter Entry'!K120)=LEN(Data!BZ55)+1,
      Data!BZ55 &amp; "",
      MID(
        'ARDT Cutter Entry'!K120,
        2,
        LEN('ARDT Cutter Entry'!K120)-1-LEN(Data!BZ55)
      )
   )
)</f>
        <v/>
      </c>
      <c r="L139" s="1122" t="str">
        <f>IF(
   LEFT('ARDT Cutter Entry'!L120,1)&lt;&gt;"X",
   "",
   IF(
      LEN('ARDT Cutter Entry'!L120)=LEN(Data!CA55)+1,
      Data!CA55 &amp; "",
      MID(
        'ARDT Cutter Entry'!L120,
        2,
        LEN('ARDT Cutter Entry'!L120)-1-LEN(Data!CA55)
      )
   )
)</f>
        <v/>
      </c>
      <c r="M139" s="1122" t="str">
        <f>IF(
   LEFT('ARDT Cutter Entry'!M120,1)&lt;&gt;"X",
   "",
   IF(
      LEN('ARDT Cutter Entry'!M120)=LEN(Data!CB55)+1,
      Data!CB55 &amp; "",
      MID(
        'ARDT Cutter Entry'!M120,
        2,
        LEN('ARDT Cutter Entry'!M120)-1-LEN(Data!CB55)
      )
   )
)</f>
        <v/>
      </c>
      <c r="N139" s="1122" t="str">
        <f>IF(
   LEFT('ARDT Cutter Entry'!N120,1)&lt;&gt;"X",
   "",
   IF(
      LEN('ARDT Cutter Entry'!N120)=LEN(Data!CC55)+1,
      Data!CC55 &amp; "",
      MID(
        'ARDT Cutter Entry'!N120,
        2,
        LEN('ARDT Cutter Entry'!N120)-1-LEN(Data!CC55)
      )
   )
)</f>
        <v/>
      </c>
      <c r="O139" s="1122" t="str">
        <f>IF(
   LEFT('ARDT Cutter Entry'!O120,1)&lt;&gt;"X",
   "",
   IF(
      LEN('ARDT Cutter Entry'!O120)=LEN(Data!CD55)+1,
      Data!CD55 &amp; "",
      MID(
        'ARDT Cutter Entry'!O120,
        2,
        LEN('ARDT Cutter Entry'!O120)-1-LEN(Data!CD55)
      )
   )
)</f>
        <v/>
      </c>
      <c r="P139" s="1122" t="str">
        <f>IF(
   LEFT('ARDT Cutter Entry'!P120,1)&lt;&gt;"X",
   "",
   IF(
      LEN('ARDT Cutter Entry'!P120)=LEN(Data!CE55)+1,
      Data!CE55 &amp; "",
      MID(
        'ARDT Cutter Entry'!P120,
        2,
        LEN('ARDT Cutter Entry'!P120)-1-LEN(Data!CE55)
      )
   )
)</f>
        <v/>
      </c>
      <c r="Q139" s="1122" t="str">
        <f>IF(
   LEFT('ARDT Cutter Entry'!Q120,1)&lt;&gt;"X",
   "",
   IF(
      LEN('ARDT Cutter Entry'!Q120)=LEN(Data!CF55)+1,
      Data!CF55 &amp; "",
      MID(
        'ARDT Cutter Entry'!Q120,
        2,
        LEN('ARDT Cutter Entry'!Q120)-1-LEN(Data!CF55)
      )
   )
)</f>
        <v/>
      </c>
      <c r="R139" s="1122" t="str">
        <f>IF(
   LEFT('ARDT Cutter Entry'!R120,1)&lt;&gt;"X",
   "",
   IF(
      LEN('ARDT Cutter Entry'!R120)=LEN(Data!CG55)+1,
      Data!CG55 &amp; "",
      MID(
        'ARDT Cutter Entry'!R120,
        2,
        LEN('ARDT Cutter Entry'!R120)-1-LEN(Data!CG55)
      )
   )
)</f>
        <v/>
      </c>
      <c r="S139" s="1122" t="str">
        <f>IF(
   LEFT('ARDT Cutter Entry'!S120,1)&lt;&gt;"X",
   "",
   IF(
      LEN('ARDT Cutter Entry'!S120)=LEN(Data!CH55)+1,
      Data!CH55 &amp; "",
      MID(
        'ARDT Cutter Entry'!S120,
        2,
        LEN('ARDT Cutter Entry'!S120)-1-LEN(Data!CH55)
      )
   )
)</f>
        <v/>
      </c>
      <c r="T139" s="1122" t="str">
        <f>IF(
   LEFT('ARDT Cutter Entry'!T120,1)&lt;&gt;"X",
   "",
   IF(
      LEN('ARDT Cutter Entry'!T120)=LEN(Data!CI55)+1,
      Data!CI55 &amp; "",
      MID(
        'ARDT Cutter Entry'!T120,
        2,
        LEN('ARDT Cutter Entry'!T120)-1-LEN(Data!CI55)
      )
   )
)</f>
        <v/>
      </c>
      <c r="U139" s="1122" t="str">
        <f>IF(
   LEFT('ARDT Cutter Entry'!U120,1)&lt;&gt;"X",
   "",
   IF(
      LEN('ARDT Cutter Entry'!U120)=LEN(Data!CJ55)+1,
      Data!CJ55 &amp; "",
      MID(
        'ARDT Cutter Entry'!U120,
        2,
        LEN('ARDT Cutter Entry'!U120)-1-LEN(Data!CJ55)
      )
   )
)</f>
        <v/>
      </c>
      <c r="V139" s="1122" t="str">
        <f>IF(
   LEFT('ARDT Cutter Entry'!V120,1)&lt;&gt;"X",
   "",
   IF(
      LEN('ARDT Cutter Entry'!V120)=LEN(Data!CK55)+1,
      Data!CK55 &amp; "",
      MID(
        'ARDT Cutter Entry'!V120,
        2,
        LEN('ARDT Cutter Entry'!V120)-1-LEN(Data!CK55)
      )
   )
)</f>
        <v/>
      </c>
      <c r="W139" s="1122" t="str">
        <f>IF(
   LEFT('ARDT Cutter Entry'!W120,1)&lt;&gt;"X",
   "",
   IF(
      LEN('ARDT Cutter Entry'!W120)=LEN(Data!CL55)+1,
      Data!CL55 &amp; "",
      MID(
        'ARDT Cutter Entry'!W120,
        2,
        LEN('ARDT Cutter Entry'!W120)-1-LEN(Data!CL55)
      )
   )
)</f>
        <v/>
      </c>
      <c r="X139" s="1122" t="str">
        <f>IF(
   LEFT('ARDT Cutter Entry'!X120,1)&lt;&gt;"X",
   "",
   IF(
      LEN('ARDT Cutter Entry'!X120)=LEN(Data!CM55)+1,
      Data!CM55 &amp; "",
      MID(
        'ARDT Cutter Entry'!X120,
        2,
        LEN('ARDT Cutter Entry'!X120)-1-LEN(Data!CM55)
      )
   )
)</f>
        <v/>
      </c>
      <c r="Y139" s="1122" t="str">
        <f>IF(
   LEFT('ARDT Cutter Entry'!Y120,1)&lt;&gt;"X",
   "",
   IF(
      LEN('ARDT Cutter Entry'!Y120)=LEN(Data!CN55)+1,
      Data!CN55 &amp; "",
      MID(
        'ARDT Cutter Entry'!Y120,
        2,
        LEN('ARDT Cutter Entry'!Y120)-1-LEN(Data!CN55)
      )
   )
)</f>
        <v/>
      </c>
      <c r="Z139" s="1122" t="str">
        <f>IF(
   LEFT('ARDT Cutter Entry'!Z120,1)&lt;&gt;"X",
   "",
   IF(
      LEN('ARDT Cutter Entry'!Z120)=LEN(Data!CO55)+1,
      Data!CO55 &amp; "",
      MID(
        'ARDT Cutter Entry'!Z120,
        2,
        LEN('ARDT Cutter Entry'!Z120)-1-LEN(Data!CO55)
      )
   )
)</f>
        <v/>
      </c>
      <c r="AA139" s="1122" t="str">
        <f>IF(
   LEFT('ARDT Cutter Entry'!AA120,1)&lt;&gt;"X",
   "",
   IF(
      LEN('ARDT Cutter Entry'!AA120)=LEN(Data!CP55)+1,
      Data!CP55 &amp; "",
      MID(
        'ARDT Cutter Entry'!AA120,
        2,
        LEN('ARDT Cutter Entry'!AA120)-1-LEN(Data!CP55)
      )
   )
)</f>
        <v/>
      </c>
      <c r="AB139" s="1122" t="str">
        <f>IF(
   LEFT('ARDT Cutter Entry'!AB120,1)&lt;&gt;"X",
   "",
   IF(
      LEN('ARDT Cutter Entry'!AB120)=LEN(Data!CQ55)+1,
      Data!CQ55 &amp; "",
      MID(
        'ARDT Cutter Entry'!AB120,
        2,
        LEN('ARDT Cutter Entry'!AB120)-1-LEN(Data!CQ55)
      )
   )
)</f>
        <v/>
      </c>
      <c r="AC139" s="1122" t="str">
        <f>IF(
   LEFT('ARDT Cutter Entry'!AC120,1)&lt;&gt;"X",
   "",
   IF(
      LEN('ARDT Cutter Entry'!AC120)=LEN(Data!CR55)+1,
      Data!CR55 &amp; "",
      MID(
        'ARDT Cutter Entry'!AC120,
        2,
        LEN('ARDT Cutter Entry'!AC120)-1-LEN(Data!CR55)
      )
   )
)</f>
        <v/>
      </c>
      <c r="AD139" s="1122" t="str">
        <f>IF(
   LEFT('ARDT Cutter Entry'!AD120,1)&lt;&gt;"X",
   "",
   IF(
      LEN('ARDT Cutter Entry'!AD120)=LEN(Data!CS55)+1,
      Data!CS55 &amp; "",
      MID(
        'ARDT Cutter Entry'!AD120,
        2,
        LEN('ARDT Cutter Entry'!AD120)-1-LEN(Data!CS55)
      )
   )
)</f>
        <v/>
      </c>
      <c r="AE139" s="1122" t="str">
        <f>IF(
   LEFT('ARDT Cutter Entry'!AE120,1)&lt;&gt;"X",
   "",
   IF(
      LEN('ARDT Cutter Entry'!AE120)=LEN(Data!CT55)+1,
      Data!CT55 &amp; "",
      MID(
        'ARDT Cutter Entry'!AE120,
        2,
        LEN('ARDT Cutter Entry'!AE120)-1-LEN(Data!CT55)
      )
   )
)</f>
        <v/>
      </c>
      <c r="AF139" s="1122" t="str">
        <f>IF(
   LEFT('ARDT Cutter Entry'!AF120,1)&lt;&gt;"X",
   "",
   IF(
      LEN('ARDT Cutter Entry'!AF120)=LEN(Data!CU55)+1,
      Data!CU55 &amp; "",
      MID(
        'ARDT Cutter Entry'!AF120,
        2,
        LEN('ARDT Cutter Entry'!AF120)-1-LEN(Data!CU55)
      )
   )
)</f>
        <v/>
      </c>
      <c r="AG139" s="1122" t="str">
        <f>IF(
   LEFT('ARDT Cutter Entry'!AG120,1)&lt;&gt;"X",
   "",
   IF(
      LEN('ARDT Cutter Entry'!AG120)=LEN(Data!CV55)+1,
      Data!CV55 &amp; "",
      MID(
        'ARDT Cutter Entry'!AG120,
        2,
        LEN('ARDT Cutter Entry'!AG120)-1-LEN(Data!CV55)
      )
   )
)</f>
        <v/>
      </c>
      <c r="AH139" s="1122" t="str">
        <f>IF(
   LEFT('ARDT Cutter Entry'!AH120,1)&lt;&gt;"X",
   "",
   IF(
      LEN('ARDT Cutter Entry'!AH120)=LEN(Data!CW55)+1,
      Data!CW55 &amp; "",
      MID(
        'ARDT Cutter Entry'!AH120,
        2,
        LEN('ARDT Cutter Entry'!AH120)-1-LEN(Data!CW55)
      )
   )
)</f>
        <v/>
      </c>
      <c r="AI139" s="1122" t="str">
        <f>IF(
   LEFT('ARDT Cutter Entry'!AI120,1)&lt;&gt;"X",
   "",
   IF(
      LEN('ARDT Cutter Entry'!AI120)=LEN(Data!CX55)+1,
      Data!CX55 &amp; "",
      MID(
        'ARDT Cutter Entry'!AI120,
        2,
        LEN('ARDT Cutter Entry'!AI120)-1-LEN(Data!CX55)
      )
   )
)</f>
        <v/>
      </c>
      <c r="AJ139" s="41"/>
    </row>
    <row r="140" spans="1:54" ht="23.25" customHeight="1" x14ac:dyDescent="0.35">
      <c r="A140" s="1196"/>
      <c r="B140" s="22">
        <v>11</v>
      </c>
      <c r="C140" s="1122" t="str">
        <f>IF(
   LEFT('ARDT Cutter Entry'!C121,1)&lt;&gt;"X",
   "",
   IF(
      LEN('ARDT Cutter Entry'!C121)=LEN(Data!BR56)+1,
      Data!BR56 &amp; "",
      MID(
        'ARDT Cutter Entry'!C121,
        2,
        LEN('ARDT Cutter Entry'!C121)-1-LEN(Data!BR56)
      )
   )
)</f>
        <v/>
      </c>
      <c r="D140" s="1122" t="str">
        <f>IF(
   LEFT('ARDT Cutter Entry'!D121,1)&lt;&gt;"X",
   "",
   IF(
      LEN('ARDT Cutter Entry'!D121)=LEN(Data!BS56)+1,
      Data!BS56 &amp; "",
      MID(
        'ARDT Cutter Entry'!D121,
        2,
        LEN('ARDT Cutter Entry'!D121)-1-LEN(Data!BS56)
      )
   )
)</f>
        <v/>
      </c>
      <c r="E140" s="1122" t="str">
        <f>IF(
   LEFT('ARDT Cutter Entry'!E121,1)&lt;&gt;"X",
   "",
   IF(
      LEN('ARDT Cutter Entry'!E121)=LEN(Data!BT56)+1,
      Data!BT56 &amp; "",
      MID(
        'ARDT Cutter Entry'!E121,
        2,
        LEN('ARDT Cutter Entry'!E121)-1-LEN(Data!BT56)
      )
   )
)</f>
        <v/>
      </c>
      <c r="F140" s="1122" t="str">
        <f>IF(
   LEFT('ARDT Cutter Entry'!F121,1)&lt;&gt;"X",
   "",
   IF(
      LEN('ARDT Cutter Entry'!F121)=LEN(Data!BU56)+1,
      Data!BU56 &amp; "",
      MID(
        'ARDT Cutter Entry'!F121,
        2,
        LEN('ARDT Cutter Entry'!F121)-1-LEN(Data!BU56)
      )
   )
)</f>
        <v/>
      </c>
      <c r="G140" s="1122" t="str">
        <f>IF(
   LEFT('ARDT Cutter Entry'!G121,1)&lt;&gt;"X",
   "",
   IF(
      LEN('ARDT Cutter Entry'!G121)=LEN(Data!BV56)+1,
      Data!BV56 &amp; "",
      MID(
        'ARDT Cutter Entry'!G121,
        2,
        LEN('ARDT Cutter Entry'!G121)-1-LEN(Data!BV56)
      )
   )
)</f>
        <v/>
      </c>
      <c r="H140" s="1122" t="str">
        <f>IF(
   LEFT('ARDT Cutter Entry'!H121,1)&lt;&gt;"X",
   "",
   IF(
      LEN('ARDT Cutter Entry'!H121)=LEN(Data!BW56)+1,
      Data!BW56 &amp; "",
      MID(
        'ARDT Cutter Entry'!H121,
        2,
        LEN('ARDT Cutter Entry'!H121)-1-LEN(Data!BW56)
      )
   )
)</f>
        <v/>
      </c>
      <c r="I140" s="1122" t="str">
        <f>IF(
   LEFT('ARDT Cutter Entry'!I121,1)&lt;&gt;"X",
   "",
   IF(
      LEN('ARDT Cutter Entry'!I121)=LEN(Data!BX56)+1,
      Data!BX56 &amp; "",
      MID(
        'ARDT Cutter Entry'!I121,
        2,
        LEN('ARDT Cutter Entry'!I121)-1-LEN(Data!BX56)
      )
   )
)</f>
        <v/>
      </c>
      <c r="J140" s="1122" t="str">
        <f>IF(
   LEFT('ARDT Cutter Entry'!J121,1)&lt;&gt;"X",
   "",
   IF(
      LEN('ARDT Cutter Entry'!J121)=LEN(Data!BY56)+1,
      Data!BY56 &amp; "",
      MID(
        'ARDT Cutter Entry'!J121,
        2,
        LEN('ARDT Cutter Entry'!J121)-1-LEN(Data!BY56)
      )
   )
)</f>
        <v/>
      </c>
      <c r="K140" s="1122" t="str">
        <f>IF(
   LEFT('ARDT Cutter Entry'!K121,1)&lt;&gt;"X",
   "",
   IF(
      LEN('ARDT Cutter Entry'!K121)=LEN(Data!BZ56)+1,
      Data!BZ56 &amp; "",
      MID(
        'ARDT Cutter Entry'!K121,
        2,
        LEN('ARDT Cutter Entry'!K121)-1-LEN(Data!BZ56)
      )
   )
)</f>
        <v/>
      </c>
      <c r="L140" s="1122" t="str">
        <f>IF(
   LEFT('ARDT Cutter Entry'!L121,1)&lt;&gt;"X",
   "",
   IF(
      LEN('ARDT Cutter Entry'!L121)=LEN(Data!CA56)+1,
      Data!CA56 &amp; "",
      MID(
        'ARDT Cutter Entry'!L121,
        2,
        LEN('ARDT Cutter Entry'!L121)-1-LEN(Data!CA56)
      )
   )
)</f>
        <v/>
      </c>
      <c r="M140" s="1122" t="str">
        <f>IF(
   LEFT('ARDT Cutter Entry'!M121,1)&lt;&gt;"X",
   "",
   IF(
      LEN('ARDT Cutter Entry'!M121)=LEN(Data!CB56)+1,
      Data!CB56 &amp; "",
      MID(
        'ARDT Cutter Entry'!M121,
        2,
        LEN('ARDT Cutter Entry'!M121)-1-LEN(Data!CB56)
      )
   )
)</f>
        <v/>
      </c>
      <c r="N140" s="1122" t="str">
        <f>IF(
   LEFT('ARDT Cutter Entry'!N121,1)&lt;&gt;"X",
   "",
   IF(
      LEN('ARDT Cutter Entry'!N121)=LEN(Data!CC56)+1,
      Data!CC56 &amp; "",
      MID(
        'ARDT Cutter Entry'!N121,
        2,
        LEN('ARDT Cutter Entry'!N121)-1-LEN(Data!CC56)
      )
   )
)</f>
        <v/>
      </c>
      <c r="O140" s="1122" t="str">
        <f>IF(
   LEFT('ARDT Cutter Entry'!O121,1)&lt;&gt;"X",
   "",
   IF(
      LEN('ARDT Cutter Entry'!O121)=LEN(Data!CD56)+1,
      Data!CD56 &amp; "",
      MID(
        'ARDT Cutter Entry'!O121,
        2,
        LEN('ARDT Cutter Entry'!O121)-1-LEN(Data!CD56)
      )
   )
)</f>
        <v/>
      </c>
      <c r="P140" s="1122" t="str">
        <f>IF(
   LEFT('ARDT Cutter Entry'!P121,1)&lt;&gt;"X",
   "",
   IF(
      LEN('ARDT Cutter Entry'!P121)=LEN(Data!CE56)+1,
      Data!CE56 &amp; "",
      MID(
        'ARDT Cutter Entry'!P121,
        2,
        LEN('ARDT Cutter Entry'!P121)-1-LEN(Data!CE56)
      )
   )
)</f>
        <v/>
      </c>
      <c r="Q140" s="1122" t="str">
        <f>IF(
   LEFT('ARDT Cutter Entry'!Q121,1)&lt;&gt;"X",
   "",
   IF(
      LEN('ARDT Cutter Entry'!Q121)=LEN(Data!CF56)+1,
      Data!CF56 &amp; "",
      MID(
        'ARDT Cutter Entry'!Q121,
        2,
        LEN('ARDT Cutter Entry'!Q121)-1-LEN(Data!CF56)
      )
   )
)</f>
        <v/>
      </c>
      <c r="R140" s="1122" t="str">
        <f>IF(
   LEFT('ARDT Cutter Entry'!R121,1)&lt;&gt;"X",
   "",
   IF(
      LEN('ARDT Cutter Entry'!R121)=LEN(Data!CG56)+1,
      Data!CG56 &amp; "",
      MID(
        'ARDT Cutter Entry'!R121,
        2,
        LEN('ARDT Cutter Entry'!R121)-1-LEN(Data!CG56)
      )
   )
)</f>
        <v/>
      </c>
      <c r="S140" s="1122" t="str">
        <f>IF(
   LEFT('ARDT Cutter Entry'!S121,1)&lt;&gt;"X",
   "",
   IF(
      LEN('ARDT Cutter Entry'!S121)=LEN(Data!CH56)+1,
      Data!CH56 &amp; "",
      MID(
        'ARDT Cutter Entry'!S121,
        2,
        LEN('ARDT Cutter Entry'!S121)-1-LEN(Data!CH56)
      )
   )
)</f>
        <v/>
      </c>
      <c r="T140" s="1122" t="str">
        <f>IF(
   LEFT('ARDT Cutter Entry'!T121,1)&lt;&gt;"X",
   "",
   IF(
      LEN('ARDT Cutter Entry'!T121)=LEN(Data!CI56)+1,
      Data!CI56 &amp; "",
      MID(
        'ARDT Cutter Entry'!T121,
        2,
        LEN('ARDT Cutter Entry'!T121)-1-LEN(Data!CI56)
      )
   )
)</f>
        <v/>
      </c>
      <c r="U140" s="1122" t="str">
        <f>IF(
   LEFT('ARDT Cutter Entry'!U121,1)&lt;&gt;"X",
   "",
   IF(
      LEN('ARDT Cutter Entry'!U121)=LEN(Data!CJ56)+1,
      Data!CJ56 &amp; "",
      MID(
        'ARDT Cutter Entry'!U121,
        2,
        LEN('ARDT Cutter Entry'!U121)-1-LEN(Data!CJ56)
      )
   )
)</f>
        <v/>
      </c>
      <c r="V140" s="1122" t="str">
        <f>IF(
   LEFT('ARDT Cutter Entry'!V121,1)&lt;&gt;"X",
   "",
   IF(
      LEN('ARDT Cutter Entry'!V121)=LEN(Data!CK56)+1,
      Data!CK56 &amp; "",
      MID(
        'ARDT Cutter Entry'!V121,
        2,
        LEN('ARDT Cutter Entry'!V121)-1-LEN(Data!CK56)
      )
   )
)</f>
        <v/>
      </c>
      <c r="W140" s="1122" t="str">
        <f>IF(
   LEFT('ARDT Cutter Entry'!W121,1)&lt;&gt;"X",
   "",
   IF(
      LEN('ARDT Cutter Entry'!W121)=LEN(Data!CL56)+1,
      Data!CL56 &amp; "",
      MID(
        'ARDT Cutter Entry'!W121,
        2,
        LEN('ARDT Cutter Entry'!W121)-1-LEN(Data!CL56)
      )
   )
)</f>
        <v/>
      </c>
      <c r="X140" s="1122" t="str">
        <f>IF(
   LEFT('ARDT Cutter Entry'!X121,1)&lt;&gt;"X",
   "",
   IF(
      LEN('ARDT Cutter Entry'!X121)=LEN(Data!CM56)+1,
      Data!CM56 &amp; "",
      MID(
        'ARDT Cutter Entry'!X121,
        2,
        LEN('ARDT Cutter Entry'!X121)-1-LEN(Data!CM56)
      )
   )
)</f>
        <v/>
      </c>
      <c r="Y140" s="1122" t="str">
        <f>IF(
   LEFT('ARDT Cutter Entry'!Y121,1)&lt;&gt;"X",
   "",
   IF(
      LEN('ARDT Cutter Entry'!Y121)=LEN(Data!CN56)+1,
      Data!CN56 &amp; "",
      MID(
        'ARDT Cutter Entry'!Y121,
        2,
        LEN('ARDT Cutter Entry'!Y121)-1-LEN(Data!CN56)
      )
   )
)</f>
        <v/>
      </c>
      <c r="Z140" s="1122" t="str">
        <f>IF(
   LEFT('ARDT Cutter Entry'!Z121,1)&lt;&gt;"X",
   "",
   IF(
      LEN('ARDT Cutter Entry'!Z121)=LEN(Data!CO56)+1,
      Data!CO56 &amp; "",
      MID(
        'ARDT Cutter Entry'!Z121,
        2,
        LEN('ARDT Cutter Entry'!Z121)-1-LEN(Data!CO56)
      )
   )
)</f>
        <v/>
      </c>
      <c r="AA140" s="1122" t="str">
        <f>IF(
   LEFT('ARDT Cutter Entry'!AA121,1)&lt;&gt;"X",
   "",
   IF(
      LEN('ARDT Cutter Entry'!AA121)=LEN(Data!CP56)+1,
      Data!CP56 &amp; "",
      MID(
        'ARDT Cutter Entry'!AA121,
        2,
        LEN('ARDT Cutter Entry'!AA121)-1-LEN(Data!CP56)
      )
   )
)</f>
        <v/>
      </c>
      <c r="AB140" s="1122" t="str">
        <f>IF(
   LEFT('ARDT Cutter Entry'!AB121,1)&lt;&gt;"X",
   "",
   IF(
      LEN('ARDT Cutter Entry'!AB121)=LEN(Data!CQ56)+1,
      Data!CQ56 &amp; "",
      MID(
        'ARDT Cutter Entry'!AB121,
        2,
        LEN('ARDT Cutter Entry'!AB121)-1-LEN(Data!CQ56)
      )
   )
)</f>
        <v/>
      </c>
      <c r="AC140" s="1122" t="str">
        <f>IF(
   LEFT('ARDT Cutter Entry'!AC121,1)&lt;&gt;"X",
   "",
   IF(
      LEN('ARDT Cutter Entry'!AC121)=LEN(Data!CR56)+1,
      Data!CR56 &amp; "",
      MID(
        'ARDT Cutter Entry'!AC121,
        2,
        LEN('ARDT Cutter Entry'!AC121)-1-LEN(Data!CR56)
      )
   )
)</f>
        <v/>
      </c>
      <c r="AD140" s="1122" t="str">
        <f>IF(
   LEFT('ARDT Cutter Entry'!AD121,1)&lt;&gt;"X",
   "",
   IF(
      LEN('ARDT Cutter Entry'!AD121)=LEN(Data!CS56)+1,
      Data!CS56 &amp; "",
      MID(
        'ARDT Cutter Entry'!AD121,
        2,
        LEN('ARDT Cutter Entry'!AD121)-1-LEN(Data!CS56)
      )
   )
)</f>
        <v/>
      </c>
      <c r="AE140" s="1122" t="str">
        <f>IF(
   LEFT('ARDT Cutter Entry'!AE121,1)&lt;&gt;"X",
   "",
   IF(
      LEN('ARDT Cutter Entry'!AE121)=LEN(Data!CT56)+1,
      Data!CT56 &amp; "",
      MID(
        'ARDT Cutter Entry'!AE121,
        2,
        LEN('ARDT Cutter Entry'!AE121)-1-LEN(Data!CT56)
      )
   )
)</f>
        <v/>
      </c>
      <c r="AF140" s="1122" t="str">
        <f>IF(
   LEFT('ARDT Cutter Entry'!AF121,1)&lt;&gt;"X",
   "",
   IF(
      LEN('ARDT Cutter Entry'!AF121)=LEN(Data!CU56)+1,
      Data!CU56 &amp; "",
      MID(
        'ARDT Cutter Entry'!AF121,
        2,
        LEN('ARDT Cutter Entry'!AF121)-1-LEN(Data!CU56)
      )
   )
)</f>
        <v/>
      </c>
      <c r="AG140" s="1122" t="str">
        <f>IF(
   LEFT('ARDT Cutter Entry'!AG121,1)&lt;&gt;"X",
   "",
   IF(
      LEN('ARDT Cutter Entry'!AG121)=LEN(Data!CV56)+1,
      Data!CV56 &amp; "",
      MID(
        'ARDT Cutter Entry'!AG121,
        2,
        LEN('ARDT Cutter Entry'!AG121)-1-LEN(Data!CV56)
      )
   )
)</f>
        <v/>
      </c>
      <c r="AH140" s="1122" t="str">
        <f>IF(
   LEFT('ARDT Cutter Entry'!AH121,1)&lt;&gt;"X",
   "",
   IF(
      LEN('ARDT Cutter Entry'!AH121)=LEN(Data!CW56)+1,
      Data!CW56 &amp; "",
      MID(
        'ARDT Cutter Entry'!AH121,
        2,
        LEN('ARDT Cutter Entry'!AH121)-1-LEN(Data!CW56)
      )
   )
)</f>
        <v/>
      </c>
      <c r="AI140" s="1122" t="str">
        <f>IF(
   LEFT('ARDT Cutter Entry'!AI121,1)&lt;&gt;"X",
   "",
   IF(
      LEN('ARDT Cutter Entry'!AI121)=LEN(Data!CX56)+1,
      Data!CX56 &amp; "",
      MID(
        'ARDT Cutter Entry'!AI121,
        2,
        LEN('ARDT Cutter Entry'!AI121)-1-LEN(Data!CX56)
      )
   )
)</f>
        <v/>
      </c>
      <c r="AJ140" s="41"/>
    </row>
    <row r="141" spans="1:54" ht="24" customHeight="1" thickBot="1" x14ac:dyDescent="0.4">
      <c r="A141" s="1197"/>
      <c r="B141" s="23">
        <v>12</v>
      </c>
      <c r="C141" s="1122" t="str">
        <f>IF(
   LEFT('ARDT Cutter Entry'!C122,1)&lt;&gt;"X",
   "",
   IF(
      LEN('ARDT Cutter Entry'!C122)=LEN(Data!BR57)+1,
      Data!BR57 &amp; "",
      MID(
        'ARDT Cutter Entry'!C122,
        2,
        LEN('ARDT Cutter Entry'!C122)-1-LEN(Data!BR57)
      )
   )
)</f>
        <v/>
      </c>
      <c r="D141" s="1122" t="str">
        <f>IF(
   LEFT('ARDT Cutter Entry'!D122,1)&lt;&gt;"X",
   "",
   IF(
      LEN('ARDT Cutter Entry'!D122)=LEN(Data!BS57)+1,
      Data!BS57 &amp; "",
      MID(
        'ARDT Cutter Entry'!D122,
        2,
        LEN('ARDT Cutter Entry'!D122)-1-LEN(Data!BS57)
      )
   )
)</f>
        <v/>
      </c>
      <c r="E141" s="1122" t="str">
        <f>IF(
   LEFT('ARDT Cutter Entry'!E122,1)&lt;&gt;"X",
   "",
   IF(
      LEN('ARDT Cutter Entry'!E122)=LEN(Data!BT57)+1,
      Data!BT57 &amp; "",
      MID(
        'ARDT Cutter Entry'!E122,
        2,
        LEN('ARDT Cutter Entry'!E122)-1-LEN(Data!BT57)
      )
   )
)</f>
        <v/>
      </c>
      <c r="F141" s="1122" t="str">
        <f>IF(
   LEFT('ARDT Cutter Entry'!F122,1)&lt;&gt;"X",
   "",
   IF(
      LEN('ARDT Cutter Entry'!F122)=LEN(Data!BU57)+1,
      Data!BU57 &amp; "",
      MID(
        'ARDT Cutter Entry'!F122,
        2,
        LEN('ARDT Cutter Entry'!F122)-1-LEN(Data!BU57)
      )
   )
)</f>
        <v/>
      </c>
      <c r="G141" s="1122" t="str">
        <f>IF(
   LEFT('ARDT Cutter Entry'!G122,1)&lt;&gt;"X",
   "",
   IF(
      LEN('ARDT Cutter Entry'!G122)=LEN(Data!BV57)+1,
      Data!BV57 &amp; "",
      MID(
        'ARDT Cutter Entry'!G122,
        2,
        LEN('ARDT Cutter Entry'!G122)-1-LEN(Data!BV57)
      )
   )
)</f>
        <v/>
      </c>
      <c r="H141" s="1122" t="str">
        <f>IF(
   LEFT('ARDT Cutter Entry'!H122,1)&lt;&gt;"X",
   "",
   IF(
      LEN('ARDT Cutter Entry'!H122)=LEN(Data!BW57)+1,
      Data!BW57 &amp; "",
      MID(
        'ARDT Cutter Entry'!H122,
        2,
        LEN('ARDT Cutter Entry'!H122)-1-LEN(Data!BW57)
      )
   )
)</f>
        <v/>
      </c>
      <c r="I141" s="1122" t="str">
        <f>IF(
   LEFT('ARDT Cutter Entry'!I122,1)&lt;&gt;"X",
   "",
   IF(
      LEN('ARDT Cutter Entry'!I122)=LEN(Data!BX57)+1,
      Data!BX57 &amp; "",
      MID(
        'ARDT Cutter Entry'!I122,
        2,
        LEN('ARDT Cutter Entry'!I122)-1-LEN(Data!BX57)
      )
   )
)</f>
        <v/>
      </c>
      <c r="J141" s="1122" t="str">
        <f>IF(
   LEFT('ARDT Cutter Entry'!J122,1)&lt;&gt;"X",
   "",
   IF(
      LEN('ARDT Cutter Entry'!J122)=LEN(Data!BY57)+1,
      Data!BY57 &amp; "",
      MID(
        'ARDT Cutter Entry'!J122,
        2,
        LEN('ARDT Cutter Entry'!J122)-1-LEN(Data!BY57)
      )
   )
)</f>
        <v/>
      </c>
      <c r="K141" s="1122" t="str">
        <f>IF(
   LEFT('ARDT Cutter Entry'!K122,1)&lt;&gt;"X",
   "",
   IF(
      LEN('ARDT Cutter Entry'!K122)=LEN(Data!BZ57)+1,
      Data!BZ57 &amp; "",
      MID(
        'ARDT Cutter Entry'!K122,
        2,
        LEN('ARDT Cutter Entry'!K122)-1-LEN(Data!BZ57)
      )
   )
)</f>
        <v/>
      </c>
      <c r="L141" s="1122" t="str">
        <f>IF(
   LEFT('ARDT Cutter Entry'!L122,1)&lt;&gt;"X",
   "",
   IF(
      LEN('ARDT Cutter Entry'!L122)=LEN(Data!CA57)+1,
      Data!CA57 &amp; "",
      MID(
        'ARDT Cutter Entry'!L122,
        2,
        LEN('ARDT Cutter Entry'!L122)-1-LEN(Data!CA57)
      )
   )
)</f>
        <v/>
      </c>
      <c r="M141" s="1122" t="str">
        <f>IF(
   LEFT('ARDT Cutter Entry'!M122,1)&lt;&gt;"X",
   "",
   IF(
      LEN('ARDT Cutter Entry'!M122)=LEN(Data!CB57)+1,
      Data!CB57 &amp; "",
      MID(
        'ARDT Cutter Entry'!M122,
        2,
        LEN('ARDT Cutter Entry'!M122)-1-LEN(Data!CB57)
      )
   )
)</f>
        <v/>
      </c>
      <c r="N141" s="1122" t="str">
        <f>IF(
   LEFT('ARDT Cutter Entry'!N122,1)&lt;&gt;"X",
   "",
   IF(
      LEN('ARDT Cutter Entry'!N122)=LEN(Data!CC57)+1,
      Data!CC57 &amp; "",
      MID(
        'ARDT Cutter Entry'!N122,
        2,
        LEN('ARDT Cutter Entry'!N122)-1-LEN(Data!CC57)
      )
   )
)</f>
        <v/>
      </c>
      <c r="O141" s="1122" t="str">
        <f>IF(
   LEFT('ARDT Cutter Entry'!O122,1)&lt;&gt;"X",
   "",
   IF(
      LEN('ARDT Cutter Entry'!O122)=LEN(Data!CD57)+1,
      Data!CD57 &amp; "",
      MID(
        'ARDT Cutter Entry'!O122,
        2,
        LEN('ARDT Cutter Entry'!O122)-1-LEN(Data!CD57)
      )
   )
)</f>
        <v/>
      </c>
      <c r="P141" s="1122" t="str">
        <f>IF(
   LEFT('ARDT Cutter Entry'!P122,1)&lt;&gt;"X",
   "",
   IF(
      LEN('ARDT Cutter Entry'!P122)=LEN(Data!CE57)+1,
      Data!CE57 &amp; "",
      MID(
        'ARDT Cutter Entry'!P122,
        2,
        LEN('ARDT Cutter Entry'!P122)-1-LEN(Data!CE57)
      )
   )
)</f>
        <v/>
      </c>
      <c r="Q141" s="1122" t="str">
        <f>IF(
   LEFT('ARDT Cutter Entry'!Q122,1)&lt;&gt;"X",
   "",
   IF(
      LEN('ARDT Cutter Entry'!Q122)=LEN(Data!CF57)+1,
      Data!CF57 &amp; "",
      MID(
        'ARDT Cutter Entry'!Q122,
        2,
        LEN('ARDT Cutter Entry'!Q122)-1-LEN(Data!CF57)
      )
   )
)</f>
        <v/>
      </c>
      <c r="R141" s="1122" t="str">
        <f>IF(
   LEFT('ARDT Cutter Entry'!R122,1)&lt;&gt;"X",
   "",
   IF(
      LEN('ARDT Cutter Entry'!R122)=LEN(Data!CG57)+1,
      Data!CG57 &amp; "",
      MID(
        'ARDT Cutter Entry'!R122,
        2,
        LEN('ARDT Cutter Entry'!R122)-1-LEN(Data!CG57)
      )
   )
)</f>
        <v/>
      </c>
      <c r="S141" s="1122" t="str">
        <f>IF(
   LEFT('ARDT Cutter Entry'!S122,1)&lt;&gt;"X",
   "",
   IF(
      LEN('ARDT Cutter Entry'!S122)=LEN(Data!CH57)+1,
      Data!CH57 &amp; "",
      MID(
        'ARDT Cutter Entry'!S122,
        2,
        LEN('ARDT Cutter Entry'!S122)-1-LEN(Data!CH57)
      )
   )
)</f>
        <v/>
      </c>
      <c r="T141" s="1122" t="str">
        <f>IF(
   LEFT('ARDT Cutter Entry'!T122,1)&lt;&gt;"X",
   "",
   IF(
      LEN('ARDT Cutter Entry'!T122)=LEN(Data!CI57)+1,
      Data!CI57 &amp; "",
      MID(
        'ARDT Cutter Entry'!T122,
        2,
        LEN('ARDT Cutter Entry'!T122)-1-LEN(Data!CI57)
      )
   )
)</f>
        <v/>
      </c>
      <c r="U141" s="1122" t="str">
        <f>IF(
   LEFT('ARDT Cutter Entry'!U122,1)&lt;&gt;"X",
   "",
   IF(
      LEN('ARDT Cutter Entry'!U122)=LEN(Data!CJ57)+1,
      Data!CJ57 &amp; "",
      MID(
        'ARDT Cutter Entry'!U122,
        2,
        LEN('ARDT Cutter Entry'!U122)-1-LEN(Data!CJ57)
      )
   )
)</f>
        <v/>
      </c>
      <c r="V141" s="1122" t="str">
        <f>IF(
   LEFT('ARDT Cutter Entry'!V122,1)&lt;&gt;"X",
   "",
   IF(
      LEN('ARDT Cutter Entry'!V122)=LEN(Data!CK57)+1,
      Data!CK57 &amp; "",
      MID(
        'ARDT Cutter Entry'!V122,
        2,
        LEN('ARDT Cutter Entry'!V122)-1-LEN(Data!CK57)
      )
   )
)</f>
        <v/>
      </c>
      <c r="W141" s="1122" t="str">
        <f>IF(
   LEFT('ARDT Cutter Entry'!W122,1)&lt;&gt;"X",
   "",
   IF(
      LEN('ARDT Cutter Entry'!W122)=LEN(Data!CL57)+1,
      Data!CL57 &amp; "",
      MID(
        'ARDT Cutter Entry'!W122,
        2,
        LEN('ARDT Cutter Entry'!W122)-1-LEN(Data!CL57)
      )
   )
)</f>
        <v/>
      </c>
      <c r="X141" s="1122" t="str">
        <f>IF(
   LEFT('ARDT Cutter Entry'!X122,1)&lt;&gt;"X",
   "",
   IF(
      LEN('ARDT Cutter Entry'!X122)=LEN(Data!CM57)+1,
      Data!CM57 &amp; "",
      MID(
        'ARDT Cutter Entry'!X122,
        2,
        LEN('ARDT Cutter Entry'!X122)-1-LEN(Data!CM57)
      )
   )
)</f>
        <v/>
      </c>
      <c r="Y141" s="1122" t="str">
        <f>IF(
   LEFT('ARDT Cutter Entry'!Y122,1)&lt;&gt;"X",
   "",
   IF(
      LEN('ARDT Cutter Entry'!Y122)=LEN(Data!CN57)+1,
      Data!CN57 &amp; "",
      MID(
        'ARDT Cutter Entry'!Y122,
        2,
        LEN('ARDT Cutter Entry'!Y122)-1-LEN(Data!CN57)
      )
   )
)</f>
        <v/>
      </c>
      <c r="Z141" s="1122" t="str">
        <f>IF(
   LEFT('ARDT Cutter Entry'!Z122,1)&lt;&gt;"X",
   "",
   IF(
      LEN('ARDT Cutter Entry'!Z122)=LEN(Data!CO57)+1,
      Data!CO57 &amp; "",
      MID(
        'ARDT Cutter Entry'!Z122,
        2,
        LEN('ARDT Cutter Entry'!Z122)-1-LEN(Data!CO57)
      )
   )
)</f>
        <v/>
      </c>
      <c r="AA141" s="1122" t="str">
        <f>IF(
   LEFT('ARDT Cutter Entry'!AA122,1)&lt;&gt;"X",
   "",
   IF(
      LEN('ARDT Cutter Entry'!AA122)=LEN(Data!CP57)+1,
      Data!CP57 &amp; "",
      MID(
        'ARDT Cutter Entry'!AA122,
        2,
        LEN('ARDT Cutter Entry'!AA122)-1-LEN(Data!CP57)
      )
   )
)</f>
        <v/>
      </c>
      <c r="AB141" s="1122" t="str">
        <f>IF(
   LEFT('ARDT Cutter Entry'!AB122,1)&lt;&gt;"X",
   "",
   IF(
      LEN('ARDT Cutter Entry'!AB122)=LEN(Data!CQ57)+1,
      Data!CQ57 &amp; "",
      MID(
        'ARDT Cutter Entry'!AB122,
        2,
        LEN('ARDT Cutter Entry'!AB122)-1-LEN(Data!CQ57)
      )
   )
)</f>
        <v/>
      </c>
      <c r="AC141" s="1122" t="str">
        <f>IF(
   LEFT('ARDT Cutter Entry'!AC122,1)&lt;&gt;"X",
   "",
   IF(
      LEN('ARDT Cutter Entry'!AC122)=LEN(Data!CR57)+1,
      Data!CR57 &amp; "",
      MID(
        'ARDT Cutter Entry'!AC122,
        2,
        LEN('ARDT Cutter Entry'!AC122)-1-LEN(Data!CR57)
      )
   )
)</f>
        <v/>
      </c>
      <c r="AD141" s="1122" t="str">
        <f>IF(
   LEFT('ARDT Cutter Entry'!AD122,1)&lt;&gt;"X",
   "",
   IF(
      LEN('ARDT Cutter Entry'!AD122)=LEN(Data!CS57)+1,
      Data!CS57 &amp; "",
      MID(
        'ARDT Cutter Entry'!AD122,
        2,
        LEN('ARDT Cutter Entry'!AD122)-1-LEN(Data!CS57)
      )
   )
)</f>
        <v/>
      </c>
      <c r="AE141" s="1122" t="str">
        <f>IF(
   LEFT('ARDT Cutter Entry'!AE122,1)&lt;&gt;"X",
   "",
   IF(
      LEN('ARDT Cutter Entry'!AE122)=LEN(Data!CT57)+1,
      Data!CT57 &amp; "",
      MID(
        'ARDT Cutter Entry'!AE122,
        2,
        LEN('ARDT Cutter Entry'!AE122)-1-LEN(Data!CT57)
      )
   )
)</f>
        <v/>
      </c>
      <c r="AF141" s="1122" t="str">
        <f>IF(
   LEFT('ARDT Cutter Entry'!AF122,1)&lt;&gt;"X",
   "",
   IF(
      LEN('ARDT Cutter Entry'!AF122)=LEN(Data!CU57)+1,
      Data!CU57 &amp; "",
      MID(
        'ARDT Cutter Entry'!AF122,
        2,
        LEN('ARDT Cutter Entry'!AF122)-1-LEN(Data!CU57)
      )
   )
)</f>
        <v/>
      </c>
      <c r="AG141" s="1122" t="str">
        <f>IF(
   LEFT('ARDT Cutter Entry'!AG122,1)&lt;&gt;"X",
   "",
   IF(
      LEN('ARDT Cutter Entry'!AG122)=LEN(Data!CV57)+1,
      Data!CV57 &amp; "",
      MID(
        'ARDT Cutter Entry'!AG122,
        2,
        LEN('ARDT Cutter Entry'!AG122)-1-LEN(Data!CV57)
      )
   )
)</f>
        <v/>
      </c>
      <c r="AH141" s="1122" t="str">
        <f>IF(
   LEFT('ARDT Cutter Entry'!AH122,1)&lt;&gt;"X",
   "",
   IF(
      LEN('ARDT Cutter Entry'!AH122)=LEN(Data!CW57)+1,
      Data!CW57 &amp; "",
      MID(
        'ARDT Cutter Entry'!AH122,
        2,
        LEN('ARDT Cutter Entry'!AH122)-1-LEN(Data!CW57)
      )
   )
)</f>
        <v/>
      </c>
      <c r="AI141" s="1122" t="str">
        <f>IF(
   LEFT('ARDT Cutter Entry'!AI122,1)&lt;&gt;"X",
   "",
   IF(
      LEN('ARDT Cutter Entry'!AI122)=LEN(Data!CX57)+1,
      Data!CX57 &amp; "",
      MID(
        'ARDT Cutter Entry'!AI122,
        2,
        LEN('ARDT Cutter Entry'!AI122)-1-LEN(Data!CX57)
      )
   )
)</f>
        <v/>
      </c>
      <c r="AJ141" s="41"/>
    </row>
    <row r="142" spans="1:54" ht="15" customHeight="1" x14ac:dyDescent="0.35"/>
    <row r="143" spans="1:54" ht="21" customHeight="1" thickBot="1" x14ac:dyDescent="0.4">
      <c r="A143" s="1198" t="s">
        <v>19</v>
      </c>
      <c r="B143" s="1198"/>
      <c r="C143" s="1198"/>
      <c r="D143" s="1199"/>
      <c r="E143" s="1199"/>
      <c r="F143" s="1199"/>
      <c r="G143" s="1199"/>
      <c r="H143" s="1199"/>
      <c r="I143" s="1199"/>
      <c r="J143" s="1199"/>
      <c r="K143" s="1199"/>
      <c r="L143" s="1199"/>
      <c r="M143" s="1199"/>
      <c r="N143" s="1199"/>
      <c r="O143" s="1199"/>
      <c r="P143" s="1199"/>
      <c r="Q143" s="1199"/>
      <c r="R143" s="1199"/>
      <c r="S143" s="1199"/>
      <c r="T143" s="1199"/>
      <c r="U143" s="1199"/>
      <c r="V143" s="1199"/>
      <c r="W143" s="1199"/>
      <c r="X143" s="1199"/>
      <c r="Y143" s="1199"/>
      <c r="Z143" s="1199"/>
      <c r="AA143" s="1199"/>
      <c r="AB143" s="1199"/>
      <c r="AC143" s="1199"/>
      <c r="AD143" s="1199"/>
      <c r="AE143" s="1199"/>
      <c r="AF143" s="1199"/>
      <c r="AG143" s="1199"/>
      <c r="AH143" s="1199"/>
      <c r="AI143" s="1199"/>
    </row>
    <row r="144" spans="1:54" ht="15" customHeight="1" x14ac:dyDescent="0.35"/>
    <row r="145" spans="1:36" ht="15.75" customHeight="1" thickBot="1" x14ac:dyDescent="0.4"/>
    <row r="146" spans="1:36" ht="15" customHeight="1" x14ac:dyDescent="0.35">
      <c r="A146" s="1202"/>
      <c r="B146" s="1203"/>
      <c r="C146" s="1207" t="s">
        <v>17</v>
      </c>
      <c r="D146" s="1207"/>
      <c r="E146" s="1207"/>
      <c r="F146" s="1207"/>
      <c r="G146" s="1207"/>
      <c r="H146" s="1207"/>
      <c r="I146" s="1207"/>
      <c r="J146" s="1207"/>
      <c r="K146" s="1207"/>
      <c r="L146" s="1207"/>
      <c r="M146" s="1207"/>
      <c r="N146" s="1207"/>
      <c r="O146" s="1207"/>
      <c r="P146" s="1207"/>
      <c r="Q146" s="1207"/>
      <c r="R146" s="1207"/>
      <c r="S146" s="1207"/>
      <c r="T146" s="1207"/>
      <c r="U146" s="1207"/>
      <c r="V146" s="1208"/>
      <c r="W146" s="6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8"/>
    </row>
    <row r="147" spans="1:36" ht="15.75" customHeight="1" thickBot="1" x14ac:dyDescent="0.4">
      <c r="A147" s="1204"/>
      <c r="B147" s="1205"/>
      <c r="C147" s="16">
        <v>1</v>
      </c>
      <c r="D147" s="17">
        <v>2</v>
      </c>
      <c r="E147" s="17">
        <v>3</v>
      </c>
      <c r="F147" s="17">
        <v>4</v>
      </c>
      <c r="G147" s="17">
        <v>5</v>
      </c>
      <c r="H147" s="17">
        <v>6</v>
      </c>
      <c r="I147" s="17">
        <v>7</v>
      </c>
      <c r="J147" s="17">
        <v>8</v>
      </c>
      <c r="K147" s="17">
        <v>9</v>
      </c>
      <c r="L147" s="17">
        <v>10</v>
      </c>
      <c r="M147" s="17">
        <v>11</v>
      </c>
      <c r="N147" s="17">
        <v>12</v>
      </c>
      <c r="O147" s="17">
        <v>13</v>
      </c>
      <c r="P147" s="17">
        <v>14</v>
      </c>
      <c r="Q147" s="17">
        <v>15</v>
      </c>
      <c r="R147" s="17">
        <v>16</v>
      </c>
      <c r="S147" s="17">
        <v>17</v>
      </c>
      <c r="T147" s="17">
        <v>18</v>
      </c>
      <c r="U147" s="17">
        <v>19</v>
      </c>
      <c r="V147" s="18">
        <v>20</v>
      </c>
      <c r="W147" s="17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20"/>
    </row>
    <row r="148" spans="1:36" ht="15" customHeight="1" x14ac:dyDescent="0.35">
      <c r="A148" s="1196" t="s">
        <v>18</v>
      </c>
      <c r="B148" s="21">
        <v>1</v>
      </c>
      <c r="C148" s="61" t="s">
        <v>313</v>
      </c>
      <c r="D148" s="61" t="s">
        <v>314</v>
      </c>
      <c r="E148" s="61" t="s">
        <v>315</v>
      </c>
      <c r="F148" s="61" t="s">
        <v>316</v>
      </c>
      <c r="G148" s="61" t="s">
        <v>317</v>
      </c>
      <c r="H148" s="61" t="s">
        <v>318</v>
      </c>
      <c r="I148" s="61" t="s">
        <v>319</v>
      </c>
      <c r="J148" s="61" t="s">
        <v>320</v>
      </c>
      <c r="K148" s="61" t="s">
        <v>321</v>
      </c>
      <c r="L148" s="61" t="s">
        <v>322</v>
      </c>
      <c r="M148" s="61" t="s">
        <v>323</v>
      </c>
      <c r="N148" s="61" t="s">
        <v>324</v>
      </c>
      <c r="O148" s="61" t="s">
        <v>325</v>
      </c>
      <c r="P148" s="61" t="s">
        <v>326</v>
      </c>
      <c r="Q148" s="61" t="s">
        <v>327</v>
      </c>
      <c r="R148" s="61" t="s">
        <v>328</v>
      </c>
      <c r="S148" s="61" t="s">
        <v>329</v>
      </c>
      <c r="T148" s="61" t="s">
        <v>330</v>
      </c>
      <c r="U148" s="61" t="s">
        <v>331</v>
      </c>
      <c r="V148" s="61" t="s">
        <v>332</v>
      </c>
      <c r="W148" s="61" t="s">
        <v>333</v>
      </c>
      <c r="X148" s="61" t="s">
        <v>334</v>
      </c>
      <c r="Y148" s="61" t="s">
        <v>335</v>
      </c>
      <c r="Z148" s="61" t="s">
        <v>336</v>
      </c>
      <c r="AA148" s="61" t="s">
        <v>337</v>
      </c>
      <c r="AB148" s="61" t="s">
        <v>338</v>
      </c>
      <c r="AC148" s="61" t="s">
        <v>339</v>
      </c>
      <c r="AD148" s="61" t="s">
        <v>340</v>
      </c>
      <c r="AE148" s="61" t="s">
        <v>341</v>
      </c>
      <c r="AF148" s="61" t="s">
        <v>342</v>
      </c>
      <c r="AG148" s="61" t="s">
        <v>343</v>
      </c>
      <c r="AH148" s="61" t="s">
        <v>344</v>
      </c>
      <c r="AI148" s="61" t="s">
        <v>345</v>
      </c>
      <c r="AJ148" s="61" t="s">
        <v>1778</v>
      </c>
    </row>
    <row r="149" spans="1:36" ht="15" customHeight="1" x14ac:dyDescent="0.35">
      <c r="A149" s="1196"/>
      <c r="B149" s="22">
        <v>2</v>
      </c>
      <c r="C149" s="61" t="s">
        <v>346</v>
      </c>
      <c r="D149" s="61" t="s">
        <v>347</v>
      </c>
      <c r="E149" s="61" t="s">
        <v>348</v>
      </c>
      <c r="F149" s="61" t="s">
        <v>349</v>
      </c>
      <c r="G149" s="61" t="s">
        <v>350</v>
      </c>
      <c r="H149" s="61" t="s">
        <v>351</v>
      </c>
      <c r="I149" s="61" t="s">
        <v>352</v>
      </c>
      <c r="J149" s="61" t="s">
        <v>353</v>
      </c>
      <c r="K149" s="61" t="s">
        <v>354</v>
      </c>
      <c r="L149" s="61" t="s">
        <v>355</v>
      </c>
      <c r="M149" s="61" t="s">
        <v>356</v>
      </c>
      <c r="N149" s="61" t="s">
        <v>357</v>
      </c>
      <c r="O149" s="61" t="s">
        <v>358</v>
      </c>
      <c r="P149" s="61" t="s">
        <v>359</v>
      </c>
      <c r="Q149" s="61" t="s">
        <v>360</v>
      </c>
      <c r="R149" s="61" t="s">
        <v>361</v>
      </c>
      <c r="S149" s="61" t="s">
        <v>362</v>
      </c>
      <c r="T149" s="61" t="s">
        <v>363</v>
      </c>
      <c r="U149" s="61" t="s">
        <v>364</v>
      </c>
      <c r="V149" s="61" t="s">
        <v>365</v>
      </c>
      <c r="W149" s="61" t="s">
        <v>366</v>
      </c>
      <c r="X149" s="61" t="s">
        <v>367</v>
      </c>
      <c r="Y149" s="61" t="s">
        <v>368</v>
      </c>
      <c r="Z149" s="61" t="s">
        <v>369</v>
      </c>
      <c r="AA149" s="61" t="s">
        <v>370</v>
      </c>
      <c r="AB149" s="61" t="s">
        <v>371</v>
      </c>
      <c r="AC149" s="61" t="s">
        <v>372</v>
      </c>
      <c r="AD149" s="61" t="s">
        <v>373</v>
      </c>
      <c r="AE149" s="61" t="s">
        <v>374</v>
      </c>
      <c r="AF149" s="61" t="s">
        <v>375</v>
      </c>
      <c r="AG149" s="61" t="s">
        <v>376</v>
      </c>
      <c r="AH149" s="61" t="s">
        <v>377</v>
      </c>
      <c r="AI149" s="61" t="s">
        <v>378</v>
      </c>
      <c r="AJ149" s="61" t="s">
        <v>1779</v>
      </c>
    </row>
    <row r="150" spans="1:36" ht="15" customHeight="1" x14ac:dyDescent="0.35">
      <c r="A150" s="1196"/>
      <c r="B150" s="22">
        <v>3</v>
      </c>
      <c r="C150" s="61" t="s">
        <v>379</v>
      </c>
      <c r="D150" s="61" t="s">
        <v>380</v>
      </c>
      <c r="E150" s="61" t="s">
        <v>381</v>
      </c>
      <c r="F150" s="61" t="s">
        <v>382</v>
      </c>
      <c r="G150" s="61" t="s">
        <v>383</v>
      </c>
      <c r="H150" s="61" t="s">
        <v>384</v>
      </c>
      <c r="I150" s="61" t="s">
        <v>385</v>
      </c>
      <c r="J150" s="61" t="s">
        <v>386</v>
      </c>
      <c r="K150" s="61" t="s">
        <v>387</v>
      </c>
      <c r="L150" s="61" t="s">
        <v>388</v>
      </c>
      <c r="M150" s="61" t="s">
        <v>389</v>
      </c>
      <c r="N150" s="61" t="s">
        <v>390</v>
      </c>
      <c r="O150" s="61" t="s">
        <v>391</v>
      </c>
      <c r="P150" s="61" t="s">
        <v>392</v>
      </c>
      <c r="Q150" s="61" t="s">
        <v>393</v>
      </c>
      <c r="R150" s="61" t="s">
        <v>394</v>
      </c>
      <c r="S150" s="61" t="s">
        <v>395</v>
      </c>
      <c r="T150" s="61" t="s">
        <v>396</v>
      </c>
      <c r="U150" s="61" t="s">
        <v>397</v>
      </c>
      <c r="V150" s="61" t="s">
        <v>398</v>
      </c>
      <c r="W150" s="61" t="s">
        <v>399</v>
      </c>
      <c r="X150" s="61" t="s">
        <v>400</v>
      </c>
      <c r="Y150" s="61" t="s">
        <v>401</v>
      </c>
      <c r="Z150" s="61" t="s">
        <v>402</v>
      </c>
      <c r="AA150" s="61" t="s">
        <v>403</v>
      </c>
      <c r="AB150" s="61" t="s">
        <v>404</v>
      </c>
      <c r="AC150" s="61" t="s">
        <v>405</v>
      </c>
      <c r="AD150" s="61" t="s">
        <v>406</v>
      </c>
      <c r="AE150" s="61" t="s">
        <v>407</v>
      </c>
      <c r="AF150" s="61" t="s">
        <v>408</v>
      </c>
      <c r="AG150" s="61" t="s">
        <v>409</v>
      </c>
      <c r="AH150" s="61" t="s">
        <v>410</v>
      </c>
      <c r="AI150" s="61" t="s">
        <v>411</v>
      </c>
      <c r="AJ150" s="61" t="s">
        <v>1780</v>
      </c>
    </row>
    <row r="151" spans="1:36" ht="15" customHeight="1" x14ac:dyDescent="0.35">
      <c r="A151" s="1196"/>
      <c r="B151" s="22">
        <v>4</v>
      </c>
      <c r="C151" s="61" t="s">
        <v>412</v>
      </c>
      <c r="D151" s="61" t="s">
        <v>413</v>
      </c>
      <c r="E151" s="61" t="s">
        <v>414</v>
      </c>
      <c r="F151" s="61" t="s">
        <v>415</v>
      </c>
      <c r="G151" s="61" t="s">
        <v>416</v>
      </c>
      <c r="H151" s="61" t="s">
        <v>417</v>
      </c>
      <c r="I151" s="61" t="s">
        <v>418</v>
      </c>
      <c r="J151" s="61" t="s">
        <v>419</v>
      </c>
      <c r="K151" s="61" t="s">
        <v>420</v>
      </c>
      <c r="L151" s="61" t="s">
        <v>421</v>
      </c>
      <c r="M151" s="61" t="s">
        <v>422</v>
      </c>
      <c r="N151" s="61" t="s">
        <v>423</v>
      </c>
      <c r="O151" s="61" t="s">
        <v>424</v>
      </c>
      <c r="P151" s="61" t="s">
        <v>425</v>
      </c>
      <c r="Q151" s="61" t="s">
        <v>426</v>
      </c>
      <c r="R151" s="61" t="s">
        <v>427</v>
      </c>
      <c r="S151" s="61" t="s">
        <v>428</v>
      </c>
      <c r="T151" s="61" t="s">
        <v>429</v>
      </c>
      <c r="U151" s="61" t="s">
        <v>430</v>
      </c>
      <c r="V151" s="61" t="s">
        <v>431</v>
      </c>
      <c r="W151" s="61" t="s">
        <v>432</v>
      </c>
      <c r="X151" s="61" t="s">
        <v>433</v>
      </c>
      <c r="Y151" s="61" t="s">
        <v>434</v>
      </c>
      <c r="Z151" s="61" t="s">
        <v>435</v>
      </c>
      <c r="AA151" s="61" t="s">
        <v>436</v>
      </c>
      <c r="AB151" s="61" t="s">
        <v>437</v>
      </c>
      <c r="AC151" s="61" t="s">
        <v>438</v>
      </c>
      <c r="AD151" s="61" t="s">
        <v>439</v>
      </c>
      <c r="AE151" s="61" t="s">
        <v>440</v>
      </c>
      <c r="AF151" s="61" t="s">
        <v>441</v>
      </c>
      <c r="AG151" s="61" t="s">
        <v>442</v>
      </c>
      <c r="AH151" s="61" t="s">
        <v>443</v>
      </c>
      <c r="AI151" s="61" t="s">
        <v>444</v>
      </c>
      <c r="AJ151" s="61" t="s">
        <v>1781</v>
      </c>
    </row>
    <row r="152" spans="1:36" ht="15" customHeight="1" x14ac:dyDescent="0.35">
      <c r="A152" s="1196"/>
      <c r="B152" s="22">
        <v>5</v>
      </c>
      <c r="C152" s="61" t="s">
        <v>445</v>
      </c>
      <c r="D152" s="61" t="s">
        <v>446</v>
      </c>
      <c r="E152" s="61" t="s">
        <v>447</v>
      </c>
      <c r="F152" s="61" t="s">
        <v>448</v>
      </c>
      <c r="G152" s="61" t="s">
        <v>449</v>
      </c>
      <c r="H152" s="61" t="s">
        <v>450</v>
      </c>
      <c r="I152" s="61" t="s">
        <v>451</v>
      </c>
      <c r="J152" s="61" t="s">
        <v>452</v>
      </c>
      <c r="K152" s="61" t="s">
        <v>453</v>
      </c>
      <c r="L152" s="61" t="s">
        <v>454</v>
      </c>
      <c r="M152" s="61" t="s">
        <v>455</v>
      </c>
      <c r="N152" s="61" t="s">
        <v>456</v>
      </c>
      <c r="O152" s="61" t="s">
        <v>457</v>
      </c>
      <c r="P152" s="61" t="s">
        <v>458</v>
      </c>
      <c r="Q152" s="61" t="s">
        <v>459</v>
      </c>
      <c r="R152" s="61" t="s">
        <v>460</v>
      </c>
      <c r="S152" s="61" t="s">
        <v>461</v>
      </c>
      <c r="T152" s="61" t="s">
        <v>462</v>
      </c>
      <c r="U152" s="61" t="s">
        <v>463</v>
      </c>
      <c r="V152" s="61" t="s">
        <v>464</v>
      </c>
      <c r="W152" s="61" t="s">
        <v>465</v>
      </c>
      <c r="X152" s="61" t="s">
        <v>466</v>
      </c>
      <c r="Y152" s="61" t="s">
        <v>467</v>
      </c>
      <c r="Z152" s="61" t="s">
        <v>468</v>
      </c>
      <c r="AA152" s="61" t="s">
        <v>469</v>
      </c>
      <c r="AB152" s="61" t="s">
        <v>470</v>
      </c>
      <c r="AC152" s="61" t="s">
        <v>471</v>
      </c>
      <c r="AD152" s="61" t="s">
        <v>472</v>
      </c>
      <c r="AE152" s="61" t="s">
        <v>473</v>
      </c>
      <c r="AF152" s="61" t="s">
        <v>474</v>
      </c>
      <c r="AG152" s="61" t="s">
        <v>475</v>
      </c>
      <c r="AH152" s="61" t="s">
        <v>476</v>
      </c>
      <c r="AI152" s="61" t="s">
        <v>477</v>
      </c>
      <c r="AJ152" s="61" t="s">
        <v>1782</v>
      </c>
    </row>
    <row r="153" spans="1:36" ht="15" customHeight="1" x14ac:dyDescent="0.35">
      <c r="A153" s="1196"/>
      <c r="B153" s="22">
        <v>6</v>
      </c>
      <c r="C153" s="61" t="s">
        <v>478</v>
      </c>
      <c r="D153" s="61" t="s">
        <v>479</v>
      </c>
      <c r="E153" s="61" t="s">
        <v>480</v>
      </c>
      <c r="F153" s="61" t="s">
        <v>481</v>
      </c>
      <c r="G153" s="61" t="s">
        <v>482</v>
      </c>
      <c r="H153" s="61" t="s">
        <v>483</v>
      </c>
      <c r="I153" s="61" t="s">
        <v>484</v>
      </c>
      <c r="J153" s="61" t="s">
        <v>485</v>
      </c>
      <c r="K153" s="61" t="s">
        <v>486</v>
      </c>
      <c r="L153" s="61" t="s">
        <v>487</v>
      </c>
      <c r="M153" s="61" t="s">
        <v>488</v>
      </c>
      <c r="N153" s="61" t="s">
        <v>489</v>
      </c>
      <c r="O153" s="61" t="s">
        <v>490</v>
      </c>
      <c r="P153" s="61" t="s">
        <v>491</v>
      </c>
      <c r="Q153" s="61" t="s">
        <v>492</v>
      </c>
      <c r="R153" s="61" t="s">
        <v>493</v>
      </c>
      <c r="S153" s="61" t="s">
        <v>494</v>
      </c>
      <c r="T153" s="61" t="s">
        <v>495</v>
      </c>
      <c r="U153" s="61" t="s">
        <v>496</v>
      </c>
      <c r="V153" s="61" t="s">
        <v>497</v>
      </c>
      <c r="W153" s="61" t="s">
        <v>498</v>
      </c>
      <c r="X153" s="61" t="s">
        <v>499</v>
      </c>
      <c r="Y153" s="61" t="s">
        <v>500</v>
      </c>
      <c r="Z153" s="61" t="s">
        <v>501</v>
      </c>
      <c r="AA153" s="61" t="s">
        <v>502</v>
      </c>
      <c r="AB153" s="61" t="s">
        <v>503</v>
      </c>
      <c r="AC153" s="61" t="s">
        <v>504</v>
      </c>
      <c r="AD153" s="61" t="s">
        <v>505</v>
      </c>
      <c r="AE153" s="61" t="s">
        <v>506</v>
      </c>
      <c r="AF153" s="61" t="s">
        <v>507</v>
      </c>
      <c r="AG153" s="61" t="s">
        <v>508</v>
      </c>
      <c r="AH153" s="61" t="s">
        <v>509</v>
      </c>
      <c r="AI153" s="61" t="s">
        <v>510</v>
      </c>
      <c r="AJ153" s="61" t="s">
        <v>1783</v>
      </c>
    </row>
    <row r="154" spans="1:36" ht="15" customHeight="1" x14ac:dyDescent="0.35">
      <c r="A154" s="1196"/>
      <c r="B154" s="22">
        <v>7</v>
      </c>
      <c r="C154" s="61" t="s">
        <v>511</v>
      </c>
      <c r="D154" s="61" t="s">
        <v>512</v>
      </c>
      <c r="E154" s="61" t="s">
        <v>513</v>
      </c>
      <c r="F154" s="61" t="s">
        <v>514</v>
      </c>
      <c r="G154" s="61" t="s">
        <v>515</v>
      </c>
      <c r="H154" s="61" t="s">
        <v>516</v>
      </c>
      <c r="I154" s="61" t="s">
        <v>517</v>
      </c>
      <c r="J154" s="61" t="s">
        <v>518</v>
      </c>
      <c r="K154" s="61" t="s">
        <v>519</v>
      </c>
      <c r="L154" s="61" t="s">
        <v>520</v>
      </c>
      <c r="M154" s="61" t="s">
        <v>521</v>
      </c>
      <c r="N154" s="61" t="s">
        <v>522</v>
      </c>
      <c r="O154" s="61" t="s">
        <v>523</v>
      </c>
      <c r="P154" s="61" t="s">
        <v>524</v>
      </c>
      <c r="Q154" s="61" t="s">
        <v>525</v>
      </c>
      <c r="R154" s="61" t="s">
        <v>526</v>
      </c>
      <c r="S154" s="61" t="s">
        <v>527</v>
      </c>
      <c r="T154" s="61" t="s">
        <v>528</v>
      </c>
      <c r="U154" s="61" t="s">
        <v>529</v>
      </c>
      <c r="V154" s="61" t="s">
        <v>530</v>
      </c>
      <c r="W154" s="61" t="s">
        <v>531</v>
      </c>
      <c r="X154" s="61" t="s">
        <v>532</v>
      </c>
      <c r="Y154" s="61" t="s">
        <v>533</v>
      </c>
      <c r="Z154" s="61" t="s">
        <v>534</v>
      </c>
      <c r="AA154" s="61" t="s">
        <v>535</v>
      </c>
      <c r="AB154" s="61" t="s">
        <v>536</v>
      </c>
      <c r="AC154" s="61" t="s">
        <v>537</v>
      </c>
      <c r="AD154" s="61" t="s">
        <v>538</v>
      </c>
      <c r="AE154" s="61" t="s">
        <v>539</v>
      </c>
      <c r="AF154" s="61" t="s">
        <v>540</v>
      </c>
      <c r="AG154" s="61" t="s">
        <v>541</v>
      </c>
      <c r="AH154" s="61" t="s">
        <v>542</v>
      </c>
      <c r="AI154" s="61" t="s">
        <v>543</v>
      </c>
      <c r="AJ154" s="61" t="s">
        <v>1784</v>
      </c>
    </row>
    <row r="155" spans="1:36" ht="15" customHeight="1" x14ac:dyDescent="0.35">
      <c r="A155" s="1196"/>
      <c r="B155" s="22">
        <v>8</v>
      </c>
      <c r="C155" s="61" t="s">
        <v>544</v>
      </c>
      <c r="D155" s="61" t="s">
        <v>545</v>
      </c>
      <c r="E155" s="61" t="s">
        <v>546</v>
      </c>
      <c r="F155" s="61" t="s">
        <v>547</v>
      </c>
      <c r="G155" s="61" t="s">
        <v>548</v>
      </c>
      <c r="H155" s="61" t="s">
        <v>549</v>
      </c>
      <c r="I155" s="61" t="s">
        <v>550</v>
      </c>
      <c r="J155" s="61" t="s">
        <v>551</v>
      </c>
      <c r="K155" s="61" t="s">
        <v>552</v>
      </c>
      <c r="L155" s="61" t="s">
        <v>553</v>
      </c>
      <c r="M155" s="61" t="s">
        <v>554</v>
      </c>
      <c r="N155" s="61" t="s">
        <v>555</v>
      </c>
      <c r="O155" s="61" t="s">
        <v>556</v>
      </c>
      <c r="P155" s="61" t="s">
        <v>557</v>
      </c>
      <c r="Q155" s="61" t="s">
        <v>558</v>
      </c>
      <c r="R155" s="61" t="s">
        <v>559</v>
      </c>
      <c r="S155" s="61" t="s">
        <v>560</v>
      </c>
      <c r="T155" s="61" t="s">
        <v>561</v>
      </c>
      <c r="U155" s="61" t="s">
        <v>562</v>
      </c>
      <c r="V155" s="61" t="s">
        <v>563</v>
      </c>
      <c r="W155" s="61" t="s">
        <v>564</v>
      </c>
      <c r="X155" s="61" t="s">
        <v>565</v>
      </c>
      <c r="Y155" s="61" t="s">
        <v>566</v>
      </c>
      <c r="Z155" s="61" t="s">
        <v>567</v>
      </c>
      <c r="AA155" s="61" t="s">
        <v>568</v>
      </c>
      <c r="AB155" s="61" t="s">
        <v>569</v>
      </c>
      <c r="AC155" s="61" t="s">
        <v>570</v>
      </c>
      <c r="AD155" s="61" t="s">
        <v>571</v>
      </c>
      <c r="AE155" s="61" t="s">
        <v>572</v>
      </c>
      <c r="AF155" s="61" t="s">
        <v>573</v>
      </c>
      <c r="AG155" s="61" t="s">
        <v>574</v>
      </c>
      <c r="AH155" s="61" t="s">
        <v>575</v>
      </c>
      <c r="AI155" s="61" t="s">
        <v>576</v>
      </c>
      <c r="AJ155" s="61" t="s">
        <v>1785</v>
      </c>
    </row>
    <row r="156" spans="1:36" ht="15" customHeight="1" x14ac:dyDescent="0.35">
      <c r="A156" s="1196"/>
      <c r="B156" s="22">
        <v>9</v>
      </c>
      <c r="C156" s="61" t="s">
        <v>577</v>
      </c>
      <c r="D156" s="61" t="s">
        <v>578</v>
      </c>
      <c r="E156" s="61" t="s">
        <v>579</v>
      </c>
      <c r="F156" s="61" t="s">
        <v>580</v>
      </c>
      <c r="G156" s="61" t="s">
        <v>581</v>
      </c>
      <c r="H156" s="61" t="s">
        <v>582</v>
      </c>
      <c r="I156" s="61" t="s">
        <v>583</v>
      </c>
      <c r="J156" s="61" t="s">
        <v>584</v>
      </c>
      <c r="K156" s="61" t="s">
        <v>585</v>
      </c>
      <c r="L156" s="61" t="s">
        <v>586</v>
      </c>
      <c r="M156" s="61" t="s">
        <v>587</v>
      </c>
      <c r="N156" s="61" t="s">
        <v>588</v>
      </c>
      <c r="O156" s="61" t="s">
        <v>589</v>
      </c>
      <c r="P156" s="61" t="s">
        <v>590</v>
      </c>
      <c r="Q156" s="61" t="s">
        <v>591</v>
      </c>
      <c r="R156" s="61" t="s">
        <v>592</v>
      </c>
      <c r="S156" s="61" t="s">
        <v>593</v>
      </c>
      <c r="T156" s="61" t="s">
        <v>594</v>
      </c>
      <c r="U156" s="61" t="s">
        <v>595</v>
      </c>
      <c r="V156" s="61" t="s">
        <v>596</v>
      </c>
      <c r="W156" s="61" t="s">
        <v>597</v>
      </c>
      <c r="X156" s="61" t="s">
        <v>598</v>
      </c>
      <c r="Y156" s="61" t="s">
        <v>599</v>
      </c>
      <c r="Z156" s="61" t="s">
        <v>600</v>
      </c>
      <c r="AA156" s="61" t="s">
        <v>601</v>
      </c>
      <c r="AB156" s="61" t="s">
        <v>602</v>
      </c>
      <c r="AC156" s="61" t="s">
        <v>603</v>
      </c>
      <c r="AD156" s="61" t="s">
        <v>604</v>
      </c>
      <c r="AE156" s="61" t="s">
        <v>605</v>
      </c>
      <c r="AF156" s="61" t="s">
        <v>606</v>
      </c>
      <c r="AG156" s="61" t="s">
        <v>607</v>
      </c>
      <c r="AH156" s="61" t="s">
        <v>608</v>
      </c>
      <c r="AI156" s="61" t="s">
        <v>609</v>
      </c>
      <c r="AJ156" s="61" t="s">
        <v>1786</v>
      </c>
    </row>
    <row r="157" spans="1:36" ht="15" customHeight="1" x14ac:dyDescent="0.35">
      <c r="A157" s="1196"/>
      <c r="B157" s="22">
        <v>10</v>
      </c>
      <c r="C157" s="61" t="s">
        <v>610</v>
      </c>
      <c r="D157" s="61" t="s">
        <v>611</v>
      </c>
      <c r="E157" s="61" t="s">
        <v>612</v>
      </c>
      <c r="F157" s="61" t="s">
        <v>613</v>
      </c>
      <c r="G157" s="61" t="s">
        <v>614</v>
      </c>
      <c r="H157" s="61" t="s">
        <v>615</v>
      </c>
      <c r="I157" s="61" t="s">
        <v>616</v>
      </c>
      <c r="J157" s="61" t="s">
        <v>617</v>
      </c>
      <c r="K157" s="61" t="s">
        <v>618</v>
      </c>
      <c r="L157" s="61" t="s">
        <v>619</v>
      </c>
      <c r="M157" s="61" t="s">
        <v>620</v>
      </c>
      <c r="N157" s="61" t="s">
        <v>621</v>
      </c>
      <c r="O157" s="61" t="s">
        <v>622</v>
      </c>
      <c r="P157" s="61" t="s">
        <v>623</v>
      </c>
      <c r="Q157" s="61" t="s">
        <v>624</v>
      </c>
      <c r="R157" s="61" t="s">
        <v>625</v>
      </c>
      <c r="S157" s="61" t="s">
        <v>626</v>
      </c>
      <c r="T157" s="61" t="s">
        <v>627</v>
      </c>
      <c r="U157" s="61" t="s">
        <v>628</v>
      </c>
      <c r="V157" s="61" t="s">
        <v>629</v>
      </c>
      <c r="W157" s="61" t="s">
        <v>630</v>
      </c>
      <c r="X157" s="61" t="s">
        <v>631</v>
      </c>
      <c r="Y157" s="61" t="s">
        <v>632</v>
      </c>
      <c r="Z157" s="61" t="s">
        <v>633</v>
      </c>
      <c r="AA157" s="61" t="s">
        <v>634</v>
      </c>
      <c r="AB157" s="61" t="s">
        <v>635</v>
      </c>
      <c r="AC157" s="61" t="s">
        <v>636</v>
      </c>
      <c r="AD157" s="61" t="s">
        <v>637</v>
      </c>
      <c r="AE157" s="61" t="s">
        <v>638</v>
      </c>
      <c r="AF157" s="61" t="s">
        <v>639</v>
      </c>
      <c r="AG157" s="61" t="s">
        <v>640</v>
      </c>
      <c r="AH157" s="61" t="s">
        <v>641</v>
      </c>
      <c r="AI157" s="61" t="s">
        <v>642</v>
      </c>
      <c r="AJ157" s="61" t="s">
        <v>1787</v>
      </c>
    </row>
    <row r="158" spans="1:36" ht="15" customHeight="1" x14ac:dyDescent="0.35">
      <c r="A158" s="1196"/>
      <c r="B158" s="22">
        <v>11</v>
      </c>
      <c r="C158" s="61" t="s">
        <v>643</v>
      </c>
      <c r="D158" s="61" t="s">
        <v>644</v>
      </c>
      <c r="E158" s="61" t="s">
        <v>645</v>
      </c>
      <c r="F158" s="61" t="s">
        <v>646</v>
      </c>
      <c r="G158" s="61" t="s">
        <v>647</v>
      </c>
      <c r="H158" s="61" t="s">
        <v>648</v>
      </c>
      <c r="I158" s="61" t="s">
        <v>649</v>
      </c>
      <c r="J158" s="61" t="s">
        <v>650</v>
      </c>
      <c r="K158" s="61" t="s">
        <v>651</v>
      </c>
      <c r="L158" s="61" t="s">
        <v>652</v>
      </c>
      <c r="M158" s="61" t="s">
        <v>653</v>
      </c>
      <c r="N158" s="61" t="s">
        <v>654</v>
      </c>
      <c r="O158" s="61" t="s">
        <v>655</v>
      </c>
      <c r="P158" s="61" t="s">
        <v>656</v>
      </c>
      <c r="Q158" s="61" t="s">
        <v>657</v>
      </c>
      <c r="R158" s="61" t="s">
        <v>658</v>
      </c>
      <c r="S158" s="61" t="s">
        <v>659</v>
      </c>
      <c r="T158" s="61" t="s">
        <v>660</v>
      </c>
      <c r="U158" s="61" t="s">
        <v>661</v>
      </c>
      <c r="V158" s="61" t="s">
        <v>662</v>
      </c>
      <c r="W158" s="61" t="s">
        <v>663</v>
      </c>
      <c r="X158" s="61" t="s">
        <v>664</v>
      </c>
      <c r="Y158" s="61" t="s">
        <v>665</v>
      </c>
      <c r="Z158" s="61" t="s">
        <v>666</v>
      </c>
      <c r="AA158" s="61" t="s">
        <v>667</v>
      </c>
      <c r="AB158" s="61" t="s">
        <v>668</v>
      </c>
      <c r="AC158" s="61" t="s">
        <v>669</v>
      </c>
      <c r="AD158" s="61" t="s">
        <v>670</v>
      </c>
      <c r="AE158" s="61" t="s">
        <v>671</v>
      </c>
      <c r="AF158" s="61" t="s">
        <v>672</v>
      </c>
      <c r="AG158" s="61" t="s">
        <v>673</v>
      </c>
      <c r="AH158" s="61" t="s">
        <v>674</v>
      </c>
      <c r="AI158" s="61" t="s">
        <v>675</v>
      </c>
      <c r="AJ158" s="61" t="s">
        <v>1788</v>
      </c>
    </row>
    <row r="159" spans="1:36" ht="15.75" customHeight="1" thickBot="1" x14ac:dyDescent="0.4">
      <c r="A159" s="1197"/>
      <c r="B159" s="23">
        <v>12</v>
      </c>
      <c r="C159" s="61" t="s">
        <v>676</v>
      </c>
      <c r="D159" s="61" t="s">
        <v>677</v>
      </c>
      <c r="E159" s="61" t="s">
        <v>678</v>
      </c>
      <c r="F159" s="61" t="s">
        <v>679</v>
      </c>
      <c r="G159" s="61" t="s">
        <v>680</v>
      </c>
      <c r="H159" s="61" t="s">
        <v>681</v>
      </c>
      <c r="I159" s="61" t="s">
        <v>682</v>
      </c>
      <c r="J159" s="61" t="s">
        <v>683</v>
      </c>
      <c r="K159" s="61" t="s">
        <v>684</v>
      </c>
      <c r="L159" s="61" t="s">
        <v>685</v>
      </c>
      <c r="M159" s="61" t="s">
        <v>686</v>
      </c>
      <c r="N159" s="61" t="s">
        <v>687</v>
      </c>
      <c r="O159" s="61" t="s">
        <v>688</v>
      </c>
      <c r="P159" s="61" t="s">
        <v>689</v>
      </c>
      <c r="Q159" s="61" t="s">
        <v>690</v>
      </c>
      <c r="R159" s="61" t="s">
        <v>691</v>
      </c>
      <c r="S159" s="61" t="s">
        <v>692</v>
      </c>
      <c r="T159" s="61" t="s">
        <v>693</v>
      </c>
      <c r="U159" s="61" t="s">
        <v>694</v>
      </c>
      <c r="V159" s="61" t="s">
        <v>695</v>
      </c>
      <c r="W159" s="61" t="s">
        <v>696</v>
      </c>
      <c r="X159" s="61" t="s">
        <v>697</v>
      </c>
      <c r="Y159" s="61" t="s">
        <v>698</v>
      </c>
      <c r="Z159" s="61" t="s">
        <v>699</v>
      </c>
      <c r="AA159" s="61" t="s">
        <v>700</v>
      </c>
      <c r="AB159" s="61" t="s">
        <v>701</v>
      </c>
      <c r="AC159" s="61" t="s">
        <v>702</v>
      </c>
      <c r="AD159" s="61" t="s">
        <v>703</v>
      </c>
      <c r="AE159" s="61" t="s">
        <v>704</v>
      </c>
      <c r="AF159" s="61" t="s">
        <v>705</v>
      </c>
      <c r="AG159" s="61" t="s">
        <v>706</v>
      </c>
      <c r="AH159" s="61" t="s">
        <v>707</v>
      </c>
      <c r="AI159" s="61" t="s">
        <v>708</v>
      </c>
      <c r="AJ159" s="61" t="s">
        <v>1789</v>
      </c>
    </row>
    <row r="160" spans="1:36" ht="15" customHeight="1" x14ac:dyDescent="0.35"/>
    <row r="161" spans="1:37" ht="15.75" customHeight="1" thickBot="1" x14ac:dyDescent="0.4">
      <c r="C161" s="1201" t="s">
        <v>306</v>
      </c>
      <c r="D161" s="1201"/>
      <c r="E161" s="1201"/>
      <c r="F161" s="1201"/>
      <c r="G161" s="1201"/>
      <c r="H161" s="1201"/>
      <c r="I161" s="1201"/>
      <c r="J161" s="1201"/>
      <c r="K161" s="1201"/>
      <c r="L161" s="1201"/>
      <c r="M161" s="1201"/>
      <c r="N161" s="1201"/>
      <c r="O161" s="1201"/>
      <c r="P161" s="1201"/>
      <c r="Q161" s="1201"/>
      <c r="R161" s="1201"/>
      <c r="S161" s="1201"/>
      <c r="T161" s="1201"/>
      <c r="U161" s="1201"/>
      <c r="V161" s="1201"/>
      <c r="W161" s="1201"/>
      <c r="X161" s="1201"/>
      <c r="Y161" s="1201"/>
      <c r="Z161" s="1201"/>
      <c r="AA161" s="1201"/>
      <c r="AB161" s="1201"/>
      <c r="AC161" s="1201"/>
      <c r="AD161" s="1201"/>
      <c r="AE161" s="1201"/>
      <c r="AF161" s="1201"/>
      <c r="AG161" s="1201"/>
      <c r="AH161" s="1201"/>
      <c r="AI161" s="1201"/>
    </row>
    <row r="162" spans="1:37" ht="15" customHeight="1" x14ac:dyDescent="0.35">
      <c r="A162" s="1202"/>
      <c r="B162" s="1203"/>
      <c r="C162" s="1207" t="s">
        <v>17</v>
      </c>
      <c r="D162" s="1207"/>
      <c r="E162" s="1207"/>
      <c r="F162" s="1207"/>
      <c r="G162" s="1207"/>
      <c r="H162" s="1207"/>
      <c r="I162" s="1207"/>
      <c r="J162" s="1207"/>
      <c r="K162" s="1207"/>
      <c r="L162" s="1207"/>
      <c r="M162" s="1207"/>
      <c r="N162" s="1207"/>
      <c r="O162" s="1207"/>
      <c r="P162" s="1207"/>
      <c r="Q162" s="1207"/>
      <c r="R162" s="1207"/>
      <c r="S162" s="1207"/>
      <c r="T162" s="1207"/>
      <c r="U162" s="1207"/>
      <c r="V162" s="1208"/>
      <c r="W162" s="6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8"/>
    </row>
    <row r="163" spans="1:37" ht="15.75" customHeight="1" thickBot="1" x14ac:dyDescent="0.4">
      <c r="A163" s="1204"/>
      <c r="B163" s="1205"/>
      <c r="C163" s="16">
        <v>1</v>
      </c>
      <c r="D163" s="17">
        <v>2</v>
      </c>
      <c r="E163" s="17">
        <v>3</v>
      </c>
      <c r="F163" s="17">
        <v>4</v>
      </c>
      <c r="G163" s="17">
        <v>5</v>
      </c>
      <c r="H163" s="17">
        <v>6</v>
      </c>
      <c r="I163" s="17">
        <v>7</v>
      </c>
      <c r="J163" s="17">
        <v>8</v>
      </c>
      <c r="K163" s="17">
        <v>9</v>
      </c>
      <c r="L163" s="17">
        <v>10</v>
      </c>
      <c r="M163" s="17">
        <v>11</v>
      </c>
      <c r="N163" s="17">
        <v>12</v>
      </c>
      <c r="O163" s="17">
        <v>13</v>
      </c>
      <c r="P163" s="17">
        <v>14</v>
      </c>
      <c r="Q163" s="17">
        <v>15</v>
      </c>
      <c r="R163" s="17">
        <v>16</v>
      </c>
      <c r="S163" s="17">
        <v>17</v>
      </c>
      <c r="T163" s="17">
        <v>18</v>
      </c>
      <c r="U163" s="17">
        <v>19</v>
      </c>
      <c r="V163" s="18">
        <v>20</v>
      </c>
      <c r="W163" s="17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20"/>
    </row>
    <row r="164" spans="1:37" ht="15" customHeight="1" thickBot="1" x14ac:dyDescent="0.4">
      <c r="A164" s="1196" t="s">
        <v>18</v>
      </c>
      <c r="B164" s="21">
        <v>1</v>
      </c>
      <c r="C164" s="40" t="str" cm="1">
        <f t="array" ref="C164">IF(COUNTIF(C4,"*P*"),
   INDEX($C$148:$AJ$148,
     COUNTIFS($C$4:C4, "*")
   ),
"")</f>
        <v/>
      </c>
      <c r="D164" s="40" t="str" cm="1">
        <f t="array" ref="D164">IF(COUNTIF(D4,"*P*"),
   INDEX($C$148:$AJ$148,
     COUNTIFS($C$4:D4, "*")
   ),
"")</f>
        <v/>
      </c>
      <c r="E164" s="40" t="str" cm="1">
        <f t="array" ref="E164">IF(COUNTIF(E4,"*P*"),
   INDEX($C$148:$AJ$148,
     COUNTIFS($C$4:E4, "*")
   ),
"")</f>
        <v/>
      </c>
      <c r="F164" s="40" t="str" cm="1">
        <f t="array" ref="F164">IF(COUNTIF(F4,"*P*"),
   INDEX($C$148:$AJ$148,
     COUNTIFS($C$4:F4, "*")
   ),
"")</f>
        <v/>
      </c>
      <c r="G164" s="40" t="str" cm="1">
        <f t="array" ref="G164">IF(COUNTIF(G4,"*P*"),
   INDEX($C$148:$AJ$148,
     COUNTIFS($C$4:G4, "*")
   ),
"")</f>
        <v/>
      </c>
      <c r="H164" s="40" t="str" cm="1">
        <f t="array" ref="H164">IF(COUNTIF(H4,"*P*"),
   INDEX($C$148:$AJ$148,
     COUNTIFS($C$4:H4, "*")
   ),
"")</f>
        <v/>
      </c>
      <c r="I164" s="40" t="str" cm="1">
        <f t="array" ref="I164">IF(COUNTIF(I4,"*P*"),
   INDEX($C$148:$AJ$148,
     COUNTIFS($C$4:I4, "*")
   ),
"")</f>
        <v/>
      </c>
      <c r="J164" s="40" t="str" cm="1">
        <f t="array" ref="J164">IF(COUNTIF(J4,"*P*"),
   INDEX($C$148:$AJ$148,
     COUNTIFS($C$4:J4, "*")
   ),
"")</f>
        <v/>
      </c>
      <c r="K164" s="40" t="str" cm="1">
        <f t="array" ref="K164">IF(COUNTIF(K4,"*P*"),
   INDEX($C$148:$AJ$148,
     COUNTIFS($C$4:K4, "*")
   ),
"")</f>
        <v/>
      </c>
      <c r="L164" s="40" t="str" cm="1">
        <f t="array" ref="L164">IF(COUNTIF(L4,"*P*"),
   INDEX($C$148:$AJ$148,
     COUNTIFS($C$4:L4, "*")
   ),
"")</f>
        <v/>
      </c>
      <c r="M164" s="40" t="str" cm="1">
        <f t="array" ref="M164">IF(COUNTIF(M4,"*P*"),
   INDEX($C$148:$AJ$148,
     COUNTIFS($C$4:M4, "*")
   ),
"")</f>
        <v/>
      </c>
      <c r="N164" s="40" t="str" cm="1">
        <f t="array" ref="N164">IF(COUNTIF(N4,"*P*"),
   INDEX($C$148:$AJ$148,
     COUNTIFS($C$4:N4, "*")
   ),
"")</f>
        <v/>
      </c>
      <c r="O164" s="40" t="str" cm="1">
        <f t="array" ref="O164">IF(COUNTIF(O4,"*P*"),
   INDEX($C$148:$AJ$148,
     COUNTIFS($C$4:O4, "*")
   ),
"")</f>
        <v/>
      </c>
      <c r="P164" s="40" t="str" cm="1">
        <f t="array" ref="P164">IF(COUNTIF(P4,"*P*"),
   INDEX($C$148:$AJ$148,
     COUNTIFS($C$4:P4, "*")
   ),
"")</f>
        <v/>
      </c>
      <c r="Q164" s="40" t="str" cm="1">
        <f t="array" ref="Q164">IF(COUNTIF(Q4,"*P*"),
   INDEX($C$148:$AJ$148,
     COUNTIFS($C$4:Q4, "*")
   ),
"")</f>
        <v/>
      </c>
      <c r="R164" s="40" t="str" cm="1">
        <f t="array" ref="R164">IF(COUNTIF(R4,"*P*"),
   INDEX($C$148:$AJ$148,
     COUNTIFS($C$4:R4, "*")
   ),
"")</f>
        <v/>
      </c>
      <c r="S164" s="40" t="str" cm="1">
        <f t="array" ref="S164">IF(COUNTIF(S4,"*P*"),
   INDEX($C$148:$AJ$148,
     COUNTIFS($C$4:S4, "*")
   ),
"")</f>
        <v/>
      </c>
      <c r="T164" s="40" t="str" cm="1">
        <f t="array" ref="T164">IF(COUNTIF(T4,"*P*"),
   INDEX($C$148:$AJ$148,
     COUNTIFS($C$4:T4, "*")
   ),
"")</f>
        <v/>
      </c>
      <c r="U164" s="40" t="str" cm="1">
        <f t="array" ref="U164">IF(COUNTIF(U4,"*P*"),
   INDEX($C$148:$AJ$148,
     COUNTIFS($C$4:U4, "*")
   ),
"")</f>
        <v/>
      </c>
      <c r="V164" s="40" t="str" cm="1">
        <f t="array" ref="V164">IF(COUNTIF(V4,"*P*"),
   INDEX($C$148:$AJ$148,
     COUNTIFS($C$4:V4, "*")
   ),
"")</f>
        <v/>
      </c>
      <c r="W164" s="40" t="str" cm="1">
        <f t="array" ref="W164">IF(COUNTIF(W4,"*P*"),
   INDEX($C$148:$AJ$148,
     COUNTIFS($C$4:W4, "*")
   ),
"")</f>
        <v/>
      </c>
      <c r="X164" s="40" t="str" cm="1">
        <f t="array" ref="X164">IF(COUNTIF(X4,"*P*"),
   INDEX($C$148:$AJ$148,
     COUNTIFS($C$4:X4, "*")
   ),
"")</f>
        <v/>
      </c>
      <c r="Y164" s="40" t="str" cm="1">
        <f t="array" ref="Y164">IF(COUNTIF(Y4,"*P*"),
   INDEX($C$148:$AJ$148,
     COUNTIFS($C$4:Y4, "*")
   ),
"")</f>
        <v/>
      </c>
      <c r="Z164" s="40" t="str" cm="1">
        <f t="array" ref="Z164">IF(COUNTIF(Z4,"*P*"),
   INDEX($C$148:$AJ$148,
     COUNTIFS($C$4:Z4, "*")
   ),
"")</f>
        <v/>
      </c>
      <c r="AA164" s="40" t="str" cm="1">
        <f t="array" ref="AA164">IF(COUNTIF(AA4,"*P*"),
   INDEX($C$148:$AJ$148,
     COUNTIFS($C$4:AA4, "*")
   ),
"")</f>
        <v/>
      </c>
      <c r="AB164" s="40" t="str" cm="1">
        <f t="array" ref="AB164">IF(COUNTIF(AB4,"*P*"),
   INDEX($C$148:$AJ$148,
     COUNTIFS($C$4:AB4, "*")
   ),
"")</f>
        <v/>
      </c>
      <c r="AC164" s="40" t="str" cm="1">
        <f t="array" ref="AC164">IF(COUNTIF(AC4,"*P*"),
   INDEX($C$148:$AJ$148,
     COUNTIFS($C$4:AC4, "*")
   ),
"")</f>
        <v/>
      </c>
      <c r="AD164" s="40" t="str" cm="1">
        <f t="array" ref="AD164">IF(COUNTIF(AD4,"*P*"),
   INDEX($C$148:$AJ$148,
     COUNTIFS($C$4:AD4, "*")
   ),
"")</f>
        <v/>
      </c>
      <c r="AE164" s="40" t="str" cm="1">
        <f t="array" ref="AE164">IF(COUNTIF(AE4,"*P*"),
   INDEX($C$148:$AJ$148,
     COUNTIFS($C$4:AE4, "*")
   ),
"")</f>
        <v/>
      </c>
      <c r="AF164" s="40" t="str" cm="1">
        <f t="array" ref="AF164">IF(COUNTIF(AF4,"*P*"),
   INDEX($C$148:$AJ$148,
     COUNTIFS($C$4:AF4, "*")
   ),
"")</f>
        <v/>
      </c>
      <c r="AG164" s="40" t="str" cm="1">
        <f t="array" ref="AG164">IF(COUNTIF(AG4,"*P*"),
   INDEX($C$148:$AJ$148,
     COUNTIFS($C$4:AG4, "*")
   ),
"")</f>
        <v/>
      </c>
      <c r="AH164" s="40" t="str" cm="1">
        <f t="array" ref="AH164">IF(COUNTIF(AH4,"*P*"),
   INDEX($C$148:$AJ$148,
     COUNTIFS($C$4:AH4, "*")
   ),
"")</f>
        <v/>
      </c>
      <c r="AI164" s="40" t="str" cm="1">
        <f t="array" ref="AI164">IF(COUNTIF(AI4,"*P*"),
   INDEX($C$148:$AJ$148,
     COUNTIFS($C$4:AI4, "*")
   ),
"")</f>
        <v/>
      </c>
      <c r="AJ164" s="40" t="str" cm="1">
        <f t="array" ref="AJ164">IF(COUNTIF(AJ4,"*P*"),
   INDEX($C$148:$AJ$148,
     COUNTIFS($C$4:AJ4, "*")
   ),
"")</f>
        <v/>
      </c>
      <c r="AK164" s="62" t="str">
        <f>CONCATENATE(C164,D164,E164,F164,G164,H164,I164,J164,K164,L164,M164,N164,O164,P164,Q164,R164,S164,T164,U164,V164,W164,X164,Y164,Z164,AA164,AB164,AC164,AD164,AE164,AF164,AG164,AH164,AI164,AJ164)</f>
        <v/>
      </c>
    </row>
    <row r="165" spans="1:37" ht="15" customHeight="1" thickBot="1" x14ac:dyDescent="0.4">
      <c r="A165" s="1196"/>
      <c r="B165" s="22">
        <v>2</v>
      </c>
      <c r="C165" s="40" t="str" cm="1">
        <f t="array" ref="C165">IF(COUNTIF(C5,"*P*"),
   INDEX($C$149:$AJ$149,
     COUNTIFS($C$5:C5, "*")
   ),
"")</f>
        <v/>
      </c>
      <c r="D165" s="40" t="str" cm="1">
        <f t="array" ref="D165">IF(COUNTIF(D5,"*P*"),
   INDEX($C$149:$AJ$149,
     COUNTIFS($C$5:D5, "*")
   ),
"")</f>
        <v/>
      </c>
      <c r="E165" s="40" t="str" cm="1">
        <f t="array" ref="E165">IF(COUNTIF(E5,"*P*"),
   INDEX($C$149:$AJ$149,
     COUNTIFS($C$5:E5, "*")
   ),
"")</f>
        <v/>
      </c>
      <c r="F165" s="40" t="str" cm="1">
        <f t="array" ref="F165">IF(COUNTIF(F5,"*P*"),
   INDEX($C$149:$AJ$149,
     COUNTIFS($C$5:F5, "*")
   ),
"")</f>
        <v/>
      </c>
      <c r="G165" s="40" t="str" cm="1">
        <f t="array" ref="G165">IF(COUNTIF(G5,"*P*"),
   INDEX($C$149:$AJ$149,
     COUNTIFS($C$5:G5, "*")
   ),
"")</f>
        <v/>
      </c>
      <c r="H165" s="40" t="str" cm="1">
        <f t="array" ref="H165">IF(COUNTIF(H5,"*P*"),
   INDEX($C$149:$AJ$149,
     COUNTIFS($C$5:H5, "*")
   ),
"")</f>
        <v/>
      </c>
      <c r="I165" s="40" t="str" cm="1">
        <f t="array" ref="I165">IF(COUNTIF(I5,"*P*"),
   INDEX($C$149:$AJ$149,
     COUNTIFS($C$5:I5, "*")
   ),
"")</f>
        <v/>
      </c>
      <c r="J165" s="40" t="str" cm="1">
        <f t="array" ref="J165">IF(COUNTIF(J5,"*P*"),
   INDEX($C$149:$AJ$149,
     COUNTIFS($C$5:J5, "*")
   ),
"")</f>
        <v/>
      </c>
      <c r="K165" s="40" t="str" cm="1">
        <f t="array" ref="K165">IF(COUNTIF(K5,"*P*"),
   INDEX($C$149:$AJ$149,
     COUNTIFS($C$5:K5, "*")
   ),
"")</f>
        <v/>
      </c>
      <c r="L165" s="40" t="str" cm="1">
        <f t="array" ref="L165">IF(COUNTIF(L5,"*P*"),
   INDEX($C$149:$AJ$149,
     COUNTIFS($C$5:L5, "*")
   ),
"")</f>
        <v/>
      </c>
      <c r="M165" s="40" t="str" cm="1">
        <f t="array" ref="M165">IF(COUNTIF(M5,"*P*"),
   INDEX($C$149:$AJ$149,
     COUNTIFS($C$5:M5, "*")
   ),
"")</f>
        <v/>
      </c>
      <c r="N165" s="40" t="str" cm="1">
        <f t="array" ref="N165">IF(COUNTIF(N5,"*P*"),
   INDEX($C$149:$AJ$149,
     COUNTIFS($C$5:N5, "*")
   ),
"")</f>
        <v/>
      </c>
      <c r="O165" s="40" t="str" cm="1">
        <f t="array" ref="O165">IF(COUNTIF(O5,"*P*"),
   INDEX($C$149:$AJ$149,
     COUNTIFS($C$5:O5, "*")
   ),
"")</f>
        <v/>
      </c>
      <c r="P165" s="40" t="str" cm="1">
        <f t="array" ref="P165">IF(COUNTIF(P5,"*P*"),
   INDEX($C$149:$AJ$149,
     COUNTIFS($C$5:P5, "*")
   ),
"")</f>
        <v/>
      </c>
      <c r="Q165" s="40" t="str" cm="1">
        <f t="array" ref="Q165">IF(COUNTIF(Q5,"*P*"),
   INDEX($C$149:$AJ$149,
     COUNTIFS($C$5:Q5, "*")
   ),
"")</f>
        <v/>
      </c>
      <c r="R165" s="40" t="str" cm="1">
        <f t="array" ref="R165">IF(COUNTIF(R5,"*P*"),
   INDEX($C$149:$AJ$149,
     COUNTIFS($C$5:R5, "*")
   ),
"")</f>
        <v/>
      </c>
      <c r="S165" s="40" t="str" cm="1">
        <f t="array" ref="S165">IF(COUNTIF(S5,"*P*"),
   INDEX($C$149:$AJ$149,
     COUNTIFS($C$5:S5, "*")
   ),
"")</f>
        <v/>
      </c>
      <c r="T165" s="40" t="str" cm="1">
        <f t="array" ref="T165">IF(COUNTIF(T5,"*P*"),
   INDEX($C$149:$AJ$149,
     COUNTIFS($C$5:T5, "*")
   ),
"")</f>
        <v/>
      </c>
      <c r="U165" s="40" t="str" cm="1">
        <f t="array" ref="U165">IF(COUNTIF(U5,"*P*"),
   INDEX($C$149:$AJ$149,
     COUNTIFS($C$5:U5, "*")
   ),
"")</f>
        <v/>
      </c>
      <c r="V165" s="40" t="str" cm="1">
        <f t="array" ref="V165">IF(COUNTIF(V5,"*P*"),
   INDEX($C$149:$AJ$149,
     COUNTIFS($C$5:V5, "*")
   ),
"")</f>
        <v/>
      </c>
      <c r="W165" s="40" t="str" cm="1">
        <f t="array" ref="W165">IF(COUNTIF(W5,"*P*"),
   INDEX($C$149:$AJ$149,
     COUNTIFS($C$5:W5, "*")
   ),
"")</f>
        <v/>
      </c>
      <c r="X165" s="40" t="str" cm="1">
        <f t="array" ref="X165">IF(COUNTIF(X5,"*P*"),
   INDEX($C$149:$AJ$149,
     COUNTIFS($C$5:X5, "*")
   ),
"")</f>
        <v/>
      </c>
      <c r="Y165" s="40" t="str" cm="1">
        <f t="array" ref="Y165">IF(COUNTIF(Y5,"*P*"),
   INDEX($C$149:$AJ$149,
     COUNTIFS($C$5:Y5, "*")
   ),
"")</f>
        <v/>
      </c>
      <c r="Z165" s="40" t="str" cm="1">
        <f t="array" ref="Z165">IF(COUNTIF(Z5,"*P*"),
   INDEX($C$149:$AJ$149,
     COUNTIFS($C$5:Z5, "*")
   ),
"")</f>
        <v/>
      </c>
      <c r="AA165" s="40" t="str" cm="1">
        <f t="array" ref="AA165">IF(COUNTIF(AA5,"*P*"),
   INDEX($C$149:$AJ$149,
     COUNTIFS($C$5:AA5, "*")
   ),
"")</f>
        <v/>
      </c>
      <c r="AB165" s="40" t="str" cm="1">
        <f t="array" ref="AB165">IF(COUNTIF(AB5,"*P*"),
   INDEX($C$149:$AJ$149,
     COUNTIFS($C$5:AB5, "*")
   ),
"")</f>
        <v/>
      </c>
      <c r="AC165" s="40" t="str" cm="1">
        <f t="array" ref="AC165">IF(COUNTIF(AC5,"*P*"),
   INDEX($C$149:$AJ$149,
     COUNTIFS($C$5:AC5, "*")
   ),
"")</f>
        <v/>
      </c>
      <c r="AD165" s="40" t="str" cm="1">
        <f t="array" ref="AD165">IF(COUNTIF(AD5,"*P*"),
   INDEX($C$149:$AJ$149,
     COUNTIFS($C$5:AD5, "*")
   ),
"")</f>
        <v/>
      </c>
      <c r="AE165" s="40" t="str" cm="1">
        <f t="array" ref="AE165">IF(COUNTIF(AE5,"*P*"),
   INDEX($C$149:$AJ$149,
     COUNTIFS($C$5:AE5, "*")
   ),
"")</f>
        <v/>
      </c>
      <c r="AF165" s="40" t="str" cm="1">
        <f t="array" ref="AF165">IF(COUNTIF(AF5,"*P*"),
   INDEX($C$149:$AJ$149,
     COUNTIFS($C$5:AF5, "*")
   ),
"")</f>
        <v/>
      </c>
      <c r="AG165" s="40" t="str" cm="1">
        <f t="array" ref="AG165">IF(COUNTIF(AG5,"*P*"),
   INDEX($C$149:$AJ$149,
     COUNTIFS($C$5:AG5, "*")
   ),
"")</f>
        <v/>
      </c>
      <c r="AH165" s="40" t="str" cm="1">
        <f t="array" ref="AH165">IF(COUNTIF(AH5,"*P*"),
   INDEX($C$149:$AJ$149,
     COUNTIFS($C$5:AH5, "*")
   ),
"")</f>
        <v/>
      </c>
      <c r="AI165" s="40" t="str" cm="1">
        <f t="array" ref="AI165">IF(COUNTIF(AI5,"*P*"),
   INDEX($C$149:$AJ$149,
     COUNTIFS($C$5:AI5, "*")
   ),
"")</f>
        <v/>
      </c>
      <c r="AJ165" s="40" t="str" cm="1">
        <f t="array" ref="AJ165">IF(COUNTIF(AJ5,"*P*"),
   INDEX($C$148:$AJ$148,
     COUNTIFS($C$5:AJ5, "*")
   ),
"")</f>
        <v/>
      </c>
      <c r="AK165" s="62" t="str">
        <f t="shared" ref="AK165:AK175" si="14">CONCATENATE(C165,D165,E165,F165,G165,H165,I165,J165,K165,L165,M165,N165,O165,P165,Q165,R165,S165,T165,U165,V165,W165,X165,Y165,Z165,AA165,AB165,AC165,AD165,AE165,AF165,AG165,AH165,AI165,AJ165)</f>
        <v/>
      </c>
    </row>
    <row r="166" spans="1:37" ht="15" customHeight="1" thickBot="1" x14ac:dyDescent="0.4">
      <c r="A166" s="1196"/>
      <c r="B166" s="22">
        <v>3</v>
      </c>
      <c r="C166" s="40" t="str" cm="1">
        <f t="array" ref="C166">IF(COUNTIF(C6,"*P*"),
   INDEX($C$150:$AJ$150,
     COUNTIFS($C$6:C6, "*")
   ),
"")</f>
        <v/>
      </c>
      <c r="D166" s="40" t="str" cm="1">
        <f t="array" ref="D166">IF(COUNTIF(D6,"*P*"),
   INDEX($C$150:$AJ$150,
     COUNTIFS($C$6:D6, "*")
   ),
"")</f>
        <v/>
      </c>
      <c r="E166" s="40" t="str" cm="1">
        <f t="array" ref="E166">IF(COUNTIF(E6,"*P*"),
   INDEX($C$150:$AJ$150,
     COUNTIFS($C$6:E6, "*")
   ),
"")</f>
        <v/>
      </c>
      <c r="F166" s="40" t="str" cm="1">
        <f t="array" ref="F166">IF(COUNTIF(F6,"*P*"),
   INDEX($C$150:$AJ$150,
     COUNTIFS($C$6:F6, "*")
   ),
"")</f>
        <v/>
      </c>
      <c r="G166" s="40" t="str" cm="1">
        <f t="array" ref="G166">IF(COUNTIF(G6,"*P*"),
   INDEX($C$150:$AJ$150,
     COUNTIFS($C$6:G6, "*")
   ),
"")</f>
        <v/>
      </c>
      <c r="H166" s="40" t="str" cm="1">
        <f t="array" ref="H166">IF(COUNTIF(H6,"*P*"),
   INDEX($C$150:$AJ$150,
     COUNTIFS($C$6:H6, "*")
   ),
"")</f>
        <v/>
      </c>
      <c r="I166" s="40" t="str" cm="1">
        <f t="array" ref="I166">IF(COUNTIF(I6,"*P*"),
   INDEX($C$150:$AJ$150,
     COUNTIFS($C$6:I6, "*")
   ),
"")</f>
        <v/>
      </c>
      <c r="J166" s="40" t="str" cm="1">
        <f t="array" ref="J166">IF(COUNTIF(J6,"*P*"),
   INDEX($C$150:$AJ$150,
     COUNTIFS($C$6:J6, "*")
   ),
"")</f>
        <v/>
      </c>
      <c r="K166" s="40" t="str" cm="1">
        <f t="array" ref="K166">IF(COUNTIF(K6,"*P*"),
   INDEX($C$150:$AJ$150,
     COUNTIFS($C$6:K6, "*")
   ),
"")</f>
        <v/>
      </c>
      <c r="L166" s="40" t="str" cm="1">
        <f t="array" ref="L166">IF(COUNTIF(L6,"*P*"),
   INDEX($C$150:$AJ$150,
     COUNTIFS($C$6:L6, "*")
   ),
"")</f>
        <v/>
      </c>
      <c r="M166" s="40" t="str" cm="1">
        <f t="array" ref="M166">IF(COUNTIF(M6,"*P*"),
   INDEX($C$150:$AJ$150,
     COUNTIFS($C$6:M6, "*")
   ),
"")</f>
        <v/>
      </c>
      <c r="N166" s="40" t="str" cm="1">
        <f t="array" ref="N166">IF(COUNTIF(N6,"*P*"),
   INDEX($C$150:$AJ$150,
     COUNTIFS($C$6:N6, "*")
   ),
"")</f>
        <v/>
      </c>
      <c r="O166" s="40" t="str" cm="1">
        <f t="array" ref="O166">IF(COUNTIF(O6,"*P*"),
   INDEX($C$150:$AJ$150,
     COUNTIFS($C$6:O6, "*")
   ),
"")</f>
        <v/>
      </c>
      <c r="P166" s="40" t="str" cm="1">
        <f t="array" ref="P166">IF(COUNTIF(P6,"*P*"),
   INDEX($C$150:$AJ$150,
     COUNTIFS($C$6:P6, "*")
   ),
"")</f>
        <v/>
      </c>
      <c r="Q166" s="40" t="str" cm="1">
        <f t="array" ref="Q166">IF(COUNTIF(Q6,"*P*"),
   INDEX($C$150:$AJ$150,
     COUNTIFS($C$6:Q6, "*")
   ),
"")</f>
        <v/>
      </c>
      <c r="R166" s="40" t="str" cm="1">
        <f t="array" ref="R166">IF(COUNTIF(R6,"*P*"),
   INDEX($C$150:$AJ$150,
     COUNTIFS($C$6:R6, "*")
   ),
"")</f>
        <v/>
      </c>
      <c r="S166" s="40" t="str" cm="1">
        <f t="array" ref="S166">IF(COUNTIF(S6,"*P*"),
   INDEX($C$150:$AJ$150,
     COUNTIFS($C$6:S6, "*")
   ),
"")</f>
        <v/>
      </c>
      <c r="T166" s="40" t="str" cm="1">
        <f t="array" ref="T166">IF(COUNTIF(T6,"*P*"),
   INDEX($C$150:$AJ$150,
     COUNTIFS($C$6:T6, "*")
   ),
"")</f>
        <v/>
      </c>
      <c r="U166" s="40" t="str" cm="1">
        <f t="array" ref="U166">IF(COUNTIF(U6,"*P*"),
   INDEX($C$150:$AJ$150,
     COUNTIFS($C$6:U6, "*")
   ),
"")</f>
        <v/>
      </c>
      <c r="V166" s="40" t="str" cm="1">
        <f t="array" ref="V166">IF(COUNTIF(V6,"*P*"),
   INDEX($C$150:$AJ$150,
     COUNTIFS($C$6:V6, "*")
   ),
"")</f>
        <v/>
      </c>
      <c r="W166" s="40" t="str" cm="1">
        <f t="array" ref="W166">IF(COUNTIF(W6,"*P*"),
   INDEX($C$150:$AJ$150,
     COUNTIFS($C$6:W6, "*")
   ),
"")</f>
        <v/>
      </c>
      <c r="X166" s="40" t="str" cm="1">
        <f t="array" ref="X166">IF(COUNTIF(X6,"*P*"),
   INDEX($C$150:$AJ$150,
     COUNTIFS($C$6:X6, "*")
   ),
"")</f>
        <v/>
      </c>
      <c r="Y166" s="40" t="str" cm="1">
        <f t="array" ref="Y166">IF(COUNTIF(Y6,"*P*"),
   INDEX($C$150:$AJ$150,
     COUNTIFS($C$6:Y6, "*")
   ),
"")</f>
        <v/>
      </c>
      <c r="Z166" s="40" t="str" cm="1">
        <f t="array" ref="Z166">IF(COUNTIF(Z6,"*P*"),
   INDEX($C$150:$AJ$150,
     COUNTIFS($C$6:Z6, "*")
   ),
"")</f>
        <v/>
      </c>
      <c r="AA166" s="40" t="str" cm="1">
        <f t="array" ref="AA166">IF(COUNTIF(AA6,"*P*"),
   INDEX($C$150:$AJ$150,
     COUNTIFS($C$6:AA6, "*")
   ),
"")</f>
        <v/>
      </c>
      <c r="AB166" s="40" t="str" cm="1">
        <f t="array" ref="AB166">IF(COUNTIF(AB6,"*P*"),
   INDEX($C$150:$AJ$150,
     COUNTIFS($C$6:AB6, "*")
   ),
"")</f>
        <v/>
      </c>
      <c r="AC166" s="40" t="str" cm="1">
        <f t="array" ref="AC166">IF(COUNTIF(AC6,"*P*"),
   INDEX($C$150:$AJ$150,
     COUNTIFS($C$6:AC6, "*")
   ),
"")</f>
        <v/>
      </c>
      <c r="AD166" s="40" t="str" cm="1">
        <f t="array" ref="AD166">IF(COUNTIF(AD6,"*P*"),
   INDEX($C$150:$AJ$150,
     COUNTIFS($C$6:AD6, "*")
   ),
"")</f>
        <v/>
      </c>
      <c r="AE166" s="40" t="str" cm="1">
        <f t="array" ref="AE166">IF(COUNTIF(AE6,"*P*"),
   INDEX($C$150:$AJ$150,
     COUNTIFS($C$6:AE6, "*")
   ),
"")</f>
        <v/>
      </c>
      <c r="AF166" s="40" t="str" cm="1">
        <f t="array" ref="AF166">IF(COUNTIF(AF6,"*P*"),
   INDEX($C$150:$AJ$150,
     COUNTIFS($C$6:AF6, "*")
   ),
"")</f>
        <v/>
      </c>
      <c r="AG166" s="40" t="str" cm="1">
        <f t="array" ref="AG166">IF(COUNTIF(AG6,"*P*"),
   INDEX($C$150:$AJ$150,
     COUNTIFS($C$6:AG6, "*")
   ),
"")</f>
        <v/>
      </c>
      <c r="AH166" s="40" t="str" cm="1">
        <f t="array" ref="AH166">IF(COUNTIF(AH6,"*P*"),
   INDEX($C$150:$AJ$150,
     COUNTIFS($C$6:AH6, "*")
   ),
"")</f>
        <v/>
      </c>
      <c r="AI166" s="40" t="str" cm="1">
        <f t="array" ref="AI166">IF(COUNTIF(AI6,"*P*"),
   INDEX($C$150:$AJ$150,
     COUNTIFS($C$6:AI6, "*")
   ),
"")</f>
        <v/>
      </c>
      <c r="AJ166" s="40" t="str" cm="1">
        <f t="array" ref="AJ166">IF(COUNTIF(AJ6,"*P*"),
   INDEX($C$148:$AJ$148,
     COUNTIFS($C$6:AJ6, "*")
   ),
"")</f>
        <v/>
      </c>
      <c r="AK166" s="62" t="str">
        <f t="shared" si="14"/>
        <v/>
      </c>
    </row>
    <row r="167" spans="1:37" ht="15" customHeight="1" thickBot="1" x14ac:dyDescent="0.4">
      <c r="A167" s="1196"/>
      <c r="B167" s="22">
        <v>4</v>
      </c>
      <c r="C167" s="40" t="str" cm="1">
        <f t="array" ref="C167">IF(COUNTIF(C7,"*P*"),
   INDEX($C$151:$AJ$151,
     COUNTIFS($C$7:C7, "*")
   ),
"")</f>
        <v/>
      </c>
      <c r="D167" s="40" t="str" cm="1">
        <f t="array" ref="D167">IF(COUNTIF(D7,"*P*"),
   INDEX($C$151:$AJ$151,
     COUNTIFS($C$7:D7, "*")
   ),
"")</f>
        <v/>
      </c>
      <c r="E167" s="40" t="str" cm="1">
        <f t="array" ref="E167">IF(COUNTIF(E7,"*P*"),
   INDEX($C$151:$AJ$151,
     COUNTIFS($C$7:E7, "*")
   ),
"")</f>
        <v/>
      </c>
      <c r="F167" s="40" t="str" cm="1">
        <f t="array" ref="F167">IF(COUNTIF(F7,"*P*"),
   INDEX($C$151:$AJ$151,
     COUNTIFS($C$7:F7, "*")
   ),
"")</f>
        <v/>
      </c>
      <c r="G167" s="40" t="str" cm="1">
        <f t="array" ref="G167">IF(COUNTIF(G7,"*P*"),
   INDEX($C$151:$AJ$151,
     COUNTIFS($C$7:G7, "*")
   ),
"")</f>
        <v/>
      </c>
      <c r="H167" s="40" t="str" cm="1">
        <f t="array" ref="H167">IF(COUNTIF(H7,"*P*"),
   INDEX($C$151:$AJ$151,
     COUNTIFS($C$7:H7, "*")
   ),
"")</f>
        <v/>
      </c>
      <c r="I167" s="40" t="str" cm="1">
        <f t="array" ref="I167">IF(COUNTIF(I7,"*P*"),
   INDEX($C$151:$AJ$151,
     COUNTIFS($C$7:I7, "*")
   ),
"")</f>
        <v/>
      </c>
      <c r="J167" s="40" t="str" cm="1">
        <f t="array" ref="J167">IF(COUNTIF(J7,"*P*"),
   INDEX($C$151:$AJ$151,
     COUNTIFS($C$7:J7, "*")
   ),
"")</f>
        <v/>
      </c>
      <c r="K167" s="40" t="str" cm="1">
        <f t="array" ref="K167">IF(COUNTIF(K7,"*P*"),
   INDEX($C$151:$AJ$151,
     COUNTIFS($C$7:K7, "*")
   ),
"")</f>
        <v/>
      </c>
      <c r="L167" s="40" t="str" cm="1">
        <f t="array" ref="L167">IF(COUNTIF(L7,"*P*"),
   INDEX($C$151:$AJ$151,
     COUNTIFS($C$7:L7, "*")
   ),
"")</f>
        <v/>
      </c>
      <c r="M167" s="40" t="str" cm="1">
        <f t="array" ref="M167">IF(COUNTIF(M7,"*P*"),
   INDEX($C$151:$AJ$151,
     COUNTIFS($C$7:M7, "*")
   ),
"")</f>
        <v/>
      </c>
      <c r="N167" s="40" t="str" cm="1">
        <f t="array" ref="N167">IF(COUNTIF(N7,"*P*"),
   INDEX($C$151:$AJ$151,
     COUNTIFS($C$7:N7, "*")
   ),
"")</f>
        <v/>
      </c>
      <c r="O167" s="40" t="str" cm="1">
        <f t="array" ref="O167">IF(COUNTIF(O7,"*P*"),
   INDEX($C$151:$AJ$151,
     COUNTIFS($C$7:O7, "*")
   ),
"")</f>
        <v/>
      </c>
      <c r="P167" s="40" t="str" cm="1">
        <f t="array" ref="P167">IF(COUNTIF(P7,"*P*"),
   INDEX($C$151:$AJ$151,
     COUNTIFS($C$7:P7, "*")
   ),
"")</f>
        <v/>
      </c>
      <c r="Q167" s="40" t="str" cm="1">
        <f t="array" ref="Q167">IF(COUNTIF(Q7,"*P*"),
   INDEX($C$151:$AJ$151,
     COUNTIFS($C$7:Q7, "*")
   ),
"")</f>
        <v/>
      </c>
      <c r="R167" s="40" t="str" cm="1">
        <f t="array" ref="R167">IF(COUNTIF(R7,"*P*"),
   INDEX($C$151:$AJ$151,
     COUNTIFS($C$7:R7, "*")
   ),
"")</f>
        <v/>
      </c>
      <c r="S167" s="40" t="str" cm="1">
        <f t="array" ref="S167">IF(COUNTIF(S7,"*P*"),
   INDEX($C$151:$AJ$151,
     COUNTIFS($C$7:S7, "*")
   ),
"")</f>
        <v/>
      </c>
      <c r="T167" s="40" t="str" cm="1">
        <f t="array" ref="T167">IF(COUNTIF(T7,"*P*"),
   INDEX($C$151:$AJ$151,
     COUNTIFS($C$7:T7, "*")
   ),
"")</f>
        <v/>
      </c>
      <c r="U167" s="40" t="str" cm="1">
        <f t="array" ref="U167">IF(COUNTIF(U7,"*P*"),
   INDEX($C$151:$AJ$151,
     COUNTIFS($C$7:U7, "*")
   ),
"")</f>
        <v/>
      </c>
      <c r="V167" s="40" t="str" cm="1">
        <f t="array" ref="V167">IF(COUNTIF(V7,"*P*"),
   INDEX($C$151:$AJ$151,
     COUNTIFS($C$7:V7, "*")
   ),
"")</f>
        <v/>
      </c>
      <c r="W167" s="40" t="str" cm="1">
        <f t="array" ref="W167">IF(COUNTIF(W7,"*P*"),
   INDEX($C$151:$AJ$151,
     COUNTIFS($C$7:W7, "*")
   ),
"")</f>
        <v/>
      </c>
      <c r="X167" s="40" t="str" cm="1">
        <f t="array" ref="X167">IF(COUNTIF(X7,"*P*"),
   INDEX($C$151:$AJ$151,
     COUNTIFS($C$7:X7, "*")
   ),
"")</f>
        <v/>
      </c>
      <c r="Y167" s="40" t="str" cm="1">
        <f t="array" ref="Y167">IF(COUNTIF(Y7,"*P*"),
   INDEX($C$151:$AJ$151,
     COUNTIFS($C$7:Y7, "*")
   ),
"")</f>
        <v/>
      </c>
      <c r="Z167" s="40" t="str" cm="1">
        <f t="array" ref="Z167">IF(COUNTIF(Z7,"*P*"),
   INDEX($C$151:$AJ$151,
     COUNTIFS($C$7:Z7, "*")
   ),
"")</f>
        <v/>
      </c>
      <c r="AA167" s="40" t="str" cm="1">
        <f t="array" ref="AA167">IF(COUNTIF(AA7,"*P*"),
   INDEX($C$151:$AJ$151,
     COUNTIFS($C$7:AA7, "*")
   ),
"")</f>
        <v/>
      </c>
      <c r="AB167" s="40" t="str" cm="1">
        <f t="array" ref="AB167">IF(COUNTIF(AB7,"*P*"),
   INDEX($C$151:$AJ$151,
     COUNTIFS($C$7:AB7, "*")
   ),
"")</f>
        <v/>
      </c>
      <c r="AC167" s="40" t="str" cm="1">
        <f t="array" ref="AC167">IF(COUNTIF(AC7,"*P*"),
   INDEX($C$151:$AJ$151,
     COUNTIFS($C$7:AC7, "*")
   ),
"")</f>
        <v/>
      </c>
      <c r="AD167" s="40" t="str" cm="1">
        <f t="array" ref="AD167">IF(COUNTIF(AD7,"*P*"),
   INDEX($C$151:$AJ$151,
     COUNTIFS($C$7:AD7, "*")
   ),
"")</f>
        <v/>
      </c>
      <c r="AE167" s="40" t="str" cm="1">
        <f t="array" ref="AE167">IF(COUNTIF(AE7,"*P*"),
   INDEX($C$151:$AJ$151,
     COUNTIFS($C$7:AE7, "*")
   ),
"")</f>
        <v/>
      </c>
      <c r="AF167" s="40" t="str" cm="1">
        <f t="array" ref="AF167">IF(COUNTIF(AF7,"*P*"),
   INDEX($C$151:$AJ$151,
     COUNTIFS($C$7:AF7, "*")
   ),
"")</f>
        <v/>
      </c>
      <c r="AG167" s="40" t="str" cm="1">
        <f t="array" ref="AG167">IF(COUNTIF(AG7,"*P*"),
   INDEX($C$151:$AJ$151,
     COUNTIFS($C$7:AG7, "*")
   ),
"")</f>
        <v/>
      </c>
      <c r="AH167" s="40" t="str" cm="1">
        <f t="array" ref="AH167">IF(COUNTIF(AH7,"*P*"),
   INDEX($C$151:$AJ$151,
     COUNTIFS($C$7:AH7, "*")
   ),
"")</f>
        <v/>
      </c>
      <c r="AI167" s="40" t="str" cm="1">
        <f t="array" ref="AI167">IF(COUNTIF(AI7,"*P*"),
   INDEX($C$151:$AJ$151,
     COUNTIFS($C$7:AI7, "*")
   ),
"")</f>
        <v/>
      </c>
      <c r="AJ167" s="40" t="str" cm="1">
        <f t="array" ref="AJ167">IF(COUNTIF(AJ7,"*P*"),
   INDEX($C$148:$AJ$148,
     COUNTIFS($C$7:AJ7, "*")
   ),
"")</f>
        <v/>
      </c>
      <c r="AK167" s="62" t="str">
        <f t="shared" si="14"/>
        <v/>
      </c>
    </row>
    <row r="168" spans="1:37" ht="15" customHeight="1" thickBot="1" x14ac:dyDescent="0.4">
      <c r="A168" s="1196"/>
      <c r="B168" s="22">
        <v>5</v>
      </c>
      <c r="C168" s="40" t="str" cm="1">
        <f t="array" ref="C168">IF(COUNTIF(C8,"*P*"),
   INDEX($C$152:$AJ$152,
     COUNTIFS($C$8:C8, "*")
   ),
"")</f>
        <v/>
      </c>
      <c r="D168" s="40" t="str" cm="1">
        <f t="array" ref="D168">IF(COUNTIF(D8,"*P*"),
   INDEX($C$152:$AJ$152,
     COUNTIFS($C$8:D8, "*")
   ),
"")</f>
        <v/>
      </c>
      <c r="E168" s="40" t="str" cm="1">
        <f t="array" ref="E168">IF(COUNTIF(E8,"*P*"),
   INDEX($C$152:$AJ$152,
     COUNTIFS($C$8:E8, "*")
   ),
"")</f>
        <v/>
      </c>
      <c r="F168" s="40" t="str" cm="1">
        <f t="array" ref="F168">IF(COUNTIF(F8,"*P*"),
   INDEX($C$152:$AJ$152,
     COUNTIFS($C$8:F8, "*")
   ),
"")</f>
        <v/>
      </c>
      <c r="G168" s="40" t="str" cm="1">
        <f t="array" ref="G168">IF(COUNTIF(G8,"*P*"),
   INDEX($C$152:$AJ$152,
     COUNTIFS($C$8:G8, "*")
   ),
"")</f>
        <v/>
      </c>
      <c r="H168" s="40" t="str" cm="1">
        <f t="array" ref="H168">IF(COUNTIF(H8,"*P*"),
   INDEX($C$152:$AJ$152,
     COUNTIFS($C$8:H8, "*")
   ),
"")</f>
        <v/>
      </c>
      <c r="I168" s="40" t="str" cm="1">
        <f t="array" ref="I168">IF(COUNTIF(I8,"*P*"),
   INDEX($C$152:$AJ$152,
     COUNTIFS($C$8:I8, "*")
   ),
"")</f>
        <v/>
      </c>
      <c r="J168" s="40" t="str" cm="1">
        <f t="array" ref="J168">IF(COUNTIF(J8,"*P*"),
   INDEX($C$152:$AJ$152,
     COUNTIFS($C$8:J8, "*")
   ),
"")</f>
        <v/>
      </c>
      <c r="K168" s="40" t="str" cm="1">
        <f t="array" ref="K168">IF(COUNTIF(K8,"*P*"),
   INDEX($C$152:$AJ$152,
     COUNTIFS($C$8:K8, "*")
   ),
"")</f>
        <v/>
      </c>
      <c r="L168" s="40" t="str" cm="1">
        <f t="array" ref="L168">IF(COUNTIF(L8,"*P*"),
   INDEX($C$152:$AJ$152,
     COUNTIFS($C$8:L8, "*")
   ),
"")</f>
        <v/>
      </c>
      <c r="M168" s="40" t="str" cm="1">
        <f t="array" ref="M168">IF(COUNTIF(M8,"*P*"),
   INDEX($C$152:$AJ$152,
     COUNTIFS($C$8:M8, "*")
   ),
"")</f>
        <v/>
      </c>
      <c r="N168" s="40" t="str" cm="1">
        <f t="array" ref="N168">IF(COUNTIF(N8,"*P*"),
   INDEX($C$152:$AJ$152,
     COUNTIFS($C$8:N8, "*")
   ),
"")</f>
        <v/>
      </c>
      <c r="O168" s="40" t="str" cm="1">
        <f t="array" ref="O168">IF(COUNTIF(O8,"*P*"),
   INDEX($C$152:$AJ$152,
     COUNTIFS($C$8:O8, "*")
   ),
"")</f>
        <v/>
      </c>
      <c r="P168" s="40" t="str" cm="1">
        <f t="array" ref="P168">IF(COUNTIF(P8,"*P*"),
   INDEX($C$152:$AJ$152,
     COUNTIFS($C$8:P8, "*")
   ),
"")</f>
        <v/>
      </c>
      <c r="Q168" s="40" t="str" cm="1">
        <f t="array" ref="Q168">IF(COUNTIF(Q8,"*P*"),
   INDEX($C$152:$AJ$152,
     COUNTIFS($C$8:Q8, "*")
   ),
"")</f>
        <v/>
      </c>
      <c r="R168" s="40" t="str" cm="1">
        <f t="array" ref="R168">IF(COUNTIF(R8,"*P*"),
   INDEX($C$152:$AJ$152,
     COUNTIFS($C$8:R8, "*")
   ),
"")</f>
        <v/>
      </c>
      <c r="S168" s="40" t="str" cm="1">
        <f t="array" ref="S168">IF(COUNTIF(S8,"*P*"),
   INDEX($C$152:$AJ$152,
     COUNTIFS($C$8:S8, "*")
   ),
"")</f>
        <v/>
      </c>
      <c r="T168" s="40" t="str" cm="1">
        <f t="array" ref="T168">IF(COUNTIF(T8,"*P*"),
   INDEX($C$152:$AJ$152,
     COUNTIFS($C$8:T8, "*")
   ),
"")</f>
        <v/>
      </c>
      <c r="U168" s="40" t="str" cm="1">
        <f t="array" ref="U168">IF(COUNTIF(U8,"*P*"),
   INDEX($C$152:$AJ$152,
     COUNTIFS($C$8:U8, "*")
   ),
"")</f>
        <v/>
      </c>
      <c r="V168" s="40" t="str" cm="1">
        <f t="array" ref="V168">IF(COUNTIF(V8,"*P*"),
   INDEX($C$152:$AJ$152,
     COUNTIFS($C$8:V8, "*")
   ),
"")</f>
        <v/>
      </c>
      <c r="W168" s="40" t="str" cm="1">
        <f t="array" ref="W168">IF(COUNTIF(W8,"*P*"),
   INDEX($C$152:$AJ$152,
     COUNTIFS($C$8:W8, "*")
   ),
"")</f>
        <v/>
      </c>
      <c r="X168" s="40" t="str" cm="1">
        <f t="array" ref="X168">IF(COUNTIF(X8,"*P*"),
   INDEX($C$152:$AJ$152,
     COUNTIFS($C$8:X8, "*")
   ),
"")</f>
        <v/>
      </c>
      <c r="Y168" s="40" t="str" cm="1">
        <f t="array" ref="Y168">IF(COUNTIF(Y8,"*P*"),
   INDEX($C$152:$AJ$152,
     COUNTIFS($C$8:Y8, "*")
   ),
"")</f>
        <v/>
      </c>
      <c r="Z168" s="40" t="str" cm="1">
        <f t="array" ref="Z168">IF(COUNTIF(Z8,"*P*"),
   INDEX($C$152:$AJ$152,
     COUNTIFS($C$8:Z8, "*")
   ),
"")</f>
        <v/>
      </c>
      <c r="AA168" s="40" t="str" cm="1">
        <f t="array" ref="AA168">IF(COUNTIF(AA8,"*P*"),
   INDEX($C$152:$AJ$152,
     COUNTIFS($C$8:AA8, "*")
   ),
"")</f>
        <v/>
      </c>
      <c r="AB168" s="40" t="str" cm="1">
        <f t="array" ref="AB168">IF(COUNTIF(AB8,"*P*"),
   INDEX($C$152:$AJ$152,
     COUNTIFS($C$8:AB8, "*")
   ),
"")</f>
        <v/>
      </c>
      <c r="AC168" s="40" t="str" cm="1">
        <f t="array" ref="AC168">IF(COUNTIF(AC8,"*P*"),
   INDEX($C$152:$AJ$152,
     COUNTIFS($C$8:AC8, "*")
   ),
"")</f>
        <v/>
      </c>
      <c r="AD168" s="40" t="str" cm="1">
        <f t="array" ref="AD168">IF(COUNTIF(AD8,"*P*"),
   INDEX($C$152:$AJ$152,
     COUNTIFS($C$8:AD8, "*")
   ),
"")</f>
        <v/>
      </c>
      <c r="AE168" s="40" t="str" cm="1">
        <f t="array" ref="AE168">IF(COUNTIF(AE8,"*P*"),
   INDEX($C$152:$AJ$152,
     COUNTIFS($C$8:AE8, "*")
   ),
"")</f>
        <v/>
      </c>
      <c r="AF168" s="40" t="str" cm="1">
        <f t="array" ref="AF168">IF(COUNTIF(AF8,"*P*"),
   INDEX($C$152:$AJ$152,
     COUNTIFS($C$8:AF8, "*")
   ),
"")</f>
        <v/>
      </c>
      <c r="AG168" s="40" t="str" cm="1">
        <f t="array" ref="AG168">IF(COUNTIF(AG8,"*P*"),
   INDEX($C$152:$AJ$152,
     COUNTIFS($C$8:AG8, "*")
   ),
"")</f>
        <v/>
      </c>
      <c r="AH168" s="40" t="str" cm="1">
        <f t="array" ref="AH168">IF(COUNTIF(AH8,"*P*"),
   INDEX($C$152:$AJ$152,
     COUNTIFS($C$8:AH8, "*")
   ),
"")</f>
        <v/>
      </c>
      <c r="AI168" s="40" t="str" cm="1">
        <f t="array" ref="AI168">IF(COUNTIF(AI8,"*P*"),
   INDEX($C$152:$AJ$152,
     COUNTIFS($C$8:AI8, "*")
   ),
"")</f>
        <v/>
      </c>
      <c r="AJ168" s="40" t="str" cm="1">
        <f t="array" ref="AJ168">IF(COUNTIF(AJ8,"*P*"),
   INDEX($C$148:$AJ$148,
     COUNTIFS($C$8:AJ8, "*")
   ),
"")</f>
        <v/>
      </c>
      <c r="AK168" s="62" t="str">
        <f t="shared" si="14"/>
        <v/>
      </c>
    </row>
    <row r="169" spans="1:37" ht="15" customHeight="1" thickBot="1" x14ac:dyDescent="0.4">
      <c r="A169" s="1196"/>
      <c r="B169" s="22">
        <v>6</v>
      </c>
      <c r="C169" s="40" t="str" cm="1">
        <f t="array" ref="C169">IF(COUNTIF(C9,"*P*"),
   INDEX($C$153:$AJ$153,
     COUNTIFS($C$9:C9, "*")
   ),
"")</f>
        <v/>
      </c>
      <c r="D169" s="40" t="str" cm="1">
        <f t="array" ref="D169">IF(COUNTIF(D9,"*P*"),
   INDEX($C$153:$AJ$153,
     COUNTIFS($C$9:D9, "*")
   ),
"")</f>
        <v/>
      </c>
      <c r="E169" s="40" t="str" cm="1">
        <f t="array" ref="E169">IF(COUNTIF(E9,"*P*"),
   INDEX($C$153:$AJ$153,
     COUNTIFS($C$9:E9, "*")
   ),
"")</f>
        <v/>
      </c>
      <c r="F169" s="40" t="str" cm="1">
        <f t="array" ref="F169">IF(COUNTIF(F9,"*P*"),
   INDEX($C$153:$AJ$153,
     COUNTIFS($C$9:F9, "*")
   ),
"")</f>
        <v/>
      </c>
      <c r="G169" s="40" t="str" cm="1">
        <f t="array" ref="G169">IF(COUNTIF(G9,"*P*"),
   INDEX($C$153:$AJ$153,
     COUNTIFS($C$9:G9, "*")
   ),
"")</f>
        <v/>
      </c>
      <c r="H169" s="40" t="str" cm="1">
        <f t="array" ref="H169">IF(COUNTIF(H9,"*P*"),
   INDEX($C$153:$AJ$153,
     COUNTIFS($C$9:H9, "*")
   ),
"")</f>
        <v/>
      </c>
      <c r="I169" s="40" t="str" cm="1">
        <f t="array" ref="I169">IF(COUNTIF(I9,"*P*"),
   INDEX($C$153:$AJ$153,
     COUNTIFS($C$9:I9, "*")
   ),
"")</f>
        <v/>
      </c>
      <c r="J169" s="40" t="str" cm="1">
        <f t="array" ref="J169">IF(COUNTIF(J9,"*P*"),
   INDEX($C$153:$AJ$153,
     COUNTIFS($C$9:J9, "*")
   ),
"")</f>
        <v/>
      </c>
      <c r="K169" s="40" t="str" cm="1">
        <f t="array" ref="K169">IF(COUNTIF(K9,"*P*"),
   INDEX($C$153:$AJ$153,
     COUNTIFS($C$9:K9, "*")
   ),
"")</f>
        <v/>
      </c>
      <c r="L169" s="40" t="str" cm="1">
        <f t="array" ref="L169">IF(COUNTIF(L9,"*P*"),
   INDEX($C$153:$AJ$153,
     COUNTIFS($C$9:L9, "*")
   ),
"")</f>
        <v/>
      </c>
      <c r="M169" s="40" t="str" cm="1">
        <f t="array" ref="M169">IF(COUNTIF(M9,"*P*"),
   INDEX($C$153:$AJ$153,
     COUNTIFS($C$9:M9, "*")
   ),
"")</f>
        <v/>
      </c>
      <c r="N169" s="40" t="str" cm="1">
        <f t="array" ref="N169">IF(COUNTIF(N9,"*P*"),
   INDEX($C$153:$AJ$153,
     COUNTIFS($C$9:N9, "*")
   ),
"")</f>
        <v/>
      </c>
      <c r="O169" s="40" t="str" cm="1">
        <f t="array" ref="O169">IF(COUNTIF(O9,"*P*"),
   INDEX($C$153:$AJ$153,
     COUNTIFS($C$9:O9, "*")
   ),
"")</f>
        <v/>
      </c>
      <c r="P169" s="40" t="str" cm="1">
        <f t="array" ref="P169">IF(COUNTIF(P9,"*P*"),
   INDEX($C$153:$AJ$153,
     COUNTIFS($C$9:P9, "*")
   ),
"")</f>
        <v/>
      </c>
      <c r="Q169" s="40" t="str" cm="1">
        <f t="array" ref="Q169">IF(COUNTIF(Q9,"*P*"),
   INDEX($C$153:$AJ$153,
     COUNTIFS($C$9:Q9, "*")
   ),
"")</f>
        <v/>
      </c>
      <c r="R169" s="40" t="str" cm="1">
        <f t="array" ref="R169">IF(COUNTIF(R9,"*P*"),
   INDEX($C$153:$AJ$153,
     COUNTIFS($C$9:R9, "*")
   ),
"")</f>
        <v/>
      </c>
      <c r="S169" s="40" t="str" cm="1">
        <f t="array" ref="S169">IF(COUNTIF(S9,"*P*"),
   INDEX($C$153:$AJ$153,
     COUNTIFS($C$9:S9, "*")
   ),
"")</f>
        <v/>
      </c>
      <c r="T169" s="40" t="str" cm="1">
        <f t="array" ref="T169">IF(COUNTIF(T9,"*P*"),
   INDEX($C$153:$AJ$153,
     COUNTIFS($C$9:T9, "*")
   ),
"")</f>
        <v/>
      </c>
      <c r="U169" s="40" t="str" cm="1">
        <f t="array" ref="U169">IF(COUNTIF(U9,"*P*"),
   INDEX($C$153:$AJ$153,
     COUNTIFS($C$9:U9, "*")
   ),
"")</f>
        <v/>
      </c>
      <c r="V169" s="40" t="str" cm="1">
        <f t="array" ref="V169">IF(COUNTIF(V9,"*P*"),
   INDEX($C$153:$AJ$153,
     COUNTIFS($C$9:V9, "*")
   ),
"")</f>
        <v/>
      </c>
      <c r="W169" s="40" t="str" cm="1">
        <f t="array" ref="W169">IF(COUNTIF(W9,"*P*"),
   INDEX($C$153:$AJ$153,
     COUNTIFS($C$9:W9, "*")
   ),
"")</f>
        <v/>
      </c>
      <c r="X169" s="40" t="str" cm="1">
        <f t="array" ref="X169">IF(COUNTIF(X9,"*P*"),
   INDEX($C$153:$AJ$153,
     COUNTIFS($C$9:X9, "*")
   ),
"")</f>
        <v/>
      </c>
      <c r="Y169" s="40" t="str" cm="1">
        <f t="array" ref="Y169">IF(COUNTIF(Y9,"*P*"),
   INDEX($C$153:$AJ$153,
     COUNTIFS($C$9:Y9, "*")
   ),
"")</f>
        <v/>
      </c>
      <c r="Z169" s="40" t="str" cm="1">
        <f t="array" ref="Z169">IF(COUNTIF(Z9,"*P*"),
   INDEX($C$153:$AJ$153,
     COUNTIFS($C$9:Z9, "*")
   ),
"")</f>
        <v/>
      </c>
      <c r="AA169" s="40" t="str" cm="1">
        <f t="array" ref="AA169">IF(COUNTIF(AA9,"*P*"),
   INDEX($C$153:$AJ$153,
     COUNTIFS($C$9:AA9, "*")
   ),
"")</f>
        <v/>
      </c>
      <c r="AB169" s="40" t="str" cm="1">
        <f t="array" ref="AB169">IF(COUNTIF(AB9,"*P*"),
   INDEX($C$153:$AJ$153,
     COUNTIFS($C$9:AB9, "*")
   ),
"")</f>
        <v/>
      </c>
      <c r="AC169" s="40" t="str" cm="1">
        <f t="array" ref="AC169">IF(COUNTIF(AC9,"*P*"),
   INDEX($C$153:$AJ$153,
     COUNTIFS($C$9:AC9, "*")
   ),
"")</f>
        <v/>
      </c>
      <c r="AD169" s="40" t="str" cm="1">
        <f t="array" ref="AD169">IF(COUNTIF(AD9,"*P*"),
   INDEX($C$153:$AJ$153,
     COUNTIFS($C$9:AD9, "*")
   ),
"")</f>
        <v/>
      </c>
      <c r="AE169" s="40" t="str" cm="1">
        <f t="array" ref="AE169">IF(COUNTIF(AE9,"*P*"),
   INDEX($C$153:$AJ$153,
     COUNTIFS($C$9:AE9, "*")
   ),
"")</f>
        <v/>
      </c>
      <c r="AF169" s="40" t="str" cm="1">
        <f t="array" ref="AF169">IF(COUNTIF(AF9,"*P*"),
   INDEX($C$153:$AJ$153,
     COUNTIFS($C$9:AF9, "*")
   ),
"")</f>
        <v/>
      </c>
      <c r="AG169" s="40" t="str" cm="1">
        <f t="array" ref="AG169">IF(COUNTIF(AG9,"*P*"),
   INDEX($C$153:$AJ$153,
     COUNTIFS($C$9:AG9, "*")
   ),
"")</f>
        <v/>
      </c>
      <c r="AH169" s="40" t="str" cm="1">
        <f t="array" ref="AH169">IF(COUNTIF(AH9,"*P*"),
   INDEX($C$153:$AJ$153,
     COUNTIFS($C$9:AH9, "*")
   ),
"")</f>
        <v/>
      </c>
      <c r="AI169" s="40" t="str" cm="1">
        <f t="array" ref="AI169">IF(COUNTIF(AI9,"*P*"),
   INDEX($C$153:$AJ$153,
     COUNTIFS($C$9:AI9, "*")
   ),
"")</f>
        <v/>
      </c>
      <c r="AJ169" s="40" t="str" cm="1">
        <f t="array" ref="AJ169">IF(COUNTIF(AJ9,"*P*"),
   INDEX($C$148:$AJ$148,
     COUNTIFS($C$9:AJ9, "*")
   ),
"")</f>
        <v/>
      </c>
      <c r="AK169" s="62" t="str">
        <f t="shared" si="14"/>
        <v/>
      </c>
    </row>
    <row r="170" spans="1:37" ht="15" customHeight="1" thickBot="1" x14ac:dyDescent="0.4">
      <c r="A170" s="1196"/>
      <c r="B170" s="22">
        <v>7</v>
      </c>
      <c r="C170" s="40" t="str" cm="1">
        <f t="array" ref="C170">IF(COUNTIF(C10,"*P*"),
   INDEX($C$154:$AJ$154,
     COUNTIFS($C$10:C10, "*")
   ),
"")</f>
        <v/>
      </c>
      <c r="D170" s="40" t="str" cm="1">
        <f t="array" ref="D170">IF(COUNTIF(D10,"*P*"),
   INDEX($C$154:$AJ$154,
     COUNTIFS($C$10:D10, "*")
   ),
"")</f>
        <v/>
      </c>
      <c r="E170" s="40" t="str" cm="1">
        <f t="array" ref="E170">IF(COUNTIF(E10,"*P*"),
   INDEX($C$154:$AJ$154,
     COUNTIFS($C$10:E10, "*")
   ),
"")</f>
        <v/>
      </c>
      <c r="F170" s="40" t="str" cm="1">
        <f t="array" ref="F170">IF(COUNTIF(F10,"*P*"),
   INDEX($C$154:$AJ$154,
     COUNTIFS($C$10:F10, "*")
   ),
"")</f>
        <v/>
      </c>
      <c r="G170" s="40" t="str" cm="1">
        <f t="array" ref="G170">IF(COUNTIF(G10,"*P*"),
   INDEX($C$154:$AJ$154,
     COUNTIFS($C$10:G10, "*")
   ),
"")</f>
        <v/>
      </c>
      <c r="H170" s="40" t="str" cm="1">
        <f t="array" ref="H170">IF(COUNTIF(H10,"*P*"),
   INDEX($C$154:$AJ$154,
     COUNTIFS($C$10:H10, "*")
   ),
"")</f>
        <v/>
      </c>
      <c r="I170" s="40" t="str" cm="1">
        <f t="array" ref="I170">IF(COUNTIF(I10,"*P*"),
   INDEX($C$154:$AJ$154,
     COUNTIFS($C$10:I10, "*")
   ),
"")</f>
        <v/>
      </c>
      <c r="J170" s="40" t="str" cm="1">
        <f t="array" ref="J170">IF(COUNTIF(J10,"*P*"),
   INDEX($C$154:$AJ$154,
     COUNTIFS($C$10:J10, "*")
   ),
"")</f>
        <v/>
      </c>
      <c r="K170" s="40" t="str" cm="1">
        <f t="array" ref="K170">IF(COUNTIF(K10,"*P*"),
   INDEX($C$154:$AJ$154,
     COUNTIFS($C$10:K10, "*")
   ),
"")</f>
        <v/>
      </c>
      <c r="L170" s="40" t="str" cm="1">
        <f t="array" ref="L170">IF(COUNTIF(L10,"*P*"),
   INDEX($C$154:$AJ$154,
     COUNTIFS($C$10:L10, "*")
   ),
"")</f>
        <v/>
      </c>
      <c r="M170" s="40" t="str" cm="1">
        <f t="array" ref="M170">IF(COUNTIF(M10,"*P*"),
   INDEX($C$154:$AJ$154,
     COUNTIFS($C$10:M10, "*")
   ),
"")</f>
        <v/>
      </c>
      <c r="N170" s="40" t="str" cm="1">
        <f t="array" ref="N170">IF(COUNTIF(N10,"*P*"),
   INDEX($C$154:$AJ$154,
     COUNTIFS($C$10:N10, "*")
   ),
"")</f>
        <v/>
      </c>
      <c r="O170" s="40" t="str" cm="1">
        <f t="array" ref="O170">IF(COUNTIF(O10,"*P*"),
   INDEX($C$154:$AJ$154,
     COUNTIFS($C$10:O10, "*")
   ),
"")</f>
        <v/>
      </c>
      <c r="P170" s="40" t="str" cm="1">
        <f t="array" ref="P170">IF(COUNTIF(P10,"*P*"),
   INDEX($C$154:$AJ$154,
     COUNTIFS($C$10:P10, "*")
   ),
"")</f>
        <v/>
      </c>
      <c r="Q170" s="40" t="str" cm="1">
        <f t="array" ref="Q170">IF(COUNTIF(Q10,"*P*"),
   INDEX($C$154:$AJ$154,
     COUNTIFS($C$10:Q10, "*")
   ),
"")</f>
        <v/>
      </c>
      <c r="R170" s="40" t="str" cm="1">
        <f t="array" ref="R170">IF(COUNTIF(R10,"*P*"),
   INDEX($C$154:$AJ$154,
     COUNTIFS($C$10:R10, "*")
   ),
"")</f>
        <v/>
      </c>
      <c r="S170" s="40" t="str" cm="1">
        <f t="array" ref="S170">IF(COUNTIF(S10,"*P*"),
   INDEX($C$154:$AJ$154,
     COUNTIFS($C$10:S10, "*")
   ),
"")</f>
        <v/>
      </c>
      <c r="T170" s="40" t="str" cm="1">
        <f t="array" ref="T170">IF(COUNTIF(T10,"*P*"),
   INDEX($C$154:$AJ$154,
     COUNTIFS($C$10:T10, "*")
   ),
"")</f>
        <v/>
      </c>
      <c r="U170" s="40" t="str" cm="1">
        <f t="array" ref="U170">IF(COUNTIF(U10,"*P*"),
   INDEX($C$154:$AJ$154,
     COUNTIFS($C$10:U10, "*")
   ),
"")</f>
        <v/>
      </c>
      <c r="V170" s="40" t="str" cm="1">
        <f t="array" ref="V170">IF(COUNTIF(V10,"*P*"),
   INDEX($C$154:$AJ$154,
     COUNTIFS($C$10:V10, "*")
   ),
"")</f>
        <v/>
      </c>
      <c r="W170" s="40" t="str" cm="1">
        <f t="array" ref="W170">IF(COUNTIF(W10,"*P*"),
   INDEX($C$154:$AJ$154,
     COUNTIFS($C$10:W10, "*")
   ),
"")</f>
        <v/>
      </c>
      <c r="X170" s="40" t="str" cm="1">
        <f t="array" ref="X170">IF(COUNTIF(X10,"*P*"),
   INDEX($C$154:$AJ$154,
     COUNTIFS($C$10:X10, "*")
   ),
"")</f>
        <v/>
      </c>
      <c r="Y170" s="40" t="str" cm="1">
        <f t="array" ref="Y170">IF(COUNTIF(Y10,"*P*"),
   INDEX($C$154:$AJ$154,
     COUNTIFS($C$10:Y10, "*")
   ),
"")</f>
        <v/>
      </c>
      <c r="Z170" s="40" t="str" cm="1">
        <f t="array" ref="Z170">IF(COUNTIF(Z10,"*P*"),
   INDEX($C$154:$AJ$154,
     COUNTIFS($C$10:Z10, "*")
   ),
"")</f>
        <v/>
      </c>
      <c r="AA170" s="40" t="str" cm="1">
        <f t="array" ref="AA170">IF(COUNTIF(AA10,"*P*"),
   INDEX($C$154:$AJ$154,
     COUNTIFS($C$10:AA10, "*")
   ),
"")</f>
        <v/>
      </c>
      <c r="AB170" s="40" t="str" cm="1">
        <f t="array" ref="AB170">IF(COUNTIF(AB10,"*P*"),
   INDEX($C$154:$AJ$154,
     COUNTIFS($C$10:AB10, "*")
   ),
"")</f>
        <v/>
      </c>
      <c r="AC170" s="40" t="str" cm="1">
        <f t="array" ref="AC170">IF(COUNTIF(AC10,"*P*"),
   INDEX($C$154:$AJ$154,
     COUNTIFS($C$10:AC10, "*")
   ),
"")</f>
        <v/>
      </c>
      <c r="AD170" s="40" t="str" cm="1">
        <f t="array" ref="AD170">IF(COUNTIF(AD10,"*P*"),
   INDEX($C$154:$AJ$154,
     COUNTIFS($C$10:AD10, "*")
   ),
"")</f>
        <v/>
      </c>
      <c r="AE170" s="40" t="str" cm="1">
        <f t="array" ref="AE170">IF(COUNTIF(AE10,"*P*"),
   INDEX($C$154:$AJ$154,
     COUNTIFS($C$10:AE10, "*")
   ),
"")</f>
        <v/>
      </c>
      <c r="AF170" s="40" t="str" cm="1">
        <f t="array" ref="AF170">IF(COUNTIF(AF10,"*P*"),
   INDEX($C$154:$AJ$154,
     COUNTIFS($C$10:AF10, "*")
   ),
"")</f>
        <v/>
      </c>
      <c r="AG170" s="40" t="str" cm="1">
        <f t="array" ref="AG170">IF(COUNTIF(AG10,"*P*"),
   INDEX($C$154:$AJ$154,
     COUNTIFS($C$10:AG10, "*")
   ),
"")</f>
        <v/>
      </c>
      <c r="AH170" s="40" t="str" cm="1">
        <f t="array" ref="AH170">IF(COUNTIF(AH10,"*P*"),
   INDEX($C$154:$AJ$154,
     COUNTIFS($C$10:AH10, "*")
   ),
"")</f>
        <v/>
      </c>
      <c r="AI170" s="40" t="str" cm="1">
        <f t="array" ref="AI170">IF(COUNTIF(AI10,"*P*"),
   INDEX($C$154:$AJ$154,
     COUNTIFS($C$10:AI10, "*")
   ),
"")</f>
        <v/>
      </c>
      <c r="AJ170" s="40" t="str" cm="1">
        <f t="array" ref="AJ170">IF(COUNTIF(AJ10,"*P*"),
   INDEX($C$148:$AJ$148,
     COUNTIFS($C$10:AJ10, "*")
   ),
"")</f>
        <v/>
      </c>
      <c r="AK170" s="62" t="str">
        <f t="shared" si="14"/>
        <v/>
      </c>
    </row>
    <row r="171" spans="1:37" ht="15" customHeight="1" thickBot="1" x14ac:dyDescent="0.4">
      <c r="A171" s="1196"/>
      <c r="B171" s="22">
        <v>8</v>
      </c>
      <c r="C171" s="40" t="str" cm="1">
        <f t="array" ref="C171">IF(COUNTIF(C11,"*P*"),
   INDEX($C$155:$AJ$155,
     COUNTIFS($C$11:C11, "*")
   ),
"")</f>
        <v/>
      </c>
      <c r="D171" s="40" t="str" cm="1">
        <f t="array" ref="D171">IF(COUNTIF(D11,"*P*"),
   INDEX($C$155:$AJ$155,
     COUNTIFS($C$11:D11, "*")
   ),
"")</f>
        <v/>
      </c>
      <c r="E171" s="40" t="str" cm="1">
        <f t="array" ref="E171">IF(COUNTIF(E11,"*P*"),
   INDEX($C$155:$AJ$155,
     COUNTIFS($C$11:E11, "*")
   ),
"")</f>
        <v/>
      </c>
      <c r="F171" s="40" t="str" cm="1">
        <f t="array" ref="F171">IF(COUNTIF(F11,"*P*"),
   INDEX($C$155:$AJ$155,
     COUNTIFS($C$11:F11, "*")
   ),
"")</f>
        <v/>
      </c>
      <c r="G171" s="40" t="str" cm="1">
        <f t="array" ref="G171">IF(COUNTIF(G11,"*P*"),
   INDEX($C$155:$AJ$155,
     COUNTIFS($C$11:G11, "*")
   ),
"")</f>
        <v/>
      </c>
      <c r="H171" s="40" t="str" cm="1">
        <f t="array" ref="H171">IF(COUNTIF(H11,"*P*"),
   INDEX($C$155:$AJ$155,
     COUNTIFS($C$11:H11, "*")
   ),
"")</f>
        <v/>
      </c>
      <c r="I171" s="40" t="str" cm="1">
        <f t="array" ref="I171">IF(COUNTIF(I11,"*P*"),
   INDEX($C$155:$AJ$155,
     COUNTIFS($C$11:I11, "*")
   ),
"")</f>
        <v/>
      </c>
      <c r="J171" s="40" t="str" cm="1">
        <f t="array" ref="J171">IF(COUNTIF(J11,"*P*"),
   INDEX($C$155:$AJ$155,
     COUNTIFS($C$11:J11, "*")
   ),
"")</f>
        <v/>
      </c>
      <c r="K171" s="40" t="str" cm="1">
        <f t="array" ref="K171">IF(COUNTIF(K11,"*P*"),
   INDEX($C$155:$AJ$155,
     COUNTIFS($C$11:K11, "*")
   ),
"")</f>
        <v/>
      </c>
      <c r="L171" s="40" t="str" cm="1">
        <f t="array" ref="L171">IF(COUNTIF(L11,"*P*"),
   INDEX($C$155:$AJ$155,
     COUNTIFS($C$11:L11, "*")
   ),
"")</f>
        <v/>
      </c>
      <c r="M171" s="40" t="str" cm="1">
        <f t="array" ref="M171">IF(COUNTIF(M11,"*P*"),
   INDEX($C$155:$AJ$155,
     COUNTIFS($C$11:M11, "*")
   ),
"")</f>
        <v/>
      </c>
      <c r="N171" s="40" t="str" cm="1">
        <f t="array" ref="N171">IF(COUNTIF(N11,"*P*"),
   INDEX($C$155:$AJ$155,
     COUNTIFS($C$11:N11, "*")
   ),
"")</f>
        <v/>
      </c>
      <c r="O171" s="40" t="str" cm="1">
        <f t="array" ref="O171">IF(COUNTIF(O11,"*P*"),
   INDEX($C$155:$AJ$155,
     COUNTIFS($C$11:O11, "*")
   ),
"")</f>
        <v/>
      </c>
      <c r="P171" s="40" t="str" cm="1">
        <f t="array" ref="P171">IF(COUNTIF(P11,"*P*"),
   INDEX($C$155:$AJ$155,
     COUNTIFS($C$11:P11, "*")
   ),
"")</f>
        <v/>
      </c>
      <c r="Q171" s="40" t="str" cm="1">
        <f t="array" ref="Q171">IF(COUNTIF(Q11,"*P*"),
   INDEX($C$155:$AJ$155,
     COUNTIFS($C$11:Q11, "*")
   ),
"")</f>
        <v/>
      </c>
      <c r="R171" s="40" t="str" cm="1">
        <f t="array" ref="R171">IF(COUNTIF(R11,"*P*"),
   INDEX($C$155:$AJ$155,
     COUNTIFS($C$11:R11, "*")
   ),
"")</f>
        <v/>
      </c>
      <c r="S171" s="40" t="str" cm="1">
        <f t="array" ref="S171">IF(COUNTIF(S11,"*P*"),
   INDEX($C$155:$AJ$155,
     COUNTIFS($C$11:S11, "*")
   ),
"")</f>
        <v/>
      </c>
      <c r="T171" s="40" t="str" cm="1">
        <f t="array" ref="T171">IF(COUNTIF(T11,"*P*"),
   INDEX($C$155:$AJ$155,
     COUNTIFS($C$11:T11, "*")
   ),
"")</f>
        <v/>
      </c>
      <c r="U171" s="40" t="str" cm="1">
        <f t="array" ref="U171">IF(COUNTIF(U11,"*P*"),
   INDEX($C$155:$AJ$155,
     COUNTIFS($C$11:U11, "*")
   ),
"")</f>
        <v/>
      </c>
      <c r="V171" s="40" t="str" cm="1">
        <f t="array" ref="V171">IF(COUNTIF(V11,"*P*"),
   INDEX($C$155:$AJ$155,
     COUNTIFS($C$11:V11, "*")
   ),
"")</f>
        <v/>
      </c>
      <c r="W171" s="40" t="str" cm="1">
        <f t="array" ref="W171">IF(COUNTIF(W11,"*P*"),
   INDEX($C$155:$AJ$155,
     COUNTIFS($C$11:W11, "*")
   ),
"")</f>
        <v/>
      </c>
      <c r="X171" s="40" t="str" cm="1">
        <f t="array" ref="X171">IF(COUNTIF(X11,"*P*"),
   INDEX($C$155:$AJ$155,
     COUNTIFS($C$11:X11, "*")
   ),
"")</f>
        <v/>
      </c>
      <c r="Y171" s="40" t="str" cm="1">
        <f t="array" ref="Y171">IF(COUNTIF(Y11,"*P*"),
   INDEX($C$155:$AJ$155,
     COUNTIFS($C$11:Y11, "*")
   ),
"")</f>
        <v/>
      </c>
      <c r="Z171" s="40" t="str" cm="1">
        <f t="array" ref="Z171">IF(COUNTIF(Z11,"*P*"),
   INDEX($C$155:$AJ$155,
     COUNTIFS($C$11:Z11, "*")
   ),
"")</f>
        <v/>
      </c>
      <c r="AA171" s="40" t="str" cm="1">
        <f t="array" ref="AA171">IF(COUNTIF(AA11,"*P*"),
   INDEX($C$155:$AJ$155,
     COUNTIFS($C$11:AA11, "*")
   ),
"")</f>
        <v/>
      </c>
      <c r="AB171" s="40" t="str" cm="1">
        <f t="array" ref="AB171">IF(COUNTIF(AB11,"*P*"),
   INDEX($C$155:$AJ$155,
     COUNTIFS($C$11:AB11, "*")
   ),
"")</f>
        <v/>
      </c>
      <c r="AC171" s="40" t="str" cm="1">
        <f t="array" ref="AC171">IF(COUNTIF(AC11,"*P*"),
   INDEX($C$155:$AJ$155,
     COUNTIFS($C$11:AC11, "*")
   ),
"")</f>
        <v/>
      </c>
      <c r="AD171" s="40" t="str" cm="1">
        <f t="array" ref="AD171">IF(COUNTIF(AD11,"*P*"),
   INDEX($C$155:$AJ$155,
     COUNTIFS($C$11:AD11, "*")
   ),
"")</f>
        <v/>
      </c>
      <c r="AE171" s="40" t="str" cm="1">
        <f t="array" ref="AE171">IF(COUNTIF(AE11,"*P*"),
   INDEX($C$155:$AJ$155,
     COUNTIFS($C$11:AE11, "*")
   ),
"")</f>
        <v/>
      </c>
      <c r="AF171" s="40" t="str" cm="1">
        <f t="array" ref="AF171">IF(COUNTIF(AF11,"*P*"),
   INDEX($C$155:$AJ$155,
     COUNTIFS($C$11:AF11, "*")
   ),
"")</f>
        <v/>
      </c>
      <c r="AG171" s="40" t="str" cm="1">
        <f t="array" ref="AG171">IF(COUNTIF(AG11,"*P*"),
   INDEX($C$155:$AJ$155,
     COUNTIFS($C$11:AG11, "*")
   ),
"")</f>
        <v/>
      </c>
      <c r="AH171" s="40" t="str" cm="1">
        <f t="array" ref="AH171">IF(COUNTIF(AH11,"*P*"),
   INDEX($C$155:$AJ$155,
     COUNTIFS($C$11:AH11, "*")
   ),
"")</f>
        <v/>
      </c>
      <c r="AI171" s="40" t="str" cm="1">
        <f t="array" ref="AI171">IF(COUNTIF(AI11,"*P*"),
   INDEX($C$155:$AJ$155,
     COUNTIFS($C$11:AI11, "*")
   ),
"")</f>
        <v/>
      </c>
      <c r="AJ171" s="40" t="str" cm="1">
        <f t="array" ref="AJ171">IF(COUNTIF(AJ11,"*P*"),
   INDEX($C$148:$AJ$148,
     COUNTIFS($C$11:AJ11, "*")
   ),
"")</f>
        <v/>
      </c>
      <c r="AK171" s="62" t="str">
        <f t="shared" si="14"/>
        <v/>
      </c>
    </row>
    <row r="172" spans="1:37" ht="15" customHeight="1" thickBot="1" x14ac:dyDescent="0.4">
      <c r="A172" s="1196"/>
      <c r="B172" s="22">
        <v>9</v>
      </c>
      <c r="C172" s="40" t="str" cm="1">
        <f t="array" ref="C172">IF(COUNTIF(C12,"*P*"),
   INDEX($C$156:$AJ$156,
     COUNTIFS($C$12:C12, "*")
   ),
"")</f>
        <v/>
      </c>
      <c r="D172" s="40" t="str" cm="1">
        <f t="array" ref="D172">IF(COUNTIF(D12,"*P*"),
   INDEX($C$156:$AJ$156,
     COUNTIFS($C$12:D12, "*")
   ),
"")</f>
        <v/>
      </c>
      <c r="E172" s="40" t="str" cm="1">
        <f t="array" ref="E172">IF(COUNTIF(E12,"*P*"),
   INDEX($C$156:$AJ$156,
     COUNTIFS($C$12:E12, "*")
   ),
"")</f>
        <v/>
      </c>
      <c r="F172" s="40" t="str" cm="1">
        <f t="array" ref="F172">IF(COUNTIF(F12,"*P*"),
   INDEX($C$156:$AJ$156,
     COUNTIFS($C$12:F12, "*")
   ),
"")</f>
        <v/>
      </c>
      <c r="G172" s="40" t="str" cm="1">
        <f t="array" ref="G172">IF(COUNTIF(G12,"*P*"),
   INDEX($C$156:$AJ$156,
     COUNTIFS($C$12:G12, "*")
   ),
"")</f>
        <v/>
      </c>
      <c r="H172" s="40" t="str" cm="1">
        <f t="array" ref="H172">IF(COUNTIF(H12,"*P*"),
   INDEX($C$156:$AJ$156,
     COUNTIFS($C$12:H12, "*")
   ),
"")</f>
        <v/>
      </c>
      <c r="I172" s="40" t="str" cm="1">
        <f t="array" ref="I172">IF(COUNTIF(I12,"*P*"),
   INDEX($C$156:$AJ$156,
     COUNTIFS($C$12:I12, "*")
   ),
"")</f>
        <v/>
      </c>
      <c r="J172" s="40" t="str" cm="1">
        <f t="array" ref="J172">IF(COUNTIF(J12,"*P*"),
   INDEX($C$156:$AJ$156,
     COUNTIFS($C$12:J12, "*")
   ),
"")</f>
        <v/>
      </c>
      <c r="K172" s="40" t="str" cm="1">
        <f t="array" ref="K172">IF(COUNTIF(K12,"*P*"),
   INDEX($C$156:$AJ$156,
     COUNTIFS($C$12:K12, "*")
   ),
"")</f>
        <v/>
      </c>
      <c r="L172" s="40" t="str" cm="1">
        <f t="array" ref="L172">IF(COUNTIF(L12,"*P*"),
   INDEX($C$156:$AJ$156,
     COUNTIFS($C$12:L12, "*")
   ),
"")</f>
        <v/>
      </c>
      <c r="M172" s="40" t="str" cm="1">
        <f t="array" ref="M172">IF(COUNTIF(M12,"*P*"),
   INDEX($C$156:$AJ$156,
     COUNTIFS($C$12:M12, "*")
   ),
"")</f>
        <v/>
      </c>
      <c r="N172" s="40" t="str" cm="1">
        <f t="array" ref="N172">IF(COUNTIF(N12,"*P*"),
   INDEX($C$156:$AJ$156,
     COUNTIFS($C$12:N12, "*")
   ),
"")</f>
        <v/>
      </c>
      <c r="O172" s="40" t="str" cm="1">
        <f t="array" ref="O172">IF(COUNTIF(O12,"*P*"),
   INDEX($C$156:$AJ$156,
     COUNTIFS($C$12:O12, "*")
   ),
"")</f>
        <v/>
      </c>
      <c r="P172" s="40" t="str" cm="1">
        <f t="array" ref="P172">IF(COUNTIF(P12,"*P*"),
   INDEX($C$156:$AJ$156,
     COUNTIFS($C$12:P12, "*")
   ),
"")</f>
        <v/>
      </c>
      <c r="Q172" s="40" t="str" cm="1">
        <f t="array" ref="Q172">IF(COUNTIF(Q12,"*P*"),
   INDEX($C$156:$AJ$156,
     COUNTIFS($C$12:Q12, "*")
   ),
"")</f>
        <v/>
      </c>
      <c r="R172" s="40" t="str" cm="1">
        <f t="array" ref="R172">IF(COUNTIF(R12,"*P*"),
   INDEX($C$156:$AJ$156,
     COUNTIFS($C$12:R12, "*")
   ),
"")</f>
        <v/>
      </c>
      <c r="S172" s="40" t="str" cm="1">
        <f t="array" ref="S172">IF(COUNTIF(S12,"*P*"),
   INDEX($C$156:$AJ$156,
     COUNTIFS($C$12:S12, "*")
   ),
"")</f>
        <v/>
      </c>
      <c r="T172" s="40" t="str" cm="1">
        <f t="array" ref="T172">IF(COUNTIF(T12,"*P*"),
   INDEX($C$156:$AJ$156,
     COUNTIFS($C$12:T12, "*")
   ),
"")</f>
        <v/>
      </c>
      <c r="U172" s="40" t="str" cm="1">
        <f t="array" ref="U172">IF(COUNTIF(U12,"*P*"),
   INDEX($C$156:$AJ$156,
     COUNTIFS($C$12:U12, "*")
   ),
"")</f>
        <v/>
      </c>
      <c r="V172" s="40" t="str" cm="1">
        <f t="array" ref="V172">IF(COUNTIF(V12,"*P*"),
   INDEX($C$156:$AJ$156,
     COUNTIFS($C$12:V12, "*")
   ),
"")</f>
        <v/>
      </c>
      <c r="W172" s="40" t="str" cm="1">
        <f t="array" ref="W172">IF(COUNTIF(W12,"*P*"),
   INDEX($C$156:$AJ$156,
     COUNTIFS($C$12:W12, "*")
   ),
"")</f>
        <v/>
      </c>
      <c r="X172" s="40" t="str" cm="1">
        <f t="array" ref="X172">IF(COUNTIF(X12,"*P*"),
   INDEX($C$156:$AJ$156,
     COUNTIFS($C$12:X12, "*")
   ),
"")</f>
        <v/>
      </c>
      <c r="Y172" s="40" t="str" cm="1">
        <f t="array" ref="Y172">IF(COUNTIF(Y12,"*P*"),
   INDEX($C$156:$AJ$156,
     COUNTIFS($C$12:Y12, "*")
   ),
"")</f>
        <v/>
      </c>
      <c r="Z172" s="40" t="str" cm="1">
        <f t="array" ref="Z172">IF(COUNTIF(Z12,"*P*"),
   INDEX($C$156:$AJ$156,
     COUNTIFS($C$12:Z12, "*")
   ),
"")</f>
        <v/>
      </c>
      <c r="AA172" s="40" t="str" cm="1">
        <f t="array" ref="AA172">IF(COUNTIF(AA12,"*P*"),
   INDEX($C$156:$AJ$156,
     COUNTIFS($C$12:AA12, "*")
   ),
"")</f>
        <v/>
      </c>
      <c r="AB172" s="40" t="str" cm="1">
        <f t="array" ref="AB172">IF(COUNTIF(AB12,"*P*"),
   INDEX($C$156:$AJ$156,
     COUNTIFS($C$12:AB12, "*")
   ),
"")</f>
        <v/>
      </c>
      <c r="AC172" s="40" t="str" cm="1">
        <f t="array" ref="AC172">IF(COUNTIF(AC12,"*P*"),
   INDEX($C$156:$AJ$156,
     COUNTIFS($C$12:AC12, "*")
   ),
"")</f>
        <v/>
      </c>
      <c r="AD172" s="40" t="str" cm="1">
        <f t="array" ref="AD172">IF(COUNTIF(AD12,"*P*"),
   INDEX($C$156:$AJ$156,
     COUNTIFS($C$12:AD12, "*")
   ),
"")</f>
        <v/>
      </c>
      <c r="AE172" s="40" t="str" cm="1">
        <f t="array" ref="AE172">IF(COUNTIF(AE12,"*P*"),
   INDEX($C$156:$AJ$156,
     COUNTIFS($C$12:AE12, "*")
   ),
"")</f>
        <v/>
      </c>
      <c r="AF172" s="40" t="str" cm="1">
        <f t="array" ref="AF172">IF(COUNTIF(AF12,"*P*"),
   INDEX($C$156:$AJ$156,
     COUNTIFS($C$12:AF12, "*")
   ),
"")</f>
        <v/>
      </c>
      <c r="AG172" s="40" t="str" cm="1">
        <f t="array" ref="AG172">IF(COUNTIF(AG12,"*P*"),
   INDEX($C$156:$AJ$156,
     COUNTIFS($C$12:AG12, "*")
   ),
"")</f>
        <v/>
      </c>
      <c r="AH172" s="40" t="str" cm="1">
        <f t="array" ref="AH172">IF(COUNTIF(AH12,"*P*"),
   INDEX($C$156:$AJ$156,
     COUNTIFS($C$12:AH12, "*")
   ),
"")</f>
        <v/>
      </c>
      <c r="AI172" s="40" t="str" cm="1">
        <f t="array" ref="AI172">IF(COUNTIF(AI12,"*P*"),
   INDEX($C$156:$AJ$156,
     COUNTIFS($C$12:AI12, "*")
   ),
"")</f>
        <v/>
      </c>
      <c r="AJ172" s="40" t="str" cm="1">
        <f t="array" ref="AJ172">IF(COUNTIF(AJ12,"*P*"),
   INDEX($C$148:$AJ$148,
     COUNTIFS($C$12:AJ12, "*")
   ),
"")</f>
        <v/>
      </c>
      <c r="AK172" s="62" t="str">
        <f t="shared" si="14"/>
        <v/>
      </c>
    </row>
    <row r="173" spans="1:37" ht="15" customHeight="1" thickBot="1" x14ac:dyDescent="0.4">
      <c r="A173" s="1196"/>
      <c r="B173" s="22">
        <v>10</v>
      </c>
      <c r="C173" s="40" t="str" cm="1">
        <f t="array" ref="C173">IF(COUNTIF(C13,"*P*"),
   INDEX($C$157:$AJ$157,
     COUNTIFS($C$13:C13, "*")
   ),
"")</f>
        <v/>
      </c>
      <c r="D173" s="40" t="str" cm="1">
        <f t="array" ref="D173">IF(COUNTIF(D13,"*P*"),
   INDEX($C$157:$AJ$157,
     COUNTIFS($C$13:D13, "*")
   ),
"")</f>
        <v/>
      </c>
      <c r="E173" s="40" t="str" cm="1">
        <f t="array" ref="E173">IF(COUNTIF(E13,"*P*"),
   INDEX($C$157:$AJ$157,
     COUNTIFS($C$13:E13, "*")
   ),
"")</f>
        <v/>
      </c>
      <c r="F173" s="40" t="str" cm="1">
        <f t="array" ref="F173">IF(COUNTIF(F13,"*P*"),
   INDEX($C$157:$AJ$157,
     COUNTIFS($C$13:F13, "*")
   ),
"")</f>
        <v/>
      </c>
      <c r="G173" s="40" t="str" cm="1">
        <f t="array" ref="G173">IF(COUNTIF(G13,"*P*"),
   INDEX($C$157:$AJ$157,
     COUNTIFS($C$13:G13, "*")
   ),
"")</f>
        <v/>
      </c>
      <c r="H173" s="40" t="str" cm="1">
        <f t="array" ref="H173">IF(COUNTIF(H13,"*P*"),
   INDEX($C$157:$AJ$157,
     COUNTIFS($C$13:H13, "*")
   ),
"")</f>
        <v/>
      </c>
      <c r="I173" s="40" t="str" cm="1">
        <f t="array" ref="I173">IF(COUNTIF(I13,"*P*"),
   INDEX($C$157:$AJ$157,
     COUNTIFS($C$13:I13, "*")
   ),
"")</f>
        <v/>
      </c>
      <c r="J173" s="40" t="str" cm="1">
        <f t="array" ref="J173">IF(COUNTIF(J13,"*P*"),
   INDEX($C$157:$AJ$157,
     COUNTIFS($C$13:J13, "*")
   ),
"")</f>
        <v/>
      </c>
      <c r="K173" s="40" t="str" cm="1">
        <f t="array" ref="K173">IF(COUNTIF(K13,"*P*"),
   INDEX($C$157:$AJ$157,
     COUNTIFS($C$13:K13, "*")
   ),
"")</f>
        <v/>
      </c>
      <c r="L173" s="40" t="str" cm="1">
        <f t="array" ref="L173">IF(COUNTIF(L13,"*P*"),
   INDEX($C$157:$AJ$157,
     COUNTIFS($C$13:L13, "*")
   ),
"")</f>
        <v/>
      </c>
      <c r="M173" s="40" t="str" cm="1">
        <f t="array" ref="M173">IF(COUNTIF(M13,"*P*"),
   INDEX($C$157:$AJ$157,
     COUNTIFS($C$13:M13, "*")
   ),
"")</f>
        <v/>
      </c>
      <c r="N173" s="40" t="str" cm="1">
        <f t="array" ref="N173">IF(COUNTIF(N13,"*P*"),
   INDEX($C$157:$AJ$157,
     COUNTIFS($C$13:N13, "*")
   ),
"")</f>
        <v/>
      </c>
      <c r="O173" s="40" t="str" cm="1">
        <f t="array" ref="O173">IF(COUNTIF(O13,"*P*"),
   INDEX($C$157:$AJ$157,
     COUNTIFS($C$13:O13, "*")
   ),
"")</f>
        <v/>
      </c>
      <c r="P173" s="40" t="str" cm="1">
        <f t="array" ref="P173">IF(COUNTIF(P13,"*P*"),
   INDEX($C$157:$AJ$157,
     COUNTIFS($C$13:P13, "*")
   ),
"")</f>
        <v/>
      </c>
      <c r="Q173" s="40" t="str" cm="1">
        <f t="array" ref="Q173">IF(COUNTIF(Q13,"*P*"),
   INDEX($C$157:$AJ$157,
     COUNTIFS($C$13:Q13, "*")
   ),
"")</f>
        <v/>
      </c>
      <c r="R173" s="40" t="str" cm="1">
        <f t="array" ref="R173">IF(COUNTIF(R13,"*P*"),
   INDEX($C$157:$AJ$157,
     COUNTIFS($C$13:R13, "*")
   ),
"")</f>
        <v/>
      </c>
      <c r="S173" s="40" t="str" cm="1">
        <f t="array" ref="S173">IF(COUNTIF(S13,"*P*"),
   INDEX($C$157:$AJ$157,
     COUNTIFS($C$13:S13, "*")
   ),
"")</f>
        <v/>
      </c>
      <c r="T173" s="40" t="str" cm="1">
        <f t="array" ref="T173">IF(COUNTIF(T13,"*P*"),
   INDEX($C$157:$AJ$157,
     COUNTIFS($C$13:T13, "*")
   ),
"")</f>
        <v/>
      </c>
      <c r="U173" s="40" t="str" cm="1">
        <f t="array" ref="U173">IF(COUNTIF(U13,"*P*"),
   INDEX($C$157:$AJ$157,
     COUNTIFS($C$13:U13, "*")
   ),
"")</f>
        <v/>
      </c>
      <c r="V173" s="40" t="str" cm="1">
        <f t="array" ref="V173">IF(COUNTIF(V13,"*P*"),
   INDEX($C$157:$AJ$157,
     COUNTIFS($C$13:V13, "*")
   ),
"")</f>
        <v/>
      </c>
      <c r="W173" s="40" t="str" cm="1">
        <f t="array" ref="W173">IF(COUNTIF(W13,"*P*"),
   INDEX($C$157:$AJ$157,
     COUNTIFS($C$13:W13, "*")
   ),
"")</f>
        <v/>
      </c>
      <c r="X173" s="40" t="str" cm="1">
        <f t="array" ref="X173">IF(COUNTIF(X13,"*P*"),
   INDEX($C$157:$AJ$157,
     COUNTIFS($C$13:X13, "*")
   ),
"")</f>
        <v/>
      </c>
      <c r="Y173" s="40" t="str" cm="1">
        <f t="array" ref="Y173">IF(COUNTIF(Y13,"*P*"),
   INDEX($C$157:$AJ$157,
     COUNTIFS($C$13:Y13, "*")
   ),
"")</f>
        <v/>
      </c>
      <c r="Z173" s="40" t="str" cm="1">
        <f t="array" ref="Z173">IF(COUNTIF(Z13,"*P*"),
   INDEX($C$157:$AJ$157,
     COUNTIFS($C$13:Z13, "*")
   ),
"")</f>
        <v/>
      </c>
      <c r="AA173" s="40" t="str" cm="1">
        <f t="array" ref="AA173">IF(COUNTIF(AA13,"*P*"),
   INDEX($C$157:$AJ$157,
     COUNTIFS($C$13:AA13, "*")
   ),
"")</f>
        <v/>
      </c>
      <c r="AB173" s="40" t="str" cm="1">
        <f t="array" ref="AB173">IF(COUNTIF(AB13,"*P*"),
   INDEX($C$157:$AJ$157,
     COUNTIFS($C$13:AB13, "*")
   ),
"")</f>
        <v/>
      </c>
      <c r="AC173" s="40" t="str" cm="1">
        <f t="array" ref="AC173">IF(COUNTIF(AC13,"*P*"),
   INDEX($C$157:$AJ$157,
     COUNTIFS($C$13:AC13, "*")
   ),
"")</f>
        <v/>
      </c>
      <c r="AD173" s="40" t="str" cm="1">
        <f t="array" ref="AD173">IF(COUNTIF(AD13,"*P*"),
   INDEX($C$157:$AJ$157,
     COUNTIFS($C$13:AD13, "*")
   ),
"")</f>
        <v/>
      </c>
      <c r="AE173" s="40" t="str" cm="1">
        <f t="array" ref="AE173">IF(COUNTIF(AE13,"*P*"),
   INDEX($C$157:$AJ$157,
     COUNTIFS($C$13:AE13, "*")
   ),
"")</f>
        <v/>
      </c>
      <c r="AF173" s="40" t="str" cm="1">
        <f t="array" ref="AF173">IF(COUNTIF(AF13,"*P*"),
   INDEX($C$157:$AJ$157,
     COUNTIFS($C$13:AF13, "*")
   ),
"")</f>
        <v/>
      </c>
      <c r="AG173" s="40" t="str" cm="1">
        <f t="array" ref="AG173">IF(COUNTIF(AG13,"*P*"),
   INDEX($C$157:$AJ$157,
     COUNTIFS($C$13:AG13, "*")
   ),
"")</f>
        <v/>
      </c>
      <c r="AH173" s="40" t="str" cm="1">
        <f t="array" ref="AH173">IF(COUNTIF(AH13,"*P*"),
   INDEX($C$157:$AJ$157,
     COUNTIFS($C$13:AH13, "*")
   ),
"")</f>
        <v/>
      </c>
      <c r="AI173" s="40" t="str" cm="1">
        <f t="array" ref="AI173">IF(COUNTIF(AI13,"*P*"),
   INDEX($C$157:$AJ$157,
     COUNTIFS($C$13:AI13, "*")
   ),
"")</f>
        <v/>
      </c>
      <c r="AJ173" s="40" t="str" cm="1">
        <f t="array" ref="AJ173">IF(COUNTIF(AJ13,"*P*"),
   INDEX($C$148:$AJ$148,
     COUNTIFS($C$13:AJ13, "*")
   ),
"")</f>
        <v/>
      </c>
      <c r="AK173" s="62" t="str">
        <f t="shared" si="14"/>
        <v/>
      </c>
    </row>
    <row r="174" spans="1:37" ht="15" customHeight="1" thickBot="1" x14ac:dyDescent="0.4">
      <c r="A174" s="1196"/>
      <c r="B174" s="22">
        <v>11</v>
      </c>
      <c r="C174" s="40" t="str" cm="1">
        <f t="array" ref="C174">IF(COUNTIF(C14,"*P*"),
   INDEX($C$158:$AJ$158,
     COUNTIFS($C$14:C14, "*")
   ),
"")</f>
        <v/>
      </c>
      <c r="D174" s="40" t="str" cm="1">
        <f t="array" ref="D174">IF(COUNTIF(D14,"*P*"),
   INDEX($C$158:$AJ$158,
     COUNTIFS($C$14:D14, "*")
   ),
"")</f>
        <v/>
      </c>
      <c r="E174" s="40" t="str" cm="1">
        <f t="array" ref="E174">IF(COUNTIF(E14,"*P*"),
   INDEX($C$158:$AJ$158,
     COUNTIFS($C$14:E14, "*")
   ),
"")</f>
        <v/>
      </c>
      <c r="F174" s="40" t="str" cm="1">
        <f t="array" ref="F174">IF(COUNTIF(F14,"*P*"),
   INDEX($C$158:$AJ$158,
     COUNTIFS($C$14:F14, "*")
   ),
"")</f>
        <v/>
      </c>
      <c r="G174" s="40" t="str" cm="1">
        <f t="array" ref="G174">IF(COUNTIF(G14,"*P*"),
   INDEX($C$158:$AJ$158,
     COUNTIFS($C$14:G14, "*")
   ),
"")</f>
        <v/>
      </c>
      <c r="H174" s="40" t="str" cm="1">
        <f t="array" ref="H174">IF(COUNTIF(H14,"*P*"),
   INDEX($C$158:$AJ$158,
     COUNTIFS($C$14:H14, "*")
   ),
"")</f>
        <v/>
      </c>
      <c r="I174" s="40" t="str" cm="1">
        <f t="array" ref="I174">IF(COUNTIF(I14,"*P*"),
   INDEX($C$158:$AJ$158,
     COUNTIFS($C$14:I14, "*")
   ),
"")</f>
        <v/>
      </c>
      <c r="J174" s="40" t="str" cm="1">
        <f t="array" ref="J174">IF(COUNTIF(J14,"*P*"),
   INDEX($C$158:$AJ$158,
     COUNTIFS($C$14:J14, "*")
   ),
"")</f>
        <v/>
      </c>
      <c r="K174" s="40" t="str" cm="1">
        <f t="array" ref="K174">IF(COUNTIF(K14,"*P*"),
   INDEX($C$158:$AJ$158,
     COUNTIFS($C$14:K14, "*")
   ),
"")</f>
        <v/>
      </c>
      <c r="L174" s="40" t="str" cm="1">
        <f t="array" ref="L174">IF(COUNTIF(L14,"*P*"),
   INDEX($C$158:$AJ$158,
     COUNTIFS($C$14:L14, "*")
   ),
"")</f>
        <v/>
      </c>
      <c r="M174" s="40" t="str" cm="1">
        <f t="array" ref="M174">IF(COUNTIF(M14,"*P*"),
   INDEX($C$158:$AJ$158,
     COUNTIFS($C$14:M14, "*")
   ),
"")</f>
        <v/>
      </c>
      <c r="N174" s="40" t="str" cm="1">
        <f t="array" ref="N174">IF(COUNTIF(N14,"*P*"),
   INDEX($C$158:$AJ$158,
     COUNTIFS($C$14:N14, "*")
   ),
"")</f>
        <v/>
      </c>
      <c r="O174" s="40" t="str" cm="1">
        <f t="array" ref="O174">IF(COUNTIF(O14,"*P*"),
   INDEX($C$158:$AJ$158,
     COUNTIFS($C$14:O14, "*")
   ),
"")</f>
        <v/>
      </c>
      <c r="P174" s="40" t="str" cm="1">
        <f t="array" ref="P174">IF(COUNTIF(P14,"*P*"),
   INDEX($C$158:$AJ$158,
     COUNTIFS($C$14:P14, "*")
   ),
"")</f>
        <v/>
      </c>
      <c r="Q174" s="40" t="str" cm="1">
        <f t="array" ref="Q174">IF(COUNTIF(Q14,"*P*"),
   INDEX($C$158:$AJ$158,
     COUNTIFS($C$14:Q14, "*")
   ),
"")</f>
        <v/>
      </c>
      <c r="R174" s="40" t="str" cm="1">
        <f t="array" ref="R174">IF(COUNTIF(R14,"*P*"),
   INDEX($C$158:$AJ$158,
     COUNTIFS($C$14:R14, "*")
   ),
"")</f>
        <v/>
      </c>
      <c r="S174" s="40" t="str" cm="1">
        <f t="array" ref="S174">IF(COUNTIF(S14,"*P*"),
   INDEX($C$158:$AJ$158,
     COUNTIFS($C$14:S14, "*")
   ),
"")</f>
        <v/>
      </c>
      <c r="T174" s="40" t="str" cm="1">
        <f t="array" ref="T174">IF(COUNTIF(T14,"*P*"),
   INDEX($C$158:$AJ$158,
     COUNTIFS($C$14:T14, "*")
   ),
"")</f>
        <v/>
      </c>
      <c r="U174" s="40" t="str" cm="1">
        <f t="array" ref="U174">IF(COUNTIF(U14,"*P*"),
   INDEX($C$158:$AJ$158,
     COUNTIFS($C$14:U14, "*")
   ),
"")</f>
        <v/>
      </c>
      <c r="V174" s="40" t="str" cm="1">
        <f t="array" ref="V174">IF(COUNTIF(V14,"*P*"),
   INDEX($C$158:$AJ$158,
     COUNTIFS($C$14:V14, "*")
   ),
"")</f>
        <v/>
      </c>
      <c r="W174" s="40" t="str" cm="1">
        <f t="array" ref="W174">IF(COUNTIF(W14,"*P*"),
   INDEX($C$158:$AJ$158,
     COUNTIFS($C$14:W14, "*")
   ),
"")</f>
        <v/>
      </c>
      <c r="X174" s="40" t="str" cm="1">
        <f t="array" ref="X174">IF(COUNTIF(X14,"*P*"),
   INDEX($C$158:$AJ$158,
     COUNTIFS($C$14:X14, "*")
   ),
"")</f>
        <v/>
      </c>
      <c r="Y174" s="40" t="str" cm="1">
        <f t="array" ref="Y174">IF(COUNTIF(Y14,"*P*"),
   INDEX($C$158:$AJ$158,
     COUNTIFS($C$14:Y14, "*")
   ),
"")</f>
        <v/>
      </c>
      <c r="Z174" s="40" t="str" cm="1">
        <f t="array" ref="Z174">IF(COUNTIF(Z14,"*P*"),
   INDEX($C$158:$AJ$158,
     COUNTIFS($C$14:Z14, "*")
   ),
"")</f>
        <v/>
      </c>
      <c r="AA174" s="40" t="str" cm="1">
        <f t="array" ref="AA174">IF(COUNTIF(AA14,"*P*"),
   INDEX($C$158:$AJ$158,
     COUNTIFS($C$14:AA14, "*")
   ),
"")</f>
        <v/>
      </c>
      <c r="AB174" s="40" t="str" cm="1">
        <f t="array" ref="AB174">IF(COUNTIF(AB14,"*P*"),
   INDEX($C$158:$AJ$158,
     COUNTIFS($C$14:AB14, "*")
   ),
"")</f>
        <v/>
      </c>
      <c r="AC174" s="40" t="str" cm="1">
        <f t="array" ref="AC174">IF(COUNTIF(AC14,"*P*"),
   INDEX($C$158:$AJ$158,
     COUNTIFS($C$14:AC14, "*")
   ),
"")</f>
        <v/>
      </c>
      <c r="AD174" s="40" t="str" cm="1">
        <f t="array" ref="AD174">IF(COUNTIF(AD14,"*P*"),
   INDEX($C$158:$AJ$158,
     COUNTIFS($C$14:AD14, "*")
   ),
"")</f>
        <v/>
      </c>
      <c r="AE174" s="40" t="str" cm="1">
        <f t="array" ref="AE174">IF(COUNTIF(AE14,"*P*"),
   INDEX($C$158:$AJ$158,
     COUNTIFS($C$14:AE14, "*")
   ),
"")</f>
        <v/>
      </c>
      <c r="AF174" s="40" t="str" cm="1">
        <f t="array" ref="AF174">IF(COUNTIF(AF14,"*P*"),
   INDEX($C$158:$AJ$158,
     COUNTIFS($C$14:AF14, "*")
   ),
"")</f>
        <v/>
      </c>
      <c r="AG174" s="40" t="str" cm="1">
        <f t="array" ref="AG174">IF(COUNTIF(AG14,"*P*"),
   INDEX($C$158:$AJ$158,
     COUNTIFS($C$14:AG14, "*")
   ),
"")</f>
        <v/>
      </c>
      <c r="AH174" s="40" t="str" cm="1">
        <f t="array" ref="AH174">IF(COUNTIF(AH14,"*P*"),
   INDEX($C$158:$AJ$158,
     COUNTIFS($C$14:AH14, "*")
   ),
"")</f>
        <v/>
      </c>
      <c r="AI174" s="40" t="str" cm="1">
        <f t="array" ref="AI174">IF(COUNTIF(AI14,"*P*"),
   INDEX($C$158:$AJ$158,
     COUNTIFS($C$14:AI14, "*")
   ),
"")</f>
        <v/>
      </c>
      <c r="AJ174" s="40" t="str" cm="1">
        <f t="array" ref="AJ174">IF(COUNTIF(AJ14,"*P*"),
   INDEX($C$148:$AJ$148,
     COUNTIFS($C$14:AJ14, "*")
   ),
"")</f>
        <v/>
      </c>
      <c r="AK174" s="62" t="str">
        <f t="shared" si="14"/>
        <v/>
      </c>
    </row>
    <row r="175" spans="1:37" ht="15.75" customHeight="1" thickBot="1" x14ac:dyDescent="0.4">
      <c r="A175" s="1197"/>
      <c r="B175" s="23">
        <v>12</v>
      </c>
      <c r="C175" s="40" t="str" cm="1">
        <f t="array" ref="C175">IF(COUNTIF(C15,"*P*"),
   INDEX($C$159:$AJ$159,
     COUNTIFS($C$15:C15, "*")
   ),
"")</f>
        <v/>
      </c>
      <c r="D175" s="40" t="str" cm="1">
        <f t="array" ref="D175">IF(COUNTIF(D15,"*P*"),
   INDEX($C$159:$AJ$159,
     COUNTIFS($C$15:D15, "*")
   ),
"")</f>
        <v/>
      </c>
      <c r="E175" s="40" t="str" cm="1">
        <f t="array" ref="E175">IF(COUNTIF(E15,"*P*"),
   INDEX($C$159:$AJ$159,
     COUNTIFS($C$15:E15, "*")
   ),
"")</f>
        <v/>
      </c>
      <c r="F175" s="40" t="str" cm="1">
        <f t="array" ref="F175">IF(COUNTIF(F15,"*P*"),
   INDEX($C$159:$AJ$159,
     COUNTIFS($C$15:F15, "*")
   ),
"")</f>
        <v/>
      </c>
      <c r="G175" s="40" t="str" cm="1">
        <f t="array" ref="G175">IF(COUNTIF(G15,"*P*"),
   INDEX($C$159:$AJ$159,
     COUNTIFS($C$15:G15, "*")
   ),
"")</f>
        <v/>
      </c>
      <c r="H175" s="40" t="str" cm="1">
        <f t="array" ref="H175">IF(COUNTIF(H15,"*P*"),
   INDEX($C$159:$AJ$159,
     COUNTIFS($C$15:H15, "*")
   ),
"")</f>
        <v/>
      </c>
      <c r="I175" s="40" t="str" cm="1">
        <f t="array" ref="I175">IF(COUNTIF(I15,"*P*"),
   INDEX($C$159:$AJ$159,
     COUNTIFS($C$15:I15, "*")
   ),
"")</f>
        <v/>
      </c>
      <c r="J175" s="40" t="str" cm="1">
        <f t="array" ref="J175">IF(COUNTIF(J15,"*P*"),
   INDEX($C$159:$AJ$159,
     COUNTIFS($C$15:J15, "*")
   ),
"")</f>
        <v/>
      </c>
      <c r="K175" s="40" t="str" cm="1">
        <f t="array" ref="K175">IF(COUNTIF(K15,"*P*"),
   INDEX($C$159:$AJ$159,
     COUNTIFS($C$15:K15, "*")
   ),
"")</f>
        <v/>
      </c>
      <c r="L175" s="40" t="str" cm="1">
        <f t="array" ref="L175">IF(COUNTIF(L15,"*P*"),
   INDEX($C$159:$AJ$159,
     COUNTIFS($C$15:L15, "*")
   ),
"")</f>
        <v/>
      </c>
      <c r="M175" s="40" t="str" cm="1">
        <f t="array" ref="M175">IF(COUNTIF(M15,"*P*"),
   INDEX($C$159:$AJ$159,
     COUNTIFS($C$15:M15, "*")
   ),
"")</f>
        <v/>
      </c>
      <c r="N175" s="40" t="str" cm="1">
        <f t="array" ref="N175">IF(COUNTIF(N15,"*P*"),
   INDEX($C$159:$AJ$159,
     COUNTIFS($C$15:N15, "*")
   ),
"")</f>
        <v/>
      </c>
      <c r="O175" s="40" t="str" cm="1">
        <f t="array" ref="O175">IF(COUNTIF(O15,"*P*"),
   INDEX($C$159:$AJ$159,
     COUNTIFS($C$15:O15, "*")
   ),
"")</f>
        <v/>
      </c>
      <c r="P175" s="40" t="str" cm="1">
        <f t="array" ref="P175">IF(COUNTIF(P15,"*P*"),
   INDEX($C$159:$AJ$159,
     COUNTIFS($C$15:P15, "*")
   ),
"")</f>
        <v/>
      </c>
      <c r="Q175" s="40" t="str" cm="1">
        <f t="array" ref="Q175">IF(COUNTIF(Q15,"*P*"),
   INDEX($C$159:$AJ$159,
     COUNTIFS($C$15:Q15, "*")
   ),
"")</f>
        <v/>
      </c>
      <c r="R175" s="40" t="str" cm="1">
        <f t="array" ref="R175">IF(COUNTIF(R15,"*P*"),
   INDEX($C$159:$AJ$159,
     COUNTIFS($C$15:R15, "*")
   ),
"")</f>
        <v/>
      </c>
      <c r="S175" s="40" t="str" cm="1">
        <f t="array" ref="S175">IF(COUNTIF(S15,"*P*"),
   INDEX($C$159:$AJ$159,
     COUNTIFS($C$15:S15, "*")
   ),
"")</f>
        <v/>
      </c>
      <c r="T175" s="40" t="str" cm="1">
        <f t="array" ref="T175">IF(COUNTIF(T15,"*P*"),
   INDEX($C$159:$AJ$159,
     COUNTIFS($C$15:T15, "*")
   ),
"")</f>
        <v/>
      </c>
      <c r="U175" s="40" t="str" cm="1">
        <f t="array" ref="U175">IF(COUNTIF(U15,"*P*"),
   INDEX($C$159:$AJ$159,
     COUNTIFS($C$15:U15, "*")
   ),
"")</f>
        <v/>
      </c>
      <c r="V175" s="40" t="str" cm="1">
        <f t="array" ref="V175">IF(COUNTIF(V15,"*P*"),
   INDEX($C$159:$AJ$159,
     COUNTIFS($C$15:V15, "*")
   ),
"")</f>
        <v/>
      </c>
      <c r="W175" s="40" t="str" cm="1">
        <f t="array" ref="W175">IF(COUNTIF(W15,"*P*"),
   INDEX($C$159:$AJ$159,
     COUNTIFS($C$15:W15, "*")
   ),
"")</f>
        <v/>
      </c>
      <c r="X175" s="40" t="str" cm="1">
        <f t="array" ref="X175">IF(COUNTIF(X15,"*P*"),
   INDEX($C$159:$AJ$159,
     COUNTIFS($C$15:X15, "*")
   ),
"")</f>
        <v/>
      </c>
      <c r="Y175" s="40" t="str" cm="1">
        <f t="array" ref="Y175">IF(COUNTIF(Y15,"*P*"),
   INDEX($C$159:$AJ$159,
     COUNTIFS($C$15:Y15, "*")
   ),
"")</f>
        <v/>
      </c>
      <c r="Z175" s="40" t="str" cm="1">
        <f t="array" ref="Z175">IF(COUNTIF(Z15,"*P*"),
   INDEX($C$159:$AJ$159,
     COUNTIFS($C$15:Z15, "*")
   ),
"")</f>
        <v/>
      </c>
      <c r="AA175" s="40" t="str" cm="1">
        <f t="array" ref="AA175">IF(COUNTIF(AA15,"*P*"),
   INDEX($C$159:$AJ$159,
     COUNTIFS($C$15:AA15, "*")
   ),
"")</f>
        <v/>
      </c>
      <c r="AB175" s="40" t="str" cm="1">
        <f t="array" ref="AB175">IF(COUNTIF(AB15,"*P*"),
   INDEX($C$159:$AJ$159,
     COUNTIFS($C$15:AB15, "*")
   ),
"")</f>
        <v/>
      </c>
      <c r="AC175" s="40" t="str" cm="1">
        <f t="array" ref="AC175">IF(COUNTIF(AC15,"*P*"),
   INDEX($C$159:$AJ$159,
     COUNTIFS($C$15:AC15, "*")
   ),
"")</f>
        <v/>
      </c>
      <c r="AD175" s="40" t="str" cm="1">
        <f t="array" ref="AD175">IF(COUNTIF(AD15,"*P*"),
   INDEX($C$159:$AJ$159,
     COUNTIFS($C$15:AD15, "*")
   ),
"")</f>
        <v/>
      </c>
      <c r="AE175" s="40" t="str" cm="1">
        <f t="array" ref="AE175">IF(COUNTIF(AE15,"*P*"),
   INDEX($C$159:$AJ$159,
     COUNTIFS($C$15:AE15, "*")
   ),
"")</f>
        <v/>
      </c>
      <c r="AF175" s="40" t="str" cm="1">
        <f t="array" ref="AF175">IF(COUNTIF(AF15,"*P*"),
   INDEX($C$159:$AJ$159,
     COUNTIFS($C$15:AF15, "*")
   ),
"")</f>
        <v/>
      </c>
      <c r="AG175" s="40" t="str" cm="1">
        <f t="array" ref="AG175">IF(COUNTIF(AG15,"*P*"),
   INDEX($C$159:$AJ$159,
     COUNTIFS($C$15:AG15, "*")
   ),
"")</f>
        <v/>
      </c>
      <c r="AH175" s="40" t="str" cm="1">
        <f t="array" ref="AH175">IF(COUNTIF(AH15,"*P*"),
   INDEX($C$159:$AJ$159,
     COUNTIFS($C$15:AH15, "*")
   ),
"")</f>
        <v/>
      </c>
      <c r="AI175" s="40" t="str" cm="1">
        <f t="array" ref="AI175">IF(COUNTIF(AI15,"*P*"),
   INDEX($C$159:$AJ$159,
     COUNTIFS($C$15:AI15, "*")
   ),
"")</f>
        <v/>
      </c>
      <c r="AJ175" s="40" t="str" cm="1">
        <f t="array" ref="AJ175">IF(COUNTIF(AJ15,"*P*"),
   INDEX($C$148:$AJ$148,
     COUNTIFS($C$15:AJ15, "*")
   ),
"")</f>
        <v/>
      </c>
      <c r="AK175" s="62" t="str">
        <f t="shared" si="14"/>
        <v/>
      </c>
    </row>
    <row r="176" spans="1:37" ht="15" customHeight="1" x14ac:dyDescent="0.35">
      <c r="AK176" s="63" t="str">
        <f>CONCATENATE(AK164,AK165,AK166,AK167,AK168,AK169,AK170,AK171,AK172,AK173,AK174,AK175)</f>
        <v/>
      </c>
    </row>
    <row r="177" spans="1:37" ht="15" customHeight="1" x14ac:dyDescent="0.35">
      <c r="AK177" s="63" t="s">
        <v>712</v>
      </c>
    </row>
    <row r="178" spans="1:37" ht="15" customHeight="1" x14ac:dyDescent="0.35">
      <c r="AK178" s="63" t="s">
        <v>713</v>
      </c>
    </row>
    <row r="179" spans="1:37" ht="15.75" customHeight="1" thickBot="1" x14ac:dyDescent="0.4">
      <c r="AK179" s="64" t="str">
        <f>IF(AK176&lt;&gt;"",IF(LEN(AK176)&lt;9,CONCATENATE(AK177,LEFT(AK176,4),"."),IF(LEN(AK176&gt;6),LEFT(CONCATENATE(AK178,LEFT(AK176,LEN(AK176)-10),SUBSTITUTE(RIGHT(AK176,10),", "," and ")),LEN(CONCATENATE(AK178,LEFT(AK176,LEN(AK176)-10),SUBSTITUTE(RIGHT(AK176,10),", "," and ")))-5)&amp;".")),"")</f>
        <v/>
      </c>
    </row>
    <row r="180" spans="1:37" ht="10" customHeight="1" x14ac:dyDescent="0.35"/>
    <row r="181" spans="1:37" ht="15" customHeight="1" x14ac:dyDescent="0.35"/>
    <row r="182" spans="1:37" ht="15.75" customHeight="1" thickBot="1" x14ac:dyDescent="0.4">
      <c r="C182" s="1201" t="s">
        <v>709</v>
      </c>
      <c r="D182" s="1201"/>
      <c r="E182" s="1201"/>
      <c r="F182" s="1201"/>
      <c r="G182" s="1201"/>
      <c r="H182" s="1201"/>
      <c r="I182" s="1201"/>
      <c r="J182" s="1201"/>
      <c r="K182" s="1201"/>
      <c r="L182" s="1201"/>
      <c r="M182" s="1201"/>
      <c r="N182" s="1201"/>
      <c r="O182" s="1201"/>
      <c r="P182" s="1201"/>
      <c r="Q182" s="1201"/>
      <c r="R182" s="1201"/>
      <c r="S182" s="1201"/>
      <c r="T182" s="1201"/>
      <c r="U182" s="1201"/>
      <c r="V182" s="1201"/>
      <c r="W182" s="1201"/>
      <c r="X182" s="1201"/>
      <c r="Y182" s="1201"/>
      <c r="Z182" s="1201"/>
      <c r="AA182" s="1201"/>
      <c r="AB182" s="1201"/>
      <c r="AC182" s="1201"/>
      <c r="AD182" s="1201"/>
      <c r="AE182" s="1201"/>
      <c r="AF182" s="1201"/>
      <c r="AG182" s="1201"/>
      <c r="AH182" s="1201"/>
      <c r="AI182" s="1201"/>
    </row>
    <row r="183" spans="1:37" ht="15" customHeight="1" x14ac:dyDescent="0.35">
      <c r="A183" s="1202"/>
      <c r="B183" s="1203"/>
      <c r="C183" s="1207" t="s">
        <v>17</v>
      </c>
      <c r="D183" s="1207"/>
      <c r="E183" s="1207"/>
      <c r="F183" s="1207"/>
      <c r="G183" s="1207"/>
      <c r="H183" s="1207"/>
      <c r="I183" s="1207"/>
      <c r="J183" s="1207"/>
      <c r="K183" s="1207"/>
      <c r="L183" s="1207"/>
      <c r="M183" s="1207"/>
      <c r="N183" s="1207"/>
      <c r="O183" s="1207"/>
      <c r="P183" s="1207"/>
      <c r="Q183" s="1207"/>
      <c r="R183" s="1207"/>
      <c r="S183" s="1207"/>
      <c r="T183" s="1207"/>
      <c r="U183" s="1207"/>
      <c r="V183" s="1208"/>
      <c r="W183" s="6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8"/>
    </row>
    <row r="184" spans="1:37" ht="15.75" customHeight="1" thickBot="1" x14ac:dyDescent="0.4">
      <c r="A184" s="1204"/>
      <c r="B184" s="1205"/>
      <c r="C184" s="16">
        <v>1</v>
      </c>
      <c r="D184" s="17">
        <v>2</v>
      </c>
      <c r="E184" s="17">
        <v>3</v>
      </c>
      <c r="F184" s="17">
        <v>4</v>
      </c>
      <c r="G184" s="17">
        <v>5</v>
      </c>
      <c r="H184" s="17">
        <v>6</v>
      </c>
      <c r="I184" s="17">
        <v>7</v>
      </c>
      <c r="J184" s="17">
        <v>8</v>
      </c>
      <c r="K184" s="17">
        <v>9</v>
      </c>
      <c r="L184" s="17">
        <v>10</v>
      </c>
      <c r="M184" s="17">
        <v>11</v>
      </c>
      <c r="N184" s="17">
        <v>12</v>
      </c>
      <c r="O184" s="17">
        <v>13</v>
      </c>
      <c r="P184" s="17">
        <v>14</v>
      </c>
      <c r="Q184" s="17">
        <v>15</v>
      </c>
      <c r="R184" s="17">
        <v>16</v>
      </c>
      <c r="S184" s="17">
        <v>17</v>
      </c>
      <c r="T184" s="17">
        <v>18</v>
      </c>
      <c r="U184" s="17">
        <v>19</v>
      </c>
      <c r="V184" s="18">
        <v>20</v>
      </c>
      <c r="W184" s="17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20"/>
    </row>
    <row r="185" spans="1:37" ht="15" customHeight="1" thickBot="1" x14ac:dyDescent="0.4">
      <c r="A185" s="1196" t="s">
        <v>18</v>
      </c>
      <c r="B185" s="21">
        <v>1</v>
      </c>
      <c r="C185" s="40" t="str" cm="1">
        <f t="array" ref="C185">IF(COUNTIF(C4,"*I*"),
   INDEX($C$148:$AJ$148,
     COUNTIFS($C$4:C4, "*")
   ),
"")</f>
        <v/>
      </c>
      <c r="D185" s="40" t="str" cm="1">
        <f t="array" ref="D185">IF(COUNTIF(D4,"*I*"),
   INDEX($C$148:$AJ$148,
     COUNTIFS($C$4:D4, "*")
   ),
"")</f>
        <v/>
      </c>
      <c r="E185" s="40" t="str" cm="1">
        <f t="array" ref="E185">IF(COUNTIF(E4,"*I*"),
   INDEX($C$148:$AJ$148,
     COUNTIFS($C$4:E4, "*")
   ),
"")</f>
        <v/>
      </c>
      <c r="F185" s="40" t="str" cm="1">
        <f t="array" ref="F185">IF(COUNTIF(F4,"*I*"),
   INDEX($C$148:$AJ$148,
     COUNTIFS($C$4:F4, "*")
   ),
"")</f>
        <v/>
      </c>
      <c r="G185" s="40" t="str" cm="1">
        <f t="array" ref="G185">IF(COUNTIF(G4,"*I*"),
   INDEX($C$148:$AJ$148,
     COUNTIFS($C$4:G4, "*")
   ),
"")</f>
        <v/>
      </c>
      <c r="H185" s="40" t="str" cm="1">
        <f t="array" ref="H185">IF(COUNTIF(H4,"*I*"),
   INDEX($C$148:$AJ$148,
     COUNTIFS($C$4:H4, "*")
   ),
"")</f>
        <v/>
      </c>
      <c r="I185" s="40" t="str" cm="1">
        <f t="array" ref="I185">IF(COUNTIF(I4,"*I*"),
   INDEX($C$148:$AJ$148,
     COUNTIFS($C$4:I4, "*")
   ),
"")</f>
        <v/>
      </c>
      <c r="J185" s="40" t="str" cm="1">
        <f t="array" ref="J185">IF(COUNTIF(J4,"*I*"),
   INDEX($C$148:$AJ$148,
     COUNTIFS($C$4:J4, "*")
   ),
"")</f>
        <v/>
      </c>
      <c r="K185" s="40" t="str" cm="1">
        <f t="array" ref="K185">IF(COUNTIF(K4,"*I*"),
   INDEX($C$148:$AJ$148,
     COUNTIFS($C$4:K4, "*")
   ),
"")</f>
        <v/>
      </c>
      <c r="L185" s="40" t="str" cm="1">
        <f t="array" ref="L185">IF(COUNTIF(L4,"*I*"),
   INDEX($C$148:$AJ$148,
     COUNTIFS($C$4:L4, "*")
   ),
"")</f>
        <v/>
      </c>
      <c r="M185" s="40" t="str" cm="1">
        <f t="array" ref="M185">IF(COUNTIF(M4,"*I*"),
   INDEX($C$148:$AJ$148,
     COUNTIFS($C$4:M4, "*")
   ),
"")</f>
        <v/>
      </c>
      <c r="N185" s="40" t="str" cm="1">
        <f t="array" ref="N185">IF(COUNTIF(N4,"*I*"),
   INDEX($C$148:$AJ$148,
     COUNTIFS($C$4:N4, "*")
   ),
"")</f>
        <v/>
      </c>
      <c r="O185" s="40" t="str" cm="1">
        <f t="array" ref="O185">IF(COUNTIF(O4,"*I*"),
   INDEX($C$148:$AJ$148,
     COUNTIFS($C$4:O4, "*")
   ),
"")</f>
        <v/>
      </c>
      <c r="P185" s="40" t="str" cm="1">
        <f t="array" ref="P185">IF(COUNTIF(P4,"*I*"),
   INDEX($C$148:$AJ$148,
     COUNTIFS($C$4:P4, "*")
   ),
"")</f>
        <v/>
      </c>
      <c r="Q185" s="40" t="str" cm="1">
        <f t="array" ref="Q185">IF(COUNTIF(Q4,"*I*"),
   INDEX($C$148:$AJ$148,
     COUNTIFS($C$4:Q4, "*")
   ),
"")</f>
        <v/>
      </c>
      <c r="R185" s="40" t="str" cm="1">
        <f t="array" ref="R185">IF(COUNTIF(R4,"*I*"),
   INDEX($C$148:$AJ$148,
     COUNTIFS($C$4:R4, "*")
   ),
"")</f>
        <v/>
      </c>
      <c r="S185" s="40" t="str" cm="1">
        <f t="array" ref="S185">IF(COUNTIF(S4,"*I*"),
   INDEX($C$148:$AJ$148,
     COUNTIFS($C$4:S4, "*")
   ),
"")</f>
        <v/>
      </c>
      <c r="T185" s="40" t="str" cm="1">
        <f t="array" ref="T185">IF(COUNTIF(T4,"*I*"),
   INDEX($C$148:$AJ$148,
     COUNTIFS($C$4:T4, "*")
   ),
"")</f>
        <v/>
      </c>
      <c r="U185" s="40" t="str" cm="1">
        <f t="array" ref="U185">IF(COUNTIF(U4,"*I*"),
   INDEX($C$148:$AJ$148,
     COUNTIFS($C$4:U4, "*")
   ),
"")</f>
        <v/>
      </c>
      <c r="V185" s="40" t="str" cm="1">
        <f t="array" ref="V185">IF(COUNTIF(V4,"*I*"),
   INDEX($C$148:$AJ$148,
     COUNTIFS($C$4:V4, "*")
   ),
"")</f>
        <v/>
      </c>
      <c r="W185" s="40" t="str" cm="1">
        <f t="array" ref="W185">IF(COUNTIF(W4,"*I*"),
   INDEX($C$148:$AJ$148,
     COUNTIFS($C$4:W4, "*")
   ),
"")</f>
        <v/>
      </c>
      <c r="X185" s="40" t="str" cm="1">
        <f t="array" ref="X185">IF(COUNTIF(X4,"*I*"),
   INDEX($C$148:$AJ$148,
     COUNTIFS($C$4:X4, "*")
   ),
"")</f>
        <v/>
      </c>
      <c r="Y185" s="40" t="str" cm="1">
        <f t="array" ref="Y185">IF(COUNTIF(Y4,"*I*"),
   INDEX($C$148:$AJ$148,
     COUNTIFS($C$4:Y4, "*")
   ),
"")</f>
        <v/>
      </c>
      <c r="Z185" s="40" t="str" cm="1">
        <f t="array" ref="Z185">IF(COUNTIF(Z4,"*I*"),
   INDEX($C$148:$AJ$148,
     COUNTIFS($C$4:Z4, "*")
   ),
"")</f>
        <v/>
      </c>
      <c r="AA185" s="40" t="str" cm="1">
        <f t="array" ref="AA185">IF(COUNTIF(AA4,"*I*"),
   INDEX($C$148:$AJ$148,
     COUNTIFS($C$4:AA4, "*")
   ),
"")</f>
        <v/>
      </c>
      <c r="AB185" s="40" t="str" cm="1">
        <f t="array" ref="AB185">IF(COUNTIF(AB4,"*I*"),
   INDEX($C$148:$AJ$148,
     COUNTIFS($C$4:AB4, "*")
   ),
"")</f>
        <v/>
      </c>
      <c r="AC185" s="40" t="str" cm="1">
        <f t="array" ref="AC185">IF(COUNTIF(AC4,"*I*"),
   INDEX($C$148:$AJ$148,
     COUNTIFS($C$4:AC4, "*")
   ),
"")</f>
        <v/>
      </c>
      <c r="AD185" s="40" t="str" cm="1">
        <f t="array" ref="AD185">IF(COUNTIF(AD4,"*I*"),
   INDEX($C$148:$AJ$148,
     COUNTIFS($C$4:AD4, "*")
   ),
"")</f>
        <v/>
      </c>
      <c r="AE185" s="40" t="str" cm="1">
        <f t="array" ref="AE185">IF(COUNTIF(AE4,"*I*"),
   INDEX($C$148:$AJ$148,
     COUNTIFS($C$4:AE4, "*")
   ),
"")</f>
        <v/>
      </c>
      <c r="AF185" s="40" t="str" cm="1">
        <f t="array" ref="AF185">IF(COUNTIF(AF4,"*I*"),
   INDEX($C$148:$AJ$148,
     COUNTIFS($C$4:AF4, "*")
   ),
"")</f>
        <v/>
      </c>
      <c r="AG185" s="40" t="str" cm="1">
        <f t="array" ref="AG185">IF(COUNTIF(AG4,"*I*"),
   INDEX($C$148:$AJ$148,
     COUNTIFS($C$4:AG4, "*")
   ),
"")</f>
        <v/>
      </c>
      <c r="AH185" s="40" t="str" cm="1">
        <f t="array" ref="AH185">IF(COUNTIF(AH4,"*I*"),
   INDEX($C$148:$AJ$148,
     COUNTIFS($C$4:AH4, "*")
   ),
"")</f>
        <v/>
      </c>
      <c r="AI185" s="40" t="str" cm="1">
        <f t="array" ref="AI185">IF(COUNTIF(AI4,"*I*"),
   INDEX($C$148:$AJ$148,
     COUNTIFS($C$4:AI4, "*")
   ),
"")</f>
        <v/>
      </c>
      <c r="AJ185" s="40" t="str" cm="1">
        <f t="array" ref="AJ185">IF(COUNTIF(AJ4,"*I*"),
   INDEX($C$148:$AJ$148,
     COUNTIFS($C$4:AJ4, "*")
   ),
"")</f>
        <v/>
      </c>
      <c r="AK185" s="62" t="str">
        <f>CONCATENATE(C185,D185,E185,F185,G185,H185,I185,J185,K185,L185,M185,N185,O185,P185,Q185,R185,S185,T185,U185,V185,W185,X185,Y185,Z185,AA185,AB185,AC185,AD185,AE185,AF185,AG185,AH185,AI185,AJ185)</f>
        <v/>
      </c>
    </row>
    <row r="186" spans="1:37" ht="15" customHeight="1" thickBot="1" x14ac:dyDescent="0.4">
      <c r="A186" s="1196"/>
      <c r="B186" s="22">
        <v>2</v>
      </c>
      <c r="C186" s="40" t="str" cm="1">
        <f t="array" ref="C186">IF(COUNTIF(C5,"*I*"),
   INDEX($C$149:$AJ$149,
     COUNTIFS($C$5:C5, "*")
   ),
"")</f>
        <v/>
      </c>
      <c r="D186" s="40" t="str" cm="1">
        <f t="array" ref="D186">IF(COUNTIF(D5,"*I*"),
   INDEX($C$149:$AJ$149,
     COUNTIFS($C$5:D5, "*")
   ),
"")</f>
        <v/>
      </c>
      <c r="E186" s="40" t="str" cm="1">
        <f t="array" ref="E186">IF(COUNTIF(E5,"*I*"),
   INDEX($C$149:$AJ$149,
     COUNTIFS($C$5:E5, "*")
   ),
"")</f>
        <v/>
      </c>
      <c r="F186" s="40" t="str" cm="1">
        <f t="array" ref="F186">IF(COUNTIF(F5,"*I*"),
   INDEX($C$149:$AJ$149,
     COUNTIFS($C$5:F5, "*")
   ),
"")</f>
        <v/>
      </c>
      <c r="G186" s="40" t="str" cm="1">
        <f t="array" ref="G186">IF(COUNTIF(G5,"*I*"),
   INDEX($C$149:$AJ$149,
     COUNTIFS($C$5:G5, "*")
   ),
"")</f>
        <v/>
      </c>
      <c r="H186" s="40" t="str" cm="1">
        <f t="array" ref="H186">IF(COUNTIF(H5,"*I*"),
   INDEX($C$149:$AJ$149,
     COUNTIFS($C$5:H5, "*")
   ),
"")</f>
        <v/>
      </c>
      <c r="I186" s="40" t="str" cm="1">
        <f t="array" ref="I186">IF(COUNTIF(I5,"*I*"),
   INDEX($C$149:$AJ$149,
     COUNTIFS($C$5:I5, "*")
   ),
"")</f>
        <v/>
      </c>
      <c r="J186" s="40" t="str" cm="1">
        <f t="array" ref="J186">IF(COUNTIF(J5,"*I*"),
   INDEX($C$149:$AJ$149,
     COUNTIFS($C$5:J5, "*")
   ),
"")</f>
        <v/>
      </c>
      <c r="K186" s="40" t="str" cm="1">
        <f t="array" ref="K186">IF(COUNTIF(K5,"*I*"),
   INDEX($C$149:$AJ$149,
     COUNTIFS($C$5:K5, "*")
   ),
"")</f>
        <v/>
      </c>
      <c r="L186" s="40" t="str" cm="1">
        <f t="array" ref="L186">IF(COUNTIF(L5,"*I*"),
   INDEX($C$149:$AJ$149,
     COUNTIFS($C$5:L5, "*")
   ),
"")</f>
        <v/>
      </c>
      <c r="M186" s="40" t="str" cm="1">
        <f t="array" ref="M186">IF(COUNTIF(M5,"*I*"),
   INDEX($C$149:$AJ$149,
     COUNTIFS($C$5:M5, "*")
   ),
"")</f>
        <v/>
      </c>
      <c r="N186" s="40" t="str" cm="1">
        <f t="array" ref="N186">IF(COUNTIF(N5,"*I*"),
   INDEX($C$149:$AJ$149,
     COUNTIFS($C$5:N5, "*")
   ),
"")</f>
        <v/>
      </c>
      <c r="O186" s="40" t="str" cm="1">
        <f t="array" ref="O186">IF(COUNTIF(O5,"*I*"),
   INDEX($C$149:$AJ$149,
     COUNTIFS($C$5:O5, "*")
   ),
"")</f>
        <v/>
      </c>
      <c r="P186" s="40" t="str" cm="1">
        <f t="array" ref="P186">IF(COUNTIF(P5,"*I*"),
   INDEX($C$149:$AJ$149,
     COUNTIFS($C$5:P5, "*")
   ),
"")</f>
        <v/>
      </c>
      <c r="Q186" s="40" t="str" cm="1">
        <f t="array" ref="Q186">IF(COUNTIF(Q5,"*I*"),
   INDEX($C$149:$AJ$149,
     COUNTIFS($C$5:Q5, "*")
   ),
"")</f>
        <v/>
      </c>
      <c r="R186" s="40" t="str" cm="1">
        <f t="array" ref="R186">IF(COUNTIF(R5,"*I*"),
   INDEX($C$149:$AJ$149,
     COUNTIFS($C$5:R5, "*")
   ),
"")</f>
        <v/>
      </c>
      <c r="S186" s="40" t="str" cm="1">
        <f t="array" ref="S186">IF(COUNTIF(S5,"*I*"),
   INDEX($C$149:$AJ$149,
     COUNTIFS($C$5:S5, "*")
   ),
"")</f>
        <v/>
      </c>
      <c r="T186" s="40" t="str" cm="1">
        <f t="array" ref="T186">IF(COUNTIF(T5,"*I*"),
   INDEX($C$149:$AJ$149,
     COUNTIFS($C$5:T5, "*")
   ),
"")</f>
        <v/>
      </c>
      <c r="U186" s="40" t="str" cm="1">
        <f t="array" ref="U186">IF(COUNTIF(U5,"*I*"),
   INDEX($C$149:$AJ$149,
     COUNTIFS($C$5:U5, "*")
   ),
"")</f>
        <v/>
      </c>
      <c r="V186" s="40" t="str" cm="1">
        <f t="array" ref="V186">IF(COUNTIF(V5,"*I*"),
   INDEX($C$149:$AJ$149,
     COUNTIFS($C$5:V5, "*")
   ),
"")</f>
        <v/>
      </c>
      <c r="W186" s="40" t="str" cm="1">
        <f t="array" ref="W186">IF(COUNTIF(W5,"*I*"),
   INDEX($C$149:$AJ$149,
     COUNTIFS($C$5:W5, "*")
   ),
"")</f>
        <v/>
      </c>
      <c r="X186" s="40" t="str" cm="1">
        <f t="array" ref="X186">IF(COUNTIF(X5,"*I*"),
   INDEX($C$149:$AJ$149,
     COUNTIFS($C$5:X5, "*")
   ),
"")</f>
        <v/>
      </c>
      <c r="Y186" s="40" t="str" cm="1">
        <f t="array" ref="Y186">IF(COUNTIF(Y5,"*I*"),
   INDEX($C$149:$AJ$149,
     COUNTIFS($C$5:Y5, "*")
   ),
"")</f>
        <v/>
      </c>
      <c r="Z186" s="40" t="str" cm="1">
        <f t="array" ref="Z186">IF(COUNTIF(Z5,"*I*"),
   INDEX($C$149:$AJ$149,
     COUNTIFS($C$5:Z5, "*")
   ),
"")</f>
        <v/>
      </c>
      <c r="AA186" s="40" t="str" cm="1">
        <f t="array" ref="AA186">IF(COUNTIF(AA5,"*I*"),
   INDEX($C$149:$AJ$149,
     COUNTIFS($C$5:AA5, "*")
   ),
"")</f>
        <v/>
      </c>
      <c r="AB186" s="40" t="str" cm="1">
        <f t="array" ref="AB186">IF(COUNTIF(AB5,"*I*"),
   INDEX($C$149:$AJ$149,
     COUNTIFS($C$5:AB5, "*")
   ),
"")</f>
        <v/>
      </c>
      <c r="AC186" s="40" t="str" cm="1">
        <f t="array" ref="AC186">IF(COUNTIF(AC5,"*I*"),
   INDEX($C$149:$AJ$149,
     COUNTIFS($C$5:AC5, "*")
   ),
"")</f>
        <v/>
      </c>
      <c r="AD186" s="40" t="str" cm="1">
        <f t="array" ref="AD186">IF(COUNTIF(AD5,"*I*"),
   INDEX($C$149:$AJ$149,
     COUNTIFS($C$5:AD5, "*")
   ),
"")</f>
        <v/>
      </c>
      <c r="AE186" s="40" t="str" cm="1">
        <f t="array" ref="AE186">IF(COUNTIF(AE5,"*I*"),
   INDEX($C$149:$AJ$149,
     COUNTIFS($C$5:AE5, "*")
   ),
"")</f>
        <v/>
      </c>
      <c r="AF186" s="40" t="str" cm="1">
        <f t="array" ref="AF186">IF(COUNTIF(AF5,"*I*"),
   INDEX($C$149:$AJ$149,
     COUNTIFS($C$5:AF5, "*")
   ),
"")</f>
        <v/>
      </c>
      <c r="AG186" s="40" t="str" cm="1">
        <f t="array" ref="AG186">IF(COUNTIF(AG5,"*I*"),
   INDEX($C$149:$AJ$149,
     COUNTIFS($C$5:AG5, "*")
   ),
"")</f>
        <v/>
      </c>
      <c r="AH186" s="40" t="str" cm="1">
        <f t="array" ref="AH186">IF(COUNTIF(AH5,"*I*"),
   INDEX($C$149:$AJ$149,
     COUNTIFS($C$5:AH5, "*")
   ),
"")</f>
        <v/>
      </c>
      <c r="AI186" s="40" t="str" cm="1">
        <f t="array" ref="AI186">IF(COUNTIF(AI5,"*I*"),
   INDEX($C$149:$AJ$149,
     COUNTIFS($C$5:AI5, "*")
   ),
"")</f>
        <v/>
      </c>
      <c r="AJ186" s="40" t="str" cm="1">
        <f t="array" ref="AJ186">IF(COUNTIF(AJ5,"*I*"),
   INDEX($C$149:$AJ$149,
     COUNTIFS($C$5:AJ5, "*")
   ),
"")</f>
        <v/>
      </c>
      <c r="AK186" s="62" t="str">
        <f t="shared" ref="AK186:AK196" si="15">CONCATENATE(C186,D186,E186,F186,G186,H186,I186,J186,K186,L186,M186,N186,O186,P186,Q186,R186,S186,T186,U186,V186,W186,X186,Y186,Z186,AA186,AB186,AC186,AD186,AE186,AF186,AG186,AH186,AI186,AJ186)</f>
        <v/>
      </c>
    </row>
    <row r="187" spans="1:37" ht="15" customHeight="1" thickBot="1" x14ac:dyDescent="0.4">
      <c r="A187" s="1196"/>
      <c r="B187" s="22">
        <v>3</v>
      </c>
      <c r="C187" s="40" t="str" cm="1">
        <f t="array" ref="C187">IF(COUNTIF(C6,"*I*"),
   INDEX($C$150:$AJ$150,
     COUNTIFS($C$6:C6, "*")
   ),
"")</f>
        <v/>
      </c>
      <c r="D187" s="40" t="str" cm="1">
        <f t="array" ref="D187">IF(COUNTIF(D6,"*I*"),
   INDEX($C$150:$AJ$150,
     COUNTIFS($C$6:D6, "*")
   ),
"")</f>
        <v/>
      </c>
      <c r="E187" s="40" t="str" cm="1">
        <f t="array" ref="E187">IF(COUNTIF(E6,"*I*"),
   INDEX($C$150:$AJ$150,
     COUNTIFS($C$6:E6, "*")
   ),
"")</f>
        <v/>
      </c>
      <c r="F187" s="40" t="str" cm="1">
        <f t="array" ref="F187">IF(COUNTIF(F6,"*I*"),
   INDEX($C$150:$AJ$150,
     COUNTIFS($C$6:F6, "*")
   ),
"")</f>
        <v/>
      </c>
      <c r="G187" s="40" t="str" cm="1">
        <f t="array" ref="G187">IF(COUNTIF(G6,"*I*"),
   INDEX($C$150:$AJ$150,
     COUNTIFS($C$6:G6, "*")
   ),
"")</f>
        <v/>
      </c>
      <c r="H187" s="40" t="str" cm="1">
        <f t="array" ref="H187">IF(COUNTIF(H6,"*I*"),
   INDEX($C$150:$AJ$150,
     COUNTIFS($C$6:H6, "*")
   ),
"")</f>
        <v/>
      </c>
      <c r="I187" s="40" t="str" cm="1">
        <f t="array" ref="I187">IF(COUNTIF(I6,"*I*"),
   INDEX($C$150:$AJ$150,
     COUNTIFS($C$6:I6, "*")
   ),
"")</f>
        <v/>
      </c>
      <c r="J187" s="40" t="str" cm="1">
        <f t="array" ref="J187">IF(COUNTIF(J6,"*I*"),
   INDEX($C$150:$AJ$150,
     COUNTIFS($C$6:J6, "*")
   ),
"")</f>
        <v/>
      </c>
      <c r="K187" s="40" t="str" cm="1">
        <f t="array" ref="K187">IF(COUNTIF(K6,"*I*"),
   INDEX($C$150:$AJ$150,
     COUNTIFS($C$6:K6, "*")
   ),
"")</f>
        <v/>
      </c>
      <c r="L187" s="40" t="str" cm="1">
        <f t="array" ref="L187">IF(COUNTIF(L6,"*I*"),
   INDEX($C$150:$AJ$150,
     COUNTIFS($C$6:L6, "*")
   ),
"")</f>
        <v/>
      </c>
      <c r="M187" s="40" t="str" cm="1">
        <f t="array" ref="M187">IF(COUNTIF(M6,"*I*"),
   INDEX($C$150:$AJ$150,
     COUNTIFS($C$6:M6, "*")
   ),
"")</f>
        <v/>
      </c>
      <c r="N187" s="40" t="str" cm="1">
        <f t="array" ref="N187">IF(COUNTIF(N6,"*I*"),
   INDEX($C$150:$AJ$150,
     COUNTIFS($C$6:N6, "*")
   ),
"")</f>
        <v/>
      </c>
      <c r="O187" s="40" t="str" cm="1">
        <f t="array" ref="O187">IF(COUNTIF(O6,"*I*"),
   INDEX($C$150:$AJ$150,
     COUNTIFS($C$6:O6, "*")
   ),
"")</f>
        <v/>
      </c>
      <c r="P187" s="40" t="str" cm="1">
        <f t="array" ref="P187">IF(COUNTIF(P6,"*I*"),
   INDEX($C$150:$AJ$150,
     COUNTIFS($C$6:P6, "*")
   ),
"")</f>
        <v/>
      </c>
      <c r="Q187" s="40" t="str" cm="1">
        <f t="array" ref="Q187">IF(COUNTIF(Q6,"*I*"),
   INDEX($C$150:$AJ$150,
     COUNTIFS($C$6:Q6, "*")
   ),
"")</f>
        <v/>
      </c>
      <c r="R187" s="40" t="str" cm="1">
        <f t="array" ref="R187">IF(COUNTIF(R6,"*I*"),
   INDEX($C$150:$AJ$150,
     COUNTIFS($C$6:R6, "*")
   ),
"")</f>
        <v/>
      </c>
      <c r="S187" s="40" t="str" cm="1">
        <f t="array" ref="S187">IF(COUNTIF(S6,"*I*"),
   INDEX($C$150:$AJ$150,
     COUNTIFS($C$6:S6, "*")
   ),
"")</f>
        <v/>
      </c>
      <c r="T187" s="40" t="str" cm="1">
        <f t="array" ref="T187">IF(COUNTIF(T6,"*I*"),
   INDEX($C$150:$AJ$150,
     COUNTIFS($C$6:T6, "*")
   ),
"")</f>
        <v/>
      </c>
      <c r="U187" s="40" t="str" cm="1">
        <f t="array" ref="U187">IF(COUNTIF(U6,"*I*"),
   INDEX($C$150:$AJ$150,
     COUNTIFS($C$6:U6, "*")
   ),
"")</f>
        <v/>
      </c>
      <c r="V187" s="40" t="str" cm="1">
        <f t="array" ref="V187">IF(COUNTIF(V6,"*I*"),
   INDEX($C$150:$AJ$150,
     COUNTIFS($C$6:V6, "*")
   ),
"")</f>
        <v/>
      </c>
      <c r="W187" s="40" t="str" cm="1">
        <f t="array" ref="W187">IF(COUNTIF(W6,"*I*"),
   INDEX($C$150:$AJ$150,
     COUNTIFS($C$6:W6, "*")
   ),
"")</f>
        <v/>
      </c>
      <c r="X187" s="40" t="str" cm="1">
        <f t="array" ref="X187">IF(COUNTIF(X6,"*I*"),
   INDEX($C$150:$AJ$150,
     COUNTIFS($C$6:X6, "*")
   ),
"")</f>
        <v/>
      </c>
      <c r="Y187" s="40" t="str" cm="1">
        <f t="array" ref="Y187">IF(COUNTIF(Y6,"*I*"),
   INDEX($C$150:$AJ$150,
     COUNTIFS($C$6:Y6, "*")
   ),
"")</f>
        <v/>
      </c>
      <c r="Z187" s="40" t="str" cm="1">
        <f t="array" ref="Z187">IF(COUNTIF(Z6,"*I*"),
   INDEX($C$150:$AJ$150,
     COUNTIFS($C$6:Z6, "*")
   ),
"")</f>
        <v/>
      </c>
      <c r="AA187" s="40" t="str" cm="1">
        <f t="array" ref="AA187">IF(COUNTIF(AA6,"*I*"),
   INDEX($C$150:$AJ$150,
     COUNTIFS($C$6:AA6, "*")
   ),
"")</f>
        <v/>
      </c>
      <c r="AB187" s="40" t="str" cm="1">
        <f t="array" ref="AB187">IF(COUNTIF(AB6,"*I*"),
   INDEX($C$150:$AJ$150,
     COUNTIFS($C$6:AB6, "*")
   ),
"")</f>
        <v/>
      </c>
      <c r="AC187" s="40" t="str" cm="1">
        <f t="array" ref="AC187">IF(COUNTIF(AC6,"*I*"),
   INDEX($C$150:$AJ$150,
     COUNTIFS($C$6:AC6, "*")
   ),
"")</f>
        <v/>
      </c>
      <c r="AD187" s="40" t="str" cm="1">
        <f t="array" ref="AD187">IF(COUNTIF(AD6,"*I*"),
   INDEX($C$150:$AJ$150,
     COUNTIFS($C$6:AD6, "*")
   ),
"")</f>
        <v/>
      </c>
      <c r="AE187" s="40" t="str" cm="1">
        <f t="array" ref="AE187">IF(COUNTIF(AE6,"*I*"),
   INDEX($C$150:$AJ$150,
     COUNTIFS($C$6:AE6, "*")
   ),
"")</f>
        <v/>
      </c>
      <c r="AF187" s="40" t="str" cm="1">
        <f t="array" ref="AF187">IF(COUNTIF(AF6,"*I*"),
   INDEX($C$150:$AJ$150,
     COUNTIFS($C$6:AF6, "*")
   ),
"")</f>
        <v/>
      </c>
      <c r="AG187" s="40" t="str" cm="1">
        <f t="array" ref="AG187">IF(COUNTIF(AG6,"*I*"),
   INDEX($C$150:$AJ$150,
     COUNTIFS($C$6:AG6, "*")
   ),
"")</f>
        <v/>
      </c>
      <c r="AH187" s="40" t="str" cm="1">
        <f t="array" ref="AH187">IF(COUNTIF(AH6,"*I*"),
   INDEX($C$150:$AJ$150,
     COUNTIFS($C$6:AH6, "*")
   ),
"")</f>
        <v/>
      </c>
      <c r="AI187" s="40" t="str" cm="1">
        <f t="array" ref="AI187">IF(COUNTIF(AI6,"*I*"),
   INDEX($C$150:$AJ$150,
     COUNTIFS($C$6:AI6, "*")
   ),
"")</f>
        <v/>
      </c>
      <c r="AJ187" s="40" t="str" cm="1">
        <f t="array" ref="AJ187">IF(COUNTIF(AJ6,"*I*"),
   INDEX($C$150:$AJ$150,
     COUNTIFS($C$6:AJ6, "*")
   ),
"")</f>
        <v/>
      </c>
      <c r="AK187" s="62" t="str">
        <f t="shared" si="15"/>
        <v/>
      </c>
    </row>
    <row r="188" spans="1:37" ht="15" customHeight="1" thickBot="1" x14ac:dyDescent="0.4">
      <c r="A188" s="1196"/>
      <c r="B188" s="22">
        <v>4</v>
      </c>
      <c r="C188" s="40" t="str" cm="1">
        <f t="array" ref="C188">IF(COUNTIF(C7,"*I*"),
   INDEX($C$151:$AJ$151,
     COUNTIFS($C$7:C7, "*")
   ),
"")</f>
        <v/>
      </c>
      <c r="D188" s="40" t="str" cm="1">
        <f t="array" ref="D188">IF(COUNTIF(D7,"*I*"),
   INDEX($C$151:$AJ$151,
     COUNTIFS($C$7:D7, "*")
   ),
"")</f>
        <v/>
      </c>
      <c r="E188" s="40" t="str" cm="1">
        <f t="array" ref="E188">IF(COUNTIF(E7,"*I*"),
   INDEX($C$151:$AJ$151,
     COUNTIFS($C$7:E7, "*")
   ),
"")</f>
        <v/>
      </c>
      <c r="F188" s="40" t="str" cm="1">
        <f t="array" ref="F188">IF(COUNTIF(F7,"*I*"),
   INDEX($C$151:$AJ$151,
     COUNTIFS($C$7:F7, "*")
   ),
"")</f>
        <v/>
      </c>
      <c r="G188" s="40" t="str" cm="1">
        <f t="array" ref="G188">IF(COUNTIF(G7,"*I*"),
   INDEX($C$151:$AJ$151,
     COUNTIFS($C$7:G7, "*")
   ),
"")</f>
        <v/>
      </c>
      <c r="H188" s="40" t="str" cm="1">
        <f t="array" ref="H188">IF(COUNTIF(H7,"*I*"),
   INDEX($C$151:$AJ$151,
     COUNTIFS($C$7:H7, "*")
   ),
"")</f>
        <v/>
      </c>
      <c r="I188" s="40" t="str" cm="1">
        <f t="array" ref="I188">IF(COUNTIF(I7,"*I*"),
   INDEX($C$151:$AJ$151,
     COUNTIFS($C$7:I7, "*")
   ),
"")</f>
        <v/>
      </c>
      <c r="J188" s="40" t="str" cm="1">
        <f t="array" ref="J188">IF(COUNTIF(J7,"*I*"),
   INDEX($C$151:$AJ$151,
     COUNTIFS($C$7:J7, "*")
   ),
"")</f>
        <v/>
      </c>
      <c r="K188" s="40" t="str" cm="1">
        <f t="array" ref="K188">IF(COUNTIF(K7,"*I*"),
   INDEX($C$151:$AJ$151,
     COUNTIFS($C$7:K7, "*")
   ),
"")</f>
        <v/>
      </c>
      <c r="L188" s="40" t="str" cm="1">
        <f t="array" ref="L188">IF(COUNTIF(L7,"*I*"),
   INDEX($C$151:$AJ$151,
     COUNTIFS($C$7:L7, "*")
   ),
"")</f>
        <v/>
      </c>
      <c r="M188" s="40" t="str" cm="1">
        <f t="array" ref="M188">IF(COUNTIF(M7,"*I*"),
   INDEX($C$151:$AJ$151,
     COUNTIFS($C$7:M7, "*")
   ),
"")</f>
        <v/>
      </c>
      <c r="N188" s="40" t="str" cm="1">
        <f t="array" ref="N188">IF(COUNTIF(N7,"*I*"),
   INDEX($C$151:$AJ$151,
     COUNTIFS($C$7:N7, "*")
   ),
"")</f>
        <v/>
      </c>
      <c r="O188" s="40" t="str" cm="1">
        <f t="array" ref="O188">IF(COUNTIF(O7,"*I*"),
   INDEX($C$151:$AJ$151,
     COUNTIFS($C$7:O7, "*")
   ),
"")</f>
        <v/>
      </c>
      <c r="P188" s="40" t="str" cm="1">
        <f t="array" ref="P188">IF(COUNTIF(P7,"*I*"),
   INDEX($C$151:$AJ$151,
     COUNTIFS($C$7:P7, "*")
   ),
"")</f>
        <v/>
      </c>
      <c r="Q188" s="40" t="str" cm="1">
        <f t="array" ref="Q188">IF(COUNTIF(Q7,"*I*"),
   INDEX($C$151:$AJ$151,
     COUNTIFS($C$7:Q7, "*")
   ),
"")</f>
        <v/>
      </c>
      <c r="R188" s="40" t="str" cm="1">
        <f t="array" ref="R188">IF(COUNTIF(R7,"*I*"),
   INDEX($C$151:$AJ$151,
     COUNTIFS($C$7:R7, "*")
   ),
"")</f>
        <v/>
      </c>
      <c r="S188" s="40" t="str" cm="1">
        <f t="array" ref="S188">IF(COUNTIF(S7,"*I*"),
   INDEX($C$151:$AJ$151,
     COUNTIFS($C$7:S7, "*")
   ),
"")</f>
        <v/>
      </c>
      <c r="T188" s="40" t="str" cm="1">
        <f t="array" ref="T188">IF(COUNTIF(T7,"*I*"),
   INDEX($C$151:$AJ$151,
     COUNTIFS($C$7:T7, "*")
   ),
"")</f>
        <v/>
      </c>
      <c r="U188" s="40" t="str" cm="1">
        <f t="array" ref="U188">IF(COUNTIF(U7,"*I*"),
   INDEX($C$151:$AJ$151,
     COUNTIFS($C$7:U7, "*")
   ),
"")</f>
        <v/>
      </c>
      <c r="V188" s="40" t="str" cm="1">
        <f t="array" ref="V188">IF(COUNTIF(V7,"*I*"),
   INDEX($C$151:$AJ$151,
     COUNTIFS($C$7:V7, "*")
   ),
"")</f>
        <v/>
      </c>
      <c r="W188" s="40" t="str" cm="1">
        <f t="array" ref="W188">IF(COUNTIF(W7,"*I*"),
   INDEX($C$151:$AJ$151,
     COUNTIFS($C$7:W7, "*")
   ),
"")</f>
        <v/>
      </c>
      <c r="X188" s="40" t="str" cm="1">
        <f t="array" ref="X188">IF(COUNTIF(X7,"*I*"),
   INDEX($C$151:$AJ$151,
     COUNTIFS($C$7:X7, "*")
   ),
"")</f>
        <v/>
      </c>
      <c r="Y188" s="40" t="str" cm="1">
        <f t="array" ref="Y188">IF(COUNTIF(Y7,"*I*"),
   INDEX($C$151:$AJ$151,
     COUNTIFS($C$7:Y7, "*")
   ),
"")</f>
        <v/>
      </c>
      <c r="Z188" s="40" t="str" cm="1">
        <f t="array" ref="Z188">IF(COUNTIF(Z7,"*I*"),
   INDEX($C$151:$AJ$151,
     COUNTIFS($C$7:Z7, "*")
   ),
"")</f>
        <v/>
      </c>
      <c r="AA188" s="40" t="str" cm="1">
        <f t="array" ref="AA188">IF(COUNTIF(AA7,"*I*"),
   INDEX($C$151:$AJ$151,
     COUNTIFS($C$7:AA7, "*")
   ),
"")</f>
        <v/>
      </c>
      <c r="AB188" s="40" t="str" cm="1">
        <f t="array" ref="AB188">IF(COUNTIF(AB7,"*I*"),
   INDEX($C$151:$AJ$151,
     COUNTIFS($C$7:AB7, "*")
   ),
"")</f>
        <v/>
      </c>
      <c r="AC188" s="40" t="str" cm="1">
        <f t="array" ref="AC188">IF(COUNTIF(AC7,"*I*"),
   INDEX($C$151:$AJ$151,
     COUNTIFS($C$7:AC7, "*")
   ),
"")</f>
        <v/>
      </c>
      <c r="AD188" s="40" t="str" cm="1">
        <f t="array" ref="AD188">IF(COUNTIF(AD7,"*I*"),
   INDEX($C$151:$AJ$151,
     COUNTIFS($C$7:AD7, "*")
   ),
"")</f>
        <v/>
      </c>
      <c r="AE188" s="40" t="str" cm="1">
        <f t="array" ref="AE188">IF(COUNTIF(AE7,"*I*"),
   INDEX($C$151:$AJ$151,
     COUNTIFS($C$7:AE7, "*")
   ),
"")</f>
        <v/>
      </c>
      <c r="AF188" s="40" t="str" cm="1">
        <f t="array" ref="AF188">IF(COUNTIF(AF7,"*I*"),
   INDEX($C$151:$AJ$151,
     COUNTIFS($C$7:AF7, "*")
   ),
"")</f>
        <v/>
      </c>
      <c r="AG188" s="40" t="str" cm="1">
        <f t="array" ref="AG188">IF(COUNTIF(AG7,"*I*"),
   INDEX($C$151:$AJ$151,
     COUNTIFS($C$7:AG7, "*")
   ),
"")</f>
        <v/>
      </c>
      <c r="AH188" s="40" t="str" cm="1">
        <f t="array" ref="AH188">IF(COUNTIF(AH7,"*I*"),
   INDEX($C$151:$AJ$151,
     COUNTIFS($C$7:AH7, "*")
   ),
"")</f>
        <v/>
      </c>
      <c r="AI188" s="40" t="str" cm="1">
        <f t="array" ref="AI188">IF(COUNTIF(AI7,"*I*"),
   INDEX($C$151:$AJ$151,
     COUNTIFS($C$7:AI7, "*")
   ),
"")</f>
        <v/>
      </c>
      <c r="AJ188" s="40" t="str" cm="1">
        <f t="array" ref="AJ188">IF(COUNTIF(AJ7,"*I*"),
   INDEX($C$151:$AJ$151,
     COUNTIFS($C$7:AJ7, "*")
   ),
"")</f>
        <v/>
      </c>
      <c r="AK188" s="62" t="str">
        <f t="shared" si="15"/>
        <v/>
      </c>
    </row>
    <row r="189" spans="1:37" ht="15" customHeight="1" thickBot="1" x14ac:dyDescent="0.4">
      <c r="A189" s="1196"/>
      <c r="B189" s="22">
        <v>5</v>
      </c>
      <c r="C189" s="40" t="str" cm="1">
        <f t="array" ref="C189">IF(COUNTIF(C8,"*I*"),
   INDEX($C$152:$AJ$152,
     COUNTIFS($C$8:C8, "*")
   ),
"")</f>
        <v/>
      </c>
      <c r="D189" s="40" t="str" cm="1">
        <f t="array" ref="D189">IF(COUNTIF(D8,"*I*"),
   INDEX($C$152:$AJ$152,
     COUNTIFS($C$8:D8, "*")
   ),
"")</f>
        <v/>
      </c>
      <c r="E189" s="40" t="str" cm="1">
        <f t="array" ref="E189">IF(COUNTIF(E8,"*I*"),
   INDEX($C$152:$AJ$152,
     COUNTIFS($C$8:E8, "*")
   ),
"")</f>
        <v/>
      </c>
      <c r="F189" s="40" t="str" cm="1">
        <f t="array" ref="F189">IF(COUNTIF(F8,"*I*"),
   INDEX($C$152:$AJ$152,
     COUNTIFS($C$8:F8, "*")
   ),
"")</f>
        <v/>
      </c>
      <c r="G189" s="40" t="str" cm="1">
        <f t="array" ref="G189">IF(COUNTIF(G8,"*I*"),
   INDEX($C$152:$AJ$152,
     COUNTIFS($C$8:G8, "*")
   ),
"")</f>
        <v/>
      </c>
      <c r="H189" s="40" t="str" cm="1">
        <f t="array" ref="H189">IF(COUNTIF(H8,"*I*"),
   INDEX($C$152:$AJ$152,
     COUNTIFS($C$8:H8, "*")
   ),
"")</f>
        <v/>
      </c>
      <c r="I189" s="40" t="str" cm="1">
        <f t="array" ref="I189">IF(COUNTIF(I8,"*I*"),
   INDEX($C$152:$AJ$152,
     COUNTIFS($C$8:I8, "*")
   ),
"")</f>
        <v/>
      </c>
      <c r="J189" s="40" t="str" cm="1">
        <f t="array" ref="J189">IF(COUNTIF(J8,"*I*"),
   INDEX($C$152:$AJ$152,
     COUNTIFS($C$8:J8, "*")
   ),
"")</f>
        <v/>
      </c>
      <c r="K189" s="40" t="str" cm="1">
        <f t="array" ref="K189">IF(COUNTIF(K8,"*I*"),
   INDEX($C$152:$AJ$152,
     COUNTIFS($C$8:K8, "*")
   ),
"")</f>
        <v/>
      </c>
      <c r="L189" s="40" t="str" cm="1">
        <f t="array" ref="L189">IF(COUNTIF(L8,"*I*"),
   INDEX($C$152:$AJ$152,
     COUNTIFS($C$8:L8, "*")
   ),
"")</f>
        <v/>
      </c>
      <c r="M189" s="40" t="str" cm="1">
        <f t="array" ref="M189">IF(COUNTIF(M8,"*I*"),
   INDEX($C$152:$AJ$152,
     COUNTIFS($C$8:M8, "*")
   ),
"")</f>
        <v/>
      </c>
      <c r="N189" s="40" t="str" cm="1">
        <f t="array" ref="N189">IF(COUNTIF(N8,"*I*"),
   INDEX($C$152:$AJ$152,
     COUNTIFS($C$8:N8, "*")
   ),
"")</f>
        <v/>
      </c>
      <c r="O189" s="40" t="str" cm="1">
        <f t="array" ref="O189">IF(COUNTIF(O8,"*I*"),
   INDEX($C$152:$AJ$152,
     COUNTIFS($C$8:O8, "*")
   ),
"")</f>
        <v/>
      </c>
      <c r="P189" s="40" t="str" cm="1">
        <f t="array" ref="P189">IF(COUNTIF(P8,"*I*"),
   INDEX($C$152:$AJ$152,
     COUNTIFS($C$8:P8, "*")
   ),
"")</f>
        <v/>
      </c>
      <c r="Q189" s="40" t="str" cm="1">
        <f t="array" ref="Q189">IF(COUNTIF(Q8,"*I*"),
   INDEX($C$152:$AJ$152,
     COUNTIFS($C$8:Q8, "*")
   ),
"")</f>
        <v/>
      </c>
      <c r="R189" s="40" t="str" cm="1">
        <f t="array" ref="R189">IF(COUNTIF(R8,"*I*"),
   INDEX($C$152:$AJ$152,
     COUNTIFS($C$8:R8, "*")
   ),
"")</f>
        <v/>
      </c>
      <c r="S189" s="40" t="str" cm="1">
        <f t="array" ref="S189">IF(COUNTIF(S8,"*I*"),
   INDEX($C$152:$AJ$152,
     COUNTIFS($C$8:S8, "*")
   ),
"")</f>
        <v/>
      </c>
      <c r="T189" s="40" t="str" cm="1">
        <f t="array" ref="T189">IF(COUNTIF(T8,"*I*"),
   INDEX($C$152:$AJ$152,
     COUNTIFS($C$8:T8, "*")
   ),
"")</f>
        <v/>
      </c>
      <c r="U189" s="40" t="str" cm="1">
        <f t="array" ref="U189">IF(COUNTIF(U8,"*I*"),
   INDEX($C$152:$AJ$152,
     COUNTIFS($C$8:U8, "*")
   ),
"")</f>
        <v/>
      </c>
      <c r="V189" s="40" t="str" cm="1">
        <f t="array" ref="V189">IF(COUNTIF(V8,"*I*"),
   INDEX($C$152:$AJ$152,
     COUNTIFS($C$8:V8, "*")
   ),
"")</f>
        <v/>
      </c>
      <c r="W189" s="40" t="str" cm="1">
        <f t="array" ref="W189">IF(COUNTIF(W8,"*I*"),
   INDEX($C$152:$AJ$152,
     COUNTIFS($C$8:W8, "*")
   ),
"")</f>
        <v/>
      </c>
      <c r="X189" s="40" t="str" cm="1">
        <f t="array" ref="X189">IF(COUNTIF(X8,"*I*"),
   INDEX($C$152:$AJ$152,
     COUNTIFS($C$8:X8, "*")
   ),
"")</f>
        <v/>
      </c>
      <c r="Y189" s="40" t="str" cm="1">
        <f t="array" ref="Y189">IF(COUNTIF(Y8,"*I*"),
   INDEX($C$152:$AJ$152,
     COUNTIFS($C$8:Y8, "*")
   ),
"")</f>
        <v/>
      </c>
      <c r="Z189" s="40" t="str" cm="1">
        <f t="array" ref="Z189">IF(COUNTIF(Z8,"*I*"),
   INDEX($C$152:$AJ$152,
     COUNTIFS($C$8:Z8, "*")
   ),
"")</f>
        <v/>
      </c>
      <c r="AA189" s="40" t="str" cm="1">
        <f t="array" ref="AA189">IF(COUNTIF(AA8,"*I*"),
   INDEX($C$152:$AJ$152,
     COUNTIFS($C$8:AA8, "*")
   ),
"")</f>
        <v/>
      </c>
      <c r="AB189" s="40" t="str" cm="1">
        <f t="array" ref="AB189">IF(COUNTIF(AB8,"*I*"),
   INDEX($C$152:$AJ$152,
     COUNTIFS($C$8:AB8, "*")
   ),
"")</f>
        <v/>
      </c>
      <c r="AC189" s="40" t="str" cm="1">
        <f t="array" ref="AC189">IF(COUNTIF(AC8,"*I*"),
   INDEX($C$152:$AJ$152,
     COUNTIFS($C$8:AC8, "*")
   ),
"")</f>
        <v/>
      </c>
      <c r="AD189" s="40" t="str" cm="1">
        <f t="array" ref="AD189">IF(COUNTIF(AD8,"*I*"),
   INDEX($C$152:$AJ$152,
     COUNTIFS($C$8:AD8, "*")
   ),
"")</f>
        <v/>
      </c>
      <c r="AE189" s="40" t="str" cm="1">
        <f t="array" ref="AE189">IF(COUNTIF(AE8,"*I*"),
   INDEX($C$152:$AJ$152,
     COUNTIFS($C$8:AE8, "*")
   ),
"")</f>
        <v/>
      </c>
      <c r="AF189" s="40" t="str" cm="1">
        <f t="array" ref="AF189">IF(COUNTIF(AF8,"*I*"),
   INDEX($C$152:$AJ$152,
     COUNTIFS($C$8:AF8, "*")
   ),
"")</f>
        <v/>
      </c>
      <c r="AG189" s="40" t="str" cm="1">
        <f t="array" ref="AG189">IF(COUNTIF(AG8,"*I*"),
   INDEX($C$152:$AJ$152,
     COUNTIFS($C$8:AG8, "*")
   ),
"")</f>
        <v/>
      </c>
      <c r="AH189" s="40" t="str" cm="1">
        <f t="array" ref="AH189">IF(COUNTIF(AH8,"*I*"),
   INDEX($C$152:$AJ$152,
     COUNTIFS($C$8:AH8, "*")
   ),
"")</f>
        <v/>
      </c>
      <c r="AI189" s="40" t="str" cm="1">
        <f t="array" ref="AI189">IF(COUNTIF(AI8,"*I*"),
   INDEX($C$152:$AJ$152,
     COUNTIFS($C$8:AI8, "*")
   ),
"")</f>
        <v/>
      </c>
      <c r="AJ189" s="40" t="str" cm="1">
        <f t="array" ref="AJ189">IF(COUNTIF(AJ8,"*I*"),
   INDEX($C$152:$AJ$152,
     COUNTIFS($C$8:AJ8, "*")
   ),
"")</f>
        <v/>
      </c>
      <c r="AK189" s="62" t="str">
        <f t="shared" si="15"/>
        <v/>
      </c>
    </row>
    <row r="190" spans="1:37" ht="15" customHeight="1" thickBot="1" x14ac:dyDescent="0.4">
      <c r="A190" s="1196"/>
      <c r="B190" s="22">
        <v>6</v>
      </c>
      <c r="C190" s="40" t="str" cm="1">
        <f t="array" ref="C190">IF(COUNTIF(C9,"*I*"),
   INDEX($C$153:$AJ$153,
     COUNTIFS($C$9:C9, "*")
   ),
"")</f>
        <v/>
      </c>
      <c r="D190" s="40" t="str" cm="1">
        <f t="array" ref="D190">IF(COUNTIF(D9,"*I*"),
   INDEX($C$153:$AJ$153,
     COUNTIFS($C$9:D9, "*")
   ),
"")</f>
        <v/>
      </c>
      <c r="E190" s="40" t="str" cm="1">
        <f t="array" ref="E190">IF(COUNTIF(E9,"*I*"),
   INDEX($C$153:$AJ$153,
     COUNTIFS($C$9:E9, "*")
   ),
"")</f>
        <v/>
      </c>
      <c r="F190" s="40" t="str" cm="1">
        <f t="array" ref="F190">IF(COUNTIF(F9,"*I*"),
   INDEX($C$153:$AJ$153,
     COUNTIFS($C$9:F9, "*")
   ),
"")</f>
        <v/>
      </c>
      <c r="G190" s="40" t="str" cm="1">
        <f t="array" ref="G190">IF(COUNTIF(G9,"*I*"),
   INDEX($C$153:$AJ$153,
     COUNTIFS($C$9:G9, "*")
   ),
"")</f>
        <v/>
      </c>
      <c r="H190" s="40" t="str" cm="1">
        <f t="array" ref="H190">IF(COUNTIF(H9,"*I*"),
   INDEX($C$153:$AJ$153,
     COUNTIFS($C$9:H9, "*")
   ),
"")</f>
        <v/>
      </c>
      <c r="I190" s="40" t="str" cm="1">
        <f t="array" ref="I190">IF(COUNTIF(I9,"*I*"),
   INDEX($C$153:$AJ$153,
     COUNTIFS($C$9:I9, "*")
   ),
"")</f>
        <v/>
      </c>
      <c r="J190" s="40" t="str" cm="1">
        <f t="array" ref="J190">IF(COUNTIF(J9,"*I*"),
   INDEX($C$153:$AJ$153,
     COUNTIFS($C$9:J9, "*")
   ),
"")</f>
        <v/>
      </c>
      <c r="K190" s="40" t="str" cm="1">
        <f t="array" ref="K190">IF(COUNTIF(K9,"*I*"),
   INDEX($C$153:$AJ$153,
     COUNTIFS($C$9:K9, "*")
   ),
"")</f>
        <v/>
      </c>
      <c r="L190" s="40" t="str" cm="1">
        <f t="array" ref="L190">IF(COUNTIF(L9,"*I*"),
   INDEX($C$153:$AJ$153,
     COUNTIFS($C$9:L9, "*")
   ),
"")</f>
        <v/>
      </c>
      <c r="M190" s="40" t="str" cm="1">
        <f t="array" ref="M190">IF(COUNTIF(M9,"*I*"),
   INDEX($C$153:$AJ$153,
     COUNTIFS($C$9:M9, "*")
   ),
"")</f>
        <v/>
      </c>
      <c r="N190" s="40" t="str" cm="1">
        <f t="array" ref="N190">IF(COUNTIF(N9,"*I*"),
   INDEX($C$153:$AJ$153,
     COUNTIFS($C$9:N9, "*")
   ),
"")</f>
        <v/>
      </c>
      <c r="O190" s="40" t="str" cm="1">
        <f t="array" ref="O190">IF(COUNTIF(O9,"*I*"),
   INDEX($C$153:$AJ$153,
     COUNTIFS($C$9:O9, "*")
   ),
"")</f>
        <v/>
      </c>
      <c r="P190" s="40" t="str" cm="1">
        <f t="array" ref="P190">IF(COUNTIF(P9,"*I*"),
   INDEX($C$153:$AJ$153,
     COUNTIFS($C$9:P9, "*")
   ),
"")</f>
        <v/>
      </c>
      <c r="Q190" s="40" t="str" cm="1">
        <f t="array" ref="Q190">IF(COUNTIF(Q9,"*I*"),
   INDEX($C$153:$AJ$153,
     COUNTIFS($C$9:Q9, "*")
   ),
"")</f>
        <v/>
      </c>
      <c r="R190" s="40" t="str" cm="1">
        <f t="array" ref="R190">IF(COUNTIF(R9,"*I*"),
   INDEX($C$153:$AJ$153,
     COUNTIFS($C$9:R9, "*")
   ),
"")</f>
        <v/>
      </c>
      <c r="S190" s="40" t="str" cm="1">
        <f t="array" ref="S190">IF(COUNTIF(S9,"*I*"),
   INDEX($C$153:$AJ$153,
     COUNTIFS($C$9:S9, "*")
   ),
"")</f>
        <v/>
      </c>
      <c r="T190" s="40" t="str" cm="1">
        <f t="array" ref="T190">IF(COUNTIF(T9,"*I*"),
   INDEX($C$153:$AJ$153,
     COUNTIFS($C$9:T9, "*")
   ),
"")</f>
        <v/>
      </c>
      <c r="U190" s="40" t="str" cm="1">
        <f t="array" ref="U190">IF(COUNTIF(U9,"*I*"),
   INDEX($C$153:$AJ$153,
     COUNTIFS($C$9:U9, "*")
   ),
"")</f>
        <v/>
      </c>
      <c r="V190" s="40" t="str" cm="1">
        <f t="array" ref="V190">IF(COUNTIF(V9,"*I*"),
   INDEX($C$153:$AJ$153,
     COUNTIFS($C$9:V9, "*")
   ),
"")</f>
        <v/>
      </c>
      <c r="W190" s="40" t="str" cm="1">
        <f t="array" ref="W190">IF(COUNTIF(W9,"*I*"),
   INDEX($C$153:$AJ$153,
     COUNTIFS($C$9:W9, "*")
   ),
"")</f>
        <v/>
      </c>
      <c r="X190" s="40" t="str" cm="1">
        <f t="array" ref="X190">IF(COUNTIF(X9,"*I*"),
   INDEX($C$153:$AJ$153,
     COUNTIFS($C$9:X9, "*")
   ),
"")</f>
        <v/>
      </c>
      <c r="Y190" s="40" t="str" cm="1">
        <f t="array" ref="Y190">IF(COUNTIF(Y9,"*I*"),
   INDEX($C$153:$AJ$153,
     COUNTIFS($C$9:Y9, "*")
   ),
"")</f>
        <v/>
      </c>
      <c r="Z190" s="40" t="str" cm="1">
        <f t="array" ref="Z190">IF(COUNTIF(Z9,"*I*"),
   INDEX($C$153:$AJ$153,
     COUNTIFS($C$9:Z9, "*")
   ),
"")</f>
        <v/>
      </c>
      <c r="AA190" s="40" t="str" cm="1">
        <f t="array" ref="AA190">IF(COUNTIF(AA9,"*I*"),
   INDEX($C$153:$AJ$153,
     COUNTIFS($C$9:AA9, "*")
   ),
"")</f>
        <v/>
      </c>
      <c r="AB190" s="40" t="str" cm="1">
        <f t="array" ref="AB190">IF(COUNTIF(AB9,"*I*"),
   INDEX($C$153:$AJ$153,
     COUNTIFS($C$9:AB9, "*")
   ),
"")</f>
        <v/>
      </c>
      <c r="AC190" s="40" t="str" cm="1">
        <f t="array" ref="AC190">IF(COUNTIF(AC9,"*I*"),
   INDEX($C$153:$AJ$153,
     COUNTIFS($C$9:AC9, "*")
   ),
"")</f>
        <v/>
      </c>
      <c r="AD190" s="40" t="str" cm="1">
        <f t="array" ref="AD190">IF(COUNTIF(AD9,"*I*"),
   INDEX($C$153:$AJ$153,
     COUNTIFS($C$9:AD9, "*")
   ),
"")</f>
        <v/>
      </c>
      <c r="AE190" s="40" t="str" cm="1">
        <f t="array" ref="AE190">IF(COUNTIF(AE9,"*I*"),
   INDEX($C$153:$AJ$153,
     COUNTIFS($C$9:AE9, "*")
   ),
"")</f>
        <v/>
      </c>
      <c r="AF190" s="40" t="str" cm="1">
        <f t="array" ref="AF190">IF(COUNTIF(AF9,"*I*"),
   INDEX($C$153:$AJ$153,
     COUNTIFS($C$9:AF9, "*")
   ),
"")</f>
        <v/>
      </c>
      <c r="AG190" s="40" t="str" cm="1">
        <f t="array" ref="AG190">IF(COUNTIF(AG9,"*I*"),
   INDEX($C$153:$AJ$153,
     COUNTIFS($C$9:AG9, "*")
   ),
"")</f>
        <v/>
      </c>
      <c r="AH190" s="40" t="str" cm="1">
        <f t="array" ref="AH190">IF(COUNTIF(AH9,"*I*"),
   INDEX($C$153:$AJ$153,
     COUNTIFS($C$9:AH9, "*")
   ),
"")</f>
        <v/>
      </c>
      <c r="AI190" s="40" t="str" cm="1">
        <f t="array" ref="AI190">IF(COUNTIF(AI9,"*I*"),
   INDEX($C$153:$AJ$153,
     COUNTIFS($C$9:AI9, "*")
   ),
"")</f>
        <v/>
      </c>
      <c r="AJ190" s="40" t="str" cm="1">
        <f t="array" ref="AJ190">IF(COUNTIF(AJ9,"*I*"),
   INDEX($C$153:$AJ$153,
     COUNTIFS($C$9:AJ9, "*")
   ),
"")</f>
        <v/>
      </c>
      <c r="AK190" s="62" t="str">
        <f t="shared" si="15"/>
        <v/>
      </c>
    </row>
    <row r="191" spans="1:37" ht="15" customHeight="1" thickBot="1" x14ac:dyDescent="0.4">
      <c r="A191" s="1196"/>
      <c r="B191" s="22">
        <v>7</v>
      </c>
      <c r="C191" s="40" t="str" cm="1">
        <f t="array" ref="C191">IF(COUNTIF(C10,"*I*"),
   INDEX($C$154:$AJ$154,
     COUNTIFS($C$10:C10, "*")
   ),
"")</f>
        <v/>
      </c>
      <c r="D191" s="40" t="str" cm="1">
        <f t="array" ref="D191">IF(COUNTIF(D10,"*I*"),
   INDEX($C$154:$AJ$154,
     COUNTIFS($C$10:D10, "*")
   ),
"")</f>
        <v/>
      </c>
      <c r="E191" s="40" t="str" cm="1">
        <f t="array" ref="E191">IF(COUNTIF(E10,"*I*"),
   INDEX($C$154:$AJ$154,
     COUNTIFS($C$10:E10, "*")
   ),
"")</f>
        <v/>
      </c>
      <c r="F191" s="40" t="str" cm="1">
        <f t="array" ref="F191">IF(COUNTIF(F10,"*I*"),
   INDEX($C$154:$AJ$154,
     COUNTIFS($C$10:F10, "*")
   ),
"")</f>
        <v/>
      </c>
      <c r="G191" s="40" t="str" cm="1">
        <f t="array" ref="G191">IF(COUNTIF(G10,"*I*"),
   INDEX($C$154:$AJ$154,
     COUNTIFS($C$10:G10, "*")
   ),
"")</f>
        <v/>
      </c>
      <c r="H191" s="40" t="str" cm="1">
        <f t="array" ref="H191">IF(COUNTIF(H10,"*I*"),
   INDEX($C$154:$AJ$154,
     COUNTIFS($C$10:H10, "*")
   ),
"")</f>
        <v/>
      </c>
      <c r="I191" s="40" t="str" cm="1">
        <f t="array" ref="I191">IF(COUNTIF(I10,"*I*"),
   INDEX($C$154:$AJ$154,
     COUNTIFS($C$10:I10, "*")
   ),
"")</f>
        <v/>
      </c>
      <c r="J191" s="40" t="str" cm="1">
        <f t="array" ref="J191">IF(COUNTIF(J10,"*I*"),
   INDEX($C$154:$AJ$154,
     COUNTIFS($C$10:J10, "*")
   ),
"")</f>
        <v/>
      </c>
      <c r="K191" s="40" t="str" cm="1">
        <f t="array" ref="K191">IF(COUNTIF(K10,"*I*"),
   INDEX($C$154:$AJ$154,
     COUNTIFS($C$10:K10, "*")
   ),
"")</f>
        <v/>
      </c>
      <c r="L191" s="40" t="str" cm="1">
        <f t="array" ref="L191">IF(COUNTIF(L10,"*I*"),
   INDEX($C$154:$AJ$154,
     COUNTIFS($C$10:L10, "*")
   ),
"")</f>
        <v/>
      </c>
      <c r="M191" s="40" t="str" cm="1">
        <f t="array" ref="M191">IF(COUNTIF(M10,"*I*"),
   INDEX($C$154:$AJ$154,
     COUNTIFS($C$10:M10, "*")
   ),
"")</f>
        <v/>
      </c>
      <c r="N191" s="40" t="str" cm="1">
        <f t="array" ref="N191">IF(COUNTIF(N10,"*I*"),
   INDEX($C$154:$AJ$154,
     COUNTIFS($C$10:N10, "*")
   ),
"")</f>
        <v/>
      </c>
      <c r="O191" s="40" t="str" cm="1">
        <f t="array" ref="O191">IF(COUNTIF(O10,"*I*"),
   INDEX($C$154:$AJ$154,
     COUNTIFS($C$10:O10, "*")
   ),
"")</f>
        <v/>
      </c>
      <c r="P191" s="40" t="str" cm="1">
        <f t="array" ref="P191">IF(COUNTIF(P10,"*I*"),
   INDEX($C$154:$AJ$154,
     COUNTIFS($C$10:P10, "*")
   ),
"")</f>
        <v/>
      </c>
      <c r="Q191" s="40" t="str" cm="1">
        <f t="array" ref="Q191">IF(COUNTIF(Q10,"*I*"),
   INDEX($C$154:$AJ$154,
     COUNTIFS($C$10:Q10, "*")
   ),
"")</f>
        <v/>
      </c>
      <c r="R191" s="40" t="str" cm="1">
        <f t="array" ref="R191">IF(COUNTIF(R10,"*I*"),
   INDEX($C$154:$AJ$154,
     COUNTIFS($C$10:R10, "*")
   ),
"")</f>
        <v/>
      </c>
      <c r="S191" s="40" t="str" cm="1">
        <f t="array" ref="S191">IF(COUNTIF(S10,"*I*"),
   INDEX($C$154:$AJ$154,
     COUNTIFS($C$10:S10, "*")
   ),
"")</f>
        <v/>
      </c>
      <c r="T191" s="40" t="str" cm="1">
        <f t="array" ref="T191">IF(COUNTIF(T10,"*I*"),
   INDEX($C$154:$AJ$154,
     COUNTIFS($C$10:T10, "*")
   ),
"")</f>
        <v/>
      </c>
      <c r="U191" s="40" t="str" cm="1">
        <f t="array" ref="U191">IF(COUNTIF(U10,"*I*"),
   INDEX($C$154:$AJ$154,
     COUNTIFS($C$10:U10, "*")
   ),
"")</f>
        <v/>
      </c>
      <c r="V191" s="40" t="str" cm="1">
        <f t="array" ref="V191">IF(COUNTIF(V10,"*I*"),
   INDEX($C$154:$AJ$154,
     COUNTIFS($C$10:V10, "*")
   ),
"")</f>
        <v/>
      </c>
      <c r="W191" s="40" t="str" cm="1">
        <f t="array" ref="W191">IF(COUNTIF(W10,"*I*"),
   INDEX($C$154:$AJ$154,
     COUNTIFS($C$10:W10, "*")
   ),
"")</f>
        <v/>
      </c>
      <c r="X191" s="40" t="str" cm="1">
        <f t="array" ref="X191">IF(COUNTIF(X10,"*I*"),
   INDEX($C$154:$AJ$154,
     COUNTIFS($C$10:X10, "*")
   ),
"")</f>
        <v/>
      </c>
      <c r="Y191" s="40" t="str" cm="1">
        <f t="array" ref="Y191">IF(COUNTIF(Y10,"*I*"),
   INDEX($C$154:$AJ$154,
     COUNTIFS($C$10:Y10, "*")
   ),
"")</f>
        <v/>
      </c>
      <c r="Z191" s="40" t="str" cm="1">
        <f t="array" ref="Z191">IF(COUNTIF(Z10,"*I*"),
   INDEX($C$154:$AJ$154,
     COUNTIFS($C$10:Z10, "*")
   ),
"")</f>
        <v/>
      </c>
      <c r="AA191" s="40" t="str" cm="1">
        <f t="array" ref="AA191">IF(COUNTIF(AA10,"*I*"),
   INDEX($C$154:$AJ$154,
     COUNTIFS($C$10:AA10, "*")
   ),
"")</f>
        <v/>
      </c>
      <c r="AB191" s="40" t="str" cm="1">
        <f t="array" ref="AB191">IF(COUNTIF(AB10,"*I*"),
   INDEX($C$154:$AJ$154,
     COUNTIFS($C$10:AB10, "*")
   ),
"")</f>
        <v/>
      </c>
      <c r="AC191" s="40" t="str" cm="1">
        <f t="array" ref="AC191">IF(COUNTIF(AC10,"*I*"),
   INDEX($C$154:$AJ$154,
     COUNTIFS($C$10:AC10, "*")
   ),
"")</f>
        <v/>
      </c>
      <c r="AD191" s="40" t="str" cm="1">
        <f t="array" ref="AD191">IF(COUNTIF(AD10,"*I*"),
   INDEX($C$154:$AJ$154,
     COUNTIFS($C$10:AD10, "*")
   ),
"")</f>
        <v/>
      </c>
      <c r="AE191" s="40" t="str" cm="1">
        <f t="array" ref="AE191">IF(COUNTIF(AE10,"*I*"),
   INDEX($C$154:$AJ$154,
     COUNTIFS($C$10:AE10, "*")
   ),
"")</f>
        <v/>
      </c>
      <c r="AF191" s="40" t="str" cm="1">
        <f t="array" ref="AF191">IF(COUNTIF(AF10,"*I*"),
   INDEX($C$154:$AJ$154,
     COUNTIFS($C$10:AF10, "*")
   ),
"")</f>
        <v/>
      </c>
      <c r="AG191" s="40" t="str" cm="1">
        <f t="array" ref="AG191">IF(COUNTIF(AG10,"*I*"),
   INDEX($C$154:$AJ$154,
     COUNTIFS($C$10:AG10, "*")
   ),
"")</f>
        <v/>
      </c>
      <c r="AH191" s="40" t="str" cm="1">
        <f t="array" ref="AH191">IF(COUNTIF(AH10,"*I*"),
   INDEX($C$154:$AJ$154,
     COUNTIFS($C$10:AH10, "*")
   ),
"")</f>
        <v/>
      </c>
      <c r="AI191" s="40" t="str" cm="1">
        <f t="array" ref="AI191">IF(COUNTIF(AI10,"*I*"),
   INDEX($C$154:$AJ$154,
     COUNTIFS($C$10:AI10, "*")
   ),
"")</f>
        <v/>
      </c>
      <c r="AJ191" s="40" t="str" cm="1">
        <f t="array" ref="AJ191">IF(COUNTIF(AJ10,"*I*"),
   INDEX($C$154:$AJ$154,
     COUNTIFS($C$10:AJ10, "*")
   ),
"")</f>
        <v/>
      </c>
      <c r="AK191" s="62" t="str">
        <f t="shared" si="15"/>
        <v/>
      </c>
    </row>
    <row r="192" spans="1:37" ht="15" customHeight="1" thickBot="1" x14ac:dyDescent="0.4">
      <c r="A192" s="1196"/>
      <c r="B192" s="22">
        <v>8</v>
      </c>
      <c r="C192" s="40" t="str" cm="1">
        <f t="array" ref="C192">IF(COUNTIF(C11,"*I*"),
   INDEX($C$155:$AJ$155,
     COUNTIFS($C$11:C11, "*")
   ),
"")</f>
        <v/>
      </c>
      <c r="D192" s="40" t="str" cm="1">
        <f t="array" ref="D192">IF(COUNTIF(D11,"*I*"),
   INDEX($C$155:$AJ$155,
     COUNTIFS($C$11:D11, "*")
   ),
"")</f>
        <v/>
      </c>
      <c r="E192" s="40" t="str" cm="1">
        <f t="array" ref="E192">IF(COUNTIF(E11,"*I*"),
   INDEX($C$155:$AJ$155,
     COUNTIFS($C$11:E11, "*")
   ),
"")</f>
        <v/>
      </c>
      <c r="F192" s="40" t="str" cm="1">
        <f t="array" ref="F192">IF(COUNTIF(F11,"*I*"),
   INDEX($C$155:$AJ$155,
     COUNTIFS($C$11:F11, "*")
   ),
"")</f>
        <v/>
      </c>
      <c r="G192" s="40" t="str" cm="1">
        <f t="array" ref="G192">IF(COUNTIF(G11,"*I*"),
   INDEX($C$155:$AJ$155,
     COUNTIFS($C$11:G11, "*")
   ),
"")</f>
        <v/>
      </c>
      <c r="H192" s="40" t="str" cm="1">
        <f t="array" ref="H192">IF(COUNTIF(H11,"*I*"),
   INDEX($C$155:$AJ$155,
     COUNTIFS($C$11:H11, "*")
   ),
"")</f>
        <v/>
      </c>
      <c r="I192" s="40" t="str" cm="1">
        <f t="array" ref="I192">IF(COUNTIF(I11,"*I*"),
   INDEX($C$155:$AJ$155,
     COUNTIFS($C$11:I11, "*")
   ),
"")</f>
        <v/>
      </c>
      <c r="J192" s="40" t="str" cm="1">
        <f t="array" ref="J192">IF(COUNTIF(J11,"*I*"),
   INDEX($C$155:$AJ$155,
     COUNTIFS($C$11:J11, "*")
   ),
"")</f>
        <v/>
      </c>
      <c r="K192" s="40" t="str" cm="1">
        <f t="array" ref="K192">IF(COUNTIF(K11,"*I*"),
   INDEX($C$155:$AJ$155,
     COUNTIFS($C$11:K11, "*")
   ),
"")</f>
        <v/>
      </c>
      <c r="L192" s="40" t="str" cm="1">
        <f t="array" ref="L192">IF(COUNTIF(L11,"*I*"),
   INDEX($C$155:$AJ$155,
     COUNTIFS($C$11:L11, "*")
   ),
"")</f>
        <v/>
      </c>
      <c r="M192" s="40" t="str" cm="1">
        <f t="array" ref="M192">IF(COUNTIF(M11,"*I*"),
   INDEX($C$155:$AJ$155,
     COUNTIFS($C$11:M11, "*")
   ),
"")</f>
        <v/>
      </c>
      <c r="N192" s="40" t="str" cm="1">
        <f t="array" ref="N192">IF(COUNTIF(N11,"*I*"),
   INDEX($C$155:$AJ$155,
     COUNTIFS($C$11:N11, "*")
   ),
"")</f>
        <v/>
      </c>
      <c r="O192" s="40" t="str" cm="1">
        <f t="array" ref="O192">IF(COUNTIF(O11,"*I*"),
   INDEX($C$155:$AJ$155,
     COUNTIFS($C$11:O11, "*")
   ),
"")</f>
        <v/>
      </c>
      <c r="P192" s="40" t="str" cm="1">
        <f t="array" ref="P192">IF(COUNTIF(P11,"*I*"),
   INDEX($C$155:$AJ$155,
     COUNTIFS($C$11:P11, "*")
   ),
"")</f>
        <v/>
      </c>
      <c r="Q192" s="40" t="str" cm="1">
        <f t="array" ref="Q192">IF(COUNTIF(Q11,"*I*"),
   INDEX($C$155:$AJ$155,
     COUNTIFS($C$11:Q11, "*")
   ),
"")</f>
        <v/>
      </c>
      <c r="R192" s="40" t="str" cm="1">
        <f t="array" ref="R192">IF(COUNTIF(R11,"*I*"),
   INDEX($C$155:$AJ$155,
     COUNTIFS($C$11:R11, "*")
   ),
"")</f>
        <v/>
      </c>
      <c r="S192" s="40" t="str" cm="1">
        <f t="array" ref="S192">IF(COUNTIF(S11,"*I*"),
   INDEX($C$155:$AJ$155,
     COUNTIFS($C$11:S11, "*")
   ),
"")</f>
        <v/>
      </c>
      <c r="T192" s="40" t="str" cm="1">
        <f t="array" ref="T192">IF(COUNTIF(T11,"*I*"),
   INDEX($C$155:$AJ$155,
     COUNTIFS($C$11:T11, "*")
   ),
"")</f>
        <v/>
      </c>
      <c r="U192" s="40" t="str" cm="1">
        <f t="array" ref="U192">IF(COUNTIF(U11,"*I*"),
   INDEX($C$155:$AJ$155,
     COUNTIFS($C$11:U11, "*")
   ),
"")</f>
        <v/>
      </c>
      <c r="V192" s="40" t="str" cm="1">
        <f t="array" ref="V192">IF(COUNTIF(V11,"*I*"),
   INDEX($C$155:$AJ$155,
     COUNTIFS($C$11:V11, "*")
   ),
"")</f>
        <v/>
      </c>
      <c r="W192" s="40" t="str" cm="1">
        <f t="array" ref="W192">IF(COUNTIF(W11,"*I*"),
   INDEX($C$155:$AJ$155,
     COUNTIFS($C$11:W11, "*")
   ),
"")</f>
        <v/>
      </c>
      <c r="X192" s="40" t="str" cm="1">
        <f t="array" ref="X192">IF(COUNTIF(X11,"*I*"),
   INDEX($C$155:$AJ$155,
     COUNTIFS($C$11:X11, "*")
   ),
"")</f>
        <v/>
      </c>
      <c r="Y192" s="40" t="str" cm="1">
        <f t="array" ref="Y192">IF(COUNTIF(Y11,"*I*"),
   INDEX($C$155:$AJ$155,
     COUNTIFS($C$11:Y11, "*")
   ),
"")</f>
        <v/>
      </c>
      <c r="Z192" s="40" t="str" cm="1">
        <f t="array" ref="Z192">IF(COUNTIF(Z11,"*I*"),
   INDEX($C$155:$AJ$155,
     COUNTIFS($C$11:Z11, "*")
   ),
"")</f>
        <v/>
      </c>
      <c r="AA192" s="40" t="str" cm="1">
        <f t="array" ref="AA192">IF(COUNTIF(AA11,"*I*"),
   INDEX($C$155:$AJ$155,
     COUNTIFS($C$11:AA11, "*")
   ),
"")</f>
        <v/>
      </c>
      <c r="AB192" s="40" t="str" cm="1">
        <f t="array" ref="AB192">IF(COUNTIF(AB11,"*I*"),
   INDEX($C$155:$AJ$155,
     COUNTIFS($C$11:AB11, "*")
   ),
"")</f>
        <v/>
      </c>
      <c r="AC192" s="40" t="str" cm="1">
        <f t="array" ref="AC192">IF(COUNTIF(AC11,"*I*"),
   INDEX($C$155:$AJ$155,
     COUNTIFS($C$11:AC11, "*")
   ),
"")</f>
        <v/>
      </c>
      <c r="AD192" s="40" t="str" cm="1">
        <f t="array" ref="AD192">IF(COUNTIF(AD11,"*I*"),
   INDEX($C$155:$AJ$155,
     COUNTIFS($C$11:AD11, "*")
   ),
"")</f>
        <v/>
      </c>
      <c r="AE192" s="40" t="str" cm="1">
        <f t="array" ref="AE192">IF(COUNTIF(AE11,"*I*"),
   INDEX($C$155:$AJ$155,
     COUNTIFS($C$11:AE11, "*")
   ),
"")</f>
        <v/>
      </c>
      <c r="AF192" s="40" t="str" cm="1">
        <f t="array" ref="AF192">IF(COUNTIF(AF11,"*I*"),
   INDEX($C$155:$AJ$155,
     COUNTIFS($C$11:AF11, "*")
   ),
"")</f>
        <v/>
      </c>
      <c r="AG192" s="40" t="str" cm="1">
        <f t="array" ref="AG192">IF(COUNTIF(AG11,"*I*"),
   INDEX($C$155:$AJ$155,
     COUNTIFS($C$11:AG11, "*")
   ),
"")</f>
        <v/>
      </c>
      <c r="AH192" s="40" t="str" cm="1">
        <f t="array" ref="AH192">IF(COUNTIF(AH11,"*I*"),
   INDEX($C$155:$AJ$155,
     COUNTIFS($C$11:AH11, "*")
   ),
"")</f>
        <v/>
      </c>
      <c r="AI192" s="40" t="str" cm="1">
        <f t="array" ref="AI192">IF(COUNTIF(AI11,"*I*"),
   INDEX($C$155:$AJ$155,
     COUNTIFS($C$11:AI11, "*")
   ),
"")</f>
        <v/>
      </c>
      <c r="AJ192" s="40" t="str" cm="1">
        <f t="array" ref="AJ192">IF(COUNTIF(AJ11,"*I*"),
   INDEX($C$155:$AJ$155,
     COUNTIFS($C$11:AJ11, "*")
   ),
"")</f>
        <v/>
      </c>
      <c r="AK192" s="62" t="str">
        <f t="shared" si="15"/>
        <v/>
      </c>
    </row>
    <row r="193" spans="1:37" ht="15" customHeight="1" thickBot="1" x14ac:dyDescent="0.4">
      <c r="A193" s="1196"/>
      <c r="B193" s="22">
        <v>9</v>
      </c>
      <c r="C193" s="40" t="str" cm="1">
        <f t="array" ref="C193">IF(COUNTIF(C12,"*I*"),
   INDEX($C$156:$AJ$156,
     COUNTIFS($C$12:C12, "*")
   ),
"")</f>
        <v/>
      </c>
      <c r="D193" s="40" t="str" cm="1">
        <f t="array" ref="D193">IF(COUNTIF(D12,"*I*"),
   INDEX($C$156:$AJ$156,
     COUNTIFS($C$12:D12, "*")
   ),
"")</f>
        <v/>
      </c>
      <c r="E193" s="40" t="str" cm="1">
        <f t="array" ref="E193">IF(COUNTIF(E12,"*I*"),
   INDEX($C$156:$AJ$156,
     COUNTIFS($C$12:E12, "*")
   ),
"")</f>
        <v/>
      </c>
      <c r="F193" s="40" t="str" cm="1">
        <f t="array" ref="F193">IF(COUNTIF(F12,"*I*"),
   INDEX($C$156:$AJ$156,
     COUNTIFS($C$12:F12, "*")
   ),
"")</f>
        <v/>
      </c>
      <c r="G193" s="40" t="str" cm="1">
        <f t="array" ref="G193">IF(COUNTIF(G12,"*I*"),
   INDEX($C$156:$AJ$156,
     COUNTIFS($C$12:G12, "*")
   ),
"")</f>
        <v/>
      </c>
      <c r="H193" s="40" t="str" cm="1">
        <f t="array" ref="H193">IF(COUNTIF(H12,"*I*"),
   INDEX($C$156:$AJ$156,
     COUNTIFS($C$12:H12, "*")
   ),
"")</f>
        <v/>
      </c>
      <c r="I193" s="40" t="str" cm="1">
        <f t="array" ref="I193">IF(COUNTIF(I12,"*I*"),
   INDEX($C$156:$AJ$156,
     COUNTIFS($C$12:I12, "*")
   ),
"")</f>
        <v/>
      </c>
      <c r="J193" s="40" t="str" cm="1">
        <f t="array" ref="J193">IF(COUNTIF(J12,"*I*"),
   INDEX($C$156:$AJ$156,
     COUNTIFS($C$12:J12, "*")
   ),
"")</f>
        <v/>
      </c>
      <c r="K193" s="40" t="str" cm="1">
        <f t="array" ref="K193">IF(COUNTIF(K12,"*I*"),
   INDEX($C$156:$AJ$156,
     COUNTIFS($C$12:K12, "*")
   ),
"")</f>
        <v/>
      </c>
      <c r="L193" s="40" t="str" cm="1">
        <f t="array" ref="L193">IF(COUNTIF(L12,"*I*"),
   INDEX($C$156:$AJ$156,
     COUNTIFS($C$12:L12, "*")
   ),
"")</f>
        <v/>
      </c>
      <c r="M193" s="40" t="str" cm="1">
        <f t="array" ref="M193">IF(COUNTIF(M12,"*I*"),
   INDEX($C$156:$AJ$156,
     COUNTIFS($C$12:M12, "*")
   ),
"")</f>
        <v/>
      </c>
      <c r="N193" s="40" t="str" cm="1">
        <f t="array" ref="N193">IF(COUNTIF(N12,"*I*"),
   INDEX($C$156:$AJ$156,
     COUNTIFS($C$12:N12, "*")
   ),
"")</f>
        <v/>
      </c>
      <c r="O193" s="40" t="str" cm="1">
        <f t="array" ref="O193">IF(COUNTIF(O12,"*I*"),
   INDEX($C$156:$AJ$156,
     COUNTIFS($C$12:O12, "*")
   ),
"")</f>
        <v/>
      </c>
      <c r="P193" s="40" t="str" cm="1">
        <f t="array" ref="P193">IF(COUNTIF(P12,"*I*"),
   INDEX($C$156:$AJ$156,
     COUNTIFS($C$12:P12, "*")
   ),
"")</f>
        <v/>
      </c>
      <c r="Q193" s="40" t="str" cm="1">
        <f t="array" ref="Q193">IF(COUNTIF(Q12,"*I*"),
   INDEX($C$156:$AJ$156,
     COUNTIFS($C$12:Q12, "*")
   ),
"")</f>
        <v/>
      </c>
      <c r="R193" s="40" t="str" cm="1">
        <f t="array" ref="R193">IF(COUNTIF(R12,"*I*"),
   INDEX($C$156:$AJ$156,
     COUNTIFS($C$12:R12, "*")
   ),
"")</f>
        <v/>
      </c>
      <c r="S193" s="40" t="str" cm="1">
        <f t="array" ref="S193">IF(COUNTIF(S12,"*I*"),
   INDEX($C$156:$AJ$156,
     COUNTIFS($C$12:S12, "*")
   ),
"")</f>
        <v/>
      </c>
      <c r="T193" s="40" t="str" cm="1">
        <f t="array" ref="T193">IF(COUNTIF(T12,"*I*"),
   INDEX($C$156:$AJ$156,
     COUNTIFS($C$12:T12, "*")
   ),
"")</f>
        <v/>
      </c>
      <c r="U193" s="40" t="str" cm="1">
        <f t="array" ref="U193">IF(COUNTIF(U12,"*I*"),
   INDEX($C$156:$AJ$156,
     COUNTIFS($C$12:U12, "*")
   ),
"")</f>
        <v/>
      </c>
      <c r="V193" s="40" t="str" cm="1">
        <f t="array" ref="V193">IF(COUNTIF(V12,"*I*"),
   INDEX($C$156:$AJ$156,
     COUNTIFS($C$12:V12, "*")
   ),
"")</f>
        <v/>
      </c>
      <c r="W193" s="40" t="str" cm="1">
        <f t="array" ref="W193">IF(COUNTIF(W12,"*I*"),
   INDEX($C$156:$AJ$156,
     COUNTIFS($C$12:W12, "*")
   ),
"")</f>
        <v/>
      </c>
      <c r="X193" s="40" t="str" cm="1">
        <f t="array" ref="X193">IF(COUNTIF(X12,"*I*"),
   INDEX($C$156:$AJ$156,
     COUNTIFS($C$12:X12, "*")
   ),
"")</f>
        <v/>
      </c>
      <c r="Y193" s="40" t="str" cm="1">
        <f t="array" ref="Y193">IF(COUNTIF(Y12,"*I*"),
   INDEX($C$156:$AJ$156,
     COUNTIFS($C$12:Y12, "*")
   ),
"")</f>
        <v/>
      </c>
      <c r="Z193" s="40" t="str" cm="1">
        <f t="array" ref="Z193">IF(COUNTIF(Z12,"*I*"),
   INDEX($C$156:$AJ$156,
     COUNTIFS($C$12:Z12, "*")
   ),
"")</f>
        <v/>
      </c>
      <c r="AA193" s="40" t="str" cm="1">
        <f t="array" ref="AA193">IF(COUNTIF(AA12,"*I*"),
   INDEX($C$156:$AJ$156,
     COUNTIFS($C$12:AA12, "*")
   ),
"")</f>
        <v/>
      </c>
      <c r="AB193" s="40" t="str" cm="1">
        <f t="array" ref="AB193">IF(COUNTIF(AB12,"*I*"),
   INDEX($C$156:$AJ$156,
     COUNTIFS($C$12:AB12, "*")
   ),
"")</f>
        <v/>
      </c>
      <c r="AC193" s="40" t="str" cm="1">
        <f t="array" ref="AC193">IF(COUNTIF(AC12,"*I*"),
   INDEX($C$156:$AJ$156,
     COUNTIFS($C$12:AC12, "*")
   ),
"")</f>
        <v/>
      </c>
      <c r="AD193" s="40" t="str" cm="1">
        <f t="array" ref="AD193">IF(COUNTIF(AD12,"*I*"),
   INDEX($C$156:$AJ$156,
     COUNTIFS($C$12:AD12, "*")
   ),
"")</f>
        <v/>
      </c>
      <c r="AE193" s="40" t="str" cm="1">
        <f t="array" ref="AE193">IF(COUNTIF(AE12,"*I*"),
   INDEX($C$156:$AJ$156,
     COUNTIFS($C$12:AE12, "*")
   ),
"")</f>
        <v/>
      </c>
      <c r="AF193" s="40" t="str" cm="1">
        <f t="array" ref="AF193">IF(COUNTIF(AF12,"*I*"),
   INDEX($C$156:$AJ$156,
     COUNTIFS($C$12:AF12, "*")
   ),
"")</f>
        <v/>
      </c>
      <c r="AG193" s="40" t="str" cm="1">
        <f t="array" ref="AG193">IF(COUNTIF(AG12,"*I*"),
   INDEX($C$156:$AJ$156,
     COUNTIFS($C$12:AG12, "*")
   ),
"")</f>
        <v/>
      </c>
      <c r="AH193" s="40" t="str" cm="1">
        <f t="array" ref="AH193">IF(COUNTIF(AH12,"*I*"),
   INDEX($C$156:$AJ$156,
     COUNTIFS($C$12:AH12, "*")
   ),
"")</f>
        <v/>
      </c>
      <c r="AI193" s="40" t="str" cm="1">
        <f t="array" ref="AI193">IF(COUNTIF(AI12,"*I*"),
   INDEX($C$156:$AJ$156,
     COUNTIFS($C$12:AI12, "*")
   ),
"")</f>
        <v/>
      </c>
      <c r="AJ193" s="40" t="str" cm="1">
        <f t="array" ref="AJ193">IF(COUNTIF(AJ12,"*I*"),
   INDEX($C$156:$AJ$156,
     COUNTIFS($C$12:AJ12, "*")
   ),
"")</f>
        <v/>
      </c>
      <c r="AK193" s="62" t="str">
        <f t="shared" si="15"/>
        <v/>
      </c>
    </row>
    <row r="194" spans="1:37" ht="15" customHeight="1" thickBot="1" x14ac:dyDescent="0.4">
      <c r="A194" s="1196"/>
      <c r="B194" s="22">
        <v>10</v>
      </c>
      <c r="C194" s="40" t="str" cm="1">
        <f t="array" ref="C194">IF(COUNTIF(C13,"*I*"),
   INDEX($C$157:$AJ$157,
     COUNTIFS($C$13:C13, "*")
   ),
"")</f>
        <v/>
      </c>
      <c r="D194" s="40" t="str" cm="1">
        <f t="array" ref="D194">IF(COUNTIF(D13,"*I*"),
   INDEX($C$157:$AJ$157,
     COUNTIFS($C$13:D13, "*")
   ),
"")</f>
        <v/>
      </c>
      <c r="E194" s="40" t="str" cm="1">
        <f t="array" ref="E194">IF(COUNTIF(E13,"*I*"),
   INDEX($C$157:$AJ$157,
     COUNTIFS($C$13:E13, "*")
   ),
"")</f>
        <v/>
      </c>
      <c r="F194" s="40" t="str" cm="1">
        <f t="array" ref="F194">IF(COUNTIF(F13,"*I*"),
   INDEX($C$157:$AJ$157,
     COUNTIFS($C$13:F13, "*")
   ),
"")</f>
        <v/>
      </c>
      <c r="G194" s="40" t="str" cm="1">
        <f t="array" ref="G194">IF(COUNTIF(G13,"*I*"),
   INDEX($C$157:$AJ$157,
     COUNTIFS($C$13:G13, "*")
   ),
"")</f>
        <v/>
      </c>
      <c r="H194" s="40" t="str" cm="1">
        <f t="array" ref="H194">IF(COUNTIF(H13,"*I*"),
   INDEX($C$157:$AJ$157,
     COUNTIFS($C$13:H13, "*")
   ),
"")</f>
        <v/>
      </c>
      <c r="I194" s="40" t="str" cm="1">
        <f t="array" ref="I194">IF(COUNTIF(I13,"*I*"),
   INDEX($C$157:$AJ$157,
     COUNTIFS($C$13:I13, "*")
   ),
"")</f>
        <v/>
      </c>
      <c r="J194" s="40" t="str" cm="1">
        <f t="array" ref="J194">IF(COUNTIF(J13,"*I*"),
   INDEX($C$157:$AJ$157,
     COUNTIFS($C$13:J13, "*")
   ),
"")</f>
        <v/>
      </c>
      <c r="K194" s="40" t="str" cm="1">
        <f t="array" ref="K194">IF(COUNTIF(K13,"*I*"),
   INDEX($C$157:$AJ$157,
     COUNTIFS($C$13:K13, "*")
   ),
"")</f>
        <v/>
      </c>
      <c r="L194" s="40" t="str" cm="1">
        <f t="array" ref="L194">IF(COUNTIF(L13,"*I*"),
   INDEX($C$157:$AJ$157,
     COUNTIFS($C$13:L13, "*")
   ),
"")</f>
        <v/>
      </c>
      <c r="M194" s="40" t="str" cm="1">
        <f t="array" ref="M194">IF(COUNTIF(M13,"*I*"),
   INDEX($C$157:$AJ$157,
     COUNTIFS($C$13:M13, "*")
   ),
"")</f>
        <v/>
      </c>
      <c r="N194" s="40" t="str" cm="1">
        <f t="array" ref="N194">IF(COUNTIF(N13,"*I*"),
   INDEX($C$157:$AJ$157,
     COUNTIFS($C$13:N13, "*")
   ),
"")</f>
        <v/>
      </c>
      <c r="O194" s="40" t="str" cm="1">
        <f t="array" ref="O194">IF(COUNTIF(O13,"*I*"),
   INDEX($C$157:$AJ$157,
     COUNTIFS($C$13:O13, "*")
   ),
"")</f>
        <v/>
      </c>
      <c r="P194" s="40" t="str" cm="1">
        <f t="array" ref="P194">IF(COUNTIF(P13,"*I*"),
   INDEX($C$157:$AJ$157,
     COUNTIFS($C$13:P13, "*")
   ),
"")</f>
        <v/>
      </c>
      <c r="Q194" s="40" t="str" cm="1">
        <f t="array" ref="Q194">IF(COUNTIF(Q13,"*I*"),
   INDEX($C$157:$AJ$157,
     COUNTIFS($C$13:Q13, "*")
   ),
"")</f>
        <v/>
      </c>
      <c r="R194" s="40" t="str" cm="1">
        <f t="array" ref="R194">IF(COUNTIF(R13,"*I*"),
   INDEX($C$157:$AJ$157,
     COUNTIFS($C$13:R13, "*")
   ),
"")</f>
        <v/>
      </c>
      <c r="S194" s="40" t="str" cm="1">
        <f t="array" ref="S194">IF(COUNTIF(S13,"*I*"),
   INDEX($C$157:$AJ$157,
     COUNTIFS($C$13:S13, "*")
   ),
"")</f>
        <v/>
      </c>
      <c r="T194" s="40" t="str" cm="1">
        <f t="array" ref="T194">IF(COUNTIF(T13,"*I*"),
   INDEX($C$157:$AJ$157,
     COUNTIFS($C$13:T13, "*")
   ),
"")</f>
        <v/>
      </c>
      <c r="U194" s="40" t="str" cm="1">
        <f t="array" ref="U194">IF(COUNTIF(U13,"*I*"),
   INDEX($C$157:$AJ$157,
     COUNTIFS($C$13:U13, "*")
   ),
"")</f>
        <v/>
      </c>
      <c r="V194" s="40" t="str" cm="1">
        <f t="array" ref="V194">IF(COUNTIF(V13,"*I*"),
   INDEX($C$157:$AJ$157,
     COUNTIFS($C$13:V13, "*")
   ),
"")</f>
        <v/>
      </c>
      <c r="W194" s="40" t="str" cm="1">
        <f t="array" ref="W194">IF(COUNTIF(W13,"*I*"),
   INDEX($C$157:$AJ$157,
     COUNTIFS($C$13:W13, "*")
   ),
"")</f>
        <v/>
      </c>
      <c r="X194" s="40" t="str" cm="1">
        <f t="array" ref="X194">IF(COUNTIF(X13,"*I*"),
   INDEX($C$157:$AJ$157,
     COUNTIFS($C$13:X13, "*")
   ),
"")</f>
        <v/>
      </c>
      <c r="Y194" s="40" t="str" cm="1">
        <f t="array" ref="Y194">IF(COUNTIF(Y13,"*I*"),
   INDEX($C$157:$AJ$157,
     COUNTIFS($C$13:Y13, "*")
   ),
"")</f>
        <v/>
      </c>
      <c r="Z194" s="40" t="str" cm="1">
        <f t="array" ref="Z194">IF(COUNTIF(Z13,"*I*"),
   INDEX($C$157:$AJ$157,
     COUNTIFS($C$13:Z13, "*")
   ),
"")</f>
        <v/>
      </c>
      <c r="AA194" s="40" t="str" cm="1">
        <f t="array" ref="AA194">IF(COUNTIF(AA13,"*I*"),
   INDEX($C$157:$AJ$157,
     COUNTIFS($C$13:AA13, "*")
   ),
"")</f>
        <v/>
      </c>
      <c r="AB194" s="40" t="str" cm="1">
        <f t="array" ref="AB194">IF(COUNTIF(AB13,"*I*"),
   INDEX($C$157:$AJ$157,
     COUNTIFS($C$13:AB13, "*")
   ),
"")</f>
        <v/>
      </c>
      <c r="AC194" s="40" t="str" cm="1">
        <f t="array" ref="AC194">IF(COUNTIF(AC13,"*I*"),
   INDEX($C$157:$AJ$157,
     COUNTIFS($C$13:AC13, "*")
   ),
"")</f>
        <v/>
      </c>
      <c r="AD194" s="40" t="str" cm="1">
        <f t="array" ref="AD194">IF(COUNTIF(AD13,"*I*"),
   INDEX($C$157:$AJ$157,
     COUNTIFS($C$13:AD13, "*")
   ),
"")</f>
        <v/>
      </c>
      <c r="AE194" s="40" t="str" cm="1">
        <f t="array" ref="AE194">IF(COUNTIF(AE13,"*I*"),
   INDEX($C$157:$AJ$157,
     COUNTIFS($C$13:AE13, "*")
   ),
"")</f>
        <v/>
      </c>
      <c r="AF194" s="40" t="str" cm="1">
        <f t="array" ref="AF194">IF(COUNTIF(AF13,"*I*"),
   INDEX($C$157:$AJ$157,
     COUNTIFS($C$13:AF13, "*")
   ),
"")</f>
        <v/>
      </c>
      <c r="AG194" s="40" t="str" cm="1">
        <f t="array" ref="AG194">IF(COUNTIF(AG13,"*I*"),
   INDEX($C$157:$AJ$157,
     COUNTIFS($C$13:AG13, "*")
   ),
"")</f>
        <v/>
      </c>
      <c r="AH194" s="40" t="str" cm="1">
        <f t="array" ref="AH194">IF(COUNTIF(AH13,"*I*"),
   INDEX($C$157:$AJ$157,
     COUNTIFS($C$13:AH13, "*")
   ),
"")</f>
        <v/>
      </c>
      <c r="AI194" s="40" t="str" cm="1">
        <f t="array" ref="AI194">IF(COUNTIF(AI13,"*I*"),
   INDEX($C$157:$AJ$157,
     COUNTIFS($C$13:AI13, "*")
   ),
"")</f>
        <v/>
      </c>
      <c r="AJ194" s="40" t="str" cm="1">
        <f t="array" ref="AJ194">IF(COUNTIF(AJ13,"*I*"),
   INDEX($C$157:$AJ$157,
     COUNTIFS($C$13:AJ13, "*")
   ),
"")</f>
        <v/>
      </c>
      <c r="AK194" s="62" t="str">
        <f t="shared" si="15"/>
        <v/>
      </c>
    </row>
    <row r="195" spans="1:37" ht="15" customHeight="1" thickBot="1" x14ac:dyDescent="0.4">
      <c r="A195" s="1196"/>
      <c r="B195" s="22">
        <v>11</v>
      </c>
      <c r="C195" s="40" t="str" cm="1">
        <f t="array" ref="C195">IF(COUNTIF(C14,"*I*"),
   INDEX($C$158:$AJ$158,
     COUNTIFS($C$14:C14, "*")
   ),
"")</f>
        <v/>
      </c>
      <c r="D195" s="40" t="str" cm="1">
        <f t="array" ref="D195">IF(COUNTIF(D14,"*I*"),
   INDEX($C$158:$AJ$158,
     COUNTIFS($C$14:D14, "*")
   ),
"")</f>
        <v/>
      </c>
      <c r="E195" s="40" t="str" cm="1">
        <f t="array" ref="E195">IF(COUNTIF(E14,"*I*"),
   INDEX($C$158:$AJ$158,
     COUNTIFS($C$14:E14, "*")
   ),
"")</f>
        <v/>
      </c>
      <c r="F195" s="40" t="str" cm="1">
        <f t="array" ref="F195">IF(COUNTIF(F14,"*I*"),
   INDEX($C$158:$AJ$158,
     COUNTIFS($C$14:F14, "*")
   ),
"")</f>
        <v/>
      </c>
      <c r="G195" s="40" t="str" cm="1">
        <f t="array" ref="G195">IF(COUNTIF(G14,"*I*"),
   INDEX($C$158:$AJ$158,
     COUNTIFS($C$14:G14, "*")
   ),
"")</f>
        <v/>
      </c>
      <c r="H195" s="40" t="str" cm="1">
        <f t="array" ref="H195">IF(COUNTIF(H14,"*I*"),
   INDEX($C$158:$AJ$158,
     COUNTIFS($C$14:H14, "*")
   ),
"")</f>
        <v/>
      </c>
      <c r="I195" s="40" t="str" cm="1">
        <f t="array" ref="I195">IF(COUNTIF(I14,"*I*"),
   INDEX($C$158:$AJ$158,
     COUNTIFS($C$14:I14, "*")
   ),
"")</f>
        <v/>
      </c>
      <c r="J195" s="40" t="str" cm="1">
        <f t="array" ref="J195">IF(COUNTIF(J14,"*I*"),
   INDEX($C$158:$AJ$158,
     COUNTIFS($C$14:J14, "*")
   ),
"")</f>
        <v/>
      </c>
      <c r="K195" s="40" t="str" cm="1">
        <f t="array" ref="K195">IF(COUNTIF(K14,"*I*"),
   INDEX($C$158:$AJ$158,
     COUNTIFS($C$14:K14, "*")
   ),
"")</f>
        <v/>
      </c>
      <c r="L195" s="40" t="str" cm="1">
        <f t="array" ref="L195">IF(COUNTIF(L14,"*I*"),
   INDEX($C$158:$AJ$158,
     COUNTIFS($C$14:L14, "*")
   ),
"")</f>
        <v/>
      </c>
      <c r="M195" s="40" t="str" cm="1">
        <f t="array" ref="M195">IF(COUNTIF(M14,"*I*"),
   INDEX($C$158:$AJ$158,
     COUNTIFS($C$14:M14, "*")
   ),
"")</f>
        <v/>
      </c>
      <c r="N195" s="40" t="str" cm="1">
        <f t="array" ref="N195">IF(COUNTIF(N14,"*I*"),
   INDEX($C$158:$AJ$158,
     COUNTIFS($C$14:N14, "*")
   ),
"")</f>
        <v/>
      </c>
      <c r="O195" s="40" t="str" cm="1">
        <f t="array" ref="O195">IF(COUNTIF(O14,"*I*"),
   INDEX($C$158:$AJ$158,
     COUNTIFS($C$14:O14, "*")
   ),
"")</f>
        <v/>
      </c>
      <c r="P195" s="40" t="str" cm="1">
        <f t="array" ref="P195">IF(COUNTIF(P14,"*I*"),
   INDEX($C$158:$AJ$158,
     COUNTIFS($C$14:P14, "*")
   ),
"")</f>
        <v/>
      </c>
      <c r="Q195" s="40" t="str" cm="1">
        <f t="array" ref="Q195">IF(COUNTIF(Q14,"*I*"),
   INDEX($C$158:$AJ$158,
     COUNTIFS($C$14:Q14, "*")
   ),
"")</f>
        <v/>
      </c>
      <c r="R195" s="40" t="str" cm="1">
        <f t="array" ref="R195">IF(COUNTIF(R14,"*I*"),
   INDEX($C$158:$AJ$158,
     COUNTIFS($C$14:R14, "*")
   ),
"")</f>
        <v/>
      </c>
      <c r="S195" s="40" t="str" cm="1">
        <f t="array" ref="S195">IF(COUNTIF(S14,"*I*"),
   INDEX($C$158:$AJ$158,
     COUNTIFS($C$14:S14, "*")
   ),
"")</f>
        <v/>
      </c>
      <c r="T195" s="40" t="str" cm="1">
        <f t="array" ref="T195">IF(COUNTIF(T14,"*I*"),
   INDEX($C$158:$AJ$158,
     COUNTIFS($C$14:T14, "*")
   ),
"")</f>
        <v/>
      </c>
      <c r="U195" s="40" t="str" cm="1">
        <f t="array" ref="U195">IF(COUNTIF(U14,"*I*"),
   INDEX($C$158:$AJ$158,
     COUNTIFS($C$14:U14, "*")
   ),
"")</f>
        <v/>
      </c>
      <c r="V195" s="40" t="str" cm="1">
        <f t="array" ref="V195">IF(COUNTIF(V14,"*I*"),
   INDEX($C$158:$AJ$158,
     COUNTIFS($C$14:V14, "*")
   ),
"")</f>
        <v/>
      </c>
      <c r="W195" s="40" t="str" cm="1">
        <f t="array" ref="W195">IF(COUNTIF(W14,"*I*"),
   INDEX($C$158:$AJ$158,
     COUNTIFS($C$14:W14, "*")
   ),
"")</f>
        <v/>
      </c>
      <c r="X195" s="40" t="str" cm="1">
        <f t="array" ref="X195">IF(COUNTIF(X14,"*I*"),
   INDEX($C$158:$AJ$158,
     COUNTIFS($C$14:X14, "*")
   ),
"")</f>
        <v/>
      </c>
      <c r="Y195" s="40" t="str" cm="1">
        <f t="array" ref="Y195">IF(COUNTIF(Y14,"*I*"),
   INDEX($C$158:$AJ$158,
     COUNTIFS($C$14:Y14, "*")
   ),
"")</f>
        <v/>
      </c>
      <c r="Z195" s="40" t="str" cm="1">
        <f t="array" ref="Z195">IF(COUNTIF(Z14,"*I*"),
   INDEX($C$158:$AJ$158,
     COUNTIFS($C$14:Z14, "*")
   ),
"")</f>
        <v/>
      </c>
      <c r="AA195" s="40" t="str" cm="1">
        <f t="array" ref="AA195">IF(COUNTIF(AA14,"*I*"),
   INDEX($C$158:$AJ$158,
     COUNTIFS($C$14:AA14, "*")
   ),
"")</f>
        <v/>
      </c>
      <c r="AB195" s="40" t="str" cm="1">
        <f t="array" ref="AB195">IF(COUNTIF(AB14,"*I*"),
   INDEX($C$158:$AJ$158,
     COUNTIFS($C$14:AB14, "*")
   ),
"")</f>
        <v/>
      </c>
      <c r="AC195" s="40" t="str" cm="1">
        <f t="array" ref="AC195">IF(COUNTIF(AC14,"*I*"),
   INDEX($C$158:$AJ$158,
     COUNTIFS($C$14:AC14, "*")
   ),
"")</f>
        <v/>
      </c>
      <c r="AD195" s="40" t="str" cm="1">
        <f t="array" ref="AD195">IF(COUNTIF(AD14,"*I*"),
   INDEX($C$158:$AJ$158,
     COUNTIFS($C$14:AD14, "*")
   ),
"")</f>
        <v/>
      </c>
      <c r="AE195" s="40" t="str" cm="1">
        <f t="array" ref="AE195">IF(COUNTIF(AE14,"*I*"),
   INDEX($C$158:$AJ$158,
     COUNTIFS($C$14:AE14, "*")
   ),
"")</f>
        <v/>
      </c>
      <c r="AF195" s="40" t="str" cm="1">
        <f t="array" ref="AF195">IF(COUNTIF(AF14,"*I*"),
   INDEX($C$158:$AJ$158,
     COUNTIFS($C$14:AF14, "*")
   ),
"")</f>
        <v/>
      </c>
      <c r="AG195" s="40" t="str" cm="1">
        <f t="array" ref="AG195">IF(COUNTIF(AG14,"*I*"),
   INDEX($C$158:$AJ$158,
     COUNTIFS($C$14:AG14, "*")
   ),
"")</f>
        <v/>
      </c>
      <c r="AH195" s="40" t="str" cm="1">
        <f t="array" ref="AH195">IF(COUNTIF(AH14,"*I*"),
   INDEX($C$158:$AJ$158,
     COUNTIFS($C$14:AH14, "*")
   ),
"")</f>
        <v/>
      </c>
      <c r="AI195" s="40" t="str" cm="1">
        <f t="array" ref="AI195">IF(COUNTIF(AI14,"*I*"),
   INDEX($C$158:$AJ$158,
     COUNTIFS($C$14:AI14, "*")
   ),
"")</f>
        <v/>
      </c>
      <c r="AJ195" s="40" t="str" cm="1">
        <f t="array" ref="AJ195">IF(COUNTIF(AJ14,"*I*"),
   INDEX($C$158:$AJ$158,
     COUNTIFS($C$14:AJ14, "*")
   ),
"")</f>
        <v/>
      </c>
      <c r="AK195" s="62" t="str">
        <f t="shared" si="15"/>
        <v/>
      </c>
    </row>
    <row r="196" spans="1:37" ht="15.75" customHeight="1" thickBot="1" x14ac:dyDescent="0.4">
      <c r="A196" s="1197"/>
      <c r="B196" s="23">
        <v>12</v>
      </c>
      <c r="C196" s="40" t="str" cm="1">
        <f t="array" ref="C196">IF(COUNTIF(C15,"*I*"),
   INDEX($C$159:$AJ$159,
     COUNTIFS($C$15:C15, "*")
   ),
"")</f>
        <v/>
      </c>
      <c r="D196" s="40" t="str" cm="1">
        <f t="array" ref="D196">IF(COUNTIF(D15,"*I*"),
   INDEX($C$159:$AJ$159,
     COUNTIFS($C$15:D15, "*")
   ),
"")</f>
        <v/>
      </c>
      <c r="E196" s="40" t="str" cm="1">
        <f t="array" ref="E196">IF(COUNTIF(E15,"*I*"),
   INDEX($C$159:$AJ$159,
     COUNTIFS($C$15:E15, "*")
   ),
"")</f>
        <v/>
      </c>
      <c r="F196" s="40" t="str" cm="1">
        <f t="array" ref="F196">IF(COUNTIF(F15,"*I*"),
   INDEX($C$159:$AJ$159,
     COUNTIFS($C$15:F15, "*")
   ),
"")</f>
        <v/>
      </c>
      <c r="G196" s="40" t="str" cm="1">
        <f t="array" ref="G196">IF(COUNTIF(G15,"*I*"),
   INDEX($C$159:$AJ$159,
     COUNTIFS($C$15:G15, "*")
   ),
"")</f>
        <v/>
      </c>
      <c r="H196" s="40" t="str" cm="1">
        <f t="array" ref="H196">IF(COUNTIF(H15,"*I*"),
   INDEX($C$159:$AJ$159,
     COUNTIFS($C$15:H15, "*")
   ),
"")</f>
        <v/>
      </c>
      <c r="I196" s="40" t="str" cm="1">
        <f t="array" ref="I196">IF(COUNTIF(I15,"*I*"),
   INDEX($C$159:$AJ$159,
     COUNTIFS($C$15:I15, "*")
   ),
"")</f>
        <v/>
      </c>
      <c r="J196" s="40" t="str" cm="1">
        <f t="array" ref="J196">IF(COUNTIF(J15,"*I*"),
   INDEX($C$159:$AJ$159,
     COUNTIFS($C$15:J15, "*")
   ),
"")</f>
        <v/>
      </c>
      <c r="K196" s="40" t="str" cm="1">
        <f t="array" ref="K196">IF(COUNTIF(K15,"*I*"),
   INDEX($C$159:$AJ$159,
     COUNTIFS($C$15:K15, "*")
   ),
"")</f>
        <v/>
      </c>
      <c r="L196" s="40" t="str" cm="1">
        <f t="array" ref="L196">IF(COUNTIF(L15,"*I*"),
   INDEX($C$159:$AJ$159,
     COUNTIFS($C$15:L15, "*")
   ),
"")</f>
        <v/>
      </c>
      <c r="M196" s="40" t="str" cm="1">
        <f t="array" ref="M196">IF(COUNTIF(M15,"*I*"),
   INDEX($C$159:$AJ$159,
     COUNTIFS($C$15:M15, "*")
   ),
"")</f>
        <v/>
      </c>
      <c r="N196" s="40" t="str" cm="1">
        <f t="array" ref="N196">IF(COUNTIF(N15,"*I*"),
   INDEX($C$159:$AJ$159,
     COUNTIFS($C$15:N15, "*")
   ),
"")</f>
        <v/>
      </c>
      <c r="O196" s="40" t="str" cm="1">
        <f t="array" ref="O196">IF(COUNTIF(O15,"*I*"),
   INDEX($C$159:$AJ$159,
     COUNTIFS($C$15:O15, "*")
   ),
"")</f>
        <v/>
      </c>
      <c r="P196" s="40" t="str" cm="1">
        <f t="array" ref="P196">IF(COUNTIF(P15,"*I*"),
   INDEX($C$159:$AJ$159,
     COUNTIFS($C$15:P15, "*")
   ),
"")</f>
        <v/>
      </c>
      <c r="Q196" s="40" t="str" cm="1">
        <f t="array" ref="Q196">IF(COUNTIF(Q15,"*I*"),
   INDEX($C$159:$AJ$159,
     COUNTIFS($C$15:Q15, "*")
   ),
"")</f>
        <v/>
      </c>
      <c r="R196" s="40" t="str" cm="1">
        <f t="array" ref="R196">IF(COUNTIF(R15,"*I*"),
   INDEX($C$159:$AJ$159,
     COUNTIFS($C$15:R15, "*")
   ),
"")</f>
        <v/>
      </c>
      <c r="S196" s="40" t="str" cm="1">
        <f t="array" ref="S196">IF(COUNTIF(S15,"*I*"),
   INDEX($C$159:$AJ$159,
     COUNTIFS($C$15:S15, "*")
   ),
"")</f>
        <v/>
      </c>
      <c r="T196" s="40" t="str" cm="1">
        <f t="array" ref="T196">IF(COUNTIF(T15,"*I*"),
   INDEX($C$159:$AJ$159,
     COUNTIFS($C$15:T15, "*")
   ),
"")</f>
        <v/>
      </c>
      <c r="U196" s="40" t="str" cm="1">
        <f t="array" ref="U196">IF(COUNTIF(U15,"*I*"),
   INDEX($C$159:$AJ$159,
     COUNTIFS($C$15:U15, "*")
   ),
"")</f>
        <v/>
      </c>
      <c r="V196" s="40" t="str" cm="1">
        <f t="array" ref="V196">IF(COUNTIF(V15,"*I*"),
   INDEX($C$159:$AJ$159,
     COUNTIFS($C$15:V15, "*")
   ),
"")</f>
        <v/>
      </c>
      <c r="W196" s="40" t="str" cm="1">
        <f t="array" ref="W196">IF(COUNTIF(W15,"*I*"),
   INDEX($C$159:$AJ$159,
     COUNTIFS($C$15:W15, "*")
   ),
"")</f>
        <v/>
      </c>
      <c r="X196" s="40" t="str" cm="1">
        <f t="array" ref="X196">IF(COUNTIF(X15,"*I*"),
   INDEX($C$159:$AJ$159,
     COUNTIFS($C$15:X15, "*")
   ),
"")</f>
        <v/>
      </c>
      <c r="Y196" s="40" t="str" cm="1">
        <f t="array" ref="Y196">IF(COUNTIF(Y15,"*I*"),
   INDEX($C$159:$AJ$159,
     COUNTIFS($C$15:Y15, "*")
   ),
"")</f>
        <v/>
      </c>
      <c r="Z196" s="40" t="str" cm="1">
        <f t="array" ref="Z196">IF(COUNTIF(Z15,"*I*"),
   INDEX($C$159:$AJ$159,
     COUNTIFS($C$15:Z15, "*")
   ),
"")</f>
        <v/>
      </c>
      <c r="AA196" s="40" t="str" cm="1">
        <f t="array" ref="AA196">IF(COUNTIF(AA15,"*I*"),
   INDEX($C$159:$AJ$159,
     COUNTIFS($C$15:AA15, "*")
   ),
"")</f>
        <v/>
      </c>
      <c r="AB196" s="40" t="str" cm="1">
        <f t="array" ref="AB196">IF(COUNTIF(AB15,"*I*"),
   INDEX($C$159:$AJ$159,
     COUNTIFS($C$15:AB15, "*")
   ),
"")</f>
        <v/>
      </c>
      <c r="AC196" s="40" t="str" cm="1">
        <f t="array" ref="AC196">IF(COUNTIF(AC15,"*I*"),
   INDEX($C$159:$AJ$159,
     COUNTIFS($C$15:AC15, "*")
   ),
"")</f>
        <v/>
      </c>
      <c r="AD196" s="40" t="str" cm="1">
        <f t="array" ref="AD196">IF(COUNTIF(AD15,"*I*"),
   INDEX($C$159:$AJ$159,
     COUNTIFS($C$15:AD15, "*")
   ),
"")</f>
        <v/>
      </c>
      <c r="AE196" s="40" t="str" cm="1">
        <f t="array" ref="AE196">IF(COUNTIF(AE15,"*I*"),
   INDEX($C$159:$AJ$159,
     COUNTIFS($C$15:AE15, "*")
   ),
"")</f>
        <v/>
      </c>
      <c r="AF196" s="40" t="str" cm="1">
        <f t="array" ref="AF196">IF(COUNTIF(AF15,"*I*"),
   INDEX($C$159:$AJ$159,
     COUNTIFS($C$15:AF15, "*")
   ),
"")</f>
        <v/>
      </c>
      <c r="AG196" s="40" t="str" cm="1">
        <f t="array" ref="AG196">IF(COUNTIF(AG15,"*I*"),
   INDEX($C$159:$AJ$159,
     COUNTIFS($C$15:AG15, "*")
   ),
"")</f>
        <v/>
      </c>
      <c r="AH196" s="40" t="str" cm="1">
        <f t="array" ref="AH196">IF(COUNTIF(AH15,"*I*"),
   INDEX($C$159:$AJ$159,
     COUNTIFS($C$15:AH15, "*")
   ),
"")</f>
        <v/>
      </c>
      <c r="AI196" s="40" t="str" cm="1">
        <f t="array" ref="AI196">IF(COUNTIF(AI15,"*I*"),
   INDEX($C$159:$AJ$159,
     COUNTIFS($C$15:AI15, "*")
   ),
"")</f>
        <v/>
      </c>
      <c r="AJ196" s="40" t="str" cm="1">
        <f t="array" ref="AJ196">IF(COUNTIF(AJ15,"*I*"),
   INDEX($C$159:$AJ$159,
     COUNTIFS($C$15:AJ15, "*")
   ),
"")</f>
        <v/>
      </c>
      <c r="AK196" s="62" t="str">
        <f t="shared" si="15"/>
        <v/>
      </c>
    </row>
    <row r="197" spans="1:37" ht="15" customHeight="1" x14ac:dyDescent="0.35">
      <c r="AK197" s="63" t="str">
        <f>SUBSTITUTE(CONCATENATE(AK185,AK186,AK187,AK188,AK189,AK190,AK191,AK192,AK193,AK194,AK195,AK196),"P","I")</f>
        <v/>
      </c>
    </row>
    <row r="198" spans="1:37" ht="15" customHeight="1" x14ac:dyDescent="0.35">
      <c r="AK198" s="63" t="s">
        <v>714</v>
      </c>
    </row>
    <row r="199" spans="1:37" ht="15" customHeight="1" x14ac:dyDescent="0.35">
      <c r="AK199" s="63" t="s">
        <v>714</v>
      </c>
    </row>
    <row r="200" spans="1:37" ht="15.75" customHeight="1" thickBot="1" x14ac:dyDescent="0.4">
      <c r="AK200" s="64" t="str">
        <f>IF(AK197&lt;&gt;"",IF(LEN(AK197)&lt;9,CONCATENATE(AK198,LEFT(AK197,4),"."),IF(LEN(AK197&gt;6),LEFT(CONCATENATE(AK199,LEFT(AK197,LEN(AK197)-10),SUBSTITUTE(RIGHT(AK197,10),", "," and ")),LEN(CONCATENATE(AK199,LEFT(AK197,LEN(AK197)-10),SUBSTITUTE(RIGHT(AK197,10),", "," and ")))-5)&amp;". ")),"")</f>
        <v/>
      </c>
    </row>
    <row r="201" spans="1:37" ht="15" customHeight="1" x14ac:dyDescent="0.35"/>
    <row r="202" spans="1:37" ht="15" customHeight="1" x14ac:dyDescent="0.35"/>
    <row r="203" spans="1:37" ht="15.75" customHeight="1" thickBot="1" x14ac:dyDescent="0.4">
      <c r="C203" s="1201" t="s">
        <v>710</v>
      </c>
      <c r="D203" s="1201"/>
      <c r="E203" s="1201"/>
      <c r="F203" s="1201"/>
      <c r="G203" s="1201"/>
      <c r="H203" s="1201"/>
      <c r="I203" s="1201"/>
      <c r="J203" s="1201"/>
      <c r="K203" s="1201"/>
      <c r="L203" s="1201"/>
      <c r="M203" s="1201"/>
      <c r="N203" s="1201"/>
      <c r="O203" s="1201"/>
      <c r="P203" s="1201"/>
      <c r="Q203" s="1201"/>
      <c r="R203" s="1201"/>
      <c r="S203" s="1201"/>
      <c r="T203" s="1201"/>
      <c r="U203" s="1201"/>
      <c r="V203" s="1201"/>
      <c r="W203" s="1201"/>
      <c r="X203" s="1201"/>
      <c r="Y203" s="1201"/>
      <c r="Z203" s="1201"/>
      <c r="AA203" s="1201"/>
      <c r="AB203" s="1201"/>
      <c r="AC203" s="1201"/>
      <c r="AD203" s="1201"/>
      <c r="AE203" s="1201"/>
      <c r="AF203" s="1201"/>
      <c r="AG203" s="1201"/>
      <c r="AH203" s="1201"/>
      <c r="AI203" s="1201"/>
    </row>
    <row r="204" spans="1:37" ht="15" customHeight="1" x14ac:dyDescent="0.35">
      <c r="A204" s="1202"/>
      <c r="B204" s="1203"/>
      <c r="C204" s="1207" t="s">
        <v>17</v>
      </c>
      <c r="D204" s="1207"/>
      <c r="E204" s="1207"/>
      <c r="F204" s="1207"/>
      <c r="G204" s="1207"/>
      <c r="H204" s="1207"/>
      <c r="I204" s="1207"/>
      <c r="J204" s="1207"/>
      <c r="K204" s="1207"/>
      <c r="L204" s="1207"/>
      <c r="M204" s="1207"/>
      <c r="N204" s="1207"/>
      <c r="O204" s="1207"/>
      <c r="P204" s="1207"/>
      <c r="Q204" s="1207"/>
      <c r="R204" s="1207"/>
      <c r="S204" s="1207"/>
      <c r="T204" s="1207"/>
      <c r="U204" s="1207"/>
      <c r="V204" s="1208"/>
      <c r="W204" s="6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8"/>
    </row>
    <row r="205" spans="1:37" ht="15.75" customHeight="1" thickBot="1" x14ac:dyDescent="0.4">
      <c r="A205" s="1204"/>
      <c r="B205" s="1205"/>
      <c r="C205" s="16">
        <v>1</v>
      </c>
      <c r="D205" s="17">
        <v>2</v>
      </c>
      <c r="E205" s="17">
        <v>3</v>
      </c>
      <c r="F205" s="17">
        <v>4</v>
      </c>
      <c r="G205" s="17">
        <v>5</v>
      </c>
      <c r="H205" s="17">
        <v>6</v>
      </c>
      <c r="I205" s="17">
        <v>7</v>
      </c>
      <c r="J205" s="17">
        <v>8</v>
      </c>
      <c r="K205" s="17">
        <v>9</v>
      </c>
      <c r="L205" s="17">
        <v>10</v>
      </c>
      <c r="M205" s="17">
        <v>11</v>
      </c>
      <c r="N205" s="17">
        <v>12</v>
      </c>
      <c r="O205" s="17">
        <v>13</v>
      </c>
      <c r="P205" s="17">
        <v>14</v>
      </c>
      <c r="Q205" s="17">
        <v>15</v>
      </c>
      <c r="R205" s="17">
        <v>16</v>
      </c>
      <c r="S205" s="17">
        <v>17</v>
      </c>
      <c r="T205" s="17">
        <v>18</v>
      </c>
      <c r="U205" s="17">
        <v>19</v>
      </c>
      <c r="V205" s="18">
        <v>20</v>
      </c>
      <c r="W205" s="17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20"/>
    </row>
    <row r="206" spans="1:37" ht="15" customHeight="1" thickBot="1" x14ac:dyDescent="0.4">
      <c r="A206" s="1196" t="s">
        <v>18</v>
      </c>
      <c r="B206" s="21">
        <v>1</v>
      </c>
      <c r="C206" s="40" t="str" cm="1">
        <f t="array" ref="C206">IF(COUNTIF(C4,"*B*"),
   INDEX($C$148:$AJ$148,
     COUNTIFS($C$4:C4, "*")
   ),
"")</f>
        <v/>
      </c>
      <c r="D206" s="40" t="str" cm="1">
        <f t="array" ref="D206">IF(COUNTIF(D4,"*B*"),
   INDEX($C$148:$AJ$148,
     COUNTIFS($C$4:D4, "*")
   ),
"")</f>
        <v/>
      </c>
      <c r="E206" s="40" t="str" cm="1">
        <f t="array" ref="E206">IF(COUNTIF(E4,"*B*"),
   INDEX($C$148:$AJ$148,
     COUNTIFS($C$4:E4, "*")
   ),
"")</f>
        <v/>
      </c>
      <c r="F206" s="40" t="str" cm="1">
        <f t="array" ref="F206">IF(COUNTIF(F4,"*B*"),
   INDEX($C$148:$AJ$148,
     COUNTIFS($C$4:F4, "*")
   ),
"")</f>
        <v/>
      </c>
      <c r="G206" s="40" t="str" cm="1">
        <f t="array" ref="G206">IF(COUNTIF(G4,"*B*"),
   INDEX($C$148:$AJ$148,
     COUNTIFS($C$4:G4, "*")
   ),
"")</f>
        <v/>
      </c>
      <c r="H206" s="40" t="str" cm="1">
        <f t="array" ref="H206">IF(COUNTIF(H4,"*B*"),
   INDEX($C$148:$AJ$148,
     COUNTIFS($C$4:H4, "*")
   ),
"")</f>
        <v/>
      </c>
      <c r="I206" s="40" t="str" cm="1">
        <f t="array" ref="I206">IF(COUNTIF(I4,"*B*"),
   INDEX($C$148:$AJ$148,
     COUNTIFS($C$4:I4, "*")
   ),
"")</f>
        <v/>
      </c>
      <c r="J206" s="40" t="str" cm="1">
        <f t="array" ref="J206">IF(COUNTIF(J4,"*B*"),
   INDEX($C$148:$AJ$148,
     COUNTIFS($C$4:J4, "*")
   ),
"")</f>
        <v/>
      </c>
      <c r="K206" s="40" t="str" cm="1">
        <f t="array" ref="K206">IF(COUNTIF(K4,"*B*"),
   INDEX($C$148:$AJ$148,
     COUNTIFS($C$4:K4, "*")
   ),
"")</f>
        <v/>
      </c>
      <c r="L206" s="40" t="str" cm="1">
        <f t="array" ref="L206">IF(COUNTIF(L4,"*B*"),
   INDEX($C$148:$AJ$148,
     COUNTIFS($C$4:L4, "*")
   ),
"")</f>
        <v/>
      </c>
      <c r="M206" s="40" t="str" cm="1">
        <f t="array" ref="M206">IF(COUNTIF(M4,"*B*"),
   INDEX($C$148:$AJ$148,
     COUNTIFS($C$4:M4, "*")
   ),
"")</f>
        <v/>
      </c>
      <c r="N206" s="40" t="str" cm="1">
        <f t="array" ref="N206">IF(COUNTIF(N4,"*B*"),
   INDEX($C$148:$AJ$148,
     COUNTIFS($C$4:N4, "*")
   ),
"")</f>
        <v/>
      </c>
      <c r="O206" s="40" t="str" cm="1">
        <f t="array" ref="O206">IF(COUNTIF(O4,"*B*"),
   INDEX($C$148:$AJ$148,
     COUNTIFS($C$4:O4, "*")
   ),
"")</f>
        <v/>
      </c>
      <c r="P206" s="40" t="str" cm="1">
        <f t="array" ref="P206">IF(COUNTIF(P4,"*B*"),
   INDEX($C$148:$AJ$148,
     COUNTIFS($C$4:P4, "*")
   ),
"")</f>
        <v/>
      </c>
      <c r="Q206" s="40" t="str" cm="1">
        <f t="array" ref="Q206">IF(COUNTIF(Q4,"*B*"),
   INDEX($C$148:$AJ$148,
     COUNTIFS($C$4:Q4, "*")
   ),
"")</f>
        <v/>
      </c>
      <c r="R206" s="40" t="str" cm="1">
        <f t="array" ref="R206">IF(COUNTIF(R4,"*B*"),
   INDEX($C$148:$AJ$148,
     COUNTIFS($C$4:R4, "*")
   ),
"")</f>
        <v/>
      </c>
      <c r="S206" s="40" t="str" cm="1">
        <f t="array" ref="S206">IF(COUNTIF(S4,"*B*"),
   INDEX($C$148:$AJ$148,
     COUNTIFS($C$4:S4, "*")
   ),
"")</f>
        <v/>
      </c>
      <c r="T206" s="40" t="str" cm="1">
        <f t="array" ref="T206">IF(COUNTIF(T4,"*B*"),
   INDEX($C$148:$AJ$148,
     COUNTIFS($C$4:T4, "*")
   ),
"")</f>
        <v/>
      </c>
      <c r="U206" s="40" t="str" cm="1">
        <f t="array" ref="U206">IF(COUNTIF(U4,"*B*"),
   INDEX($C$148:$AJ$148,
     COUNTIFS($C$4:U4, "*")
   ),
"")</f>
        <v/>
      </c>
      <c r="V206" s="40" t="str" cm="1">
        <f t="array" ref="V206">IF(COUNTIF(V4,"*B*"),
   INDEX($C$148:$AJ$148,
     COUNTIFS($C$4:V4, "*")
   ),
"")</f>
        <v/>
      </c>
      <c r="W206" s="40" t="str" cm="1">
        <f t="array" ref="W206">IF(COUNTIF(W4,"*B*"),
   INDEX($C$148:$AJ$148,
     COUNTIFS($C$4:W4, "*")
   ),
"")</f>
        <v/>
      </c>
      <c r="X206" s="40" t="str" cm="1">
        <f t="array" ref="X206">IF(COUNTIF(X4,"*B*"),
   INDEX($C$148:$AJ$148,
     COUNTIFS($C$4:X4, "*")
   ),
"")</f>
        <v/>
      </c>
      <c r="Y206" s="40" t="str" cm="1">
        <f t="array" ref="Y206">IF(COUNTIF(Y4,"*B*"),
   INDEX($C$148:$AJ$148,
     COUNTIFS($C$4:Y4, "*")
   ),
"")</f>
        <v/>
      </c>
      <c r="Z206" s="40" t="str" cm="1">
        <f t="array" ref="Z206">IF(COUNTIF(Z4,"*B*"),
   INDEX($C$148:$AJ$148,
     COUNTIFS($C$4:Z4, "*")
   ),
"")</f>
        <v/>
      </c>
      <c r="AA206" s="40" t="str" cm="1">
        <f t="array" ref="AA206">IF(COUNTIF(AA4,"*B*"),
   INDEX($C$148:$AJ$148,
     COUNTIFS($C$4:AA4, "*")
   ),
"")</f>
        <v/>
      </c>
      <c r="AB206" s="40" t="str" cm="1">
        <f t="array" ref="AB206">IF(COUNTIF(AB4,"*B*"),
   INDEX($C$148:$AJ$148,
     COUNTIFS($C$4:AB4, "*")
   ),
"")</f>
        <v/>
      </c>
      <c r="AC206" s="40" t="str" cm="1">
        <f t="array" ref="AC206">IF(COUNTIF(AC4,"*B*"),
   INDEX($C$148:$AJ$148,
     COUNTIFS($C$4:AC4, "*")
   ),
"")</f>
        <v/>
      </c>
      <c r="AD206" s="40" t="str" cm="1">
        <f t="array" ref="AD206">IF(COUNTIF(AD4,"*B*"),
   INDEX($C$148:$AJ$148,
     COUNTIFS($C$4:AD4, "*")
   ),
"")</f>
        <v/>
      </c>
      <c r="AE206" s="40" t="str" cm="1">
        <f t="array" ref="AE206">IF(COUNTIF(AE4,"*B*"),
   INDEX($C$148:$AJ$148,
     COUNTIFS($C$4:AE4, "*")
   ),
"")</f>
        <v/>
      </c>
      <c r="AF206" s="40" t="str" cm="1">
        <f t="array" ref="AF206">IF(COUNTIF(AF4,"*B*"),
   INDEX($C$148:$AJ$148,
     COUNTIFS($C$4:AF4, "*")
   ),
"")</f>
        <v/>
      </c>
      <c r="AG206" s="40" t="str" cm="1">
        <f t="array" ref="AG206">IF(COUNTIF(AG4,"*B*"),
   INDEX($C$148:$AJ$148,
     COUNTIFS($C$4:AG4, "*")
   ),
"")</f>
        <v/>
      </c>
      <c r="AH206" s="40" t="str" cm="1">
        <f t="array" ref="AH206">IF(COUNTIF(AH4,"*B*"),
   INDEX($C$148:$AJ$148,
     COUNTIFS($C$4:AH4, "*")
   ),
"")</f>
        <v/>
      </c>
      <c r="AI206" s="40" t="str" cm="1">
        <f t="array" ref="AI206">IF(COUNTIF(AI4,"*B*"),
   INDEX($C$148:$AJ$148,
     COUNTIFS($C$4:AI4, "*")
   ),
"")</f>
        <v/>
      </c>
      <c r="AJ206" s="40" t="str" cm="1">
        <f t="array" ref="AJ206">IF(COUNTIF(AJ4,"*B*"),
   INDEX($C$148:$AJ$148,
     COUNTIFS($C$4:AJ4, "*")
   ),
"")</f>
        <v/>
      </c>
      <c r="AK206" s="62" t="str">
        <f>CONCATENATE(C206,D206,E206,F206,G206,H206,I206,J206,K206,L206,M206,N206,O206,P206,Q206,R206,S206,T206,U206,V206,W206,X206,Y206,Z206,AA206,AB206,AC206,AD206,AE206,AF206,AG206,AH206,AI206,AJ206)</f>
        <v/>
      </c>
    </row>
    <row r="207" spans="1:37" ht="15" customHeight="1" thickBot="1" x14ac:dyDescent="0.4">
      <c r="A207" s="1196"/>
      <c r="B207" s="22">
        <v>2</v>
      </c>
      <c r="C207" s="40" t="str" cm="1">
        <f t="array" ref="C207">IF(COUNTIF(C5,"*B*"),
   INDEX($C$149:$AJ$149,
     COUNTIFS($C$5:C5, "*")
   ),
"")</f>
        <v/>
      </c>
      <c r="D207" s="40" t="str" cm="1">
        <f t="array" ref="D207">IF(COUNTIF(D5,"*B*"),
   INDEX($C$149:$AJ$149,
     COUNTIFS($C$5:D5, "*")
   ),
"")</f>
        <v/>
      </c>
      <c r="E207" s="40" t="str" cm="1">
        <f t="array" ref="E207">IF(COUNTIF(E5,"*B*"),
   INDEX($C$149:$AJ$149,
     COUNTIFS($C$5:E5, "*")
   ),
"")</f>
        <v/>
      </c>
      <c r="F207" s="40" t="str" cm="1">
        <f t="array" ref="F207">IF(COUNTIF(F5,"*B*"),
   INDEX($C$149:$AJ$149,
     COUNTIFS($C$5:F5, "*")
   ),
"")</f>
        <v/>
      </c>
      <c r="G207" s="40" t="str" cm="1">
        <f t="array" ref="G207">IF(COUNTIF(G5,"*B*"),
   INDEX($C$149:$AJ$149,
     COUNTIFS($C$5:G5, "*")
   ),
"")</f>
        <v/>
      </c>
      <c r="H207" s="40" t="str" cm="1">
        <f t="array" ref="H207">IF(COUNTIF(H5,"*B*"),
   INDEX($C$149:$AJ$149,
     COUNTIFS($C$5:H5, "*")
   ),
"")</f>
        <v/>
      </c>
      <c r="I207" s="40" t="str" cm="1">
        <f t="array" ref="I207">IF(COUNTIF(I5,"*B*"),
   INDEX($C$149:$AJ$149,
     COUNTIFS($C$5:I5, "*")
   ),
"")</f>
        <v/>
      </c>
      <c r="J207" s="40" t="str" cm="1">
        <f t="array" ref="J207">IF(COUNTIF(J5,"*B*"),
   INDEX($C$149:$AJ$149,
     COUNTIFS($C$5:J5, "*")
   ),
"")</f>
        <v/>
      </c>
      <c r="K207" s="40" t="str" cm="1">
        <f t="array" ref="K207">IF(COUNTIF(K5,"*B*"),
   INDEX($C$149:$AJ$149,
     COUNTIFS($C$5:K5, "*")
   ),
"")</f>
        <v/>
      </c>
      <c r="L207" s="40" t="str" cm="1">
        <f t="array" ref="L207">IF(COUNTIF(L5,"*B*"),
   INDEX($C$149:$AJ$149,
     COUNTIFS($C$5:L5, "*")
   ),
"")</f>
        <v/>
      </c>
      <c r="M207" s="40" t="str" cm="1">
        <f t="array" ref="M207">IF(COUNTIF(M5,"*B*"),
   INDEX($C$149:$AJ$149,
     COUNTIFS($C$5:M5, "*")
   ),
"")</f>
        <v/>
      </c>
      <c r="N207" s="40" t="str" cm="1">
        <f t="array" ref="N207">IF(COUNTIF(N5,"*B*"),
   INDEX($C$149:$AJ$149,
     COUNTIFS($C$5:N5, "*")
   ),
"")</f>
        <v/>
      </c>
      <c r="O207" s="40" t="str" cm="1">
        <f t="array" ref="O207">IF(COUNTIF(O5,"*B*"),
   INDEX($C$149:$AJ$149,
     COUNTIFS($C$5:O5, "*")
   ),
"")</f>
        <v/>
      </c>
      <c r="P207" s="40" t="str" cm="1">
        <f t="array" ref="P207">IF(COUNTIF(P5,"*B*"),
   INDEX($C$149:$AJ$149,
     COUNTIFS($C$5:P5, "*")
   ),
"")</f>
        <v/>
      </c>
      <c r="Q207" s="40" t="str" cm="1">
        <f t="array" ref="Q207">IF(COUNTIF(Q5,"*B*"),
   INDEX($C$149:$AJ$149,
     COUNTIFS($C$5:Q5, "*")
   ),
"")</f>
        <v/>
      </c>
      <c r="R207" s="40" t="str" cm="1">
        <f t="array" ref="R207">IF(COUNTIF(R5,"*B*"),
   INDEX($C$149:$AJ$149,
     COUNTIFS($C$5:R5, "*")
   ),
"")</f>
        <v/>
      </c>
      <c r="S207" s="40" t="str" cm="1">
        <f t="array" ref="S207">IF(COUNTIF(S5,"*B*"),
   INDEX($C$149:$AJ$149,
     COUNTIFS($C$5:S5, "*")
   ),
"")</f>
        <v/>
      </c>
      <c r="T207" s="40" t="str" cm="1">
        <f t="array" ref="T207">IF(COUNTIF(T5,"*B*"),
   INDEX($C$149:$AJ$149,
     COUNTIFS($C$5:T5, "*")
   ),
"")</f>
        <v/>
      </c>
      <c r="U207" s="40" t="str" cm="1">
        <f t="array" ref="U207">IF(COUNTIF(U5,"*B*"),
   INDEX($C$149:$AJ$149,
     COUNTIFS($C$5:U5, "*")
   ),
"")</f>
        <v/>
      </c>
      <c r="V207" s="40" t="str" cm="1">
        <f t="array" ref="V207">IF(COUNTIF(V5,"*B*"),
   INDEX($C$149:$AJ$149,
     COUNTIFS($C$5:V5, "*")
   ),
"")</f>
        <v/>
      </c>
      <c r="W207" s="40" t="str" cm="1">
        <f t="array" ref="W207">IF(COUNTIF(W5,"*B*"),
   INDEX($C$149:$AJ$149,
     COUNTIFS($C$5:W5, "*")
   ),
"")</f>
        <v/>
      </c>
      <c r="X207" s="40" t="str" cm="1">
        <f t="array" ref="X207">IF(COUNTIF(X5,"*B*"),
   INDEX($C$149:$AJ$149,
     COUNTIFS($C$5:X5, "*")
   ),
"")</f>
        <v/>
      </c>
      <c r="Y207" s="40" t="str" cm="1">
        <f t="array" ref="Y207">IF(COUNTIF(Y5,"*B*"),
   INDEX($C$149:$AJ$149,
     COUNTIFS($C$5:Y5, "*")
   ),
"")</f>
        <v/>
      </c>
      <c r="Z207" s="40" t="str" cm="1">
        <f t="array" ref="Z207">IF(COUNTIF(Z5,"*B*"),
   INDEX($C$149:$AJ$149,
     COUNTIFS($C$5:Z5, "*")
   ),
"")</f>
        <v/>
      </c>
      <c r="AA207" s="40" t="str" cm="1">
        <f t="array" ref="AA207">IF(COUNTIF(AA5,"*B*"),
   INDEX($C$149:$AJ$149,
     COUNTIFS($C$5:AA5, "*")
   ),
"")</f>
        <v/>
      </c>
      <c r="AB207" s="40" t="str" cm="1">
        <f t="array" ref="AB207">IF(COUNTIF(AB5,"*B*"),
   INDEX($C$149:$AJ$149,
     COUNTIFS($C$5:AB5, "*")
   ),
"")</f>
        <v/>
      </c>
      <c r="AC207" s="40" t="str" cm="1">
        <f t="array" ref="AC207">IF(COUNTIF(AC5,"*B*"),
   INDEX($C$149:$AJ$149,
     COUNTIFS($C$5:AC5, "*")
   ),
"")</f>
        <v/>
      </c>
      <c r="AD207" s="40" t="str" cm="1">
        <f t="array" ref="AD207">IF(COUNTIF(AD5,"*B*"),
   INDEX($C$149:$AJ$149,
     COUNTIFS($C$5:AD5, "*")
   ),
"")</f>
        <v/>
      </c>
      <c r="AE207" s="40" t="str" cm="1">
        <f t="array" ref="AE207">IF(COUNTIF(AE5,"*B*"),
   INDEX($C$149:$AJ$149,
     COUNTIFS($C$5:AE5, "*")
   ),
"")</f>
        <v/>
      </c>
      <c r="AF207" s="40" t="str" cm="1">
        <f t="array" ref="AF207">IF(COUNTIF(AF5,"*B*"),
   INDEX($C$149:$AJ$149,
     COUNTIFS($C$5:AF5, "*")
   ),
"")</f>
        <v/>
      </c>
      <c r="AG207" s="40" t="str" cm="1">
        <f t="array" ref="AG207">IF(COUNTIF(AG5,"*B*"),
   INDEX($C$149:$AJ$149,
     COUNTIFS($C$5:AG5, "*")
   ),
"")</f>
        <v/>
      </c>
      <c r="AH207" s="40" t="str" cm="1">
        <f t="array" ref="AH207">IF(COUNTIF(AH5,"*B*"),
   INDEX($C$149:$AJ$149,
     COUNTIFS($C$5:AH5, "*")
   ),
"")</f>
        <v/>
      </c>
      <c r="AI207" s="40" t="str" cm="1">
        <f t="array" ref="AI207">IF(COUNTIF(AI5,"*B*"),
   INDEX($C$149:$AJ$149,
     COUNTIFS($C$5:AI5, "*")
   ),
"")</f>
        <v/>
      </c>
      <c r="AJ207" s="40" t="str" cm="1">
        <f t="array" ref="AJ207">IF(COUNTIF(AJ5,"*B*"),
   INDEX($C$149:$AJ$149,
     COUNTIFS($C$5:AJ5, "*")
   ),
"")</f>
        <v/>
      </c>
      <c r="AK207" s="62" t="str">
        <f t="shared" ref="AK207:AK217" si="16">CONCATENATE(C207,D207,E207,F207,G207,H207,I207,J207,K207,L207,M207,N207,O207,P207,Q207,R207,S207,T207,U207,V207,W207,X207,Y207,Z207,AA207,AB207,AC207,AD207,AE207,AF207,AG207,AH207,AI207,AJ207)</f>
        <v/>
      </c>
    </row>
    <row r="208" spans="1:37" ht="15" customHeight="1" thickBot="1" x14ac:dyDescent="0.4">
      <c r="A208" s="1196"/>
      <c r="B208" s="22">
        <v>3</v>
      </c>
      <c r="C208" s="40" t="str" cm="1">
        <f t="array" ref="C208">IF(COUNTIF(C6,"*B*"),
   INDEX($C$150:$AJ$150,
     COUNTIFS($C$6:C6, "*")
   ),
"")</f>
        <v/>
      </c>
      <c r="D208" s="40" t="str" cm="1">
        <f t="array" ref="D208">IF(COUNTIF(D6,"*B*"),
   INDEX($C$150:$AJ$150,
     COUNTIFS($C$6:D6, "*")
   ),
"")</f>
        <v/>
      </c>
      <c r="E208" s="40" t="str" cm="1">
        <f t="array" ref="E208">IF(COUNTIF(E6,"*B*"),
   INDEX($C$150:$AJ$150,
     COUNTIFS($C$6:E6, "*")
   ),
"")</f>
        <v/>
      </c>
      <c r="F208" s="40" t="str" cm="1">
        <f t="array" ref="F208">IF(COUNTIF(F6,"*B*"),
   INDEX($C$150:$AJ$150,
     COUNTIFS($C$6:F6, "*")
   ),
"")</f>
        <v/>
      </c>
      <c r="G208" s="40" t="str" cm="1">
        <f t="array" ref="G208">IF(COUNTIF(G6,"*B*"),
   INDEX($C$150:$AJ$150,
     COUNTIFS($C$6:G6, "*")
   ),
"")</f>
        <v/>
      </c>
      <c r="H208" s="40" t="str" cm="1">
        <f t="array" ref="H208">IF(COUNTIF(H6,"*B*"),
   INDEX($C$150:$AJ$150,
     COUNTIFS($C$6:H6, "*")
   ),
"")</f>
        <v/>
      </c>
      <c r="I208" s="40" t="str" cm="1">
        <f t="array" ref="I208">IF(COUNTIF(I6,"*B*"),
   INDEX($C$150:$AJ$150,
     COUNTIFS($C$6:I6, "*")
   ),
"")</f>
        <v/>
      </c>
      <c r="J208" s="40" t="str" cm="1">
        <f t="array" ref="J208">IF(COUNTIF(J6,"*B*"),
   INDEX($C$150:$AJ$150,
     COUNTIFS($C$6:J6, "*")
   ),
"")</f>
        <v/>
      </c>
      <c r="K208" s="40" t="str" cm="1">
        <f t="array" ref="K208">IF(COUNTIF(K6,"*B*"),
   INDEX($C$150:$AJ$150,
     COUNTIFS($C$6:K6, "*")
   ),
"")</f>
        <v/>
      </c>
      <c r="L208" s="40" t="str" cm="1">
        <f t="array" ref="L208">IF(COUNTIF(L6,"*B*"),
   INDEX($C$150:$AJ$150,
     COUNTIFS($C$6:L6, "*")
   ),
"")</f>
        <v/>
      </c>
      <c r="M208" s="40" t="str" cm="1">
        <f t="array" ref="M208">IF(COUNTIF(M6,"*B*"),
   INDEX($C$150:$AJ$150,
     COUNTIFS($C$6:M6, "*")
   ),
"")</f>
        <v/>
      </c>
      <c r="N208" s="40" t="str" cm="1">
        <f t="array" ref="N208">IF(COUNTIF(N6,"*B*"),
   INDEX($C$150:$AJ$150,
     COUNTIFS($C$6:N6, "*")
   ),
"")</f>
        <v/>
      </c>
      <c r="O208" s="40" t="str" cm="1">
        <f t="array" ref="O208">IF(COUNTIF(O6,"*B*"),
   INDEX($C$150:$AJ$150,
     COUNTIFS($C$6:O6, "*")
   ),
"")</f>
        <v/>
      </c>
      <c r="P208" s="40" t="str" cm="1">
        <f t="array" ref="P208">IF(COUNTIF(P6,"*B*"),
   INDEX($C$150:$AJ$150,
     COUNTIFS($C$6:P6, "*")
   ),
"")</f>
        <v/>
      </c>
      <c r="Q208" s="40" t="str" cm="1">
        <f t="array" ref="Q208">IF(COUNTIF(Q6,"*B*"),
   INDEX($C$150:$AJ$150,
     COUNTIFS($C$6:Q6, "*")
   ),
"")</f>
        <v/>
      </c>
      <c r="R208" s="40" t="str" cm="1">
        <f t="array" ref="R208">IF(COUNTIF(R6,"*B*"),
   INDEX($C$150:$AJ$150,
     COUNTIFS($C$6:R6, "*")
   ),
"")</f>
        <v/>
      </c>
      <c r="S208" s="40" t="str" cm="1">
        <f t="array" ref="S208">IF(COUNTIF(S6,"*B*"),
   INDEX($C$150:$AJ$150,
     COUNTIFS($C$6:S6, "*")
   ),
"")</f>
        <v/>
      </c>
      <c r="T208" s="40" t="str" cm="1">
        <f t="array" ref="T208">IF(COUNTIF(T6,"*B*"),
   INDEX($C$150:$AJ$150,
     COUNTIFS($C$6:T6, "*")
   ),
"")</f>
        <v/>
      </c>
      <c r="U208" s="40" t="str" cm="1">
        <f t="array" ref="U208">IF(COUNTIF(U6,"*B*"),
   INDEX($C$150:$AJ$150,
     COUNTIFS($C$6:U6, "*")
   ),
"")</f>
        <v/>
      </c>
      <c r="V208" s="40" t="str" cm="1">
        <f t="array" ref="V208">IF(COUNTIF(V6,"*B*"),
   INDEX($C$150:$AJ$150,
     COUNTIFS($C$6:V6, "*")
   ),
"")</f>
        <v/>
      </c>
      <c r="W208" s="40" t="str" cm="1">
        <f t="array" ref="W208">IF(COUNTIF(W6,"*B*"),
   INDEX($C$150:$AJ$150,
     COUNTIFS($C$6:W6, "*")
   ),
"")</f>
        <v/>
      </c>
      <c r="X208" s="40" t="str" cm="1">
        <f t="array" ref="X208">IF(COUNTIF(X6,"*B*"),
   INDEX($C$150:$AJ$150,
     COUNTIFS($C$6:X6, "*")
   ),
"")</f>
        <v/>
      </c>
      <c r="Y208" s="40" t="str" cm="1">
        <f t="array" ref="Y208">IF(COUNTIF(Y6,"*B*"),
   INDEX($C$150:$AJ$150,
     COUNTIFS($C$6:Y6, "*")
   ),
"")</f>
        <v/>
      </c>
      <c r="Z208" s="40" t="str" cm="1">
        <f t="array" ref="Z208">IF(COUNTIF(Z6,"*B*"),
   INDEX($C$150:$AJ$150,
     COUNTIFS($C$6:Z6, "*")
   ),
"")</f>
        <v/>
      </c>
      <c r="AA208" s="40" t="str" cm="1">
        <f t="array" ref="AA208">IF(COUNTIF(AA6,"*B*"),
   INDEX($C$150:$AJ$150,
     COUNTIFS($C$6:AA6, "*")
   ),
"")</f>
        <v/>
      </c>
      <c r="AB208" s="40" t="str" cm="1">
        <f t="array" ref="AB208">IF(COUNTIF(AB6,"*B*"),
   INDEX($C$150:$AJ$150,
     COUNTIFS($C$6:AB6, "*")
   ),
"")</f>
        <v/>
      </c>
      <c r="AC208" s="40" t="str" cm="1">
        <f t="array" ref="AC208">IF(COUNTIF(AC6,"*B*"),
   INDEX($C$150:$AJ$150,
     COUNTIFS($C$6:AC6, "*")
   ),
"")</f>
        <v/>
      </c>
      <c r="AD208" s="40" t="str" cm="1">
        <f t="array" ref="AD208">IF(COUNTIF(AD6,"*B*"),
   INDEX($C$150:$AJ$150,
     COUNTIFS($C$6:AD6, "*")
   ),
"")</f>
        <v/>
      </c>
      <c r="AE208" s="40" t="str" cm="1">
        <f t="array" ref="AE208">IF(COUNTIF(AE6,"*B*"),
   INDEX($C$150:$AJ$150,
     COUNTIFS($C$6:AE6, "*")
   ),
"")</f>
        <v/>
      </c>
      <c r="AF208" s="40" t="str" cm="1">
        <f t="array" ref="AF208">IF(COUNTIF(AF6,"*B*"),
   INDEX($C$150:$AJ$150,
     COUNTIFS($C$6:AF6, "*")
   ),
"")</f>
        <v/>
      </c>
      <c r="AG208" s="40" t="str" cm="1">
        <f t="array" ref="AG208">IF(COUNTIF(AG6,"*B*"),
   INDEX($C$150:$AJ$150,
     COUNTIFS($C$6:AG6, "*")
   ),
"")</f>
        <v/>
      </c>
      <c r="AH208" s="40" t="str" cm="1">
        <f t="array" ref="AH208">IF(COUNTIF(AH6,"*B*"),
   INDEX($C$150:$AJ$150,
     COUNTIFS($C$6:AH6, "*")
   ),
"")</f>
        <v/>
      </c>
      <c r="AI208" s="40" t="str" cm="1">
        <f t="array" ref="AI208">IF(COUNTIF(AI6,"*B*"),
   INDEX($C$150:$AJ$150,
     COUNTIFS($C$6:AI6, "*")
   ),
"")</f>
        <v/>
      </c>
      <c r="AJ208" s="40" t="str" cm="1">
        <f t="array" ref="AJ208">IF(COUNTIF(AJ6,"*B*"),
   INDEX($C$150:$AJ$150,
     COUNTIFS($C$6:AJ6, "*")
   ),
"")</f>
        <v/>
      </c>
      <c r="AK208" s="62" t="str">
        <f t="shared" si="16"/>
        <v/>
      </c>
    </row>
    <row r="209" spans="1:37" ht="15" customHeight="1" thickBot="1" x14ac:dyDescent="0.4">
      <c r="A209" s="1196"/>
      <c r="B209" s="22">
        <v>4</v>
      </c>
      <c r="C209" s="40" t="str" cm="1">
        <f t="array" ref="C209">IF(COUNTIF(C7,"*B*"),
   INDEX($C$151:$AJ$151,
     COUNTIFS($C$7:C7, "*")
   ),
"")</f>
        <v/>
      </c>
      <c r="D209" s="40" t="str" cm="1">
        <f t="array" ref="D209">IF(COUNTIF(D7,"*B*"),
   INDEX($C$151:$AJ$151,
     COUNTIFS($C$7:D7, "*")
   ),
"")</f>
        <v/>
      </c>
      <c r="E209" s="40" t="str" cm="1">
        <f t="array" ref="E209">IF(COUNTIF(E7,"*B*"),
   INDEX($C$151:$AJ$151,
     COUNTIFS($C$7:E7, "*")
   ),
"")</f>
        <v/>
      </c>
      <c r="F209" s="40" t="str" cm="1">
        <f t="array" ref="F209">IF(COUNTIF(F7,"*B*"),
   INDEX($C$151:$AJ$151,
     COUNTIFS($C$7:F7, "*")
   ),
"")</f>
        <v/>
      </c>
      <c r="G209" s="40" t="str" cm="1">
        <f t="array" ref="G209">IF(COUNTIF(G7,"*B*"),
   INDEX($C$151:$AJ$151,
     COUNTIFS($C$7:G7, "*")
   ),
"")</f>
        <v/>
      </c>
      <c r="H209" s="40" t="str" cm="1">
        <f t="array" ref="H209">IF(COUNTIF(H7,"*B*"),
   INDEX($C$151:$AJ$151,
     COUNTIFS($C$7:H7, "*")
   ),
"")</f>
        <v/>
      </c>
      <c r="I209" s="40" t="str" cm="1">
        <f t="array" ref="I209">IF(COUNTIF(I7,"*B*"),
   INDEX($C$151:$AJ$151,
     COUNTIFS($C$7:I7, "*")
   ),
"")</f>
        <v/>
      </c>
      <c r="J209" s="40" t="str" cm="1">
        <f t="array" ref="J209">IF(COUNTIF(J7,"*B*"),
   INDEX($C$151:$AJ$151,
     COUNTIFS($C$7:J7, "*")
   ),
"")</f>
        <v/>
      </c>
      <c r="K209" s="40" t="str" cm="1">
        <f t="array" ref="K209">IF(COUNTIF(K7,"*B*"),
   INDEX($C$151:$AJ$151,
     COUNTIFS($C$7:K7, "*")
   ),
"")</f>
        <v/>
      </c>
      <c r="L209" s="40" t="str" cm="1">
        <f t="array" ref="L209">IF(COUNTIF(L7,"*B*"),
   INDEX($C$151:$AJ$151,
     COUNTIFS($C$7:L7, "*")
   ),
"")</f>
        <v/>
      </c>
      <c r="M209" s="40" t="str" cm="1">
        <f t="array" ref="M209">IF(COUNTIF(M7,"*B*"),
   INDEX($C$151:$AJ$151,
     COUNTIFS($C$7:M7, "*")
   ),
"")</f>
        <v/>
      </c>
      <c r="N209" s="40" t="str" cm="1">
        <f t="array" ref="N209">IF(COUNTIF(N7,"*B*"),
   INDEX($C$151:$AJ$151,
     COUNTIFS($C$7:N7, "*")
   ),
"")</f>
        <v/>
      </c>
      <c r="O209" s="40" t="str" cm="1">
        <f t="array" ref="O209">IF(COUNTIF(O7,"*B*"),
   INDEX($C$151:$AJ$151,
     COUNTIFS($C$7:O7, "*")
   ),
"")</f>
        <v/>
      </c>
      <c r="P209" s="40" t="str" cm="1">
        <f t="array" ref="P209">IF(COUNTIF(P7,"*B*"),
   INDEX($C$151:$AJ$151,
     COUNTIFS($C$7:P7, "*")
   ),
"")</f>
        <v/>
      </c>
      <c r="Q209" s="40" t="str" cm="1">
        <f t="array" ref="Q209">IF(COUNTIF(Q7,"*B*"),
   INDEX($C$151:$AJ$151,
     COUNTIFS($C$7:Q7, "*")
   ),
"")</f>
        <v/>
      </c>
      <c r="R209" s="40" t="str" cm="1">
        <f t="array" ref="R209">IF(COUNTIF(R7,"*B*"),
   INDEX($C$151:$AJ$151,
     COUNTIFS($C$7:R7, "*")
   ),
"")</f>
        <v/>
      </c>
      <c r="S209" s="40" t="str" cm="1">
        <f t="array" ref="S209">IF(COUNTIF(S7,"*B*"),
   INDEX($C$151:$AJ$151,
     COUNTIFS($C$7:S7, "*")
   ),
"")</f>
        <v/>
      </c>
      <c r="T209" s="40" t="str" cm="1">
        <f t="array" ref="T209">IF(COUNTIF(T7,"*B*"),
   INDEX($C$151:$AJ$151,
     COUNTIFS($C$7:T7, "*")
   ),
"")</f>
        <v/>
      </c>
      <c r="U209" s="40" t="str" cm="1">
        <f t="array" ref="U209">IF(COUNTIF(U7,"*B*"),
   INDEX($C$151:$AJ$151,
     COUNTIFS($C$7:U7, "*")
   ),
"")</f>
        <v/>
      </c>
      <c r="V209" s="40" t="str" cm="1">
        <f t="array" ref="V209">IF(COUNTIF(V7,"*B*"),
   INDEX($C$151:$AJ$151,
     COUNTIFS($C$7:V7, "*")
   ),
"")</f>
        <v/>
      </c>
      <c r="W209" s="40" t="str" cm="1">
        <f t="array" ref="W209">IF(COUNTIF(W7,"*B*"),
   INDEX($C$151:$AJ$151,
     COUNTIFS($C$7:W7, "*")
   ),
"")</f>
        <v/>
      </c>
      <c r="X209" s="40" t="str" cm="1">
        <f t="array" ref="X209">IF(COUNTIF(X7,"*B*"),
   INDEX($C$151:$AJ$151,
     COUNTIFS($C$7:X7, "*")
   ),
"")</f>
        <v/>
      </c>
      <c r="Y209" s="40" t="str" cm="1">
        <f t="array" ref="Y209">IF(COUNTIF(Y7,"*B*"),
   INDEX($C$151:$AJ$151,
     COUNTIFS($C$7:Y7, "*")
   ),
"")</f>
        <v/>
      </c>
      <c r="Z209" s="40" t="str" cm="1">
        <f t="array" ref="Z209">IF(COUNTIF(Z7,"*B*"),
   INDEX($C$151:$AJ$151,
     COUNTIFS($C$7:Z7, "*")
   ),
"")</f>
        <v/>
      </c>
      <c r="AA209" s="40" t="str" cm="1">
        <f t="array" ref="AA209">IF(COUNTIF(AA7,"*B*"),
   INDEX($C$151:$AJ$151,
     COUNTIFS($C$7:AA7, "*")
   ),
"")</f>
        <v/>
      </c>
      <c r="AB209" s="40" t="str" cm="1">
        <f t="array" ref="AB209">IF(COUNTIF(AB7,"*B*"),
   INDEX($C$151:$AJ$151,
     COUNTIFS($C$7:AB7, "*")
   ),
"")</f>
        <v/>
      </c>
      <c r="AC209" s="40" t="str" cm="1">
        <f t="array" ref="AC209">IF(COUNTIF(AC7,"*B*"),
   INDEX($C$151:$AJ$151,
     COUNTIFS($C$7:AC7, "*")
   ),
"")</f>
        <v/>
      </c>
      <c r="AD209" s="40" t="str" cm="1">
        <f t="array" ref="AD209">IF(COUNTIF(AD7,"*B*"),
   INDEX($C$151:$AJ$151,
     COUNTIFS($C$7:AD7, "*")
   ),
"")</f>
        <v/>
      </c>
      <c r="AE209" s="40" t="str" cm="1">
        <f t="array" ref="AE209">IF(COUNTIF(AE7,"*B*"),
   INDEX($C$151:$AJ$151,
     COUNTIFS($C$7:AE7, "*")
   ),
"")</f>
        <v/>
      </c>
      <c r="AF209" s="40" t="str" cm="1">
        <f t="array" ref="AF209">IF(COUNTIF(AF7,"*B*"),
   INDEX($C$151:$AJ$151,
     COUNTIFS($C$7:AF7, "*")
   ),
"")</f>
        <v/>
      </c>
      <c r="AG209" s="40" t="str" cm="1">
        <f t="array" ref="AG209">IF(COUNTIF(AG7,"*B*"),
   INDEX($C$151:$AJ$151,
     COUNTIFS($C$7:AG7, "*")
   ),
"")</f>
        <v/>
      </c>
      <c r="AH209" s="40" t="str" cm="1">
        <f t="array" ref="AH209">IF(COUNTIF(AH7,"*B*"),
   INDEX($C$151:$AJ$151,
     COUNTIFS($C$7:AH7, "*")
   ),
"")</f>
        <v/>
      </c>
      <c r="AI209" s="40" t="str" cm="1">
        <f t="array" ref="AI209">IF(COUNTIF(AI7,"*B*"),
   INDEX($C$151:$AJ$151,
     COUNTIFS($C$7:AI7, "*")
   ),
"")</f>
        <v/>
      </c>
      <c r="AJ209" s="40" t="str" cm="1">
        <f t="array" ref="AJ209">IF(COUNTIF(AJ7,"*B*"),
   INDEX($C$151:$AJ$151,
     COUNTIFS($C$7:AJ7, "*")
   ),
"")</f>
        <v/>
      </c>
      <c r="AK209" s="62" t="str">
        <f t="shared" si="16"/>
        <v/>
      </c>
    </row>
    <row r="210" spans="1:37" ht="15" customHeight="1" thickBot="1" x14ac:dyDescent="0.4">
      <c r="A210" s="1196"/>
      <c r="B210" s="22">
        <v>5</v>
      </c>
      <c r="C210" s="40" t="str" cm="1">
        <f t="array" ref="C210">IF(COUNTIF(C8,"*B*"),
   INDEX($C$152:$AJ$152,
     COUNTIFS($C$8:C8, "*")
   ),
"")</f>
        <v/>
      </c>
      <c r="D210" s="40" t="str" cm="1">
        <f t="array" ref="D210">IF(COUNTIF(D8,"*B*"),
   INDEX($C$152:$AJ$152,
     COUNTIFS($C$8:D8, "*")
   ),
"")</f>
        <v/>
      </c>
      <c r="E210" s="40" t="str" cm="1">
        <f t="array" ref="E210">IF(COUNTIF(E8,"*B*"),
   INDEX($C$152:$AJ$152,
     COUNTIFS($C$8:E8, "*")
   ),
"")</f>
        <v/>
      </c>
      <c r="F210" s="40" t="str" cm="1">
        <f t="array" ref="F210">IF(COUNTIF(F8,"*B*"),
   INDEX($C$152:$AJ$152,
     COUNTIFS($C$8:F8, "*")
   ),
"")</f>
        <v/>
      </c>
      <c r="G210" s="40" t="str" cm="1">
        <f t="array" ref="G210">IF(COUNTIF(G8,"*B*"),
   INDEX($C$152:$AJ$152,
     COUNTIFS($C$8:G8, "*")
   ),
"")</f>
        <v/>
      </c>
      <c r="H210" s="40" t="str" cm="1">
        <f t="array" ref="H210">IF(COUNTIF(H8,"*B*"),
   INDEX($C$152:$AJ$152,
     COUNTIFS($C$8:H8, "*")
   ),
"")</f>
        <v/>
      </c>
      <c r="I210" s="40" t="str" cm="1">
        <f t="array" ref="I210">IF(COUNTIF(I8,"*B*"),
   INDEX($C$152:$AJ$152,
     COUNTIFS($C$8:I8, "*")
   ),
"")</f>
        <v/>
      </c>
      <c r="J210" s="40" t="str" cm="1">
        <f t="array" ref="J210">IF(COUNTIF(J8,"*B*"),
   INDEX($C$152:$AJ$152,
     COUNTIFS($C$8:J8, "*")
   ),
"")</f>
        <v/>
      </c>
      <c r="K210" s="40" t="str" cm="1">
        <f t="array" ref="K210">IF(COUNTIF(K8,"*B*"),
   INDEX($C$152:$AJ$152,
     COUNTIFS($C$8:K8, "*")
   ),
"")</f>
        <v/>
      </c>
      <c r="L210" s="40" t="str" cm="1">
        <f t="array" ref="L210">IF(COUNTIF(L8,"*B*"),
   INDEX($C$152:$AJ$152,
     COUNTIFS($C$8:L8, "*")
   ),
"")</f>
        <v/>
      </c>
      <c r="M210" s="40" t="str" cm="1">
        <f t="array" ref="M210">IF(COUNTIF(M8,"*B*"),
   INDEX($C$152:$AJ$152,
     COUNTIFS($C$8:M8, "*")
   ),
"")</f>
        <v/>
      </c>
      <c r="N210" s="40" t="str" cm="1">
        <f t="array" ref="N210">IF(COUNTIF(N8,"*B*"),
   INDEX($C$152:$AJ$152,
     COUNTIFS($C$8:N8, "*")
   ),
"")</f>
        <v/>
      </c>
      <c r="O210" s="40" t="str" cm="1">
        <f t="array" ref="O210">IF(COUNTIF(O8,"*B*"),
   INDEX($C$152:$AJ$152,
     COUNTIFS($C$8:O8, "*")
   ),
"")</f>
        <v/>
      </c>
      <c r="P210" s="40" t="str" cm="1">
        <f t="array" ref="P210">IF(COUNTIF(P8,"*B*"),
   INDEX($C$152:$AJ$152,
     COUNTIFS($C$8:P8, "*")
   ),
"")</f>
        <v/>
      </c>
      <c r="Q210" s="40" t="str" cm="1">
        <f t="array" ref="Q210">IF(COUNTIF(Q8,"*B*"),
   INDEX($C$152:$AJ$152,
     COUNTIFS($C$8:Q8, "*")
   ),
"")</f>
        <v/>
      </c>
      <c r="R210" s="40" t="str" cm="1">
        <f t="array" ref="R210">IF(COUNTIF(R8,"*B*"),
   INDEX($C$152:$AJ$152,
     COUNTIFS($C$8:R8, "*")
   ),
"")</f>
        <v/>
      </c>
      <c r="S210" s="40" t="str" cm="1">
        <f t="array" ref="S210">IF(COUNTIF(S8,"*B*"),
   INDEX($C$152:$AJ$152,
     COUNTIFS($C$8:S8, "*")
   ),
"")</f>
        <v/>
      </c>
      <c r="T210" s="40" t="str" cm="1">
        <f t="array" ref="T210">IF(COUNTIF(T8,"*B*"),
   INDEX($C$152:$AJ$152,
     COUNTIFS($C$8:T8, "*")
   ),
"")</f>
        <v/>
      </c>
      <c r="U210" s="40" t="str" cm="1">
        <f t="array" ref="U210">IF(COUNTIF(U8,"*B*"),
   INDEX($C$152:$AJ$152,
     COUNTIFS($C$8:U8, "*")
   ),
"")</f>
        <v/>
      </c>
      <c r="V210" s="40" t="str" cm="1">
        <f t="array" ref="V210">IF(COUNTIF(V8,"*B*"),
   INDEX($C$152:$AJ$152,
     COUNTIFS($C$8:V8, "*")
   ),
"")</f>
        <v/>
      </c>
      <c r="W210" s="40" t="str" cm="1">
        <f t="array" ref="W210">IF(COUNTIF(W8,"*B*"),
   INDEX($C$152:$AJ$152,
     COUNTIFS($C$8:W8, "*")
   ),
"")</f>
        <v/>
      </c>
      <c r="X210" s="40" t="str" cm="1">
        <f t="array" ref="X210">IF(COUNTIF(X8,"*B*"),
   INDEX($C$152:$AJ$152,
     COUNTIFS($C$8:X8, "*")
   ),
"")</f>
        <v/>
      </c>
      <c r="Y210" s="40" t="str" cm="1">
        <f t="array" ref="Y210">IF(COUNTIF(Y8,"*B*"),
   INDEX($C$152:$AJ$152,
     COUNTIFS($C$8:Y8, "*")
   ),
"")</f>
        <v/>
      </c>
      <c r="Z210" s="40" t="str" cm="1">
        <f t="array" ref="Z210">IF(COUNTIF(Z8,"*B*"),
   INDEX($C$152:$AJ$152,
     COUNTIFS($C$8:Z8, "*")
   ),
"")</f>
        <v/>
      </c>
      <c r="AA210" s="40" t="str" cm="1">
        <f t="array" ref="AA210">IF(COUNTIF(AA8,"*B*"),
   INDEX($C$152:$AJ$152,
     COUNTIFS($C$8:AA8, "*")
   ),
"")</f>
        <v/>
      </c>
      <c r="AB210" s="40" t="str" cm="1">
        <f t="array" ref="AB210">IF(COUNTIF(AB8,"*B*"),
   INDEX($C$152:$AJ$152,
     COUNTIFS($C$8:AB8, "*")
   ),
"")</f>
        <v/>
      </c>
      <c r="AC210" s="40" t="str" cm="1">
        <f t="array" ref="AC210">IF(COUNTIF(AC8,"*B*"),
   INDEX($C$152:$AJ$152,
     COUNTIFS($C$8:AC8, "*")
   ),
"")</f>
        <v/>
      </c>
      <c r="AD210" s="40" t="str" cm="1">
        <f t="array" ref="AD210">IF(COUNTIF(AD8,"*B*"),
   INDEX($C$152:$AJ$152,
     COUNTIFS($C$8:AD8, "*")
   ),
"")</f>
        <v/>
      </c>
      <c r="AE210" s="40" t="str" cm="1">
        <f t="array" ref="AE210">IF(COUNTIF(AE8,"*B*"),
   INDEX($C$152:$AJ$152,
     COUNTIFS($C$8:AE8, "*")
   ),
"")</f>
        <v/>
      </c>
      <c r="AF210" s="40" t="str" cm="1">
        <f t="array" ref="AF210">IF(COUNTIF(AF8,"*B*"),
   INDEX($C$152:$AJ$152,
     COUNTIFS($C$8:AF8, "*")
   ),
"")</f>
        <v/>
      </c>
      <c r="AG210" s="40" t="str" cm="1">
        <f t="array" ref="AG210">IF(COUNTIF(AG8,"*B*"),
   INDEX($C$152:$AJ$152,
     COUNTIFS($C$8:AG8, "*")
   ),
"")</f>
        <v/>
      </c>
      <c r="AH210" s="40" t="str" cm="1">
        <f t="array" ref="AH210">IF(COUNTIF(AH8,"*B*"),
   INDEX($C$152:$AJ$152,
     COUNTIFS($C$8:AH8, "*")
   ),
"")</f>
        <v/>
      </c>
      <c r="AI210" s="40" t="str" cm="1">
        <f t="array" ref="AI210">IF(COUNTIF(AI8,"*B*"),
   INDEX($C$152:$AJ$152,
     COUNTIFS($C$8:AI8, "*")
   ),
"")</f>
        <v/>
      </c>
      <c r="AJ210" s="40" t="str" cm="1">
        <f t="array" ref="AJ210">IF(COUNTIF(AJ8,"*B*"),
   INDEX($C$152:$AJ$152,
     COUNTIFS($C$8:AJ8, "*")
   ),
"")</f>
        <v/>
      </c>
      <c r="AK210" s="62" t="str">
        <f t="shared" si="16"/>
        <v/>
      </c>
    </row>
    <row r="211" spans="1:37" ht="15" customHeight="1" thickBot="1" x14ac:dyDescent="0.4">
      <c r="A211" s="1196"/>
      <c r="B211" s="22">
        <v>6</v>
      </c>
      <c r="C211" s="40" t="str" cm="1">
        <f t="array" ref="C211">IF(COUNTIF(C9,"*B*"),
   INDEX($C$153:$AJ$153,
     COUNTIFS($C$9:C9, "*")
   ),
"")</f>
        <v/>
      </c>
      <c r="D211" s="40" t="str" cm="1">
        <f t="array" ref="D211">IF(COUNTIF(D9,"*B*"),
   INDEX($C$153:$AJ$153,
     COUNTIFS($C$9:D9, "*")
   ),
"")</f>
        <v/>
      </c>
      <c r="E211" s="40" t="str" cm="1">
        <f t="array" ref="E211">IF(COUNTIF(E9,"*B*"),
   INDEX($C$153:$AJ$153,
     COUNTIFS($C$9:E9, "*")
   ),
"")</f>
        <v/>
      </c>
      <c r="F211" s="40" t="str" cm="1">
        <f t="array" ref="F211">IF(COUNTIF(F9,"*B*"),
   INDEX($C$153:$AJ$153,
     COUNTIFS($C$9:F9, "*")
   ),
"")</f>
        <v/>
      </c>
      <c r="G211" s="40" t="str" cm="1">
        <f t="array" ref="G211">IF(COUNTIF(G9,"*B*"),
   INDEX($C$153:$AJ$153,
     COUNTIFS($C$9:G9, "*")
   ),
"")</f>
        <v/>
      </c>
      <c r="H211" s="40" t="str" cm="1">
        <f t="array" ref="H211">IF(COUNTIF(H9,"*B*"),
   INDEX($C$153:$AJ$153,
     COUNTIFS($C$9:H9, "*")
   ),
"")</f>
        <v/>
      </c>
      <c r="I211" s="40" t="str" cm="1">
        <f t="array" ref="I211">IF(COUNTIF(I9,"*B*"),
   INDEX($C$153:$AJ$153,
     COUNTIFS($C$9:I9, "*")
   ),
"")</f>
        <v/>
      </c>
      <c r="J211" s="40" t="str" cm="1">
        <f t="array" ref="J211">IF(COUNTIF(J9,"*B*"),
   INDEX($C$153:$AJ$153,
     COUNTIFS($C$9:J9, "*")
   ),
"")</f>
        <v/>
      </c>
      <c r="K211" s="40" t="str" cm="1">
        <f t="array" ref="K211">IF(COUNTIF(K9,"*B*"),
   INDEX($C$153:$AJ$153,
     COUNTIFS($C$9:K9, "*")
   ),
"")</f>
        <v/>
      </c>
      <c r="L211" s="40" t="str" cm="1">
        <f t="array" ref="L211">IF(COUNTIF(L9,"*B*"),
   INDEX($C$153:$AJ$153,
     COUNTIFS($C$9:L9, "*")
   ),
"")</f>
        <v/>
      </c>
      <c r="M211" s="40" t="str" cm="1">
        <f t="array" ref="M211">IF(COUNTIF(M9,"*B*"),
   INDEX($C$153:$AJ$153,
     COUNTIFS($C$9:M9, "*")
   ),
"")</f>
        <v/>
      </c>
      <c r="N211" s="40" t="str" cm="1">
        <f t="array" ref="N211">IF(COUNTIF(N9,"*B*"),
   INDEX($C$153:$AJ$153,
     COUNTIFS($C$9:N9, "*")
   ),
"")</f>
        <v/>
      </c>
      <c r="O211" s="40" t="str" cm="1">
        <f t="array" ref="O211">IF(COUNTIF(O9,"*B*"),
   INDEX($C$153:$AJ$153,
     COUNTIFS($C$9:O9, "*")
   ),
"")</f>
        <v/>
      </c>
      <c r="P211" s="40" t="str" cm="1">
        <f t="array" ref="P211">IF(COUNTIF(P9,"*B*"),
   INDEX($C$153:$AJ$153,
     COUNTIFS($C$9:P9, "*")
   ),
"")</f>
        <v/>
      </c>
      <c r="Q211" s="40" t="str" cm="1">
        <f t="array" ref="Q211">IF(COUNTIF(Q9,"*B*"),
   INDEX($C$153:$AJ$153,
     COUNTIFS($C$9:Q9, "*")
   ),
"")</f>
        <v/>
      </c>
      <c r="R211" s="40" t="str" cm="1">
        <f t="array" ref="R211">IF(COUNTIF(R9,"*B*"),
   INDEX($C$153:$AJ$153,
     COUNTIFS($C$9:R9, "*")
   ),
"")</f>
        <v/>
      </c>
      <c r="S211" s="40" t="str" cm="1">
        <f t="array" ref="S211">IF(COUNTIF(S9,"*B*"),
   INDEX($C$153:$AJ$153,
     COUNTIFS($C$9:S9, "*")
   ),
"")</f>
        <v/>
      </c>
      <c r="T211" s="40" t="str" cm="1">
        <f t="array" ref="T211">IF(COUNTIF(T9,"*B*"),
   INDEX($C$153:$AJ$153,
     COUNTIFS($C$9:T9, "*")
   ),
"")</f>
        <v/>
      </c>
      <c r="U211" s="40" t="str" cm="1">
        <f t="array" ref="U211">IF(COUNTIF(U9,"*B*"),
   INDEX($C$153:$AJ$153,
     COUNTIFS($C$9:U9, "*")
   ),
"")</f>
        <v/>
      </c>
      <c r="V211" s="40" t="str" cm="1">
        <f t="array" ref="V211">IF(COUNTIF(V9,"*B*"),
   INDEX($C$153:$AJ$153,
     COUNTIFS($C$9:V9, "*")
   ),
"")</f>
        <v/>
      </c>
      <c r="W211" s="40" t="str" cm="1">
        <f t="array" ref="W211">IF(COUNTIF(W9,"*B*"),
   INDEX($C$153:$AJ$153,
     COUNTIFS($C$9:W9, "*")
   ),
"")</f>
        <v/>
      </c>
      <c r="X211" s="40" t="str" cm="1">
        <f t="array" ref="X211">IF(COUNTIF(X9,"*B*"),
   INDEX($C$153:$AJ$153,
     COUNTIFS($C$9:X9, "*")
   ),
"")</f>
        <v/>
      </c>
      <c r="Y211" s="40" t="str" cm="1">
        <f t="array" ref="Y211">IF(COUNTIF(Y9,"*B*"),
   INDEX($C$153:$AJ$153,
     COUNTIFS($C$9:Y9, "*")
   ),
"")</f>
        <v/>
      </c>
      <c r="Z211" s="40" t="str" cm="1">
        <f t="array" ref="Z211">IF(COUNTIF(Z9,"*B*"),
   INDEX($C$153:$AJ$153,
     COUNTIFS($C$9:Z9, "*")
   ),
"")</f>
        <v/>
      </c>
      <c r="AA211" s="40" t="str" cm="1">
        <f t="array" ref="AA211">IF(COUNTIF(AA9,"*B*"),
   INDEX($C$153:$AJ$153,
     COUNTIFS($C$9:AA9, "*")
   ),
"")</f>
        <v/>
      </c>
      <c r="AB211" s="40" t="str" cm="1">
        <f t="array" ref="AB211">IF(COUNTIF(AB9,"*B*"),
   INDEX($C$153:$AJ$153,
     COUNTIFS($C$9:AB9, "*")
   ),
"")</f>
        <v/>
      </c>
      <c r="AC211" s="40" t="str" cm="1">
        <f t="array" ref="AC211">IF(COUNTIF(AC9,"*B*"),
   INDEX($C$153:$AJ$153,
     COUNTIFS($C$9:AC9, "*")
   ),
"")</f>
        <v/>
      </c>
      <c r="AD211" s="40" t="str" cm="1">
        <f t="array" ref="AD211">IF(COUNTIF(AD9,"*B*"),
   INDEX($C$153:$AJ$153,
     COUNTIFS($C$9:AD9, "*")
   ),
"")</f>
        <v/>
      </c>
      <c r="AE211" s="40" t="str" cm="1">
        <f t="array" ref="AE211">IF(COUNTIF(AE9,"*B*"),
   INDEX($C$153:$AJ$153,
     COUNTIFS($C$9:AE9, "*")
   ),
"")</f>
        <v/>
      </c>
      <c r="AF211" s="40" t="str" cm="1">
        <f t="array" ref="AF211">IF(COUNTIF(AF9,"*B*"),
   INDEX($C$153:$AJ$153,
     COUNTIFS($C$9:AF9, "*")
   ),
"")</f>
        <v/>
      </c>
      <c r="AG211" s="40" t="str" cm="1">
        <f t="array" ref="AG211">IF(COUNTIF(AG9,"*B*"),
   INDEX($C$153:$AJ$153,
     COUNTIFS($C$9:AG9, "*")
   ),
"")</f>
        <v/>
      </c>
      <c r="AH211" s="40" t="str" cm="1">
        <f t="array" ref="AH211">IF(COUNTIF(AH9,"*B*"),
   INDEX($C$153:$AJ$153,
     COUNTIFS($C$9:AH9, "*")
   ),
"")</f>
        <v/>
      </c>
      <c r="AI211" s="40" t="str" cm="1">
        <f t="array" ref="AI211">IF(COUNTIF(AI9,"*B*"),
   INDEX($C$153:$AJ$153,
     COUNTIFS($C$9:AI9, "*")
   ),
"")</f>
        <v/>
      </c>
      <c r="AJ211" s="40" t="str" cm="1">
        <f t="array" ref="AJ211">IF(COUNTIF(AJ9,"*B*"),
   INDEX($C$153:$AJ$153,
     COUNTIFS($C$9:AJ9, "*")
   ),
"")</f>
        <v/>
      </c>
      <c r="AK211" s="62" t="str">
        <f t="shared" si="16"/>
        <v/>
      </c>
    </row>
    <row r="212" spans="1:37" ht="15" customHeight="1" thickBot="1" x14ac:dyDescent="0.4">
      <c r="A212" s="1196"/>
      <c r="B212" s="22">
        <v>7</v>
      </c>
      <c r="C212" s="40" t="str" cm="1">
        <f t="array" ref="C212">IF(COUNTIF(C10,"*B*"),
   INDEX($C$154:$AJ$154,
     COUNTIFS($C$10:C10, "*")
   ),
"")</f>
        <v/>
      </c>
      <c r="D212" s="40" t="str" cm="1">
        <f t="array" ref="D212">IF(COUNTIF(D10,"*B*"),
   INDEX($C$154:$AJ$154,
     COUNTIFS($C$10:D10, "*")
   ),
"")</f>
        <v/>
      </c>
      <c r="E212" s="40" t="str" cm="1">
        <f t="array" ref="E212">IF(COUNTIF(E10,"*B*"),
   INDEX($C$154:$AJ$154,
     COUNTIFS($C$10:E10, "*")
   ),
"")</f>
        <v/>
      </c>
      <c r="F212" s="40" t="str" cm="1">
        <f t="array" ref="F212">IF(COUNTIF(F10,"*B*"),
   INDEX($C$154:$AJ$154,
     COUNTIFS($C$10:F10, "*")
   ),
"")</f>
        <v/>
      </c>
      <c r="G212" s="40" t="str" cm="1">
        <f t="array" ref="G212">IF(COUNTIF(G10,"*B*"),
   INDEX($C$154:$AJ$154,
     COUNTIFS($C$10:G10, "*")
   ),
"")</f>
        <v/>
      </c>
      <c r="H212" s="40" t="str" cm="1">
        <f t="array" ref="H212">IF(COUNTIF(H10,"*B*"),
   INDEX($C$154:$AJ$154,
     COUNTIFS($C$10:H10, "*")
   ),
"")</f>
        <v/>
      </c>
      <c r="I212" s="40" t="str" cm="1">
        <f t="array" ref="I212">IF(COUNTIF(I10,"*B*"),
   INDEX($C$154:$AJ$154,
     COUNTIFS($C$10:I10, "*")
   ),
"")</f>
        <v/>
      </c>
      <c r="J212" s="40" t="str" cm="1">
        <f t="array" ref="J212">IF(COUNTIF(J10,"*B*"),
   INDEX($C$154:$AJ$154,
     COUNTIFS($C$10:J10, "*")
   ),
"")</f>
        <v/>
      </c>
      <c r="K212" s="40" t="str" cm="1">
        <f t="array" ref="K212">IF(COUNTIF(K10,"*B*"),
   INDEX($C$154:$AJ$154,
     COUNTIFS($C$10:K10, "*")
   ),
"")</f>
        <v/>
      </c>
      <c r="L212" s="40" t="str" cm="1">
        <f t="array" ref="L212">IF(COUNTIF(L10,"*B*"),
   INDEX($C$154:$AJ$154,
     COUNTIFS($C$10:L10, "*")
   ),
"")</f>
        <v/>
      </c>
      <c r="M212" s="40" t="str" cm="1">
        <f t="array" ref="M212">IF(COUNTIF(M10,"*B*"),
   INDEX($C$154:$AJ$154,
     COUNTIFS($C$10:M10, "*")
   ),
"")</f>
        <v/>
      </c>
      <c r="N212" s="40" t="str" cm="1">
        <f t="array" ref="N212">IF(COUNTIF(N10,"*B*"),
   INDEX($C$154:$AJ$154,
     COUNTIFS($C$10:N10, "*")
   ),
"")</f>
        <v/>
      </c>
      <c r="O212" s="40" t="str" cm="1">
        <f t="array" ref="O212">IF(COUNTIF(O10,"*B*"),
   INDEX($C$154:$AJ$154,
     COUNTIFS($C$10:O10, "*")
   ),
"")</f>
        <v/>
      </c>
      <c r="P212" s="40" t="str" cm="1">
        <f t="array" ref="P212">IF(COUNTIF(P10,"*B*"),
   INDEX($C$154:$AJ$154,
     COUNTIFS($C$10:P10, "*")
   ),
"")</f>
        <v/>
      </c>
      <c r="Q212" s="40" t="str" cm="1">
        <f t="array" ref="Q212">IF(COUNTIF(Q10,"*B*"),
   INDEX($C$154:$AJ$154,
     COUNTIFS($C$10:Q10, "*")
   ),
"")</f>
        <v/>
      </c>
      <c r="R212" s="40" t="str" cm="1">
        <f t="array" ref="R212">IF(COUNTIF(R10,"*B*"),
   INDEX($C$154:$AJ$154,
     COUNTIFS($C$10:R10, "*")
   ),
"")</f>
        <v/>
      </c>
      <c r="S212" s="40" t="str" cm="1">
        <f t="array" ref="S212">IF(COUNTIF(S10,"*B*"),
   INDEX($C$154:$AJ$154,
     COUNTIFS($C$10:S10, "*")
   ),
"")</f>
        <v/>
      </c>
      <c r="T212" s="40" t="str" cm="1">
        <f t="array" ref="T212">IF(COUNTIF(T10,"*B*"),
   INDEX($C$154:$AJ$154,
     COUNTIFS($C$10:T10, "*")
   ),
"")</f>
        <v/>
      </c>
      <c r="U212" s="40" t="str" cm="1">
        <f t="array" ref="U212">IF(COUNTIF(U10,"*B*"),
   INDEX($C$154:$AJ$154,
     COUNTIFS($C$10:U10, "*")
   ),
"")</f>
        <v/>
      </c>
      <c r="V212" s="40" t="str" cm="1">
        <f t="array" ref="V212">IF(COUNTIF(V10,"*B*"),
   INDEX($C$154:$AJ$154,
     COUNTIFS($C$10:V10, "*")
   ),
"")</f>
        <v/>
      </c>
      <c r="W212" s="40" t="str" cm="1">
        <f t="array" ref="W212">IF(COUNTIF(W10,"*B*"),
   INDEX($C$154:$AJ$154,
     COUNTIFS($C$10:W10, "*")
   ),
"")</f>
        <v/>
      </c>
      <c r="X212" s="40" t="str" cm="1">
        <f t="array" ref="X212">IF(COUNTIF(X10,"*B*"),
   INDEX($C$154:$AJ$154,
     COUNTIFS($C$10:X10, "*")
   ),
"")</f>
        <v/>
      </c>
      <c r="Y212" s="40" t="str" cm="1">
        <f t="array" ref="Y212">IF(COUNTIF(Y10,"*B*"),
   INDEX($C$154:$AJ$154,
     COUNTIFS($C$10:Y10, "*")
   ),
"")</f>
        <v/>
      </c>
      <c r="Z212" s="40" t="str" cm="1">
        <f t="array" ref="Z212">IF(COUNTIF(Z10,"*B*"),
   INDEX($C$154:$AJ$154,
     COUNTIFS($C$10:Z10, "*")
   ),
"")</f>
        <v/>
      </c>
      <c r="AA212" s="40" t="str" cm="1">
        <f t="array" ref="AA212">IF(COUNTIF(AA10,"*B*"),
   INDEX($C$154:$AJ$154,
     COUNTIFS($C$10:AA10, "*")
   ),
"")</f>
        <v/>
      </c>
      <c r="AB212" s="40" t="str" cm="1">
        <f t="array" ref="AB212">IF(COUNTIF(AB10,"*B*"),
   INDEX($C$154:$AJ$154,
     COUNTIFS($C$10:AB10, "*")
   ),
"")</f>
        <v/>
      </c>
      <c r="AC212" s="40" t="str" cm="1">
        <f t="array" ref="AC212">IF(COUNTIF(AC10,"*B*"),
   INDEX($C$154:$AJ$154,
     COUNTIFS($C$10:AC10, "*")
   ),
"")</f>
        <v/>
      </c>
      <c r="AD212" s="40" t="str" cm="1">
        <f t="array" ref="AD212">IF(COUNTIF(AD10,"*B*"),
   INDEX($C$154:$AJ$154,
     COUNTIFS($C$10:AD10, "*")
   ),
"")</f>
        <v/>
      </c>
      <c r="AE212" s="40" t="str" cm="1">
        <f t="array" ref="AE212">IF(COUNTIF(AE10,"*B*"),
   INDEX($C$154:$AJ$154,
     COUNTIFS($C$10:AE10, "*")
   ),
"")</f>
        <v/>
      </c>
      <c r="AF212" s="40" t="str" cm="1">
        <f t="array" ref="AF212">IF(COUNTIF(AF10,"*B*"),
   INDEX($C$154:$AJ$154,
     COUNTIFS($C$10:AF10, "*")
   ),
"")</f>
        <v/>
      </c>
      <c r="AG212" s="40" t="str" cm="1">
        <f t="array" ref="AG212">IF(COUNTIF(AG10,"*B*"),
   INDEX($C$154:$AJ$154,
     COUNTIFS($C$10:AG10, "*")
   ),
"")</f>
        <v/>
      </c>
      <c r="AH212" s="40" t="str" cm="1">
        <f t="array" ref="AH212">IF(COUNTIF(AH10,"*B*"),
   INDEX($C$154:$AJ$154,
     COUNTIFS($C$10:AH10, "*")
   ),
"")</f>
        <v/>
      </c>
      <c r="AI212" s="40" t="str" cm="1">
        <f t="array" ref="AI212">IF(COUNTIF(AI10,"*B*"),
   INDEX($C$154:$AJ$154,
     COUNTIFS($C$10:AI10, "*")
   ),
"")</f>
        <v/>
      </c>
      <c r="AJ212" s="40" t="str" cm="1">
        <f t="array" ref="AJ212">IF(COUNTIF(AJ10,"*B*"),
   INDEX($C$154:$AJ$154,
     COUNTIFS($C$10:AJ10, "*")
   ),
"")</f>
        <v/>
      </c>
      <c r="AK212" s="62" t="str">
        <f t="shared" si="16"/>
        <v/>
      </c>
    </row>
    <row r="213" spans="1:37" ht="15" customHeight="1" thickBot="1" x14ac:dyDescent="0.4">
      <c r="A213" s="1196"/>
      <c r="B213" s="22">
        <v>8</v>
      </c>
      <c r="C213" s="40" t="str" cm="1">
        <f t="array" ref="C213">IF(COUNTIF(C11,"*B*"),
   INDEX($C$155:$AJ$155,
     COUNTIFS($C$11:C11, "*")
   ),
"")</f>
        <v/>
      </c>
      <c r="D213" s="40" t="str" cm="1">
        <f t="array" ref="D213">IF(COUNTIF(D11,"*B*"),
   INDEX($C$155:$AJ$155,
     COUNTIFS($C$11:D11, "*")
   ),
"")</f>
        <v/>
      </c>
      <c r="E213" s="40" t="str" cm="1">
        <f t="array" ref="E213">IF(COUNTIF(E11,"*B*"),
   INDEX($C$155:$AJ$155,
     COUNTIFS($C$11:E11, "*")
   ),
"")</f>
        <v/>
      </c>
      <c r="F213" s="40" t="str" cm="1">
        <f t="array" ref="F213">IF(COUNTIF(F11,"*B*"),
   INDEX($C$155:$AJ$155,
     COUNTIFS($C$11:F11, "*")
   ),
"")</f>
        <v/>
      </c>
      <c r="G213" s="40" t="str" cm="1">
        <f t="array" ref="G213">IF(COUNTIF(G11,"*B*"),
   INDEX($C$155:$AJ$155,
     COUNTIFS($C$11:G11, "*")
   ),
"")</f>
        <v/>
      </c>
      <c r="H213" s="40" t="str" cm="1">
        <f t="array" ref="H213">IF(COUNTIF(H11,"*B*"),
   INDEX($C$155:$AJ$155,
     COUNTIFS($C$11:H11, "*")
   ),
"")</f>
        <v/>
      </c>
      <c r="I213" s="40" t="str" cm="1">
        <f t="array" ref="I213">IF(COUNTIF(I11,"*B*"),
   INDEX($C$155:$AJ$155,
     COUNTIFS($C$11:I11, "*")
   ),
"")</f>
        <v/>
      </c>
      <c r="J213" s="40" t="str" cm="1">
        <f t="array" ref="J213">IF(COUNTIF(J11,"*B*"),
   INDEX($C$155:$AJ$155,
     COUNTIFS($C$11:J11, "*")
   ),
"")</f>
        <v/>
      </c>
      <c r="K213" s="40" t="str" cm="1">
        <f t="array" ref="K213">IF(COUNTIF(K11,"*B*"),
   INDEX($C$155:$AJ$155,
     COUNTIFS($C$11:K11, "*")
   ),
"")</f>
        <v/>
      </c>
      <c r="L213" s="40" t="str" cm="1">
        <f t="array" ref="L213">IF(COUNTIF(L11,"*B*"),
   INDEX($C$155:$AJ$155,
     COUNTIFS($C$11:L11, "*")
   ),
"")</f>
        <v/>
      </c>
      <c r="M213" s="40" t="str" cm="1">
        <f t="array" ref="M213">IF(COUNTIF(M11,"*B*"),
   INDEX($C$155:$AJ$155,
     COUNTIFS($C$11:M11, "*")
   ),
"")</f>
        <v/>
      </c>
      <c r="N213" s="40" t="str" cm="1">
        <f t="array" ref="N213">IF(COUNTIF(N11,"*B*"),
   INDEX($C$155:$AJ$155,
     COUNTIFS($C$11:N11, "*")
   ),
"")</f>
        <v/>
      </c>
      <c r="O213" s="40" t="str" cm="1">
        <f t="array" ref="O213">IF(COUNTIF(O11,"*B*"),
   INDEX($C$155:$AJ$155,
     COUNTIFS($C$11:O11, "*")
   ),
"")</f>
        <v/>
      </c>
      <c r="P213" s="40" t="str" cm="1">
        <f t="array" ref="P213">IF(COUNTIF(P11,"*B*"),
   INDEX($C$155:$AJ$155,
     COUNTIFS($C$11:P11, "*")
   ),
"")</f>
        <v/>
      </c>
      <c r="Q213" s="40" t="str" cm="1">
        <f t="array" ref="Q213">IF(COUNTIF(Q11,"*B*"),
   INDEX($C$155:$AJ$155,
     COUNTIFS($C$11:Q11, "*")
   ),
"")</f>
        <v/>
      </c>
      <c r="R213" s="40" t="str" cm="1">
        <f t="array" ref="R213">IF(COUNTIF(R11,"*B*"),
   INDEX($C$155:$AJ$155,
     COUNTIFS($C$11:R11, "*")
   ),
"")</f>
        <v/>
      </c>
      <c r="S213" s="40" t="str" cm="1">
        <f t="array" ref="S213">IF(COUNTIF(S11,"*B*"),
   INDEX($C$155:$AJ$155,
     COUNTIFS($C$11:S11, "*")
   ),
"")</f>
        <v/>
      </c>
      <c r="T213" s="40" t="str" cm="1">
        <f t="array" ref="T213">IF(COUNTIF(T11,"*B*"),
   INDEX($C$155:$AJ$155,
     COUNTIFS($C$11:T11, "*")
   ),
"")</f>
        <v/>
      </c>
      <c r="U213" s="40" t="str" cm="1">
        <f t="array" ref="U213">IF(COUNTIF(U11,"*B*"),
   INDEX($C$155:$AJ$155,
     COUNTIFS($C$11:U11, "*")
   ),
"")</f>
        <v/>
      </c>
      <c r="V213" s="40" t="str" cm="1">
        <f t="array" ref="V213">IF(COUNTIF(V11,"*B*"),
   INDEX($C$155:$AJ$155,
     COUNTIFS($C$11:V11, "*")
   ),
"")</f>
        <v/>
      </c>
      <c r="W213" s="40" t="str" cm="1">
        <f t="array" ref="W213">IF(COUNTIF(W11,"*B*"),
   INDEX($C$155:$AJ$155,
     COUNTIFS($C$11:W11, "*")
   ),
"")</f>
        <v/>
      </c>
      <c r="X213" s="40" t="str" cm="1">
        <f t="array" ref="X213">IF(COUNTIF(X11,"*B*"),
   INDEX($C$155:$AJ$155,
     COUNTIFS($C$11:X11, "*")
   ),
"")</f>
        <v/>
      </c>
      <c r="Y213" s="40" t="str" cm="1">
        <f t="array" ref="Y213">IF(COUNTIF(Y11,"*B*"),
   INDEX($C$155:$AJ$155,
     COUNTIFS($C$11:Y11, "*")
   ),
"")</f>
        <v/>
      </c>
      <c r="Z213" s="40" t="str" cm="1">
        <f t="array" ref="Z213">IF(COUNTIF(Z11,"*B*"),
   INDEX($C$155:$AJ$155,
     COUNTIFS($C$11:Z11, "*")
   ),
"")</f>
        <v/>
      </c>
      <c r="AA213" s="40" t="str" cm="1">
        <f t="array" ref="AA213">IF(COUNTIF(AA11,"*B*"),
   INDEX($C$155:$AJ$155,
     COUNTIFS($C$11:AA11, "*")
   ),
"")</f>
        <v/>
      </c>
      <c r="AB213" s="40" t="str" cm="1">
        <f t="array" ref="AB213">IF(COUNTIF(AB11,"*B*"),
   INDEX($C$155:$AJ$155,
     COUNTIFS($C$11:AB11, "*")
   ),
"")</f>
        <v/>
      </c>
      <c r="AC213" s="40" t="str" cm="1">
        <f t="array" ref="AC213">IF(COUNTIF(AC11,"*B*"),
   INDEX($C$155:$AJ$155,
     COUNTIFS($C$11:AC11, "*")
   ),
"")</f>
        <v/>
      </c>
      <c r="AD213" s="40" t="str" cm="1">
        <f t="array" ref="AD213">IF(COUNTIF(AD11,"*B*"),
   INDEX($C$155:$AJ$155,
     COUNTIFS($C$11:AD11, "*")
   ),
"")</f>
        <v/>
      </c>
      <c r="AE213" s="40" t="str" cm="1">
        <f t="array" ref="AE213">IF(COUNTIF(AE11,"*B*"),
   INDEX($C$155:$AJ$155,
     COUNTIFS($C$11:AE11, "*")
   ),
"")</f>
        <v/>
      </c>
      <c r="AF213" s="40" t="str" cm="1">
        <f t="array" ref="AF213">IF(COUNTIF(AF11,"*B*"),
   INDEX($C$155:$AJ$155,
     COUNTIFS($C$11:AF11, "*")
   ),
"")</f>
        <v/>
      </c>
      <c r="AG213" s="40" t="str" cm="1">
        <f t="array" ref="AG213">IF(COUNTIF(AG11,"*B*"),
   INDEX($C$155:$AJ$155,
     COUNTIFS($C$11:AG11, "*")
   ),
"")</f>
        <v/>
      </c>
      <c r="AH213" s="40" t="str" cm="1">
        <f t="array" ref="AH213">IF(COUNTIF(AH11,"*B*"),
   INDEX($C$155:$AJ$155,
     COUNTIFS($C$11:AH11, "*")
   ),
"")</f>
        <v/>
      </c>
      <c r="AI213" s="40" t="str" cm="1">
        <f t="array" ref="AI213">IF(COUNTIF(AI11,"*B*"),
   INDEX($C$155:$AJ$155,
     COUNTIFS($C$11:AI11, "*")
   ),
"")</f>
        <v/>
      </c>
      <c r="AJ213" s="40" t="str" cm="1">
        <f t="array" ref="AJ213">IF(COUNTIF(AJ11,"*B*"),
   INDEX($C$155:$AJ$155,
     COUNTIFS($C$11:AJ11, "*")
   ),
"")</f>
        <v/>
      </c>
      <c r="AK213" s="62" t="str">
        <f t="shared" si="16"/>
        <v/>
      </c>
    </row>
    <row r="214" spans="1:37" ht="15" customHeight="1" thickBot="1" x14ac:dyDescent="0.4">
      <c r="A214" s="1196"/>
      <c r="B214" s="22">
        <v>9</v>
      </c>
      <c r="C214" s="40" t="str" cm="1">
        <f t="array" ref="C214">IF(COUNTIF(C12,"*B*"),
   INDEX($C$156:$AJ$156,
     COUNTIFS($C$12:C12, "*")
   ),
"")</f>
        <v/>
      </c>
      <c r="D214" s="40" t="str" cm="1">
        <f t="array" ref="D214">IF(COUNTIF(D12,"*B*"),
   INDEX($C$156:$AJ$156,
     COUNTIFS($C$12:D12, "*")
   ),
"")</f>
        <v/>
      </c>
      <c r="E214" s="40" t="str" cm="1">
        <f t="array" ref="E214">IF(COUNTIF(E12,"*B*"),
   INDEX($C$156:$AJ$156,
     COUNTIFS($C$12:E12, "*")
   ),
"")</f>
        <v/>
      </c>
      <c r="F214" s="40" t="str" cm="1">
        <f t="array" ref="F214">IF(COUNTIF(F12,"*B*"),
   INDEX($C$156:$AJ$156,
     COUNTIFS($C$12:F12, "*")
   ),
"")</f>
        <v/>
      </c>
      <c r="G214" s="40" t="str" cm="1">
        <f t="array" ref="G214">IF(COUNTIF(G12,"*B*"),
   INDEX($C$156:$AJ$156,
     COUNTIFS($C$12:G12, "*")
   ),
"")</f>
        <v/>
      </c>
      <c r="H214" s="40" t="str" cm="1">
        <f t="array" ref="H214">IF(COUNTIF(H12,"*B*"),
   INDEX($C$156:$AJ$156,
     COUNTIFS($C$12:H12, "*")
   ),
"")</f>
        <v/>
      </c>
      <c r="I214" s="40" t="str" cm="1">
        <f t="array" ref="I214">IF(COUNTIF(I12,"*B*"),
   INDEX($C$156:$AJ$156,
     COUNTIFS($C$12:I12, "*")
   ),
"")</f>
        <v/>
      </c>
      <c r="J214" s="40" t="str" cm="1">
        <f t="array" ref="J214">IF(COUNTIF(J12,"*B*"),
   INDEX($C$156:$AJ$156,
     COUNTIFS($C$12:J12, "*")
   ),
"")</f>
        <v/>
      </c>
      <c r="K214" s="40" t="str" cm="1">
        <f t="array" ref="K214">IF(COUNTIF(K12,"*B*"),
   INDEX($C$156:$AJ$156,
     COUNTIFS($C$12:K12, "*")
   ),
"")</f>
        <v/>
      </c>
      <c r="L214" s="40" t="str" cm="1">
        <f t="array" ref="L214">IF(COUNTIF(L12,"*B*"),
   INDEX($C$156:$AJ$156,
     COUNTIFS($C$12:L12, "*")
   ),
"")</f>
        <v/>
      </c>
      <c r="M214" s="40" t="str" cm="1">
        <f t="array" ref="M214">IF(COUNTIF(M12,"*B*"),
   INDEX($C$156:$AJ$156,
     COUNTIFS($C$12:M12, "*")
   ),
"")</f>
        <v/>
      </c>
      <c r="N214" s="40" t="str" cm="1">
        <f t="array" ref="N214">IF(COUNTIF(N12,"*B*"),
   INDEX($C$156:$AJ$156,
     COUNTIFS($C$12:N12, "*")
   ),
"")</f>
        <v/>
      </c>
      <c r="O214" s="40" t="str" cm="1">
        <f t="array" ref="O214">IF(COUNTIF(O12,"*B*"),
   INDEX($C$156:$AJ$156,
     COUNTIFS($C$12:O12, "*")
   ),
"")</f>
        <v/>
      </c>
      <c r="P214" s="40" t="str" cm="1">
        <f t="array" ref="P214">IF(COUNTIF(P12,"*B*"),
   INDEX($C$156:$AJ$156,
     COUNTIFS($C$12:P12, "*")
   ),
"")</f>
        <v/>
      </c>
      <c r="Q214" s="40" t="str" cm="1">
        <f t="array" ref="Q214">IF(COUNTIF(Q12,"*B*"),
   INDEX($C$156:$AJ$156,
     COUNTIFS($C$12:Q12, "*")
   ),
"")</f>
        <v/>
      </c>
      <c r="R214" s="40" t="str" cm="1">
        <f t="array" ref="R214">IF(COUNTIF(R12,"*B*"),
   INDEX($C$156:$AJ$156,
     COUNTIFS($C$12:R12, "*")
   ),
"")</f>
        <v/>
      </c>
      <c r="S214" s="40" t="str" cm="1">
        <f t="array" ref="S214">IF(COUNTIF(S12,"*B*"),
   INDEX($C$156:$AJ$156,
     COUNTIFS($C$12:S12, "*")
   ),
"")</f>
        <v/>
      </c>
      <c r="T214" s="40" t="str" cm="1">
        <f t="array" ref="T214">IF(COUNTIF(T12,"*B*"),
   INDEX($C$156:$AJ$156,
     COUNTIFS($C$12:T12, "*")
   ),
"")</f>
        <v/>
      </c>
      <c r="U214" s="40" t="str" cm="1">
        <f t="array" ref="U214">IF(COUNTIF(U12,"*B*"),
   INDEX($C$156:$AJ$156,
     COUNTIFS($C$12:U12, "*")
   ),
"")</f>
        <v/>
      </c>
      <c r="V214" s="40" t="str" cm="1">
        <f t="array" ref="V214">IF(COUNTIF(V12,"*B*"),
   INDEX($C$156:$AJ$156,
     COUNTIFS($C$12:V12, "*")
   ),
"")</f>
        <v/>
      </c>
      <c r="W214" s="40" t="str" cm="1">
        <f t="array" ref="W214">IF(COUNTIF(W12,"*B*"),
   INDEX($C$156:$AJ$156,
     COUNTIFS($C$12:W12, "*")
   ),
"")</f>
        <v/>
      </c>
      <c r="X214" s="40" t="str" cm="1">
        <f t="array" ref="X214">IF(COUNTIF(X12,"*B*"),
   INDEX($C$156:$AJ$156,
     COUNTIFS($C$12:X12, "*")
   ),
"")</f>
        <v/>
      </c>
      <c r="Y214" s="40" t="str" cm="1">
        <f t="array" ref="Y214">IF(COUNTIF(Y12,"*B*"),
   INDEX($C$156:$AJ$156,
     COUNTIFS($C$12:Y12, "*")
   ),
"")</f>
        <v/>
      </c>
      <c r="Z214" s="40" t="str" cm="1">
        <f t="array" ref="Z214">IF(COUNTIF(Z12,"*B*"),
   INDEX($C$156:$AJ$156,
     COUNTIFS($C$12:Z12, "*")
   ),
"")</f>
        <v/>
      </c>
      <c r="AA214" s="40" t="str" cm="1">
        <f t="array" ref="AA214">IF(COUNTIF(AA12,"*B*"),
   INDEX($C$156:$AJ$156,
     COUNTIFS($C$12:AA12, "*")
   ),
"")</f>
        <v/>
      </c>
      <c r="AB214" s="40" t="str" cm="1">
        <f t="array" ref="AB214">IF(COUNTIF(AB12,"*B*"),
   INDEX($C$156:$AJ$156,
     COUNTIFS($C$12:AB12, "*")
   ),
"")</f>
        <v/>
      </c>
      <c r="AC214" s="40" t="str" cm="1">
        <f t="array" ref="AC214">IF(COUNTIF(AC12,"*B*"),
   INDEX($C$156:$AJ$156,
     COUNTIFS($C$12:AC12, "*")
   ),
"")</f>
        <v/>
      </c>
      <c r="AD214" s="40" t="str" cm="1">
        <f t="array" ref="AD214">IF(COUNTIF(AD12,"*B*"),
   INDEX($C$156:$AJ$156,
     COUNTIFS($C$12:AD12, "*")
   ),
"")</f>
        <v/>
      </c>
      <c r="AE214" s="40" t="str" cm="1">
        <f t="array" ref="AE214">IF(COUNTIF(AE12,"*B*"),
   INDEX($C$156:$AJ$156,
     COUNTIFS($C$12:AE12, "*")
   ),
"")</f>
        <v/>
      </c>
      <c r="AF214" s="40" t="str" cm="1">
        <f t="array" ref="AF214">IF(COUNTIF(AF12,"*B*"),
   INDEX($C$156:$AJ$156,
     COUNTIFS($C$12:AF12, "*")
   ),
"")</f>
        <v/>
      </c>
      <c r="AG214" s="40" t="str" cm="1">
        <f t="array" ref="AG214">IF(COUNTIF(AG12,"*B*"),
   INDEX($C$156:$AJ$156,
     COUNTIFS($C$12:AG12, "*")
   ),
"")</f>
        <v/>
      </c>
      <c r="AH214" s="40" t="str" cm="1">
        <f t="array" ref="AH214">IF(COUNTIF(AH12,"*B*"),
   INDEX($C$156:$AJ$156,
     COUNTIFS($C$12:AH12, "*")
   ),
"")</f>
        <v/>
      </c>
      <c r="AI214" s="40" t="str" cm="1">
        <f t="array" ref="AI214">IF(COUNTIF(AI12,"*B*"),
   INDEX($C$156:$AJ$156,
     COUNTIFS($C$12:AI12, "*")
   ),
"")</f>
        <v/>
      </c>
      <c r="AJ214" s="40" t="str" cm="1">
        <f t="array" ref="AJ214">IF(COUNTIF(AJ12,"*B*"),
   INDEX($C$156:$AJ$156,
     COUNTIFS($C$12:AJ12, "*")
   ),
"")</f>
        <v/>
      </c>
      <c r="AK214" s="62" t="str">
        <f t="shared" si="16"/>
        <v/>
      </c>
    </row>
    <row r="215" spans="1:37" ht="15" customHeight="1" thickBot="1" x14ac:dyDescent="0.4">
      <c r="A215" s="1196"/>
      <c r="B215" s="22">
        <v>10</v>
      </c>
      <c r="C215" s="40" t="str" cm="1">
        <f t="array" ref="C215">IF(COUNTIF(C13,"*B*"),
   INDEX($C$157:$AJ$157,
     COUNTIFS($C$13:C13, "*")
   ),
"")</f>
        <v/>
      </c>
      <c r="D215" s="40" t="str" cm="1">
        <f t="array" ref="D215">IF(COUNTIF(D13,"*B*"),
   INDEX($C$157:$AJ$157,
     COUNTIFS($C$13:D13, "*")
   ),
"")</f>
        <v/>
      </c>
      <c r="E215" s="40" t="str" cm="1">
        <f t="array" ref="E215">IF(COUNTIF(E13,"*B*"),
   INDEX($C$157:$AJ$157,
     COUNTIFS($C$13:E13, "*")
   ),
"")</f>
        <v/>
      </c>
      <c r="F215" s="40" t="str" cm="1">
        <f t="array" ref="F215">IF(COUNTIF(F13,"*B*"),
   INDEX($C$157:$AJ$157,
     COUNTIFS($C$13:F13, "*")
   ),
"")</f>
        <v/>
      </c>
      <c r="G215" s="40" t="str" cm="1">
        <f t="array" ref="G215">IF(COUNTIF(G13,"*B*"),
   INDEX($C$157:$AJ$157,
     COUNTIFS($C$13:G13, "*")
   ),
"")</f>
        <v/>
      </c>
      <c r="H215" s="40" t="str" cm="1">
        <f t="array" ref="H215">IF(COUNTIF(H13,"*B*"),
   INDEX($C$157:$AJ$157,
     COUNTIFS($C$13:H13, "*")
   ),
"")</f>
        <v/>
      </c>
      <c r="I215" s="40" t="str" cm="1">
        <f t="array" ref="I215">IF(COUNTIF(I13,"*B*"),
   INDEX($C$157:$AJ$157,
     COUNTIFS($C$13:I13, "*")
   ),
"")</f>
        <v/>
      </c>
      <c r="J215" s="40" t="str" cm="1">
        <f t="array" ref="J215">IF(COUNTIF(J13,"*B*"),
   INDEX($C$157:$AJ$157,
     COUNTIFS($C$13:J13, "*")
   ),
"")</f>
        <v/>
      </c>
      <c r="K215" s="40" t="str" cm="1">
        <f t="array" ref="K215">IF(COUNTIF(K13,"*B*"),
   INDEX($C$157:$AJ$157,
     COUNTIFS($C$13:K13, "*")
   ),
"")</f>
        <v/>
      </c>
      <c r="L215" s="40" t="str" cm="1">
        <f t="array" ref="L215">IF(COUNTIF(L13,"*B*"),
   INDEX($C$157:$AJ$157,
     COUNTIFS($C$13:L13, "*")
   ),
"")</f>
        <v/>
      </c>
      <c r="M215" s="40" t="str" cm="1">
        <f t="array" ref="M215">IF(COUNTIF(M13,"*B*"),
   INDEX($C$157:$AJ$157,
     COUNTIFS($C$13:M13, "*")
   ),
"")</f>
        <v/>
      </c>
      <c r="N215" s="40" t="str" cm="1">
        <f t="array" ref="N215">IF(COUNTIF(N13,"*B*"),
   INDEX($C$157:$AJ$157,
     COUNTIFS($C$13:N13, "*")
   ),
"")</f>
        <v/>
      </c>
      <c r="O215" s="40" t="str" cm="1">
        <f t="array" ref="O215">IF(COUNTIF(O13,"*B*"),
   INDEX($C$157:$AJ$157,
     COUNTIFS($C$13:O13, "*")
   ),
"")</f>
        <v/>
      </c>
      <c r="P215" s="40" t="str" cm="1">
        <f t="array" ref="P215">IF(COUNTIF(P13,"*B*"),
   INDEX($C$157:$AJ$157,
     COUNTIFS($C$13:P13, "*")
   ),
"")</f>
        <v/>
      </c>
      <c r="Q215" s="40" t="str" cm="1">
        <f t="array" ref="Q215">IF(COUNTIF(Q13,"*B*"),
   INDEX($C$157:$AJ$157,
     COUNTIFS($C$13:Q13, "*")
   ),
"")</f>
        <v/>
      </c>
      <c r="R215" s="40" t="str" cm="1">
        <f t="array" ref="R215">IF(COUNTIF(R13,"*B*"),
   INDEX($C$157:$AJ$157,
     COUNTIFS($C$13:R13, "*")
   ),
"")</f>
        <v/>
      </c>
      <c r="S215" s="40" t="str" cm="1">
        <f t="array" ref="S215">IF(COUNTIF(S13,"*B*"),
   INDEX($C$157:$AJ$157,
     COUNTIFS($C$13:S13, "*")
   ),
"")</f>
        <v/>
      </c>
      <c r="T215" s="40" t="str" cm="1">
        <f t="array" ref="T215">IF(COUNTIF(T13,"*B*"),
   INDEX($C$157:$AJ$157,
     COUNTIFS($C$13:T13, "*")
   ),
"")</f>
        <v/>
      </c>
      <c r="U215" s="40" t="str" cm="1">
        <f t="array" ref="U215">IF(COUNTIF(U13,"*B*"),
   INDEX($C$157:$AJ$157,
     COUNTIFS($C$13:U13, "*")
   ),
"")</f>
        <v/>
      </c>
      <c r="V215" s="40" t="str" cm="1">
        <f t="array" ref="V215">IF(COUNTIF(V13,"*B*"),
   INDEX($C$157:$AJ$157,
     COUNTIFS($C$13:V13, "*")
   ),
"")</f>
        <v/>
      </c>
      <c r="W215" s="40" t="str" cm="1">
        <f t="array" ref="W215">IF(COUNTIF(W13,"*B*"),
   INDEX($C$157:$AJ$157,
     COUNTIFS($C$13:W13, "*")
   ),
"")</f>
        <v/>
      </c>
      <c r="X215" s="40" t="str" cm="1">
        <f t="array" ref="X215">IF(COUNTIF(X13,"*B*"),
   INDEX($C$157:$AJ$157,
     COUNTIFS($C$13:X13, "*")
   ),
"")</f>
        <v/>
      </c>
      <c r="Y215" s="40" t="str" cm="1">
        <f t="array" ref="Y215">IF(COUNTIF(Y13,"*B*"),
   INDEX($C$157:$AJ$157,
     COUNTIFS($C$13:Y13, "*")
   ),
"")</f>
        <v/>
      </c>
      <c r="Z215" s="40" t="str" cm="1">
        <f t="array" ref="Z215">IF(COUNTIF(Z13,"*B*"),
   INDEX($C$157:$AJ$157,
     COUNTIFS($C$13:Z13, "*")
   ),
"")</f>
        <v/>
      </c>
      <c r="AA215" s="40" t="str" cm="1">
        <f t="array" ref="AA215">IF(COUNTIF(AA13,"*B*"),
   INDEX($C$157:$AJ$157,
     COUNTIFS($C$13:AA13, "*")
   ),
"")</f>
        <v/>
      </c>
      <c r="AB215" s="40" t="str" cm="1">
        <f t="array" ref="AB215">IF(COUNTIF(AB13,"*B*"),
   INDEX($C$157:$AJ$157,
     COUNTIFS($C$13:AB13, "*")
   ),
"")</f>
        <v/>
      </c>
      <c r="AC215" s="40" t="str" cm="1">
        <f t="array" ref="AC215">IF(COUNTIF(AC13,"*B*"),
   INDEX($C$157:$AJ$157,
     COUNTIFS($C$13:AC13, "*")
   ),
"")</f>
        <v/>
      </c>
      <c r="AD215" s="40" t="str" cm="1">
        <f t="array" ref="AD215">IF(COUNTIF(AD13,"*B*"),
   INDEX($C$157:$AJ$157,
     COUNTIFS($C$13:AD13, "*")
   ),
"")</f>
        <v/>
      </c>
      <c r="AE215" s="40" t="str" cm="1">
        <f t="array" ref="AE215">IF(COUNTIF(AE13,"*B*"),
   INDEX($C$157:$AJ$157,
     COUNTIFS($C$13:AE13, "*")
   ),
"")</f>
        <v/>
      </c>
      <c r="AF215" s="40" t="str" cm="1">
        <f t="array" ref="AF215">IF(COUNTIF(AF13,"*B*"),
   INDEX($C$157:$AJ$157,
     COUNTIFS($C$13:AF13, "*")
   ),
"")</f>
        <v/>
      </c>
      <c r="AG215" s="40" t="str" cm="1">
        <f t="array" ref="AG215">IF(COUNTIF(AG13,"*B*"),
   INDEX($C$157:$AJ$157,
     COUNTIFS($C$13:AG13, "*")
   ),
"")</f>
        <v/>
      </c>
      <c r="AH215" s="40" t="str" cm="1">
        <f t="array" ref="AH215">IF(COUNTIF(AH13,"*B*"),
   INDEX($C$157:$AJ$157,
     COUNTIFS($C$13:AH13, "*")
   ),
"")</f>
        <v/>
      </c>
      <c r="AI215" s="40" t="str" cm="1">
        <f t="array" ref="AI215">IF(COUNTIF(AI13,"*B*"),
   INDEX($C$157:$AJ$157,
     COUNTIFS($C$13:AI13, "*")
   ),
"")</f>
        <v/>
      </c>
      <c r="AJ215" s="40" t="str" cm="1">
        <f t="array" ref="AJ215">IF(COUNTIF(AJ13,"*B*"),
   INDEX($C$157:$AJ$157,
     COUNTIFS($C$13:AJ13, "*")
   ),
"")</f>
        <v/>
      </c>
      <c r="AK215" s="62" t="str">
        <f t="shared" si="16"/>
        <v/>
      </c>
    </row>
    <row r="216" spans="1:37" ht="15" customHeight="1" thickBot="1" x14ac:dyDescent="0.4">
      <c r="A216" s="1196"/>
      <c r="B216" s="22">
        <v>11</v>
      </c>
      <c r="C216" s="40" t="str" cm="1">
        <f t="array" ref="C216">IF(COUNTIF(C14,"*B*"),
   INDEX($C$158:$AJ$158,
     COUNTIFS($C$14:C14, "*")
   ),
"")</f>
        <v/>
      </c>
      <c r="D216" s="40" t="str" cm="1">
        <f t="array" ref="D216">IF(COUNTIF(D14,"*B*"),
   INDEX($C$158:$AJ$158,
     COUNTIFS($C$14:D14, "*")
   ),
"")</f>
        <v/>
      </c>
      <c r="E216" s="40" t="str" cm="1">
        <f t="array" ref="E216">IF(COUNTIF(E14,"*B*"),
   INDEX($C$158:$AJ$158,
     COUNTIFS($C$14:E14, "*")
   ),
"")</f>
        <v/>
      </c>
      <c r="F216" s="40" t="str" cm="1">
        <f t="array" ref="F216">IF(COUNTIF(F14,"*B*"),
   INDEX($C$158:$AJ$158,
     COUNTIFS($C$14:F14, "*")
   ),
"")</f>
        <v/>
      </c>
      <c r="G216" s="40" t="str" cm="1">
        <f t="array" ref="G216">IF(COUNTIF(G14,"*B*"),
   INDEX($C$158:$AJ$158,
     COUNTIFS($C$14:G14, "*")
   ),
"")</f>
        <v/>
      </c>
      <c r="H216" s="40" t="str" cm="1">
        <f t="array" ref="H216">IF(COUNTIF(H14,"*B*"),
   INDEX($C$158:$AJ$158,
     COUNTIFS($C$14:H14, "*")
   ),
"")</f>
        <v/>
      </c>
      <c r="I216" s="40" t="str" cm="1">
        <f t="array" ref="I216">IF(COUNTIF(I14,"*B*"),
   INDEX($C$158:$AJ$158,
     COUNTIFS($C$14:I14, "*")
   ),
"")</f>
        <v/>
      </c>
      <c r="J216" s="40" t="str" cm="1">
        <f t="array" ref="J216">IF(COUNTIF(J14,"*B*"),
   INDEX($C$158:$AJ$158,
     COUNTIFS($C$14:J14, "*")
   ),
"")</f>
        <v/>
      </c>
      <c r="K216" s="40" t="str" cm="1">
        <f t="array" ref="K216">IF(COUNTIF(K14,"*B*"),
   INDEX($C$158:$AJ$158,
     COUNTIFS($C$14:K14, "*")
   ),
"")</f>
        <v/>
      </c>
      <c r="L216" s="40" t="str" cm="1">
        <f t="array" ref="L216">IF(COUNTIF(L14,"*B*"),
   INDEX($C$158:$AJ$158,
     COUNTIFS($C$14:L14, "*")
   ),
"")</f>
        <v/>
      </c>
      <c r="M216" s="40" t="str" cm="1">
        <f t="array" ref="M216">IF(COUNTIF(M14,"*B*"),
   INDEX($C$158:$AJ$158,
     COUNTIFS($C$14:M14, "*")
   ),
"")</f>
        <v/>
      </c>
      <c r="N216" s="40" t="str" cm="1">
        <f t="array" ref="N216">IF(COUNTIF(N14,"*B*"),
   INDEX($C$158:$AJ$158,
     COUNTIFS($C$14:N14, "*")
   ),
"")</f>
        <v/>
      </c>
      <c r="O216" s="40" t="str" cm="1">
        <f t="array" ref="O216">IF(COUNTIF(O14,"*B*"),
   INDEX($C$158:$AJ$158,
     COUNTIFS($C$14:O14, "*")
   ),
"")</f>
        <v/>
      </c>
      <c r="P216" s="40" t="str" cm="1">
        <f t="array" ref="P216">IF(COUNTIF(P14,"*B*"),
   INDEX($C$158:$AJ$158,
     COUNTIFS($C$14:P14, "*")
   ),
"")</f>
        <v/>
      </c>
      <c r="Q216" s="40" t="str" cm="1">
        <f t="array" ref="Q216">IF(COUNTIF(Q14,"*B*"),
   INDEX($C$158:$AJ$158,
     COUNTIFS($C$14:Q14, "*")
   ),
"")</f>
        <v/>
      </c>
      <c r="R216" s="40" t="str" cm="1">
        <f t="array" ref="R216">IF(COUNTIF(R14,"*B*"),
   INDEX($C$158:$AJ$158,
     COUNTIFS($C$14:R14, "*")
   ),
"")</f>
        <v/>
      </c>
      <c r="S216" s="40" t="str" cm="1">
        <f t="array" ref="S216">IF(COUNTIF(S14,"*B*"),
   INDEX($C$158:$AJ$158,
     COUNTIFS($C$14:S14, "*")
   ),
"")</f>
        <v/>
      </c>
      <c r="T216" s="40" t="str" cm="1">
        <f t="array" ref="T216">IF(COUNTIF(T14,"*B*"),
   INDEX($C$158:$AJ$158,
     COUNTIFS($C$14:T14, "*")
   ),
"")</f>
        <v/>
      </c>
      <c r="U216" s="40" t="str" cm="1">
        <f t="array" ref="U216">IF(COUNTIF(U14,"*B*"),
   INDEX($C$158:$AJ$158,
     COUNTIFS($C$14:U14, "*")
   ),
"")</f>
        <v/>
      </c>
      <c r="V216" s="40" t="str" cm="1">
        <f t="array" ref="V216">IF(COUNTIF(V14,"*B*"),
   INDEX($C$158:$AJ$158,
     COUNTIFS($C$14:V14, "*")
   ),
"")</f>
        <v/>
      </c>
      <c r="W216" s="40" t="str" cm="1">
        <f t="array" ref="W216">IF(COUNTIF(W14,"*B*"),
   INDEX($C$158:$AJ$158,
     COUNTIFS($C$14:W14, "*")
   ),
"")</f>
        <v/>
      </c>
      <c r="X216" s="40" t="str" cm="1">
        <f t="array" ref="X216">IF(COUNTIF(X14,"*B*"),
   INDEX($C$158:$AJ$158,
     COUNTIFS($C$14:X14, "*")
   ),
"")</f>
        <v/>
      </c>
      <c r="Y216" s="40" t="str" cm="1">
        <f t="array" ref="Y216">IF(COUNTIF(Y14,"*B*"),
   INDEX($C$158:$AJ$158,
     COUNTIFS($C$14:Y14, "*")
   ),
"")</f>
        <v/>
      </c>
      <c r="Z216" s="40" t="str" cm="1">
        <f t="array" ref="Z216">IF(COUNTIF(Z14,"*B*"),
   INDEX($C$158:$AJ$158,
     COUNTIFS($C$14:Z14, "*")
   ),
"")</f>
        <v/>
      </c>
      <c r="AA216" s="40" t="str" cm="1">
        <f t="array" ref="AA216">IF(COUNTIF(AA14,"*B*"),
   INDEX($C$158:$AJ$158,
     COUNTIFS($C$14:AA14, "*")
   ),
"")</f>
        <v/>
      </c>
      <c r="AB216" s="40" t="str" cm="1">
        <f t="array" ref="AB216">IF(COUNTIF(AB14,"*B*"),
   INDEX($C$158:$AJ$158,
     COUNTIFS($C$14:AB14, "*")
   ),
"")</f>
        <v/>
      </c>
      <c r="AC216" s="40" t="str" cm="1">
        <f t="array" ref="AC216">IF(COUNTIF(AC14,"*B*"),
   INDEX($C$158:$AJ$158,
     COUNTIFS($C$14:AC14, "*")
   ),
"")</f>
        <v/>
      </c>
      <c r="AD216" s="40" t="str" cm="1">
        <f t="array" ref="AD216">IF(COUNTIF(AD14,"*B*"),
   INDEX($C$158:$AJ$158,
     COUNTIFS($C$14:AD14, "*")
   ),
"")</f>
        <v/>
      </c>
      <c r="AE216" s="40" t="str" cm="1">
        <f t="array" ref="AE216">IF(COUNTIF(AE14,"*B*"),
   INDEX($C$158:$AJ$158,
     COUNTIFS($C$14:AE14, "*")
   ),
"")</f>
        <v/>
      </c>
      <c r="AF216" s="40" t="str" cm="1">
        <f t="array" ref="AF216">IF(COUNTIF(AF14,"*B*"),
   INDEX($C$158:$AJ$158,
     COUNTIFS($C$14:AF14, "*")
   ),
"")</f>
        <v/>
      </c>
      <c r="AG216" s="40" t="str" cm="1">
        <f t="array" ref="AG216">IF(COUNTIF(AG14,"*B*"),
   INDEX($C$158:$AJ$158,
     COUNTIFS($C$14:AG14, "*")
   ),
"")</f>
        <v/>
      </c>
      <c r="AH216" s="40" t="str" cm="1">
        <f t="array" ref="AH216">IF(COUNTIF(AH14,"*B*"),
   INDEX($C$158:$AJ$158,
     COUNTIFS($C$14:AH14, "*")
   ),
"")</f>
        <v/>
      </c>
      <c r="AI216" s="40" t="str" cm="1">
        <f t="array" ref="AI216">IF(COUNTIF(AI14,"*B*"),
   INDEX($C$158:$AJ$158,
     COUNTIFS($C$14:AI14, "*")
   ),
"")</f>
        <v/>
      </c>
      <c r="AJ216" s="40" t="str" cm="1">
        <f t="array" ref="AJ216">IF(COUNTIF(AJ14,"*B*"),
   INDEX($C$158:$AJ$158,
     COUNTIFS($C$14:AJ14, "*")
   ),
"")</f>
        <v/>
      </c>
      <c r="AK216" s="62" t="str">
        <f t="shared" si="16"/>
        <v/>
      </c>
    </row>
    <row r="217" spans="1:37" ht="15.75" customHeight="1" thickBot="1" x14ac:dyDescent="0.4">
      <c r="A217" s="1197"/>
      <c r="B217" s="23">
        <v>12</v>
      </c>
      <c r="C217" s="40" t="str" cm="1">
        <f t="array" ref="C217">IF(COUNTIF(C15,"*B*"),
   INDEX($C$159:$AJ$159,
     COUNTIFS($C$15:C15, "*")
   ),
"")</f>
        <v/>
      </c>
      <c r="D217" s="40" t="str" cm="1">
        <f t="array" ref="D217">IF(COUNTIF(D15,"*B*"),
   INDEX($C$159:$AJ$159,
     COUNTIFS($C$15:D15, "*")
   ),
"")</f>
        <v/>
      </c>
      <c r="E217" s="40" t="str" cm="1">
        <f t="array" ref="E217">IF(COUNTIF(E15,"*B*"),
   INDEX($C$159:$AJ$159,
     COUNTIFS($C$15:E15, "*")
   ),
"")</f>
        <v/>
      </c>
      <c r="F217" s="40" t="str" cm="1">
        <f t="array" ref="F217">IF(COUNTIF(F15,"*B*"),
   INDEX($C$159:$AJ$159,
     COUNTIFS($C$15:F15, "*")
   ),
"")</f>
        <v/>
      </c>
      <c r="G217" s="40" t="str" cm="1">
        <f t="array" ref="G217">IF(COUNTIF(G15,"*B*"),
   INDEX($C$159:$AJ$159,
     COUNTIFS($C$15:G15, "*")
   ),
"")</f>
        <v/>
      </c>
      <c r="H217" s="40" t="str" cm="1">
        <f t="array" ref="H217">IF(COUNTIF(H15,"*B*"),
   INDEX($C$159:$AJ$159,
     COUNTIFS($C$15:H15, "*")
   ),
"")</f>
        <v/>
      </c>
      <c r="I217" s="40" t="str" cm="1">
        <f t="array" ref="I217">IF(COUNTIF(I15,"*B*"),
   INDEX($C$159:$AJ$159,
     COUNTIFS($C$15:I15, "*")
   ),
"")</f>
        <v/>
      </c>
      <c r="J217" s="40" t="str" cm="1">
        <f t="array" ref="J217">IF(COUNTIF(J15,"*B*"),
   INDEX($C$159:$AJ$159,
     COUNTIFS($C$15:J15, "*")
   ),
"")</f>
        <v/>
      </c>
      <c r="K217" s="40" t="str" cm="1">
        <f t="array" ref="K217">IF(COUNTIF(K15,"*B*"),
   INDEX($C$159:$AJ$159,
     COUNTIFS($C$15:K15, "*")
   ),
"")</f>
        <v/>
      </c>
      <c r="L217" s="40" t="str" cm="1">
        <f t="array" ref="L217">IF(COUNTIF(L15,"*B*"),
   INDEX($C$159:$AJ$159,
     COUNTIFS($C$15:L15, "*")
   ),
"")</f>
        <v/>
      </c>
      <c r="M217" s="40" t="str" cm="1">
        <f t="array" ref="M217">IF(COUNTIF(M15,"*B*"),
   INDEX($C$159:$AJ$159,
     COUNTIFS($C$15:M15, "*")
   ),
"")</f>
        <v/>
      </c>
      <c r="N217" s="40" t="str" cm="1">
        <f t="array" ref="N217">IF(COUNTIF(N15,"*B*"),
   INDEX($C$159:$AJ$159,
     COUNTIFS($C$15:N15, "*")
   ),
"")</f>
        <v/>
      </c>
      <c r="O217" s="40" t="str" cm="1">
        <f t="array" ref="O217">IF(COUNTIF(O15,"*B*"),
   INDEX($C$159:$AJ$159,
     COUNTIFS($C$15:O15, "*")
   ),
"")</f>
        <v/>
      </c>
      <c r="P217" s="40" t="str" cm="1">
        <f t="array" ref="P217">IF(COUNTIF(P15,"*B*"),
   INDEX($C$159:$AJ$159,
     COUNTIFS($C$15:P15, "*")
   ),
"")</f>
        <v/>
      </c>
      <c r="Q217" s="40" t="str" cm="1">
        <f t="array" ref="Q217">IF(COUNTIF(Q15,"*B*"),
   INDEX($C$159:$AJ$159,
     COUNTIFS($C$15:Q15, "*")
   ),
"")</f>
        <v/>
      </c>
      <c r="R217" s="40" t="str" cm="1">
        <f t="array" ref="R217">IF(COUNTIF(R15,"*B*"),
   INDEX($C$159:$AJ$159,
     COUNTIFS($C$15:R15, "*")
   ),
"")</f>
        <v/>
      </c>
      <c r="S217" s="40" t="str" cm="1">
        <f t="array" ref="S217">IF(COUNTIF(S15,"*B*"),
   INDEX($C$159:$AJ$159,
     COUNTIFS($C$15:S15, "*")
   ),
"")</f>
        <v/>
      </c>
      <c r="T217" s="40" t="str" cm="1">
        <f t="array" ref="T217">IF(COUNTIF(T15,"*B*"),
   INDEX($C$159:$AJ$159,
     COUNTIFS($C$15:T15, "*")
   ),
"")</f>
        <v/>
      </c>
      <c r="U217" s="40" t="str" cm="1">
        <f t="array" ref="U217">IF(COUNTIF(U15,"*B*"),
   INDEX($C$159:$AJ$159,
     COUNTIFS($C$15:U15, "*")
   ),
"")</f>
        <v/>
      </c>
      <c r="V217" s="40" t="str" cm="1">
        <f t="array" ref="V217">IF(COUNTIF(V15,"*B*"),
   INDEX($C$159:$AJ$159,
     COUNTIFS($C$15:V15, "*")
   ),
"")</f>
        <v/>
      </c>
      <c r="W217" s="40" t="str" cm="1">
        <f t="array" ref="W217">IF(COUNTIF(W15,"*B*"),
   INDEX($C$159:$AJ$159,
     COUNTIFS($C$15:W15, "*")
   ),
"")</f>
        <v/>
      </c>
      <c r="X217" s="40" t="str" cm="1">
        <f t="array" ref="X217">IF(COUNTIF(X15,"*B*"),
   INDEX($C$159:$AJ$159,
     COUNTIFS($C$15:X15, "*")
   ),
"")</f>
        <v/>
      </c>
      <c r="Y217" s="40" t="str" cm="1">
        <f t="array" ref="Y217">IF(COUNTIF(Y15,"*B*"),
   INDEX($C$159:$AJ$159,
     COUNTIFS($C$15:Y15, "*")
   ),
"")</f>
        <v/>
      </c>
      <c r="Z217" s="40" t="str" cm="1">
        <f t="array" ref="Z217">IF(COUNTIF(Z15,"*B*"),
   INDEX($C$159:$AJ$159,
     COUNTIFS($C$15:Z15, "*")
   ),
"")</f>
        <v/>
      </c>
      <c r="AA217" s="40" t="str" cm="1">
        <f t="array" ref="AA217">IF(COUNTIF(AA15,"*B*"),
   INDEX($C$159:$AJ$159,
     COUNTIFS($C$15:AA15, "*")
   ),
"")</f>
        <v/>
      </c>
      <c r="AB217" s="40" t="str" cm="1">
        <f t="array" ref="AB217">IF(COUNTIF(AB15,"*B*"),
   INDEX($C$159:$AJ$159,
     COUNTIFS($C$15:AB15, "*")
   ),
"")</f>
        <v/>
      </c>
      <c r="AC217" s="40" t="str" cm="1">
        <f t="array" ref="AC217">IF(COUNTIF(AC15,"*B*"),
   INDEX($C$159:$AJ$159,
     COUNTIFS($C$15:AC15, "*")
   ),
"")</f>
        <v/>
      </c>
      <c r="AD217" s="40" t="str" cm="1">
        <f t="array" ref="AD217">IF(COUNTIF(AD15,"*B*"),
   INDEX($C$159:$AJ$159,
     COUNTIFS($C$15:AD15, "*")
   ),
"")</f>
        <v/>
      </c>
      <c r="AE217" s="40" t="str" cm="1">
        <f t="array" ref="AE217">IF(COUNTIF(AE15,"*B*"),
   INDEX($C$159:$AJ$159,
     COUNTIFS($C$15:AE15, "*")
   ),
"")</f>
        <v/>
      </c>
      <c r="AF217" s="40" t="str" cm="1">
        <f t="array" ref="AF217">IF(COUNTIF(AF15,"*B*"),
   INDEX($C$159:$AJ$159,
     COUNTIFS($C$15:AF15, "*")
   ),
"")</f>
        <v/>
      </c>
      <c r="AG217" s="40" t="str" cm="1">
        <f t="array" ref="AG217">IF(COUNTIF(AG15,"*B*"),
   INDEX($C$159:$AJ$159,
     COUNTIFS($C$15:AG15, "*")
   ),
"")</f>
        <v/>
      </c>
      <c r="AH217" s="40" t="str" cm="1">
        <f t="array" ref="AH217">IF(COUNTIF(AH15,"*B*"),
   INDEX($C$159:$AJ$159,
     COUNTIFS($C$15:AH15, "*")
   ),
"")</f>
        <v/>
      </c>
      <c r="AI217" s="40" t="str" cm="1">
        <f t="array" ref="AI217">IF(COUNTIF(AI15,"*B*"),
   INDEX($C$159:$AJ$159,
     COUNTIFS($C$15:AI15, "*")
   ),
"")</f>
        <v/>
      </c>
      <c r="AJ217" s="40" t="str" cm="1">
        <f t="array" ref="AJ217">IF(COUNTIF(AJ15,"*B*"),
   INDEX($C$159:$AJ$159,
     COUNTIFS($C$15:AJ15, "*")
   ),
"")</f>
        <v/>
      </c>
      <c r="AK217" s="62" t="str">
        <f t="shared" si="16"/>
        <v/>
      </c>
    </row>
    <row r="218" spans="1:37" ht="15" customHeight="1" x14ac:dyDescent="0.35">
      <c r="AK218" s="63" t="str">
        <f>CONCATENATE(AK206,AK207,AK208,AK209,AK210,AK211,AK212,AK213,AK214,AK215,AK216,AK217)</f>
        <v/>
      </c>
    </row>
    <row r="219" spans="1:37" ht="15" customHeight="1" x14ac:dyDescent="0.35">
      <c r="AK219" s="63" t="s">
        <v>715</v>
      </c>
    </row>
    <row r="220" spans="1:37" ht="15" customHeight="1" x14ac:dyDescent="0.35">
      <c r="AK220" s="63" t="s">
        <v>715</v>
      </c>
    </row>
    <row r="221" spans="1:37" ht="15.75" customHeight="1" thickBot="1" x14ac:dyDescent="0.4">
      <c r="AK221" s="64" t="str">
        <f>IF(AK218&lt;&gt;"",IF(LEN(AK218)&lt;9,CONCATENATE(AK219,LEFT(AK218,4),"."),IF(LEN(AK218&gt;6),LEFT(CONCATENATE(AK220,LEFT(AK218,LEN(AK218)-10),SUBSTITUTE(RIGHT(AK218,10),", "," and ")),LEN(CONCATENATE(AK220,LEFT(AK218,LEN(AK218)-10),SUBSTITUTE(RIGHT(AK218,10),", "," and ")))-5)&amp;". ")),"")</f>
        <v/>
      </c>
    </row>
    <row r="222" spans="1:37" ht="15" customHeight="1" x14ac:dyDescent="0.35"/>
    <row r="223" spans="1:37" ht="15" customHeight="1" x14ac:dyDescent="0.35"/>
    <row r="224" spans="1:37" ht="15.75" customHeight="1" thickBot="1" x14ac:dyDescent="0.4">
      <c r="D224" s="1201" t="s">
        <v>711</v>
      </c>
      <c r="E224" s="1201"/>
      <c r="F224" s="1201"/>
      <c r="G224" s="1201"/>
      <c r="H224" s="1201"/>
      <c r="I224" s="1201"/>
      <c r="J224" s="1201"/>
      <c r="K224" s="1201"/>
      <c r="L224" s="1201"/>
      <c r="M224" s="1201"/>
      <c r="N224" s="1201"/>
      <c r="O224" s="1201"/>
      <c r="P224" s="1201"/>
      <c r="Q224" s="1201"/>
      <c r="R224" s="1201"/>
      <c r="S224" s="1201"/>
      <c r="T224" s="1201"/>
      <c r="U224" s="1201"/>
      <c r="V224" s="1201"/>
      <c r="W224" s="1201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</row>
    <row r="225" spans="1:37" ht="15" customHeight="1" x14ac:dyDescent="0.35">
      <c r="A225" s="1202"/>
      <c r="B225" s="1203"/>
      <c r="D225" s="1206" t="s">
        <v>17</v>
      </c>
      <c r="E225" s="1207"/>
      <c r="F225" s="1207"/>
      <c r="G225" s="1207"/>
      <c r="H225" s="1207"/>
      <c r="I225" s="1207"/>
      <c r="J225" s="1207"/>
      <c r="K225" s="1207"/>
      <c r="L225" s="1207"/>
      <c r="M225" s="1207"/>
      <c r="N225" s="1207"/>
      <c r="O225" s="1207"/>
      <c r="P225" s="1207"/>
      <c r="Q225" s="1207"/>
      <c r="R225" s="1207"/>
      <c r="S225" s="1207"/>
      <c r="T225" s="1207"/>
      <c r="U225" s="1207"/>
      <c r="V225" s="1207"/>
      <c r="W225" s="1208"/>
      <c r="X225" s="6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8"/>
      <c r="AK225" s="62"/>
    </row>
    <row r="226" spans="1:37" ht="15.75" customHeight="1" thickBot="1" x14ac:dyDescent="0.4">
      <c r="A226" s="1204"/>
      <c r="B226" s="1205"/>
      <c r="D226" s="16">
        <v>1</v>
      </c>
      <c r="E226" s="17">
        <v>2</v>
      </c>
      <c r="F226" s="17">
        <v>3</v>
      </c>
      <c r="G226" s="17">
        <v>4</v>
      </c>
      <c r="H226" s="17">
        <v>5</v>
      </c>
      <c r="I226" s="17">
        <v>6</v>
      </c>
      <c r="J226" s="17">
        <v>7</v>
      </c>
      <c r="K226" s="17">
        <v>8</v>
      </c>
      <c r="L226" s="17">
        <v>9</v>
      </c>
      <c r="M226" s="17">
        <v>10</v>
      </c>
      <c r="N226" s="17">
        <v>11</v>
      </c>
      <c r="O226" s="17">
        <v>12</v>
      </c>
      <c r="P226" s="17">
        <v>13</v>
      </c>
      <c r="Q226" s="17">
        <v>14</v>
      </c>
      <c r="R226" s="17">
        <v>15</v>
      </c>
      <c r="S226" s="17">
        <v>16</v>
      </c>
      <c r="T226" s="17">
        <v>17</v>
      </c>
      <c r="U226" s="17">
        <v>18</v>
      </c>
      <c r="V226" s="17">
        <v>19</v>
      </c>
      <c r="W226" s="18">
        <v>20</v>
      </c>
      <c r="X226" s="17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20"/>
      <c r="AK226" s="63"/>
    </row>
    <row r="227" spans="1:37" ht="15" customHeight="1" x14ac:dyDescent="0.35">
      <c r="A227" s="1196" t="s">
        <v>18</v>
      </c>
      <c r="B227" s="21">
        <v>1</v>
      </c>
      <c r="D227" s="40" t="str" cm="1">
        <f t="array" ref="D227">IF(COUNTIF(C4,"*V*"),
   _xlfn.LET(
      _xlpm.pos, COUNTIFS($C$4:C4,"*"),
      _xlpm.val, INDEX($C$148:$AK$148, _xlpm.pos),
      IF(C227="",
         SUBSTITUTE(_xlpm.val, ", ", " &amp; "),
         IF(COUNTIF(C227,"*&amp;*"),
            _xlpm.val,
            SUBSTITUTE(_xlpm.val, ", ", " &amp; ")
         )
      )
   ),
"")</f>
        <v/>
      </c>
      <c r="E227" s="40" t="str" cm="1">
        <f t="array" ref="E227">IF(COUNTIF(D4,"*V*"),
   _xlfn.LET(
      _xlpm.pos, COUNTIFS($C$4:D4,"*"),
      _xlpm.val, INDEX($C$148:$AK$148, _xlpm.pos),
      IF(D227="",
         SUBSTITUTE(_xlpm.val, ", ", " &amp; "),
         IF(COUNTIF(D227,"*&amp;*"),
            _xlpm.val,
            SUBSTITUTE(_xlpm.val, ", ", " &amp; ")
         )
      )
   ),
"")</f>
        <v/>
      </c>
      <c r="F227" s="40" t="str" cm="1">
        <f t="array" ref="F227">IF(COUNTIF(E4,"*V*"),
   _xlfn.LET(
      _xlpm.pos, COUNTIFS($C$4:E4,"*"),
      _xlpm.val, INDEX($C$148:$AK$148, _xlpm.pos),
      IF(E227="",
         SUBSTITUTE(_xlpm.val, ", ", " &amp; "),
         IF(COUNTIF(E227,"*&amp;*"),
            _xlpm.val,
            SUBSTITUTE(_xlpm.val, ", ", " &amp; ")
         )
      )
   ),
"")</f>
        <v/>
      </c>
      <c r="G227" s="40" t="str" cm="1">
        <f t="array" ref="G227">IF(COUNTIF(F4,"*V*"),
   _xlfn.LET(
      _xlpm.pos, COUNTIFS($C$4:F4,"*"),
      _xlpm.val, INDEX($C$148:$AK$148, _xlpm.pos),
      IF(F227="",
         SUBSTITUTE(_xlpm.val, ", ", " &amp; "),
         IF(COUNTIF(F227,"*&amp;*"),
            _xlpm.val,
            SUBSTITUTE(_xlpm.val, ", ", " &amp; ")
         )
      )
   ),
"")</f>
        <v/>
      </c>
      <c r="H227" s="40" t="str" cm="1">
        <f t="array" ref="H227">IF(COUNTIF(G4,"*V*"),
   _xlfn.LET(
      _xlpm.pos, COUNTIFS($C$4:G4,"*"),
      _xlpm.val, INDEX($C$148:$AK$148, _xlpm.pos),
      IF(G227="",
         SUBSTITUTE(_xlpm.val, ", ", " &amp; "),
         IF(COUNTIF(G227,"*&amp;*"),
            _xlpm.val,
            SUBSTITUTE(_xlpm.val, ", ", " &amp; ")
         )
      )
   ),
"")</f>
        <v/>
      </c>
      <c r="I227" s="40" t="str" cm="1">
        <f t="array" ref="I227">IF(COUNTIF(H4,"*V*"),
   _xlfn.LET(
      _xlpm.pos, COUNTIFS($C$4:H4,"*"),
      _xlpm.val, INDEX($C$148:$AK$148, _xlpm.pos),
      IF(H227="",
         SUBSTITUTE(_xlpm.val, ", ", " &amp; "),
         IF(COUNTIF(H227,"*&amp;*"),
            _xlpm.val,
            SUBSTITUTE(_xlpm.val, ", ", " &amp; ")
         )
      )
   ),
"")</f>
        <v/>
      </c>
      <c r="J227" s="40" t="str" cm="1">
        <f t="array" ref="J227">IF(COUNTIF(I4,"*V*"),
   _xlfn.LET(
      _xlpm.pos, COUNTIFS($C$4:I4,"*"),
      _xlpm.val, INDEX($C$148:$AK$148, _xlpm.pos),
      IF(I227="",
         SUBSTITUTE(_xlpm.val, ", ", " &amp; "),
         IF(COUNTIF(I227,"*&amp;*"),
            _xlpm.val,
            SUBSTITUTE(_xlpm.val, ", ", " &amp; ")
         )
      )
   ),
"")</f>
        <v/>
      </c>
      <c r="K227" s="40" t="str" cm="1">
        <f t="array" ref="K227">IF(COUNTIF(J4,"*V*"),
   _xlfn.LET(
      _xlpm.pos, COUNTIFS($C$4:J4,"*"),
      _xlpm.val, INDEX($C$148:$AK$148, _xlpm.pos),
      IF(J227="",
         SUBSTITUTE(_xlpm.val, ", ", " &amp; "),
         IF(COUNTIF(J227,"*&amp;*"),
            _xlpm.val,
            SUBSTITUTE(_xlpm.val, ", ", " &amp; ")
         )
      )
   ),
"")</f>
        <v/>
      </c>
      <c r="L227" s="40" t="str" cm="1">
        <f t="array" ref="L227">IF(COUNTIF(K4,"*V*"),
   _xlfn.LET(
      _xlpm.pos, COUNTIFS($C$4:K4,"*"),
      _xlpm.val, INDEX($C$148:$AK$148, _xlpm.pos),
      IF(K227="",
         SUBSTITUTE(_xlpm.val, ", ", " &amp; "),
         IF(COUNTIF(K227,"*&amp;*"),
            _xlpm.val,
            SUBSTITUTE(_xlpm.val, ", ", " &amp; ")
         )
      )
   ),
"")</f>
        <v/>
      </c>
      <c r="M227" s="40" t="str" cm="1">
        <f t="array" ref="M227">IF(COUNTIF(L4,"*V*"),
   _xlfn.LET(
      _xlpm.pos, COUNTIFS($C$4:L4,"*"),
      _xlpm.val, INDEX($C$148:$AK$148, _xlpm.pos),
      IF(L227="",
         SUBSTITUTE(_xlpm.val, ", ", " &amp; "),
         IF(COUNTIF(L227,"*&amp;*"),
            _xlpm.val,
            SUBSTITUTE(_xlpm.val, ", ", " &amp; ")
         )
      )
   ),
"")</f>
        <v/>
      </c>
      <c r="N227" s="40" t="str" cm="1">
        <f t="array" ref="N227">IF(COUNTIF(M4,"*V*"),
   _xlfn.LET(
      _xlpm.pos, COUNTIFS($C$4:M4,"*"),
      _xlpm.val, INDEX($C$148:$AK$148, _xlpm.pos),
      IF(M227="",
         SUBSTITUTE(_xlpm.val, ", ", " &amp; "),
         IF(COUNTIF(M227,"*&amp;*"),
            _xlpm.val,
            SUBSTITUTE(_xlpm.val, ", ", " &amp; ")
         )
      )
   ),
"")</f>
        <v/>
      </c>
      <c r="O227" s="40" t="str" cm="1">
        <f t="array" ref="O227">IF(COUNTIF(N4,"*V*"),
   _xlfn.LET(
      _xlpm.pos, COUNTIFS($C$4:N4,"*"),
      _xlpm.val, INDEX($C$148:$AK$148, _xlpm.pos),
      IF(N227="",
         SUBSTITUTE(_xlpm.val, ", ", " &amp; "),
         IF(COUNTIF(N227,"*&amp;*"),
            _xlpm.val,
            SUBSTITUTE(_xlpm.val, ", ", " &amp; ")
         )
      )
   ),
"")</f>
        <v/>
      </c>
      <c r="P227" s="40" t="str" cm="1">
        <f t="array" ref="P227">IF(COUNTIF(O4,"*V*"),
   _xlfn.LET(
      _xlpm.pos, COUNTIFS($C$4:O4,"*"),
      _xlpm.val, INDEX($C$148:$AK$148, _xlpm.pos),
      IF(O227="",
         SUBSTITUTE(_xlpm.val, ", ", " &amp; "),
         IF(COUNTIF(O227,"*&amp;*"),
            _xlpm.val,
            SUBSTITUTE(_xlpm.val, ", ", " &amp; ")
         )
      )
   ),
"")</f>
        <v/>
      </c>
      <c r="Q227" s="40" t="str" cm="1">
        <f t="array" ref="Q227">IF(COUNTIF(P4,"*V*"),
   _xlfn.LET(
      _xlpm.pos, COUNTIFS($C$4:P4,"*"),
      _xlpm.val, INDEX($C$148:$AK$148, _xlpm.pos),
      IF(P227="",
         SUBSTITUTE(_xlpm.val, ", ", " &amp; "),
         IF(COUNTIF(P227,"*&amp;*"),
            _xlpm.val,
            SUBSTITUTE(_xlpm.val, ", ", " &amp; ")
         )
      )
   ),
"")</f>
        <v/>
      </c>
      <c r="R227" s="40" t="str" cm="1">
        <f t="array" ref="R227">IF(COUNTIF(Q4,"*V*"),
   _xlfn.LET(
      _xlpm.pos, COUNTIFS($C$4:Q4,"*"),
      _xlpm.val, INDEX($C$148:$AK$148, _xlpm.pos),
      IF(Q227="",
         SUBSTITUTE(_xlpm.val, ", ", " &amp; "),
         IF(COUNTIF(Q227,"*&amp;*"),
            _xlpm.val,
            SUBSTITUTE(_xlpm.val, ", ", " &amp; ")
         )
      )
   ),
"")</f>
        <v/>
      </c>
      <c r="S227" s="40" t="str" cm="1">
        <f t="array" ref="S227">IF(COUNTIF(R4,"*V*"),
   _xlfn.LET(
      _xlpm.pos, COUNTIFS($C$4:R4,"*"),
      _xlpm.val, INDEX($C$148:$AK$148, _xlpm.pos),
      IF(R227="",
         SUBSTITUTE(_xlpm.val, ", ", " &amp; "),
         IF(COUNTIF(R227,"*&amp;*"),
            _xlpm.val,
            SUBSTITUTE(_xlpm.val, ", ", " &amp; ")
         )
      )
   ),
"")</f>
        <v/>
      </c>
      <c r="T227" s="40" t="str" cm="1">
        <f t="array" ref="T227">IF(COUNTIF(S4,"*V*"),
   _xlfn.LET(
      _xlpm.pos, COUNTIFS($C$4:S4,"*"),
      _xlpm.val, INDEX($C$148:$AK$148, _xlpm.pos),
      IF(S227="",
         SUBSTITUTE(_xlpm.val, ", ", " &amp; "),
         IF(COUNTIF(S227,"*&amp;*"),
            _xlpm.val,
            SUBSTITUTE(_xlpm.val, ", ", " &amp; ")
         )
      )
   ),
"")</f>
        <v/>
      </c>
      <c r="U227" s="40" t="str" cm="1">
        <f t="array" ref="U227">IF(COUNTIF(T4,"*V*"),
   _xlfn.LET(
      _xlpm.pos, COUNTIFS($C$4:T4,"*"),
      _xlpm.val, INDEX($C$148:$AK$148, _xlpm.pos),
      IF(T227="",
         SUBSTITUTE(_xlpm.val, ", ", " &amp; "),
         IF(COUNTIF(T227,"*&amp;*"),
            _xlpm.val,
            SUBSTITUTE(_xlpm.val, ", ", " &amp; ")
         )
      )
   ),
"")</f>
        <v/>
      </c>
      <c r="V227" s="40" t="str" cm="1">
        <f t="array" ref="V227">IF(COUNTIF(U4,"*V*"),
   _xlfn.LET(
      _xlpm.pos, COUNTIFS($C$4:U4,"*"),
      _xlpm.val, INDEX($C$148:$AK$148, _xlpm.pos),
      IF(U227="",
         SUBSTITUTE(_xlpm.val, ", ", " &amp; "),
         IF(COUNTIF(U227,"*&amp;*"),
            _xlpm.val,
            SUBSTITUTE(_xlpm.val, ", ", " &amp; ")
         )
      )
   ),
"")</f>
        <v/>
      </c>
      <c r="W227" s="40" t="str" cm="1">
        <f t="array" ref="W227">IF(COUNTIF(V4,"*V*"),
   _xlfn.LET(
      _xlpm.pos, COUNTIFS($C$4:V4,"*"),
      _xlpm.val, INDEX($C$148:$AK$148, _xlpm.pos),
      IF(V227="",
         SUBSTITUTE(_xlpm.val, ", ", " &amp; "),
         IF(COUNTIF(V227,"*&amp;*"),
            _xlpm.val,
            SUBSTITUTE(_xlpm.val, ", ", " &amp; ")
         )
      )
   ),
"")</f>
        <v/>
      </c>
      <c r="X227" s="40" t="str" cm="1">
        <f t="array" ref="X227">IF(COUNTIF(W4,"*V*"),
   _xlfn.LET(
      _xlpm.pos, COUNTIFS($C$4:W4,"*"),
      _xlpm.val, INDEX($C$148:$AK$148, _xlpm.pos),
      IF(W227="",
         SUBSTITUTE(_xlpm.val, ", ", " &amp; "),
         IF(COUNTIF(W227,"*&amp;*"),
            _xlpm.val,
            SUBSTITUTE(_xlpm.val, ", ", " &amp; ")
         )
      )
   ),
"")</f>
        <v/>
      </c>
      <c r="Y227" s="40" t="str" cm="1">
        <f t="array" ref="Y227">IF(COUNTIF(X4,"*V*"),
   _xlfn.LET(
      _xlpm.pos, COUNTIFS($C$4:X4,"*"),
      _xlpm.val, INDEX($C$148:$AK$148, _xlpm.pos),
      IF(X227="",
         SUBSTITUTE(_xlpm.val, ", ", " &amp; "),
         IF(COUNTIF(X227,"*&amp;*"),
            _xlpm.val,
            SUBSTITUTE(_xlpm.val, ", ", " &amp; ")
         )
      )
   ),
"")</f>
        <v/>
      </c>
      <c r="Z227" s="40" t="str" cm="1">
        <f t="array" ref="Z227">IF(COUNTIF(Y4,"*V*"),
   _xlfn.LET(
      _xlpm.pos, COUNTIFS($C$4:Y4,"*"),
      _xlpm.val, INDEX($C$148:$AK$148, _xlpm.pos),
      IF(Y227="",
         SUBSTITUTE(_xlpm.val, ", ", " &amp; "),
         IF(COUNTIF(Y227,"*&amp;*"),
            _xlpm.val,
            SUBSTITUTE(_xlpm.val, ", ", " &amp; ")
         )
      )
   ),
"")</f>
        <v/>
      </c>
      <c r="AA227" s="40" t="str" cm="1">
        <f t="array" ref="AA227">IF(COUNTIF(Z4,"*V*"),
   _xlfn.LET(
      _xlpm.pos, COUNTIFS($C$4:Z4,"*"),
      _xlpm.val, INDEX($C$148:$AK$148, _xlpm.pos),
      IF(Z227="",
         SUBSTITUTE(_xlpm.val, ", ", " &amp; "),
         IF(COUNTIF(Z227,"*&amp;*"),
            _xlpm.val,
            SUBSTITUTE(_xlpm.val, ", ", " &amp; ")
         )
      )
   ),
"")</f>
        <v/>
      </c>
      <c r="AB227" s="40" t="str" cm="1">
        <f t="array" ref="AB227">IF(COUNTIF(AA4,"*V*"),
   _xlfn.LET(
      _xlpm.pos, COUNTIFS($C$4:AA4,"*"),
      _xlpm.val, INDEX($C$148:$AK$148, _xlpm.pos),
      IF(AA227="",
         SUBSTITUTE(_xlpm.val, ", ", " &amp; "),
         IF(COUNTIF(AA227,"*&amp;*"),
            _xlpm.val,
            SUBSTITUTE(_xlpm.val, ", ", " &amp; ")
         )
      )
   ),
"")</f>
        <v/>
      </c>
      <c r="AC227" s="40" t="str" cm="1">
        <f t="array" ref="AC227">IF(COUNTIF(AB4,"*V*"),
   _xlfn.LET(
      _xlpm.pos, COUNTIFS($C$4:AB4,"*"),
      _xlpm.val, INDEX($C$148:$AK$148, _xlpm.pos),
      IF(AB227="",
         SUBSTITUTE(_xlpm.val, ", ", " &amp; "),
         IF(COUNTIF(AB227,"*&amp;*"),
            _xlpm.val,
            SUBSTITUTE(_xlpm.val, ", ", " &amp; ")
         )
      )
   ),
"")</f>
        <v/>
      </c>
      <c r="AD227" s="40" t="str" cm="1">
        <f t="array" ref="AD227">IF(COUNTIF(AC4,"*V*"),
   _xlfn.LET(
      _xlpm.pos, COUNTIFS($C$4:AC4,"*"),
      _xlpm.val, INDEX($C$148:$AK$148, _xlpm.pos),
      IF(AC227="",
         SUBSTITUTE(_xlpm.val, ", ", " &amp; "),
         IF(COUNTIF(AC227,"*&amp;*"),
            _xlpm.val,
            SUBSTITUTE(_xlpm.val, ", ", " &amp; ")
         )
      )
   ),
"")</f>
        <v/>
      </c>
      <c r="AE227" s="40" t="str" cm="1">
        <f t="array" ref="AE227">IF(COUNTIF(AD4,"*V*"),
   _xlfn.LET(
      _xlpm.pos, COUNTIFS($C$4:AD4,"*"),
      _xlpm.val, INDEX($C$148:$AK$148, _xlpm.pos),
      IF(AD227="",
         SUBSTITUTE(_xlpm.val, ", ", " &amp; "),
         IF(COUNTIF(AD227,"*&amp;*"),
            _xlpm.val,
            SUBSTITUTE(_xlpm.val, ", ", " &amp; ")
         )
      )
   ),
"")</f>
        <v/>
      </c>
      <c r="AF227" s="40" t="str" cm="1">
        <f t="array" ref="AF227">IF(COUNTIF(AE4,"*V*"),
   _xlfn.LET(
      _xlpm.pos, COUNTIFS($C$4:AE4,"*"),
      _xlpm.val, INDEX($C$148:$AK$148, _xlpm.pos),
      IF(AE227="",
         SUBSTITUTE(_xlpm.val, ", ", " &amp; "),
         IF(COUNTIF(AE227,"*&amp;*"),
            _xlpm.val,
            SUBSTITUTE(_xlpm.val, ", ", " &amp; ")
         )
      )
   ),
"")</f>
        <v/>
      </c>
      <c r="AG227" s="40" t="str" cm="1">
        <f t="array" ref="AG227">IF(COUNTIF(AF4,"*V*"),
   _xlfn.LET(
      _xlpm.pos, COUNTIFS($C$4:AF4,"*"),
      _xlpm.val, INDEX($C$148:$AK$148, _xlpm.pos),
      IF(AF227="",
         SUBSTITUTE(_xlpm.val, ", ", " &amp; "),
         IF(COUNTIF(AF227,"*&amp;*"),
            _xlpm.val,
            SUBSTITUTE(_xlpm.val, ", ", " &amp; ")
         )
      )
   ),
"")</f>
        <v/>
      </c>
      <c r="AH227" s="40" t="str" cm="1">
        <f t="array" ref="AH227">IF(COUNTIF(AG4,"*V*"),
   _xlfn.LET(
      _xlpm.pos, COUNTIFS($C$4:AG4,"*"),
      _xlpm.val, INDEX($C$148:$AK$148, _xlpm.pos),
      IF(AG227="",
         SUBSTITUTE(_xlpm.val, ", ", " &amp; "),
         IF(COUNTIF(AG227,"*&amp;*"),
            _xlpm.val,
            SUBSTITUTE(_xlpm.val, ", ", " &amp; ")
         )
      )
   ),
"")</f>
        <v/>
      </c>
      <c r="AI227" s="40" t="str" cm="1">
        <f t="array" ref="AI227">IF(COUNTIF(AH4,"*V*"),
   _xlfn.LET(
      _xlpm.pos, COUNTIFS($C$4:AH4,"*"),
      _xlpm.val, INDEX($C$148:$AK$148, _xlpm.pos),
      IF(AH227="",
         SUBSTITUTE(_xlpm.val, ", ", " &amp; "),
         IF(COUNTIF(AH227,"*&amp;*"),
            _xlpm.val,
            SUBSTITUTE(_xlpm.val, ", ", " &amp; ")
         )
      )
   ),
"")</f>
        <v/>
      </c>
      <c r="AJ227" s="40" t="str" cm="1">
        <f t="array" ref="AJ227">IF(COUNTIF(AI4,"*V*"),
   _xlfn.LET(
      _xlpm.pos, COUNTIFS($C$4:AI4,"*"),
      _xlpm.val, INDEX($C$148:$AK$148, _xlpm.pos),
      IF(AI227="",
         SUBSTITUTE(_xlpm.val, ", ", " &amp; "),
         IF(COUNTIF(AI227,"*&amp;*"),
            _xlpm.val,
            SUBSTITUTE(_xlpm.val, ", ", " &amp; ")
         )
      )
   ),
"")</f>
        <v/>
      </c>
      <c r="AK227" s="40" t="str" cm="1">
        <f t="array" ref="AK227">IF(COUNTIF(AJ4,"*V*"),
   _xlfn.LET(
      _xlpm.pos, COUNTIFS($C$4:AJ4,"*"),
      _xlpm.val, INDEX($C$148:$AK$148, _xlpm.pos),
      IF(AJ227="",
         SUBSTITUTE(_xlpm.val, ", ", " &amp; "),
         IF(COUNTIF(AJ227,"*&amp;*"),
            _xlpm.val,
            SUBSTITUTE(_xlpm.val, ", ", " &amp; ")
         )
      )
   ),
"")</f>
        <v/>
      </c>
    </row>
    <row r="228" spans="1:37" ht="15" customHeight="1" x14ac:dyDescent="0.35">
      <c r="A228" s="1196"/>
      <c r="B228" s="22">
        <v>2</v>
      </c>
      <c r="D228" s="40" t="str" cm="1">
        <f t="array" ref="D228">IF(COUNTIF(C5,"*V*"),
   _xlfn.LET(
      _xlpm.pos, COUNTIFS($C$5:C5,"*"),
      _xlpm.val, INDEX($C$149:$AK$149, _xlpm.pos),
      IF(C228="",
         SUBSTITUTE(_xlpm.val, ", ", " &amp; "),
         IF(COUNTIF(C228,"*&amp;*"),
            _xlpm.val,
            SUBSTITUTE(_xlpm.val, ", ", " &amp; ")
         )
      )
   ),
"")</f>
        <v/>
      </c>
      <c r="E228" s="40" t="str" cm="1">
        <f t="array" ref="E228">IF(COUNTIF(D5,"*V*"),
   _xlfn.LET(
      _xlpm.pos, COUNTIFS($C$5:D5,"*"),
      _xlpm.val, INDEX($C$149:$AK$149, _xlpm.pos),
      IF(D228="",
         SUBSTITUTE(_xlpm.val, ", ", " &amp; "),
         IF(COUNTIF(D228,"*&amp;*"),
            _xlpm.val,
            SUBSTITUTE(_xlpm.val, ", ", " &amp; ")
         )
      )
   ),
"")</f>
        <v/>
      </c>
      <c r="F228" s="40" t="str" cm="1">
        <f t="array" ref="F228">IF(COUNTIF(E5,"*V*"),
   _xlfn.LET(
      _xlpm.pos, COUNTIFS($C$5:E5,"*"),
      _xlpm.val, INDEX($C$149:$AK$149, _xlpm.pos),
      IF(E228="",
         SUBSTITUTE(_xlpm.val, ", ", " &amp; "),
         IF(COUNTIF(E228,"*&amp;*"),
            _xlpm.val,
            SUBSTITUTE(_xlpm.val, ", ", " &amp; ")
         )
      )
   ),
"")</f>
        <v/>
      </c>
      <c r="G228" s="40" t="str" cm="1">
        <f t="array" ref="G228">IF(COUNTIF(F5,"*V*"),
   _xlfn.LET(
      _xlpm.pos, COUNTIFS($C$5:F5,"*"),
      _xlpm.val, INDEX($C$149:$AK$149, _xlpm.pos),
      IF(F228="",
         SUBSTITUTE(_xlpm.val, ", ", " &amp; "),
         IF(COUNTIF(F228,"*&amp;*"),
            _xlpm.val,
            SUBSTITUTE(_xlpm.val, ", ", " &amp; ")
         )
      )
   ),
"")</f>
        <v/>
      </c>
      <c r="H228" s="40" t="str" cm="1">
        <f t="array" ref="H228">IF(COUNTIF(G5,"*V*"),
   _xlfn.LET(
      _xlpm.pos, COUNTIFS($C$5:G5,"*"),
      _xlpm.val, INDEX($C$149:$AK$149, _xlpm.pos),
      IF(G228="",
         SUBSTITUTE(_xlpm.val, ", ", " &amp; "),
         IF(COUNTIF(G228,"*&amp;*"),
            _xlpm.val,
            SUBSTITUTE(_xlpm.val, ", ", " &amp; ")
         )
      )
   ),
"")</f>
        <v/>
      </c>
      <c r="I228" s="40" t="str" cm="1">
        <f t="array" ref="I228">IF(COUNTIF(H5,"*V*"),
   _xlfn.LET(
      _xlpm.pos, COUNTIFS($C$5:H5,"*"),
      _xlpm.val, INDEX($C$149:$AK$149, _xlpm.pos),
      IF(H228="",
         SUBSTITUTE(_xlpm.val, ", ", " &amp; "),
         IF(COUNTIF(H228,"*&amp;*"),
            _xlpm.val,
            SUBSTITUTE(_xlpm.val, ", ", " &amp; ")
         )
      )
   ),
"")</f>
        <v/>
      </c>
      <c r="J228" s="40" t="str" cm="1">
        <f t="array" ref="J228">IF(COUNTIF(I5,"*V*"),
   _xlfn.LET(
      _xlpm.pos, COUNTIFS($C$5:I5,"*"),
      _xlpm.val, INDEX($C$149:$AK$149, _xlpm.pos),
      IF(I228="",
         SUBSTITUTE(_xlpm.val, ", ", " &amp; "),
         IF(COUNTIF(I228,"*&amp;*"),
            _xlpm.val,
            SUBSTITUTE(_xlpm.val, ", ", " &amp; ")
         )
      )
   ),
"")</f>
        <v/>
      </c>
      <c r="K228" s="40" t="str" cm="1">
        <f t="array" ref="K228">IF(COUNTIF(J5,"*V*"),
   _xlfn.LET(
      _xlpm.pos, COUNTIFS($C$5:J5,"*"),
      _xlpm.val, INDEX($C$149:$AK$149, _xlpm.pos),
      IF(J228="",
         SUBSTITUTE(_xlpm.val, ", ", " &amp; "),
         IF(COUNTIF(J228,"*&amp;*"),
            _xlpm.val,
            SUBSTITUTE(_xlpm.val, ", ", " &amp; ")
         )
      )
   ),
"")</f>
        <v/>
      </c>
      <c r="L228" s="40" t="str" cm="1">
        <f t="array" ref="L228">IF(COUNTIF(K5,"*V*"),
   _xlfn.LET(
      _xlpm.pos, COUNTIFS($C$5:K5,"*"),
      _xlpm.val, INDEX($C$149:$AK$149, _xlpm.pos),
      IF(K228="",
         SUBSTITUTE(_xlpm.val, ", ", " &amp; "),
         IF(COUNTIF(K228,"*&amp;*"),
            _xlpm.val,
            SUBSTITUTE(_xlpm.val, ", ", " &amp; ")
         )
      )
   ),
"")</f>
        <v/>
      </c>
      <c r="M228" s="40" t="str" cm="1">
        <f t="array" ref="M228">IF(COUNTIF(L5,"*V*"),
   _xlfn.LET(
      _xlpm.pos, COUNTIFS($C$5:L5,"*"),
      _xlpm.val, INDEX($C$149:$AK$149, _xlpm.pos),
      IF(L228="",
         SUBSTITUTE(_xlpm.val, ", ", " &amp; "),
         IF(COUNTIF(L228,"*&amp;*"),
            _xlpm.val,
            SUBSTITUTE(_xlpm.val, ", ", " &amp; ")
         )
      )
   ),
"")</f>
        <v/>
      </c>
      <c r="N228" s="40" t="str" cm="1">
        <f t="array" ref="N228">IF(COUNTIF(M5,"*V*"),
   _xlfn.LET(
      _xlpm.pos, COUNTIFS($C$5:M5,"*"),
      _xlpm.val, INDEX($C$149:$AK$149, _xlpm.pos),
      IF(M228="",
         SUBSTITUTE(_xlpm.val, ", ", " &amp; "),
         IF(COUNTIF(M228,"*&amp;*"),
            _xlpm.val,
            SUBSTITUTE(_xlpm.val, ", ", " &amp; ")
         )
      )
   ),
"")</f>
        <v/>
      </c>
      <c r="O228" s="40" t="str" cm="1">
        <f t="array" ref="O228">IF(COUNTIF(N5,"*V*"),
   _xlfn.LET(
      _xlpm.pos, COUNTIFS($C$5:N5,"*"),
      _xlpm.val, INDEX($C$149:$AK$149, _xlpm.pos),
      IF(N228="",
         SUBSTITUTE(_xlpm.val, ", ", " &amp; "),
         IF(COUNTIF(N228,"*&amp;*"),
            _xlpm.val,
            SUBSTITUTE(_xlpm.val, ", ", " &amp; ")
         )
      )
   ),
"")</f>
        <v/>
      </c>
      <c r="P228" s="40" t="str" cm="1">
        <f t="array" ref="P228">IF(COUNTIF(O5,"*V*"),
   _xlfn.LET(
      _xlpm.pos, COUNTIFS($C$5:O5,"*"),
      _xlpm.val, INDEX($C$149:$AK$149, _xlpm.pos),
      IF(O228="",
         SUBSTITUTE(_xlpm.val, ", ", " &amp; "),
         IF(COUNTIF(O228,"*&amp;*"),
            _xlpm.val,
            SUBSTITUTE(_xlpm.val, ", ", " &amp; ")
         )
      )
   ),
"")</f>
        <v/>
      </c>
      <c r="Q228" s="40" t="str" cm="1">
        <f t="array" ref="Q228">IF(COUNTIF(P5,"*V*"),
   _xlfn.LET(
      _xlpm.pos, COUNTIFS($C$5:P5,"*"),
      _xlpm.val, INDEX($C$149:$AK$149, _xlpm.pos),
      IF(P228="",
         SUBSTITUTE(_xlpm.val, ", ", " &amp; "),
         IF(COUNTIF(P228,"*&amp;*"),
            _xlpm.val,
            SUBSTITUTE(_xlpm.val, ", ", " &amp; ")
         )
      )
   ),
"")</f>
        <v/>
      </c>
      <c r="R228" s="40" t="str" cm="1">
        <f t="array" ref="R228">IF(COUNTIF(Q5,"*V*"),
   _xlfn.LET(
      _xlpm.pos, COUNTIFS($C$5:Q5,"*"),
      _xlpm.val, INDEX($C$149:$AK$149, _xlpm.pos),
      IF(Q228="",
         SUBSTITUTE(_xlpm.val, ", ", " &amp; "),
         IF(COUNTIF(Q228,"*&amp;*"),
            _xlpm.val,
            SUBSTITUTE(_xlpm.val, ", ", " &amp; ")
         )
      )
   ),
"")</f>
        <v/>
      </c>
      <c r="S228" s="40" t="str" cm="1">
        <f t="array" ref="S228">IF(COUNTIF(R5,"*V*"),
   _xlfn.LET(
      _xlpm.pos, COUNTIFS($C$5:R5,"*"),
      _xlpm.val, INDEX($C$149:$AK$149, _xlpm.pos),
      IF(R228="",
         SUBSTITUTE(_xlpm.val, ", ", " &amp; "),
         IF(COUNTIF(R228,"*&amp;*"),
            _xlpm.val,
            SUBSTITUTE(_xlpm.val, ", ", " &amp; ")
         )
      )
   ),
"")</f>
        <v/>
      </c>
      <c r="T228" s="40" t="str" cm="1">
        <f t="array" ref="T228">IF(COUNTIF(S5,"*V*"),
   _xlfn.LET(
      _xlpm.pos, COUNTIFS($C$5:S5,"*"),
      _xlpm.val, INDEX($C$149:$AK$149, _xlpm.pos),
      IF(S228="",
         SUBSTITUTE(_xlpm.val, ", ", " &amp; "),
         IF(COUNTIF(S228,"*&amp;*"),
            _xlpm.val,
            SUBSTITUTE(_xlpm.val, ", ", " &amp; ")
         )
      )
   ),
"")</f>
        <v/>
      </c>
      <c r="U228" s="40" t="str" cm="1">
        <f t="array" ref="U228">IF(COUNTIF(T5,"*V*"),
   _xlfn.LET(
      _xlpm.pos, COUNTIFS($C$5:T5,"*"),
      _xlpm.val, INDEX($C$149:$AK$149, _xlpm.pos),
      IF(T228="",
         SUBSTITUTE(_xlpm.val, ", ", " &amp; "),
         IF(COUNTIF(T228,"*&amp;*"),
            _xlpm.val,
            SUBSTITUTE(_xlpm.val, ", ", " &amp; ")
         )
      )
   ),
"")</f>
        <v/>
      </c>
      <c r="V228" s="40" t="str" cm="1">
        <f t="array" ref="V228">IF(COUNTIF(U5,"*V*"),
   _xlfn.LET(
      _xlpm.pos, COUNTIFS($C$5:U5,"*"),
      _xlpm.val, INDEX($C$149:$AK$149, _xlpm.pos),
      IF(U228="",
         SUBSTITUTE(_xlpm.val, ", ", " &amp; "),
         IF(COUNTIF(U228,"*&amp;*"),
            _xlpm.val,
            SUBSTITUTE(_xlpm.val, ", ", " &amp; ")
         )
      )
   ),
"")</f>
        <v/>
      </c>
      <c r="W228" s="40" t="str" cm="1">
        <f t="array" ref="W228">IF(COUNTIF(V5,"*V*"),
   _xlfn.LET(
      _xlpm.pos, COUNTIFS($C$5:V5,"*"),
      _xlpm.val, INDEX($C$149:$AK$149, _xlpm.pos),
      IF(V228="",
         SUBSTITUTE(_xlpm.val, ", ", " &amp; "),
         IF(COUNTIF(V228,"*&amp;*"),
            _xlpm.val,
            SUBSTITUTE(_xlpm.val, ", ", " &amp; ")
         )
      )
   ),
"")</f>
        <v/>
      </c>
      <c r="X228" s="40" t="str" cm="1">
        <f t="array" ref="X228">IF(COUNTIF(W5,"*V*"),
   _xlfn.LET(
      _xlpm.pos, COUNTIFS($C$5:W5,"*"),
      _xlpm.val, INDEX($C$149:$AK$149, _xlpm.pos),
      IF(W228="",
         SUBSTITUTE(_xlpm.val, ", ", " &amp; "),
         IF(COUNTIF(W228,"*&amp;*"),
            _xlpm.val,
            SUBSTITUTE(_xlpm.val, ", ", " &amp; ")
         )
      )
   ),
"")</f>
        <v/>
      </c>
      <c r="Y228" s="40" t="str" cm="1">
        <f t="array" ref="Y228">IF(COUNTIF(X5,"*V*"),
   _xlfn.LET(
      _xlpm.pos, COUNTIFS($C$5:X5,"*"),
      _xlpm.val, INDEX($C$149:$AK$149, _xlpm.pos),
      IF(X228="",
         SUBSTITUTE(_xlpm.val, ", ", " &amp; "),
         IF(COUNTIF(X228,"*&amp;*"),
            _xlpm.val,
            SUBSTITUTE(_xlpm.val, ", ", " &amp; ")
         )
      )
   ),
"")</f>
        <v/>
      </c>
      <c r="Z228" s="40" t="str" cm="1">
        <f t="array" ref="Z228">IF(COUNTIF(Y5,"*V*"),
   _xlfn.LET(
      _xlpm.pos, COUNTIFS($C$5:Y5,"*"),
      _xlpm.val, INDEX($C$149:$AK$149, _xlpm.pos),
      IF(Y228="",
         SUBSTITUTE(_xlpm.val, ", ", " &amp; "),
         IF(COUNTIF(Y228,"*&amp;*"),
            _xlpm.val,
            SUBSTITUTE(_xlpm.val, ", ", " &amp; ")
         )
      )
   ),
"")</f>
        <v/>
      </c>
      <c r="AA228" s="40" t="str" cm="1">
        <f t="array" ref="AA228">IF(COUNTIF(Z5,"*V*"),
   _xlfn.LET(
      _xlpm.pos, COUNTIFS($C$5:Z5,"*"),
      _xlpm.val, INDEX($C$149:$AK$149, _xlpm.pos),
      IF(Z228="",
         SUBSTITUTE(_xlpm.val, ", ", " &amp; "),
         IF(COUNTIF(Z228,"*&amp;*"),
            _xlpm.val,
            SUBSTITUTE(_xlpm.val, ", ", " &amp; ")
         )
      )
   ),
"")</f>
        <v/>
      </c>
      <c r="AB228" s="40" t="str" cm="1">
        <f t="array" ref="AB228">IF(COUNTIF(AA5,"*V*"),
   _xlfn.LET(
      _xlpm.pos, COUNTIFS($C$5:AA5,"*"),
      _xlpm.val, INDEX($C$149:$AK$149, _xlpm.pos),
      IF(AA228="",
         SUBSTITUTE(_xlpm.val, ", ", " &amp; "),
         IF(COUNTIF(AA228,"*&amp;*"),
            _xlpm.val,
            SUBSTITUTE(_xlpm.val, ", ", " &amp; ")
         )
      )
   ),
"")</f>
        <v/>
      </c>
      <c r="AC228" s="40" t="str" cm="1">
        <f t="array" ref="AC228">IF(COUNTIF(AB5,"*V*"),
   _xlfn.LET(
      _xlpm.pos, COUNTIFS($C$5:AB5,"*"),
      _xlpm.val, INDEX($C$149:$AK$149, _xlpm.pos),
      IF(AB228="",
         SUBSTITUTE(_xlpm.val, ", ", " &amp; "),
         IF(COUNTIF(AB228,"*&amp;*"),
            _xlpm.val,
            SUBSTITUTE(_xlpm.val, ", ", " &amp; ")
         )
      )
   ),
"")</f>
        <v/>
      </c>
      <c r="AD228" s="40" t="str" cm="1">
        <f t="array" ref="AD228">IF(COUNTIF(AC5,"*V*"),
   _xlfn.LET(
      _xlpm.pos, COUNTIFS($C$5:AC5,"*"),
      _xlpm.val, INDEX($C$149:$AK$149, _xlpm.pos),
      IF(AC228="",
         SUBSTITUTE(_xlpm.val, ", ", " &amp; "),
         IF(COUNTIF(AC228,"*&amp;*"),
            _xlpm.val,
            SUBSTITUTE(_xlpm.val, ", ", " &amp; ")
         )
      )
   ),
"")</f>
        <v/>
      </c>
      <c r="AE228" s="40" t="str" cm="1">
        <f t="array" ref="AE228">IF(COUNTIF(AD5,"*V*"),
   _xlfn.LET(
      _xlpm.pos, COUNTIFS($C$5:AD5,"*"),
      _xlpm.val, INDEX($C$149:$AK$149, _xlpm.pos),
      IF(AD228="",
         SUBSTITUTE(_xlpm.val, ", ", " &amp; "),
         IF(COUNTIF(AD228,"*&amp;*"),
            _xlpm.val,
            SUBSTITUTE(_xlpm.val, ", ", " &amp; ")
         )
      )
   ),
"")</f>
        <v/>
      </c>
      <c r="AF228" s="40" t="str" cm="1">
        <f t="array" ref="AF228">IF(COUNTIF(AE5,"*V*"),
   _xlfn.LET(
      _xlpm.pos, COUNTIFS($C$5:AE5,"*"),
      _xlpm.val, INDEX($C$149:$AK$149, _xlpm.pos),
      IF(AE228="",
         SUBSTITUTE(_xlpm.val, ", ", " &amp; "),
         IF(COUNTIF(AE228,"*&amp;*"),
            _xlpm.val,
            SUBSTITUTE(_xlpm.val, ", ", " &amp; ")
         )
      )
   ),
"")</f>
        <v/>
      </c>
      <c r="AG228" s="40" t="str" cm="1">
        <f t="array" ref="AG228">IF(COUNTIF(AF5,"*V*"),
   _xlfn.LET(
      _xlpm.pos, COUNTIFS($C$5:AF5,"*"),
      _xlpm.val, INDEX($C$149:$AK$149, _xlpm.pos),
      IF(AF228="",
         SUBSTITUTE(_xlpm.val, ", ", " &amp; "),
         IF(COUNTIF(AF228,"*&amp;*"),
            _xlpm.val,
            SUBSTITUTE(_xlpm.val, ", ", " &amp; ")
         )
      )
   ),
"")</f>
        <v/>
      </c>
      <c r="AH228" s="40" t="str" cm="1">
        <f t="array" ref="AH228">IF(COUNTIF(AG5,"*V*"),
   _xlfn.LET(
      _xlpm.pos, COUNTIFS($C$5:AG5,"*"),
      _xlpm.val, INDEX($C$149:$AK$149, _xlpm.pos),
      IF(AG228="",
         SUBSTITUTE(_xlpm.val, ", ", " &amp; "),
         IF(COUNTIF(AG228,"*&amp;*"),
            _xlpm.val,
            SUBSTITUTE(_xlpm.val, ", ", " &amp; ")
         )
      )
   ),
"")</f>
        <v/>
      </c>
      <c r="AI228" s="40" t="str" cm="1">
        <f t="array" ref="AI228">IF(COUNTIF(AH5,"*V*"),
   _xlfn.LET(
      _xlpm.pos, COUNTIFS($C$5:AH5,"*"),
      _xlpm.val, INDEX($C$149:$AK$149, _xlpm.pos),
      IF(AH228="",
         SUBSTITUTE(_xlpm.val, ", ", " &amp; "),
         IF(COUNTIF(AH228,"*&amp;*"),
            _xlpm.val,
            SUBSTITUTE(_xlpm.val, ", ", " &amp; ")
         )
      )
   ),
"")</f>
        <v/>
      </c>
      <c r="AJ228" s="40" t="str" cm="1">
        <f t="array" ref="AJ228">IF(COUNTIF(AI5,"*V*"),
   _xlfn.LET(
      _xlpm.pos, COUNTIFS($C$5:AI5,"*"),
      _xlpm.val, INDEX($C$149:$AK$149, _xlpm.pos),
      IF(AI228="",
         SUBSTITUTE(_xlpm.val, ", ", " &amp; "),
         IF(COUNTIF(AI228,"*&amp;*"),
            _xlpm.val,
            SUBSTITUTE(_xlpm.val, ", ", " &amp; ")
         )
      )
   ),
"")</f>
        <v/>
      </c>
      <c r="AK228" s="40" t="str" cm="1">
        <f t="array" ref="AK228">IF(COUNTIF(AJ5,"*V*"),
   _xlfn.LET(
      _xlpm.pos, COUNTIFS($C$5:AJ5,"*"),
      _xlpm.val, INDEX($C$149:$AK$149, _xlpm.pos),
      IF(AJ228="",
         SUBSTITUTE(_xlpm.val, ", ", " &amp; "),
         IF(COUNTIF(AJ228,"*&amp;*"),
            _xlpm.val,
            SUBSTITUTE(_xlpm.val, ", ", " &amp; ")
         )
      )
   ),
"")</f>
        <v/>
      </c>
    </row>
    <row r="229" spans="1:37" ht="15" customHeight="1" x14ac:dyDescent="0.35">
      <c r="A229" s="1196"/>
      <c r="B229" s="22">
        <v>3</v>
      </c>
      <c r="D229" s="40" t="str" cm="1">
        <f t="array" ref="D229">IF(COUNTIF(C6,"*V*"),
   _xlfn.LET(
      _xlpm.pos, COUNTIFS($C$6:C6,"*"),
      _xlpm.val, INDEX($C$150:$AK$150, _xlpm.pos),
      IF(C229="",
         SUBSTITUTE(_xlpm.val, ", ", " &amp; "),
         IF(COUNTIF(C229,"*&amp;*"),
            _xlpm.val,
            SUBSTITUTE(_xlpm.val, ", ", " &amp; ")
         )
      )
   ),
"")</f>
        <v/>
      </c>
      <c r="E229" s="40" t="str" cm="1">
        <f t="array" ref="E229">IF(COUNTIF(D6,"*V*"),
   _xlfn.LET(
      _xlpm.pos, COUNTIFS($C$6:D6,"*"),
      _xlpm.val, INDEX($C$150:$AK$150, _xlpm.pos),
      IF(D229="",
         SUBSTITUTE(_xlpm.val, ", ", " &amp; "),
         IF(COUNTIF(D229,"*&amp;*"),
            _xlpm.val,
            SUBSTITUTE(_xlpm.val, ", ", " &amp; ")
         )
      )
   ),
"")</f>
        <v/>
      </c>
      <c r="F229" s="40" t="str" cm="1">
        <f t="array" ref="F229">IF(COUNTIF(E6,"*V*"),
   _xlfn.LET(
      _xlpm.pos, COUNTIFS($C$6:E6,"*"),
      _xlpm.val, INDEX($C$150:$AK$150, _xlpm.pos),
      IF(E229="",
         SUBSTITUTE(_xlpm.val, ", ", " &amp; "),
         IF(COUNTIF(E229,"*&amp;*"),
            _xlpm.val,
            SUBSTITUTE(_xlpm.val, ", ", " &amp; ")
         )
      )
   ),
"")</f>
        <v/>
      </c>
      <c r="G229" s="40" t="str" cm="1">
        <f t="array" ref="G229">IF(COUNTIF(F6,"*V*"),
   _xlfn.LET(
      _xlpm.pos, COUNTIFS($C$6:F6,"*"),
      _xlpm.val, INDEX($C$150:$AK$150, _xlpm.pos),
      IF(F229="",
         SUBSTITUTE(_xlpm.val, ", ", " &amp; "),
         IF(COUNTIF(F229,"*&amp;*"),
            _xlpm.val,
            SUBSTITUTE(_xlpm.val, ", ", " &amp; ")
         )
      )
   ),
"")</f>
        <v/>
      </c>
      <c r="H229" s="40" t="str" cm="1">
        <f t="array" ref="H229">IF(COUNTIF(G6,"*V*"),
   _xlfn.LET(
      _xlpm.pos, COUNTIFS($C$6:G6,"*"),
      _xlpm.val, INDEX($C$150:$AK$150, _xlpm.pos),
      IF(G229="",
         SUBSTITUTE(_xlpm.val, ", ", " &amp; "),
         IF(COUNTIF(G229,"*&amp;*"),
            _xlpm.val,
            SUBSTITUTE(_xlpm.val, ", ", " &amp; ")
         )
      )
   ),
"")</f>
        <v/>
      </c>
      <c r="I229" s="40" t="str" cm="1">
        <f t="array" ref="I229">IF(COUNTIF(H6,"*V*"),
   _xlfn.LET(
      _xlpm.pos, COUNTIFS($C$6:H6,"*"),
      _xlpm.val, INDEX($C$150:$AK$150, _xlpm.pos),
      IF(H229="",
         SUBSTITUTE(_xlpm.val, ", ", " &amp; "),
         IF(COUNTIF(H229,"*&amp;*"),
            _xlpm.val,
            SUBSTITUTE(_xlpm.val, ", ", " &amp; ")
         )
      )
   ),
"")</f>
        <v/>
      </c>
      <c r="J229" s="40" t="str" cm="1">
        <f t="array" ref="J229">IF(COUNTIF(I6,"*V*"),
   _xlfn.LET(
      _xlpm.pos, COUNTIFS($C$6:I6,"*"),
      _xlpm.val, INDEX($C$150:$AK$150, _xlpm.pos),
      IF(I229="",
         SUBSTITUTE(_xlpm.val, ", ", " &amp; "),
         IF(COUNTIF(I229,"*&amp;*"),
            _xlpm.val,
            SUBSTITUTE(_xlpm.val, ", ", " &amp; ")
         )
      )
   ),
"")</f>
        <v/>
      </c>
      <c r="K229" s="40" t="str" cm="1">
        <f t="array" ref="K229">IF(COUNTIF(J6,"*V*"),
   _xlfn.LET(
      _xlpm.pos, COUNTIFS($C$6:J6,"*"),
      _xlpm.val, INDEX($C$150:$AK$150, _xlpm.pos),
      IF(J229="",
         SUBSTITUTE(_xlpm.val, ", ", " &amp; "),
         IF(COUNTIF(J229,"*&amp;*"),
            _xlpm.val,
            SUBSTITUTE(_xlpm.val, ", ", " &amp; ")
         )
      )
   ),
"")</f>
        <v/>
      </c>
      <c r="L229" s="40" t="str" cm="1">
        <f t="array" ref="L229">IF(COUNTIF(K6,"*V*"),
   _xlfn.LET(
      _xlpm.pos, COUNTIFS($C$6:K6,"*"),
      _xlpm.val, INDEX($C$150:$AK$150, _xlpm.pos),
      IF(K229="",
         SUBSTITUTE(_xlpm.val, ", ", " &amp; "),
         IF(COUNTIF(K229,"*&amp;*"),
            _xlpm.val,
            SUBSTITUTE(_xlpm.val, ", ", " &amp; ")
         )
      )
   ),
"")</f>
        <v/>
      </c>
      <c r="M229" s="40" t="str" cm="1">
        <f t="array" ref="M229">IF(COUNTIF(L6,"*V*"),
   _xlfn.LET(
      _xlpm.pos, COUNTIFS($C$6:L6,"*"),
      _xlpm.val, INDEX($C$150:$AK$150, _xlpm.pos),
      IF(L229="",
         SUBSTITUTE(_xlpm.val, ", ", " &amp; "),
         IF(COUNTIF(L229,"*&amp;*"),
            _xlpm.val,
            SUBSTITUTE(_xlpm.val, ", ", " &amp; ")
         )
      )
   ),
"")</f>
        <v/>
      </c>
      <c r="N229" s="40" t="str" cm="1">
        <f t="array" ref="N229">IF(COUNTIF(M6,"*V*"),
   _xlfn.LET(
      _xlpm.pos, COUNTIFS($C$6:M6,"*"),
      _xlpm.val, INDEX($C$150:$AK$150, _xlpm.pos),
      IF(M229="",
         SUBSTITUTE(_xlpm.val, ", ", " &amp; "),
         IF(COUNTIF(M229,"*&amp;*"),
            _xlpm.val,
            SUBSTITUTE(_xlpm.val, ", ", " &amp; ")
         )
      )
   ),
"")</f>
        <v/>
      </c>
      <c r="O229" s="40" t="str" cm="1">
        <f t="array" ref="O229">IF(COUNTIF(N6,"*V*"),
   _xlfn.LET(
      _xlpm.pos, COUNTIFS($C$6:N6,"*"),
      _xlpm.val, INDEX($C$150:$AK$150, _xlpm.pos),
      IF(N229="",
         SUBSTITUTE(_xlpm.val, ", ", " &amp; "),
         IF(COUNTIF(N229,"*&amp;*"),
            _xlpm.val,
            SUBSTITUTE(_xlpm.val, ", ", " &amp; ")
         )
      )
   ),
"")</f>
        <v/>
      </c>
      <c r="P229" s="40" t="str" cm="1">
        <f t="array" ref="P229">IF(COUNTIF(O6,"*V*"),
   _xlfn.LET(
      _xlpm.pos, COUNTIFS($C$6:O6,"*"),
      _xlpm.val, INDEX($C$150:$AK$150, _xlpm.pos),
      IF(O229="",
         SUBSTITUTE(_xlpm.val, ", ", " &amp; "),
         IF(COUNTIF(O229,"*&amp;*"),
            _xlpm.val,
            SUBSTITUTE(_xlpm.val, ", ", " &amp; ")
         )
      )
   ),
"")</f>
        <v/>
      </c>
      <c r="Q229" s="40" t="str" cm="1">
        <f t="array" ref="Q229">IF(COUNTIF(P6,"*V*"),
   _xlfn.LET(
      _xlpm.pos, COUNTIFS($C$6:P6,"*"),
      _xlpm.val, INDEX($C$150:$AK$150, _xlpm.pos),
      IF(P229="",
         SUBSTITUTE(_xlpm.val, ", ", " &amp; "),
         IF(COUNTIF(P229,"*&amp;*"),
            _xlpm.val,
            SUBSTITUTE(_xlpm.val, ", ", " &amp; ")
         )
      )
   ),
"")</f>
        <v/>
      </c>
      <c r="R229" s="40" t="str" cm="1">
        <f t="array" ref="R229">IF(COUNTIF(Q6,"*V*"),
   _xlfn.LET(
      _xlpm.pos, COUNTIFS($C$6:Q6,"*"),
      _xlpm.val, INDEX($C$150:$AK$150, _xlpm.pos),
      IF(Q229="",
         SUBSTITUTE(_xlpm.val, ", ", " &amp; "),
         IF(COUNTIF(Q229,"*&amp;*"),
            _xlpm.val,
            SUBSTITUTE(_xlpm.val, ", ", " &amp; ")
         )
      )
   ),
"")</f>
        <v/>
      </c>
      <c r="S229" s="40" t="str" cm="1">
        <f t="array" ref="S229">IF(COUNTIF(R6,"*V*"),
   _xlfn.LET(
      _xlpm.pos, COUNTIFS($C$6:R6,"*"),
      _xlpm.val, INDEX($C$150:$AK$150, _xlpm.pos),
      IF(R229="",
         SUBSTITUTE(_xlpm.val, ", ", " &amp; "),
         IF(COUNTIF(R229,"*&amp;*"),
            _xlpm.val,
            SUBSTITUTE(_xlpm.val, ", ", " &amp; ")
         )
      )
   ),
"")</f>
        <v/>
      </c>
      <c r="T229" s="40" t="str" cm="1">
        <f t="array" ref="T229">IF(COUNTIF(S6,"*V*"),
   _xlfn.LET(
      _xlpm.pos, COUNTIFS($C$6:S6,"*"),
      _xlpm.val, INDEX($C$150:$AK$150, _xlpm.pos),
      IF(S229="",
         SUBSTITUTE(_xlpm.val, ", ", " &amp; "),
         IF(COUNTIF(S229,"*&amp;*"),
            _xlpm.val,
            SUBSTITUTE(_xlpm.val, ", ", " &amp; ")
         )
      )
   ),
"")</f>
        <v/>
      </c>
      <c r="U229" s="40" t="str" cm="1">
        <f t="array" ref="U229">IF(COUNTIF(T6,"*V*"),
   _xlfn.LET(
      _xlpm.pos, COUNTIFS($C$6:T6,"*"),
      _xlpm.val, INDEX($C$150:$AK$150, _xlpm.pos),
      IF(T229="",
         SUBSTITUTE(_xlpm.val, ", ", " &amp; "),
         IF(COUNTIF(T229,"*&amp;*"),
            _xlpm.val,
            SUBSTITUTE(_xlpm.val, ", ", " &amp; ")
         )
      )
   ),
"")</f>
        <v/>
      </c>
      <c r="V229" s="40" t="str" cm="1">
        <f t="array" ref="V229">IF(COUNTIF(U6,"*V*"),
   _xlfn.LET(
      _xlpm.pos, COUNTIFS($C$6:U6,"*"),
      _xlpm.val, INDEX($C$150:$AK$150, _xlpm.pos),
      IF(U229="",
         SUBSTITUTE(_xlpm.val, ", ", " &amp; "),
         IF(COUNTIF(U229,"*&amp;*"),
            _xlpm.val,
            SUBSTITUTE(_xlpm.val, ", ", " &amp; ")
         )
      )
   ),
"")</f>
        <v/>
      </c>
      <c r="W229" s="40" t="str" cm="1">
        <f t="array" ref="W229">IF(COUNTIF(V6,"*V*"),
   _xlfn.LET(
      _xlpm.pos, COUNTIFS($C$6:V6,"*"),
      _xlpm.val, INDEX($C$150:$AK$150, _xlpm.pos),
      IF(V229="",
         SUBSTITUTE(_xlpm.val, ", ", " &amp; "),
         IF(COUNTIF(V229,"*&amp;*"),
            _xlpm.val,
            SUBSTITUTE(_xlpm.val, ", ", " &amp; ")
         )
      )
   ),
"")</f>
        <v/>
      </c>
      <c r="X229" s="40" t="str" cm="1">
        <f t="array" ref="X229">IF(COUNTIF(W6,"*V*"),
   _xlfn.LET(
      _xlpm.pos, COUNTIFS($C$6:W6,"*"),
      _xlpm.val, INDEX($C$150:$AK$150, _xlpm.pos),
      IF(W229="",
         SUBSTITUTE(_xlpm.val, ", ", " &amp; "),
         IF(COUNTIF(W229,"*&amp;*"),
            _xlpm.val,
            SUBSTITUTE(_xlpm.val, ", ", " &amp; ")
         )
      )
   ),
"")</f>
        <v/>
      </c>
      <c r="Y229" s="40" t="str" cm="1">
        <f t="array" ref="Y229">IF(COUNTIF(X6,"*V*"),
   _xlfn.LET(
      _xlpm.pos, COUNTIFS($C$6:X6,"*"),
      _xlpm.val, INDEX($C$150:$AK$150, _xlpm.pos),
      IF(X229="",
         SUBSTITUTE(_xlpm.val, ", ", " &amp; "),
         IF(COUNTIF(X229,"*&amp;*"),
            _xlpm.val,
            SUBSTITUTE(_xlpm.val, ", ", " &amp; ")
         )
      )
   ),
"")</f>
        <v/>
      </c>
      <c r="Z229" s="40" t="str" cm="1">
        <f t="array" ref="Z229">IF(COUNTIF(Y6,"*V*"),
   _xlfn.LET(
      _xlpm.pos, COUNTIFS($C$6:Y6,"*"),
      _xlpm.val, INDEX($C$150:$AK$150, _xlpm.pos),
      IF(Y229="",
         SUBSTITUTE(_xlpm.val, ", ", " &amp; "),
         IF(COUNTIF(Y229,"*&amp;*"),
            _xlpm.val,
            SUBSTITUTE(_xlpm.val, ", ", " &amp; ")
         )
      )
   ),
"")</f>
        <v/>
      </c>
      <c r="AA229" s="40" t="str" cm="1">
        <f t="array" ref="AA229">IF(COUNTIF(Z6,"*V*"),
   _xlfn.LET(
      _xlpm.pos, COUNTIFS($C$6:Z6,"*"),
      _xlpm.val, INDEX($C$150:$AK$150, _xlpm.pos),
      IF(Z229="",
         SUBSTITUTE(_xlpm.val, ", ", " &amp; "),
         IF(COUNTIF(Z229,"*&amp;*"),
            _xlpm.val,
            SUBSTITUTE(_xlpm.val, ", ", " &amp; ")
         )
      )
   ),
"")</f>
        <v/>
      </c>
      <c r="AB229" s="40" t="str" cm="1">
        <f t="array" ref="AB229">IF(COUNTIF(AA6,"*V*"),
   _xlfn.LET(
      _xlpm.pos, COUNTIFS($C$6:AA6,"*"),
      _xlpm.val, INDEX($C$150:$AK$150, _xlpm.pos),
      IF(AA229="",
         SUBSTITUTE(_xlpm.val, ", ", " &amp; "),
         IF(COUNTIF(AA229,"*&amp;*"),
            _xlpm.val,
            SUBSTITUTE(_xlpm.val, ", ", " &amp; ")
         )
      )
   ),
"")</f>
        <v/>
      </c>
      <c r="AC229" s="40" t="str" cm="1">
        <f t="array" ref="AC229">IF(COUNTIF(AB6,"*V*"),
   _xlfn.LET(
      _xlpm.pos, COUNTIFS($C$6:AB6,"*"),
      _xlpm.val, INDEX($C$150:$AK$150, _xlpm.pos),
      IF(AB229="",
         SUBSTITUTE(_xlpm.val, ", ", " &amp; "),
         IF(COUNTIF(AB229,"*&amp;*"),
            _xlpm.val,
            SUBSTITUTE(_xlpm.val, ", ", " &amp; ")
         )
      )
   ),
"")</f>
        <v/>
      </c>
      <c r="AD229" s="40" t="str" cm="1">
        <f t="array" ref="AD229">IF(COUNTIF(AC6,"*V*"),
   _xlfn.LET(
      _xlpm.pos, COUNTIFS($C$6:AC6,"*"),
      _xlpm.val, INDEX($C$150:$AK$150, _xlpm.pos),
      IF(AC229="",
         SUBSTITUTE(_xlpm.val, ", ", " &amp; "),
         IF(COUNTIF(AC229,"*&amp;*"),
            _xlpm.val,
            SUBSTITUTE(_xlpm.val, ", ", " &amp; ")
         )
      )
   ),
"")</f>
        <v/>
      </c>
      <c r="AE229" s="40" t="str" cm="1">
        <f t="array" ref="AE229">IF(COUNTIF(AD6,"*V*"),
   _xlfn.LET(
      _xlpm.pos, COUNTIFS($C$6:AD6,"*"),
      _xlpm.val, INDEX($C$150:$AK$150, _xlpm.pos),
      IF(AD229="",
         SUBSTITUTE(_xlpm.val, ", ", " &amp; "),
         IF(COUNTIF(AD229,"*&amp;*"),
            _xlpm.val,
            SUBSTITUTE(_xlpm.val, ", ", " &amp; ")
         )
      )
   ),
"")</f>
        <v/>
      </c>
      <c r="AF229" s="40" t="str" cm="1">
        <f t="array" ref="AF229">IF(COUNTIF(AE6,"*V*"),
   _xlfn.LET(
      _xlpm.pos, COUNTIFS($C$6:AE6,"*"),
      _xlpm.val, INDEX($C$150:$AK$150, _xlpm.pos),
      IF(AE229="",
         SUBSTITUTE(_xlpm.val, ", ", " &amp; "),
         IF(COUNTIF(AE229,"*&amp;*"),
            _xlpm.val,
            SUBSTITUTE(_xlpm.val, ", ", " &amp; ")
         )
      )
   ),
"")</f>
        <v/>
      </c>
      <c r="AG229" s="40" t="str" cm="1">
        <f t="array" ref="AG229">IF(COUNTIF(AF6,"*V*"),
   _xlfn.LET(
      _xlpm.pos, COUNTIFS($C$6:AF6,"*"),
      _xlpm.val, INDEX($C$150:$AK$150, _xlpm.pos),
      IF(AF229="",
         SUBSTITUTE(_xlpm.val, ", ", " &amp; "),
         IF(COUNTIF(AF229,"*&amp;*"),
            _xlpm.val,
            SUBSTITUTE(_xlpm.val, ", ", " &amp; ")
         )
      )
   ),
"")</f>
        <v/>
      </c>
      <c r="AH229" s="40" t="str" cm="1">
        <f t="array" ref="AH229">IF(COUNTIF(AG6,"*V*"),
   _xlfn.LET(
      _xlpm.pos, COUNTIFS($C$6:AG6,"*"),
      _xlpm.val, INDEX($C$150:$AK$150, _xlpm.pos),
      IF(AG229="",
         SUBSTITUTE(_xlpm.val, ", ", " &amp; "),
         IF(COUNTIF(AG229,"*&amp;*"),
            _xlpm.val,
            SUBSTITUTE(_xlpm.val, ", ", " &amp; ")
         )
      )
   ),
"")</f>
        <v/>
      </c>
      <c r="AI229" s="40" t="str" cm="1">
        <f t="array" ref="AI229">IF(COUNTIF(AH6,"*V*"),
   _xlfn.LET(
      _xlpm.pos, COUNTIFS($C$6:AH6,"*"),
      _xlpm.val, INDEX($C$150:$AK$150, _xlpm.pos),
      IF(AH229="",
         SUBSTITUTE(_xlpm.val, ", ", " &amp; "),
         IF(COUNTIF(AH229,"*&amp;*"),
            _xlpm.val,
            SUBSTITUTE(_xlpm.val, ", ", " &amp; ")
         )
      )
   ),
"")</f>
        <v/>
      </c>
      <c r="AJ229" s="40" t="str" cm="1">
        <f t="array" ref="AJ229">IF(COUNTIF(AI6,"*V*"),
   _xlfn.LET(
      _xlpm.pos, COUNTIFS($C$6:AI6,"*"),
      _xlpm.val, INDEX($C$150:$AK$150, _xlpm.pos),
      IF(AI229="",
         SUBSTITUTE(_xlpm.val, ", ", " &amp; "),
         IF(COUNTIF(AI229,"*&amp;*"),
            _xlpm.val,
            SUBSTITUTE(_xlpm.val, ", ", " &amp; ")
         )
      )
   ),
"")</f>
        <v/>
      </c>
      <c r="AK229" s="40" t="str" cm="1">
        <f t="array" ref="AK229">IF(COUNTIF(AJ6,"*V*"),
   _xlfn.LET(
      _xlpm.pos, COUNTIFS($C$6:AJ6,"*"),
      _xlpm.val, INDEX($C$150:$AK$150, _xlpm.pos),
      IF(AJ229="",
         SUBSTITUTE(_xlpm.val, ", ", " &amp; "),
         IF(COUNTIF(AJ229,"*&amp;*"),
            _xlpm.val,
            SUBSTITUTE(_xlpm.val, ", ", " &amp; ")
         )
      )
   ),
"")</f>
        <v/>
      </c>
    </row>
    <row r="230" spans="1:37" ht="15" customHeight="1" x14ac:dyDescent="0.35">
      <c r="A230" s="1196"/>
      <c r="B230" s="22">
        <v>4</v>
      </c>
      <c r="D230" s="40" t="str" cm="1">
        <f t="array" ref="D230">IF(COUNTIF(C7,"*V*"),
   _xlfn.LET(
      _xlpm.pos, COUNTIFS($C$7:C7,"*"),
      _xlpm.val, INDEX($C$151:$AK$151, _xlpm.pos),
      IF(C230="",
         SUBSTITUTE(_xlpm.val, ", ", " &amp; "),
         IF(COUNTIF(C230,"*&amp;*"),
            _xlpm.val,
            SUBSTITUTE(_xlpm.val, ", ", " &amp; ")
         )
      )
   ),
"")</f>
        <v/>
      </c>
      <c r="E230" s="40" t="str" cm="1">
        <f t="array" ref="E230">IF(COUNTIF(D7,"*V*"),
   _xlfn.LET(
      _xlpm.pos, COUNTIFS($C$7:D7,"*"),
      _xlpm.val, INDEX($C$151:$AK$151, _xlpm.pos),
      IF(D230="",
         SUBSTITUTE(_xlpm.val, ", ", " &amp; "),
         IF(COUNTIF(D230,"*&amp;*"),
            _xlpm.val,
            SUBSTITUTE(_xlpm.val, ", ", " &amp; ")
         )
      )
   ),
"")</f>
        <v/>
      </c>
      <c r="F230" s="40" t="str" cm="1">
        <f t="array" ref="F230">IF(COUNTIF(E7,"*V*"),
   _xlfn.LET(
      _xlpm.pos, COUNTIFS($C$7:E7,"*"),
      _xlpm.val, INDEX($C$151:$AK$151, _xlpm.pos),
      IF(E230="",
         SUBSTITUTE(_xlpm.val, ", ", " &amp; "),
         IF(COUNTIF(E230,"*&amp;*"),
            _xlpm.val,
            SUBSTITUTE(_xlpm.val, ", ", " &amp; ")
         )
      )
   ),
"")</f>
        <v/>
      </c>
      <c r="G230" s="40" t="str" cm="1">
        <f t="array" ref="G230">IF(COUNTIF(F7,"*V*"),
   _xlfn.LET(
      _xlpm.pos, COUNTIFS($C$7:F7,"*"),
      _xlpm.val, INDEX($C$151:$AK$151, _xlpm.pos),
      IF(F230="",
         SUBSTITUTE(_xlpm.val, ", ", " &amp; "),
         IF(COUNTIF(F230,"*&amp;*"),
            _xlpm.val,
            SUBSTITUTE(_xlpm.val, ", ", " &amp; ")
         )
      )
   ),
"")</f>
        <v/>
      </c>
      <c r="H230" s="40" t="str" cm="1">
        <f t="array" ref="H230">IF(COUNTIF(G7,"*V*"),
   _xlfn.LET(
      _xlpm.pos, COUNTIFS($C$7:G7,"*"),
      _xlpm.val, INDEX($C$151:$AK$151, _xlpm.pos),
      IF(G230="",
         SUBSTITUTE(_xlpm.val, ", ", " &amp; "),
         IF(COUNTIF(G230,"*&amp;*"),
            _xlpm.val,
            SUBSTITUTE(_xlpm.val, ", ", " &amp; ")
         )
      )
   ),
"")</f>
        <v/>
      </c>
      <c r="I230" s="40" t="str" cm="1">
        <f t="array" ref="I230">IF(COUNTIF(H7,"*V*"),
   _xlfn.LET(
      _xlpm.pos, COUNTIFS($C$7:H7,"*"),
      _xlpm.val, INDEX($C$151:$AK$151, _xlpm.pos),
      IF(H230="",
         SUBSTITUTE(_xlpm.val, ", ", " &amp; "),
         IF(COUNTIF(H230,"*&amp;*"),
            _xlpm.val,
            SUBSTITUTE(_xlpm.val, ", ", " &amp; ")
         )
      )
   ),
"")</f>
        <v/>
      </c>
      <c r="J230" s="40" t="str" cm="1">
        <f t="array" ref="J230">IF(COUNTIF(I7,"*V*"),
   _xlfn.LET(
      _xlpm.pos, COUNTIFS($C$7:I7,"*"),
      _xlpm.val, INDEX($C$151:$AK$151, _xlpm.pos),
      IF(I230="",
         SUBSTITUTE(_xlpm.val, ", ", " &amp; "),
         IF(COUNTIF(I230,"*&amp;*"),
            _xlpm.val,
            SUBSTITUTE(_xlpm.val, ", ", " &amp; ")
         )
      )
   ),
"")</f>
        <v/>
      </c>
      <c r="K230" s="40" t="str" cm="1">
        <f t="array" ref="K230">IF(COUNTIF(J7,"*V*"),
   _xlfn.LET(
      _xlpm.pos, COUNTIFS($C$7:J7,"*"),
      _xlpm.val, INDEX($C$151:$AK$151, _xlpm.pos),
      IF(J230="",
         SUBSTITUTE(_xlpm.val, ", ", " &amp; "),
         IF(COUNTIF(J230,"*&amp;*"),
            _xlpm.val,
            SUBSTITUTE(_xlpm.val, ", ", " &amp; ")
         )
      )
   ),
"")</f>
        <v/>
      </c>
      <c r="L230" s="40" t="str" cm="1">
        <f t="array" ref="L230">IF(COUNTIF(K7,"*V*"),
   _xlfn.LET(
      _xlpm.pos, COUNTIFS($C$7:K7,"*"),
      _xlpm.val, INDEX($C$151:$AK$151, _xlpm.pos),
      IF(K230="",
         SUBSTITUTE(_xlpm.val, ", ", " &amp; "),
         IF(COUNTIF(K230,"*&amp;*"),
            _xlpm.val,
            SUBSTITUTE(_xlpm.val, ", ", " &amp; ")
         )
      )
   ),
"")</f>
        <v/>
      </c>
      <c r="M230" s="40" t="str" cm="1">
        <f t="array" ref="M230">IF(COUNTIF(L7,"*V*"),
   _xlfn.LET(
      _xlpm.pos, COUNTIFS($C$7:L7,"*"),
      _xlpm.val, INDEX($C$151:$AK$151, _xlpm.pos),
      IF(L230="",
         SUBSTITUTE(_xlpm.val, ", ", " &amp; "),
         IF(COUNTIF(L230,"*&amp;*"),
            _xlpm.val,
            SUBSTITUTE(_xlpm.val, ", ", " &amp; ")
         )
      )
   ),
"")</f>
        <v/>
      </c>
      <c r="N230" s="40" t="str" cm="1">
        <f t="array" ref="N230">IF(COUNTIF(M7,"*V*"),
   _xlfn.LET(
      _xlpm.pos, COUNTIFS($C$7:M7,"*"),
      _xlpm.val, INDEX($C$151:$AK$151, _xlpm.pos),
      IF(M230="",
         SUBSTITUTE(_xlpm.val, ", ", " &amp; "),
         IF(COUNTIF(M230,"*&amp;*"),
            _xlpm.val,
            SUBSTITUTE(_xlpm.val, ", ", " &amp; ")
         )
      )
   ),
"")</f>
        <v/>
      </c>
      <c r="O230" s="40" t="str" cm="1">
        <f t="array" ref="O230">IF(COUNTIF(N7,"*V*"),
   _xlfn.LET(
      _xlpm.pos, COUNTIFS($C$7:N7,"*"),
      _xlpm.val, INDEX($C$151:$AK$151, _xlpm.pos),
      IF(N230="",
         SUBSTITUTE(_xlpm.val, ", ", " &amp; "),
         IF(COUNTIF(N230,"*&amp;*"),
            _xlpm.val,
            SUBSTITUTE(_xlpm.val, ", ", " &amp; ")
         )
      )
   ),
"")</f>
        <v/>
      </c>
      <c r="P230" s="40" t="str" cm="1">
        <f t="array" ref="P230">IF(COUNTIF(O7,"*V*"),
   _xlfn.LET(
      _xlpm.pos, COUNTIFS($C$7:O7,"*"),
      _xlpm.val, INDEX($C$151:$AK$151, _xlpm.pos),
      IF(O230="",
         SUBSTITUTE(_xlpm.val, ", ", " &amp; "),
         IF(COUNTIF(O230,"*&amp;*"),
            _xlpm.val,
            SUBSTITUTE(_xlpm.val, ", ", " &amp; ")
         )
      )
   ),
"")</f>
        <v/>
      </c>
      <c r="Q230" s="40" t="str" cm="1">
        <f t="array" ref="Q230">IF(COUNTIF(P7,"*V*"),
   _xlfn.LET(
      _xlpm.pos, COUNTIFS($C$7:P7,"*"),
      _xlpm.val, INDEX($C$151:$AK$151, _xlpm.pos),
      IF(P230="",
         SUBSTITUTE(_xlpm.val, ", ", " &amp; "),
         IF(COUNTIF(P230,"*&amp;*"),
            _xlpm.val,
            SUBSTITUTE(_xlpm.val, ", ", " &amp; ")
         )
      )
   ),
"")</f>
        <v/>
      </c>
      <c r="R230" s="40" t="str" cm="1">
        <f t="array" ref="R230">IF(COUNTIF(Q7,"*V*"),
   _xlfn.LET(
      _xlpm.pos, COUNTIFS($C$7:Q7,"*"),
      _xlpm.val, INDEX($C$151:$AK$151, _xlpm.pos),
      IF(Q230="",
         SUBSTITUTE(_xlpm.val, ", ", " &amp; "),
         IF(COUNTIF(Q230,"*&amp;*"),
            _xlpm.val,
            SUBSTITUTE(_xlpm.val, ", ", " &amp; ")
         )
      )
   ),
"")</f>
        <v/>
      </c>
      <c r="S230" s="40" t="str" cm="1">
        <f t="array" ref="S230">IF(COUNTIF(R7,"*V*"),
   _xlfn.LET(
      _xlpm.pos, COUNTIFS($C$7:R7,"*"),
      _xlpm.val, INDEX($C$151:$AK$151, _xlpm.pos),
      IF(R230="",
         SUBSTITUTE(_xlpm.val, ", ", " &amp; "),
         IF(COUNTIF(R230,"*&amp;*"),
            _xlpm.val,
            SUBSTITUTE(_xlpm.val, ", ", " &amp; ")
         )
      )
   ),
"")</f>
        <v/>
      </c>
      <c r="T230" s="40" t="str" cm="1">
        <f t="array" ref="T230">IF(COUNTIF(S7,"*V*"),
   _xlfn.LET(
      _xlpm.pos, COUNTIFS($C$7:S7,"*"),
      _xlpm.val, INDEX($C$151:$AK$151, _xlpm.pos),
      IF(S230="",
         SUBSTITUTE(_xlpm.val, ", ", " &amp; "),
         IF(COUNTIF(S230,"*&amp;*"),
            _xlpm.val,
            SUBSTITUTE(_xlpm.val, ", ", " &amp; ")
         )
      )
   ),
"")</f>
        <v/>
      </c>
      <c r="U230" s="40" t="str" cm="1">
        <f t="array" ref="U230">IF(COUNTIF(T7,"*V*"),
   _xlfn.LET(
      _xlpm.pos, COUNTIFS($C$7:T7,"*"),
      _xlpm.val, INDEX($C$151:$AK$151, _xlpm.pos),
      IF(T230="",
         SUBSTITUTE(_xlpm.val, ", ", " &amp; "),
         IF(COUNTIF(T230,"*&amp;*"),
            _xlpm.val,
            SUBSTITUTE(_xlpm.val, ", ", " &amp; ")
         )
      )
   ),
"")</f>
        <v/>
      </c>
      <c r="V230" s="40" t="str" cm="1">
        <f t="array" ref="V230">IF(COUNTIF(U7,"*V*"),
   _xlfn.LET(
      _xlpm.pos, COUNTIFS($C$7:U7,"*"),
      _xlpm.val, INDEX($C$151:$AK$151, _xlpm.pos),
      IF(U230="",
         SUBSTITUTE(_xlpm.val, ", ", " &amp; "),
         IF(COUNTIF(U230,"*&amp;*"),
            _xlpm.val,
            SUBSTITUTE(_xlpm.val, ", ", " &amp; ")
         )
      )
   ),
"")</f>
        <v/>
      </c>
      <c r="W230" s="40" t="str" cm="1">
        <f t="array" ref="W230">IF(COUNTIF(V7,"*V*"),
   _xlfn.LET(
      _xlpm.pos, COUNTIFS($C$7:V7,"*"),
      _xlpm.val, INDEX($C$151:$AK$151, _xlpm.pos),
      IF(V230="",
         SUBSTITUTE(_xlpm.val, ", ", " &amp; "),
         IF(COUNTIF(V230,"*&amp;*"),
            _xlpm.val,
            SUBSTITUTE(_xlpm.val, ", ", " &amp; ")
         )
      )
   ),
"")</f>
        <v/>
      </c>
      <c r="X230" s="40" t="str" cm="1">
        <f t="array" ref="X230">IF(COUNTIF(W7,"*V*"),
   _xlfn.LET(
      _xlpm.pos, COUNTIFS($C$7:W7,"*"),
      _xlpm.val, INDEX($C$151:$AK$151, _xlpm.pos),
      IF(W230="",
         SUBSTITUTE(_xlpm.val, ", ", " &amp; "),
         IF(COUNTIF(W230,"*&amp;*"),
            _xlpm.val,
            SUBSTITUTE(_xlpm.val, ", ", " &amp; ")
         )
      )
   ),
"")</f>
        <v/>
      </c>
      <c r="Y230" s="40" t="str" cm="1">
        <f t="array" ref="Y230">IF(COUNTIF(X7,"*V*"),
   _xlfn.LET(
      _xlpm.pos, COUNTIFS($C$7:X7,"*"),
      _xlpm.val, INDEX($C$151:$AK$151, _xlpm.pos),
      IF(X230="",
         SUBSTITUTE(_xlpm.val, ", ", " &amp; "),
         IF(COUNTIF(X230,"*&amp;*"),
            _xlpm.val,
            SUBSTITUTE(_xlpm.val, ", ", " &amp; ")
         )
      )
   ),
"")</f>
        <v/>
      </c>
      <c r="Z230" s="40" t="str" cm="1">
        <f t="array" ref="Z230">IF(COUNTIF(Y7,"*V*"),
   _xlfn.LET(
      _xlpm.pos, COUNTIFS($C$7:Y7,"*"),
      _xlpm.val, INDEX($C$151:$AK$151, _xlpm.pos),
      IF(Y230="",
         SUBSTITUTE(_xlpm.val, ", ", " &amp; "),
         IF(COUNTIF(Y230,"*&amp;*"),
            _xlpm.val,
            SUBSTITUTE(_xlpm.val, ", ", " &amp; ")
         )
      )
   ),
"")</f>
        <v/>
      </c>
      <c r="AA230" s="40" t="str" cm="1">
        <f t="array" ref="AA230">IF(COUNTIF(Z7,"*V*"),
   _xlfn.LET(
      _xlpm.pos, COUNTIFS($C$7:Z7,"*"),
      _xlpm.val, INDEX($C$151:$AK$151, _xlpm.pos),
      IF(Z230="",
         SUBSTITUTE(_xlpm.val, ", ", " &amp; "),
         IF(COUNTIF(Z230,"*&amp;*"),
            _xlpm.val,
            SUBSTITUTE(_xlpm.val, ", ", " &amp; ")
         )
      )
   ),
"")</f>
        <v/>
      </c>
      <c r="AB230" s="40" t="str" cm="1">
        <f t="array" ref="AB230">IF(COUNTIF(AA7,"*V*"),
   _xlfn.LET(
      _xlpm.pos, COUNTIFS($C$7:AA7,"*"),
      _xlpm.val, INDEX($C$151:$AK$151, _xlpm.pos),
      IF(AA230="",
         SUBSTITUTE(_xlpm.val, ", ", " &amp; "),
         IF(COUNTIF(AA230,"*&amp;*"),
            _xlpm.val,
            SUBSTITUTE(_xlpm.val, ", ", " &amp; ")
         )
      )
   ),
"")</f>
        <v/>
      </c>
      <c r="AC230" s="40" t="str" cm="1">
        <f t="array" ref="AC230">IF(COUNTIF(AB7,"*V*"),
   _xlfn.LET(
      _xlpm.pos, COUNTIFS($C$7:AB7,"*"),
      _xlpm.val, INDEX($C$151:$AK$151, _xlpm.pos),
      IF(AB230="",
         SUBSTITUTE(_xlpm.val, ", ", " &amp; "),
         IF(COUNTIF(AB230,"*&amp;*"),
            _xlpm.val,
            SUBSTITUTE(_xlpm.val, ", ", " &amp; ")
         )
      )
   ),
"")</f>
        <v/>
      </c>
      <c r="AD230" s="40" t="str" cm="1">
        <f t="array" ref="AD230">IF(COUNTIF(AC7,"*V*"),
   _xlfn.LET(
      _xlpm.pos, COUNTIFS($C$7:AC7,"*"),
      _xlpm.val, INDEX($C$151:$AK$151, _xlpm.pos),
      IF(AC230="",
         SUBSTITUTE(_xlpm.val, ", ", " &amp; "),
         IF(COUNTIF(AC230,"*&amp;*"),
            _xlpm.val,
            SUBSTITUTE(_xlpm.val, ", ", " &amp; ")
         )
      )
   ),
"")</f>
        <v/>
      </c>
      <c r="AE230" s="40" t="str" cm="1">
        <f t="array" ref="AE230">IF(COUNTIF(AD7,"*V*"),
   _xlfn.LET(
      _xlpm.pos, COUNTIFS($C$7:AD7,"*"),
      _xlpm.val, INDEX($C$151:$AK$151, _xlpm.pos),
      IF(AD230="",
         SUBSTITUTE(_xlpm.val, ", ", " &amp; "),
         IF(COUNTIF(AD230,"*&amp;*"),
            _xlpm.val,
            SUBSTITUTE(_xlpm.val, ", ", " &amp; ")
         )
      )
   ),
"")</f>
        <v/>
      </c>
      <c r="AF230" s="40" t="str" cm="1">
        <f t="array" ref="AF230">IF(COUNTIF(AE7,"*V*"),
   _xlfn.LET(
      _xlpm.pos, COUNTIFS($C$7:AE7,"*"),
      _xlpm.val, INDEX($C$151:$AK$151, _xlpm.pos),
      IF(AE230="",
         SUBSTITUTE(_xlpm.val, ", ", " &amp; "),
         IF(COUNTIF(AE230,"*&amp;*"),
            _xlpm.val,
            SUBSTITUTE(_xlpm.val, ", ", " &amp; ")
         )
      )
   ),
"")</f>
        <v/>
      </c>
      <c r="AG230" s="40" t="str" cm="1">
        <f t="array" ref="AG230">IF(COUNTIF(AF7,"*V*"),
   _xlfn.LET(
      _xlpm.pos, COUNTIFS($C$7:AF7,"*"),
      _xlpm.val, INDEX($C$151:$AK$151, _xlpm.pos),
      IF(AF230="",
         SUBSTITUTE(_xlpm.val, ", ", " &amp; "),
         IF(COUNTIF(AF230,"*&amp;*"),
            _xlpm.val,
            SUBSTITUTE(_xlpm.val, ", ", " &amp; ")
         )
      )
   ),
"")</f>
        <v/>
      </c>
      <c r="AH230" s="40" t="str" cm="1">
        <f t="array" ref="AH230">IF(COUNTIF(AG7,"*V*"),
   _xlfn.LET(
      _xlpm.pos, COUNTIFS($C$7:AG7,"*"),
      _xlpm.val, INDEX($C$151:$AK$151, _xlpm.pos),
      IF(AG230="",
         SUBSTITUTE(_xlpm.val, ", ", " &amp; "),
         IF(COUNTIF(AG230,"*&amp;*"),
            _xlpm.val,
            SUBSTITUTE(_xlpm.val, ", ", " &amp; ")
         )
      )
   ),
"")</f>
        <v/>
      </c>
      <c r="AI230" s="40" t="str" cm="1">
        <f t="array" ref="AI230">IF(COUNTIF(AH7,"*V*"),
   _xlfn.LET(
      _xlpm.pos, COUNTIFS($C$7:AH7,"*"),
      _xlpm.val, INDEX($C$151:$AK$151, _xlpm.pos),
      IF(AH230="",
         SUBSTITUTE(_xlpm.val, ", ", " &amp; "),
         IF(COUNTIF(AH230,"*&amp;*"),
            _xlpm.val,
            SUBSTITUTE(_xlpm.val, ", ", " &amp; ")
         )
      )
   ),
"")</f>
        <v/>
      </c>
      <c r="AJ230" s="40" t="str" cm="1">
        <f t="array" ref="AJ230">IF(COUNTIF(AI7,"*V*"),
   _xlfn.LET(
      _xlpm.pos, COUNTIFS($C$7:AI7,"*"),
      _xlpm.val, INDEX($C$151:$AK$151, _xlpm.pos),
      IF(AI230="",
         SUBSTITUTE(_xlpm.val, ", ", " &amp; "),
         IF(COUNTIF(AI230,"*&amp;*"),
            _xlpm.val,
            SUBSTITUTE(_xlpm.val, ", ", " &amp; ")
         )
      )
   ),
"")</f>
        <v/>
      </c>
      <c r="AK230" s="40" t="str" cm="1">
        <f t="array" ref="AK230">IF(COUNTIF(AJ7,"*V*"),
   _xlfn.LET(
      _xlpm.pos, COUNTIFS($C$7:AJ7,"*"),
      _xlpm.val, INDEX($C$151:$AK$151, _xlpm.pos),
      IF(AJ230="",
         SUBSTITUTE(_xlpm.val, ", ", " &amp; "),
         IF(COUNTIF(AJ230,"*&amp;*"),
            _xlpm.val,
            SUBSTITUTE(_xlpm.val, ", ", " &amp; ")
         )
      )
   ),
"")</f>
        <v/>
      </c>
    </row>
    <row r="231" spans="1:37" ht="15" customHeight="1" x14ac:dyDescent="0.35">
      <c r="A231" s="1196"/>
      <c r="B231" s="22">
        <v>5</v>
      </c>
      <c r="D231" s="40" t="str" cm="1">
        <f t="array" ref="D231">IF(COUNTIF(C8,"*V*"),
   _xlfn.LET(
      _xlpm.pos, COUNTIFS($C$8:C8,"*"),
      _xlpm.val, INDEX($C$152:$AK$152, _xlpm.pos),
      IF(C231="",
         SUBSTITUTE(_xlpm.val, ", ", " &amp; "),
         IF(COUNTIF(C231,"*&amp;*"),
            _xlpm.val,
            SUBSTITUTE(_xlpm.val, ", ", " &amp; ")
         )
      )
   ),
"")</f>
        <v/>
      </c>
      <c r="E231" s="40" t="str" cm="1">
        <f t="array" ref="E231">IF(COUNTIF(D8,"*V*"),
   _xlfn.LET(
      _xlpm.pos, COUNTIFS($C$8:D8,"*"),
      _xlpm.val, INDEX($C$152:$AK$152, _xlpm.pos),
      IF(D231="",
         SUBSTITUTE(_xlpm.val, ", ", " &amp; "),
         IF(COUNTIF(D231,"*&amp;*"),
            _xlpm.val,
            SUBSTITUTE(_xlpm.val, ", ", " &amp; ")
         )
      )
   ),
"")</f>
        <v/>
      </c>
      <c r="F231" s="40" t="str" cm="1">
        <f t="array" ref="F231">IF(COUNTIF(E8,"*V*"),
   _xlfn.LET(
      _xlpm.pos, COUNTIFS($C$8:E8,"*"),
      _xlpm.val, INDEX($C$152:$AK$152, _xlpm.pos),
      IF(E231="",
         SUBSTITUTE(_xlpm.val, ", ", " &amp; "),
         IF(COUNTIF(E231,"*&amp;*"),
            _xlpm.val,
            SUBSTITUTE(_xlpm.val, ", ", " &amp; ")
         )
      )
   ),
"")</f>
        <v/>
      </c>
      <c r="G231" s="40" t="str" cm="1">
        <f t="array" ref="G231">IF(COUNTIF(F8,"*V*"),
   _xlfn.LET(
      _xlpm.pos, COUNTIFS($C$8:F8,"*"),
      _xlpm.val, INDEX($C$152:$AK$152, _xlpm.pos),
      IF(F231="",
         SUBSTITUTE(_xlpm.val, ", ", " &amp; "),
         IF(COUNTIF(F231,"*&amp;*"),
            _xlpm.val,
            SUBSTITUTE(_xlpm.val, ", ", " &amp; ")
         )
      )
   ),
"")</f>
        <v/>
      </c>
      <c r="H231" s="40" t="str" cm="1">
        <f t="array" ref="H231">IF(COUNTIF(G8,"*V*"),
   _xlfn.LET(
      _xlpm.pos, COUNTIFS($C$8:G8,"*"),
      _xlpm.val, INDEX($C$152:$AK$152, _xlpm.pos),
      IF(G231="",
         SUBSTITUTE(_xlpm.val, ", ", " &amp; "),
         IF(COUNTIF(G231,"*&amp;*"),
            _xlpm.val,
            SUBSTITUTE(_xlpm.val, ", ", " &amp; ")
         )
      )
   ),
"")</f>
        <v/>
      </c>
      <c r="I231" s="40" t="str" cm="1">
        <f t="array" ref="I231">IF(COUNTIF(H8,"*V*"),
   _xlfn.LET(
      _xlpm.pos, COUNTIFS($C$8:H8,"*"),
      _xlpm.val, INDEX($C$152:$AK$152, _xlpm.pos),
      IF(H231="",
         SUBSTITUTE(_xlpm.val, ", ", " &amp; "),
         IF(COUNTIF(H231,"*&amp;*"),
            _xlpm.val,
            SUBSTITUTE(_xlpm.val, ", ", " &amp; ")
         )
      )
   ),
"")</f>
        <v/>
      </c>
      <c r="J231" s="40" t="str" cm="1">
        <f t="array" ref="J231">IF(COUNTIF(I8,"*V*"),
   _xlfn.LET(
      _xlpm.pos, COUNTIFS($C$8:I8,"*"),
      _xlpm.val, INDEX($C$152:$AK$152, _xlpm.pos),
      IF(I231="",
         SUBSTITUTE(_xlpm.val, ", ", " &amp; "),
         IF(COUNTIF(I231,"*&amp;*"),
            _xlpm.val,
            SUBSTITUTE(_xlpm.val, ", ", " &amp; ")
         )
      )
   ),
"")</f>
        <v/>
      </c>
      <c r="K231" s="40" t="str" cm="1">
        <f t="array" ref="K231">IF(COUNTIF(J8,"*V*"),
   _xlfn.LET(
      _xlpm.pos, COUNTIFS($C$8:J8,"*"),
      _xlpm.val, INDEX($C$152:$AK$152, _xlpm.pos),
      IF(J231="",
         SUBSTITUTE(_xlpm.val, ", ", " &amp; "),
         IF(COUNTIF(J231,"*&amp;*"),
            _xlpm.val,
            SUBSTITUTE(_xlpm.val, ", ", " &amp; ")
         )
      )
   ),
"")</f>
        <v/>
      </c>
      <c r="L231" s="40" t="str" cm="1">
        <f t="array" ref="L231">IF(COUNTIF(K8,"*V*"),
   _xlfn.LET(
      _xlpm.pos, COUNTIFS($C$8:K8,"*"),
      _xlpm.val, INDEX($C$152:$AK$152, _xlpm.pos),
      IF(K231="",
         SUBSTITUTE(_xlpm.val, ", ", " &amp; "),
         IF(COUNTIF(K231,"*&amp;*"),
            _xlpm.val,
            SUBSTITUTE(_xlpm.val, ", ", " &amp; ")
         )
      )
   ),
"")</f>
        <v/>
      </c>
      <c r="M231" s="40" t="str" cm="1">
        <f t="array" ref="M231">IF(COUNTIF(L8,"*V*"),
   _xlfn.LET(
      _xlpm.pos, COUNTIFS($C$8:L8,"*"),
      _xlpm.val, INDEX($C$152:$AK$152, _xlpm.pos),
      IF(L231="",
         SUBSTITUTE(_xlpm.val, ", ", " &amp; "),
         IF(COUNTIF(L231,"*&amp;*"),
            _xlpm.val,
            SUBSTITUTE(_xlpm.val, ", ", " &amp; ")
         )
      )
   ),
"")</f>
        <v/>
      </c>
      <c r="N231" s="40" t="str" cm="1">
        <f t="array" ref="N231">IF(COUNTIF(M8,"*V*"),
   _xlfn.LET(
      _xlpm.pos, COUNTIFS($C$8:M8,"*"),
      _xlpm.val, INDEX($C$152:$AK$152, _xlpm.pos),
      IF(M231="",
         SUBSTITUTE(_xlpm.val, ", ", " &amp; "),
         IF(COUNTIF(M231,"*&amp;*"),
            _xlpm.val,
            SUBSTITUTE(_xlpm.val, ", ", " &amp; ")
         )
      )
   ),
"")</f>
        <v/>
      </c>
      <c r="O231" s="40" t="str" cm="1">
        <f t="array" ref="O231">IF(COUNTIF(N8,"*V*"),
   _xlfn.LET(
      _xlpm.pos, COUNTIFS($C$8:N8,"*"),
      _xlpm.val, INDEX($C$152:$AK$152, _xlpm.pos),
      IF(N231="",
         SUBSTITUTE(_xlpm.val, ", ", " &amp; "),
         IF(COUNTIF(N231,"*&amp;*"),
            _xlpm.val,
            SUBSTITUTE(_xlpm.val, ", ", " &amp; ")
         )
      )
   ),
"")</f>
        <v/>
      </c>
      <c r="P231" s="40" t="str" cm="1">
        <f t="array" ref="P231">IF(COUNTIF(O8,"*V*"),
   _xlfn.LET(
      _xlpm.pos, COUNTIFS($C$8:O8,"*"),
      _xlpm.val, INDEX($C$152:$AK$152, _xlpm.pos),
      IF(O231="",
         SUBSTITUTE(_xlpm.val, ", ", " &amp; "),
         IF(COUNTIF(O231,"*&amp;*"),
            _xlpm.val,
            SUBSTITUTE(_xlpm.val, ", ", " &amp; ")
         )
      )
   ),
"")</f>
        <v/>
      </c>
      <c r="Q231" s="40" t="str" cm="1">
        <f t="array" ref="Q231">IF(COUNTIF(P8,"*V*"),
   _xlfn.LET(
      _xlpm.pos, COUNTIFS($C$8:P8,"*"),
      _xlpm.val, INDEX($C$152:$AK$152, _xlpm.pos),
      IF(P231="",
         SUBSTITUTE(_xlpm.val, ", ", " &amp; "),
         IF(COUNTIF(P231,"*&amp;*"),
            _xlpm.val,
            SUBSTITUTE(_xlpm.val, ", ", " &amp; ")
         )
      )
   ),
"")</f>
        <v/>
      </c>
      <c r="R231" s="40" t="str" cm="1">
        <f t="array" ref="R231">IF(COUNTIF(Q8,"*V*"),
   _xlfn.LET(
      _xlpm.pos, COUNTIFS($C$8:Q8,"*"),
      _xlpm.val, INDEX($C$152:$AK$152, _xlpm.pos),
      IF(Q231="",
         SUBSTITUTE(_xlpm.val, ", ", " &amp; "),
         IF(COUNTIF(Q231,"*&amp;*"),
            _xlpm.val,
            SUBSTITUTE(_xlpm.val, ", ", " &amp; ")
         )
      )
   ),
"")</f>
        <v/>
      </c>
      <c r="S231" s="40" t="str" cm="1">
        <f t="array" ref="S231">IF(COUNTIF(R8,"*V*"),
   _xlfn.LET(
      _xlpm.pos, COUNTIFS($C$8:R8,"*"),
      _xlpm.val, INDEX($C$152:$AK$152, _xlpm.pos),
      IF(R231="",
         SUBSTITUTE(_xlpm.val, ", ", " &amp; "),
         IF(COUNTIF(R231,"*&amp;*"),
            _xlpm.val,
            SUBSTITUTE(_xlpm.val, ", ", " &amp; ")
         )
      )
   ),
"")</f>
        <v/>
      </c>
      <c r="T231" s="40" t="str" cm="1">
        <f t="array" ref="T231">IF(COUNTIF(S8,"*V*"),
   _xlfn.LET(
      _xlpm.pos, COUNTIFS($C$8:S8,"*"),
      _xlpm.val, INDEX($C$152:$AK$152, _xlpm.pos),
      IF(S231="",
         SUBSTITUTE(_xlpm.val, ", ", " &amp; "),
         IF(COUNTIF(S231,"*&amp;*"),
            _xlpm.val,
            SUBSTITUTE(_xlpm.val, ", ", " &amp; ")
         )
      )
   ),
"")</f>
        <v/>
      </c>
      <c r="U231" s="40" t="str" cm="1">
        <f t="array" ref="U231">IF(COUNTIF(T8,"*V*"),
   _xlfn.LET(
      _xlpm.pos, COUNTIFS($C$8:T8,"*"),
      _xlpm.val, INDEX($C$152:$AK$152, _xlpm.pos),
      IF(T231="",
         SUBSTITUTE(_xlpm.val, ", ", " &amp; "),
         IF(COUNTIF(T231,"*&amp;*"),
            _xlpm.val,
            SUBSTITUTE(_xlpm.val, ", ", " &amp; ")
         )
      )
   ),
"")</f>
        <v/>
      </c>
      <c r="V231" s="40" t="str" cm="1">
        <f t="array" ref="V231">IF(COUNTIF(U8,"*V*"),
   _xlfn.LET(
      _xlpm.pos, COUNTIFS($C$8:U8,"*"),
      _xlpm.val, INDEX($C$152:$AK$152, _xlpm.pos),
      IF(U231="",
         SUBSTITUTE(_xlpm.val, ", ", " &amp; "),
         IF(COUNTIF(U231,"*&amp;*"),
            _xlpm.val,
            SUBSTITUTE(_xlpm.val, ", ", " &amp; ")
         )
      )
   ),
"")</f>
        <v/>
      </c>
      <c r="W231" s="40" t="str" cm="1">
        <f t="array" ref="W231">IF(COUNTIF(V8,"*V*"),
   _xlfn.LET(
      _xlpm.pos, COUNTIFS($C$8:V8,"*"),
      _xlpm.val, INDEX($C$152:$AK$152, _xlpm.pos),
      IF(V231="",
         SUBSTITUTE(_xlpm.val, ", ", " &amp; "),
         IF(COUNTIF(V231,"*&amp;*"),
            _xlpm.val,
            SUBSTITUTE(_xlpm.val, ", ", " &amp; ")
         )
      )
   ),
"")</f>
        <v/>
      </c>
      <c r="X231" s="40" t="str" cm="1">
        <f t="array" ref="X231">IF(COUNTIF(W8,"*V*"),
   _xlfn.LET(
      _xlpm.pos, COUNTIFS($C$8:W8,"*"),
      _xlpm.val, INDEX($C$152:$AK$152, _xlpm.pos),
      IF(W231="",
         SUBSTITUTE(_xlpm.val, ", ", " &amp; "),
         IF(COUNTIF(W231,"*&amp;*"),
            _xlpm.val,
            SUBSTITUTE(_xlpm.val, ", ", " &amp; ")
         )
      )
   ),
"")</f>
        <v/>
      </c>
      <c r="Y231" s="40" t="str" cm="1">
        <f t="array" ref="Y231">IF(COUNTIF(X8,"*V*"),
   _xlfn.LET(
      _xlpm.pos, COUNTIFS($C$8:X8,"*"),
      _xlpm.val, INDEX($C$152:$AK$152, _xlpm.pos),
      IF(X231="",
         SUBSTITUTE(_xlpm.val, ", ", " &amp; "),
         IF(COUNTIF(X231,"*&amp;*"),
            _xlpm.val,
            SUBSTITUTE(_xlpm.val, ", ", " &amp; ")
         )
      )
   ),
"")</f>
        <v/>
      </c>
      <c r="Z231" s="40" t="str" cm="1">
        <f t="array" ref="Z231">IF(COUNTIF(Y8,"*V*"),
   _xlfn.LET(
      _xlpm.pos, COUNTIFS($C$8:Y8,"*"),
      _xlpm.val, INDEX($C$152:$AK$152, _xlpm.pos),
      IF(Y231="",
         SUBSTITUTE(_xlpm.val, ", ", " &amp; "),
         IF(COUNTIF(Y231,"*&amp;*"),
            _xlpm.val,
            SUBSTITUTE(_xlpm.val, ", ", " &amp; ")
         )
      )
   ),
"")</f>
        <v/>
      </c>
      <c r="AA231" s="40" t="str" cm="1">
        <f t="array" ref="AA231">IF(COUNTIF(Z8,"*V*"),
   _xlfn.LET(
      _xlpm.pos, COUNTIFS($C$8:Z8,"*"),
      _xlpm.val, INDEX($C$152:$AK$152, _xlpm.pos),
      IF(Z231="",
         SUBSTITUTE(_xlpm.val, ", ", " &amp; "),
         IF(COUNTIF(Z231,"*&amp;*"),
            _xlpm.val,
            SUBSTITUTE(_xlpm.val, ", ", " &amp; ")
         )
      )
   ),
"")</f>
        <v/>
      </c>
      <c r="AB231" s="40" t="str" cm="1">
        <f t="array" ref="AB231">IF(COUNTIF(AA8,"*V*"),
   _xlfn.LET(
      _xlpm.pos, COUNTIFS($C$8:AA8,"*"),
      _xlpm.val, INDEX($C$152:$AK$152, _xlpm.pos),
      IF(AA231="",
         SUBSTITUTE(_xlpm.val, ", ", " &amp; "),
         IF(COUNTIF(AA231,"*&amp;*"),
            _xlpm.val,
            SUBSTITUTE(_xlpm.val, ", ", " &amp; ")
         )
      )
   ),
"")</f>
        <v/>
      </c>
      <c r="AC231" s="40" t="str" cm="1">
        <f t="array" ref="AC231">IF(COUNTIF(AB8,"*V*"),
   _xlfn.LET(
      _xlpm.pos, COUNTIFS($C$8:AB8,"*"),
      _xlpm.val, INDEX($C$152:$AK$152, _xlpm.pos),
      IF(AB231="",
         SUBSTITUTE(_xlpm.val, ", ", " &amp; "),
         IF(COUNTIF(AB231,"*&amp;*"),
            _xlpm.val,
            SUBSTITUTE(_xlpm.val, ", ", " &amp; ")
         )
      )
   ),
"")</f>
        <v/>
      </c>
      <c r="AD231" s="40" t="str" cm="1">
        <f t="array" ref="AD231">IF(COUNTIF(AC8,"*V*"),
   _xlfn.LET(
      _xlpm.pos, COUNTIFS($C$8:AC8,"*"),
      _xlpm.val, INDEX($C$152:$AK$152, _xlpm.pos),
      IF(AC231="",
         SUBSTITUTE(_xlpm.val, ", ", " &amp; "),
         IF(COUNTIF(AC231,"*&amp;*"),
            _xlpm.val,
            SUBSTITUTE(_xlpm.val, ", ", " &amp; ")
         )
      )
   ),
"")</f>
        <v/>
      </c>
      <c r="AE231" s="40" t="str" cm="1">
        <f t="array" ref="AE231">IF(COUNTIF(AD8,"*V*"),
   _xlfn.LET(
      _xlpm.pos, COUNTIFS($C$8:AD8,"*"),
      _xlpm.val, INDEX($C$152:$AK$152, _xlpm.pos),
      IF(AD231="",
         SUBSTITUTE(_xlpm.val, ", ", " &amp; "),
         IF(COUNTIF(AD231,"*&amp;*"),
            _xlpm.val,
            SUBSTITUTE(_xlpm.val, ", ", " &amp; ")
         )
      )
   ),
"")</f>
        <v/>
      </c>
      <c r="AF231" s="40" t="str" cm="1">
        <f t="array" ref="AF231">IF(COUNTIF(AE8,"*V*"),
   _xlfn.LET(
      _xlpm.pos, COUNTIFS($C$8:AE8,"*"),
      _xlpm.val, INDEX($C$152:$AK$152, _xlpm.pos),
      IF(AE231="",
         SUBSTITUTE(_xlpm.val, ", ", " &amp; "),
         IF(COUNTIF(AE231,"*&amp;*"),
            _xlpm.val,
            SUBSTITUTE(_xlpm.val, ", ", " &amp; ")
         )
      )
   ),
"")</f>
        <v/>
      </c>
      <c r="AG231" s="40" t="str" cm="1">
        <f t="array" ref="AG231">IF(COUNTIF(AF8,"*V*"),
   _xlfn.LET(
      _xlpm.pos, COUNTIFS($C$8:AF8,"*"),
      _xlpm.val, INDEX($C$152:$AK$152, _xlpm.pos),
      IF(AF231="",
         SUBSTITUTE(_xlpm.val, ", ", " &amp; "),
         IF(COUNTIF(AF231,"*&amp;*"),
            _xlpm.val,
            SUBSTITUTE(_xlpm.val, ", ", " &amp; ")
         )
      )
   ),
"")</f>
        <v/>
      </c>
      <c r="AH231" s="40" t="str" cm="1">
        <f t="array" ref="AH231">IF(COUNTIF(AG8,"*V*"),
   _xlfn.LET(
      _xlpm.pos, COUNTIFS($C$8:AG8,"*"),
      _xlpm.val, INDEX($C$152:$AK$152, _xlpm.pos),
      IF(AG231="",
         SUBSTITUTE(_xlpm.val, ", ", " &amp; "),
         IF(COUNTIF(AG231,"*&amp;*"),
            _xlpm.val,
            SUBSTITUTE(_xlpm.val, ", ", " &amp; ")
         )
      )
   ),
"")</f>
        <v/>
      </c>
      <c r="AI231" s="40" t="str" cm="1">
        <f t="array" ref="AI231">IF(COUNTIF(AH8,"*V*"),
   _xlfn.LET(
      _xlpm.pos, COUNTIFS($C$8:AH8,"*"),
      _xlpm.val, INDEX($C$152:$AK$152, _xlpm.pos),
      IF(AH231="",
         SUBSTITUTE(_xlpm.val, ", ", " &amp; "),
         IF(COUNTIF(AH231,"*&amp;*"),
            _xlpm.val,
            SUBSTITUTE(_xlpm.val, ", ", " &amp; ")
         )
      )
   ),
"")</f>
        <v/>
      </c>
      <c r="AJ231" s="40" t="str" cm="1">
        <f t="array" ref="AJ231">IF(COUNTIF(AI8,"*V*"),
   _xlfn.LET(
      _xlpm.pos, COUNTIFS($C$8:AI8,"*"),
      _xlpm.val, INDEX($C$152:$AK$152, _xlpm.pos),
      IF(AI231="",
         SUBSTITUTE(_xlpm.val, ", ", " &amp; "),
         IF(COUNTIF(AI231,"*&amp;*"),
            _xlpm.val,
            SUBSTITUTE(_xlpm.val, ", ", " &amp; ")
         )
      )
   ),
"")</f>
        <v/>
      </c>
      <c r="AK231" s="40" t="str" cm="1">
        <f t="array" ref="AK231">IF(COUNTIF(AJ8,"*V*"),
   _xlfn.LET(
      _xlpm.pos, COUNTIFS($C$8:AJ8,"*"),
      _xlpm.val, INDEX($C$152:$AK$152, _xlpm.pos),
      IF(AJ231="",
         SUBSTITUTE(_xlpm.val, ", ", " &amp; "),
         IF(COUNTIF(AJ231,"*&amp;*"),
            _xlpm.val,
            SUBSTITUTE(_xlpm.val, ", ", " &amp; ")
         )
      )
   ),
"")</f>
        <v/>
      </c>
    </row>
    <row r="232" spans="1:37" ht="15" customHeight="1" x14ac:dyDescent="0.35">
      <c r="A232" s="1196"/>
      <c r="B232" s="22">
        <v>6</v>
      </c>
      <c r="D232" s="40" t="str" cm="1">
        <f t="array" ref="D232">IF(COUNTIF(C9,"*V*"),
   _xlfn.LET(
      _xlpm.pos, COUNTIFS($C$9:C9,"*"),
      _xlpm.val, INDEX($C$153:$AK$153, _xlpm.pos),
      IF(C232="",
         SUBSTITUTE(_xlpm.val, ", ", " &amp; "),
         IF(COUNTIF(C232,"*&amp;*"),
            _xlpm.val,
            SUBSTITUTE(_xlpm.val, ", ", " &amp; ")
         )
      )
   ),
"")</f>
        <v/>
      </c>
      <c r="E232" s="40" t="str" cm="1">
        <f t="array" ref="E232">IF(COUNTIF(D9,"*V*"),
   _xlfn.LET(
      _xlpm.pos, COUNTIFS($C$9:D9,"*"),
      _xlpm.val, INDEX($C$153:$AK$153, _xlpm.pos),
      IF(D232="",
         SUBSTITUTE(_xlpm.val, ", ", " &amp; "),
         IF(COUNTIF(D232,"*&amp;*"),
            _xlpm.val,
            SUBSTITUTE(_xlpm.val, ", ", " &amp; ")
         )
      )
   ),
"")</f>
        <v/>
      </c>
      <c r="F232" s="40" t="str" cm="1">
        <f t="array" ref="F232">IF(COUNTIF(E9,"*V*"),
   _xlfn.LET(
      _xlpm.pos, COUNTIFS($C$9:E9,"*"),
      _xlpm.val, INDEX($C$153:$AK$153, _xlpm.pos),
      IF(E232="",
         SUBSTITUTE(_xlpm.val, ", ", " &amp; "),
         IF(COUNTIF(E232,"*&amp;*"),
            _xlpm.val,
            SUBSTITUTE(_xlpm.val, ", ", " &amp; ")
         )
      )
   ),
"")</f>
        <v/>
      </c>
      <c r="G232" s="40" t="str" cm="1">
        <f t="array" ref="G232">IF(COUNTIF(F9,"*V*"),
   _xlfn.LET(
      _xlpm.pos, COUNTIFS($C$9:F9,"*"),
      _xlpm.val, INDEX($C$153:$AK$153, _xlpm.pos),
      IF(F232="",
         SUBSTITUTE(_xlpm.val, ", ", " &amp; "),
         IF(COUNTIF(F232,"*&amp;*"),
            _xlpm.val,
            SUBSTITUTE(_xlpm.val, ", ", " &amp; ")
         )
      )
   ),
"")</f>
        <v/>
      </c>
      <c r="H232" s="40" t="str" cm="1">
        <f t="array" ref="H232">IF(COUNTIF(G9,"*V*"),
   _xlfn.LET(
      _xlpm.pos, COUNTIFS($C$9:G9,"*"),
      _xlpm.val, INDEX($C$153:$AK$153, _xlpm.pos),
      IF(G232="",
         SUBSTITUTE(_xlpm.val, ", ", " &amp; "),
         IF(COUNTIF(G232,"*&amp;*"),
            _xlpm.val,
            SUBSTITUTE(_xlpm.val, ", ", " &amp; ")
         )
      )
   ),
"")</f>
        <v/>
      </c>
      <c r="I232" s="40" t="str" cm="1">
        <f t="array" ref="I232">IF(COUNTIF(H9,"*V*"),
   _xlfn.LET(
      _xlpm.pos, COUNTIFS($C$9:H9,"*"),
      _xlpm.val, INDEX($C$153:$AK$153, _xlpm.pos),
      IF(H232="",
         SUBSTITUTE(_xlpm.val, ", ", " &amp; "),
         IF(COUNTIF(H232,"*&amp;*"),
            _xlpm.val,
            SUBSTITUTE(_xlpm.val, ", ", " &amp; ")
         )
      )
   ),
"")</f>
        <v/>
      </c>
      <c r="J232" s="40" t="str" cm="1">
        <f t="array" ref="J232">IF(COUNTIF(I9,"*V*"),
   _xlfn.LET(
      _xlpm.pos, COUNTIFS($C$9:I9,"*"),
      _xlpm.val, INDEX($C$153:$AK$153, _xlpm.pos),
      IF(I232="",
         SUBSTITUTE(_xlpm.val, ", ", " &amp; "),
         IF(COUNTIF(I232,"*&amp;*"),
            _xlpm.val,
            SUBSTITUTE(_xlpm.val, ", ", " &amp; ")
         )
      )
   ),
"")</f>
        <v/>
      </c>
      <c r="K232" s="40" t="str" cm="1">
        <f t="array" ref="K232">IF(COUNTIF(J9,"*V*"),
   _xlfn.LET(
      _xlpm.pos, COUNTIFS($C$9:J9,"*"),
      _xlpm.val, INDEX($C$153:$AK$153, _xlpm.pos),
      IF(J232="",
         SUBSTITUTE(_xlpm.val, ", ", " &amp; "),
         IF(COUNTIF(J232,"*&amp;*"),
            _xlpm.val,
            SUBSTITUTE(_xlpm.val, ", ", " &amp; ")
         )
      )
   ),
"")</f>
        <v/>
      </c>
      <c r="L232" s="40" t="str" cm="1">
        <f t="array" ref="L232">IF(COUNTIF(K9,"*V*"),
   _xlfn.LET(
      _xlpm.pos, COUNTIFS($C$9:K9,"*"),
      _xlpm.val, INDEX($C$153:$AK$153, _xlpm.pos),
      IF(K232="",
         SUBSTITUTE(_xlpm.val, ", ", " &amp; "),
         IF(COUNTIF(K232,"*&amp;*"),
            _xlpm.val,
            SUBSTITUTE(_xlpm.val, ", ", " &amp; ")
         )
      )
   ),
"")</f>
        <v/>
      </c>
      <c r="M232" s="40" t="str" cm="1">
        <f t="array" ref="M232">IF(COUNTIF(L9,"*V*"),
   _xlfn.LET(
      _xlpm.pos, COUNTIFS($C$9:L9,"*"),
      _xlpm.val, INDEX($C$153:$AK$153, _xlpm.pos),
      IF(L232="",
         SUBSTITUTE(_xlpm.val, ", ", " &amp; "),
         IF(COUNTIF(L232,"*&amp;*"),
            _xlpm.val,
            SUBSTITUTE(_xlpm.val, ", ", " &amp; ")
         )
      )
   ),
"")</f>
        <v/>
      </c>
      <c r="N232" s="40" t="str" cm="1">
        <f t="array" ref="N232">IF(COUNTIF(M9,"*V*"),
   _xlfn.LET(
      _xlpm.pos, COUNTIFS($C$9:M9,"*"),
      _xlpm.val, INDEX($C$153:$AK$153, _xlpm.pos),
      IF(M232="",
         SUBSTITUTE(_xlpm.val, ", ", " &amp; "),
         IF(COUNTIF(M232,"*&amp;*"),
            _xlpm.val,
            SUBSTITUTE(_xlpm.val, ", ", " &amp; ")
         )
      )
   ),
"")</f>
        <v/>
      </c>
      <c r="O232" s="40" t="str" cm="1">
        <f t="array" ref="O232">IF(COUNTIF(N9,"*V*"),
   _xlfn.LET(
      _xlpm.pos, COUNTIFS($C$9:N9,"*"),
      _xlpm.val, INDEX($C$153:$AK$153, _xlpm.pos),
      IF(N232="",
         SUBSTITUTE(_xlpm.val, ", ", " &amp; "),
         IF(COUNTIF(N232,"*&amp;*"),
            _xlpm.val,
            SUBSTITUTE(_xlpm.val, ", ", " &amp; ")
         )
      )
   ),
"")</f>
        <v/>
      </c>
      <c r="P232" s="40" t="str" cm="1">
        <f t="array" ref="P232">IF(COUNTIF(O9,"*V*"),
   _xlfn.LET(
      _xlpm.pos, COUNTIFS($C$9:O9,"*"),
      _xlpm.val, INDEX($C$153:$AK$153, _xlpm.pos),
      IF(O232="",
         SUBSTITUTE(_xlpm.val, ", ", " &amp; "),
         IF(COUNTIF(O232,"*&amp;*"),
            _xlpm.val,
            SUBSTITUTE(_xlpm.val, ", ", " &amp; ")
         )
      )
   ),
"")</f>
        <v/>
      </c>
      <c r="Q232" s="40" t="str" cm="1">
        <f t="array" ref="Q232">IF(COUNTIF(P9,"*V*"),
   _xlfn.LET(
      _xlpm.pos, COUNTIFS($C$9:P9,"*"),
      _xlpm.val, INDEX($C$153:$AK$153, _xlpm.pos),
      IF(P232="",
         SUBSTITUTE(_xlpm.val, ", ", " &amp; "),
         IF(COUNTIF(P232,"*&amp;*"),
            _xlpm.val,
            SUBSTITUTE(_xlpm.val, ", ", " &amp; ")
         )
      )
   ),
"")</f>
        <v/>
      </c>
      <c r="R232" s="40" t="str" cm="1">
        <f t="array" ref="R232">IF(COUNTIF(Q9,"*V*"),
   _xlfn.LET(
      _xlpm.pos, COUNTIFS($C$9:Q9,"*"),
      _xlpm.val, INDEX($C$153:$AK$153, _xlpm.pos),
      IF(Q232="",
         SUBSTITUTE(_xlpm.val, ", ", " &amp; "),
         IF(COUNTIF(Q232,"*&amp;*"),
            _xlpm.val,
            SUBSTITUTE(_xlpm.val, ", ", " &amp; ")
         )
      )
   ),
"")</f>
        <v/>
      </c>
      <c r="S232" s="40" t="str" cm="1">
        <f t="array" ref="S232">IF(COUNTIF(R9,"*V*"),
   _xlfn.LET(
      _xlpm.pos, COUNTIFS($C$9:R9,"*"),
      _xlpm.val, INDEX($C$153:$AK$153, _xlpm.pos),
      IF(R232="",
         SUBSTITUTE(_xlpm.val, ", ", " &amp; "),
         IF(COUNTIF(R232,"*&amp;*"),
            _xlpm.val,
            SUBSTITUTE(_xlpm.val, ", ", " &amp; ")
         )
      )
   ),
"")</f>
        <v/>
      </c>
      <c r="T232" s="40" t="str" cm="1">
        <f t="array" ref="T232">IF(COUNTIF(S9,"*V*"),
   _xlfn.LET(
      _xlpm.pos, COUNTIFS($C$9:S9,"*"),
      _xlpm.val, INDEX($C$153:$AK$153, _xlpm.pos),
      IF(S232="",
         SUBSTITUTE(_xlpm.val, ", ", " &amp; "),
         IF(COUNTIF(S232,"*&amp;*"),
            _xlpm.val,
            SUBSTITUTE(_xlpm.val, ", ", " &amp; ")
         )
      )
   ),
"")</f>
        <v/>
      </c>
      <c r="U232" s="40" t="str" cm="1">
        <f t="array" ref="U232">IF(COUNTIF(T9,"*V*"),
   _xlfn.LET(
      _xlpm.pos, COUNTIFS($C$9:T9,"*"),
      _xlpm.val, INDEX($C$153:$AK$153, _xlpm.pos),
      IF(T232="",
         SUBSTITUTE(_xlpm.val, ", ", " &amp; "),
         IF(COUNTIF(T232,"*&amp;*"),
            _xlpm.val,
            SUBSTITUTE(_xlpm.val, ", ", " &amp; ")
         )
      )
   ),
"")</f>
        <v/>
      </c>
      <c r="V232" s="40" t="str" cm="1">
        <f t="array" ref="V232">IF(COUNTIF(U9,"*V*"),
   _xlfn.LET(
      _xlpm.pos, COUNTIFS($C$9:U9,"*"),
      _xlpm.val, INDEX($C$153:$AK$153, _xlpm.pos),
      IF(U232="",
         SUBSTITUTE(_xlpm.val, ", ", " &amp; "),
         IF(COUNTIF(U232,"*&amp;*"),
            _xlpm.val,
            SUBSTITUTE(_xlpm.val, ", ", " &amp; ")
         )
      )
   ),
"")</f>
        <v/>
      </c>
      <c r="W232" s="40" t="str" cm="1">
        <f t="array" ref="W232">IF(COUNTIF(V9,"*V*"),
   _xlfn.LET(
      _xlpm.pos, COUNTIFS($C$9:V9,"*"),
      _xlpm.val, INDEX($C$153:$AK$153, _xlpm.pos),
      IF(V232="",
         SUBSTITUTE(_xlpm.val, ", ", " &amp; "),
         IF(COUNTIF(V232,"*&amp;*"),
            _xlpm.val,
            SUBSTITUTE(_xlpm.val, ", ", " &amp; ")
         )
      )
   ),
"")</f>
        <v/>
      </c>
      <c r="X232" s="40" t="str" cm="1">
        <f t="array" ref="X232">IF(COUNTIF(W9,"*V*"),
   _xlfn.LET(
      _xlpm.pos, COUNTIFS($C$9:W9,"*"),
      _xlpm.val, INDEX($C$153:$AK$153, _xlpm.pos),
      IF(W232="",
         SUBSTITUTE(_xlpm.val, ", ", " &amp; "),
         IF(COUNTIF(W232,"*&amp;*"),
            _xlpm.val,
            SUBSTITUTE(_xlpm.val, ", ", " &amp; ")
         )
      )
   ),
"")</f>
        <v/>
      </c>
      <c r="Y232" s="40" t="str" cm="1">
        <f t="array" ref="Y232">IF(COUNTIF(X9,"*V*"),
   _xlfn.LET(
      _xlpm.pos, COUNTIFS($C$9:X9,"*"),
      _xlpm.val, INDEX($C$153:$AK$153, _xlpm.pos),
      IF(X232="",
         SUBSTITUTE(_xlpm.val, ", ", " &amp; "),
         IF(COUNTIF(X232,"*&amp;*"),
            _xlpm.val,
            SUBSTITUTE(_xlpm.val, ", ", " &amp; ")
         )
      )
   ),
"")</f>
        <v/>
      </c>
      <c r="Z232" s="40" t="str" cm="1">
        <f t="array" ref="Z232">IF(COUNTIF(Y9,"*V*"),
   _xlfn.LET(
      _xlpm.pos, COUNTIFS($C$9:Y9,"*"),
      _xlpm.val, INDEX($C$153:$AK$153, _xlpm.pos),
      IF(Y232="",
         SUBSTITUTE(_xlpm.val, ", ", " &amp; "),
         IF(COUNTIF(Y232,"*&amp;*"),
            _xlpm.val,
            SUBSTITUTE(_xlpm.val, ", ", " &amp; ")
         )
      )
   ),
"")</f>
        <v/>
      </c>
      <c r="AA232" s="40" t="str" cm="1">
        <f t="array" ref="AA232">IF(COUNTIF(Z9,"*V*"),
   _xlfn.LET(
      _xlpm.pos, COUNTIFS($C$9:Z9,"*"),
      _xlpm.val, INDEX($C$153:$AK$153, _xlpm.pos),
      IF(Z232="",
         SUBSTITUTE(_xlpm.val, ", ", " &amp; "),
         IF(COUNTIF(Z232,"*&amp;*"),
            _xlpm.val,
            SUBSTITUTE(_xlpm.val, ", ", " &amp; ")
         )
      )
   ),
"")</f>
        <v/>
      </c>
      <c r="AB232" s="40" t="str" cm="1">
        <f t="array" ref="AB232">IF(COUNTIF(AA9,"*V*"),
   _xlfn.LET(
      _xlpm.pos, COUNTIFS($C$9:AA9,"*"),
      _xlpm.val, INDEX($C$153:$AK$153, _xlpm.pos),
      IF(AA232="",
         SUBSTITUTE(_xlpm.val, ", ", " &amp; "),
         IF(COUNTIF(AA232,"*&amp;*"),
            _xlpm.val,
            SUBSTITUTE(_xlpm.val, ", ", " &amp; ")
         )
      )
   ),
"")</f>
        <v/>
      </c>
      <c r="AC232" s="40" t="str" cm="1">
        <f t="array" ref="AC232">IF(COUNTIF(AB9,"*V*"),
   _xlfn.LET(
      _xlpm.pos, COUNTIFS($C$9:AB9,"*"),
      _xlpm.val, INDEX($C$153:$AK$153, _xlpm.pos),
      IF(AB232="",
         SUBSTITUTE(_xlpm.val, ", ", " &amp; "),
         IF(COUNTIF(AB232,"*&amp;*"),
            _xlpm.val,
            SUBSTITUTE(_xlpm.val, ", ", " &amp; ")
         )
      )
   ),
"")</f>
        <v/>
      </c>
      <c r="AD232" s="40" t="str" cm="1">
        <f t="array" ref="AD232">IF(COUNTIF(AC9,"*V*"),
   _xlfn.LET(
      _xlpm.pos, COUNTIFS($C$9:AC9,"*"),
      _xlpm.val, INDEX($C$153:$AK$153, _xlpm.pos),
      IF(AC232="",
         SUBSTITUTE(_xlpm.val, ", ", " &amp; "),
         IF(COUNTIF(AC232,"*&amp;*"),
            _xlpm.val,
            SUBSTITUTE(_xlpm.val, ", ", " &amp; ")
         )
      )
   ),
"")</f>
        <v/>
      </c>
      <c r="AE232" s="40" t="str" cm="1">
        <f t="array" ref="AE232">IF(COUNTIF(AD9,"*V*"),
   _xlfn.LET(
      _xlpm.pos, COUNTIFS($C$9:AD9,"*"),
      _xlpm.val, INDEX($C$153:$AK$153, _xlpm.pos),
      IF(AD232="",
         SUBSTITUTE(_xlpm.val, ", ", " &amp; "),
         IF(COUNTIF(AD232,"*&amp;*"),
            _xlpm.val,
            SUBSTITUTE(_xlpm.val, ", ", " &amp; ")
         )
      )
   ),
"")</f>
        <v/>
      </c>
      <c r="AF232" s="40" t="str" cm="1">
        <f t="array" ref="AF232">IF(COUNTIF(AE9,"*V*"),
   _xlfn.LET(
      _xlpm.pos, COUNTIFS($C$9:AE9,"*"),
      _xlpm.val, INDEX($C$153:$AK$153, _xlpm.pos),
      IF(AE232="",
         SUBSTITUTE(_xlpm.val, ", ", " &amp; "),
         IF(COUNTIF(AE232,"*&amp;*"),
            _xlpm.val,
            SUBSTITUTE(_xlpm.val, ", ", " &amp; ")
         )
      )
   ),
"")</f>
        <v/>
      </c>
      <c r="AG232" s="40" t="str" cm="1">
        <f t="array" ref="AG232">IF(COUNTIF(AF9,"*V*"),
   _xlfn.LET(
      _xlpm.pos, COUNTIFS($C$9:AF9,"*"),
      _xlpm.val, INDEX($C$153:$AK$153, _xlpm.pos),
      IF(AF232="",
         SUBSTITUTE(_xlpm.val, ", ", " &amp; "),
         IF(COUNTIF(AF232,"*&amp;*"),
            _xlpm.val,
            SUBSTITUTE(_xlpm.val, ", ", " &amp; ")
         )
      )
   ),
"")</f>
        <v/>
      </c>
      <c r="AH232" s="40" t="str" cm="1">
        <f t="array" ref="AH232">IF(COUNTIF(AG9,"*V*"),
   _xlfn.LET(
      _xlpm.pos, COUNTIFS($C$9:AG9,"*"),
      _xlpm.val, INDEX($C$153:$AK$153, _xlpm.pos),
      IF(AG232="",
         SUBSTITUTE(_xlpm.val, ", ", " &amp; "),
         IF(COUNTIF(AG232,"*&amp;*"),
            _xlpm.val,
            SUBSTITUTE(_xlpm.val, ", ", " &amp; ")
         )
      )
   ),
"")</f>
        <v/>
      </c>
      <c r="AI232" s="40" t="str" cm="1">
        <f t="array" ref="AI232">IF(COUNTIF(AH9,"*V*"),
   _xlfn.LET(
      _xlpm.pos, COUNTIFS($C$9:AH9,"*"),
      _xlpm.val, INDEX($C$153:$AK$153, _xlpm.pos),
      IF(AH232="",
         SUBSTITUTE(_xlpm.val, ", ", " &amp; "),
         IF(COUNTIF(AH232,"*&amp;*"),
            _xlpm.val,
            SUBSTITUTE(_xlpm.val, ", ", " &amp; ")
         )
      )
   ),
"")</f>
        <v/>
      </c>
      <c r="AJ232" s="40" t="str" cm="1">
        <f t="array" ref="AJ232">IF(COUNTIF(AI9,"*V*"),
   _xlfn.LET(
      _xlpm.pos, COUNTIFS($C$9:AI9,"*"),
      _xlpm.val, INDEX($C$153:$AK$153, _xlpm.pos),
      IF(AI232="",
         SUBSTITUTE(_xlpm.val, ", ", " &amp; "),
         IF(COUNTIF(AI232,"*&amp;*"),
            _xlpm.val,
            SUBSTITUTE(_xlpm.val, ", ", " &amp; ")
         )
      )
   ),
"")</f>
        <v/>
      </c>
      <c r="AK232" s="40" t="str" cm="1">
        <f t="array" ref="AK232">IF(COUNTIF(AJ9,"*V*"),
   _xlfn.LET(
      _xlpm.pos, COUNTIFS($C$9:AJ9,"*"),
      _xlpm.val, INDEX($C$153:$AK$153, _xlpm.pos),
      IF(AJ232="",
         SUBSTITUTE(_xlpm.val, ", ", " &amp; "),
         IF(COUNTIF(AJ232,"*&amp;*"),
            _xlpm.val,
            SUBSTITUTE(_xlpm.val, ", ", " &amp; ")
         )
      )
   ),
"")</f>
        <v/>
      </c>
    </row>
    <row r="233" spans="1:37" ht="15" customHeight="1" x14ac:dyDescent="0.35">
      <c r="A233" s="1196"/>
      <c r="B233" s="22">
        <v>7</v>
      </c>
      <c r="D233" s="40" t="str" cm="1">
        <f t="array" ref="D233">IF(COUNTIF(C10,"*V*"),
   _xlfn.LET(
      _xlpm.pos, COUNTIFS($C$10:C10,"*"),
      _xlpm.val, INDEX($C$154:$AK$154, _xlpm.pos),
      IF(C233="",
         SUBSTITUTE(_xlpm.val, ", ", " &amp; "),
         IF(COUNTIF(C233,"*&amp;*"),
            _xlpm.val,
            SUBSTITUTE(_xlpm.val, ", ", " &amp; ")
         )
      )
   ),
"")</f>
        <v/>
      </c>
      <c r="E233" s="40" t="str" cm="1">
        <f t="array" ref="E233">IF(COUNTIF(D10,"*V*"),
   _xlfn.LET(
      _xlpm.pos, COUNTIFS($C$10:D10,"*"),
      _xlpm.val, INDEX($C$154:$AK$154, _xlpm.pos),
      IF(D233="",
         SUBSTITUTE(_xlpm.val, ", ", " &amp; "),
         IF(COUNTIF(D233,"*&amp;*"),
            _xlpm.val,
            SUBSTITUTE(_xlpm.val, ", ", " &amp; ")
         )
      )
   ),
"")</f>
        <v/>
      </c>
      <c r="F233" s="40" t="str" cm="1">
        <f t="array" ref="F233">IF(COUNTIF(E10,"*V*"),
   _xlfn.LET(
      _xlpm.pos, COUNTIFS($C$10:E10,"*"),
      _xlpm.val, INDEX($C$154:$AK$154, _xlpm.pos),
      IF(E233="",
         SUBSTITUTE(_xlpm.val, ", ", " &amp; "),
         IF(COUNTIF(E233,"*&amp;*"),
            _xlpm.val,
            SUBSTITUTE(_xlpm.val, ", ", " &amp; ")
         )
      )
   ),
"")</f>
        <v/>
      </c>
      <c r="G233" s="40" t="str" cm="1">
        <f t="array" ref="G233">IF(COUNTIF(F10,"*V*"),
   _xlfn.LET(
      _xlpm.pos, COUNTIFS($C$10:F10,"*"),
      _xlpm.val, INDEX($C$154:$AK$154, _xlpm.pos),
      IF(F233="",
         SUBSTITUTE(_xlpm.val, ", ", " &amp; "),
         IF(COUNTIF(F233,"*&amp;*"),
            _xlpm.val,
            SUBSTITUTE(_xlpm.val, ", ", " &amp; ")
         )
      )
   ),
"")</f>
        <v/>
      </c>
      <c r="H233" s="40" t="str" cm="1">
        <f t="array" ref="H233">IF(COUNTIF(G10,"*V*"),
   _xlfn.LET(
      _xlpm.pos, COUNTIFS($C$10:G10,"*"),
      _xlpm.val, INDEX($C$154:$AK$154, _xlpm.pos),
      IF(G233="",
         SUBSTITUTE(_xlpm.val, ", ", " &amp; "),
         IF(COUNTIF(G233,"*&amp;*"),
            _xlpm.val,
            SUBSTITUTE(_xlpm.val, ", ", " &amp; ")
         )
      )
   ),
"")</f>
        <v/>
      </c>
      <c r="I233" s="40" t="str" cm="1">
        <f t="array" ref="I233">IF(COUNTIF(H10,"*V*"),
   _xlfn.LET(
      _xlpm.pos, COUNTIFS($C$10:H10,"*"),
      _xlpm.val, INDEX($C$154:$AK$154, _xlpm.pos),
      IF(H233="",
         SUBSTITUTE(_xlpm.val, ", ", " &amp; "),
         IF(COUNTIF(H233,"*&amp;*"),
            _xlpm.val,
            SUBSTITUTE(_xlpm.val, ", ", " &amp; ")
         )
      )
   ),
"")</f>
        <v/>
      </c>
      <c r="J233" s="40" t="str" cm="1">
        <f t="array" ref="J233">IF(COUNTIF(I10,"*V*"),
   _xlfn.LET(
      _xlpm.pos, COUNTIFS($C$10:I10,"*"),
      _xlpm.val, INDEX($C$154:$AK$154, _xlpm.pos),
      IF(I233="",
         SUBSTITUTE(_xlpm.val, ", ", " &amp; "),
         IF(COUNTIF(I233,"*&amp;*"),
            _xlpm.val,
            SUBSTITUTE(_xlpm.val, ", ", " &amp; ")
         )
      )
   ),
"")</f>
        <v/>
      </c>
      <c r="K233" s="40" t="str" cm="1">
        <f t="array" ref="K233">IF(COUNTIF(J10,"*V*"),
   _xlfn.LET(
      _xlpm.pos, COUNTIFS($C$10:J10,"*"),
      _xlpm.val, INDEX($C$154:$AK$154, _xlpm.pos),
      IF(J233="",
         SUBSTITUTE(_xlpm.val, ", ", " &amp; "),
         IF(COUNTIF(J233,"*&amp;*"),
            _xlpm.val,
            SUBSTITUTE(_xlpm.val, ", ", " &amp; ")
         )
      )
   ),
"")</f>
        <v/>
      </c>
      <c r="L233" s="40" t="str" cm="1">
        <f t="array" ref="L233">IF(COUNTIF(K10,"*V*"),
   _xlfn.LET(
      _xlpm.pos, COUNTIFS($C$10:K10,"*"),
      _xlpm.val, INDEX($C$154:$AK$154, _xlpm.pos),
      IF(K233="",
         SUBSTITUTE(_xlpm.val, ", ", " &amp; "),
         IF(COUNTIF(K233,"*&amp;*"),
            _xlpm.val,
            SUBSTITUTE(_xlpm.val, ", ", " &amp; ")
         )
      )
   ),
"")</f>
        <v/>
      </c>
      <c r="M233" s="40" t="str" cm="1">
        <f t="array" ref="M233">IF(COUNTIF(L10,"*V*"),
   _xlfn.LET(
      _xlpm.pos, COUNTIFS($C$10:L10,"*"),
      _xlpm.val, INDEX($C$154:$AK$154, _xlpm.pos),
      IF(L233="",
         SUBSTITUTE(_xlpm.val, ", ", " &amp; "),
         IF(COUNTIF(L233,"*&amp;*"),
            _xlpm.val,
            SUBSTITUTE(_xlpm.val, ", ", " &amp; ")
         )
      )
   ),
"")</f>
        <v/>
      </c>
      <c r="N233" s="40" t="str" cm="1">
        <f t="array" ref="N233">IF(COUNTIF(M10,"*V*"),
   _xlfn.LET(
      _xlpm.pos, COUNTIFS($C$10:M10,"*"),
      _xlpm.val, INDEX($C$154:$AK$154, _xlpm.pos),
      IF(M233="",
         SUBSTITUTE(_xlpm.val, ", ", " &amp; "),
         IF(COUNTIF(M233,"*&amp;*"),
            _xlpm.val,
            SUBSTITUTE(_xlpm.val, ", ", " &amp; ")
         )
      )
   ),
"")</f>
        <v/>
      </c>
      <c r="O233" s="40" t="str" cm="1">
        <f t="array" ref="O233">IF(COUNTIF(N10,"*V*"),
   _xlfn.LET(
      _xlpm.pos, COUNTIFS($C$10:N10,"*"),
      _xlpm.val, INDEX($C$154:$AK$154, _xlpm.pos),
      IF(N233="",
         SUBSTITUTE(_xlpm.val, ", ", " &amp; "),
         IF(COUNTIF(N233,"*&amp;*"),
            _xlpm.val,
            SUBSTITUTE(_xlpm.val, ", ", " &amp; ")
         )
      )
   ),
"")</f>
        <v/>
      </c>
      <c r="P233" s="40" t="str" cm="1">
        <f t="array" ref="P233">IF(COUNTIF(O10,"*V*"),
   _xlfn.LET(
      _xlpm.pos, COUNTIFS($C$10:O10,"*"),
      _xlpm.val, INDEX($C$154:$AK$154, _xlpm.pos),
      IF(O233="",
         SUBSTITUTE(_xlpm.val, ", ", " &amp; "),
         IF(COUNTIF(O233,"*&amp;*"),
            _xlpm.val,
            SUBSTITUTE(_xlpm.val, ", ", " &amp; ")
         )
      )
   ),
"")</f>
        <v/>
      </c>
      <c r="Q233" s="40" t="str" cm="1">
        <f t="array" ref="Q233">IF(COUNTIF(P10,"*V*"),
   _xlfn.LET(
      _xlpm.pos, COUNTIFS($C$10:P10,"*"),
      _xlpm.val, INDEX($C$154:$AK$154, _xlpm.pos),
      IF(P233="",
         SUBSTITUTE(_xlpm.val, ", ", " &amp; "),
         IF(COUNTIF(P233,"*&amp;*"),
            _xlpm.val,
            SUBSTITUTE(_xlpm.val, ", ", " &amp; ")
         )
      )
   ),
"")</f>
        <v/>
      </c>
      <c r="R233" s="40" t="str" cm="1">
        <f t="array" ref="R233">IF(COUNTIF(Q10,"*V*"),
   _xlfn.LET(
      _xlpm.pos, COUNTIFS($C$10:Q10,"*"),
      _xlpm.val, INDEX($C$154:$AK$154, _xlpm.pos),
      IF(Q233="",
         SUBSTITUTE(_xlpm.val, ", ", " &amp; "),
         IF(COUNTIF(Q233,"*&amp;*"),
            _xlpm.val,
            SUBSTITUTE(_xlpm.val, ", ", " &amp; ")
         )
      )
   ),
"")</f>
        <v/>
      </c>
      <c r="S233" s="40" t="str" cm="1">
        <f t="array" ref="S233">IF(COUNTIF(R10,"*V*"),
   _xlfn.LET(
      _xlpm.pos, COUNTIFS($C$10:R10,"*"),
      _xlpm.val, INDEX($C$154:$AK$154, _xlpm.pos),
      IF(R233="",
         SUBSTITUTE(_xlpm.val, ", ", " &amp; "),
         IF(COUNTIF(R233,"*&amp;*"),
            _xlpm.val,
            SUBSTITUTE(_xlpm.val, ", ", " &amp; ")
         )
      )
   ),
"")</f>
        <v/>
      </c>
      <c r="T233" s="40" t="str" cm="1">
        <f t="array" ref="T233">IF(COUNTIF(S10,"*V*"),
   _xlfn.LET(
      _xlpm.pos, COUNTIFS($C$10:S10,"*"),
      _xlpm.val, INDEX($C$154:$AK$154, _xlpm.pos),
      IF(S233="",
         SUBSTITUTE(_xlpm.val, ", ", " &amp; "),
         IF(COUNTIF(S233,"*&amp;*"),
            _xlpm.val,
            SUBSTITUTE(_xlpm.val, ", ", " &amp; ")
         )
      )
   ),
"")</f>
        <v/>
      </c>
      <c r="U233" s="40" t="str" cm="1">
        <f t="array" ref="U233">IF(COUNTIF(T10,"*V*"),
   _xlfn.LET(
      _xlpm.pos, COUNTIFS($C$10:T10,"*"),
      _xlpm.val, INDEX($C$154:$AK$154, _xlpm.pos),
      IF(T233="",
         SUBSTITUTE(_xlpm.val, ", ", " &amp; "),
         IF(COUNTIF(T233,"*&amp;*"),
            _xlpm.val,
            SUBSTITUTE(_xlpm.val, ", ", " &amp; ")
         )
      )
   ),
"")</f>
        <v/>
      </c>
      <c r="V233" s="40" t="str" cm="1">
        <f t="array" ref="V233">IF(COUNTIF(U10,"*V*"),
   _xlfn.LET(
      _xlpm.pos, COUNTIFS($C$10:U10,"*"),
      _xlpm.val, INDEX($C$154:$AK$154, _xlpm.pos),
      IF(U233="",
         SUBSTITUTE(_xlpm.val, ", ", " &amp; "),
         IF(COUNTIF(U233,"*&amp;*"),
            _xlpm.val,
            SUBSTITUTE(_xlpm.val, ", ", " &amp; ")
         )
      )
   ),
"")</f>
        <v/>
      </c>
      <c r="W233" s="40" t="str" cm="1">
        <f t="array" ref="W233">IF(COUNTIF(V10,"*V*"),
   _xlfn.LET(
      _xlpm.pos, COUNTIFS($C$10:V10,"*"),
      _xlpm.val, INDEX($C$154:$AK$154, _xlpm.pos),
      IF(V233="",
         SUBSTITUTE(_xlpm.val, ", ", " &amp; "),
         IF(COUNTIF(V233,"*&amp;*"),
            _xlpm.val,
            SUBSTITUTE(_xlpm.val, ", ", " &amp; ")
         )
      )
   ),
"")</f>
        <v/>
      </c>
      <c r="X233" s="40" t="str" cm="1">
        <f t="array" ref="X233">IF(COUNTIF(W10,"*V*"),
   _xlfn.LET(
      _xlpm.pos, COUNTIFS($C$10:W10,"*"),
      _xlpm.val, INDEX($C$154:$AK$154, _xlpm.pos),
      IF(W233="",
         SUBSTITUTE(_xlpm.val, ", ", " &amp; "),
         IF(COUNTIF(W233,"*&amp;*"),
            _xlpm.val,
            SUBSTITUTE(_xlpm.val, ", ", " &amp; ")
         )
      )
   ),
"")</f>
        <v/>
      </c>
      <c r="Y233" s="40" t="str" cm="1">
        <f t="array" ref="Y233">IF(COUNTIF(X10,"*V*"),
   _xlfn.LET(
      _xlpm.pos, COUNTIFS($C$10:X10,"*"),
      _xlpm.val, INDEX($C$154:$AK$154, _xlpm.pos),
      IF(X233="",
         SUBSTITUTE(_xlpm.val, ", ", " &amp; "),
         IF(COUNTIF(X233,"*&amp;*"),
            _xlpm.val,
            SUBSTITUTE(_xlpm.val, ", ", " &amp; ")
         )
      )
   ),
"")</f>
        <v/>
      </c>
      <c r="Z233" s="40" t="str" cm="1">
        <f t="array" ref="Z233">IF(COUNTIF(Y10,"*V*"),
   _xlfn.LET(
      _xlpm.pos, COUNTIFS($C$10:Y10,"*"),
      _xlpm.val, INDEX($C$154:$AK$154, _xlpm.pos),
      IF(Y233="",
         SUBSTITUTE(_xlpm.val, ", ", " &amp; "),
         IF(COUNTIF(Y233,"*&amp;*"),
            _xlpm.val,
            SUBSTITUTE(_xlpm.val, ", ", " &amp; ")
         )
      )
   ),
"")</f>
        <v/>
      </c>
      <c r="AA233" s="40" t="str" cm="1">
        <f t="array" ref="AA233">IF(COUNTIF(Z10,"*V*"),
   _xlfn.LET(
      _xlpm.pos, COUNTIFS($C$10:Z10,"*"),
      _xlpm.val, INDEX($C$154:$AK$154, _xlpm.pos),
      IF(Z233="",
         SUBSTITUTE(_xlpm.val, ", ", " &amp; "),
         IF(COUNTIF(Z233,"*&amp;*"),
            _xlpm.val,
            SUBSTITUTE(_xlpm.val, ", ", " &amp; ")
         )
      )
   ),
"")</f>
        <v/>
      </c>
      <c r="AB233" s="40" t="str" cm="1">
        <f t="array" ref="AB233">IF(COUNTIF(AA10,"*V*"),
   _xlfn.LET(
      _xlpm.pos, COUNTIFS($C$10:AA10,"*"),
      _xlpm.val, INDEX($C$154:$AK$154, _xlpm.pos),
      IF(AA233="",
         SUBSTITUTE(_xlpm.val, ", ", " &amp; "),
         IF(COUNTIF(AA233,"*&amp;*"),
            _xlpm.val,
            SUBSTITUTE(_xlpm.val, ", ", " &amp; ")
         )
      )
   ),
"")</f>
        <v/>
      </c>
      <c r="AC233" s="40" t="str" cm="1">
        <f t="array" ref="AC233">IF(COUNTIF(AB10,"*V*"),
   _xlfn.LET(
      _xlpm.pos, COUNTIFS($C$10:AB10,"*"),
      _xlpm.val, INDEX($C$154:$AK$154, _xlpm.pos),
      IF(AB233="",
         SUBSTITUTE(_xlpm.val, ", ", " &amp; "),
         IF(COUNTIF(AB233,"*&amp;*"),
            _xlpm.val,
            SUBSTITUTE(_xlpm.val, ", ", " &amp; ")
         )
      )
   ),
"")</f>
        <v/>
      </c>
      <c r="AD233" s="40" t="str" cm="1">
        <f t="array" ref="AD233">IF(COUNTIF(AC10,"*V*"),
   _xlfn.LET(
      _xlpm.pos, COUNTIFS($C$10:AC10,"*"),
      _xlpm.val, INDEX($C$154:$AK$154, _xlpm.pos),
      IF(AC233="",
         SUBSTITUTE(_xlpm.val, ", ", " &amp; "),
         IF(COUNTIF(AC233,"*&amp;*"),
            _xlpm.val,
            SUBSTITUTE(_xlpm.val, ", ", " &amp; ")
         )
      )
   ),
"")</f>
        <v/>
      </c>
      <c r="AE233" s="40" t="str" cm="1">
        <f t="array" ref="AE233">IF(COUNTIF(AD10,"*V*"),
   _xlfn.LET(
      _xlpm.pos, COUNTIFS($C$10:AD10,"*"),
      _xlpm.val, INDEX($C$154:$AK$154, _xlpm.pos),
      IF(AD233="",
         SUBSTITUTE(_xlpm.val, ", ", " &amp; "),
         IF(COUNTIF(AD233,"*&amp;*"),
            _xlpm.val,
            SUBSTITUTE(_xlpm.val, ", ", " &amp; ")
         )
      )
   ),
"")</f>
        <v/>
      </c>
      <c r="AF233" s="40" t="str" cm="1">
        <f t="array" ref="AF233">IF(COUNTIF(AE10,"*V*"),
   _xlfn.LET(
      _xlpm.pos, COUNTIFS($C$10:AE10,"*"),
      _xlpm.val, INDEX($C$154:$AK$154, _xlpm.pos),
      IF(AE233="",
         SUBSTITUTE(_xlpm.val, ", ", " &amp; "),
         IF(COUNTIF(AE233,"*&amp;*"),
            _xlpm.val,
            SUBSTITUTE(_xlpm.val, ", ", " &amp; ")
         )
      )
   ),
"")</f>
        <v/>
      </c>
      <c r="AG233" s="40" t="str" cm="1">
        <f t="array" ref="AG233">IF(COUNTIF(AF10,"*V*"),
   _xlfn.LET(
      _xlpm.pos, COUNTIFS($C$10:AF10,"*"),
      _xlpm.val, INDEX($C$154:$AK$154, _xlpm.pos),
      IF(AF233="",
         SUBSTITUTE(_xlpm.val, ", ", " &amp; "),
         IF(COUNTIF(AF233,"*&amp;*"),
            _xlpm.val,
            SUBSTITUTE(_xlpm.val, ", ", " &amp; ")
         )
      )
   ),
"")</f>
        <v/>
      </c>
      <c r="AH233" s="40" t="str" cm="1">
        <f t="array" ref="AH233">IF(COUNTIF(AG10,"*V*"),
   _xlfn.LET(
      _xlpm.pos, COUNTIFS($C$10:AG10,"*"),
      _xlpm.val, INDEX($C$154:$AK$154, _xlpm.pos),
      IF(AG233="",
         SUBSTITUTE(_xlpm.val, ", ", " &amp; "),
         IF(COUNTIF(AG233,"*&amp;*"),
            _xlpm.val,
            SUBSTITUTE(_xlpm.val, ", ", " &amp; ")
         )
      )
   ),
"")</f>
        <v/>
      </c>
      <c r="AI233" s="40" t="str" cm="1">
        <f t="array" ref="AI233">IF(COUNTIF(AH10,"*V*"),
   _xlfn.LET(
      _xlpm.pos, COUNTIFS($C$10:AH10,"*"),
      _xlpm.val, INDEX($C$154:$AK$154, _xlpm.pos),
      IF(AH233="",
         SUBSTITUTE(_xlpm.val, ", ", " &amp; "),
         IF(COUNTIF(AH233,"*&amp;*"),
            _xlpm.val,
            SUBSTITUTE(_xlpm.val, ", ", " &amp; ")
         )
      )
   ),
"")</f>
        <v/>
      </c>
      <c r="AJ233" s="40" t="str" cm="1">
        <f t="array" ref="AJ233">IF(COUNTIF(AI10,"*V*"),
   _xlfn.LET(
      _xlpm.pos, COUNTIFS($C$10:AI10,"*"),
      _xlpm.val, INDEX($C$154:$AK$154, _xlpm.pos),
      IF(AI233="",
         SUBSTITUTE(_xlpm.val, ", ", " &amp; "),
         IF(COUNTIF(AI233,"*&amp;*"),
            _xlpm.val,
            SUBSTITUTE(_xlpm.val, ", ", " &amp; ")
         )
      )
   ),
"")</f>
        <v/>
      </c>
      <c r="AK233" s="40" t="str" cm="1">
        <f t="array" ref="AK233">IF(COUNTIF(AJ10,"*V*"),
   _xlfn.LET(
      _xlpm.pos, COUNTIFS($C$10:AJ10,"*"),
      _xlpm.val, INDEX($C$154:$AK$154, _xlpm.pos),
      IF(AJ233="",
         SUBSTITUTE(_xlpm.val, ", ", " &amp; "),
         IF(COUNTIF(AJ233,"*&amp;*"),
            _xlpm.val,
            SUBSTITUTE(_xlpm.val, ", ", " &amp; ")
         )
      )
   ),
"")</f>
        <v/>
      </c>
    </row>
    <row r="234" spans="1:37" ht="10" customHeight="1" x14ac:dyDescent="0.35">
      <c r="A234" s="1196"/>
      <c r="B234" s="22">
        <v>8</v>
      </c>
      <c r="D234" s="40" t="str" cm="1">
        <f t="array" ref="D234">IF(COUNTIF(C11,"*V*"),
   _xlfn.LET(
      _xlpm.pos, COUNTIFS($C$11:C11,"*"),
      _xlpm.val, INDEX($C$155:$AK$155, _xlpm.pos),
      IF(C234="",
         SUBSTITUTE(_xlpm.val, ", ", " &amp; "),
         IF(COUNTIF(C234,"*&amp;*"),
            _xlpm.val,
            SUBSTITUTE(_xlpm.val, ", ", " &amp; ")
         )
      )
   ),
"")</f>
        <v/>
      </c>
      <c r="E234" s="40" t="str" cm="1">
        <f t="array" ref="E234">IF(COUNTIF(D11,"*V*"),
   _xlfn.LET(
      _xlpm.pos, COUNTIFS($C$11:D11,"*"),
      _xlpm.val, INDEX($C$155:$AK$155, _xlpm.pos),
      IF(D234="",
         SUBSTITUTE(_xlpm.val, ", ", " &amp; "),
         IF(COUNTIF(D234,"*&amp;*"),
            _xlpm.val,
            SUBSTITUTE(_xlpm.val, ", ", " &amp; ")
         )
      )
   ),
"")</f>
        <v/>
      </c>
      <c r="F234" s="40" t="str" cm="1">
        <f t="array" ref="F234">IF(COUNTIF(E11,"*V*"),
   _xlfn.LET(
      _xlpm.pos, COUNTIFS($C$11:E11,"*"),
      _xlpm.val, INDEX($C$155:$AK$155, _xlpm.pos),
      IF(E234="",
         SUBSTITUTE(_xlpm.val, ", ", " &amp; "),
         IF(COUNTIF(E234,"*&amp;*"),
            _xlpm.val,
            SUBSTITUTE(_xlpm.val, ", ", " &amp; ")
         )
      )
   ),
"")</f>
        <v/>
      </c>
      <c r="G234" s="40" t="str" cm="1">
        <f t="array" ref="G234">IF(COUNTIF(F11,"*V*"),
   _xlfn.LET(
      _xlpm.pos, COUNTIFS($C$11:F11,"*"),
      _xlpm.val, INDEX($C$155:$AK$155, _xlpm.pos),
      IF(F234="",
         SUBSTITUTE(_xlpm.val, ", ", " &amp; "),
         IF(COUNTIF(F234,"*&amp;*"),
            _xlpm.val,
            SUBSTITUTE(_xlpm.val, ", ", " &amp; ")
         )
      )
   ),
"")</f>
        <v/>
      </c>
      <c r="H234" s="40" t="str" cm="1">
        <f t="array" ref="H234">IF(COUNTIF(G11,"*V*"),
   _xlfn.LET(
      _xlpm.pos, COUNTIFS($C$11:G11,"*"),
      _xlpm.val, INDEX($C$155:$AK$155, _xlpm.pos),
      IF(G234="",
         SUBSTITUTE(_xlpm.val, ", ", " &amp; "),
         IF(COUNTIF(G234,"*&amp;*"),
            _xlpm.val,
            SUBSTITUTE(_xlpm.val, ", ", " &amp; ")
         )
      )
   ),
"")</f>
        <v/>
      </c>
      <c r="I234" s="40" t="str" cm="1">
        <f t="array" ref="I234">IF(COUNTIF(H11,"*V*"),
   _xlfn.LET(
      _xlpm.pos, COUNTIFS($C$11:H11,"*"),
      _xlpm.val, INDEX($C$155:$AK$155, _xlpm.pos),
      IF(H234="",
         SUBSTITUTE(_xlpm.val, ", ", " &amp; "),
         IF(COUNTIF(H234,"*&amp;*"),
            _xlpm.val,
            SUBSTITUTE(_xlpm.val, ", ", " &amp; ")
         )
      )
   ),
"")</f>
        <v/>
      </c>
      <c r="J234" s="40" t="str" cm="1">
        <f t="array" ref="J234">IF(COUNTIF(I11,"*V*"),
   _xlfn.LET(
      _xlpm.pos, COUNTIFS($C$11:I11,"*"),
      _xlpm.val, INDEX($C$155:$AK$155, _xlpm.pos),
      IF(I234="",
         SUBSTITUTE(_xlpm.val, ", ", " &amp; "),
         IF(COUNTIF(I234,"*&amp;*"),
            _xlpm.val,
            SUBSTITUTE(_xlpm.val, ", ", " &amp; ")
         )
      )
   ),
"")</f>
        <v/>
      </c>
      <c r="K234" s="40" t="str" cm="1">
        <f t="array" ref="K234">IF(COUNTIF(J11,"*V*"),
   _xlfn.LET(
      _xlpm.pos, COUNTIFS($C$11:J11,"*"),
      _xlpm.val, INDEX($C$155:$AK$155, _xlpm.pos),
      IF(J234="",
         SUBSTITUTE(_xlpm.val, ", ", " &amp; "),
         IF(COUNTIF(J234,"*&amp;*"),
            _xlpm.val,
            SUBSTITUTE(_xlpm.val, ", ", " &amp; ")
         )
      )
   ),
"")</f>
        <v/>
      </c>
      <c r="L234" s="40" t="str" cm="1">
        <f t="array" ref="L234">IF(COUNTIF(K11,"*V*"),
   _xlfn.LET(
      _xlpm.pos, COUNTIFS($C$11:K11,"*"),
      _xlpm.val, INDEX($C$155:$AK$155, _xlpm.pos),
      IF(K234="",
         SUBSTITUTE(_xlpm.val, ", ", " &amp; "),
         IF(COUNTIF(K234,"*&amp;*"),
            _xlpm.val,
            SUBSTITUTE(_xlpm.val, ", ", " &amp; ")
         )
      )
   ),
"")</f>
        <v/>
      </c>
      <c r="M234" s="40" t="str" cm="1">
        <f t="array" ref="M234">IF(COUNTIF(L11,"*V*"),
   _xlfn.LET(
      _xlpm.pos, COUNTIFS($C$11:L11,"*"),
      _xlpm.val, INDEX($C$155:$AK$155, _xlpm.pos),
      IF(L234="",
         SUBSTITUTE(_xlpm.val, ", ", " &amp; "),
         IF(COUNTIF(L234,"*&amp;*"),
            _xlpm.val,
            SUBSTITUTE(_xlpm.val, ", ", " &amp; ")
         )
      )
   ),
"")</f>
        <v/>
      </c>
      <c r="N234" s="40" t="str" cm="1">
        <f t="array" ref="N234">IF(COUNTIF(M11,"*V*"),
   _xlfn.LET(
      _xlpm.pos, COUNTIFS($C$11:M11,"*"),
      _xlpm.val, INDEX($C$155:$AK$155, _xlpm.pos),
      IF(M234="",
         SUBSTITUTE(_xlpm.val, ", ", " &amp; "),
         IF(COUNTIF(M234,"*&amp;*"),
            _xlpm.val,
            SUBSTITUTE(_xlpm.val, ", ", " &amp; ")
         )
      )
   ),
"")</f>
        <v/>
      </c>
      <c r="O234" s="40" t="str" cm="1">
        <f t="array" ref="O234">IF(COUNTIF(N11,"*V*"),
   _xlfn.LET(
      _xlpm.pos, COUNTIFS($C$11:N11,"*"),
      _xlpm.val, INDEX($C$155:$AK$155, _xlpm.pos),
      IF(N234="",
         SUBSTITUTE(_xlpm.val, ", ", " &amp; "),
         IF(COUNTIF(N234,"*&amp;*"),
            _xlpm.val,
            SUBSTITUTE(_xlpm.val, ", ", " &amp; ")
         )
      )
   ),
"")</f>
        <v/>
      </c>
      <c r="P234" s="40" t="str" cm="1">
        <f t="array" ref="P234">IF(COUNTIF(O11,"*V*"),
   _xlfn.LET(
      _xlpm.pos, COUNTIFS($C$11:O11,"*"),
      _xlpm.val, INDEX($C$155:$AK$155, _xlpm.pos),
      IF(O234="",
         SUBSTITUTE(_xlpm.val, ", ", " &amp; "),
         IF(COUNTIF(O234,"*&amp;*"),
            _xlpm.val,
            SUBSTITUTE(_xlpm.val, ", ", " &amp; ")
         )
      )
   ),
"")</f>
        <v/>
      </c>
      <c r="Q234" s="40" t="str" cm="1">
        <f t="array" ref="Q234">IF(COUNTIF(P11,"*V*"),
   _xlfn.LET(
      _xlpm.pos, COUNTIFS($C$11:P11,"*"),
      _xlpm.val, INDEX($C$155:$AK$155, _xlpm.pos),
      IF(P234="",
         SUBSTITUTE(_xlpm.val, ", ", " &amp; "),
         IF(COUNTIF(P234,"*&amp;*"),
            _xlpm.val,
            SUBSTITUTE(_xlpm.val, ", ", " &amp; ")
         )
      )
   ),
"")</f>
        <v/>
      </c>
      <c r="R234" s="40" t="str" cm="1">
        <f t="array" ref="R234">IF(COUNTIF(Q11,"*V*"),
   _xlfn.LET(
      _xlpm.pos, COUNTIFS($C$11:Q11,"*"),
      _xlpm.val, INDEX($C$155:$AK$155, _xlpm.pos),
      IF(Q234="",
         SUBSTITUTE(_xlpm.val, ", ", " &amp; "),
         IF(COUNTIF(Q234,"*&amp;*"),
            _xlpm.val,
            SUBSTITUTE(_xlpm.val, ", ", " &amp; ")
         )
      )
   ),
"")</f>
        <v/>
      </c>
      <c r="S234" s="40" t="str" cm="1">
        <f t="array" ref="S234">IF(COUNTIF(R11,"*V*"),
   _xlfn.LET(
      _xlpm.pos, COUNTIFS($C$11:R11,"*"),
      _xlpm.val, INDEX($C$155:$AK$155, _xlpm.pos),
      IF(R234="",
         SUBSTITUTE(_xlpm.val, ", ", " &amp; "),
         IF(COUNTIF(R234,"*&amp;*"),
            _xlpm.val,
            SUBSTITUTE(_xlpm.val, ", ", " &amp; ")
         )
      )
   ),
"")</f>
        <v/>
      </c>
      <c r="T234" s="40" t="str" cm="1">
        <f t="array" ref="T234">IF(COUNTIF(S11,"*V*"),
   _xlfn.LET(
      _xlpm.pos, COUNTIFS($C$11:S11,"*"),
      _xlpm.val, INDEX($C$155:$AK$155, _xlpm.pos),
      IF(S234="",
         SUBSTITUTE(_xlpm.val, ", ", " &amp; "),
         IF(COUNTIF(S234,"*&amp;*"),
            _xlpm.val,
            SUBSTITUTE(_xlpm.val, ", ", " &amp; ")
         )
      )
   ),
"")</f>
        <v/>
      </c>
      <c r="U234" s="40" t="str" cm="1">
        <f t="array" ref="U234">IF(COUNTIF(T11,"*V*"),
   _xlfn.LET(
      _xlpm.pos, COUNTIFS($C$11:T11,"*"),
      _xlpm.val, INDEX($C$155:$AK$155, _xlpm.pos),
      IF(T234="",
         SUBSTITUTE(_xlpm.val, ", ", " &amp; "),
         IF(COUNTIF(T234,"*&amp;*"),
            _xlpm.val,
            SUBSTITUTE(_xlpm.val, ", ", " &amp; ")
         )
      )
   ),
"")</f>
        <v/>
      </c>
      <c r="V234" s="40" t="str" cm="1">
        <f t="array" ref="V234">IF(COUNTIF(U11,"*V*"),
   _xlfn.LET(
      _xlpm.pos, COUNTIFS($C$11:U11,"*"),
      _xlpm.val, INDEX($C$155:$AK$155, _xlpm.pos),
      IF(U234="",
         SUBSTITUTE(_xlpm.val, ", ", " &amp; "),
         IF(COUNTIF(U234,"*&amp;*"),
            _xlpm.val,
            SUBSTITUTE(_xlpm.val, ", ", " &amp; ")
         )
      )
   ),
"")</f>
        <v/>
      </c>
      <c r="W234" s="40" t="str" cm="1">
        <f t="array" ref="W234">IF(COUNTIF(V11,"*V*"),
   _xlfn.LET(
      _xlpm.pos, COUNTIFS($C$11:V11,"*"),
      _xlpm.val, INDEX($C$155:$AK$155, _xlpm.pos),
      IF(V234="",
         SUBSTITUTE(_xlpm.val, ", ", " &amp; "),
         IF(COUNTIF(V234,"*&amp;*"),
            _xlpm.val,
            SUBSTITUTE(_xlpm.val, ", ", " &amp; ")
         )
      )
   ),
"")</f>
        <v/>
      </c>
      <c r="X234" s="40" t="str" cm="1">
        <f t="array" ref="X234">IF(COUNTIF(W11,"*V*"),
   _xlfn.LET(
      _xlpm.pos, COUNTIFS($C$11:W11,"*"),
      _xlpm.val, INDEX($C$155:$AK$155, _xlpm.pos),
      IF(W234="",
         SUBSTITUTE(_xlpm.val, ", ", " &amp; "),
         IF(COUNTIF(W234,"*&amp;*"),
            _xlpm.val,
            SUBSTITUTE(_xlpm.val, ", ", " &amp; ")
         )
      )
   ),
"")</f>
        <v/>
      </c>
      <c r="Y234" s="40" t="str" cm="1">
        <f t="array" ref="Y234">IF(COUNTIF(X11,"*V*"),
   _xlfn.LET(
      _xlpm.pos, COUNTIFS($C$11:X11,"*"),
      _xlpm.val, INDEX($C$155:$AK$155, _xlpm.pos),
      IF(X234="",
         SUBSTITUTE(_xlpm.val, ", ", " &amp; "),
         IF(COUNTIF(X234,"*&amp;*"),
            _xlpm.val,
            SUBSTITUTE(_xlpm.val, ", ", " &amp; ")
         )
      )
   ),
"")</f>
        <v/>
      </c>
      <c r="Z234" s="40" t="str" cm="1">
        <f t="array" ref="Z234">IF(COUNTIF(Y11,"*V*"),
   _xlfn.LET(
      _xlpm.pos, COUNTIFS($C$11:Y11,"*"),
      _xlpm.val, INDEX($C$155:$AK$155, _xlpm.pos),
      IF(Y234="",
         SUBSTITUTE(_xlpm.val, ", ", " &amp; "),
         IF(COUNTIF(Y234,"*&amp;*"),
            _xlpm.val,
            SUBSTITUTE(_xlpm.val, ", ", " &amp; ")
         )
      )
   ),
"")</f>
        <v/>
      </c>
      <c r="AA234" s="40" t="str" cm="1">
        <f t="array" ref="AA234">IF(COUNTIF(Z11,"*V*"),
   _xlfn.LET(
      _xlpm.pos, COUNTIFS($C$11:Z11,"*"),
      _xlpm.val, INDEX($C$155:$AK$155, _xlpm.pos),
      IF(Z234="",
         SUBSTITUTE(_xlpm.val, ", ", " &amp; "),
         IF(COUNTIF(Z234,"*&amp;*"),
            _xlpm.val,
            SUBSTITUTE(_xlpm.val, ", ", " &amp; ")
         )
      )
   ),
"")</f>
        <v/>
      </c>
      <c r="AB234" s="40" t="str" cm="1">
        <f t="array" ref="AB234">IF(COUNTIF(AA11,"*V*"),
   _xlfn.LET(
      _xlpm.pos, COUNTIFS($C$11:AA11,"*"),
      _xlpm.val, INDEX($C$155:$AK$155, _xlpm.pos),
      IF(AA234="",
         SUBSTITUTE(_xlpm.val, ", ", " &amp; "),
         IF(COUNTIF(AA234,"*&amp;*"),
            _xlpm.val,
            SUBSTITUTE(_xlpm.val, ", ", " &amp; ")
         )
      )
   ),
"")</f>
        <v/>
      </c>
      <c r="AC234" s="40" t="str" cm="1">
        <f t="array" ref="AC234">IF(COUNTIF(AB11,"*V*"),
   _xlfn.LET(
      _xlpm.pos, COUNTIFS($C$11:AB11,"*"),
      _xlpm.val, INDEX($C$155:$AK$155, _xlpm.pos),
      IF(AB234="",
         SUBSTITUTE(_xlpm.val, ", ", " &amp; "),
         IF(COUNTIF(AB234,"*&amp;*"),
            _xlpm.val,
            SUBSTITUTE(_xlpm.val, ", ", " &amp; ")
         )
      )
   ),
"")</f>
        <v/>
      </c>
      <c r="AD234" s="40" t="str" cm="1">
        <f t="array" ref="AD234">IF(COUNTIF(AC11,"*V*"),
   _xlfn.LET(
      _xlpm.pos, COUNTIFS($C$11:AC11,"*"),
      _xlpm.val, INDEX($C$155:$AK$155, _xlpm.pos),
      IF(AC234="",
         SUBSTITUTE(_xlpm.val, ", ", " &amp; "),
         IF(COUNTIF(AC234,"*&amp;*"),
            _xlpm.val,
            SUBSTITUTE(_xlpm.val, ", ", " &amp; ")
         )
      )
   ),
"")</f>
        <v/>
      </c>
      <c r="AE234" s="40" t="str" cm="1">
        <f t="array" ref="AE234">IF(COUNTIF(AD11,"*V*"),
   _xlfn.LET(
      _xlpm.pos, COUNTIFS($C$11:AD11,"*"),
      _xlpm.val, INDEX($C$155:$AK$155, _xlpm.pos),
      IF(AD234="",
         SUBSTITUTE(_xlpm.val, ", ", " &amp; "),
         IF(COUNTIF(AD234,"*&amp;*"),
            _xlpm.val,
            SUBSTITUTE(_xlpm.val, ", ", " &amp; ")
         )
      )
   ),
"")</f>
        <v/>
      </c>
      <c r="AF234" s="40" t="str" cm="1">
        <f t="array" ref="AF234">IF(COUNTIF(AE11,"*V*"),
   _xlfn.LET(
      _xlpm.pos, COUNTIFS($C$11:AE11,"*"),
      _xlpm.val, INDEX($C$155:$AK$155, _xlpm.pos),
      IF(AE234="",
         SUBSTITUTE(_xlpm.val, ", ", " &amp; "),
         IF(COUNTIF(AE234,"*&amp;*"),
            _xlpm.val,
            SUBSTITUTE(_xlpm.val, ", ", " &amp; ")
         )
      )
   ),
"")</f>
        <v/>
      </c>
      <c r="AG234" s="40" t="str" cm="1">
        <f t="array" ref="AG234">IF(COUNTIF(AF11,"*V*"),
   _xlfn.LET(
      _xlpm.pos, COUNTIFS($C$11:AF11,"*"),
      _xlpm.val, INDEX($C$155:$AK$155, _xlpm.pos),
      IF(AF234="",
         SUBSTITUTE(_xlpm.val, ", ", " &amp; "),
         IF(COUNTIF(AF234,"*&amp;*"),
            _xlpm.val,
            SUBSTITUTE(_xlpm.val, ", ", " &amp; ")
         )
      )
   ),
"")</f>
        <v/>
      </c>
      <c r="AH234" s="40" t="str" cm="1">
        <f t="array" ref="AH234">IF(COUNTIF(AG11,"*V*"),
   _xlfn.LET(
      _xlpm.pos, COUNTIFS($C$11:AG11,"*"),
      _xlpm.val, INDEX($C$155:$AK$155, _xlpm.pos),
      IF(AG234="",
         SUBSTITUTE(_xlpm.val, ", ", " &amp; "),
         IF(COUNTIF(AG234,"*&amp;*"),
            _xlpm.val,
            SUBSTITUTE(_xlpm.val, ", ", " &amp; ")
         )
      )
   ),
"")</f>
        <v/>
      </c>
      <c r="AI234" s="40" t="str" cm="1">
        <f t="array" ref="AI234">IF(COUNTIF(AH11,"*V*"),
   _xlfn.LET(
      _xlpm.pos, COUNTIFS($C$11:AH11,"*"),
      _xlpm.val, INDEX($C$155:$AK$155, _xlpm.pos),
      IF(AH234="",
         SUBSTITUTE(_xlpm.val, ", ", " &amp; "),
         IF(COUNTIF(AH234,"*&amp;*"),
            _xlpm.val,
            SUBSTITUTE(_xlpm.val, ", ", " &amp; ")
         )
      )
   ),
"")</f>
        <v/>
      </c>
      <c r="AJ234" s="40" t="str" cm="1">
        <f t="array" ref="AJ234">IF(COUNTIF(AI11,"*V*"),
   _xlfn.LET(
      _xlpm.pos, COUNTIFS($C$11:AI11,"*"),
      _xlpm.val, INDEX($C$155:$AK$155, _xlpm.pos),
      IF(AI234="",
         SUBSTITUTE(_xlpm.val, ", ", " &amp; "),
         IF(COUNTIF(AI234,"*&amp;*"),
            _xlpm.val,
            SUBSTITUTE(_xlpm.val, ", ", " &amp; ")
         )
      )
   ),
"")</f>
        <v/>
      </c>
      <c r="AK234" s="40" t="str" cm="1">
        <f t="array" ref="AK234">IF(COUNTIF(AJ11,"*V*"),
   _xlfn.LET(
      _xlpm.pos, COUNTIFS($C$11:AJ11,"*"),
      _xlpm.val, INDEX($C$155:$AK$155, _xlpm.pos),
      IF(AJ234="",
         SUBSTITUTE(_xlpm.val, ", ", " &amp; "),
         IF(COUNTIF(AJ234,"*&amp;*"),
            _xlpm.val,
            SUBSTITUTE(_xlpm.val, ", ", " &amp; ")
         )
      )
   ),
"")</f>
        <v/>
      </c>
    </row>
    <row r="235" spans="1:37" ht="15" customHeight="1" x14ac:dyDescent="0.35">
      <c r="A235" s="1196"/>
      <c r="B235" s="22">
        <v>9</v>
      </c>
      <c r="D235" s="40" t="str" cm="1">
        <f t="array" ref="D235">IF(COUNTIF(C12,"*V*"),
   _xlfn.LET(
      _xlpm.pos, COUNTIFS($C$12:C12,"*"),
      _xlpm.val, INDEX($C$156:$AK$156, _xlpm.pos),
      IF(C235="",
         SUBSTITUTE(_xlpm.val, ", ", " &amp; "),
         IF(COUNTIF(C235,"*&amp;*"),
            _xlpm.val,
            SUBSTITUTE(_xlpm.val, ", ", " &amp; ")
         )
      )
   ),
"")</f>
        <v/>
      </c>
      <c r="E235" s="40" t="str" cm="1">
        <f t="array" ref="E235">IF(COUNTIF(D12,"*V*"),
   _xlfn.LET(
      _xlpm.pos, COUNTIFS($C$12:D12,"*"),
      _xlpm.val, INDEX($C$156:$AK$156, _xlpm.pos),
      IF(D235="",
         SUBSTITUTE(_xlpm.val, ", ", " &amp; "),
         IF(COUNTIF(D235,"*&amp;*"),
            _xlpm.val,
            SUBSTITUTE(_xlpm.val, ", ", " &amp; ")
         )
      )
   ),
"")</f>
        <v/>
      </c>
      <c r="F235" s="40" t="str" cm="1">
        <f t="array" ref="F235">IF(COUNTIF(E12,"*V*"),
   _xlfn.LET(
      _xlpm.pos, COUNTIFS($C$12:E12,"*"),
      _xlpm.val, INDEX($C$156:$AK$156, _xlpm.pos),
      IF(E235="",
         SUBSTITUTE(_xlpm.val, ", ", " &amp; "),
         IF(COUNTIF(E235,"*&amp;*"),
            _xlpm.val,
            SUBSTITUTE(_xlpm.val, ", ", " &amp; ")
         )
      )
   ),
"")</f>
        <v/>
      </c>
      <c r="G235" s="40" t="str" cm="1">
        <f t="array" ref="G235">IF(COUNTIF(F12,"*V*"),
   _xlfn.LET(
      _xlpm.pos, COUNTIFS($C$12:F12,"*"),
      _xlpm.val, INDEX($C$156:$AK$156, _xlpm.pos),
      IF(F235="",
         SUBSTITUTE(_xlpm.val, ", ", " &amp; "),
         IF(COUNTIF(F235,"*&amp;*"),
            _xlpm.val,
            SUBSTITUTE(_xlpm.val, ", ", " &amp; ")
         )
      )
   ),
"")</f>
        <v/>
      </c>
      <c r="H235" s="40" t="str" cm="1">
        <f t="array" ref="H235">IF(COUNTIF(G12,"*V*"),
   _xlfn.LET(
      _xlpm.pos, COUNTIFS($C$12:G12,"*"),
      _xlpm.val, INDEX($C$156:$AK$156, _xlpm.pos),
      IF(G235="",
         SUBSTITUTE(_xlpm.val, ", ", " &amp; "),
         IF(COUNTIF(G235,"*&amp;*"),
            _xlpm.val,
            SUBSTITUTE(_xlpm.val, ", ", " &amp; ")
         )
      )
   ),
"")</f>
        <v/>
      </c>
      <c r="I235" s="40" t="str" cm="1">
        <f t="array" ref="I235">IF(COUNTIF(H12,"*V*"),
   _xlfn.LET(
      _xlpm.pos, COUNTIFS($C$12:H12,"*"),
      _xlpm.val, INDEX($C$156:$AK$156, _xlpm.pos),
      IF(H235="",
         SUBSTITUTE(_xlpm.val, ", ", " &amp; "),
         IF(COUNTIF(H235,"*&amp;*"),
            _xlpm.val,
            SUBSTITUTE(_xlpm.val, ", ", " &amp; ")
         )
      )
   ),
"")</f>
        <v/>
      </c>
      <c r="J235" s="40" t="str" cm="1">
        <f t="array" ref="J235">IF(COUNTIF(I12,"*V*"),
   _xlfn.LET(
      _xlpm.pos, COUNTIFS($C$12:I12,"*"),
      _xlpm.val, INDEX($C$156:$AK$156, _xlpm.pos),
      IF(I235="",
         SUBSTITUTE(_xlpm.val, ", ", " &amp; "),
         IF(COUNTIF(I235,"*&amp;*"),
            _xlpm.val,
            SUBSTITUTE(_xlpm.val, ", ", " &amp; ")
         )
      )
   ),
"")</f>
        <v/>
      </c>
      <c r="K235" s="40" t="str" cm="1">
        <f t="array" ref="K235">IF(COUNTIF(J12,"*V*"),
   _xlfn.LET(
      _xlpm.pos, COUNTIFS($C$12:J12,"*"),
      _xlpm.val, INDEX($C$156:$AK$156, _xlpm.pos),
      IF(J235="",
         SUBSTITUTE(_xlpm.val, ", ", " &amp; "),
         IF(COUNTIF(J235,"*&amp;*"),
            _xlpm.val,
            SUBSTITUTE(_xlpm.val, ", ", " &amp; ")
         )
      )
   ),
"")</f>
        <v/>
      </c>
      <c r="L235" s="40" t="str" cm="1">
        <f t="array" ref="L235">IF(COUNTIF(K12,"*V*"),
   _xlfn.LET(
      _xlpm.pos, COUNTIFS($C$12:K12,"*"),
      _xlpm.val, INDEX($C$156:$AK$156, _xlpm.pos),
      IF(K235="",
         SUBSTITUTE(_xlpm.val, ", ", " &amp; "),
         IF(COUNTIF(K235,"*&amp;*"),
            _xlpm.val,
            SUBSTITUTE(_xlpm.val, ", ", " &amp; ")
         )
      )
   ),
"")</f>
        <v/>
      </c>
      <c r="M235" s="40" t="str" cm="1">
        <f t="array" ref="M235">IF(COUNTIF(L12,"*V*"),
   _xlfn.LET(
      _xlpm.pos, COUNTIFS($C$12:L12,"*"),
      _xlpm.val, INDEX($C$156:$AK$156, _xlpm.pos),
      IF(L235="",
         SUBSTITUTE(_xlpm.val, ", ", " &amp; "),
         IF(COUNTIF(L235,"*&amp;*"),
            _xlpm.val,
            SUBSTITUTE(_xlpm.val, ", ", " &amp; ")
         )
      )
   ),
"")</f>
        <v/>
      </c>
      <c r="N235" s="40" t="str" cm="1">
        <f t="array" ref="N235">IF(COUNTIF(M12,"*V*"),
   _xlfn.LET(
      _xlpm.pos, COUNTIFS($C$12:M12,"*"),
      _xlpm.val, INDEX($C$156:$AK$156, _xlpm.pos),
      IF(M235="",
         SUBSTITUTE(_xlpm.val, ", ", " &amp; "),
         IF(COUNTIF(M235,"*&amp;*"),
            _xlpm.val,
            SUBSTITUTE(_xlpm.val, ", ", " &amp; ")
         )
      )
   ),
"")</f>
        <v/>
      </c>
      <c r="O235" s="40" t="str" cm="1">
        <f t="array" ref="O235">IF(COUNTIF(N12,"*V*"),
   _xlfn.LET(
      _xlpm.pos, COUNTIFS($C$12:N12,"*"),
      _xlpm.val, INDEX($C$156:$AK$156, _xlpm.pos),
      IF(N235="",
         SUBSTITUTE(_xlpm.val, ", ", " &amp; "),
         IF(COUNTIF(N235,"*&amp;*"),
            _xlpm.val,
            SUBSTITUTE(_xlpm.val, ", ", " &amp; ")
         )
      )
   ),
"")</f>
        <v/>
      </c>
      <c r="P235" s="40" t="str" cm="1">
        <f t="array" ref="P235">IF(COUNTIF(O12,"*V*"),
   _xlfn.LET(
      _xlpm.pos, COUNTIFS($C$12:O12,"*"),
      _xlpm.val, INDEX($C$156:$AK$156, _xlpm.pos),
      IF(O235="",
         SUBSTITUTE(_xlpm.val, ", ", " &amp; "),
         IF(COUNTIF(O235,"*&amp;*"),
            _xlpm.val,
            SUBSTITUTE(_xlpm.val, ", ", " &amp; ")
         )
      )
   ),
"")</f>
        <v/>
      </c>
      <c r="Q235" s="40" t="str" cm="1">
        <f t="array" ref="Q235">IF(COUNTIF(P12,"*V*"),
   _xlfn.LET(
      _xlpm.pos, COUNTIFS($C$12:P12,"*"),
      _xlpm.val, INDEX($C$156:$AK$156, _xlpm.pos),
      IF(P235="",
         SUBSTITUTE(_xlpm.val, ", ", " &amp; "),
         IF(COUNTIF(P235,"*&amp;*"),
            _xlpm.val,
            SUBSTITUTE(_xlpm.val, ", ", " &amp; ")
         )
      )
   ),
"")</f>
        <v/>
      </c>
      <c r="R235" s="40" t="str" cm="1">
        <f t="array" ref="R235">IF(COUNTIF(Q12,"*V*"),
   _xlfn.LET(
      _xlpm.pos, COUNTIFS($C$12:Q12,"*"),
      _xlpm.val, INDEX($C$156:$AK$156, _xlpm.pos),
      IF(Q235="",
         SUBSTITUTE(_xlpm.val, ", ", " &amp; "),
         IF(COUNTIF(Q235,"*&amp;*"),
            _xlpm.val,
            SUBSTITUTE(_xlpm.val, ", ", " &amp; ")
         )
      )
   ),
"")</f>
        <v/>
      </c>
      <c r="S235" s="40" t="str" cm="1">
        <f t="array" ref="S235">IF(COUNTIF(R12,"*V*"),
   _xlfn.LET(
      _xlpm.pos, COUNTIFS($C$12:R12,"*"),
      _xlpm.val, INDEX($C$156:$AK$156, _xlpm.pos),
      IF(R235="",
         SUBSTITUTE(_xlpm.val, ", ", " &amp; "),
         IF(COUNTIF(R235,"*&amp;*"),
            _xlpm.val,
            SUBSTITUTE(_xlpm.val, ", ", " &amp; ")
         )
      )
   ),
"")</f>
        <v/>
      </c>
      <c r="T235" s="40" t="str" cm="1">
        <f t="array" ref="T235">IF(COUNTIF(S12,"*V*"),
   _xlfn.LET(
      _xlpm.pos, COUNTIFS($C$12:S12,"*"),
      _xlpm.val, INDEX($C$156:$AK$156, _xlpm.pos),
      IF(S235="",
         SUBSTITUTE(_xlpm.val, ", ", " &amp; "),
         IF(COUNTIF(S235,"*&amp;*"),
            _xlpm.val,
            SUBSTITUTE(_xlpm.val, ", ", " &amp; ")
         )
      )
   ),
"")</f>
        <v/>
      </c>
      <c r="U235" s="40" t="str" cm="1">
        <f t="array" ref="U235">IF(COUNTIF(T12,"*V*"),
   _xlfn.LET(
      _xlpm.pos, COUNTIFS($C$12:T12,"*"),
      _xlpm.val, INDEX($C$156:$AK$156, _xlpm.pos),
      IF(T235="",
         SUBSTITUTE(_xlpm.val, ", ", " &amp; "),
         IF(COUNTIF(T235,"*&amp;*"),
            _xlpm.val,
            SUBSTITUTE(_xlpm.val, ", ", " &amp; ")
         )
      )
   ),
"")</f>
        <v/>
      </c>
      <c r="V235" s="40" t="str" cm="1">
        <f t="array" ref="V235">IF(COUNTIF(U12,"*V*"),
   _xlfn.LET(
      _xlpm.pos, COUNTIFS($C$12:U12,"*"),
      _xlpm.val, INDEX($C$156:$AK$156, _xlpm.pos),
      IF(U235="",
         SUBSTITUTE(_xlpm.val, ", ", " &amp; "),
         IF(COUNTIF(U235,"*&amp;*"),
            _xlpm.val,
            SUBSTITUTE(_xlpm.val, ", ", " &amp; ")
         )
      )
   ),
"")</f>
        <v/>
      </c>
      <c r="W235" s="40" t="str" cm="1">
        <f t="array" ref="W235">IF(COUNTIF(V12,"*V*"),
   _xlfn.LET(
      _xlpm.pos, COUNTIFS($C$12:V12,"*"),
      _xlpm.val, INDEX($C$156:$AK$156, _xlpm.pos),
      IF(V235="",
         SUBSTITUTE(_xlpm.val, ", ", " &amp; "),
         IF(COUNTIF(V235,"*&amp;*"),
            _xlpm.val,
            SUBSTITUTE(_xlpm.val, ", ", " &amp; ")
         )
      )
   ),
"")</f>
        <v/>
      </c>
      <c r="X235" s="40" t="str" cm="1">
        <f t="array" ref="X235">IF(COUNTIF(W12,"*V*"),
   _xlfn.LET(
      _xlpm.pos, COUNTIFS($C$12:W12,"*"),
      _xlpm.val, INDEX($C$156:$AK$156, _xlpm.pos),
      IF(W235="",
         SUBSTITUTE(_xlpm.val, ", ", " &amp; "),
         IF(COUNTIF(W235,"*&amp;*"),
            _xlpm.val,
            SUBSTITUTE(_xlpm.val, ", ", " &amp; ")
         )
      )
   ),
"")</f>
        <v/>
      </c>
      <c r="Y235" s="40" t="str" cm="1">
        <f t="array" ref="Y235">IF(COUNTIF(X12,"*V*"),
   _xlfn.LET(
      _xlpm.pos, COUNTIFS($C$12:X12,"*"),
      _xlpm.val, INDEX($C$156:$AK$156, _xlpm.pos),
      IF(X235="",
         SUBSTITUTE(_xlpm.val, ", ", " &amp; "),
         IF(COUNTIF(X235,"*&amp;*"),
            _xlpm.val,
            SUBSTITUTE(_xlpm.val, ", ", " &amp; ")
         )
      )
   ),
"")</f>
        <v/>
      </c>
      <c r="Z235" s="40" t="str" cm="1">
        <f t="array" ref="Z235">IF(COUNTIF(Y12,"*V*"),
   _xlfn.LET(
      _xlpm.pos, COUNTIFS($C$12:Y12,"*"),
      _xlpm.val, INDEX($C$156:$AK$156, _xlpm.pos),
      IF(Y235="",
         SUBSTITUTE(_xlpm.val, ", ", " &amp; "),
         IF(COUNTIF(Y235,"*&amp;*"),
            _xlpm.val,
            SUBSTITUTE(_xlpm.val, ", ", " &amp; ")
         )
      )
   ),
"")</f>
        <v/>
      </c>
      <c r="AA235" s="40" t="str" cm="1">
        <f t="array" ref="AA235">IF(COUNTIF(Z12,"*V*"),
   _xlfn.LET(
      _xlpm.pos, COUNTIFS($C$12:Z12,"*"),
      _xlpm.val, INDEX($C$156:$AK$156, _xlpm.pos),
      IF(Z235="",
         SUBSTITUTE(_xlpm.val, ", ", " &amp; "),
         IF(COUNTIF(Z235,"*&amp;*"),
            _xlpm.val,
            SUBSTITUTE(_xlpm.val, ", ", " &amp; ")
         )
      )
   ),
"")</f>
        <v/>
      </c>
      <c r="AB235" s="40" t="str" cm="1">
        <f t="array" ref="AB235">IF(COUNTIF(AA12,"*V*"),
   _xlfn.LET(
      _xlpm.pos, COUNTIFS($C$12:AA12,"*"),
      _xlpm.val, INDEX($C$156:$AK$156, _xlpm.pos),
      IF(AA235="",
         SUBSTITUTE(_xlpm.val, ", ", " &amp; "),
         IF(COUNTIF(AA235,"*&amp;*"),
            _xlpm.val,
            SUBSTITUTE(_xlpm.val, ", ", " &amp; ")
         )
      )
   ),
"")</f>
        <v/>
      </c>
      <c r="AC235" s="40" t="str" cm="1">
        <f t="array" ref="AC235">IF(COUNTIF(AB12,"*V*"),
   _xlfn.LET(
      _xlpm.pos, COUNTIFS($C$12:AB12,"*"),
      _xlpm.val, INDEX($C$156:$AK$156, _xlpm.pos),
      IF(AB235="",
         SUBSTITUTE(_xlpm.val, ", ", " &amp; "),
         IF(COUNTIF(AB235,"*&amp;*"),
            _xlpm.val,
            SUBSTITUTE(_xlpm.val, ", ", " &amp; ")
         )
      )
   ),
"")</f>
        <v/>
      </c>
      <c r="AD235" s="40" t="str" cm="1">
        <f t="array" ref="AD235">IF(COUNTIF(AC12,"*V*"),
   _xlfn.LET(
      _xlpm.pos, COUNTIFS($C$12:AC12,"*"),
      _xlpm.val, INDEX($C$156:$AK$156, _xlpm.pos),
      IF(AC235="",
         SUBSTITUTE(_xlpm.val, ", ", " &amp; "),
         IF(COUNTIF(AC235,"*&amp;*"),
            _xlpm.val,
            SUBSTITUTE(_xlpm.val, ", ", " &amp; ")
         )
      )
   ),
"")</f>
        <v/>
      </c>
      <c r="AE235" s="40" t="str" cm="1">
        <f t="array" ref="AE235">IF(COUNTIF(AD12,"*V*"),
   _xlfn.LET(
      _xlpm.pos, COUNTIFS($C$12:AD12,"*"),
      _xlpm.val, INDEX($C$156:$AK$156, _xlpm.pos),
      IF(AD235="",
         SUBSTITUTE(_xlpm.val, ", ", " &amp; "),
         IF(COUNTIF(AD235,"*&amp;*"),
            _xlpm.val,
            SUBSTITUTE(_xlpm.val, ", ", " &amp; ")
         )
      )
   ),
"")</f>
        <v/>
      </c>
      <c r="AF235" s="40" t="str" cm="1">
        <f t="array" ref="AF235">IF(COUNTIF(AE12,"*V*"),
   _xlfn.LET(
      _xlpm.pos, COUNTIFS($C$12:AE12,"*"),
      _xlpm.val, INDEX($C$156:$AK$156, _xlpm.pos),
      IF(AE235="",
         SUBSTITUTE(_xlpm.val, ", ", " &amp; "),
         IF(COUNTIF(AE235,"*&amp;*"),
            _xlpm.val,
            SUBSTITUTE(_xlpm.val, ", ", " &amp; ")
         )
      )
   ),
"")</f>
        <v/>
      </c>
      <c r="AG235" s="40" t="str" cm="1">
        <f t="array" ref="AG235">IF(COUNTIF(AF12,"*V*"),
   _xlfn.LET(
      _xlpm.pos, COUNTIFS($C$12:AF12,"*"),
      _xlpm.val, INDEX($C$156:$AK$156, _xlpm.pos),
      IF(AF235="",
         SUBSTITUTE(_xlpm.val, ", ", " &amp; "),
         IF(COUNTIF(AF235,"*&amp;*"),
            _xlpm.val,
            SUBSTITUTE(_xlpm.val, ", ", " &amp; ")
         )
      )
   ),
"")</f>
        <v/>
      </c>
      <c r="AH235" s="40" t="str" cm="1">
        <f t="array" ref="AH235">IF(COUNTIF(AG12,"*V*"),
   _xlfn.LET(
      _xlpm.pos, COUNTIFS($C$12:AG12,"*"),
      _xlpm.val, INDEX($C$156:$AK$156, _xlpm.pos),
      IF(AG235="",
         SUBSTITUTE(_xlpm.val, ", ", " &amp; "),
         IF(COUNTIF(AG235,"*&amp;*"),
            _xlpm.val,
            SUBSTITUTE(_xlpm.val, ", ", " &amp; ")
         )
      )
   ),
"")</f>
        <v/>
      </c>
      <c r="AI235" s="40" t="str" cm="1">
        <f t="array" ref="AI235">IF(COUNTIF(AH12,"*V*"),
   _xlfn.LET(
      _xlpm.pos, COUNTIFS($C$12:AH12,"*"),
      _xlpm.val, INDEX($C$156:$AK$156, _xlpm.pos),
      IF(AH235="",
         SUBSTITUTE(_xlpm.val, ", ", " &amp; "),
         IF(COUNTIF(AH235,"*&amp;*"),
            _xlpm.val,
            SUBSTITUTE(_xlpm.val, ", ", " &amp; ")
         )
      )
   ),
"")</f>
        <v/>
      </c>
      <c r="AJ235" s="40" t="str" cm="1">
        <f t="array" ref="AJ235">IF(COUNTIF(AI12,"*V*"),
   _xlfn.LET(
      _xlpm.pos, COUNTIFS($C$12:AI12,"*"),
      _xlpm.val, INDEX($C$156:$AK$156, _xlpm.pos),
      IF(AI235="",
         SUBSTITUTE(_xlpm.val, ", ", " &amp; "),
         IF(COUNTIF(AI235,"*&amp;*"),
            _xlpm.val,
            SUBSTITUTE(_xlpm.val, ", ", " &amp; ")
         )
      )
   ),
"")</f>
        <v/>
      </c>
      <c r="AK235" s="40" t="str" cm="1">
        <f t="array" ref="AK235">IF(COUNTIF(AJ12,"*V*"),
   _xlfn.LET(
      _xlpm.pos, COUNTIFS($C$12:AJ12,"*"),
      _xlpm.val, INDEX($C$156:$AK$156, _xlpm.pos),
      IF(AJ235="",
         SUBSTITUTE(_xlpm.val, ", ", " &amp; "),
         IF(COUNTIF(AJ235,"*&amp;*"),
            _xlpm.val,
            SUBSTITUTE(_xlpm.val, ", ", " &amp; ")
         )
      )
   ),
"")</f>
        <v/>
      </c>
    </row>
    <row r="236" spans="1:37" ht="15" customHeight="1" x14ac:dyDescent="0.35">
      <c r="A236" s="1196"/>
      <c r="B236" s="22">
        <v>10</v>
      </c>
      <c r="D236" s="40" t="str" cm="1">
        <f t="array" ref="D236">IF(COUNTIF(C13,"*V*"),
   _xlfn.LET(
      _xlpm.pos, COUNTIFS($C$13:C13,"*"),
      _xlpm.val, INDEX($C$157:$AK$157, _xlpm.pos),
      IF(C236="",
         SUBSTITUTE(_xlpm.val, ", ", " &amp; "),
         IF(COUNTIF(C236,"*&amp;*"),
            _xlpm.val,
            SUBSTITUTE(_xlpm.val, ", ", " &amp; ")
         )
      )
   ),
"")</f>
        <v/>
      </c>
      <c r="E236" s="40" t="str" cm="1">
        <f t="array" ref="E236">IF(COUNTIF(D13,"*V*"),
   _xlfn.LET(
      _xlpm.pos, COUNTIFS($C$13:D13,"*"),
      _xlpm.val, INDEX($C$157:$AK$157, _xlpm.pos),
      IF(D236="",
         SUBSTITUTE(_xlpm.val, ", ", " &amp; "),
         IF(COUNTIF(D236,"*&amp;*"),
            _xlpm.val,
            SUBSTITUTE(_xlpm.val, ", ", " &amp; ")
         )
      )
   ),
"")</f>
        <v/>
      </c>
      <c r="F236" s="40" t="str" cm="1">
        <f t="array" ref="F236">IF(COUNTIF(E13,"*V*"),
   _xlfn.LET(
      _xlpm.pos, COUNTIFS($C$13:E13,"*"),
      _xlpm.val, INDEX($C$157:$AK$157, _xlpm.pos),
      IF(E236="",
         SUBSTITUTE(_xlpm.val, ", ", " &amp; "),
         IF(COUNTIF(E236,"*&amp;*"),
            _xlpm.val,
            SUBSTITUTE(_xlpm.val, ", ", " &amp; ")
         )
      )
   ),
"")</f>
        <v/>
      </c>
      <c r="G236" s="40" t="str" cm="1">
        <f t="array" ref="G236">IF(COUNTIF(F13,"*V*"),
   _xlfn.LET(
      _xlpm.pos, COUNTIFS($C$13:F13,"*"),
      _xlpm.val, INDEX($C$157:$AK$157, _xlpm.pos),
      IF(F236="",
         SUBSTITUTE(_xlpm.val, ", ", " &amp; "),
         IF(COUNTIF(F236,"*&amp;*"),
            _xlpm.val,
            SUBSTITUTE(_xlpm.val, ", ", " &amp; ")
         )
      )
   ),
"")</f>
        <v/>
      </c>
      <c r="H236" s="40" t="str" cm="1">
        <f t="array" ref="H236">IF(COUNTIF(G13,"*V*"),
   _xlfn.LET(
      _xlpm.pos, COUNTIFS($C$13:G13,"*"),
      _xlpm.val, INDEX($C$157:$AK$157, _xlpm.pos),
      IF(G236="",
         SUBSTITUTE(_xlpm.val, ", ", " &amp; "),
         IF(COUNTIF(G236,"*&amp;*"),
            _xlpm.val,
            SUBSTITUTE(_xlpm.val, ", ", " &amp; ")
         )
      )
   ),
"")</f>
        <v/>
      </c>
      <c r="I236" s="40" t="str" cm="1">
        <f t="array" ref="I236">IF(COUNTIF(H13,"*V*"),
   _xlfn.LET(
      _xlpm.pos, COUNTIFS($C$13:H13,"*"),
      _xlpm.val, INDEX($C$157:$AK$157, _xlpm.pos),
      IF(H236="",
         SUBSTITUTE(_xlpm.val, ", ", " &amp; "),
         IF(COUNTIF(H236,"*&amp;*"),
            _xlpm.val,
            SUBSTITUTE(_xlpm.val, ", ", " &amp; ")
         )
      )
   ),
"")</f>
        <v/>
      </c>
      <c r="J236" s="40" t="str" cm="1">
        <f t="array" ref="J236">IF(COUNTIF(I13,"*V*"),
   _xlfn.LET(
      _xlpm.pos, COUNTIFS($C$13:I13,"*"),
      _xlpm.val, INDEX($C$157:$AK$157, _xlpm.pos),
      IF(I236="",
         SUBSTITUTE(_xlpm.val, ", ", " &amp; "),
         IF(COUNTIF(I236,"*&amp;*"),
            _xlpm.val,
            SUBSTITUTE(_xlpm.val, ", ", " &amp; ")
         )
      )
   ),
"")</f>
        <v/>
      </c>
      <c r="K236" s="40" t="str" cm="1">
        <f t="array" ref="K236">IF(COUNTIF(J13,"*V*"),
   _xlfn.LET(
      _xlpm.pos, COUNTIFS($C$13:J13,"*"),
      _xlpm.val, INDEX($C$157:$AK$157, _xlpm.pos),
      IF(J236="",
         SUBSTITUTE(_xlpm.val, ", ", " &amp; "),
         IF(COUNTIF(J236,"*&amp;*"),
            _xlpm.val,
            SUBSTITUTE(_xlpm.val, ", ", " &amp; ")
         )
      )
   ),
"")</f>
        <v/>
      </c>
      <c r="L236" s="40" t="str" cm="1">
        <f t="array" ref="L236">IF(COUNTIF(K13,"*V*"),
   _xlfn.LET(
      _xlpm.pos, COUNTIFS($C$13:K13,"*"),
      _xlpm.val, INDEX($C$157:$AK$157, _xlpm.pos),
      IF(K236="",
         SUBSTITUTE(_xlpm.val, ", ", " &amp; "),
         IF(COUNTIF(K236,"*&amp;*"),
            _xlpm.val,
            SUBSTITUTE(_xlpm.val, ", ", " &amp; ")
         )
      )
   ),
"")</f>
        <v/>
      </c>
      <c r="M236" s="40" t="str" cm="1">
        <f t="array" ref="M236">IF(COUNTIF(L13,"*V*"),
   _xlfn.LET(
      _xlpm.pos, COUNTIFS($C$13:L13,"*"),
      _xlpm.val, INDEX($C$157:$AK$157, _xlpm.pos),
      IF(L236="",
         SUBSTITUTE(_xlpm.val, ", ", " &amp; "),
         IF(COUNTIF(L236,"*&amp;*"),
            _xlpm.val,
            SUBSTITUTE(_xlpm.val, ", ", " &amp; ")
         )
      )
   ),
"")</f>
        <v/>
      </c>
      <c r="N236" s="40" t="str" cm="1">
        <f t="array" ref="N236">IF(COUNTIF(M13,"*V*"),
   _xlfn.LET(
      _xlpm.pos, COUNTIFS($C$13:M13,"*"),
      _xlpm.val, INDEX($C$157:$AK$157, _xlpm.pos),
      IF(M236="",
         SUBSTITUTE(_xlpm.val, ", ", " &amp; "),
         IF(COUNTIF(M236,"*&amp;*"),
            _xlpm.val,
            SUBSTITUTE(_xlpm.val, ", ", " &amp; ")
         )
      )
   ),
"")</f>
        <v/>
      </c>
      <c r="O236" s="40" t="str" cm="1">
        <f t="array" ref="O236">IF(COUNTIF(N13,"*V*"),
   _xlfn.LET(
      _xlpm.pos, COUNTIFS($C$13:N13,"*"),
      _xlpm.val, INDEX($C$157:$AK$157, _xlpm.pos),
      IF(N236="",
         SUBSTITUTE(_xlpm.val, ", ", " &amp; "),
         IF(COUNTIF(N236,"*&amp;*"),
            _xlpm.val,
            SUBSTITUTE(_xlpm.val, ", ", " &amp; ")
         )
      )
   ),
"")</f>
        <v/>
      </c>
      <c r="P236" s="40" t="str" cm="1">
        <f t="array" ref="P236">IF(COUNTIF(O13,"*V*"),
   _xlfn.LET(
      _xlpm.pos, COUNTIFS($C$13:O13,"*"),
      _xlpm.val, INDEX($C$157:$AK$157, _xlpm.pos),
      IF(O236="",
         SUBSTITUTE(_xlpm.val, ", ", " &amp; "),
         IF(COUNTIF(O236,"*&amp;*"),
            _xlpm.val,
            SUBSTITUTE(_xlpm.val, ", ", " &amp; ")
         )
      )
   ),
"")</f>
        <v/>
      </c>
      <c r="Q236" s="40" t="str" cm="1">
        <f t="array" ref="Q236">IF(COUNTIF(P13,"*V*"),
   _xlfn.LET(
      _xlpm.pos, COUNTIFS($C$13:P13,"*"),
      _xlpm.val, INDEX($C$157:$AK$157, _xlpm.pos),
      IF(P236="",
         SUBSTITUTE(_xlpm.val, ", ", " &amp; "),
         IF(COUNTIF(P236,"*&amp;*"),
            _xlpm.val,
            SUBSTITUTE(_xlpm.val, ", ", " &amp; ")
         )
      )
   ),
"")</f>
        <v/>
      </c>
      <c r="R236" s="40" t="str" cm="1">
        <f t="array" ref="R236">IF(COUNTIF(Q13,"*V*"),
   _xlfn.LET(
      _xlpm.pos, COUNTIFS($C$13:Q13,"*"),
      _xlpm.val, INDEX($C$157:$AK$157, _xlpm.pos),
      IF(Q236="",
         SUBSTITUTE(_xlpm.val, ", ", " &amp; "),
         IF(COUNTIF(Q236,"*&amp;*"),
            _xlpm.val,
            SUBSTITUTE(_xlpm.val, ", ", " &amp; ")
         )
      )
   ),
"")</f>
        <v/>
      </c>
      <c r="S236" s="40" t="str" cm="1">
        <f t="array" ref="S236">IF(COUNTIF(R13,"*V*"),
   _xlfn.LET(
      _xlpm.pos, COUNTIFS($C$13:R13,"*"),
      _xlpm.val, INDEX($C$157:$AK$157, _xlpm.pos),
      IF(R236="",
         SUBSTITUTE(_xlpm.val, ", ", " &amp; "),
         IF(COUNTIF(R236,"*&amp;*"),
            _xlpm.val,
            SUBSTITUTE(_xlpm.val, ", ", " &amp; ")
         )
      )
   ),
"")</f>
        <v/>
      </c>
      <c r="T236" s="40" t="str" cm="1">
        <f t="array" ref="T236">IF(COUNTIF(S13,"*V*"),
   _xlfn.LET(
      _xlpm.pos, COUNTIFS($C$13:S13,"*"),
      _xlpm.val, INDEX($C$157:$AK$157, _xlpm.pos),
      IF(S236="",
         SUBSTITUTE(_xlpm.val, ", ", " &amp; "),
         IF(COUNTIF(S236,"*&amp;*"),
            _xlpm.val,
            SUBSTITUTE(_xlpm.val, ", ", " &amp; ")
         )
      )
   ),
"")</f>
        <v/>
      </c>
      <c r="U236" s="40" t="str" cm="1">
        <f t="array" ref="U236">IF(COUNTIF(T13,"*V*"),
   _xlfn.LET(
      _xlpm.pos, COUNTIFS($C$13:T13,"*"),
      _xlpm.val, INDEX($C$157:$AK$157, _xlpm.pos),
      IF(T236="",
         SUBSTITUTE(_xlpm.val, ", ", " &amp; "),
         IF(COUNTIF(T236,"*&amp;*"),
            _xlpm.val,
            SUBSTITUTE(_xlpm.val, ", ", " &amp; ")
         )
      )
   ),
"")</f>
        <v/>
      </c>
      <c r="V236" s="40" t="str" cm="1">
        <f t="array" ref="V236">IF(COUNTIF(U13,"*V*"),
   _xlfn.LET(
      _xlpm.pos, COUNTIFS($C$13:U13,"*"),
      _xlpm.val, INDEX($C$157:$AK$157, _xlpm.pos),
      IF(U236="",
         SUBSTITUTE(_xlpm.val, ", ", " &amp; "),
         IF(COUNTIF(U236,"*&amp;*"),
            _xlpm.val,
            SUBSTITUTE(_xlpm.val, ", ", " &amp; ")
         )
      )
   ),
"")</f>
        <v/>
      </c>
      <c r="W236" s="40" t="str" cm="1">
        <f t="array" ref="W236">IF(COUNTIF(V13,"*V*"),
   _xlfn.LET(
      _xlpm.pos, COUNTIFS($C$13:V13,"*"),
      _xlpm.val, INDEX($C$157:$AK$157, _xlpm.pos),
      IF(V236="",
         SUBSTITUTE(_xlpm.val, ", ", " &amp; "),
         IF(COUNTIF(V236,"*&amp;*"),
            _xlpm.val,
            SUBSTITUTE(_xlpm.val, ", ", " &amp; ")
         )
      )
   ),
"")</f>
        <v/>
      </c>
      <c r="X236" s="40" t="str" cm="1">
        <f t="array" ref="X236">IF(COUNTIF(W13,"*V*"),
   _xlfn.LET(
      _xlpm.pos, COUNTIFS($C$13:W13,"*"),
      _xlpm.val, INDEX($C$157:$AK$157, _xlpm.pos),
      IF(W236="",
         SUBSTITUTE(_xlpm.val, ", ", " &amp; "),
         IF(COUNTIF(W236,"*&amp;*"),
            _xlpm.val,
            SUBSTITUTE(_xlpm.val, ", ", " &amp; ")
         )
      )
   ),
"")</f>
        <v/>
      </c>
      <c r="Y236" s="40" t="str" cm="1">
        <f t="array" ref="Y236">IF(COUNTIF(X13,"*V*"),
   _xlfn.LET(
      _xlpm.pos, COUNTIFS($C$13:X13,"*"),
      _xlpm.val, INDEX($C$157:$AK$157, _xlpm.pos),
      IF(X236="",
         SUBSTITUTE(_xlpm.val, ", ", " &amp; "),
         IF(COUNTIF(X236,"*&amp;*"),
            _xlpm.val,
            SUBSTITUTE(_xlpm.val, ", ", " &amp; ")
         )
      )
   ),
"")</f>
        <v/>
      </c>
      <c r="Z236" s="40" t="str" cm="1">
        <f t="array" ref="Z236">IF(COUNTIF(Y13,"*V*"),
   _xlfn.LET(
      _xlpm.pos, COUNTIFS($C$13:Y13,"*"),
      _xlpm.val, INDEX($C$157:$AK$157, _xlpm.pos),
      IF(Y236="",
         SUBSTITUTE(_xlpm.val, ", ", " &amp; "),
         IF(COUNTIF(Y236,"*&amp;*"),
            _xlpm.val,
            SUBSTITUTE(_xlpm.val, ", ", " &amp; ")
         )
      )
   ),
"")</f>
        <v/>
      </c>
      <c r="AA236" s="40" t="str" cm="1">
        <f t="array" ref="AA236">IF(COUNTIF(Z13,"*V*"),
   _xlfn.LET(
      _xlpm.pos, COUNTIFS($C$13:Z13,"*"),
      _xlpm.val, INDEX($C$157:$AK$157, _xlpm.pos),
      IF(Z236="",
         SUBSTITUTE(_xlpm.val, ", ", " &amp; "),
         IF(COUNTIF(Z236,"*&amp;*"),
            _xlpm.val,
            SUBSTITUTE(_xlpm.val, ", ", " &amp; ")
         )
      )
   ),
"")</f>
        <v/>
      </c>
      <c r="AB236" s="40" t="str" cm="1">
        <f t="array" ref="AB236">IF(COUNTIF(AA13,"*V*"),
   _xlfn.LET(
      _xlpm.pos, COUNTIFS($C$13:AA13,"*"),
      _xlpm.val, INDEX($C$157:$AK$157, _xlpm.pos),
      IF(AA236="",
         SUBSTITUTE(_xlpm.val, ", ", " &amp; "),
         IF(COUNTIF(AA236,"*&amp;*"),
            _xlpm.val,
            SUBSTITUTE(_xlpm.val, ", ", " &amp; ")
         )
      )
   ),
"")</f>
        <v/>
      </c>
      <c r="AC236" s="40" t="str" cm="1">
        <f t="array" ref="AC236">IF(COUNTIF(AB13,"*V*"),
   _xlfn.LET(
      _xlpm.pos, COUNTIFS($C$13:AB13,"*"),
      _xlpm.val, INDEX($C$157:$AK$157, _xlpm.pos),
      IF(AB236="",
         SUBSTITUTE(_xlpm.val, ", ", " &amp; "),
         IF(COUNTIF(AB236,"*&amp;*"),
            _xlpm.val,
            SUBSTITUTE(_xlpm.val, ", ", " &amp; ")
         )
      )
   ),
"")</f>
        <v/>
      </c>
      <c r="AD236" s="40" t="str" cm="1">
        <f t="array" ref="AD236">IF(COUNTIF(AC13,"*V*"),
   _xlfn.LET(
      _xlpm.pos, COUNTIFS($C$13:AC13,"*"),
      _xlpm.val, INDEX($C$157:$AK$157, _xlpm.pos),
      IF(AC236="",
         SUBSTITUTE(_xlpm.val, ", ", " &amp; "),
         IF(COUNTIF(AC236,"*&amp;*"),
            _xlpm.val,
            SUBSTITUTE(_xlpm.val, ", ", " &amp; ")
         )
      )
   ),
"")</f>
        <v/>
      </c>
      <c r="AE236" s="40" t="str" cm="1">
        <f t="array" ref="AE236">IF(COUNTIF(AD13,"*V*"),
   _xlfn.LET(
      _xlpm.pos, COUNTIFS($C$13:AD13,"*"),
      _xlpm.val, INDEX($C$157:$AK$157, _xlpm.pos),
      IF(AD236="",
         SUBSTITUTE(_xlpm.val, ", ", " &amp; "),
         IF(COUNTIF(AD236,"*&amp;*"),
            _xlpm.val,
            SUBSTITUTE(_xlpm.val, ", ", " &amp; ")
         )
      )
   ),
"")</f>
        <v/>
      </c>
      <c r="AF236" s="40" t="str" cm="1">
        <f t="array" ref="AF236">IF(COUNTIF(AE13,"*V*"),
   _xlfn.LET(
      _xlpm.pos, COUNTIFS($C$13:AE13,"*"),
      _xlpm.val, INDEX($C$157:$AK$157, _xlpm.pos),
      IF(AE236="",
         SUBSTITUTE(_xlpm.val, ", ", " &amp; "),
         IF(COUNTIF(AE236,"*&amp;*"),
            _xlpm.val,
            SUBSTITUTE(_xlpm.val, ", ", " &amp; ")
         )
      )
   ),
"")</f>
        <v/>
      </c>
      <c r="AG236" s="40" t="str" cm="1">
        <f t="array" ref="AG236">IF(COUNTIF(AF13,"*V*"),
   _xlfn.LET(
      _xlpm.pos, COUNTIFS($C$13:AF13,"*"),
      _xlpm.val, INDEX($C$157:$AK$157, _xlpm.pos),
      IF(AF236="",
         SUBSTITUTE(_xlpm.val, ", ", " &amp; "),
         IF(COUNTIF(AF236,"*&amp;*"),
            _xlpm.val,
            SUBSTITUTE(_xlpm.val, ", ", " &amp; ")
         )
      )
   ),
"")</f>
        <v/>
      </c>
      <c r="AH236" s="40" t="str" cm="1">
        <f t="array" ref="AH236">IF(COUNTIF(AG13,"*V*"),
   _xlfn.LET(
      _xlpm.pos, COUNTIFS($C$13:AG13,"*"),
      _xlpm.val, INDEX($C$157:$AK$157, _xlpm.pos),
      IF(AG236="",
         SUBSTITUTE(_xlpm.val, ", ", " &amp; "),
         IF(COUNTIF(AG236,"*&amp;*"),
            _xlpm.val,
            SUBSTITUTE(_xlpm.val, ", ", " &amp; ")
         )
      )
   ),
"")</f>
        <v/>
      </c>
      <c r="AI236" s="40" t="str" cm="1">
        <f t="array" ref="AI236">IF(COUNTIF(AH13,"*V*"),
   _xlfn.LET(
      _xlpm.pos, COUNTIFS($C$13:AH13,"*"),
      _xlpm.val, INDEX($C$157:$AK$157, _xlpm.pos),
      IF(AH236="",
         SUBSTITUTE(_xlpm.val, ", ", " &amp; "),
         IF(COUNTIF(AH236,"*&amp;*"),
            _xlpm.val,
            SUBSTITUTE(_xlpm.val, ", ", " &amp; ")
         )
      )
   ),
"")</f>
        <v/>
      </c>
      <c r="AJ236" s="40" t="str" cm="1">
        <f t="array" ref="AJ236">IF(COUNTIF(AI13,"*V*"),
   _xlfn.LET(
      _xlpm.pos, COUNTIFS($C$13:AI13,"*"),
      _xlpm.val, INDEX($C$157:$AK$157, _xlpm.pos),
      IF(AI236="",
         SUBSTITUTE(_xlpm.val, ", ", " &amp; "),
         IF(COUNTIF(AI236,"*&amp;*"),
            _xlpm.val,
            SUBSTITUTE(_xlpm.val, ", ", " &amp; ")
         )
      )
   ),
"")</f>
        <v/>
      </c>
      <c r="AK236" s="40" t="str" cm="1">
        <f t="array" ref="AK236">IF(COUNTIF(AJ13,"*V*"),
   _xlfn.LET(
      _xlpm.pos, COUNTIFS($C$13:AJ13,"*"),
      _xlpm.val, INDEX($C$157:$AK$157, _xlpm.pos),
      IF(AJ236="",
         SUBSTITUTE(_xlpm.val, ", ", " &amp; "),
         IF(COUNTIF(AJ236,"*&amp;*"),
            _xlpm.val,
            SUBSTITUTE(_xlpm.val, ", ", " &amp; ")
         )
      )
   ),
"")</f>
        <v/>
      </c>
    </row>
    <row r="237" spans="1:37" ht="15" customHeight="1" x14ac:dyDescent="0.35">
      <c r="A237" s="1196"/>
      <c r="B237" s="22">
        <v>11</v>
      </c>
      <c r="D237" s="40" t="str" cm="1">
        <f t="array" ref="D237">IF(COUNTIF(C14,"*V*"),
   _xlfn.LET(
      _xlpm.pos, COUNTIFS($C$14:C14,"*"),
      _xlpm.val, INDEX($C$158:$AK$158, _xlpm.pos),
      IF(C237="",
         SUBSTITUTE(_xlpm.val, ", ", " &amp; "),
         IF(COUNTIF(C237,"*&amp;*"),
            _xlpm.val,
            SUBSTITUTE(_xlpm.val, ", ", " &amp; ")
         )
      )
   ),
"")</f>
        <v/>
      </c>
      <c r="E237" s="40" t="str" cm="1">
        <f t="array" ref="E237">IF(COUNTIF(D14,"*V*"),
   _xlfn.LET(
      _xlpm.pos, COUNTIFS($C$14:D14,"*"),
      _xlpm.val, INDEX($C$158:$AK$158, _xlpm.pos),
      IF(D237="",
         SUBSTITUTE(_xlpm.val, ", ", " &amp; "),
         IF(COUNTIF(D237,"*&amp;*"),
            _xlpm.val,
            SUBSTITUTE(_xlpm.val, ", ", " &amp; ")
         )
      )
   ),
"")</f>
        <v/>
      </c>
      <c r="F237" s="40" t="str" cm="1">
        <f t="array" ref="F237">IF(COUNTIF(E14,"*V*"),
   _xlfn.LET(
      _xlpm.pos, COUNTIFS($C$14:E14,"*"),
      _xlpm.val, INDEX($C$158:$AK$158, _xlpm.pos),
      IF(E237="",
         SUBSTITUTE(_xlpm.val, ", ", " &amp; "),
         IF(COUNTIF(E237,"*&amp;*"),
            _xlpm.val,
            SUBSTITUTE(_xlpm.val, ", ", " &amp; ")
         )
      )
   ),
"")</f>
        <v/>
      </c>
      <c r="G237" s="40" t="str" cm="1">
        <f t="array" ref="G237">IF(COUNTIF(F14,"*V*"),
   _xlfn.LET(
      _xlpm.pos, COUNTIFS($C$14:F14,"*"),
      _xlpm.val, INDEX($C$158:$AK$158, _xlpm.pos),
      IF(F237="",
         SUBSTITUTE(_xlpm.val, ", ", " &amp; "),
         IF(COUNTIF(F237,"*&amp;*"),
            _xlpm.val,
            SUBSTITUTE(_xlpm.val, ", ", " &amp; ")
         )
      )
   ),
"")</f>
        <v/>
      </c>
      <c r="H237" s="40" t="str" cm="1">
        <f t="array" ref="H237">IF(COUNTIF(G14,"*V*"),
   _xlfn.LET(
      _xlpm.pos, COUNTIFS($C$14:G14,"*"),
      _xlpm.val, INDEX($C$158:$AK$158, _xlpm.pos),
      IF(G237="",
         SUBSTITUTE(_xlpm.val, ", ", " &amp; "),
         IF(COUNTIF(G237,"*&amp;*"),
            _xlpm.val,
            SUBSTITUTE(_xlpm.val, ", ", " &amp; ")
         )
      )
   ),
"")</f>
        <v/>
      </c>
      <c r="I237" s="40" t="str" cm="1">
        <f t="array" ref="I237">IF(COUNTIF(H14,"*V*"),
   _xlfn.LET(
      _xlpm.pos, COUNTIFS($C$14:H14,"*"),
      _xlpm.val, INDEX($C$158:$AK$158, _xlpm.pos),
      IF(H237="",
         SUBSTITUTE(_xlpm.val, ", ", " &amp; "),
         IF(COUNTIF(H237,"*&amp;*"),
            _xlpm.val,
            SUBSTITUTE(_xlpm.val, ", ", " &amp; ")
         )
      )
   ),
"")</f>
        <v/>
      </c>
      <c r="J237" s="40" t="str" cm="1">
        <f t="array" ref="J237">IF(COUNTIF(I14,"*V*"),
   _xlfn.LET(
      _xlpm.pos, COUNTIFS($C$14:I14,"*"),
      _xlpm.val, INDEX($C$158:$AK$158, _xlpm.pos),
      IF(I237="",
         SUBSTITUTE(_xlpm.val, ", ", " &amp; "),
         IF(COUNTIF(I237,"*&amp;*"),
            _xlpm.val,
            SUBSTITUTE(_xlpm.val, ", ", " &amp; ")
         )
      )
   ),
"")</f>
        <v/>
      </c>
      <c r="K237" s="40" t="str" cm="1">
        <f t="array" ref="K237">IF(COUNTIF(J14,"*V*"),
   _xlfn.LET(
      _xlpm.pos, COUNTIFS($C$14:J14,"*"),
      _xlpm.val, INDEX($C$158:$AK$158, _xlpm.pos),
      IF(J237="",
         SUBSTITUTE(_xlpm.val, ", ", " &amp; "),
         IF(COUNTIF(J237,"*&amp;*"),
            _xlpm.val,
            SUBSTITUTE(_xlpm.val, ", ", " &amp; ")
         )
      )
   ),
"")</f>
        <v/>
      </c>
      <c r="L237" s="40" t="str" cm="1">
        <f t="array" ref="L237">IF(COUNTIF(K14,"*V*"),
   _xlfn.LET(
      _xlpm.pos, COUNTIFS($C$14:K14,"*"),
      _xlpm.val, INDEX($C$158:$AK$158, _xlpm.pos),
      IF(K237="",
         SUBSTITUTE(_xlpm.val, ", ", " &amp; "),
         IF(COUNTIF(K237,"*&amp;*"),
            _xlpm.val,
            SUBSTITUTE(_xlpm.val, ", ", " &amp; ")
         )
      )
   ),
"")</f>
        <v/>
      </c>
      <c r="M237" s="40" t="str" cm="1">
        <f t="array" ref="M237">IF(COUNTIF(L14,"*V*"),
   _xlfn.LET(
      _xlpm.pos, COUNTIFS($C$14:L14,"*"),
      _xlpm.val, INDEX($C$158:$AK$158, _xlpm.pos),
      IF(L237="",
         SUBSTITUTE(_xlpm.val, ", ", " &amp; "),
         IF(COUNTIF(L237,"*&amp;*"),
            _xlpm.val,
            SUBSTITUTE(_xlpm.val, ", ", " &amp; ")
         )
      )
   ),
"")</f>
        <v/>
      </c>
      <c r="N237" s="40" t="str" cm="1">
        <f t="array" ref="N237">IF(COUNTIF(M14,"*V*"),
   _xlfn.LET(
      _xlpm.pos, COUNTIFS($C$14:M14,"*"),
      _xlpm.val, INDEX($C$158:$AK$158, _xlpm.pos),
      IF(M237="",
         SUBSTITUTE(_xlpm.val, ", ", " &amp; "),
         IF(COUNTIF(M237,"*&amp;*"),
            _xlpm.val,
            SUBSTITUTE(_xlpm.val, ", ", " &amp; ")
         )
      )
   ),
"")</f>
        <v/>
      </c>
      <c r="O237" s="40" t="str" cm="1">
        <f t="array" ref="O237">IF(COUNTIF(N14,"*V*"),
   _xlfn.LET(
      _xlpm.pos, COUNTIFS($C$14:N14,"*"),
      _xlpm.val, INDEX($C$158:$AK$158, _xlpm.pos),
      IF(N237="",
         SUBSTITUTE(_xlpm.val, ", ", " &amp; "),
         IF(COUNTIF(N237,"*&amp;*"),
            _xlpm.val,
            SUBSTITUTE(_xlpm.val, ", ", " &amp; ")
         )
      )
   ),
"")</f>
        <v/>
      </c>
      <c r="P237" s="40" t="str" cm="1">
        <f t="array" ref="P237">IF(COUNTIF(O14,"*V*"),
   _xlfn.LET(
      _xlpm.pos, COUNTIFS($C$14:O14,"*"),
      _xlpm.val, INDEX($C$158:$AK$158, _xlpm.pos),
      IF(O237="",
         SUBSTITUTE(_xlpm.val, ", ", " &amp; "),
         IF(COUNTIF(O237,"*&amp;*"),
            _xlpm.val,
            SUBSTITUTE(_xlpm.val, ", ", " &amp; ")
         )
      )
   ),
"")</f>
        <v/>
      </c>
      <c r="Q237" s="40" t="str" cm="1">
        <f t="array" ref="Q237">IF(COUNTIF(P14,"*V*"),
   _xlfn.LET(
      _xlpm.pos, COUNTIFS($C$14:P14,"*"),
      _xlpm.val, INDEX($C$158:$AK$158, _xlpm.pos),
      IF(P237="",
         SUBSTITUTE(_xlpm.val, ", ", " &amp; "),
         IF(COUNTIF(P237,"*&amp;*"),
            _xlpm.val,
            SUBSTITUTE(_xlpm.val, ", ", " &amp; ")
         )
      )
   ),
"")</f>
        <v/>
      </c>
      <c r="R237" s="40" t="str" cm="1">
        <f t="array" ref="R237">IF(COUNTIF(Q14,"*V*"),
   _xlfn.LET(
      _xlpm.pos, COUNTIFS($C$14:Q14,"*"),
      _xlpm.val, INDEX($C$158:$AK$158, _xlpm.pos),
      IF(Q237="",
         SUBSTITUTE(_xlpm.val, ", ", " &amp; "),
         IF(COUNTIF(Q237,"*&amp;*"),
            _xlpm.val,
            SUBSTITUTE(_xlpm.val, ", ", " &amp; ")
         )
      )
   ),
"")</f>
        <v/>
      </c>
      <c r="S237" s="40" t="str" cm="1">
        <f t="array" ref="S237">IF(COUNTIF(R14,"*V*"),
   _xlfn.LET(
      _xlpm.pos, COUNTIFS($C$14:R14,"*"),
      _xlpm.val, INDEX($C$158:$AK$158, _xlpm.pos),
      IF(R237="",
         SUBSTITUTE(_xlpm.val, ", ", " &amp; "),
         IF(COUNTIF(R237,"*&amp;*"),
            _xlpm.val,
            SUBSTITUTE(_xlpm.val, ", ", " &amp; ")
         )
      )
   ),
"")</f>
        <v/>
      </c>
      <c r="T237" s="40" t="str" cm="1">
        <f t="array" ref="T237">IF(COUNTIF(S14,"*V*"),
   _xlfn.LET(
      _xlpm.pos, COUNTIFS($C$14:S14,"*"),
      _xlpm.val, INDEX($C$158:$AK$158, _xlpm.pos),
      IF(S237="",
         SUBSTITUTE(_xlpm.val, ", ", " &amp; "),
         IF(COUNTIF(S237,"*&amp;*"),
            _xlpm.val,
            SUBSTITUTE(_xlpm.val, ", ", " &amp; ")
         )
      )
   ),
"")</f>
        <v/>
      </c>
      <c r="U237" s="40" t="str" cm="1">
        <f t="array" ref="U237">IF(COUNTIF(T14,"*V*"),
   _xlfn.LET(
      _xlpm.pos, COUNTIFS($C$14:T14,"*"),
      _xlpm.val, INDEX($C$158:$AK$158, _xlpm.pos),
      IF(T237="",
         SUBSTITUTE(_xlpm.val, ", ", " &amp; "),
         IF(COUNTIF(T237,"*&amp;*"),
            _xlpm.val,
            SUBSTITUTE(_xlpm.val, ", ", " &amp; ")
         )
      )
   ),
"")</f>
        <v/>
      </c>
      <c r="V237" s="40" t="str" cm="1">
        <f t="array" ref="V237">IF(COUNTIF(U14,"*V*"),
   _xlfn.LET(
      _xlpm.pos, COUNTIFS($C$14:U14,"*"),
      _xlpm.val, INDEX($C$158:$AK$158, _xlpm.pos),
      IF(U237="",
         SUBSTITUTE(_xlpm.val, ", ", " &amp; "),
         IF(COUNTIF(U237,"*&amp;*"),
            _xlpm.val,
            SUBSTITUTE(_xlpm.val, ", ", " &amp; ")
         )
      )
   ),
"")</f>
        <v/>
      </c>
      <c r="W237" s="40" t="str" cm="1">
        <f t="array" ref="W237">IF(COUNTIF(V14,"*V*"),
   _xlfn.LET(
      _xlpm.pos, COUNTIFS($C$14:V14,"*"),
      _xlpm.val, INDEX($C$158:$AK$158, _xlpm.pos),
      IF(V237="",
         SUBSTITUTE(_xlpm.val, ", ", " &amp; "),
         IF(COUNTIF(V237,"*&amp;*"),
            _xlpm.val,
            SUBSTITUTE(_xlpm.val, ", ", " &amp; ")
         )
      )
   ),
"")</f>
        <v/>
      </c>
      <c r="X237" s="40" t="str" cm="1">
        <f t="array" ref="X237">IF(COUNTIF(W14,"*V*"),
   _xlfn.LET(
      _xlpm.pos, COUNTIFS($C$14:W14,"*"),
      _xlpm.val, INDEX($C$158:$AK$158, _xlpm.pos),
      IF(W237="",
         SUBSTITUTE(_xlpm.val, ", ", " &amp; "),
         IF(COUNTIF(W237,"*&amp;*"),
            _xlpm.val,
            SUBSTITUTE(_xlpm.val, ", ", " &amp; ")
         )
      )
   ),
"")</f>
        <v/>
      </c>
      <c r="Y237" s="40" t="str" cm="1">
        <f t="array" ref="Y237">IF(COUNTIF(X14,"*V*"),
   _xlfn.LET(
      _xlpm.pos, COUNTIFS($C$14:X14,"*"),
      _xlpm.val, INDEX($C$158:$AK$158, _xlpm.pos),
      IF(X237="",
         SUBSTITUTE(_xlpm.val, ", ", " &amp; "),
         IF(COUNTIF(X237,"*&amp;*"),
            _xlpm.val,
            SUBSTITUTE(_xlpm.val, ", ", " &amp; ")
         )
      )
   ),
"")</f>
        <v/>
      </c>
      <c r="Z237" s="40" t="str" cm="1">
        <f t="array" ref="Z237">IF(COUNTIF(Y14,"*V*"),
   _xlfn.LET(
      _xlpm.pos, COUNTIFS($C$14:Y14,"*"),
      _xlpm.val, INDEX($C$158:$AK$158, _xlpm.pos),
      IF(Y237="",
         SUBSTITUTE(_xlpm.val, ", ", " &amp; "),
         IF(COUNTIF(Y237,"*&amp;*"),
            _xlpm.val,
            SUBSTITUTE(_xlpm.val, ", ", " &amp; ")
         )
      )
   ),
"")</f>
        <v/>
      </c>
      <c r="AA237" s="40" t="str" cm="1">
        <f t="array" ref="AA237">IF(COUNTIF(Z14,"*V*"),
   _xlfn.LET(
      _xlpm.pos, COUNTIFS($C$14:Z14,"*"),
      _xlpm.val, INDEX($C$158:$AK$158, _xlpm.pos),
      IF(Z237="",
         SUBSTITUTE(_xlpm.val, ", ", " &amp; "),
         IF(COUNTIF(Z237,"*&amp;*"),
            _xlpm.val,
            SUBSTITUTE(_xlpm.val, ", ", " &amp; ")
         )
      )
   ),
"")</f>
        <v/>
      </c>
      <c r="AB237" s="40" t="str" cm="1">
        <f t="array" ref="AB237">IF(COUNTIF(AA14,"*V*"),
   _xlfn.LET(
      _xlpm.pos, COUNTIFS($C$14:AA14,"*"),
      _xlpm.val, INDEX($C$158:$AK$158, _xlpm.pos),
      IF(AA237="",
         SUBSTITUTE(_xlpm.val, ", ", " &amp; "),
         IF(COUNTIF(AA237,"*&amp;*"),
            _xlpm.val,
            SUBSTITUTE(_xlpm.val, ", ", " &amp; ")
         )
      )
   ),
"")</f>
        <v/>
      </c>
      <c r="AC237" s="40" t="str" cm="1">
        <f t="array" ref="AC237">IF(COUNTIF(AB14,"*V*"),
   _xlfn.LET(
      _xlpm.pos, COUNTIFS($C$14:AB14,"*"),
      _xlpm.val, INDEX($C$158:$AK$158, _xlpm.pos),
      IF(AB237="",
         SUBSTITUTE(_xlpm.val, ", ", " &amp; "),
         IF(COUNTIF(AB237,"*&amp;*"),
            _xlpm.val,
            SUBSTITUTE(_xlpm.val, ", ", " &amp; ")
         )
      )
   ),
"")</f>
        <v/>
      </c>
      <c r="AD237" s="40" t="str" cm="1">
        <f t="array" ref="AD237">IF(COUNTIF(AC14,"*V*"),
   _xlfn.LET(
      _xlpm.pos, COUNTIFS($C$14:AC14,"*"),
      _xlpm.val, INDEX($C$158:$AK$158, _xlpm.pos),
      IF(AC237="",
         SUBSTITUTE(_xlpm.val, ", ", " &amp; "),
         IF(COUNTIF(AC237,"*&amp;*"),
            _xlpm.val,
            SUBSTITUTE(_xlpm.val, ", ", " &amp; ")
         )
      )
   ),
"")</f>
        <v/>
      </c>
      <c r="AE237" s="40" t="str" cm="1">
        <f t="array" ref="AE237">IF(COUNTIF(AD14,"*V*"),
   _xlfn.LET(
      _xlpm.pos, COUNTIFS($C$14:AD14,"*"),
      _xlpm.val, INDEX($C$158:$AK$158, _xlpm.pos),
      IF(AD237="",
         SUBSTITUTE(_xlpm.val, ", ", " &amp; "),
         IF(COUNTIF(AD237,"*&amp;*"),
            _xlpm.val,
            SUBSTITUTE(_xlpm.val, ", ", " &amp; ")
         )
      )
   ),
"")</f>
        <v/>
      </c>
      <c r="AF237" s="40" t="str" cm="1">
        <f t="array" ref="AF237">IF(COUNTIF(AE14,"*V*"),
   _xlfn.LET(
      _xlpm.pos, COUNTIFS($C$14:AE14,"*"),
      _xlpm.val, INDEX($C$158:$AK$158, _xlpm.pos),
      IF(AE237="",
         SUBSTITUTE(_xlpm.val, ", ", " &amp; "),
         IF(COUNTIF(AE237,"*&amp;*"),
            _xlpm.val,
            SUBSTITUTE(_xlpm.val, ", ", " &amp; ")
         )
      )
   ),
"")</f>
        <v/>
      </c>
      <c r="AG237" s="40" t="str" cm="1">
        <f t="array" ref="AG237">IF(COUNTIF(AF14,"*V*"),
   _xlfn.LET(
      _xlpm.pos, COUNTIFS($C$14:AF14,"*"),
      _xlpm.val, INDEX($C$158:$AK$158, _xlpm.pos),
      IF(AF237="",
         SUBSTITUTE(_xlpm.val, ", ", " &amp; "),
         IF(COUNTIF(AF237,"*&amp;*"),
            _xlpm.val,
            SUBSTITUTE(_xlpm.val, ", ", " &amp; ")
         )
      )
   ),
"")</f>
        <v/>
      </c>
      <c r="AH237" s="40" t="str" cm="1">
        <f t="array" ref="AH237">IF(COUNTIF(AG14,"*V*"),
   _xlfn.LET(
      _xlpm.pos, COUNTIFS($C$14:AG14,"*"),
      _xlpm.val, INDEX($C$158:$AK$158, _xlpm.pos),
      IF(AG237="",
         SUBSTITUTE(_xlpm.val, ", ", " &amp; "),
         IF(COUNTIF(AG237,"*&amp;*"),
            _xlpm.val,
            SUBSTITUTE(_xlpm.val, ", ", " &amp; ")
         )
      )
   ),
"")</f>
        <v/>
      </c>
      <c r="AI237" s="40" t="str" cm="1">
        <f t="array" ref="AI237">IF(COUNTIF(AH14,"*V*"),
   _xlfn.LET(
      _xlpm.pos, COUNTIFS($C$14:AH14,"*"),
      _xlpm.val, INDEX($C$158:$AK$158, _xlpm.pos),
      IF(AH237="",
         SUBSTITUTE(_xlpm.val, ", ", " &amp; "),
         IF(COUNTIF(AH237,"*&amp;*"),
            _xlpm.val,
            SUBSTITUTE(_xlpm.val, ", ", " &amp; ")
         )
      )
   ),
"")</f>
        <v/>
      </c>
      <c r="AJ237" s="40" t="str" cm="1">
        <f t="array" ref="AJ237">IF(COUNTIF(AI14,"*V*"),
   _xlfn.LET(
      _xlpm.pos, COUNTIFS($C$14:AI14,"*"),
      _xlpm.val, INDEX($C$158:$AK$158, _xlpm.pos),
      IF(AI237="",
         SUBSTITUTE(_xlpm.val, ", ", " &amp; "),
         IF(COUNTIF(AI237,"*&amp;*"),
            _xlpm.val,
            SUBSTITUTE(_xlpm.val, ", ", " &amp; ")
         )
      )
   ),
"")</f>
        <v/>
      </c>
      <c r="AK237" s="40" t="str" cm="1">
        <f t="array" ref="AK237">IF(COUNTIF(AJ14,"*V*"),
   _xlfn.LET(
      _xlpm.pos, COUNTIFS($C$14:AJ14,"*"),
      _xlpm.val, INDEX($C$158:$AK$158, _xlpm.pos),
      IF(AJ237="",
         SUBSTITUTE(_xlpm.val, ", ", " &amp; "),
         IF(COUNTIF(AJ237,"*&amp;*"),
            _xlpm.val,
            SUBSTITUTE(_xlpm.val, ", ", " &amp; ")
         )
      )
   ),
"")</f>
        <v/>
      </c>
    </row>
    <row r="238" spans="1:37" ht="15.75" customHeight="1" thickBot="1" x14ac:dyDescent="0.4">
      <c r="A238" s="1197"/>
      <c r="B238" s="23">
        <v>12</v>
      </c>
      <c r="D238" s="40" t="str" cm="1">
        <f t="array" ref="D238">IF(COUNTIF(C15,"*V*"),
   _xlfn.LET(
      _xlpm.pos, COUNTIFS($C$15:C15,"*"),
      _xlpm.val, INDEX($C$159:$AK$159, _xlpm.pos),
      IF(C238="",
         SUBSTITUTE(_xlpm.val, ", ", " &amp; "),
         IF(COUNTIF(C238,"*&amp;*"),
            _xlpm.val,
            SUBSTITUTE(_xlpm.val, ", ", " &amp; ")
         )
      )
   ),
"")</f>
        <v/>
      </c>
      <c r="E238" s="40" t="str" cm="1">
        <f t="array" ref="E238">IF(COUNTIF(D15,"*V*"),
   _xlfn.LET(
      _xlpm.pos, COUNTIFS($C$15:D15,"*"),
      _xlpm.val, INDEX($C$159:$AK$159, _xlpm.pos),
      IF(D238="",
         SUBSTITUTE(_xlpm.val, ", ", " &amp; "),
         IF(COUNTIF(D238,"*&amp;*"),
            _xlpm.val,
            SUBSTITUTE(_xlpm.val, ", ", " &amp; ")
         )
      )
   ),
"")</f>
        <v/>
      </c>
      <c r="F238" s="40" t="str" cm="1">
        <f t="array" ref="F238">IF(COUNTIF(E15,"*V*"),
   _xlfn.LET(
      _xlpm.pos, COUNTIFS($C$15:E15,"*"),
      _xlpm.val, INDEX($C$159:$AK$159, _xlpm.pos),
      IF(E238="",
         SUBSTITUTE(_xlpm.val, ", ", " &amp; "),
         IF(COUNTIF(E238,"*&amp;*"),
            _xlpm.val,
            SUBSTITUTE(_xlpm.val, ", ", " &amp; ")
         )
      )
   ),
"")</f>
        <v/>
      </c>
      <c r="G238" s="40" t="str" cm="1">
        <f t="array" ref="G238">IF(COUNTIF(F15,"*V*"),
   _xlfn.LET(
      _xlpm.pos, COUNTIFS($C$15:F15,"*"),
      _xlpm.val, INDEX($C$159:$AK$159, _xlpm.pos),
      IF(F238="",
         SUBSTITUTE(_xlpm.val, ", ", " &amp; "),
         IF(COUNTIF(F238,"*&amp;*"),
            _xlpm.val,
            SUBSTITUTE(_xlpm.val, ", ", " &amp; ")
         )
      )
   ),
"")</f>
        <v/>
      </c>
      <c r="H238" s="40" t="str" cm="1">
        <f t="array" ref="H238">IF(COUNTIF(G15,"*V*"),
   _xlfn.LET(
      _xlpm.pos, COUNTIFS($C$15:G15,"*"),
      _xlpm.val, INDEX($C$159:$AK$159, _xlpm.pos),
      IF(G238="",
         SUBSTITUTE(_xlpm.val, ", ", " &amp; "),
         IF(COUNTIF(G238,"*&amp;*"),
            _xlpm.val,
            SUBSTITUTE(_xlpm.val, ", ", " &amp; ")
         )
      )
   ),
"")</f>
        <v/>
      </c>
      <c r="I238" s="40" t="str" cm="1">
        <f t="array" ref="I238">IF(COUNTIF(H15,"*V*"),
   _xlfn.LET(
      _xlpm.pos, COUNTIFS($C$15:H15,"*"),
      _xlpm.val, INDEX($C$159:$AK$159, _xlpm.pos),
      IF(H238="",
         SUBSTITUTE(_xlpm.val, ", ", " &amp; "),
         IF(COUNTIF(H238,"*&amp;*"),
            _xlpm.val,
            SUBSTITUTE(_xlpm.val, ", ", " &amp; ")
         )
      )
   ),
"")</f>
        <v/>
      </c>
      <c r="J238" s="40" t="str" cm="1">
        <f t="array" ref="J238">IF(COUNTIF(I15,"*V*"),
   _xlfn.LET(
      _xlpm.pos, COUNTIFS($C$15:I15,"*"),
      _xlpm.val, INDEX($C$159:$AK$159, _xlpm.pos),
      IF(I238="",
         SUBSTITUTE(_xlpm.val, ", ", " &amp; "),
         IF(COUNTIF(I238,"*&amp;*"),
            _xlpm.val,
            SUBSTITUTE(_xlpm.val, ", ", " &amp; ")
         )
      )
   ),
"")</f>
        <v/>
      </c>
      <c r="K238" s="40" t="str" cm="1">
        <f t="array" ref="K238">IF(COUNTIF(J15,"*V*"),
   _xlfn.LET(
      _xlpm.pos, COUNTIFS($C$15:J15,"*"),
      _xlpm.val, INDEX($C$159:$AK$159, _xlpm.pos),
      IF(J238="",
         SUBSTITUTE(_xlpm.val, ", ", " &amp; "),
         IF(COUNTIF(J238,"*&amp;*"),
            _xlpm.val,
            SUBSTITUTE(_xlpm.val, ", ", " &amp; ")
         )
      )
   ),
"")</f>
        <v/>
      </c>
      <c r="L238" s="40" t="str" cm="1">
        <f t="array" ref="L238">IF(COUNTIF(K15,"*V*"),
   _xlfn.LET(
      _xlpm.pos, COUNTIFS($C$15:K15,"*"),
      _xlpm.val, INDEX($C$159:$AK$159, _xlpm.pos),
      IF(K238="",
         SUBSTITUTE(_xlpm.val, ", ", " &amp; "),
         IF(COUNTIF(K238,"*&amp;*"),
            _xlpm.val,
            SUBSTITUTE(_xlpm.val, ", ", " &amp; ")
         )
      )
   ),
"")</f>
        <v/>
      </c>
      <c r="M238" s="40" t="str" cm="1">
        <f t="array" ref="M238">IF(COUNTIF(L15,"*V*"),
   _xlfn.LET(
      _xlpm.pos, COUNTIFS($C$15:L15,"*"),
      _xlpm.val, INDEX($C$159:$AK$159, _xlpm.pos),
      IF(L238="",
         SUBSTITUTE(_xlpm.val, ", ", " &amp; "),
         IF(COUNTIF(L238,"*&amp;*"),
            _xlpm.val,
            SUBSTITUTE(_xlpm.val, ", ", " &amp; ")
         )
      )
   ),
"")</f>
        <v/>
      </c>
      <c r="N238" s="40" t="str" cm="1">
        <f t="array" ref="N238">IF(COUNTIF(M15,"*V*"),
   _xlfn.LET(
      _xlpm.pos, COUNTIFS($C$15:M15,"*"),
      _xlpm.val, INDEX($C$159:$AK$159, _xlpm.pos),
      IF(M238="",
         SUBSTITUTE(_xlpm.val, ", ", " &amp; "),
         IF(COUNTIF(M238,"*&amp;*"),
            _xlpm.val,
            SUBSTITUTE(_xlpm.val, ", ", " &amp; ")
         )
      )
   ),
"")</f>
        <v/>
      </c>
      <c r="O238" s="40" t="str" cm="1">
        <f t="array" ref="O238">IF(COUNTIF(N15,"*V*"),
   _xlfn.LET(
      _xlpm.pos, COUNTIFS($C$15:N15,"*"),
      _xlpm.val, INDEX($C$159:$AK$159, _xlpm.pos),
      IF(N238="",
         SUBSTITUTE(_xlpm.val, ", ", " &amp; "),
         IF(COUNTIF(N238,"*&amp;*"),
            _xlpm.val,
            SUBSTITUTE(_xlpm.val, ", ", " &amp; ")
         )
      )
   ),
"")</f>
        <v/>
      </c>
      <c r="P238" s="40" t="str" cm="1">
        <f t="array" ref="P238">IF(COUNTIF(O15,"*V*"),
   _xlfn.LET(
      _xlpm.pos, COUNTIFS($C$15:O15,"*"),
      _xlpm.val, INDEX($C$159:$AK$159, _xlpm.pos),
      IF(O238="",
         SUBSTITUTE(_xlpm.val, ", ", " &amp; "),
         IF(COUNTIF(O238,"*&amp;*"),
            _xlpm.val,
            SUBSTITUTE(_xlpm.val, ", ", " &amp; ")
         )
      )
   ),
"")</f>
        <v/>
      </c>
      <c r="Q238" s="40" t="str" cm="1">
        <f t="array" ref="Q238">IF(COUNTIF(P15,"*V*"),
   _xlfn.LET(
      _xlpm.pos, COUNTIFS($C$15:P15,"*"),
      _xlpm.val, INDEX($C$159:$AK$159, _xlpm.pos),
      IF(P238="",
         SUBSTITUTE(_xlpm.val, ", ", " &amp; "),
         IF(COUNTIF(P238,"*&amp;*"),
            _xlpm.val,
            SUBSTITUTE(_xlpm.val, ", ", " &amp; ")
         )
      )
   ),
"")</f>
        <v/>
      </c>
      <c r="R238" s="40" t="str" cm="1">
        <f t="array" ref="R238">IF(COUNTIF(Q15,"*V*"),
   _xlfn.LET(
      _xlpm.pos, COUNTIFS($C$15:Q15,"*"),
      _xlpm.val, INDEX($C$159:$AK$159, _xlpm.pos),
      IF(Q238="",
         SUBSTITUTE(_xlpm.val, ", ", " &amp; "),
         IF(COUNTIF(Q238,"*&amp;*"),
            _xlpm.val,
            SUBSTITUTE(_xlpm.val, ", ", " &amp; ")
         )
      )
   ),
"")</f>
        <v/>
      </c>
      <c r="S238" s="40" t="str" cm="1">
        <f t="array" ref="S238">IF(COUNTIF(R15,"*V*"),
   _xlfn.LET(
      _xlpm.pos, COUNTIFS($C$15:R15,"*"),
      _xlpm.val, INDEX($C$159:$AK$159, _xlpm.pos),
      IF(R238="",
         SUBSTITUTE(_xlpm.val, ", ", " &amp; "),
         IF(COUNTIF(R238,"*&amp;*"),
            _xlpm.val,
            SUBSTITUTE(_xlpm.val, ", ", " &amp; ")
         )
      )
   ),
"")</f>
        <v/>
      </c>
      <c r="T238" s="40" t="str" cm="1">
        <f t="array" ref="T238">IF(COUNTIF(S15,"*V*"),
   _xlfn.LET(
      _xlpm.pos, COUNTIFS($C$15:S15,"*"),
      _xlpm.val, INDEX($C$159:$AK$159, _xlpm.pos),
      IF(S238="",
         SUBSTITUTE(_xlpm.val, ", ", " &amp; "),
         IF(COUNTIF(S238,"*&amp;*"),
            _xlpm.val,
            SUBSTITUTE(_xlpm.val, ", ", " &amp; ")
         )
      )
   ),
"")</f>
        <v/>
      </c>
      <c r="U238" s="40" t="str" cm="1">
        <f t="array" ref="U238">IF(COUNTIF(T15,"*V*"),
   _xlfn.LET(
      _xlpm.pos, COUNTIFS($C$15:T15,"*"),
      _xlpm.val, INDEX($C$159:$AK$159, _xlpm.pos),
      IF(T238="",
         SUBSTITUTE(_xlpm.val, ", ", " &amp; "),
         IF(COUNTIF(T238,"*&amp;*"),
            _xlpm.val,
            SUBSTITUTE(_xlpm.val, ", ", " &amp; ")
         )
      )
   ),
"")</f>
        <v/>
      </c>
      <c r="V238" s="40" t="str" cm="1">
        <f t="array" ref="V238">IF(COUNTIF(U15,"*V*"),
   _xlfn.LET(
      _xlpm.pos, COUNTIFS($C$15:U15,"*"),
      _xlpm.val, INDEX($C$159:$AK$159, _xlpm.pos),
      IF(U238="",
         SUBSTITUTE(_xlpm.val, ", ", " &amp; "),
         IF(COUNTIF(U238,"*&amp;*"),
            _xlpm.val,
            SUBSTITUTE(_xlpm.val, ", ", " &amp; ")
         )
      )
   ),
"")</f>
        <v/>
      </c>
      <c r="W238" s="40" t="str" cm="1">
        <f t="array" ref="W238">IF(COUNTIF(V15,"*V*"),
   _xlfn.LET(
      _xlpm.pos, COUNTIFS($C$15:V15,"*"),
      _xlpm.val, INDEX($C$159:$AK$159, _xlpm.pos),
      IF(V238="",
         SUBSTITUTE(_xlpm.val, ", ", " &amp; "),
         IF(COUNTIF(V238,"*&amp;*"),
            _xlpm.val,
            SUBSTITUTE(_xlpm.val, ", ", " &amp; ")
         )
      )
   ),
"")</f>
        <v/>
      </c>
      <c r="X238" s="40" t="str" cm="1">
        <f t="array" ref="X238">IF(COUNTIF(W15,"*V*"),
   _xlfn.LET(
      _xlpm.pos, COUNTIFS($C$15:W15,"*"),
      _xlpm.val, INDEX($C$159:$AK$159, _xlpm.pos),
      IF(W238="",
         SUBSTITUTE(_xlpm.val, ", ", " &amp; "),
         IF(COUNTIF(W238,"*&amp;*"),
            _xlpm.val,
            SUBSTITUTE(_xlpm.val, ", ", " &amp; ")
         )
      )
   ),
"")</f>
        <v/>
      </c>
      <c r="Y238" s="40" t="str" cm="1">
        <f t="array" ref="Y238">IF(COUNTIF(X15,"*V*"),
   _xlfn.LET(
      _xlpm.pos, COUNTIFS($C$15:X15,"*"),
      _xlpm.val, INDEX($C$159:$AK$159, _xlpm.pos),
      IF(X238="",
         SUBSTITUTE(_xlpm.val, ", ", " &amp; "),
         IF(COUNTIF(X238,"*&amp;*"),
            _xlpm.val,
            SUBSTITUTE(_xlpm.val, ", ", " &amp; ")
         )
      )
   ),
"")</f>
        <v/>
      </c>
      <c r="Z238" s="40" t="str" cm="1">
        <f t="array" ref="Z238">IF(COUNTIF(Y15,"*V*"),
   _xlfn.LET(
      _xlpm.pos, COUNTIFS($C$15:Y15,"*"),
      _xlpm.val, INDEX($C$159:$AK$159, _xlpm.pos),
      IF(Y238="",
         SUBSTITUTE(_xlpm.val, ", ", " &amp; "),
         IF(COUNTIF(Y238,"*&amp;*"),
            _xlpm.val,
            SUBSTITUTE(_xlpm.val, ", ", " &amp; ")
         )
      )
   ),
"")</f>
        <v/>
      </c>
      <c r="AA238" s="40" t="str" cm="1">
        <f t="array" ref="AA238">IF(COUNTIF(Z15,"*V*"),
   _xlfn.LET(
      _xlpm.pos, COUNTIFS($C$15:Z15,"*"),
      _xlpm.val, INDEX($C$159:$AK$159, _xlpm.pos),
      IF(Z238="",
         SUBSTITUTE(_xlpm.val, ", ", " &amp; "),
         IF(COUNTIF(Z238,"*&amp;*"),
            _xlpm.val,
            SUBSTITUTE(_xlpm.val, ", ", " &amp; ")
         )
      )
   ),
"")</f>
        <v/>
      </c>
      <c r="AB238" s="40" t="str" cm="1">
        <f t="array" ref="AB238">IF(COUNTIF(AA15,"*V*"),
   _xlfn.LET(
      _xlpm.pos, COUNTIFS($C$15:AA15,"*"),
      _xlpm.val, INDEX($C$159:$AK$159, _xlpm.pos),
      IF(AA238="",
         SUBSTITUTE(_xlpm.val, ", ", " &amp; "),
         IF(COUNTIF(AA238,"*&amp;*"),
            _xlpm.val,
            SUBSTITUTE(_xlpm.val, ", ", " &amp; ")
         )
      )
   ),
"")</f>
        <v/>
      </c>
      <c r="AC238" s="40" t="str" cm="1">
        <f t="array" ref="AC238">IF(COUNTIF(AB15,"*V*"),
   _xlfn.LET(
      _xlpm.pos, COUNTIFS($C$15:AB15,"*"),
      _xlpm.val, INDEX($C$159:$AK$159, _xlpm.pos),
      IF(AB238="",
         SUBSTITUTE(_xlpm.val, ", ", " &amp; "),
         IF(COUNTIF(AB238,"*&amp;*"),
            _xlpm.val,
            SUBSTITUTE(_xlpm.val, ", ", " &amp; ")
         )
      )
   ),
"")</f>
        <v/>
      </c>
      <c r="AD238" s="40" t="str" cm="1">
        <f t="array" ref="AD238">IF(COUNTIF(AC15,"*V*"),
   _xlfn.LET(
      _xlpm.pos, COUNTIFS($C$15:AC15,"*"),
      _xlpm.val, INDEX($C$159:$AK$159, _xlpm.pos),
      IF(AC238="",
         SUBSTITUTE(_xlpm.val, ", ", " &amp; "),
         IF(COUNTIF(AC238,"*&amp;*"),
            _xlpm.val,
            SUBSTITUTE(_xlpm.val, ", ", " &amp; ")
         )
      )
   ),
"")</f>
        <v/>
      </c>
      <c r="AE238" s="40" t="str" cm="1">
        <f t="array" ref="AE238">IF(COUNTIF(AD15,"*V*"),
   _xlfn.LET(
      _xlpm.pos, COUNTIFS($C$15:AD15,"*"),
      _xlpm.val, INDEX($C$159:$AK$159, _xlpm.pos),
      IF(AD238="",
         SUBSTITUTE(_xlpm.val, ", ", " &amp; "),
         IF(COUNTIF(AD238,"*&amp;*"),
            _xlpm.val,
            SUBSTITUTE(_xlpm.val, ", ", " &amp; ")
         )
      )
   ),
"")</f>
        <v/>
      </c>
      <c r="AF238" s="40" t="str" cm="1">
        <f t="array" ref="AF238">IF(COUNTIF(AE15,"*V*"),
   _xlfn.LET(
      _xlpm.pos, COUNTIFS($C$15:AE15,"*"),
      _xlpm.val, INDEX($C$159:$AK$159, _xlpm.pos),
      IF(AE238="",
         SUBSTITUTE(_xlpm.val, ", ", " &amp; "),
         IF(COUNTIF(AE238,"*&amp;*"),
            _xlpm.val,
            SUBSTITUTE(_xlpm.val, ", ", " &amp; ")
         )
      )
   ),
"")</f>
        <v/>
      </c>
      <c r="AG238" s="40" t="str" cm="1">
        <f t="array" ref="AG238">IF(COUNTIF(AF15,"*V*"),
   _xlfn.LET(
      _xlpm.pos, COUNTIFS($C$15:AF15,"*"),
      _xlpm.val, INDEX($C$159:$AK$159, _xlpm.pos),
      IF(AF238="",
         SUBSTITUTE(_xlpm.val, ", ", " &amp; "),
         IF(COUNTIF(AF238,"*&amp;*"),
            _xlpm.val,
            SUBSTITUTE(_xlpm.val, ", ", " &amp; ")
         )
      )
   ),
"")</f>
        <v/>
      </c>
      <c r="AH238" s="40" t="str" cm="1">
        <f t="array" ref="AH238">IF(COUNTIF(AG15,"*V*"),
   _xlfn.LET(
      _xlpm.pos, COUNTIFS($C$15:AG15,"*"),
      _xlpm.val, INDEX($C$159:$AK$159, _xlpm.pos),
      IF(AG238="",
         SUBSTITUTE(_xlpm.val, ", ", " &amp; "),
         IF(COUNTIF(AG238,"*&amp;*"),
            _xlpm.val,
            SUBSTITUTE(_xlpm.val, ", ", " &amp; ")
         )
      )
   ),
"")</f>
        <v/>
      </c>
      <c r="AI238" s="40" t="str" cm="1">
        <f t="array" ref="AI238">IF(COUNTIF(AH15,"*V*"),
   _xlfn.LET(
      _xlpm.pos, COUNTIFS($C$15:AH15,"*"),
      _xlpm.val, INDEX($C$159:$AK$159, _xlpm.pos),
      IF(AH238="",
         SUBSTITUTE(_xlpm.val, ", ", " &amp; "),
         IF(COUNTIF(AH238,"*&amp;*"),
            _xlpm.val,
            SUBSTITUTE(_xlpm.val, ", ", " &amp; ")
         )
      )
   ),
"")</f>
        <v/>
      </c>
      <c r="AJ238" s="40" t="str" cm="1">
        <f t="array" ref="AJ238">IF(COUNTIF(AI15,"*V*"),
   _xlfn.LET(
      _xlpm.pos, COUNTIFS($C$15:AI15,"*"),
      _xlpm.val, INDEX($C$159:$AK$159, _xlpm.pos),
      IF(AI238="",
         SUBSTITUTE(_xlpm.val, ", ", " &amp; "),
         IF(COUNTIF(AI238,"*&amp;*"),
            _xlpm.val,
            SUBSTITUTE(_xlpm.val, ", ", " &amp; ")
         )
      )
   ),
"")</f>
        <v/>
      </c>
      <c r="AK238" s="40" t="str" cm="1">
        <f t="array" ref="AK238">IF(COUNTIF(AJ15,"*V*"),
   _xlfn.LET(
      _xlpm.pos, COUNTIFS($C$15:AJ15,"*"),
      _xlpm.val, INDEX($C$159:$AK$159, _xlpm.pos),
      IF(AJ238="",
         SUBSTITUTE(_xlpm.val, ", ", " &amp; "),
         IF(COUNTIF(AJ238,"*&amp;*"),
            _xlpm.val,
            SUBSTITUTE(_xlpm.val, ", ", " &amp; ")
         )
      )
   ),
"")</f>
        <v/>
      </c>
    </row>
    <row r="239" spans="1:37" ht="10" customHeight="1" x14ac:dyDescent="0.35"/>
    <row r="240" spans="1:37" ht="10" customHeight="1" x14ac:dyDescent="0.35">
      <c r="G240" s="65"/>
    </row>
    <row r="241" spans="1:40" ht="10" customHeight="1" x14ac:dyDescent="0.35"/>
    <row r="242" spans="1:40" ht="10" customHeight="1" x14ac:dyDescent="0.35"/>
    <row r="243" spans="1:40" ht="10" customHeight="1" x14ac:dyDescent="0.35"/>
    <row r="244" spans="1:40" ht="10" customHeight="1" x14ac:dyDescent="0.35"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</row>
    <row r="245" spans="1:40" ht="15.75" customHeight="1" thickBot="1" x14ac:dyDescent="0.4">
      <c r="D245" s="1201" t="s">
        <v>822</v>
      </c>
      <c r="E245" s="1201"/>
      <c r="F245" s="1201"/>
      <c r="G245" s="1201"/>
      <c r="H245" s="1201"/>
      <c r="I245" s="1201"/>
      <c r="J245" s="1201"/>
      <c r="K245" s="1201"/>
      <c r="L245" s="1201"/>
      <c r="M245" s="1201"/>
      <c r="N245" s="1201"/>
      <c r="O245" s="1201"/>
      <c r="P245" s="1201"/>
      <c r="Q245" s="1201"/>
      <c r="R245" s="1201"/>
      <c r="S245" s="1201"/>
      <c r="T245" s="1201"/>
      <c r="U245" s="1201"/>
      <c r="V245" s="1201"/>
      <c r="W245" s="1201"/>
      <c r="X245" s="66"/>
      <c r="Y245" s="66"/>
      <c r="Z245" s="66"/>
      <c r="AA245" s="66"/>
      <c r="AB245" s="66"/>
      <c r="AC245" s="66"/>
      <c r="AD245" s="66"/>
      <c r="AE245" s="66"/>
      <c r="AF245" s="66"/>
    </row>
    <row r="246" spans="1:40" ht="15" customHeight="1" x14ac:dyDescent="0.35">
      <c r="A246" s="1202"/>
      <c r="B246" s="1203"/>
      <c r="D246" s="1206" t="s">
        <v>17</v>
      </c>
      <c r="E246" s="1207"/>
      <c r="F246" s="1207"/>
      <c r="G246" s="1207"/>
      <c r="H246" s="1207"/>
      <c r="I246" s="1207"/>
      <c r="J246" s="1207"/>
      <c r="K246" s="1207"/>
      <c r="L246" s="1207"/>
      <c r="M246" s="1207"/>
      <c r="N246" s="1207"/>
      <c r="O246" s="1207"/>
      <c r="P246" s="1207"/>
      <c r="Q246" s="1207"/>
      <c r="R246" s="1207"/>
      <c r="S246" s="1207"/>
      <c r="T246" s="1207"/>
      <c r="U246" s="1207"/>
      <c r="V246" s="1207"/>
      <c r="W246" s="1208"/>
      <c r="X246" s="6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8"/>
    </row>
    <row r="247" spans="1:40" ht="15.75" customHeight="1" thickBot="1" x14ac:dyDescent="0.4">
      <c r="A247" s="1204"/>
      <c r="B247" s="1205"/>
      <c r="D247" s="16">
        <v>1</v>
      </c>
      <c r="E247" s="17">
        <v>2</v>
      </c>
      <c r="F247" s="17">
        <v>3</v>
      </c>
      <c r="G247" s="17">
        <v>4</v>
      </c>
      <c r="H247" s="17">
        <v>5</v>
      </c>
      <c r="I247" s="17">
        <v>6</v>
      </c>
      <c r="J247" s="17">
        <v>7</v>
      </c>
      <c r="K247" s="17">
        <v>8</v>
      </c>
      <c r="L247" s="17">
        <v>9</v>
      </c>
      <c r="M247" s="17">
        <v>10</v>
      </c>
      <c r="N247" s="17">
        <v>11</v>
      </c>
      <c r="O247" s="17">
        <v>12</v>
      </c>
      <c r="P247" s="17">
        <v>13</v>
      </c>
      <c r="Q247" s="17">
        <v>14</v>
      </c>
      <c r="R247" s="17">
        <v>15</v>
      </c>
      <c r="S247" s="17">
        <v>16</v>
      </c>
      <c r="T247" s="17">
        <v>17</v>
      </c>
      <c r="U247" s="17">
        <v>18</v>
      </c>
      <c r="V247" s="17">
        <v>19</v>
      </c>
      <c r="W247" s="18">
        <v>20</v>
      </c>
      <c r="X247" s="17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20"/>
    </row>
    <row r="248" spans="1:40" ht="15" customHeight="1" thickBot="1" x14ac:dyDescent="0.4">
      <c r="A248" s="1196" t="s">
        <v>18</v>
      </c>
      <c r="B248" s="21">
        <v>1</v>
      </c>
      <c r="D248" s="40" t="str">
        <f t="shared" ref="D248:AK248" si="17">IF(AND(C227="",E227=""),"",IF(D227&lt;&gt;"",IF(E227&lt;&gt;"",SUBSTITUTE(D227,","," &amp;")&amp;SUBSTITUTE(E227," &amp;",","),""),""))</f>
        <v/>
      </c>
      <c r="E248" s="40" t="str">
        <f t="shared" si="17"/>
        <v/>
      </c>
      <c r="F248" s="40" t="str">
        <f t="shared" si="17"/>
        <v/>
      </c>
      <c r="G248" s="40" t="str">
        <f t="shared" si="17"/>
        <v/>
      </c>
      <c r="H248" s="40" t="str">
        <f t="shared" si="17"/>
        <v/>
      </c>
      <c r="I248" s="40" t="str">
        <f t="shared" si="17"/>
        <v/>
      </c>
      <c r="J248" s="40" t="str">
        <f t="shared" si="17"/>
        <v/>
      </c>
      <c r="K248" s="40" t="str">
        <f t="shared" si="17"/>
        <v/>
      </c>
      <c r="L248" s="40" t="str">
        <f t="shared" si="17"/>
        <v/>
      </c>
      <c r="M248" s="40" t="str">
        <f t="shared" si="17"/>
        <v/>
      </c>
      <c r="N248" s="40" t="str">
        <f t="shared" si="17"/>
        <v/>
      </c>
      <c r="O248" s="40" t="str">
        <f t="shared" si="17"/>
        <v/>
      </c>
      <c r="P248" s="40" t="str">
        <f t="shared" si="17"/>
        <v/>
      </c>
      <c r="Q248" s="40" t="str">
        <f t="shared" si="17"/>
        <v/>
      </c>
      <c r="R248" s="40" t="str">
        <f t="shared" si="17"/>
        <v/>
      </c>
      <c r="S248" s="40" t="str">
        <f t="shared" si="17"/>
        <v/>
      </c>
      <c r="T248" s="40" t="str">
        <f t="shared" si="17"/>
        <v/>
      </c>
      <c r="U248" s="40" t="str">
        <f t="shared" si="17"/>
        <v/>
      </c>
      <c r="V248" s="40" t="str">
        <f t="shared" si="17"/>
        <v/>
      </c>
      <c r="W248" s="40" t="str">
        <f t="shared" si="17"/>
        <v/>
      </c>
      <c r="X248" s="40" t="str">
        <f t="shared" si="17"/>
        <v/>
      </c>
      <c r="Y248" s="40" t="str">
        <f t="shared" si="17"/>
        <v/>
      </c>
      <c r="Z248" s="40" t="str">
        <f t="shared" si="17"/>
        <v/>
      </c>
      <c r="AA248" s="40" t="str">
        <f t="shared" si="17"/>
        <v/>
      </c>
      <c r="AB248" s="40" t="str">
        <f t="shared" si="17"/>
        <v/>
      </c>
      <c r="AC248" s="40" t="str">
        <f t="shared" si="17"/>
        <v/>
      </c>
      <c r="AD248" s="40" t="str">
        <f t="shared" si="17"/>
        <v/>
      </c>
      <c r="AE248" s="40" t="str">
        <f t="shared" si="17"/>
        <v/>
      </c>
      <c r="AF248" s="40" t="str">
        <f t="shared" si="17"/>
        <v/>
      </c>
      <c r="AG248" s="40" t="str">
        <f t="shared" si="17"/>
        <v/>
      </c>
      <c r="AH248" s="40" t="str">
        <f t="shared" si="17"/>
        <v/>
      </c>
      <c r="AI248" s="40" t="str">
        <f t="shared" si="17"/>
        <v/>
      </c>
      <c r="AJ248" s="40" t="str">
        <f t="shared" si="17"/>
        <v/>
      </c>
      <c r="AK248" s="40" t="str">
        <f t="shared" si="17"/>
        <v/>
      </c>
      <c r="AL248" s="62" t="str">
        <f>CONCATENATE(D248,E248,F248,G248,H248,I248,J248,K248,L248,M248,N248,O248,P248,Q248,R248,S248,T248,U248,V248,W248,X248,Y248,Z248,AA248,AB248,AC248,AD248,AE248,AF248,AG248,AH248,AI248,AJ248,AK248)</f>
        <v/>
      </c>
      <c r="AN248" s="112" t="str">
        <f>IF(AL248&lt;&gt;"",CONCATENATE("B1 (",LEFT(SUBSTITUTE(AL248,"B1",""),LEN(SUBSTITUTE(AL248,"B1",""))-2),"), "), "")</f>
        <v/>
      </c>
    </row>
    <row r="249" spans="1:40" ht="15" customHeight="1" thickBot="1" x14ac:dyDescent="0.4">
      <c r="A249" s="1196"/>
      <c r="B249" s="22">
        <v>2</v>
      </c>
      <c r="D249" s="40" t="str">
        <f t="shared" ref="D249:D259" si="18">IF(AND(C228="",E228=""),"",IF(D228&lt;&gt;"",IF(E228&lt;&gt;"",SUBSTITUTE(D228,","," &amp;")&amp;SUBSTITUTE(E228," &amp;",","),""),""))</f>
        <v/>
      </c>
      <c r="E249" s="40" t="str">
        <f t="shared" ref="E249:E259" si="19">IF(AND(D228="",F228=""),"",IF(E228&lt;&gt;"",IF(F228&lt;&gt;"",SUBSTITUTE(E228,","," &amp;")&amp;SUBSTITUTE(F228," &amp;",","),""),""))</f>
        <v/>
      </c>
      <c r="F249" s="40" t="str">
        <f t="shared" ref="F249:F259" si="20">IF(AND(E228="",G228=""),"",IF(F228&lt;&gt;"",IF(G228&lt;&gt;"",SUBSTITUTE(F228,","," &amp;")&amp;SUBSTITUTE(G228," &amp;",","),""),""))</f>
        <v/>
      </c>
      <c r="G249" s="40" t="str">
        <f t="shared" ref="G249:G259" si="21">IF(AND(F228="",H228=""),"",IF(G228&lt;&gt;"",IF(H228&lt;&gt;"",SUBSTITUTE(G228,","," &amp;")&amp;SUBSTITUTE(H228," &amp;",","),""),""))</f>
        <v/>
      </c>
      <c r="H249" s="40" t="str">
        <f t="shared" ref="H249:H259" si="22">IF(AND(G228="",I228=""),"",IF(H228&lt;&gt;"",IF(I228&lt;&gt;"",SUBSTITUTE(H228,","," &amp;")&amp;SUBSTITUTE(I228," &amp;",","),""),""))</f>
        <v/>
      </c>
      <c r="I249" s="40" t="str">
        <f t="shared" ref="I249:I259" si="23">IF(AND(H228="",J228=""),"",IF(I228&lt;&gt;"",IF(J228&lt;&gt;"",SUBSTITUTE(I228,","," &amp;")&amp;SUBSTITUTE(J228," &amp;",","),""),""))</f>
        <v/>
      </c>
      <c r="J249" s="40" t="str">
        <f t="shared" ref="J249:J259" si="24">IF(AND(I228="",K228=""),"",IF(J228&lt;&gt;"",IF(K228&lt;&gt;"",SUBSTITUTE(J228,","," &amp;")&amp;SUBSTITUTE(K228," &amp;",","),""),""))</f>
        <v/>
      </c>
      <c r="K249" s="40" t="str">
        <f t="shared" ref="K249:K259" si="25">IF(AND(J228="",L228=""),"",IF(K228&lt;&gt;"",IF(L228&lt;&gt;"",SUBSTITUTE(K228,","," &amp;")&amp;SUBSTITUTE(L228," &amp;",","),""),""))</f>
        <v/>
      </c>
      <c r="L249" s="40" t="str">
        <f t="shared" ref="L249:L259" si="26">IF(AND(K228="",M228=""),"",IF(L228&lt;&gt;"",IF(M228&lt;&gt;"",SUBSTITUTE(L228,","," &amp;")&amp;SUBSTITUTE(M228," &amp;",","),""),""))</f>
        <v/>
      </c>
      <c r="M249" s="40" t="str">
        <f t="shared" ref="M249:M259" si="27">IF(AND(L228="",N228=""),"",IF(M228&lt;&gt;"",IF(N228&lt;&gt;"",SUBSTITUTE(M228,","," &amp;")&amp;SUBSTITUTE(N228," &amp;",","),""),""))</f>
        <v/>
      </c>
      <c r="N249" s="40" t="str">
        <f t="shared" ref="N249:N259" si="28">IF(AND(M228="",O228=""),"",IF(N228&lt;&gt;"",IF(O228&lt;&gt;"",SUBSTITUTE(N228,","," &amp;")&amp;SUBSTITUTE(O228," &amp;",","),""),""))</f>
        <v/>
      </c>
      <c r="O249" s="40" t="str">
        <f t="shared" ref="O249:O259" si="29">IF(AND(N228="",P228=""),"",IF(O228&lt;&gt;"",IF(P228&lt;&gt;"",SUBSTITUTE(O228,","," &amp;")&amp;SUBSTITUTE(P228," &amp;",","),""),""))</f>
        <v/>
      </c>
      <c r="P249" s="40" t="str">
        <f t="shared" ref="P249:P259" si="30">IF(AND(O228="",Q228=""),"",IF(P228&lt;&gt;"",IF(Q228&lt;&gt;"",SUBSTITUTE(P228,","," &amp;")&amp;SUBSTITUTE(Q228," &amp;",","),""),""))</f>
        <v/>
      </c>
      <c r="Q249" s="40" t="str">
        <f t="shared" ref="Q249:Q259" si="31">IF(AND(P228="",R228=""),"",IF(Q228&lt;&gt;"",IF(R228&lt;&gt;"",SUBSTITUTE(Q228,","," &amp;")&amp;SUBSTITUTE(R228," &amp;",","),""),""))</f>
        <v/>
      </c>
      <c r="R249" s="40" t="str">
        <f t="shared" ref="R249:R259" si="32">IF(AND(Q228="",S228=""),"",IF(R228&lt;&gt;"",IF(S228&lt;&gt;"",SUBSTITUTE(R228,","," &amp;")&amp;SUBSTITUTE(S228," &amp;",","),""),""))</f>
        <v/>
      </c>
      <c r="S249" s="40" t="str">
        <f t="shared" ref="S249:S259" si="33">IF(AND(R228="",T228=""),"",IF(S228&lt;&gt;"",IF(T228&lt;&gt;"",SUBSTITUTE(S228,","," &amp;")&amp;SUBSTITUTE(T228," &amp;",","),""),""))</f>
        <v/>
      </c>
      <c r="T249" s="40" t="str">
        <f t="shared" ref="T249:T259" si="34">IF(AND(S228="",U228=""),"",IF(T228&lt;&gt;"",IF(U228&lt;&gt;"",SUBSTITUTE(T228,","," &amp;")&amp;SUBSTITUTE(U228," &amp;",","),""),""))</f>
        <v/>
      </c>
      <c r="U249" s="40" t="str">
        <f t="shared" ref="U249:U259" si="35">IF(AND(T228="",V228=""),"",IF(U228&lt;&gt;"",IF(V228&lt;&gt;"",SUBSTITUTE(U228,","," &amp;")&amp;SUBSTITUTE(V228," &amp;",","),""),""))</f>
        <v/>
      </c>
      <c r="V249" s="40" t="str">
        <f t="shared" ref="V249:V259" si="36">IF(AND(U228="",W228=""),"",IF(V228&lt;&gt;"",IF(W228&lt;&gt;"",SUBSTITUTE(V228,","," &amp;")&amp;SUBSTITUTE(W228," &amp;",","),""),""))</f>
        <v/>
      </c>
      <c r="W249" s="40" t="str">
        <f t="shared" ref="W249:W259" si="37">IF(AND(V228="",X228=""),"",IF(W228&lt;&gt;"",IF(X228&lt;&gt;"",SUBSTITUTE(W228,","," &amp;")&amp;SUBSTITUTE(X228," &amp;",","),""),""))</f>
        <v/>
      </c>
      <c r="X249" s="40" t="str">
        <f t="shared" ref="X249:X259" si="38">IF(AND(W228="",Y228=""),"",IF(X228&lt;&gt;"",IF(Y228&lt;&gt;"",SUBSTITUTE(X228,","," &amp;")&amp;SUBSTITUTE(Y228," &amp;",","),""),""))</f>
        <v/>
      </c>
      <c r="Y249" s="40" t="str">
        <f t="shared" ref="Y249:Y259" si="39">IF(AND(X228="",Z228=""),"",IF(Y228&lt;&gt;"",IF(Z228&lt;&gt;"",SUBSTITUTE(Y228,","," &amp;")&amp;SUBSTITUTE(Z228," &amp;",","),""),""))</f>
        <v/>
      </c>
      <c r="Z249" s="40" t="str">
        <f t="shared" ref="Z249:Z259" si="40">IF(AND(Y228="",AA228=""),"",IF(Z228&lt;&gt;"",IF(AA228&lt;&gt;"",SUBSTITUTE(Z228,","," &amp;")&amp;SUBSTITUTE(AA228," &amp;",","),""),""))</f>
        <v/>
      </c>
      <c r="AA249" s="40" t="str">
        <f t="shared" ref="AA249:AA259" si="41">IF(AND(Z228="",AB228=""),"",IF(AA228&lt;&gt;"",IF(AB228&lt;&gt;"",SUBSTITUTE(AA228,","," &amp;")&amp;SUBSTITUTE(AB228," &amp;",","),""),""))</f>
        <v/>
      </c>
      <c r="AB249" s="40" t="str">
        <f t="shared" ref="AB249:AB259" si="42">IF(AND(AA228="",AC228=""),"",IF(AB228&lt;&gt;"",IF(AC228&lt;&gt;"",SUBSTITUTE(AB228,","," &amp;")&amp;SUBSTITUTE(AC228," &amp;",","),""),""))</f>
        <v/>
      </c>
      <c r="AC249" s="40" t="str">
        <f t="shared" ref="AC249:AC259" si="43">IF(AND(AB228="",AD228=""),"",IF(AC228&lt;&gt;"",IF(AD228&lt;&gt;"",SUBSTITUTE(AC228,","," &amp;")&amp;SUBSTITUTE(AD228," &amp;",","),""),""))</f>
        <v/>
      </c>
      <c r="AD249" s="40" t="str">
        <f t="shared" ref="AD249:AD259" si="44">IF(AND(AC228="",AE228=""),"",IF(AD228&lt;&gt;"",IF(AE228&lt;&gt;"",SUBSTITUTE(AD228,","," &amp;")&amp;SUBSTITUTE(AE228," &amp;",","),""),""))</f>
        <v/>
      </c>
      <c r="AE249" s="40" t="str">
        <f t="shared" ref="AE249:AE259" si="45">IF(AND(AD228="",AF228=""),"",IF(AE228&lt;&gt;"",IF(AF228&lt;&gt;"",SUBSTITUTE(AE228,","," &amp;")&amp;SUBSTITUTE(AF228," &amp;",","),""),""))</f>
        <v/>
      </c>
      <c r="AF249" s="40" t="str">
        <f t="shared" ref="AF249:AF259" si="46">IF(AND(AE228="",AG228=""),"",IF(AF228&lt;&gt;"",IF(AG228&lt;&gt;"",SUBSTITUTE(AF228,","," &amp;")&amp;SUBSTITUTE(AG228," &amp;",","),""),""))</f>
        <v/>
      </c>
      <c r="AG249" s="40" t="str">
        <f t="shared" ref="AG249:AG259" si="47">IF(AND(AF228="",AH228=""),"",IF(AG228&lt;&gt;"",IF(AH228&lt;&gt;"",SUBSTITUTE(AG228,","," &amp;")&amp;SUBSTITUTE(AH228," &amp;",","),""),""))</f>
        <v/>
      </c>
      <c r="AH249" s="40" t="str">
        <f t="shared" ref="AH249:AH259" si="48">IF(AND(AG228="",AI228=""),"",IF(AH228&lt;&gt;"",IF(AI228&lt;&gt;"",SUBSTITUTE(AH228,","," &amp;")&amp;SUBSTITUTE(AI228," &amp;",","),""),""))</f>
        <v/>
      </c>
      <c r="AI249" s="40" t="str">
        <f t="shared" ref="AI249:AI259" si="49">IF(AND(AH228="",AJ228=""),"",IF(AI228&lt;&gt;"",IF(AJ228&lt;&gt;"",SUBSTITUTE(AI228,","," &amp;")&amp;SUBSTITUTE(AJ228," &amp;",","),""),""))</f>
        <v/>
      </c>
      <c r="AJ249" s="40" t="str">
        <f t="shared" ref="AJ249:AJ259" si="50">IF(AND(AI228="",AK228=""),"",IF(AJ228&lt;&gt;"",IF(AK228&lt;&gt;"",SUBSTITUTE(AJ228,","," &amp;")&amp;SUBSTITUTE(AK228," &amp;",","),""),""))</f>
        <v/>
      </c>
      <c r="AK249" s="40" t="str">
        <f t="shared" ref="AK249:AK259" si="51">IF(AND(AJ228="",AL228=""),"",IF(AK228&lt;&gt;"",IF(AL228&lt;&gt;"",SUBSTITUTE(AK228,","," &amp;")&amp;SUBSTITUTE(AL228," &amp;",","),""),""))</f>
        <v/>
      </c>
      <c r="AL249" s="62" t="str">
        <f t="shared" ref="AL249:AL259" si="52">CONCATENATE(D249,E249,F249,G249,H249,I249,J249,K249,L249,M249,N249,O249,P249,Q249,R249,S249,T249,U249,V249,W249,X249,Y249,Z249,AA249,AB249,AC249,AD249,AE249,AF249,AG249,AH249,AI249,AJ249,AK249)</f>
        <v/>
      </c>
      <c r="AN249" s="113" t="str">
        <f>IF(AL249&lt;&gt;"",CONCATENATE("B2 (",LEFT(SUBSTITUTE(AL249,"B2",""),LEN(SUBSTITUTE(AL249,"B2",""))-2),"), "), "")</f>
        <v/>
      </c>
    </row>
    <row r="250" spans="1:40" ht="15" customHeight="1" thickBot="1" x14ac:dyDescent="0.4">
      <c r="A250" s="1196"/>
      <c r="B250" s="22">
        <v>3</v>
      </c>
      <c r="D250" s="40" t="str">
        <f t="shared" si="18"/>
        <v/>
      </c>
      <c r="E250" s="40" t="str">
        <f t="shared" si="19"/>
        <v/>
      </c>
      <c r="F250" s="40" t="str">
        <f t="shared" si="20"/>
        <v/>
      </c>
      <c r="G250" s="40" t="str">
        <f t="shared" si="21"/>
        <v/>
      </c>
      <c r="H250" s="40" t="str">
        <f t="shared" si="22"/>
        <v/>
      </c>
      <c r="I250" s="40" t="str">
        <f t="shared" si="23"/>
        <v/>
      </c>
      <c r="J250" s="40" t="str">
        <f t="shared" si="24"/>
        <v/>
      </c>
      <c r="K250" s="40" t="str">
        <f t="shared" si="25"/>
        <v/>
      </c>
      <c r="L250" s="40" t="str">
        <f t="shared" si="26"/>
        <v/>
      </c>
      <c r="M250" s="40" t="str">
        <f t="shared" si="27"/>
        <v/>
      </c>
      <c r="N250" s="40" t="str">
        <f t="shared" si="28"/>
        <v/>
      </c>
      <c r="O250" s="40" t="str">
        <f t="shared" si="29"/>
        <v/>
      </c>
      <c r="P250" s="40" t="str">
        <f t="shared" si="30"/>
        <v/>
      </c>
      <c r="Q250" s="40" t="str">
        <f t="shared" si="31"/>
        <v/>
      </c>
      <c r="R250" s="40" t="str">
        <f t="shared" si="32"/>
        <v/>
      </c>
      <c r="S250" s="40" t="str">
        <f t="shared" si="33"/>
        <v/>
      </c>
      <c r="T250" s="40" t="str">
        <f t="shared" si="34"/>
        <v/>
      </c>
      <c r="U250" s="40" t="str">
        <f t="shared" si="35"/>
        <v/>
      </c>
      <c r="V250" s="40" t="str">
        <f t="shared" si="36"/>
        <v/>
      </c>
      <c r="W250" s="40" t="str">
        <f t="shared" si="37"/>
        <v/>
      </c>
      <c r="X250" s="40" t="str">
        <f t="shared" si="38"/>
        <v/>
      </c>
      <c r="Y250" s="40" t="str">
        <f t="shared" si="39"/>
        <v/>
      </c>
      <c r="Z250" s="40" t="str">
        <f t="shared" si="40"/>
        <v/>
      </c>
      <c r="AA250" s="40" t="str">
        <f t="shared" si="41"/>
        <v/>
      </c>
      <c r="AB250" s="40" t="str">
        <f t="shared" si="42"/>
        <v/>
      </c>
      <c r="AC250" s="40" t="str">
        <f t="shared" si="43"/>
        <v/>
      </c>
      <c r="AD250" s="40" t="str">
        <f t="shared" si="44"/>
        <v/>
      </c>
      <c r="AE250" s="40" t="str">
        <f t="shared" si="45"/>
        <v/>
      </c>
      <c r="AF250" s="40" t="str">
        <f t="shared" si="46"/>
        <v/>
      </c>
      <c r="AG250" s="40" t="str">
        <f t="shared" si="47"/>
        <v/>
      </c>
      <c r="AH250" s="40" t="str">
        <f t="shared" si="48"/>
        <v/>
      </c>
      <c r="AI250" s="40" t="str">
        <f t="shared" si="49"/>
        <v/>
      </c>
      <c r="AJ250" s="40" t="str">
        <f t="shared" si="50"/>
        <v/>
      </c>
      <c r="AK250" s="40" t="str">
        <f t="shared" si="51"/>
        <v/>
      </c>
      <c r="AL250" s="62" t="str">
        <f t="shared" si="52"/>
        <v/>
      </c>
      <c r="AN250" s="113" t="str">
        <f>IF(AL250&lt;&gt;"",CONCATENATE("B3 (",LEFT(SUBSTITUTE(AL250,"B3",""),LEN(SUBSTITUTE(AL250,"B3",""))-2),"), "), "")</f>
        <v/>
      </c>
    </row>
    <row r="251" spans="1:40" ht="15" customHeight="1" thickBot="1" x14ac:dyDescent="0.4">
      <c r="A251" s="1196"/>
      <c r="B251" s="22">
        <v>4</v>
      </c>
      <c r="D251" s="40" t="str">
        <f t="shared" si="18"/>
        <v/>
      </c>
      <c r="E251" s="40" t="str">
        <f t="shared" si="19"/>
        <v/>
      </c>
      <c r="F251" s="40" t="str">
        <f t="shared" si="20"/>
        <v/>
      </c>
      <c r="G251" s="40" t="str">
        <f t="shared" si="21"/>
        <v/>
      </c>
      <c r="H251" s="40" t="str">
        <f t="shared" si="22"/>
        <v/>
      </c>
      <c r="I251" s="40" t="str">
        <f t="shared" si="23"/>
        <v/>
      </c>
      <c r="J251" s="40" t="str">
        <f t="shared" si="24"/>
        <v/>
      </c>
      <c r="K251" s="40" t="str">
        <f t="shared" si="25"/>
        <v/>
      </c>
      <c r="L251" s="40" t="str">
        <f t="shared" si="26"/>
        <v/>
      </c>
      <c r="M251" s="40" t="str">
        <f t="shared" si="27"/>
        <v/>
      </c>
      <c r="N251" s="40" t="str">
        <f t="shared" si="28"/>
        <v/>
      </c>
      <c r="O251" s="40" t="str">
        <f t="shared" si="29"/>
        <v/>
      </c>
      <c r="P251" s="40" t="str">
        <f t="shared" si="30"/>
        <v/>
      </c>
      <c r="Q251" s="40" t="str">
        <f t="shared" si="31"/>
        <v/>
      </c>
      <c r="R251" s="40" t="str">
        <f t="shared" si="32"/>
        <v/>
      </c>
      <c r="S251" s="40" t="str">
        <f t="shared" si="33"/>
        <v/>
      </c>
      <c r="T251" s="40" t="str">
        <f t="shared" si="34"/>
        <v/>
      </c>
      <c r="U251" s="40" t="str">
        <f t="shared" si="35"/>
        <v/>
      </c>
      <c r="V251" s="40" t="str">
        <f t="shared" si="36"/>
        <v/>
      </c>
      <c r="W251" s="40" t="str">
        <f t="shared" si="37"/>
        <v/>
      </c>
      <c r="X251" s="40" t="str">
        <f t="shared" si="38"/>
        <v/>
      </c>
      <c r="Y251" s="40" t="str">
        <f t="shared" si="39"/>
        <v/>
      </c>
      <c r="Z251" s="40" t="str">
        <f t="shared" si="40"/>
        <v/>
      </c>
      <c r="AA251" s="40" t="str">
        <f t="shared" si="41"/>
        <v/>
      </c>
      <c r="AB251" s="40" t="str">
        <f t="shared" si="42"/>
        <v/>
      </c>
      <c r="AC251" s="40" t="str">
        <f t="shared" si="43"/>
        <v/>
      </c>
      <c r="AD251" s="40" t="str">
        <f t="shared" si="44"/>
        <v/>
      </c>
      <c r="AE251" s="40" t="str">
        <f t="shared" si="45"/>
        <v/>
      </c>
      <c r="AF251" s="40" t="str">
        <f t="shared" si="46"/>
        <v/>
      </c>
      <c r="AG251" s="40" t="str">
        <f t="shared" si="47"/>
        <v/>
      </c>
      <c r="AH251" s="40" t="str">
        <f t="shared" si="48"/>
        <v/>
      </c>
      <c r="AI251" s="40" t="str">
        <f t="shared" si="49"/>
        <v/>
      </c>
      <c r="AJ251" s="40" t="str">
        <f t="shared" si="50"/>
        <v/>
      </c>
      <c r="AK251" s="40" t="str">
        <f t="shared" si="51"/>
        <v/>
      </c>
      <c r="AL251" s="62" t="str">
        <f t="shared" si="52"/>
        <v/>
      </c>
      <c r="AN251" s="113" t="str">
        <f>IF(AL251&lt;&gt;"",CONCATENATE("B4 (",LEFT(SUBSTITUTE(AL251,"B4",""),LEN(SUBSTITUTE(AL251,"B4",""))-2),"), "), "")</f>
        <v/>
      </c>
    </row>
    <row r="252" spans="1:40" ht="15" customHeight="1" thickBot="1" x14ac:dyDescent="0.4">
      <c r="A252" s="1196"/>
      <c r="B252" s="22">
        <v>5</v>
      </c>
      <c r="D252" s="40" t="str">
        <f t="shared" si="18"/>
        <v/>
      </c>
      <c r="E252" s="40" t="str">
        <f t="shared" si="19"/>
        <v/>
      </c>
      <c r="F252" s="40" t="str">
        <f t="shared" si="20"/>
        <v/>
      </c>
      <c r="G252" s="40" t="str">
        <f t="shared" si="21"/>
        <v/>
      </c>
      <c r="H252" s="40" t="str">
        <f t="shared" si="22"/>
        <v/>
      </c>
      <c r="I252" s="40" t="str">
        <f t="shared" si="23"/>
        <v/>
      </c>
      <c r="J252" s="40" t="str">
        <f t="shared" si="24"/>
        <v/>
      </c>
      <c r="K252" s="40" t="str">
        <f t="shared" si="25"/>
        <v/>
      </c>
      <c r="L252" s="40" t="str">
        <f t="shared" si="26"/>
        <v/>
      </c>
      <c r="M252" s="40" t="str">
        <f t="shared" si="27"/>
        <v/>
      </c>
      <c r="N252" s="40" t="str">
        <f t="shared" si="28"/>
        <v/>
      </c>
      <c r="O252" s="40" t="str">
        <f t="shared" si="29"/>
        <v/>
      </c>
      <c r="P252" s="40" t="str">
        <f t="shared" si="30"/>
        <v/>
      </c>
      <c r="Q252" s="40" t="str">
        <f t="shared" si="31"/>
        <v/>
      </c>
      <c r="R252" s="40" t="str">
        <f t="shared" si="32"/>
        <v/>
      </c>
      <c r="S252" s="40" t="str">
        <f t="shared" si="33"/>
        <v/>
      </c>
      <c r="T252" s="40" t="str">
        <f t="shared" si="34"/>
        <v/>
      </c>
      <c r="U252" s="40" t="str">
        <f t="shared" si="35"/>
        <v/>
      </c>
      <c r="V252" s="40" t="str">
        <f t="shared" si="36"/>
        <v/>
      </c>
      <c r="W252" s="40" t="str">
        <f t="shared" si="37"/>
        <v/>
      </c>
      <c r="X252" s="40" t="str">
        <f t="shared" si="38"/>
        <v/>
      </c>
      <c r="Y252" s="40" t="str">
        <f t="shared" si="39"/>
        <v/>
      </c>
      <c r="Z252" s="40" t="str">
        <f t="shared" si="40"/>
        <v/>
      </c>
      <c r="AA252" s="40" t="str">
        <f t="shared" si="41"/>
        <v/>
      </c>
      <c r="AB252" s="40" t="str">
        <f t="shared" si="42"/>
        <v/>
      </c>
      <c r="AC252" s="40" t="str">
        <f t="shared" si="43"/>
        <v/>
      </c>
      <c r="AD252" s="40" t="str">
        <f t="shared" si="44"/>
        <v/>
      </c>
      <c r="AE252" s="40" t="str">
        <f t="shared" si="45"/>
        <v/>
      </c>
      <c r="AF252" s="40" t="str">
        <f t="shared" si="46"/>
        <v/>
      </c>
      <c r="AG252" s="40" t="str">
        <f t="shared" si="47"/>
        <v/>
      </c>
      <c r="AH252" s="40" t="str">
        <f t="shared" si="48"/>
        <v/>
      </c>
      <c r="AI252" s="40" t="str">
        <f t="shared" si="49"/>
        <v/>
      </c>
      <c r="AJ252" s="40" t="str">
        <f t="shared" si="50"/>
        <v/>
      </c>
      <c r="AK252" s="40" t="str">
        <f t="shared" si="51"/>
        <v/>
      </c>
      <c r="AL252" s="62" t="str">
        <f t="shared" si="52"/>
        <v/>
      </c>
      <c r="AN252" s="113" t="str">
        <f>IF(AL252&lt;&gt;"",CONCATENATE("B5 (",LEFT(SUBSTITUTE(AL252,"B5",""),LEN(SUBSTITUTE(AL252,"B5",""))-2),"), "), "")</f>
        <v/>
      </c>
    </row>
    <row r="253" spans="1:40" ht="15" customHeight="1" thickBot="1" x14ac:dyDescent="0.4">
      <c r="A253" s="1196"/>
      <c r="B253" s="22">
        <v>6</v>
      </c>
      <c r="D253" s="40" t="str">
        <f t="shared" si="18"/>
        <v/>
      </c>
      <c r="E253" s="40" t="str">
        <f t="shared" si="19"/>
        <v/>
      </c>
      <c r="F253" s="40" t="str">
        <f t="shared" si="20"/>
        <v/>
      </c>
      <c r="G253" s="40" t="str">
        <f t="shared" si="21"/>
        <v/>
      </c>
      <c r="H253" s="40" t="str">
        <f t="shared" si="22"/>
        <v/>
      </c>
      <c r="I253" s="40" t="str">
        <f t="shared" si="23"/>
        <v/>
      </c>
      <c r="J253" s="40" t="str">
        <f t="shared" si="24"/>
        <v/>
      </c>
      <c r="K253" s="40" t="str">
        <f t="shared" si="25"/>
        <v/>
      </c>
      <c r="L253" s="40" t="str">
        <f t="shared" si="26"/>
        <v/>
      </c>
      <c r="M253" s="40" t="str">
        <f t="shared" si="27"/>
        <v/>
      </c>
      <c r="N253" s="40" t="str">
        <f t="shared" si="28"/>
        <v/>
      </c>
      <c r="O253" s="40" t="str">
        <f t="shared" si="29"/>
        <v/>
      </c>
      <c r="P253" s="40" t="str">
        <f t="shared" si="30"/>
        <v/>
      </c>
      <c r="Q253" s="40" t="str">
        <f t="shared" si="31"/>
        <v/>
      </c>
      <c r="R253" s="40" t="str">
        <f t="shared" si="32"/>
        <v/>
      </c>
      <c r="S253" s="40" t="str">
        <f t="shared" si="33"/>
        <v/>
      </c>
      <c r="T253" s="40" t="str">
        <f t="shared" si="34"/>
        <v/>
      </c>
      <c r="U253" s="40" t="str">
        <f t="shared" si="35"/>
        <v/>
      </c>
      <c r="V253" s="40" t="str">
        <f t="shared" si="36"/>
        <v/>
      </c>
      <c r="W253" s="40" t="str">
        <f t="shared" si="37"/>
        <v/>
      </c>
      <c r="X253" s="40" t="str">
        <f t="shared" si="38"/>
        <v/>
      </c>
      <c r="Y253" s="40" t="str">
        <f t="shared" si="39"/>
        <v/>
      </c>
      <c r="Z253" s="40" t="str">
        <f t="shared" si="40"/>
        <v/>
      </c>
      <c r="AA253" s="40" t="str">
        <f t="shared" si="41"/>
        <v/>
      </c>
      <c r="AB253" s="40" t="str">
        <f t="shared" si="42"/>
        <v/>
      </c>
      <c r="AC253" s="40" t="str">
        <f t="shared" si="43"/>
        <v/>
      </c>
      <c r="AD253" s="40" t="str">
        <f t="shared" si="44"/>
        <v/>
      </c>
      <c r="AE253" s="40" t="str">
        <f t="shared" si="45"/>
        <v/>
      </c>
      <c r="AF253" s="40" t="str">
        <f t="shared" si="46"/>
        <v/>
      </c>
      <c r="AG253" s="40" t="str">
        <f t="shared" si="47"/>
        <v/>
      </c>
      <c r="AH253" s="40" t="str">
        <f t="shared" si="48"/>
        <v/>
      </c>
      <c r="AI253" s="40" t="str">
        <f t="shared" si="49"/>
        <v/>
      </c>
      <c r="AJ253" s="40" t="str">
        <f t="shared" si="50"/>
        <v/>
      </c>
      <c r="AK253" s="40" t="str">
        <f t="shared" si="51"/>
        <v/>
      </c>
      <c r="AL253" s="62" t="str">
        <f t="shared" si="52"/>
        <v/>
      </c>
      <c r="AN253" s="113" t="str">
        <f>IF(AL253&lt;&gt;"",CONCATENATE("B6 (",LEFT(SUBSTITUTE(AL253,"B6",""),LEN(SUBSTITUTE(AL253,"B6",""))-2),"), "), "")</f>
        <v/>
      </c>
    </row>
    <row r="254" spans="1:40" ht="15" customHeight="1" thickBot="1" x14ac:dyDescent="0.4">
      <c r="A254" s="1196"/>
      <c r="B254" s="22">
        <v>7</v>
      </c>
      <c r="D254" s="40" t="str">
        <f t="shared" si="18"/>
        <v/>
      </c>
      <c r="E254" s="40" t="str">
        <f t="shared" si="19"/>
        <v/>
      </c>
      <c r="F254" s="40" t="str">
        <f t="shared" si="20"/>
        <v/>
      </c>
      <c r="G254" s="40" t="str">
        <f t="shared" si="21"/>
        <v/>
      </c>
      <c r="H254" s="40" t="str">
        <f t="shared" si="22"/>
        <v/>
      </c>
      <c r="I254" s="40" t="str">
        <f t="shared" si="23"/>
        <v/>
      </c>
      <c r="J254" s="40" t="str">
        <f t="shared" si="24"/>
        <v/>
      </c>
      <c r="K254" s="40" t="str">
        <f t="shared" si="25"/>
        <v/>
      </c>
      <c r="L254" s="40" t="str">
        <f t="shared" si="26"/>
        <v/>
      </c>
      <c r="M254" s="40" t="str">
        <f t="shared" si="27"/>
        <v/>
      </c>
      <c r="N254" s="40" t="str">
        <f t="shared" si="28"/>
        <v/>
      </c>
      <c r="O254" s="40" t="str">
        <f t="shared" si="29"/>
        <v/>
      </c>
      <c r="P254" s="40" t="str">
        <f t="shared" si="30"/>
        <v/>
      </c>
      <c r="Q254" s="40" t="str">
        <f t="shared" si="31"/>
        <v/>
      </c>
      <c r="R254" s="40" t="str">
        <f t="shared" si="32"/>
        <v/>
      </c>
      <c r="S254" s="40" t="str">
        <f t="shared" si="33"/>
        <v/>
      </c>
      <c r="T254" s="40" t="str">
        <f t="shared" si="34"/>
        <v/>
      </c>
      <c r="U254" s="40" t="str">
        <f t="shared" si="35"/>
        <v/>
      </c>
      <c r="V254" s="40" t="str">
        <f t="shared" si="36"/>
        <v/>
      </c>
      <c r="W254" s="40" t="str">
        <f t="shared" si="37"/>
        <v/>
      </c>
      <c r="X254" s="40" t="str">
        <f t="shared" si="38"/>
        <v/>
      </c>
      <c r="Y254" s="40" t="str">
        <f t="shared" si="39"/>
        <v/>
      </c>
      <c r="Z254" s="40" t="str">
        <f t="shared" si="40"/>
        <v/>
      </c>
      <c r="AA254" s="40" t="str">
        <f t="shared" si="41"/>
        <v/>
      </c>
      <c r="AB254" s="40" t="str">
        <f t="shared" si="42"/>
        <v/>
      </c>
      <c r="AC254" s="40" t="str">
        <f t="shared" si="43"/>
        <v/>
      </c>
      <c r="AD254" s="40" t="str">
        <f t="shared" si="44"/>
        <v/>
      </c>
      <c r="AE254" s="40" t="str">
        <f t="shared" si="45"/>
        <v/>
      </c>
      <c r="AF254" s="40" t="str">
        <f t="shared" si="46"/>
        <v/>
      </c>
      <c r="AG254" s="40" t="str">
        <f t="shared" si="47"/>
        <v/>
      </c>
      <c r="AH254" s="40" t="str">
        <f t="shared" si="48"/>
        <v/>
      </c>
      <c r="AI254" s="40" t="str">
        <f t="shared" si="49"/>
        <v/>
      </c>
      <c r="AJ254" s="40" t="str">
        <f t="shared" si="50"/>
        <v/>
      </c>
      <c r="AK254" s="40" t="str">
        <f t="shared" si="51"/>
        <v/>
      </c>
      <c r="AL254" s="62" t="str">
        <f t="shared" si="52"/>
        <v/>
      </c>
      <c r="AN254" s="113" t="str">
        <f>IF(AL254&lt;&gt;"",CONCATENATE("B7 (",LEFT(SUBSTITUTE(AL254,"B7",""),LEN(SUBSTITUTE(AL254,"B7",""))-2),"), "), "")</f>
        <v/>
      </c>
    </row>
    <row r="255" spans="1:40" ht="10" customHeight="1" thickBot="1" x14ac:dyDescent="0.4">
      <c r="A255" s="1196"/>
      <c r="B255" s="22">
        <v>8</v>
      </c>
      <c r="D255" s="40" t="str">
        <f t="shared" si="18"/>
        <v/>
      </c>
      <c r="E255" s="40" t="str">
        <f t="shared" si="19"/>
        <v/>
      </c>
      <c r="F255" s="40" t="str">
        <f t="shared" si="20"/>
        <v/>
      </c>
      <c r="G255" s="40" t="str">
        <f t="shared" si="21"/>
        <v/>
      </c>
      <c r="H255" s="40" t="str">
        <f t="shared" si="22"/>
        <v/>
      </c>
      <c r="I255" s="40" t="str">
        <f t="shared" si="23"/>
        <v/>
      </c>
      <c r="J255" s="40" t="str">
        <f t="shared" si="24"/>
        <v/>
      </c>
      <c r="K255" s="40" t="str">
        <f t="shared" si="25"/>
        <v/>
      </c>
      <c r="L255" s="40" t="str">
        <f t="shared" si="26"/>
        <v/>
      </c>
      <c r="M255" s="40" t="str">
        <f t="shared" si="27"/>
        <v/>
      </c>
      <c r="N255" s="40" t="str">
        <f t="shared" si="28"/>
        <v/>
      </c>
      <c r="O255" s="40" t="str">
        <f t="shared" si="29"/>
        <v/>
      </c>
      <c r="P255" s="40" t="str">
        <f t="shared" si="30"/>
        <v/>
      </c>
      <c r="Q255" s="40" t="str">
        <f t="shared" si="31"/>
        <v/>
      </c>
      <c r="R255" s="40" t="str">
        <f t="shared" si="32"/>
        <v/>
      </c>
      <c r="S255" s="40" t="str">
        <f t="shared" si="33"/>
        <v/>
      </c>
      <c r="T255" s="40" t="str">
        <f t="shared" si="34"/>
        <v/>
      </c>
      <c r="U255" s="40" t="str">
        <f t="shared" si="35"/>
        <v/>
      </c>
      <c r="V255" s="40" t="str">
        <f t="shared" si="36"/>
        <v/>
      </c>
      <c r="W255" s="40" t="str">
        <f t="shared" si="37"/>
        <v/>
      </c>
      <c r="X255" s="40" t="str">
        <f t="shared" si="38"/>
        <v/>
      </c>
      <c r="Y255" s="40" t="str">
        <f t="shared" si="39"/>
        <v/>
      </c>
      <c r="Z255" s="40" t="str">
        <f t="shared" si="40"/>
        <v/>
      </c>
      <c r="AA255" s="40" t="str">
        <f t="shared" si="41"/>
        <v/>
      </c>
      <c r="AB255" s="40" t="str">
        <f t="shared" si="42"/>
        <v/>
      </c>
      <c r="AC255" s="40" t="str">
        <f t="shared" si="43"/>
        <v/>
      </c>
      <c r="AD255" s="40" t="str">
        <f t="shared" si="44"/>
        <v/>
      </c>
      <c r="AE255" s="40" t="str">
        <f t="shared" si="45"/>
        <v/>
      </c>
      <c r="AF255" s="40" t="str">
        <f t="shared" si="46"/>
        <v/>
      </c>
      <c r="AG255" s="40" t="str">
        <f t="shared" si="47"/>
        <v/>
      </c>
      <c r="AH255" s="40" t="str">
        <f t="shared" si="48"/>
        <v/>
      </c>
      <c r="AI255" s="40" t="str">
        <f t="shared" si="49"/>
        <v/>
      </c>
      <c r="AJ255" s="40" t="str">
        <f t="shared" si="50"/>
        <v/>
      </c>
      <c r="AK255" s="40" t="str">
        <f t="shared" si="51"/>
        <v/>
      </c>
      <c r="AL255" s="62" t="str">
        <f t="shared" si="52"/>
        <v/>
      </c>
      <c r="AN255" s="113" t="str">
        <f>IF(AL255&lt;&gt;"",CONCATENATE("B8 (",LEFT(SUBSTITUTE(AL255,"B8",""),LEN(SUBSTITUTE(AL255,"B8",""))-2),"), "), "")</f>
        <v/>
      </c>
    </row>
    <row r="256" spans="1:40" ht="15" customHeight="1" thickBot="1" x14ac:dyDescent="0.4">
      <c r="A256" s="1196"/>
      <c r="B256" s="22">
        <v>9</v>
      </c>
      <c r="D256" s="40" t="str">
        <f t="shared" si="18"/>
        <v/>
      </c>
      <c r="E256" s="40" t="str">
        <f t="shared" si="19"/>
        <v/>
      </c>
      <c r="F256" s="40" t="str">
        <f t="shared" si="20"/>
        <v/>
      </c>
      <c r="G256" s="40" t="str">
        <f t="shared" si="21"/>
        <v/>
      </c>
      <c r="H256" s="40" t="str">
        <f t="shared" si="22"/>
        <v/>
      </c>
      <c r="I256" s="40" t="str">
        <f t="shared" si="23"/>
        <v/>
      </c>
      <c r="J256" s="40" t="str">
        <f t="shared" si="24"/>
        <v/>
      </c>
      <c r="K256" s="40" t="str">
        <f t="shared" si="25"/>
        <v/>
      </c>
      <c r="L256" s="40" t="str">
        <f t="shared" si="26"/>
        <v/>
      </c>
      <c r="M256" s="40" t="str">
        <f t="shared" si="27"/>
        <v/>
      </c>
      <c r="N256" s="40" t="str">
        <f t="shared" si="28"/>
        <v/>
      </c>
      <c r="O256" s="40" t="str">
        <f t="shared" si="29"/>
        <v/>
      </c>
      <c r="P256" s="40" t="str">
        <f t="shared" si="30"/>
        <v/>
      </c>
      <c r="Q256" s="40" t="str">
        <f t="shared" si="31"/>
        <v/>
      </c>
      <c r="R256" s="40" t="str">
        <f t="shared" si="32"/>
        <v/>
      </c>
      <c r="S256" s="40" t="str">
        <f t="shared" si="33"/>
        <v/>
      </c>
      <c r="T256" s="40" t="str">
        <f t="shared" si="34"/>
        <v/>
      </c>
      <c r="U256" s="40" t="str">
        <f t="shared" si="35"/>
        <v/>
      </c>
      <c r="V256" s="40" t="str">
        <f t="shared" si="36"/>
        <v/>
      </c>
      <c r="W256" s="40" t="str">
        <f t="shared" si="37"/>
        <v/>
      </c>
      <c r="X256" s="40" t="str">
        <f t="shared" si="38"/>
        <v/>
      </c>
      <c r="Y256" s="40" t="str">
        <f t="shared" si="39"/>
        <v/>
      </c>
      <c r="Z256" s="40" t="str">
        <f t="shared" si="40"/>
        <v/>
      </c>
      <c r="AA256" s="40" t="str">
        <f t="shared" si="41"/>
        <v/>
      </c>
      <c r="AB256" s="40" t="str">
        <f t="shared" si="42"/>
        <v/>
      </c>
      <c r="AC256" s="40" t="str">
        <f t="shared" si="43"/>
        <v/>
      </c>
      <c r="AD256" s="40" t="str">
        <f t="shared" si="44"/>
        <v/>
      </c>
      <c r="AE256" s="40" t="str">
        <f t="shared" si="45"/>
        <v/>
      </c>
      <c r="AF256" s="40" t="str">
        <f t="shared" si="46"/>
        <v/>
      </c>
      <c r="AG256" s="40" t="str">
        <f t="shared" si="47"/>
        <v/>
      </c>
      <c r="AH256" s="40" t="str">
        <f t="shared" si="48"/>
        <v/>
      </c>
      <c r="AI256" s="40" t="str">
        <f t="shared" si="49"/>
        <v/>
      </c>
      <c r="AJ256" s="40" t="str">
        <f t="shared" si="50"/>
        <v/>
      </c>
      <c r="AK256" s="40" t="str">
        <f t="shared" si="51"/>
        <v/>
      </c>
      <c r="AL256" s="62" t="str">
        <f t="shared" si="52"/>
        <v/>
      </c>
      <c r="AN256" s="113" t="str">
        <f>IF(AL256&lt;&gt;"",CONCATENATE("B9 (",LEFT(SUBSTITUTE(AL256,"B9",""),LEN(SUBSTITUTE(AL256,"B9",""))-2),"), "), "")</f>
        <v/>
      </c>
    </row>
    <row r="257" spans="1:40" ht="15" customHeight="1" thickBot="1" x14ac:dyDescent="0.4">
      <c r="A257" s="1196"/>
      <c r="B257" s="22">
        <v>10</v>
      </c>
      <c r="D257" s="40" t="str">
        <f t="shared" si="18"/>
        <v/>
      </c>
      <c r="E257" s="40" t="str">
        <f t="shared" si="19"/>
        <v/>
      </c>
      <c r="F257" s="40" t="str">
        <f t="shared" si="20"/>
        <v/>
      </c>
      <c r="G257" s="40" t="str">
        <f t="shared" si="21"/>
        <v/>
      </c>
      <c r="H257" s="40" t="str">
        <f t="shared" si="22"/>
        <v/>
      </c>
      <c r="I257" s="40" t="str">
        <f t="shared" si="23"/>
        <v/>
      </c>
      <c r="J257" s="40" t="str">
        <f t="shared" si="24"/>
        <v/>
      </c>
      <c r="K257" s="40" t="str">
        <f t="shared" si="25"/>
        <v/>
      </c>
      <c r="L257" s="40" t="str">
        <f t="shared" si="26"/>
        <v/>
      </c>
      <c r="M257" s="40" t="str">
        <f t="shared" si="27"/>
        <v/>
      </c>
      <c r="N257" s="40" t="str">
        <f t="shared" si="28"/>
        <v/>
      </c>
      <c r="O257" s="40" t="str">
        <f t="shared" si="29"/>
        <v/>
      </c>
      <c r="P257" s="40" t="str">
        <f t="shared" si="30"/>
        <v/>
      </c>
      <c r="Q257" s="40" t="str">
        <f t="shared" si="31"/>
        <v/>
      </c>
      <c r="R257" s="40" t="str">
        <f t="shared" si="32"/>
        <v/>
      </c>
      <c r="S257" s="40" t="str">
        <f t="shared" si="33"/>
        <v/>
      </c>
      <c r="T257" s="40" t="str">
        <f t="shared" si="34"/>
        <v/>
      </c>
      <c r="U257" s="40" t="str">
        <f t="shared" si="35"/>
        <v/>
      </c>
      <c r="V257" s="40" t="str">
        <f t="shared" si="36"/>
        <v/>
      </c>
      <c r="W257" s="40" t="str">
        <f t="shared" si="37"/>
        <v/>
      </c>
      <c r="X257" s="40" t="str">
        <f t="shared" si="38"/>
        <v/>
      </c>
      <c r="Y257" s="40" t="str">
        <f t="shared" si="39"/>
        <v/>
      </c>
      <c r="Z257" s="40" t="str">
        <f t="shared" si="40"/>
        <v/>
      </c>
      <c r="AA257" s="40" t="str">
        <f t="shared" si="41"/>
        <v/>
      </c>
      <c r="AB257" s="40" t="str">
        <f t="shared" si="42"/>
        <v/>
      </c>
      <c r="AC257" s="40" t="str">
        <f t="shared" si="43"/>
        <v/>
      </c>
      <c r="AD257" s="40" t="str">
        <f t="shared" si="44"/>
        <v/>
      </c>
      <c r="AE257" s="40" t="str">
        <f t="shared" si="45"/>
        <v/>
      </c>
      <c r="AF257" s="40" t="str">
        <f t="shared" si="46"/>
        <v/>
      </c>
      <c r="AG257" s="40" t="str">
        <f t="shared" si="47"/>
        <v/>
      </c>
      <c r="AH257" s="40" t="str">
        <f t="shared" si="48"/>
        <v/>
      </c>
      <c r="AI257" s="40" t="str">
        <f t="shared" si="49"/>
        <v/>
      </c>
      <c r="AJ257" s="40" t="str">
        <f t="shared" si="50"/>
        <v/>
      </c>
      <c r="AK257" s="40" t="str">
        <f t="shared" si="51"/>
        <v/>
      </c>
      <c r="AL257" s="62" t="str">
        <f t="shared" si="52"/>
        <v/>
      </c>
      <c r="AN257" s="113" t="str">
        <f>IF(AL257&lt;&gt;"",CONCATENATE("B10 (",LEFT(SUBSTITUTE(AL257,"B10",""),LEN(SUBSTITUTE(AL257,"B10",""))-2), "),"), "")</f>
        <v/>
      </c>
    </row>
    <row r="258" spans="1:40" ht="15" customHeight="1" thickBot="1" x14ac:dyDescent="0.4">
      <c r="A258" s="1196"/>
      <c r="B258" s="22">
        <v>11</v>
      </c>
      <c r="D258" s="40" t="str">
        <f t="shared" si="18"/>
        <v/>
      </c>
      <c r="E258" s="40" t="str">
        <f t="shared" si="19"/>
        <v/>
      </c>
      <c r="F258" s="40" t="str">
        <f t="shared" si="20"/>
        <v/>
      </c>
      <c r="G258" s="40" t="str">
        <f t="shared" si="21"/>
        <v/>
      </c>
      <c r="H258" s="40" t="str">
        <f t="shared" si="22"/>
        <v/>
      </c>
      <c r="I258" s="40" t="str">
        <f t="shared" si="23"/>
        <v/>
      </c>
      <c r="J258" s="40" t="str">
        <f t="shared" si="24"/>
        <v/>
      </c>
      <c r="K258" s="40" t="str">
        <f t="shared" si="25"/>
        <v/>
      </c>
      <c r="L258" s="40" t="str">
        <f t="shared" si="26"/>
        <v/>
      </c>
      <c r="M258" s="40" t="str">
        <f t="shared" si="27"/>
        <v/>
      </c>
      <c r="N258" s="40" t="str">
        <f t="shared" si="28"/>
        <v/>
      </c>
      <c r="O258" s="40" t="str">
        <f t="shared" si="29"/>
        <v/>
      </c>
      <c r="P258" s="40" t="str">
        <f t="shared" si="30"/>
        <v/>
      </c>
      <c r="Q258" s="40" t="str">
        <f t="shared" si="31"/>
        <v/>
      </c>
      <c r="R258" s="40" t="str">
        <f t="shared" si="32"/>
        <v/>
      </c>
      <c r="S258" s="40" t="str">
        <f t="shared" si="33"/>
        <v/>
      </c>
      <c r="T258" s="40" t="str">
        <f t="shared" si="34"/>
        <v/>
      </c>
      <c r="U258" s="40" t="str">
        <f t="shared" si="35"/>
        <v/>
      </c>
      <c r="V258" s="40" t="str">
        <f t="shared" si="36"/>
        <v/>
      </c>
      <c r="W258" s="40" t="str">
        <f t="shared" si="37"/>
        <v/>
      </c>
      <c r="X258" s="40" t="str">
        <f t="shared" si="38"/>
        <v/>
      </c>
      <c r="Y258" s="40" t="str">
        <f t="shared" si="39"/>
        <v/>
      </c>
      <c r="Z258" s="40" t="str">
        <f t="shared" si="40"/>
        <v/>
      </c>
      <c r="AA258" s="40" t="str">
        <f t="shared" si="41"/>
        <v/>
      </c>
      <c r="AB258" s="40" t="str">
        <f t="shared" si="42"/>
        <v/>
      </c>
      <c r="AC258" s="40" t="str">
        <f t="shared" si="43"/>
        <v/>
      </c>
      <c r="AD258" s="40" t="str">
        <f t="shared" si="44"/>
        <v/>
      </c>
      <c r="AE258" s="40" t="str">
        <f t="shared" si="45"/>
        <v/>
      </c>
      <c r="AF258" s="40" t="str">
        <f t="shared" si="46"/>
        <v/>
      </c>
      <c r="AG258" s="40" t="str">
        <f t="shared" si="47"/>
        <v/>
      </c>
      <c r="AH258" s="40" t="str">
        <f t="shared" si="48"/>
        <v/>
      </c>
      <c r="AI258" s="40" t="str">
        <f t="shared" si="49"/>
        <v/>
      </c>
      <c r="AJ258" s="40" t="str">
        <f t="shared" si="50"/>
        <v/>
      </c>
      <c r="AK258" s="40" t="str">
        <f t="shared" si="51"/>
        <v/>
      </c>
      <c r="AL258" s="62" t="str">
        <f t="shared" si="52"/>
        <v/>
      </c>
      <c r="AN258" s="113" t="str">
        <f>IF(AL258&lt;&gt;"",CONCATENATE("B11 (",LEFT(SUBSTITUTE(AL258,"B11",""),LEN(SUBSTITUTE(AL258,"B11",""))-2), "),"), "")</f>
        <v/>
      </c>
    </row>
    <row r="259" spans="1:40" ht="15.75" customHeight="1" thickBot="1" x14ac:dyDescent="0.4">
      <c r="A259" s="1197"/>
      <c r="B259" s="23">
        <v>12</v>
      </c>
      <c r="D259" s="40" t="str">
        <f t="shared" si="18"/>
        <v/>
      </c>
      <c r="E259" s="40" t="str">
        <f t="shared" si="19"/>
        <v/>
      </c>
      <c r="F259" s="40" t="str">
        <f t="shared" si="20"/>
        <v/>
      </c>
      <c r="G259" s="40" t="str">
        <f t="shared" si="21"/>
        <v/>
      </c>
      <c r="H259" s="40" t="str">
        <f t="shared" si="22"/>
        <v/>
      </c>
      <c r="I259" s="40" t="str">
        <f t="shared" si="23"/>
        <v/>
      </c>
      <c r="J259" s="40" t="str">
        <f t="shared" si="24"/>
        <v/>
      </c>
      <c r="K259" s="40" t="str">
        <f t="shared" si="25"/>
        <v/>
      </c>
      <c r="L259" s="40" t="str">
        <f t="shared" si="26"/>
        <v/>
      </c>
      <c r="M259" s="40" t="str">
        <f t="shared" si="27"/>
        <v/>
      </c>
      <c r="N259" s="40" t="str">
        <f t="shared" si="28"/>
        <v/>
      </c>
      <c r="O259" s="40" t="str">
        <f t="shared" si="29"/>
        <v/>
      </c>
      <c r="P259" s="40" t="str">
        <f t="shared" si="30"/>
        <v/>
      </c>
      <c r="Q259" s="40" t="str">
        <f t="shared" si="31"/>
        <v/>
      </c>
      <c r="R259" s="40" t="str">
        <f t="shared" si="32"/>
        <v/>
      </c>
      <c r="S259" s="40" t="str">
        <f t="shared" si="33"/>
        <v/>
      </c>
      <c r="T259" s="40" t="str">
        <f t="shared" si="34"/>
        <v/>
      </c>
      <c r="U259" s="40" t="str">
        <f t="shared" si="35"/>
        <v/>
      </c>
      <c r="V259" s="40" t="str">
        <f t="shared" si="36"/>
        <v/>
      </c>
      <c r="W259" s="40" t="str">
        <f t="shared" si="37"/>
        <v/>
      </c>
      <c r="X259" s="40" t="str">
        <f t="shared" si="38"/>
        <v/>
      </c>
      <c r="Y259" s="40" t="str">
        <f t="shared" si="39"/>
        <v/>
      </c>
      <c r="Z259" s="40" t="str">
        <f t="shared" si="40"/>
        <v/>
      </c>
      <c r="AA259" s="40" t="str">
        <f t="shared" si="41"/>
        <v/>
      </c>
      <c r="AB259" s="40" t="str">
        <f t="shared" si="42"/>
        <v/>
      </c>
      <c r="AC259" s="40" t="str">
        <f t="shared" si="43"/>
        <v/>
      </c>
      <c r="AD259" s="40" t="str">
        <f t="shared" si="44"/>
        <v/>
      </c>
      <c r="AE259" s="40" t="str">
        <f t="shared" si="45"/>
        <v/>
      </c>
      <c r="AF259" s="40" t="str">
        <f t="shared" si="46"/>
        <v/>
      </c>
      <c r="AG259" s="40" t="str">
        <f t="shared" si="47"/>
        <v/>
      </c>
      <c r="AH259" s="40" t="str">
        <f t="shared" si="48"/>
        <v/>
      </c>
      <c r="AI259" s="40" t="str">
        <f t="shared" si="49"/>
        <v/>
      </c>
      <c r="AJ259" s="40" t="str">
        <f t="shared" si="50"/>
        <v/>
      </c>
      <c r="AK259" s="40" t="str">
        <f t="shared" si="51"/>
        <v/>
      </c>
      <c r="AL259" s="62" t="str">
        <f t="shared" si="52"/>
        <v/>
      </c>
      <c r="AN259" s="113" t="str">
        <f>IF(AL259&lt;&gt;"",CONCATENATE("B12 (",LEFT(SUBSTITUTE(AL259,"B12",""),LEN(SUBSTITUTE(AL259,"B12",""))-2), "),"), "")</f>
        <v/>
      </c>
    </row>
    <row r="260" spans="1:40" ht="15" customHeight="1" x14ac:dyDescent="0.35">
      <c r="AN260" s="113" t="str">
        <f>CONCATENATE(AN248,AN249,AN250,AN251,AN252,AN253,AN254,AN255,AN256,AN257,AN258,AN259)</f>
        <v/>
      </c>
    </row>
    <row r="261" spans="1:40" ht="15" customHeight="1" x14ac:dyDescent="0.35">
      <c r="G261" s="65"/>
      <c r="AN261" s="113" t="str">
        <f>IF(LEN(AN260)&gt;8,LEFT(CONCATENATE(AN248,AN249,AN250,AN251,AN252,AN253,AN254,AN255,AN256,AN257,AN258,AN259),LEN(CONCATENATE(AN248,AN249,AN250,AN251,AN252,AN253,AN254,AN255,AN256,AN257,AN258,AN259))-2),"")</f>
        <v/>
      </c>
    </row>
    <row r="262" spans="1:40" ht="15" customHeight="1" x14ac:dyDescent="0.35">
      <c r="AN262" s="113"/>
    </row>
    <row r="263" spans="1:40" ht="15" customHeight="1" x14ac:dyDescent="0.35">
      <c r="AN263" s="113" t="s">
        <v>820</v>
      </c>
    </row>
    <row r="264" spans="1:40" ht="15" customHeight="1" x14ac:dyDescent="0.35">
      <c r="AN264" s="113" t="s">
        <v>821</v>
      </c>
    </row>
    <row r="265" spans="1:40" ht="10" customHeight="1" thickBot="1" x14ac:dyDescent="0.4"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K265" t="str">
        <f>IFERROR(IF(AN262&lt;&gt;"",IF(LEN(AN261)&lt;15,CONCATENATE(AN263,AN261,"."),IF(LEN(AN261&gt;17),CONCATENATE(AN264,LEFT(AN261,LEN(AN261)-20),SUBSTITUTE(RIGHT(AN261,20),", "," and "))&amp;". ")),""),"")</f>
        <v/>
      </c>
      <c r="AN265" s="114" t="str">
        <f>IF(AND(AN261&lt;&gt;"",LEN(AN261)-LEN(SUBSTITUTE(AN261,"&amp;",""))=1),CONCATENATE(AN263,AN261,". "),CONCATENATE(AN264,AN261,". "))</f>
        <v xml:space="preserve">fins inbetween . </v>
      </c>
    </row>
    <row r="266" spans="1:40" ht="15.75" customHeight="1" thickBot="1" x14ac:dyDescent="0.4">
      <c r="C266" s="1201" t="s">
        <v>306</v>
      </c>
      <c r="D266" s="1201"/>
      <c r="E266" s="1201"/>
      <c r="F266" s="1201"/>
      <c r="G266" s="1201"/>
      <c r="H266" s="1201"/>
      <c r="I266" s="1201"/>
      <c r="J266" s="1201"/>
      <c r="K266" s="1201"/>
      <c r="L266" s="1201"/>
      <c r="M266" s="1201"/>
      <c r="N266" s="1201"/>
      <c r="O266" s="1201"/>
      <c r="P266" s="1201"/>
      <c r="Q266" s="1201"/>
      <c r="R266" s="1201"/>
      <c r="S266" s="1201"/>
      <c r="T266" s="1201"/>
      <c r="U266" s="1201"/>
      <c r="V266" s="1201"/>
      <c r="W266" s="1201"/>
      <c r="X266" s="1201"/>
      <c r="Y266" s="1201"/>
      <c r="Z266" s="1201"/>
      <c r="AA266" s="1201"/>
      <c r="AB266" s="1201"/>
      <c r="AC266" s="1201"/>
      <c r="AD266" s="1201"/>
      <c r="AE266" s="1201"/>
      <c r="AF266" s="1201"/>
      <c r="AG266" s="1201"/>
      <c r="AH266" s="1201"/>
      <c r="AI266" s="1201"/>
    </row>
    <row r="267" spans="1:40" ht="15" customHeight="1" x14ac:dyDescent="0.35">
      <c r="A267" s="1202"/>
      <c r="B267" s="1203"/>
      <c r="C267" s="1207" t="s">
        <v>17</v>
      </c>
      <c r="D267" s="1207"/>
      <c r="E267" s="1207"/>
      <c r="F267" s="1207"/>
      <c r="G267" s="1207"/>
      <c r="H267" s="1207"/>
      <c r="I267" s="1207"/>
      <c r="J267" s="1207"/>
      <c r="K267" s="1207"/>
      <c r="L267" s="1207"/>
      <c r="M267" s="1207"/>
      <c r="N267" s="1207"/>
      <c r="O267" s="1207"/>
      <c r="P267" s="1207"/>
      <c r="Q267" s="1207"/>
      <c r="R267" s="1207"/>
      <c r="S267" s="1207"/>
      <c r="T267" s="1207"/>
      <c r="U267" s="1207"/>
      <c r="V267" s="1208"/>
      <c r="W267" s="6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8"/>
    </row>
    <row r="268" spans="1:40" ht="15.75" customHeight="1" thickBot="1" x14ac:dyDescent="0.4">
      <c r="A268" s="1204"/>
      <c r="B268" s="1205"/>
      <c r="C268" s="16">
        <v>1</v>
      </c>
      <c r="D268" s="17">
        <v>2</v>
      </c>
      <c r="E268" s="17">
        <v>3</v>
      </c>
      <c r="F268" s="17">
        <v>4</v>
      </c>
      <c r="G268" s="17">
        <v>5</v>
      </c>
      <c r="H268" s="17">
        <v>6</v>
      </c>
      <c r="I268" s="17">
        <v>7</v>
      </c>
      <c r="J268" s="17">
        <v>8</v>
      </c>
      <c r="K268" s="17">
        <v>9</v>
      </c>
      <c r="L268" s="17">
        <v>10</v>
      </c>
      <c r="M268" s="17">
        <v>11</v>
      </c>
      <c r="N268" s="17">
        <v>12</v>
      </c>
      <c r="O268" s="17">
        <v>13</v>
      </c>
      <c r="P268" s="17">
        <v>14</v>
      </c>
      <c r="Q268" s="17">
        <v>15</v>
      </c>
      <c r="R268" s="17">
        <v>16</v>
      </c>
      <c r="S268" s="17">
        <v>17</v>
      </c>
      <c r="T268" s="17">
        <v>18</v>
      </c>
      <c r="U268" s="17">
        <v>19</v>
      </c>
      <c r="V268" s="18">
        <v>20</v>
      </c>
      <c r="W268" s="17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20"/>
    </row>
    <row r="269" spans="1:40" ht="15" customHeight="1" thickBot="1" x14ac:dyDescent="0.4">
      <c r="A269" s="1196" t="s">
        <v>18</v>
      </c>
      <c r="B269" s="21">
        <v>1</v>
      </c>
      <c r="C269" s="40" t="str" cm="1">
        <f t="array" ref="C269">IF(COUNTIF(C61,"*P*"),
   INDEX($C$148:$AJ$148,
     COUNTIFS($C$4:C4, "*")
   ),
"")</f>
        <v/>
      </c>
      <c r="D269" s="40" t="str" cm="1">
        <f t="array" ref="D269">IF(COUNTIF(D61,"*P*"),
   INDEX($C$148:$AJ$148,
     COUNTIFS($C$4:D4, "*")
   ),
"")</f>
        <v/>
      </c>
      <c r="E269" s="40" t="str" cm="1">
        <f t="array" ref="E269">IF(COUNTIF(E61,"*P*"),
   INDEX($C$148:$AJ$148,
     COUNTIFS($C$4:E4, "*")
   ),
"")</f>
        <v/>
      </c>
      <c r="F269" s="40" t="str" cm="1">
        <f t="array" ref="F269">IF(COUNTIF(F61,"*P*"),
   INDEX($C$148:$AJ$148,
     COUNTIFS($C$4:F4, "*")
   ),
"")</f>
        <v/>
      </c>
      <c r="G269" s="40" t="str" cm="1">
        <f t="array" ref="G269">IF(COUNTIF(G61,"*P*"),
   INDEX($C$148:$AJ$148,
     COUNTIFS($C$4:G4, "*")
   ),
"")</f>
        <v/>
      </c>
      <c r="H269" s="40" t="str" cm="1">
        <f t="array" ref="H269">IF(COUNTIF(H61,"*P*"),
   INDEX($C$148:$AJ$148,
     COUNTIFS($C$4:H4, "*")
   ),
"")</f>
        <v/>
      </c>
      <c r="I269" s="40" t="str" cm="1">
        <f t="array" ref="I269">IF(COUNTIF(I61,"*P*"),
   INDEX($C$148:$AJ$148,
     COUNTIFS($C$4:I4, "*")
   ),
"")</f>
        <v/>
      </c>
      <c r="J269" s="40" t="str" cm="1">
        <f t="array" ref="J269">IF(COUNTIF(J61,"*P*"),
   INDEX($C$148:$AJ$148,
     COUNTIFS($C$4:J4, "*")
   ),
"")</f>
        <v/>
      </c>
      <c r="K269" s="40" t="str" cm="1">
        <f t="array" ref="K269">IF(COUNTIF(K61,"*P*"),
   INDEX($C$148:$AJ$148,
     COUNTIFS($C$4:K4, "*")
   ),
"")</f>
        <v/>
      </c>
      <c r="L269" s="40" t="str" cm="1">
        <f t="array" ref="L269">IF(COUNTIF(L61,"*P*"),
   INDEX($C$148:$AJ$148,
     COUNTIFS($C$4:L4, "*")
   ),
"")</f>
        <v/>
      </c>
      <c r="M269" s="40" t="str" cm="1">
        <f t="array" ref="M269">IF(COUNTIF(M61,"*P*"),
   INDEX($C$148:$AJ$148,
     COUNTIFS($C$4:M4, "*")
   ),
"")</f>
        <v/>
      </c>
      <c r="N269" s="40" t="str" cm="1">
        <f t="array" ref="N269">IF(COUNTIF(N61,"*P*"),
   INDEX($C$148:$AJ$148,
     COUNTIFS($C$4:N4, "*")
   ),
"")</f>
        <v/>
      </c>
      <c r="O269" s="40" t="str" cm="1">
        <f t="array" ref="O269">IF(COUNTIF(O61,"*P*"),
   INDEX($C$148:$AJ$148,
     COUNTIFS($C$4:O4, "*")
   ),
"")</f>
        <v/>
      </c>
      <c r="P269" s="40" t="str" cm="1">
        <f t="array" ref="P269">IF(COUNTIF(P61,"*P*"),
   INDEX($C$148:$AJ$148,
     COUNTIFS($C$4:P4, "*")
   ),
"")</f>
        <v/>
      </c>
      <c r="Q269" s="40" t="str" cm="1">
        <f t="array" ref="Q269">IF(COUNTIF(Q61,"*P*"),
   INDEX($C$148:$AJ$148,
     COUNTIFS($C$4:Q4, "*")
   ),
"")</f>
        <v/>
      </c>
      <c r="R269" s="40" t="str" cm="1">
        <f t="array" ref="R269">IF(COUNTIF(R61,"*P*"),
   INDEX($C$148:$AJ$148,
     COUNTIFS($C$4:R4, "*")
   ),
"")</f>
        <v/>
      </c>
      <c r="S269" s="40" t="str" cm="1">
        <f t="array" ref="S269">IF(COUNTIF(S61,"*P*"),
   INDEX($C$148:$AJ$148,
     COUNTIFS($C$4:S4, "*")
   ),
"")</f>
        <v/>
      </c>
      <c r="T269" s="40" t="str" cm="1">
        <f t="array" ref="T269">IF(COUNTIF(T61,"*P*"),
   INDEX($C$148:$AJ$148,
     COUNTIFS($C$4:T4, "*")
   ),
"")</f>
        <v/>
      </c>
      <c r="U269" s="40" t="str" cm="1">
        <f t="array" ref="U269">IF(COUNTIF(U61,"*P*"),
   INDEX($C$148:$AJ$148,
     COUNTIFS($C$4:U4, "*")
   ),
"")</f>
        <v/>
      </c>
      <c r="V269" s="40" t="str" cm="1">
        <f t="array" ref="V269">IF(COUNTIF(V61,"*P*"),
   INDEX($C$148:$AJ$148,
     COUNTIFS($C$4:V4, "*")
   ),
"")</f>
        <v/>
      </c>
      <c r="W269" s="40" t="str" cm="1">
        <f t="array" ref="W269">IF(COUNTIF(W61,"*P*"),
   INDEX($C$148:$AJ$148,
     COUNTIFS($C$4:W4, "*")
   ),
"")</f>
        <v/>
      </c>
      <c r="X269" s="40" t="str" cm="1">
        <f t="array" ref="X269">IF(COUNTIF(X61,"*P*"),
   INDEX($C$148:$AJ$148,
     COUNTIFS($C$4:X4, "*")
   ),
"")</f>
        <v/>
      </c>
      <c r="Y269" s="40" t="str" cm="1">
        <f t="array" ref="Y269">IF(COUNTIF(Y61,"*P*"),
   INDEX($C$148:$AJ$148,
     COUNTIFS($C$4:Y4, "*")
   ),
"")</f>
        <v/>
      </c>
      <c r="Z269" s="40" t="str" cm="1">
        <f t="array" ref="Z269">IF(COUNTIF(Z61,"*P*"),
   INDEX($C$148:$AJ$148,
     COUNTIFS($C$4:Z4, "*")
   ),
"")</f>
        <v/>
      </c>
      <c r="AA269" s="40" t="str" cm="1">
        <f t="array" ref="AA269">IF(COUNTIF(AA61,"*P*"),
   INDEX($C$148:$AJ$148,
     COUNTIFS($C$4:AA4, "*")
   ),
"")</f>
        <v/>
      </c>
      <c r="AB269" s="40" t="str" cm="1">
        <f t="array" ref="AB269">IF(COUNTIF(AB61,"*P*"),
   INDEX($C$148:$AJ$148,
     COUNTIFS($C$4:AB4, "*")
   ),
"")</f>
        <v/>
      </c>
      <c r="AC269" s="40" t="str" cm="1">
        <f t="array" ref="AC269">IF(COUNTIF(AC61,"*P*"),
   INDEX($C$148:$AJ$148,
     COUNTIFS($C$4:AC4, "*")
   ),
"")</f>
        <v/>
      </c>
      <c r="AD269" s="40" t="str" cm="1">
        <f t="array" ref="AD269">IF(COUNTIF(AD61,"*P*"),
   INDEX($C$148:$AJ$148,
     COUNTIFS($C$4:AD4, "*")
   ),
"")</f>
        <v/>
      </c>
      <c r="AE269" s="40" t="str" cm="1">
        <f t="array" ref="AE269">IF(COUNTIF(AE61,"*P*"),
   INDEX($C$148:$AJ$148,
     COUNTIFS($C$4:AE4, "*")
   ),
"")</f>
        <v/>
      </c>
      <c r="AF269" s="40" t="str" cm="1">
        <f t="array" ref="AF269">IF(COUNTIF(AF61,"*P*"),
   INDEX($C$148:$AJ$148,
     COUNTIFS($C$4:AF4, "*")
   ),
"")</f>
        <v/>
      </c>
      <c r="AG269" s="40" t="str" cm="1">
        <f t="array" ref="AG269">IF(COUNTIF(AG61,"*P*"),
   INDEX($C$148:$AJ$148,
     COUNTIFS($C$4:AG4, "*")
   ),
"")</f>
        <v/>
      </c>
      <c r="AH269" s="40" t="str" cm="1">
        <f t="array" ref="AH269">IF(COUNTIF(AH61,"*P*"),
   INDEX($C$148:$AJ$148,
     COUNTIFS($C$4:AH4, "*")
   ),
"")</f>
        <v/>
      </c>
      <c r="AI269" s="40" t="str" cm="1">
        <f t="array" ref="AI269">IF(COUNTIF(AI61,"*P*"),
   INDEX($C$148:$AJ$148,
     COUNTIFS($C$4:AI4, "*")
   ),
"")</f>
        <v/>
      </c>
      <c r="AJ269" s="40" t="str" cm="1">
        <f t="array" ref="AJ269">IF(COUNTIF(AJ61,"*P*"),
   INDEX($C$148:$AJ$148,
     COUNTIFS($C$4:AJ4, "*")
   ),
"")</f>
        <v/>
      </c>
      <c r="AK269" s="62" t="str">
        <f>CONCATENATE(C269,D269,E269,F269,G269,H269,I269,J269,K269,L269,M269,N269,O269,P269,Q269,R269,S269,T269,U269,V269,W269,X269,Y269,Z269,AA269,AB269,AC269,AD269,AE269,AF269,AG269,AH269,AI269,AJ269)</f>
        <v/>
      </c>
    </row>
    <row r="270" spans="1:40" ht="15" customHeight="1" thickBot="1" x14ac:dyDescent="0.4">
      <c r="A270" s="1196"/>
      <c r="B270" s="22">
        <v>2</v>
      </c>
      <c r="C270" s="40" t="str" cm="1">
        <f t="array" ref="C270">IF(COUNTIF(C62,"*P*"),
   INDEX($C$149:$AJ$149,
     COUNTIFS($C$5:C5, "*")
   ),
"")</f>
        <v/>
      </c>
      <c r="D270" s="40" t="str" cm="1">
        <f t="array" ref="D270">IF(COUNTIF(D62,"*P*"),
   INDEX($C$149:$AJ$149,
     COUNTIFS($C$5:D5, "*")
   ),
"")</f>
        <v/>
      </c>
      <c r="E270" s="40" t="str" cm="1">
        <f t="array" ref="E270">IF(COUNTIF(E62,"*P*"),
   INDEX($C$149:$AJ$149,
     COUNTIFS($C$5:E5, "*")
   ),
"")</f>
        <v/>
      </c>
      <c r="F270" s="40" t="str" cm="1">
        <f t="array" ref="F270">IF(COUNTIF(F62,"*P*"),
   INDEX($C$149:$AJ$149,
     COUNTIFS($C$5:F5, "*")
   ),
"")</f>
        <v/>
      </c>
      <c r="G270" s="40" t="str" cm="1">
        <f t="array" ref="G270">IF(COUNTIF(G62,"*P*"),
   INDEX($C$149:$AJ$149,
     COUNTIFS($C$5:G5, "*")
   ),
"")</f>
        <v/>
      </c>
      <c r="H270" s="40" t="str" cm="1">
        <f t="array" ref="H270">IF(COUNTIF(H62,"*P*"),
   INDEX($C$149:$AJ$149,
     COUNTIFS($C$5:H5, "*")
   ),
"")</f>
        <v/>
      </c>
      <c r="I270" s="40" t="str" cm="1">
        <f t="array" ref="I270">IF(COUNTIF(I62,"*P*"),
   INDEX($C$149:$AJ$149,
     COUNTIFS($C$5:I5, "*")
   ),
"")</f>
        <v/>
      </c>
      <c r="J270" s="40" t="str" cm="1">
        <f t="array" ref="J270">IF(COUNTIF(J62,"*P*"),
   INDEX($C$149:$AJ$149,
     COUNTIFS($C$5:J5, "*")
   ),
"")</f>
        <v/>
      </c>
      <c r="K270" s="40" t="str" cm="1">
        <f t="array" ref="K270">IF(COUNTIF(K62,"*P*"),
   INDEX($C$149:$AJ$149,
     COUNTIFS($C$5:K5, "*")
   ),
"")</f>
        <v/>
      </c>
      <c r="L270" s="40" t="str" cm="1">
        <f t="array" ref="L270">IF(COUNTIF(L62,"*P*"),
   INDEX($C$149:$AJ$149,
     COUNTIFS($C$5:L5, "*")
   ),
"")</f>
        <v/>
      </c>
      <c r="M270" s="40" t="str" cm="1">
        <f t="array" ref="M270">IF(COUNTIF(M62,"*P*"),
   INDEX($C$149:$AJ$149,
     COUNTIFS($C$5:M5, "*")
   ),
"")</f>
        <v/>
      </c>
      <c r="N270" s="40" t="str" cm="1">
        <f t="array" ref="N270">IF(COUNTIF(N62,"*P*"),
   INDEX($C$149:$AJ$149,
     COUNTIFS($C$5:N5, "*")
   ),
"")</f>
        <v/>
      </c>
      <c r="O270" s="40" t="str" cm="1">
        <f t="array" ref="O270">IF(COUNTIF(O62,"*P*"),
   INDEX($C$149:$AJ$149,
     COUNTIFS($C$5:O5, "*")
   ),
"")</f>
        <v/>
      </c>
      <c r="P270" s="40" t="str" cm="1">
        <f t="array" ref="P270">IF(COUNTIF(P62,"*P*"),
   INDEX($C$149:$AJ$149,
     COUNTIFS($C$5:P5, "*")
   ),
"")</f>
        <v/>
      </c>
      <c r="Q270" s="40" t="str" cm="1">
        <f t="array" ref="Q270">IF(COUNTIF(Q62,"*P*"),
   INDEX($C$149:$AJ$149,
     COUNTIFS($C$5:Q5, "*")
   ),
"")</f>
        <v/>
      </c>
      <c r="R270" s="40" t="str" cm="1">
        <f t="array" ref="R270">IF(COUNTIF(R62,"*P*"),
   INDEX($C$149:$AJ$149,
     COUNTIFS($C$5:R5, "*")
   ),
"")</f>
        <v/>
      </c>
      <c r="S270" s="40" t="str" cm="1">
        <f t="array" ref="S270">IF(COUNTIF(S62,"*P*"),
   INDEX($C$149:$AJ$149,
     COUNTIFS($C$5:S5, "*")
   ),
"")</f>
        <v/>
      </c>
      <c r="T270" s="40" t="str" cm="1">
        <f t="array" ref="T270">IF(COUNTIF(T62,"*P*"),
   INDEX($C$149:$AJ$149,
     COUNTIFS($C$5:T5, "*")
   ),
"")</f>
        <v/>
      </c>
      <c r="U270" s="40" t="str" cm="1">
        <f t="array" ref="U270">IF(COUNTIF(U62,"*P*"),
   INDEX($C$149:$AJ$149,
     COUNTIFS($C$5:U5, "*")
   ),
"")</f>
        <v/>
      </c>
      <c r="V270" s="40" t="str" cm="1">
        <f t="array" ref="V270">IF(COUNTIF(V62,"*P*"),
   INDEX($C$149:$AJ$149,
     COUNTIFS($C$5:V5, "*")
   ),
"")</f>
        <v/>
      </c>
      <c r="W270" s="40" t="str" cm="1">
        <f t="array" ref="W270">IF(COUNTIF(W62,"*P*"),
   INDEX($C$149:$AJ$149,
     COUNTIFS($C$5:W5, "*")
   ),
"")</f>
        <v/>
      </c>
      <c r="X270" s="40" t="str" cm="1">
        <f t="array" ref="X270">IF(COUNTIF(X62,"*P*"),
   INDEX($C$149:$AJ$149,
     COUNTIFS($C$5:X5, "*")
   ),
"")</f>
        <v/>
      </c>
      <c r="Y270" s="40" t="str" cm="1">
        <f t="array" ref="Y270">IF(COUNTIF(Y62,"*P*"),
   INDEX($C$149:$AJ$149,
     COUNTIFS($C$5:Y5, "*")
   ),
"")</f>
        <v/>
      </c>
      <c r="Z270" s="40" t="str" cm="1">
        <f t="array" ref="Z270">IF(COUNTIF(Z62,"*P*"),
   INDEX($C$149:$AJ$149,
     COUNTIFS($C$5:Z5, "*")
   ),
"")</f>
        <v/>
      </c>
      <c r="AA270" s="40" t="str" cm="1">
        <f t="array" ref="AA270">IF(COUNTIF(AA62,"*P*"),
   INDEX($C$149:$AJ$149,
     COUNTIFS($C$5:AA5, "*")
   ),
"")</f>
        <v/>
      </c>
      <c r="AB270" s="40" t="str" cm="1">
        <f t="array" ref="AB270">IF(COUNTIF(AB62,"*P*"),
   INDEX($C$149:$AJ$149,
     COUNTIFS($C$5:AB5, "*")
   ),
"")</f>
        <v/>
      </c>
      <c r="AC270" s="40" t="str" cm="1">
        <f t="array" ref="AC270">IF(COUNTIF(AC62,"*P*"),
   INDEX($C$149:$AJ$149,
     COUNTIFS($C$5:AC5, "*")
   ),
"")</f>
        <v/>
      </c>
      <c r="AD270" s="40" t="str" cm="1">
        <f t="array" ref="AD270">IF(COUNTIF(AD62,"*P*"),
   INDEX($C$149:$AJ$149,
     COUNTIFS($C$5:AD5, "*")
   ),
"")</f>
        <v/>
      </c>
      <c r="AE270" s="40" t="str" cm="1">
        <f t="array" ref="AE270">IF(COUNTIF(AE62,"*P*"),
   INDEX($C$149:$AJ$149,
     COUNTIFS($C$5:AE5, "*")
   ),
"")</f>
        <v/>
      </c>
      <c r="AF270" s="40" t="str" cm="1">
        <f t="array" ref="AF270">IF(COUNTIF(AF62,"*P*"),
   INDEX($C$149:$AJ$149,
     COUNTIFS($C$5:AF5, "*")
   ),
"")</f>
        <v/>
      </c>
      <c r="AG270" s="40" t="str" cm="1">
        <f t="array" ref="AG270">IF(COUNTIF(AG62,"*P*"),
   INDEX($C$149:$AJ$149,
     COUNTIFS($C$5:AG5, "*")
   ),
"")</f>
        <v/>
      </c>
      <c r="AH270" s="40" t="str" cm="1">
        <f t="array" ref="AH270">IF(COUNTIF(AH62,"*P*"),
   INDEX($C$149:$AJ$149,
     COUNTIFS($C$5:AH5, "*")
   ),
"")</f>
        <v/>
      </c>
      <c r="AI270" s="40" t="str" cm="1">
        <f t="array" ref="AI270">IF(COUNTIF(AI62,"*P*"),
   INDEX($C$149:$AJ$149,
     COUNTIFS($C$5:AI5, "*")
   ),
"")</f>
        <v/>
      </c>
      <c r="AJ270" s="40" t="str" cm="1">
        <f t="array" ref="AJ270">IF(COUNTIF(AJ62,"*P*"),
   INDEX($C$149:$AJ$149,
     COUNTIFS($C$5:AJ5, "*")
   ),
"")</f>
        <v/>
      </c>
      <c r="AK270" s="62" t="str">
        <f t="shared" ref="AK270:AK280" si="53">CONCATENATE(C270,D270,E270,F270,G270,H270,I270,J270,K270,L270,M270,N270,O270,P270,Q270,R270,S270,T270,U270,V270,W270,X270,Y270,Z270,AA270,AB270,AC270,AD270,AE270,AF270,AG270,AH270,AI270,AJ270)</f>
        <v/>
      </c>
    </row>
    <row r="271" spans="1:40" ht="15" customHeight="1" thickBot="1" x14ac:dyDescent="0.4">
      <c r="A271" s="1196"/>
      <c r="B271" s="22">
        <v>3</v>
      </c>
      <c r="C271" s="40" t="str" cm="1">
        <f t="array" ref="C271">IF(COUNTIF(C63,"*P*"),
   INDEX($C$150:$AJ$150,
     COUNTIFS($C$6:C6, "*")
   ),
"")</f>
        <v/>
      </c>
      <c r="D271" s="40" t="str" cm="1">
        <f t="array" ref="D271">IF(COUNTIF(D63,"*P*"),
   INDEX($C$150:$AJ$150,
     COUNTIFS($C$6:D6, "*")
   ),
"")</f>
        <v/>
      </c>
      <c r="E271" s="40" t="str" cm="1">
        <f t="array" ref="E271">IF(COUNTIF(E63,"*P*"),
   INDEX($C$150:$AJ$150,
     COUNTIFS($C$6:E6, "*")
   ),
"")</f>
        <v/>
      </c>
      <c r="F271" s="40" t="str" cm="1">
        <f t="array" ref="F271">IF(COUNTIF(F63,"*P*"),
   INDEX($C$150:$AJ$150,
     COUNTIFS($C$6:F6, "*")
   ),
"")</f>
        <v/>
      </c>
      <c r="G271" s="40" t="str" cm="1">
        <f t="array" ref="G271">IF(COUNTIF(G63,"*P*"),
   INDEX($C$150:$AJ$150,
     COUNTIFS($C$6:G6, "*")
   ),
"")</f>
        <v/>
      </c>
      <c r="H271" s="40" t="str" cm="1">
        <f t="array" ref="H271">IF(COUNTIF(H63,"*P*"),
   INDEX($C$150:$AJ$150,
     COUNTIFS($C$6:H6, "*")
   ),
"")</f>
        <v/>
      </c>
      <c r="I271" s="40" t="str" cm="1">
        <f t="array" ref="I271">IF(COUNTIF(I63,"*P*"),
   INDEX($C$150:$AJ$150,
     COUNTIFS($C$6:I6, "*")
   ),
"")</f>
        <v/>
      </c>
      <c r="J271" s="40" t="str" cm="1">
        <f t="array" ref="J271">IF(COUNTIF(J63,"*P*"),
   INDEX($C$150:$AJ$150,
     COUNTIFS($C$6:J6, "*")
   ),
"")</f>
        <v/>
      </c>
      <c r="K271" s="40" t="str" cm="1">
        <f t="array" ref="K271">IF(COUNTIF(K63,"*P*"),
   INDEX($C$150:$AJ$150,
     COUNTIFS($C$6:K6, "*")
   ),
"")</f>
        <v/>
      </c>
      <c r="L271" s="40" t="str" cm="1">
        <f t="array" ref="L271">IF(COUNTIF(L63,"*P*"),
   INDEX($C$150:$AJ$150,
     COUNTIFS($C$6:L6, "*")
   ),
"")</f>
        <v/>
      </c>
      <c r="M271" s="40" t="str" cm="1">
        <f t="array" ref="M271">IF(COUNTIF(M63,"*P*"),
   INDEX($C$150:$AJ$150,
     COUNTIFS($C$6:M6, "*")
   ),
"")</f>
        <v/>
      </c>
      <c r="N271" s="40" t="str" cm="1">
        <f t="array" ref="N271">IF(COUNTIF(N63,"*P*"),
   INDEX($C$150:$AJ$150,
     COUNTIFS($C$6:N6, "*")
   ),
"")</f>
        <v/>
      </c>
      <c r="O271" s="40" t="str" cm="1">
        <f t="array" ref="O271">IF(COUNTIF(O63,"*P*"),
   INDEX($C$150:$AJ$150,
     COUNTIFS($C$6:O6, "*")
   ),
"")</f>
        <v/>
      </c>
      <c r="P271" s="40" t="str" cm="1">
        <f t="array" ref="P271">IF(COUNTIF(P63,"*P*"),
   INDEX($C$150:$AJ$150,
     COUNTIFS($C$6:P6, "*")
   ),
"")</f>
        <v/>
      </c>
      <c r="Q271" s="40" t="str" cm="1">
        <f t="array" ref="Q271">IF(COUNTIF(Q63,"*P*"),
   INDEX($C$150:$AJ$150,
     COUNTIFS($C$6:Q6, "*")
   ),
"")</f>
        <v/>
      </c>
      <c r="R271" s="40" t="str" cm="1">
        <f t="array" ref="R271">IF(COUNTIF(R63,"*P*"),
   INDEX($C$150:$AJ$150,
     COUNTIFS($C$6:R6, "*")
   ),
"")</f>
        <v/>
      </c>
      <c r="S271" s="40" t="str" cm="1">
        <f t="array" ref="S271">IF(COUNTIF(S63,"*P*"),
   INDEX($C$150:$AJ$150,
     COUNTIFS($C$6:S6, "*")
   ),
"")</f>
        <v/>
      </c>
      <c r="T271" s="40" t="str" cm="1">
        <f t="array" ref="T271">IF(COUNTIF(T63,"*P*"),
   INDEX($C$150:$AJ$150,
     COUNTIFS($C$6:T6, "*")
   ),
"")</f>
        <v/>
      </c>
      <c r="U271" s="40" t="str" cm="1">
        <f t="array" ref="U271">IF(COUNTIF(U63,"*P*"),
   INDEX($C$150:$AJ$150,
     COUNTIFS($C$6:U6, "*")
   ),
"")</f>
        <v/>
      </c>
      <c r="V271" s="40" t="str" cm="1">
        <f t="array" ref="V271">IF(COUNTIF(V63,"*P*"),
   INDEX($C$150:$AJ$150,
     COUNTIFS($C$6:V6, "*")
   ),
"")</f>
        <v/>
      </c>
      <c r="W271" s="40" t="str" cm="1">
        <f t="array" ref="W271">IF(COUNTIF(W63,"*P*"),
   INDEX($C$150:$AJ$150,
     COUNTIFS($C$6:W6, "*")
   ),
"")</f>
        <v/>
      </c>
      <c r="X271" s="40" t="str" cm="1">
        <f t="array" ref="X271">IF(COUNTIF(X63,"*P*"),
   INDEX($C$150:$AJ$150,
     COUNTIFS($C$6:X6, "*")
   ),
"")</f>
        <v/>
      </c>
      <c r="Y271" s="40" t="str" cm="1">
        <f t="array" ref="Y271">IF(COUNTIF(Y63,"*P*"),
   INDEX($C$150:$AJ$150,
     COUNTIFS($C$6:Y6, "*")
   ),
"")</f>
        <v/>
      </c>
      <c r="Z271" s="40" t="str" cm="1">
        <f t="array" ref="Z271">IF(COUNTIF(Z63,"*P*"),
   INDEX($C$150:$AJ$150,
     COUNTIFS($C$6:Z6, "*")
   ),
"")</f>
        <v/>
      </c>
      <c r="AA271" s="40" t="str" cm="1">
        <f t="array" ref="AA271">IF(COUNTIF(AA63,"*P*"),
   INDEX($C$150:$AJ$150,
     COUNTIFS($C$6:AA6, "*")
   ),
"")</f>
        <v/>
      </c>
      <c r="AB271" s="40" t="str" cm="1">
        <f t="array" ref="AB271">IF(COUNTIF(AB63,"*P*"),
   INDEX($C$150:$AJ$150,
     COUNTIFS($C$6:AB6, "*")
   ),
"")</f>
        <v/>
      </c>
      <c r="AC271" s="40" t="str" cm="1">
        <f t="array" ref="AC271">IF(COUNTIF(AC63,"*P*"),
   INDEX($C$150:$AJ$150,
     COUNTIFS($C$6:AC6, "*")
   ),
"")</f>
        <v/>
      </c>
      <c r="AD271" s="40" t="str" cm="1">
        <f t="array" ref="AD271">IF(COUNTIF(AD63,"*P*"),
   INDEX($C$150:$AJ$150,
     COUNTIFS($C$6:AD6, "*")
   ),
"")</f>
        <v/>
      </c>
      <c r="AE271" s="40" t="str" cm="1">
        <f t="array" ref="AE271">IF(COUNTIF(AE63,"*P*"),
   INDEX($C$150:$AJ$150,
     COUNTIFS($C$6:AE6, "*")
   ),
"")</f>
        <v/>
      </c>
      <c r="AF271" s="40" t="str" cm="1">
        <f t="array" ref="AF271">IF(COUNTIF(AF63,"*P*"),
   INDEX($C$150:$AJ$150,
     COUNTIFS($C$6:AF6, "*")
   ),
"")</f>
        <v/>
      </c>
      <c r="AG271" s="40" t="str" cm="1">
        <f t="array" ref="AG271">IF(COUNTIF(AG63,"*P*"),
   INDEX($C$150:$AJ$150,
     COUNTIFS($C$6:AG6, "*")
   ),
"")</f>
        <v/>
      </c>
      <c r="AH271" s="40" t="str" cm="1">
        <f t="array" ref="AH271">IF(COUNTIF(AH63,"*P*"),
   INDEX($C$150:$AJ$150,
     COUNTIFS($C$6:AH6, "*")
   ),
"")</f>
        <v/>
      </c>
      <c r="AI271" s="40" t="str" cm="1">
        <f t="array" ref="AI271">IF(COUNTIF(AI63,"*P*"),
   INDEX($C$150:$AJ$150,
     COUNTIFS($C$6:AI6, "*")
   ),
"")</f>
        <v/>
      </c>
      <c r="AJ271" s="40" t="str" cm="1">
        <f t="array" ref="AJ271">IF(COUNTIF(AJ63,"*P*"),
   INDEX($C$150:$AJ$150,
     COUNTIFS($C$6:AJ6, "*")
   ),
"")</f>
        <v/>
      </c>
      <c r="AK271" s="62" t="str">
        <f t="shared" si="53"/>
        <v/>
      </c>
    </row>
    <row r="272" spans="1:40" ht="15" customHeight="1" thickBot="1" x14ac:dyDescent="0.4">
      <c r="A272" s="1196"/>
      <c r="B272" s="22">
        <v>4</v>
      </c>
      <c r="C272" s="40" t="str" cm="1">
        <f t="array" ref="C272">IF(COUNTIF(C64,"*P*"),
   INDEX($C$151:$AJ$151,
     COUNTIFS($C$7:C7, "*")
   ),
"")</f>
        <v/>
      </c>
      <c r="D272" s="40" t="str" cm="1">
        <f t="array" ref="D272">IF(COUNTIF(D64,"*P*"),
   INDEX($C$151:$AJ$151,
     COUNTIFS($C$7:D7, "*")
   ),
"")</f>
        <v/>
      </c>
      <c r="E272" s="40" t="str" cm="1">
        <f t="array" ref="E272">IF(COUNTIF(E64,"*P*"),
   INDEX($C$151:$AJ$151,
     COUNTIFS($C$7:E7, "*")
   ),
"")</f>
        <v/>
      </c>
      <c r="F272" s="40" t="str" cm="1">
        <f t="array" ref="F272">IF(COUNTIF(F64,"*P*"),
   INDEX($C$151:$AJ$151,
     COUNTIFS($C$7:F7, "*")
   ),
"")</f>
        <v/>
      </c>
      <c r="G272" s="40" t="str" cm="1">
        <f t="array" ref="G272">IF(COUNTIF(G64,"*P*"),
   INDEX($C$151:$AJ$151,
     COUNTIFS($C$7:G7, "*")
   ),
"")</f>
        <v/>
      </c>
      <c r="H272" s="40" t="str" cm="1">
        <f t="array" ref="H272">IF(COUNTIF(H64,"*P*"),
   INDEX($C$151:$AJ$151,
     COUNTIFS($C$7:H7, "*")
   ),
"")</f>
        <v/>
      </c>
      <c r="I272" s="40" t="str" cm="1">
        <f t="array" ref="I272">IF(COUNTIF(I64,"*P*"),
   INDEX($C$151:$AJ$151,
     COUNTIFS($C$7:I7, "*")
   ),
"")</f>
        <v/>
      </c>
      <c r="J272" s="40" t="str" cm="1">
        <f t="array" ref="J272">IF(COUNTIF(J64,"*P*"),
   INDEX($C$151:$AJ$151,
     COUNTIFS($C$7:J7, "*")
   ),
"")</f>
        <v/>
      </c>
      <c r="K272" s="40" t="str" cm="1">
        <f t="array" ref="K272">IF(COUNTIF(K64,"*P*"),
   INDEX($C$151:$AJ$151,
     COUNTIFS($C$7:K7, "*")
   ),
"")</f>
        <v/>
      </c>
      <c r="L272" s="40" t="str" cm="1">
        <f t="array" ref="L272">IF(COUNTIF(L64,"*P*"),
   INDEX($C$151:$AJ$151,
     COUNTIFS($C$7:L7, "*")
   ),
"")</f>
        <v/>
      </c>
      <c r="M272" s="40" t="str" cm="1">
        <f t="array" ref="M272">IF(COUNTIF(M64,"*P*"),
   INDEX($C$151:$AJ$151,
     COUNTIFS($C$7:M7, "*")
   ),
"")</f>
        <v/>
      </c>
      <c r="N272" s="40" t="str" cm="1">
        <f t="array" ref="N272">IF(COUNTIF(N64,"*P*"),
   INDEX($C$151:$AJ$151,
     COUNTIFS($C$7:N7, "*")
   ),
"")</f>
        <v/>
      </c>
      <c r="O272" s="40" t="str" cm="1">
        <f t="array" ref="O272">IF(COUNTIF(O64,"*P*"),
   INDEX($C$151:$AJ$151,
     COUNTIFS($C$7:O7, "*")
   ),
"")</f>
        <v/>
      </c>
      <c r="P272" s="40" t="str" cm="1">
        <f t="array" ref="P272">IF(COUNTIF(P64,"*P*"),
   INDEX($C$151:$AJ$151,
     COUNTIFS($C$7:P7, "*")
   ),
"")</f>
        <v/>
      </c>
      <c r="Q272" s="40" t="str" cm="1">
        <f t="array" ref="Q272">IF(COUNTIF(Q64,"*P*"),
   INDEX($C$151:$AJ$151,
     COUNTIFS($C$7:Q7, "*")
   ),
"")</f>
        <v/>
      </c>
      <c r="R272" s="40" t="str" cm="1">
        <f t="array" ref="R272">IF(COUNTIF(R64,"*P*"),
   INDEX($C$151:$AJ$151,
     COUNTIFS($C$7:R7, "*")
   ),
"")</f>
        <v/>
      </c>
      <c r="S272" s="40" t="str" cm="1">
        <f t="array" ref="S272">IF(COUNTIF(S64,"*P*"),
   INDEX($C$151:$AJ$151,
     COUNTIFS($C$7:S7, "*")
   ),
"")</f>
        <v/>
      </c>
      <c r="T272" s="40" t="str" cm="1">
        <f t="array" ref="T272">IF(COUNTIF(T64,"*P*"),
   INDEX($C$151:$AJ$151,
     COUNTIFS($C$7:T7, "*")
   ),
"")</f>
        <v/>
      </c>
      <c r="U272" s="40" t="str" cm="1">
        <f t="array" ref="U272">IF(COUNTIF(U64,"*P*"),
   INDEX($C$151:$AJ$151,
     COUNTIFS($C$7:U7, "*")
   ),
"")</f>
        <v/>
      </c>
      <c r="V272" s="40" t="str" cm="1">
        <f t="array" ref="V272">IF(COUNTIF(V64,"*P*"),
   INDEX($C$151:$AJ$151,
     COUNTIFS($C$7:V7, "*")
   ),
"")</f>
        <v/>
      </c>
      <c r="W272" s="40" t="str" cm="1">
        <f t="array" ref="W272">IF(COUNTIF(W64,"*P*"),
   INDEX($C$151:$AJ$151,
     COUNTIFS($C$7:W7, "*")
   ),
"")</f>
        <v/>
      </c>
      <c r="X272" s="40" t="str" cm="1">
        <f t="array" ref="X272">IF(COUNTIF(X64,"*P*"),
   INDEX($C$151:$AJ$151,
     COUNTIFS($C$7:X7, "*")
   ),
"")</f>
        <v/>
      </c>
      <c r="Y272" s="40" t="str" cm="1">
        <f t="array" ref="Y272">IF(COUNTIF(Y64,"*P*"),
   INDEX($C$151:$AJ$151,
     COUNTIFS($C$7:Y7, "*")
   ),
"")</f>
        <v/>
      </c>
      <c r="Z272" s="40" t="str" cm="1">
        <f t="array" ref="Z272">IF(COUNTIF(Z64,"*P*"),
   INDEX($C$151:$AJ$151,
     COUNTIFS($C$7:Z7, "*")
   ),
"")</f>
        <v/>
      </c>
      <c r="AA272" s="40" t="str" cm="1">
        <f t="array" ref="AA272">IF(COUNTIF(AA64,"*P*"),
   INDEX($C$151:$AJ$151,
     COUNTIFS($C$7:AA7, "*")
   ),
"")</f>
        <v/>
      </c>
      <c r="AB272" s="40" t="str" cm="1">
        <f t="array" ref="AB272">IF(COUNTIF(AB64,"*P*"),
   INDEX($C$151:$AJ$151,
     COUNTIFS($C$7:AB7, "*")
   ),
"")</f>
        <v/>
      </c>
      <c r="AC272" s="40" t="str" cm="1">
        <f t="array" ref="AC272">IF(COUNTIF(AC64,"*P*"),
   INDEX($C$151:$AJ$151,
     COUNTIFS($C$7:AC7, "*")
   ),
"")</f>
        <v/>
      </c>
      <c r="AD272" s="40" t="str" cm="1">
        <f t="array" ref="AD272">IF(COUNTIF(AD64,"*P*"),
   INDEX($C$151:$AJ$151,
     COUNTIFS($C$7:AD7, "*")
   ),
"")</f>
        <v/>
      </c>
      <c r="AE272" s="40" t="str" cm="1">
        <f t="array" ref="AE272">IF(COUNTIF(AE64,"*P*"),
   INDEX($C$151:$AJ$151,
     COUNTIFS($C$7:AE7, "*")
   ),
"")</f>
        <v/>
      </c>
      <c r="AF272" s="40" t="str" cm="1">
        <f t="array" ref="AF272">IF(COUNTIF(AF64,"*P*"),
   INDEX($C$151:$AJ$151,
     COUNTIFS($C$7:AF7, "*")
   ),
"")</f>
        <v/>
      </c>
      <c r="AG272" s="40" t="str" cm="1">
        <f t="array" ref="AG272">IF(COUNTIF(AG64,"*P*"),
   INDEX($C$151:$AJ$151,
     COUNTIFS($C$7:AG7, "*")
   ),
"")</f>
        <v/>
      </c>
      <c r="AH272" s="40" t="str" cm="1">
        <f t="array" ref="AH272">IF(COUNTIF(AH64,"*P*"),
   INDEX($C$151:$AJ$151,
     COUNTIFS($C$7:AH7, "*")
   ),
"")</f>
        <v/>
      </c>
      <c r="AI272" s="40" t="str" cm="1">
        <f t="array" ref="AI272">IF(COUNTIF(AI64,"*P*"),
   INDEX($C$151:$AJ$151,
     COUNTIFS($C$7:AI7, "*")
   ),
"")</f>
        <v/>
      </c>
      <c r="AJ272" s="40" t="str" cm="1">
        <f t="array" ref="AJ272">IF(COUNTIF(AJ64,"*P*"),
   INDEX($C$151:$AJ$151,
     COUNTIFS($C$7:AJ7, "*")
   ),
"")</f>
        <v/>
      </c>
      <c r="AK272" s="62" t="str">
        <f t="shared" si="53"/>
        <v/>
      </c>
    </row>
    <row r="273" spans="1:37" ht="15" customHeight="1" thickBot="1" x14ac:dyDescent="0.4">
      <c r="A273" s="1196"/>
      <c r="B273" s="22">
        <v>5</v>
      </c>
      <c r="C273" s="40" t="str" cm="1">
        <f t="array" ref="C273">IF(COUNTIF(C65,"*P*"),
   INDEX($C$152:$AJ$152,
     COUNTIFS($C$8:C8, "*")
   ),
"")</f>
        <v/>
      </c>
      <c r="D273" s="40" t="str" cm="1">
        <f t="array" ref="D273">IF(COUNTIF(D65,"*P*"),
   INDEX($C$152:$AJ$152,
     COUNTIFS($C$8:D8, "*")
   ),
"")</f>
        <v/>
      </c>
      <c r="E273" s="40" t="str" cm="1">
        <f t="array" ref="E273">IF(COUNTIF(E65,"*P*"),
   INDEX($C$152:$AJ$152,
     COUNTIFS($C$8:E8, "*")
   ),
"")</f>
        <v/>
      </c>
      <c r="F273" s="40" t="str" cm="1">
        <f t="array" ref="F273">IF(COUNTIF(F65,"*P*"),
   INDEX($C$152:$AJ$152,
     COUNTIFS($C$8:F8, "*")
   ),
"")</f>
        <v/>
      </c>
      <c r="G273" s="40" t="str" cm="1">
        <f t="array" ref="G273">IF(COUNTIF(G65,"*P*"),
   INDEX($C$152:$AJ$152,
     COUNTIFS($C$8:G8, "*")
   ),
"")</f>
        <v/>
      </c>
      <c r="H273" s="40" t="str" cm="1">
        <f t="array" ref="H273">IF(COUNTIF(H65,"*P*"),
   INDEX($C$152:$AJ$152,
     COUNTIFS($C$8:H8, "*")
   ),
"")</f>
        <v/>
      </c>
      <c r="I273" s="40" t="str" cm="1">
        <f t="array" ref="I273">IF(COUNTIF(I65,"*P*"),
   INDEX($C$152:$AJ$152,
     COUNTIFS($C$8:I8, "*")
   ),
"")</f>
        <v/>
      </c>
      <c r="J273" s="40" t="str" cm="1">
        <f t="array" ref="J273">IF(COUNTIF(J65,"*P*"),
   INDEX($C$152:$AJ$152,
     COUNTIFS($C$8:J8, "*")
   ),
"")</f>
        <v/>
      </c>
      <c r="K273" s="40" t="str" cm="1">
        <f t="array" ref="K273">IF(COUNTIF(K65,"*P*"),
   INDEX($C$152:$AJ$152,
     COUNTIFS($C$8:K8, "*")
   ),
"")</f>
        <v/>
      </c>
      <c r="L273" s="40" t="str" cm="1">
        <f t="array" ref="L273">IF(COUNTIF(L65,"*P*"),
   INDEX($C$152:$AJ$152,
     COUNTIFS($C$8:L8, "*")
   ),
"")</f>
        <v/>
      </c>
      <c r="M273" s="40" t="str" cm="1">
        <f t="array" ref="M273">IF(COUNTIF(M65,"*P*"),
   INDEX($C$152:$AJ$152,
     COUNTIFS($C$8:M8, "*")
   ),
"")</f>
        <v/>
      </c>
      <c r="N273" s="40" t="str" cm="1">
        <f t="array" ref="N273">IF(COUNTIF(N65,"*P*"),
   INDEX($C$152:$AJ$152,
     COUNTIFS($C$8:N8, "*")
   ),
"")</f>
        <v/>
      </c>
      <c r="O273" s="40" t="str" cm="1">
        <f t="array" ref="O273">IF(COUNTIF(O65,"*P*"),
   INDEX($C$152:$AJ$152,
     COUNTIFS($C$8:O8, "*")
   ),
"")</f>
        <v/>
      </c>
      <c r="P273" s="40" t="str" cm="1">
        <f t="array" ref="P273">IF(COUNTIF(P65,"*P*"),
   INDEX($C$152:$AJ$152,
     COUNTIFS($C$8:P8, "*")
   ),
"")</f>
        <v/>
      </c>
      <c r="Q273" s="40" t="str" cm="1">
        <f t="array" ref="Q273">IF(COUNTIF(Q65,"*P*"),
   INDEX($C$152:$AJ$152,
     COUNTIFS($C$8:Q8, "*")
   ),
"")</f>
        <v/>
      </c>
      <c r="R273" s="40" t="str" cm="1">
        <f t="array" ref="R273">IF(COUNTIF(R65,"*P*"),
   INDEX($C$152:$AJ$152,
     COUNTIFS($C$8:R8, "*")
   ),
"")</f>
        <v/>
      </c>
      <c r="S273" s="40" t="str" cm="1">
        <f t="array" ref="S273">IF(COUNTIF(S65,"*P*"),
   INDEX($C$152:$AJ$152,
     COUNTIFS($C$8:S8, "*")
   ),
"")</f>
        <v/>
      </c>
      <c r="T273" s="40" t="str" cm="1">
        <f t="array" ref="T273">IF(COUNTIF(T65,"*P*"),
   INDEX($C$152:$AJ$152,
     COUNTIFS($C$8:T8, "*")
   ),
"")</f>
        <v/>
      </c>
      <c r="U273" s="40" t="str" cm="1">
        <f t="array" ref="U273">IF(COUNTIF(U65,"*P*"),
   INDEX($C$152:$AJ$152,
     COUNTIFS($C$8:U8, "*")
   ),
"")</f>
        <v/>
      </c>
      <c r="V273" s="40" t="str" cm="1">
        <f t="array" ref="V273">IF(COUNTIF(V65,"*P*"),
   INDEX($C$152:$AJ$152,
     COUNTIFS($C$8:V8, "*")
   ),
"")</f>
        <v/>
      </c>
      <c r="W273" s="40" t="str" cm="1">
        <f t="array" ref="W273">IF(COUNTIF(W65,"*P*"),
   INDEX($C$152:$AJ$152,
     COUNTIFS($C$8:W8, "*")
   ),
"")</f>
        <v/>
      </c>
      <c r="X273" s="40" t="str" cm="1">
        <f t="array" ref="X273">IF(COUNTIF(X65,"*P*"),
   INDEX($C$152:$AJ$152,
     COUNTIFS($C$8:X8, "*")
   ),
"")</f>
        <v/>
      </c>
      <c r="Y273" s="40" t="str" cm="1">
        <f t="array" ref="Y273">IF(COUNTIF(Y65,"*P*"),
   INDEX($C$152:$AJ$152,
     COUNTIFS($C$8:Y8, "*")
   ),
"")</f>
        <v/>
      </c>
      <c r="Z273" s="40" t="str" cm="1">
        <f t="array" ref="Z273">IF(COUNTIF(Z65,"*P*"),
   INDEX($C$152:$AJ$152,
     COUNTIFS($C$8:Z8, "*")
   ),
"")</f>
        <v/>
      </c>
      <c r="AA273" s="40" t="str" cm="1">
        <f t="array" ref="AA273">IF(COUNTIF(AA65,"*P*"),
   INDEX($C$152:$AJ$152,
     COUNTIFS($C$8:AA8, "*")
   ),
"")</f>
        <v/>
      </c>
      <c r="AB273" s="40" t="str" cm="1">
        <f t="array" ref="AB273">IF(COUNTIF(AB65,"*P*"),
   INDEX($C$152:$AJ$152,
     COUNTIFS($C$8:AB8, "*")
   ),
"")</f>
        <v/>
      </c>
      <c r="AC273" s="40" t="str" cm="1">
        <f t="array" ref="AC273">IF(COUNTIF(AC65,"*P*"),
   INDEX($C$152:$AJ$152,
     COUNTIFS($C$8:AC8, "*")
   ),
"")</f>
        <v/>
      </c>
      <c r="AD273" s="40" t="str" cm="1">
        <f t="array" ref="AD273">IF(COUNTIF(AD65,"*P*"),
   INDEX($C$152:$AJ$152,
     COUNTIFS($C$8:AD8, "*")
   ),
"")</f>
        <v/>
      </c>
      <c r="AE273" s="40" t="str" cm="1">
        <f t="array" ref="AE273">IF(COUNTIF(AE65,"*P*"),
   INDEX($C$152:$AJ$152,
     COUNTIFS($C$8:AE8, "*")
   ),
"")</f>
        <v/>
      </c>
      <c r="AF273" s="40" t="str" cm="1">
        <f t="array" ref="AF273">IF(COUNTIF(AF65,"*P*"),
   INDEX($C$152:$AJ$152,
     COUNTIFS($C$8:AF8, "*")
   ),
"")</f>
        <v/>
      </c>
      <c r="AG273" s="40" t="str" cm="1">
        <f t="array" ref="AG273">IF(COUNTIF(AG65,"*P*"),
   INDEX($C$152:$AJ$152,
     COUNTIFS($C$8:AG8, "*")
   ),
"")</f>
        <v/>
      </c>
      <c r="AH273" s="40" t="str" cm="1">
        <f t="array" ref="AH273">IF(COUNTIF(AH65,"*P*"),
   INDEX($C$152:$AJ$152,
     COUNTIFS($C$8:AH8, "*")
   ),
"")</f>
        <v/>
      </c>
      <c r="AI273" s="40" t="str" cm="1">
        <f t="array" ref="AI273">IF(COUNTIF(AI65,"*P*"),
   INDEX($C$152:$AJ$152,
     COUNTIFS($C$8:AI8, "*")
   ),
"")</f>
        <v/>
      </c>
      <c r="AJ273" s="40" t="str" cm="1">
        <f t="array" ref="AJ273">IF(COUNTIF(AJ65,"*P*"),
   INDEX($C$152:$AJ$152,
     COUNTIFS($C$8:AJ8, "*")
   ),
"")</f>
        <v/>
      </c>
      <c r="AK273" s="62" t="str">
        <f t="shared" si="53"/>
        <v/>
      </c>
    </row>
    <row r="274" spans="1:37" ht="15" customHeight="1" thickBot="1" x14ac:dyDescent="0.4">
      <c r="A274" s="1196"/>
      <c r="B274" s="22">
        <v>6</v>
      </c>
      <c r="C274" s="40" t="str" cm="1">
        <f t="array" ref="C274">IF(COUNTIF(C66,"*P*"),
   INDEX($C$153:$AJ$153,
     COUNTIFS($C$9:C9, "*")
   ),
"")</f>
        <v/>
      </c>
      <c r="D274" s="40" t="str" cm="1">
        <f t="array" ref="D274">IF(COUNTIF(D66,"*P*"),
   INDEX($C$153:$AJ$153,
     COUNTIFS($C$9:D9, "*")
   ),
"")</f>
        <v/>
      </c>
      <c r="E274" s="40" t="str" cm="1">
        <f t="array" ref="E274">IF(COUNTIF(E66,"*P*"),
   INDEX($C$153:$AJ$153,
     COUNTIFS($C$9:E9, "*")
   ),
"")</f>
        <v/>
      </c>
      <c r="F274" s="40" t="str" cm="1">
        <f t="array" ref="F274">IF(COUNTIF(F66,"*P*"),
   INDEX($C$153:$AJ$153,
     COUNTIFS($C$9:F9, "*")
   ),
"")</f>
        <v/>
      </c>
      <c r="G274" s="40" t="str" cm="1">
        <f t="array" ref="G274">IF(COUNTIF(G66,"*P*"),
   INDEX($C$153:$AJ$153,
     COUNTIFS($C$9:G9, "*")
   ),
"")</f>
        <v/>
      </c>
      <c r="H274" s="40" t="str" cm="1">
        <f t="array" ref="H274">IF(COUNTIF(H66,"*P*"),
   INDEX($C$153:$AJ$153,
     COUNTIFS($C$9:H9, "*")
   ),
"")</f>
        <v/>
      </c>
      <c r="I274" s="40" t="str" cm="1">
        <f t="array" ref="I274">IF(COUNTIF(I66,"*P*"),
   INDEX($C$153:$AJ$153,
     COUNTIFS($C$9:I9, "*")
   ),
"")</f>
        <v/>
      </c>
      <c r="J274" s="40" t="str" cm="1">
        <f t="array" ref="J274">IF(COUNTIF(J66,"*P*"),
   INDEX($C$153:$AJ$153,
     COUNTIFS($C$9:J9, "*")
   ),
"")</f>
        <v/>
      </c>
      <c r="K274" s="40" t="str" cm="1">
        <f t="array" ref="K274">IF(COUNTIF(K66,"*P*"),
   INDEX($C$153:$AJ$153,
     COUNTIFS($C$9:K9, "*")
   ),
"")</f>
        <v/>
      </c>
      <c r="L274" s="40" t="str" cm="1">
        <f t="array" ref="L274">IF(COUNTIF(L66,"*P*"),
   INDEX($C$153:$AJ$153,
     COUNTIFS($C$9:L9, "*")
   ),
"")</f>
        <v/>
      </c>
      <c r="M274" s="40" t="str" cm="1">
        <f t="array" ref="M274">IF(COUNTIF(M66,"*P*"),
   INDEX($C$153:$AJ$153,
     COUNTIFS($C$9:M9, "*")
   ),
"")</f>
        <v/>
      </c>
      <c r="N274" s="40" t="str" cm="1">
        <f t="array" ref="N274">IF(COUNTIF(N66,"*P*"),
   INDEX($C$153:$AJ$153,
     COUNTIFS($C$9:N9, "*")
   ),
"")</f>
        <v/>
      </c>
      <c r="O274" s="40" t="str" cm="1">
        <f t="array" ref="O274">IF(COUNTIF(O66,"*P*"),
   INDEX($C$153:$AJ$153,
     COUNTIFS($C$9:O9, "*")
   ),
"")</f>
        <v/>
      </c>
      <c r="P274" s="40" t="str" cm="1">
        <f t="array" ref="P274">IF(COUNTIF(P66,"*P*"),
   INDEX($C$153:$AJ$153,
     COUNTIFS($C$9:P9, "*")
   ),
"")</f>
        <v/>
      </c>
      <c r="Q274" s="40" t="str" cm="1">
        <f t="array" ref="Q274">IF(COUNTIF(Q66,"*P*"),
   INDEX($C$153:$AJ$153,
     COUNTIFS($C$9:Q9, "*")
   ),
"")</f>
        <v/>
      </c>
      <c r="R274" s="40" t="str" cm="1">
        <f t="array" ref="R274">IF(COUNTIF(R66,"*P*"),
   INDEX($C$153:$AJ$153,
     COUNTIFS($C$9:R9, "*")
   ),
"")</f>
        <v/>
      </c>
      <c r="S274" s="40" t="str" cm="1">
        <f t="array" ref="S274">IF(COUNTIF(S66,"*P*"),
   INDEX($C$153:$AJ$153,
     COUNTIFS($C$9:S9, "*")
   ),
"")</f>
        <v/>
      </c>
      <c r="T274" s="40" t="str" cm="1">
        <f t="array" ref="T274">IF(COUNTIF(T66,"*P*"),
   INDEX($C$153:$AJ$153,
     COUNTIFS($C$9:T9, "*")
   ),
"")</f>
        <v/>
      </c>
      <c r="U274" s="40" t="str" cm="1">
        <f t="array" ref="U274">IF(COUNTIF(U66,"*P*"),
   INDEX($C$153:$AJ$153,
     COUNTIFS($C$9:U9, "*")
   ),
"")</f>
        <v/>
      </c>
      <c r="V274" s="40" t="str" cm="1">
        <f t="array" ref="V274">IF(COUNTIF(V66,"*P*"),
   INDEX($C$153:$AJ$153,
     COUNTIFS($C$9:V9, "*")
   ),
"")</f>
        <v/>
      </c>
      <c r="W274" s="40" t="str" cm="1">
        <f t="array" ref="W274">IF(COUNTIF(W66,"*P*"),
   INDEX($C$153:$AJ$153,
     COUNTIFS($C$9:W9, "*")
   ),
"")</f>
        <v/>
      </c>
      <c r="X274" s="40" t="str" cm="1">
        <f t="array" ref="X274">IF(COUNTIF(X66,"*P*"),
   INDEX($C$153:$AJ$153,
     COUNTIFS($C$9:X9, "*")
   ),
"")</f>
        <v/>
      </c>
      <c r="Y274" s="40" t="str" cm="1">
        <f t="array" ref="Y274">IF(COUNTIF(Y66,"*P*"),
   INDEX($C$153:$AJ$153,
     COUNTIFS($C$9:Y9, "*")
   ),
"")</f>
        <v/>
      </c>
      <c r="Z274" s="40" t="str" cm="1">
        <f t="array" ref="Z274">IF(COUNTIF(Z66,"*P*"),
   INDEX($C$153:$AJ$153,
     COUNTIFS($C$9:Z9, "*")
   ),
"")</f>
        <v/>
      </c>
      <c r="AA274" s="40" t="str" cm="1">
        <f t="array" ref="AA274">IF(COUNTIF(AA66,"*P*"),
   INDEX($C$153:$AJ$153,
     COUNTIFS($C$9:AA9, "*")
   ),
"")</f>
        <v/>
      </c>
      <c r="AB274" s="40" t="str" cm="1">
        <f t="array" ref="AB274">IF(COUNTIF(AB66,"*P*"),
   INDEX($C$153:$AJ$153,
     COUNTIFS($C$9:AB9, "*")
   ),
"")</f>
        <v/>
      </c>
      <c r="AC274" s="40" t="str" cm="1">
        <f t="array" ref="AC274">IF(COUNTIF(AC66,"*P*"),
   INDEX($C$153:$AJ$153,
     COUNTIFS($C$9:AC9, "*")
   ),
"")</f>
        <v/>
      </c>
      <c r="AD274" s="40" t="str" cm="1">
        <f t="array" ref="AD274">IF(COUNTIF(AD66,"*P*"),
   INDEX($C$153:$AJ$153,
     COUNTIFS($C$9:AD9, "*")
   ),
"")</f>
        <v/>
      </c>
      <c r="AE274" s="40" t="str" cm="1">
        <f t="array" ref="AE274">IF(COUNTIF(AE66,"*P*"),
   INDEX($C$153:$AJ$153,
     COUNTIFS($C$9:AE9, "*")
   ),
"")</f>
        <v/>
      </c>
      <c r="AF274" s="40" t="str" cm="1">
        <f t="array" ref="AF274">IF(COUNTIF(AF66,"*P*"),
   INDEX($C$153:$AJ$153,
     COUNTIFS($C$9:AF9, "*")
   ),
"")</f>
        <v/>
      </c>
      <c r="AG274" s="40" t="str" cm="1">
        <f t="array" ref="AG274">IF(COUNTIF(AG66,"*P*"),
   INDEX($C$153:$AJ$153,
     COUNTIFS($C$9:AG9, "*")
   ),
"")</f>
        <v/>
      </c>
      <c r="AH274" s="40" t="str" cm="1">
        <f t="array" ref="AH274">IF(COUNTIF(AH66,"*P*"),
   INDEX($C$153:$AJ$153,
     COUNTIFS($C$9:AH9, "*")
   ),
"")</f>
        <v/>
      </c>
      <c r="AI274" s="40" t="str" cm="1">
        <f t="array" ref="AI274">IF(COUNTIF(AI66,"*P*"),
   INDEX($C$153:$AJ$153,
     COUNTIFS($C$9:AI9, "*")
   ),
"")</f>
        <v/>
      </c>
      <c r="AJ274" s="40" t="str" cm="1">
        <f t="array" ref="AJ274">IF(COUNTIF(AJ66,"*P*"),
   INDEX($C$153:$AJ$153,
     COUNTIFS($C$9:AJ9, "*")
   ),
"")</f>
        <v/>
      </c>
      <c r="AK274" s="62" t="str">
        <f t="shared" si="53"/>
        <v/>
      </c>
    </row>
    <row r="275" spans="1:37" ht="15" customHeight="1" thickBot="1" x14ac:dyDescent="0.4">
      <c r="A275" s="1196"/>
      <c r="B275" s="22">
        <v>7</v>
      </c>
      <c r="C275" s="40" t="str" cm="1">
        <f t="array" ref="C275">IF(COUNTIF(C67,"*P*"),
   INDEX($C$154:$AJ$154,
     COUNTIFS($C$10:C10, "*")
   ),
"")</f>
        <v/>
      </c>
      <c r="D275" s="40" t="str" cm="1">
        <f t="array" ref="D275">IF(COUNTIF(D67,"*P*"),
   INDEX($C$154:$AJ$154,
     COUNTIFS($C$10:D10, "*")
   ),
"")</f>
        <v/>
      </c>
      <c r="E275" s="40" t="str" cm="1">
        <f t="array" ref="E275">IF(COUNTIF(E67,"*P*"),
   INDEX($C$154:$AJ$154,
     COUNTIFS($C$10:E10, "*")
   ),
"")</f>
        <v/>
      </c>
      <c r="F275" s="40" t="str" cm="1">
        <f t="array" ref="F275">IF(COUNTIF(F67,"*P*"),
   INDEX($C$154:$AJ$154,
     COUNTIFS($C$10:F10, "*")
   ),
"")</f>
        <v/>
      </c>
      <c r="G275" s="40" t="str" cm="1">
        <f t="array" ref="G275">IF(COUNTIF(G67,"*P*"),
   INDEX($C$154:$AJ$154,
     COUNTIFS($C$10:G10, "*")
   ),
"")</f>
        <v/>
      </c>
      <c r="H275" s="40" t="str" cm="1">
        <f t="array" ref="H275">IF(COUNTIF(H67,"*P*"),
   INDEX($C$154:$AJ$154,
     COUNTIFS($C$10:H10, "*")
   ),
"")</f>
        <v/>
      </c>
      <c r="I275" s="40" t="str" cm="1">
        <f t="array" ref="I275">IF(COUNTIF(I67,"*P*"),
   INDEX($C$154:$AJ$154,
     COUNTIFS($C$10:I10, "*")
   ),
"")</f>
        <v/>
      </c>
      <c r="J275" s="40" t="str" cm="1">
        <f t="array" ref="J275">IF(COUNTIF(J67,"*P*"),
   INDEX($C$154:$AJ$154,
     COUNTIFS($C$10:J10, "*")
   ),
"")</f>
        <v/>
      </c>
      <c r="K275" s="40" t="str" cm="1">
        <f t="array" ref="K275">IF(COUNTIF(K67,"*P*"),
   INDEX($C$154:$AJ$154,
     COUNTIFS($C$10:K10, "*")
   ),
"")</f>
        <v/>
      </c>
      <c r="L275" s="40" t="str" cm="1">
        <f t="array" ref="L275">IF(COUNTIF(L67,"*P*"),
   INDEX($C$154:$AJ$154,
     COUNTIFS($C$10:L10, "*")
   ),
"")</f>
        <v/>
      </c>
      <c r="M275" s="40" t="str" cm="1">
        <f t="array" ref="M275">IF(COUNTIF(M67,"*P*"),
   INDEX($C$154:$AJ$154,
     COUNTIFS($C$10:M10, "*")
   ),
"")</f>
        <v/>
      </c>
      <c r="N275" s="40" t="str" cm="1">
        <f t="array" ref="N275">IF(COUNTIF(N67,"*P*"),
   INDEX($C$154:$AJ$154,
     COUNTIFS($C$10:N10, "*")
   ),
"")</f>
        <v/>
      </c>
      <c r="O275" s="40" t="str" cm="1">
        <f t="array" ref="O275">IF(COUNTIF(O67,"*P*"),
   INDEX($C$154:$AJ$154,
     COUNTIFS($C$10:O10, "*")
   ),
"")</f>
        <v/>
      </c>
      <c r="P275" s="40" t="str" cm="1">
        <f t="array" ref="P275">IF(COUNTIF(P67,"*P*"),
   INDEX($C$154:$AJ$154,
     COUNTIFS($C$10:P10, "*")
   ),
"")</f>
        <v/>
      </c>
      <c r="Q275" s="40" t="str" cm="1">
        <f t="array" ref="Q275">IF(COUNTIF(Q67,"*P*"),
   INDEX($C$154:$AJ$154,
     COUNTIFS($C$10:Q10, "*")
   ),
"")</f>
        <v/>
      </c>
      <c r="R275" s="40" t="str" cm="1">
        <f t="array" ref="R275">IF(COUNTIF(R67,"*P*"),
   INDEX($C$154:$AJ$154,
     COUNTIFS($C$10:R10, "*")
   ),
"")</f>
        <v/>
      </c>
      <c r="S275" s="40" t="str" cm="1">
        <f t="array" ref="S275">IF(COUNTIF(S67,"*P*"),
   INDEX($C$154:$AJ$154,
     COUNTIFS($C$10:S10, "*")
   ),
"")</f>
        <v/>
      </c>
      <c r="T275" s="40" t="str" cm="1">
        <f t="array" ref="T275">IF(COUNTIF(T67,"*P*"),
   INDEX($C$154:$AJ$154,
     COUNTIFS($C$10:T10, "*")
   ),
"")</f>
        <v/>
      </c>
      <c r="U275" s="40" t="str" cm="1">
        <f t="array" ref="U275">IF(COUNTIF(U67,"*P*"),
   INDEX($C$154:$AJ$154,
     COUNTIFS($C$10:U10, "*")
   ),
"")</f>
        <v/>
      </c>
      <c r="V275" s="40" t="str" cm="1">
        <f t="array" ref="V275">IF(COUNTIF(V67,"*P*"),
   INDEX($C$154:$AJ$154,
     COUNTIFS($C$10:V10, "*")
   ),
"")</f>
        <v/>
      </c>
      <c r="W275" s="40" t="str" cm="1">
        <f t="array" ref="W275">IF(COUNTIF(W67,"*P*"),
   INDEX($C$154:$AJ$154,
     COUNTIFS($C$10:W10, "*")
   ),
"")</f>
        <v/>
      </c>
      <c r="X275" s="40" t="str" cm="1">
        <f t="array" ref="X275">IF(COUNTIF(X67,"*P*"),
   INDEX($C$154:$AJ$154,
     COUNTIFS($C$10:X10, "*")
   ),
"")</f>
        <v/>
      </c>
      <c r="Y275" s="40" t="str" cm="1">
        <f t="array" ref="Y275">IF(COUNTIF(Y67,"*P*"),
   INDEX($C$154:$AJ$154,
     COUNTIFS($C$10:Y10, "*")
   ),
"")</f>
        <v/>
      </c>
      <c r="Z275" s="40" t="str" cm="1">
        <f t="array" ref="Z275">IF(COUNTIF(Z67,"*P*"),
   INDEX($C$154:$AJ$154,
     COUNTIFS($C$10:Z10, "*")
   ),
"")</f>
        <v/>
      </c>
      <c r="AA275" s="40" t="str" cm="1">
        <f t="array" ref="AA275">IF(COUNTIF(AA67,"*P*"),
   INDEX($C$154:$AJ$154,
     COUNTIFS($C$10:AA10, "*")
   ),
"")</f>
        <v/>
      </c>
      <c r="AB275" s="40" t="str" cm="1">
        <f t="array" ref="AB275">IF(COUNTIF(AB67,"*P*"),
   INDEX($C$154:$AJ$154,
     COUNTIFS($C$10:AB10, "*")
   ),
"")</f>
        <v/>
      </c>
      <c r="AC275" s="40" t="str" cm="1">
        <f t="array" ref="AC275">IF(COUNTIF(AC67,"*P*"),
   INDEX($C$154:$AJ$154,
     COUNTIFS($C$10:AC10, "*")
   ),
"")</f>
        <v/>
      </c>
      <c r="AD275" s="40" t="str" cm="1">
        <f t="array" ref="AD275">IF(COUNTIF(AD67,"*P*"),
   INDEX($C$154:$AJ$154,
     COUNTIFS($C$10:AD10, "*")
   ),
"")</f>
        <v/>
      </c>
      <c r="AE275" s="40" t="str" cm="1">
        <f t="array" ref="AE275">IF(COUNTIF(AE67,"*P*"),
   INDEX($C$154:$AJ$154,
     COUNTIFS($C$10:AE10, "*")
   ),
"")</f>
        <v/>
      </c>
      <c r="AF275" s="40" t="str" cm="1">
        <f t="array" ref="AF275">IF(COUNTIF(AF67,"*P*"),
   INDEX($C$154:$AJ$154,
     COUNTIFS($C$10:AF10, "*")
   ),
"")</f>
        <v/>
      </c>
      <c r="AG275" s="40" t="str" cm="1">
        <f t="array" ref="AG275">IF(COUNTIF(AG67,"*P*"),
   INDEX($C$154:$AJ$154,
     COUNTIFS($C$10:AG10, "*")
   ),
"")</f>
        <v/>
      </c>
      <c r="AH275" s="40" t="str" cm="1">
        <f t="array" ref="AH275">IF(COUNTIF(AH67,"*P*"),
   INDEX($C$154:$AJ$154,
     COUNTIFS($C$10:AH10, "*")
   ),
"")</f>
        <v/>
      </c>
      <c r="AI275" s="40" t="str" cm="1">
        <f t="array" ref="AI275">IF(COUNTIF(AI67,"*P*"),
   INDEX($C$154:$AJ$154,
     COUNTIFS($C$10:AI10, "*")
   ),
"")</f>
        <v/>
      </c>
      <c r="AJ275" s="40" t="str" cm="1">
        <f t="array" ref="AJ275">IF(COUNTIF(AJ67,"*P*"),
   INDEX($C$154:$AJ$154,
     COUNTIFS($C$10:AJ10, "*")
   ),
"")</f>
        <v/>
      </c>
      <c r="AK275" s="62" t="str">
        <f t="shared" si="53"/>
        <v/>
      </c>
    </row>
    <row r="276" spans="1:37" ht="15" customHeight="1" thickBot="1" x14ac:dyDescent="0.4">
      <c r="A276" s="1196"/>
      <c r="B276" s="22">
        <v>8</v>
      </c>
      <c r="C276" s="40" t="str" cm="1">
        <f t="array" ref="C276">IF(COUNTIF(C68,"*P*"),
   INDEX($C$155:$AJ$155,
     COUNTIFS($C$11:C11, "*")
   ),
"")</f>
        <v/>
      </c>
      <c r="D276" s="40" t="str" cm="1">
        <f t="array" ref="D276">IF(COUNTIF(D68,"*P*"),
   INDEX($C$155:$AJ$155,
     COUNTIFS($C$11:D11, "*")
   ),
"")</f>
        <v/>
      </c>
      <c r="E276" s="40" t="str" cm="1">
        <f t="array" ref="E276">IF(COUNTIF(E68,"*P*"),
   INDEX($C$155:$AJ$155,
     COUNTIFS($C$11:E11, "*")
   ),
"")</f>
        <v/>
      </c>
      <c r="F276" s="40" t="str" cm="1">
        <f t="array" ref="F276">IF(COUNTIF(F68,"*P*"),
   INDEX($C$155:$AJ$155,
     COUNTIFS($C$11:F11, "*")
   ),
"")</f>
        <v/>
      </c>
      <c r="G276" s="40" t="str" cm="1">
        <f t="array" ref="G276">IF(COUNTIF(G68,"*P*"),
   INDEX($C$155:$AJ$155,
     COUNTIFS($C$11:G11, "*")
   ),
"")</f>
        <v/>
      </c>
      <c r="H276" s="40" t="str" cm="1">
        <f t="array" ref="H276">IF(COUNTIF(H68,"*P*"),
   INDEX($C$155:$AJ$155,
     COUNTIFS($C$11:H11, "*")
   ),
"")</f>
        <v/>
      </c>
      <c r="I276" s="40" t="str" cm="1">
        <f t="array" ref="I276">IF(COUNTIF(I68,"*P*"),
   INDEX($C$155:$AJ$155,
     COUNTIFS($C$11:I11, "*")
   ),
"")</f>
        <v/>
      </c>
      <c r="J276" s="40" t="str" cm="1">
        <f t="array" ref="J276">IF(COUNTIF(J68,"*P*"),
   INDEX($C$155:$AJ$155,
     COUNTIFS($C$11:J11, "*")
   ),
"")</f>
        <v/>
      </c>
      <c r="K276" s="40" t="str" cm="1">
        <f t="array" ref="K276">IF(COUNTIF(K68,"*P*"),
   INDEX($C$155:$AJ$155,
     COUNTIFS($C$11:K11, "*")
   ),
"")</f>
        <v/>
      </c>
      <c r="L276" s="40" t="str" cm="1">
        <f t="array" ref="L276">IF(COUNTIF(L68,"*P*"),
   INDEX($C$155:$AJ$155,
     COUNTIFS($C$11:L11, "*")
   ),
"")</f>
        <v/>
      </c>
      <c r="M276" s="40" t="str" cm="1">
        <f t="array" ref="M276">IF(COUNTIF(M68,"*P*"),
   INDEX($C$155:$AJ$155,
     COUNTIFS($C$11:M11, "*")
   ),
"")</f>
        <v/>
      </c>
      <c r="N276" s="40" t="str" cm="1">
        <f t="array" ref="N276">IF(COUNTIF(N68,"*P*"),
   INDEX($C$155:$AJ$155,
     COUNTIFS($C$11:N11, "*")
   ),
"")</f>
        <v/>
      </c>
      <c r="O276" s="40" t="str" cm="1">
        <f t="array" ref="O276">IF(COUNTIF(O68,"*P*"),
   INDEX($C$155:$AJ$155,
     COUNTIFS($C$11:O11, "*")
   ),
"")</f>
        <v/>
      </c>
      <c r="P276" s="40" t="str" cm="1">
        <f t="array" ref="P276">IF(COUNTIF(P68,"*P*"),
   INDEX($C$155:$AJ$155,
     COUNTIFS($C$11:P11, "*")
   ),
"")</f>
        <v/>
      </c>
      <c r="Q276" s="40" t="str" cm="1">
        <f t="array" ref="Q276">IF(COUNTIF(Q68,"*P*"),
   INDEX($C$155:$AJ$155,
     COUNTIFS($C$11:Q11, "*")
   ),
"")</f>
        <v/>
      </c>
      <c r="R276" s="40" t="str" cm="1">
        <f t="array" ref="R276">IF(COUNTIF(R68,"*P*"),
   INDEX($C$155:$AJ$155,
     COUNTIFS($C$11:R11, "*")
   ),
"")</f>
        <v/>
      </c>
      <c r="S276" s="40" t="str" cm="1">
        <f t="array" ref="S276">IF(COUNTIF(S68,"*P*"),
   INDEX($C$155:$AJ$155,
     COUNTIFS($C$11:S11, "*")
   ),
"")</f>
        <v/>
      </c>
      <c r="T276" s="40" t="str" cm="1">
        <f t="array" ref="T276">IF(COUNTIF(T68,"*P*"),
   INDEX($C$155:$AJ$155,
     COUNTIFS($C$11:T11, "*")
   ),
"")</f>
        <v/>
      </c>
      <c r="U276" s="40" t="str" cm="1">
        <f t="array" ref="U276">IF(COUNTIF(U68,"*P*"),
   INDEX($C$155:$AJ$155,
     COUNTIFS($C$11:U11, "*")
   ),
"")</f>
        <v/>
      </c>
      <c r="V276" s="40" t="str" cm="1">
        <f t="array" ref="V276">IF(COUNTIF(V68,"*P*"),
   INDEX($C$155:$AJ$155,
     COUNTIFS($C$11:V11, "*")
   ),
"")</f>
        <v/>
      </c>
      <c r="W276" s="40" t="str" cm="1">
        <f t="array" ref="W276">IF(COUNTIF(W68,"*P*"),
   INDEX($C$155:$AJ$155,
     COUNTIFS($C$11:W11, "*")
   ),
"")</f>
        <v/>
      </c>
      <c r="X276" s="40" t="str" cm="1">
        <f t="array" ref="X276">IF(COUNTIF(X68,"*P*"),
   INDEX($C$155:$AJ$155,
     COUNTIFS($C$11:X11, "*")
   ),
"")</f>
        <v/>
      </c>
      <c r="Y276" s="40" t="str" cm="1">
        <f t="array" ref="Y276">IF(COUNTIF(Y68,"*P*"),
   INDEX($C$155:$AJ$155,
     COUNTIFS($C$11:Y11, "*")
   ),
"")</f>
        <v/>
      </c>
      <c r="Z276" s="40" t="str" cm="1">
        <f t="array" ref="Z276">IF(COUNTIF(Z68,"*P*"),
   INDEX($C$155:$AJ$155,
     COUNTIFS($C$11:Z11, "*")
   ),
"")</f>
        <v/>
      </c>
      <c r="AA276" s="40" t="str" cm="1">
        <f t="array" ref="AA276">IF(COUNTIF(AA68,"*P*"),
   INDEX($C$155:$AJ$155,
     COUNTIFS($C$11:AA11, "*")
   ),
"")</f>
        <v/>
      </c>
      <c r="AB276" s="40" t="str" cm="1">
        <f t="array" ref="AB276">IF(COUNTIF(AB68,"*P*"),
   INDEX($C$155:$AJ$155,
     COUNTIFS($C$11:AB11, "*")
   ),
"")</f>
        <v/>
      </c>
      <c r="AC276" s="40" t="str" cm="1">
        <f t="array" ref="AC276">IF(COUNTIF(AC68,"*P*"),
   INDEX($C$155:$AJ$155,
     COUNTIFS($C$11:AC11, "*")
   ),
"")</f>
        <v/>
      </c>
      <c r="AD276" s="40" t="str" cm="1">
        <f t="array" ref="AD276">IF(COUNTIF(AD68,"*P*"),
   INDEX($C$155:$AJ$155,
     COUNTIFS($C$11:AD11, "*")
   ),
"")</f>
        <v/>
      </c>
      <c r="AE276" s="40" t="str" cm="1">
        <f t="array" ref="AE276">IF(COUNTIF(AE68,"*P*"),
   INDEX($C$155:$AJ$155,
     COUNTIFS($C$11:AE11, "*")
   ),
"")</f>
        <v/>
      </c>
      <c r="AF276" s="40" t="str" cm="1">
        <f t="array" ref="AF276">IF(COUNTIF(AF68,"*P*"),
   INDEX($C$155:$AJ$155,
     COUNTIFS($C$11:AF11, "*")
   ),
"")</f>
        <v/>
      </c>
      <c r="AG276" s="40" t="str" cm="1">
        <f t="array" ref="AG276">IF(COUNTIF(AG68,"*P*"),
   INDEX($C$155:$AJ$155,
     COUNTIFS($C$11:AG11, "*")
   ),
"")</f>
        <v/>
      </c>
      <c r="AH276" s="40" t="str" cm="1">
        <f t="array" ref="AH276">IF(COUNTIF(AH68,"*P*"),
   INDEX($C$155:$AJ$155,
     COUNTIFS($C$11:AH11, "*")
   ),
"")</f>
        <v/>
      </c>
      <c r="AI276" s="40" t="str" cm="1">
        <f t="array" ref="AI276">IF(COUNTIF(AI68,"*P*"),
   INDEX($C$155:$AJ$155,
     COUNTIFS($C$11:AI11, "*")
   ),
"")</f>
        <v/>
      </c>
      <c r="AJ276" s="40" t="str" cm="1">
        <f t="array" ref="AJ276">IF(COUNTIF(AJ68,"*P*"),
   INDEX($C$155:$AJ$155,
     COUNTIFS($C$11:AJ11, "*")
   ),
"")</f>
        <v/>
      </c>
      <c r="AK276" s="62" t="str">
        <f t="shared" si="53"/>
        <v/>
      </c>
    </row>
    <row r="277" spans="1:37" ht="15" customHeight="1" thickBot="1" x14ac:dyDescent="0.4">
      <c r="A277" s="1196"/>
      <c r="B277" s="22">
        <v>9</v>
      </c>
      <c r="C277" s="40" t="str" cm="1">
        <f t="array" ref="C277">IF(COUNTIF(C69,"*P*"),
   INDEX($C$156:$AJ$156,
     COUNTIFS($C$12:C12, "*")
   ),
"")</f>
        <v/>
      </c>
      <c r="D277" s="40" t="str" cm="1">
        <f t="array" ref="D277">IF(COUNTIF(D69,"*P*"),
   INDEX($C$156:$AJ$156,
     COUNTIFS($C$12:D12, "*")
   ),
"")</f>
        <v/>
      </c>
      <c r="E277" s="40" t="str" cm="1">
        <f t="array" ref="E277">IF(COUNTIF(E69,"*P*"),
   INDEX($C$156:$AJ$156,
     COUNTIFS($C$12:E12, "*")
   ),
"")</f>
        <v/>
      </c>
      <c r="F277" s="40" t="str" cm="1">
        <f t="array" ref="F277">IF(COUNTIF(F69,"*P*"),
   INDEX($C$156:$AJ$156,
     COUNTIFS($C$12:F12, "*")
   ),
"")</f>
        <v/>
      </c>
      <c r="G277" s="40" t="str" cm="1">
        <f t="array" ref="G277">IF(COUNTIF(G69,"*P*"),
   INDEX($C$156:$AJ$156,
     COUNTIFS($C$12:G12, "*")
   ),
"")</f>
        <v/>
      </c>
      <c r="H277" s="40" t="str" cm="1">
        <f t="array" ref="H277">IF(COUNTIF(H69,"*P*"),
   INDEX($C$156:$AJ$156,
     COUNTIFS($C$12:H12, "*")
   ),
"")</f>
        <v/>
      </c>
      <c r="I277" s="40" t="str" cm="1">
        <f t="array" ref="I277">IF(COUNTIF(I69,"*P*"),
   INDEX($C$156:$AJ$156,
     COUNTIFS($C$12:I12, "*")
   ),
"")</f>
        <v/>
      </c>
      <c r="J277" s="40" t="str" cm="1">
        <f t="array" ref="J277">IF(COUNTIF(J69,"*P*"),
   INDEX($C$156:$AJ$156,
     COUNTIFS($C$12:J12, "*")
   ),
"")</f>
        <v/>
      </c>
      <c r="K277" s="40" t="str" cm="1">
        <f t="array" ref="K277">IF(COUNTIF(K69,"*P*"),
   INDEX($C$156:$AJ$156,
     COUNTIFS($C$12:K12, "*")
   ),
"")</f>
        <v/>
      </c>
      <c r="L277" s="40" t="str" cm="1">
        <f t="array" ref="L277">IF(COUNTIF(L69,"*P*"),
   INDEX($C$156:$AJ$156,
     COUNTIFS($C$12:L12, "*")
   ),
"")</f>
        <v/>
      </c>
      <c r="M277" s="40" t="str" cm="1">
        <f t="array" ref="M277">IF(COUNTIF(M69,"*P*"),
   INDEX($C$156:$AJ$156,
     COUNTIFS($C$12:M12, "*")
   ),
"")</f>
        <v/>
      </c>
      <c r="N277" s="40" t="str" cm="1">
        <f t="array" ref="N277">IF(COUNTIF(N69,"*P*"),
   INDEX($C$156:$AJ$156,
     COUNTIFS($C$12:N12, "*")
   ),
"")</f>
        <v/>
      </c>
      <c r="O277" s="40" t="str" cm="1">
        <f t="array" ref="O277">IF(COUNTIF(O69,"*P*"),
   INDEX($C$156:$AJ$156,
     COUNTIFS($C$12:O12, "*")
   ),
"")</f>
        <v/>
      </c>
      <c r="P277" s="40" t="str" cm="1">
        <f t="array" ref="P277">IF(COUNTIF(P69,"*P*"),
   INDEX($C$156:$AJ$156,
     COUNTIFS($C$12:P12, "*")
   ),
"")</f>
        <v/>
      </c>
      <c r="Q277" s="40" t="str" cm="1">
        <f t="array" ref="Q277">IF(COUNTIF(Q69,"*P*"),
   INDEX($C$156:$AJ$156,
     COUNTIFS($C$12:Q12, "*")
   ),
"")</f>
        <v/>
      </c>
      <c r="R277" s="40" t="str" cm="1">
        <f t="array" ref="R277">IF(COUNTIF(R69,"*P*"),
   INDEX($C$156:$AJ$156,
     COUNTIFS($C$12:R12, "*")
   ),
"")</f>
        <v/>
      </c>
      <c r="S277" s="40" t="str" cm="1">
        <f t="array" ref="S277">IF(COUNTIF(S69,"*P*"),
   INDEX($C$156:$AJ$156,
     COUNTIFS($C$12:S12, "*")
   ),
"")</f>
        <v/>
      </c>
      <c r="T277" s="40" t="str" cm="1">
        <f t="array" ref="T277">IF(COUNTIF(T69,"*P*"),
   INDEX($C$156:$AJ$156,
     COUNTIFS($C$12:T12, "*")
   ),
"")</f>
        <v/>
      </c>
      <c r="U277" s="40" t="str" cm="1">
        <f t="array" ref="U277">IF(COUNTIF(U69,"*P*"),
   INDEX($C$156:$AJ$156,
     COUNTIFS($C$12:U12, "*")
   ),
"")</f>
        <v/>
      </c>
      <c r="V277" s="40" t="str" cm="1">
        <f t="array" ref="V277">IF(COUNTIF(V69,"*P*"),
   INDEX($C$156:$AJ$156,
     COUNTIFS($C$12:V12, "*")
   ),
"")</f>
        <v/>
      </c>
      <c r="W277" s="40" t="str" cm="1">
        <f t="array" ref="W277">IF(COUNTIF(W69,"*P*"),
   INDEX($C$156:$AJ$156,
     COUNTIFS($C$12:W12, "*")
   ),
"")</f>
        <v/>
      </c>
      <c r="X277" s="40" t="str" cm="1">
        <f t="array" ref="X277">IF(COUNTIF(X69,"*P*"),
   INDEX($C$156:$AJ$156,
     COUNTIFS($C$12:X12, "*")
   ),
"")</f>
        <v/>
      </c>
      <c r="Y277" s="40" t="str" cm="1">
        <f t="array" ref="Y277">IF(COUNTIF(Y69,"*P*"),
   INDEX($C$156:$AJ$156,
     COUNTIFS($C$12:Y12, "*")
   ),
"")</f>
        <v/>
      </c>
      <c r="Z277" s="40" t="str" cm="1">
        <f t="array" ref="Z277">IF(COUNTIF(Z69,"*P*"),
   INDEX($C$156:$AJ$156,
     COUNTIFS($C$12:Z12, "*")
   ),
"")</f>
        <v/>
      </c>
      <c r="AA277" s="40" t="str" cm="1">
        <f t="array" ref="AA277">IF(COUNTIF(AA69,"*P*"),
   INDEX($C$156:$AJ$156,
     COUNTIFS($C$12:AA12, "*")
   ),
"")</f>
        <v/>
      </c>
      <c r="AB277" s="40" t="str" cm="1">
        <f t="array" ref="AB277">IF(COUNTIF(AB69,"*P*"),
   INDEX($C$156:$AJ$156,
     COUNTIFS($C$12:AB12, "*")
   ),
"")</f>
        <v/>
      </c>
      <c r="AC277" s="40" t="str" cm="1">
        <f t="array" ref="AC277">IF(COUNTIF(AC69,"*P*"),
   INDEX($C$156:$AJ$156,
     COUNTIFS($C$12:AC12, "*")
   ),
"")</f>
        <v/>
      </c>
      <c r="AD277" s="40" t="str" cm="1">
        <f t="array" ref="AD277">IF(COUNTIF(AD69,"*P*"),
   INDEX($C$156:$AJ$156,
     COUNTIFS($C$12:AD12, "*")
   ),
"")</f>
        <v/>
      </c>
      <c r="AE277" s="40" t="str" cm="1">
        <f t="array" ref="AE277">IF(COUNTIF(AE69,"*P*"),
   INDEX($C$156:$AJ$156,
     COUNTIFS($C$12:AE12, "*")
   ),
"")</f>
        <v/>
      </c>
      <c r="AF277" s="40" t="str" cm="1">
        <f t="array" ref="AF277">IF(COUNTIF(AF69,"*P*"),
   INDEX($C$156:$AJ$156,
     COUNTIFS($C$12:AF12, "*")
   ),
"")</f>
        <v/>
      </c>
      <c r="AG277" s="40" t="str" cm="1">
        <f t="array" ref="AG277">IF(COUNTIF(AG69,"*P*"),
   INDEX($C$156:$AJ$156,
     COUNTIFS($C$12:AG12, "*")
   ),
"")</f>
        <v/>
      </c>
      <c r="AH277" s="40" t="str" cm="1">
        <f t="array" ref="AH277">IF(COUNTIF(AH69,"*P*"),
   INDEX($C$156:$AJ$156,
     COUNTIFS($C$12:AH12, "*")
   ),
"")</f>
        <v/>
      </c>
      <c r="AI277" s="40" t="str" cm="1">
        <f t="array" ref="AI277">IF(COUNTIF(AI69,"*P*"),
   INDEX($C$156:$AJ$156,
     COUNTIFS($C$12:AI12, "*")
   ),
"")</f>
        <v/>
      </c>
      <c r="AJ277" s="40" t="str" cm="1">
        <f t="array" ref="AJ277">IF(COUNTIF(AJ69,"*P*"),
   INDEX($C$156:$AJ$156,
     COUNTIFS($C$12:AJ12, "*")
   ),
"")</f>
        <v/>
      </c>
      <c r="AK277" s="62" t="str">
        <f t="shared" si="53"/>
        <v/>
      </c>
    </row>
    <row r="278" spans="1:37" ht="15" customHeight="1" thickBot="1" x14ac:dyDescent="0.4">
      <c r="A278" s="1196"/>
      <c r="B278" s="22">
        <v>10</v>
      </c>
      <c r="C278" s="40" t="str" cm="1">
        <f t="array" ref="C278">IF(COUNTIF(C70,"*P*"),
   INDEX($C$157:$AJ$157,
     COUNTIFS($C$13:C13, "*")
   ),
"")</f>
        <v/>
      </c>
      <c r="D278" s="40" t="str" cm="1">
        <f t="array" ref="D278">IF(COUNTIF(D70,"*P*"),
   INDEX($C$157:$AJ$157,
     COUNTIFS($C$13:D13, "*")
   ),
"")</f>
        <v/>
      </c>
      <c r="E278" s="40" t="str" cm="1">
        <f t="array" ref="E278">IF(COUNTIF(E70,"*P*"),
   INDEX($C$157:$AJ$157,
     COUNTIFS($C$13:E13, "*")
   ),
"")</f>
        <v/>
      </c>
      <c r="F278" s="40" t="str" cm="1">
        <f t="array" ref="F278">IF(COUNTIF(F70,"*P*"),
   INDEX($C$157:$AJ$157,
     COUNTIFS($C$13:F13, "*")
   ),
"")</f>
        <v/>
      </c>
      <c r="G278" s="40" t="str" cm="1">
        <f t="array" ref="G278">IF(COUNTIF(G70,"*P*"),
   INDEX($C$157:$AJ$157,
     COUNTIFS($C$13:G13, "*")
   ),
"")</f>
        <v/>
      </c>
      <c r="H278" s="40" t="str" cm="1">
        <f t="array" ref="H278">IF(COUNTIF(H70,"*P*"),
   INDEX($C$157:$AJ$157,
     COUNTIFS($C$13:H13, "*")
   ),
"")</f>
        <v/>
      </c>
      <c r="I278" s="40" t="str" cm="1">
        <f t="array" ref="I278">IF(COUNTIF(I70,"*P*"),
   INDEX($C$157:$AJ$157,
     COUNTIFS($C$13:I13, "*")
   ),
"")</f>
        <v/>
      </c>
      <c r="J278" s="40" t="str" cm="1">
        <f t="array" ref="J278">IF(COUNTIF(J70,"*P*"),
   INDEX($C$157:$AJ$157,
     COUNTIFS($C$13:J13, "*")
   ),
"")</f>
        <v/>
      </c>
      <c r="K278" s="40" t="str" cm="1">
        <f t="array" ref="K278">IF(COUNTIF(K70,"*P*"),
   INDEX($C$157:$AJ$157,
     COUNTIFS($C$13:K13, "*")
   ),
"")</f>
        <v/>
      </c>
      <c r="L278" s="40" t="str" cm="1">
        <f t="array" ref="L278">IF(COUNTIF(L70,"*P*"),
   INDEX($C$157:$AJ$157,
     COUNTIFS($C$13:L13, "*")
   ),
"")</f>
        <v/>
      </c>
      <c r="M278" s="40" t="str" cm="1">
        <f t="array" ref="M278">IF(COUNTIF(M70,"*P*"),
   INDEX($C$157:$AJ$157,
     COUNTIFS($C$13:M13, "*")
   ),
"")</f>
        <v/>
      </c>
      <c r="N278" s="40" t="str" cm="1">
        <f t="array" ref="N278">IF(COUNTIF(N70,"*P*"),
   INDEX($C$157:$AJ$157,
     COUNTIFS($C$13:N13, "*")
   ),
"")</f>
        <v/>
      </c>
      <c r="O278" s="40" t="str" cm="1">
        <f t="array" ref="O278">IF(COUNTIF(O70,"*P*"),
   INDEX($C$157:$AJ$157,
     COUNTIFS($C$13:O13, "*")
   ),
"")</f>
        <v/>
      </c>
      <c r="P278" s="40" t="str" cm="1">
        <f t="array" ref="P278">IF(COUNTIF(P70,"*P*"),
   INDEX($C$157:$AJ$157,
     COUNTIFS($C$13:P13, "*")
   ),
"")</f>
        <v/>
      </c>
      <c r="Q278" s="40" t="str" cm="1">
        <f t="array" ref="Q278">IF(COUNTIF(Q70,"*P*"),
   INDEX($C$157:$AJ$157,
     COUNTIFS($C$13:Q13, "*")
   ),
"")</f>
        <v/>
      </c>
      <c r="R278" s="40" t="str" cm="1">
        <f t="array" ref="R278">IF(COUNTIF(R70,"*P*"),
   INDEX($C$157:$AJ$157,
     COUNTIFS($C$13:R13, "*")
   ),
"")</f>
        <v/>
      </c>
      <c r="S278" s="40" t="str" cm="1">
        <f t="array" ref="S278">IF(COUNTIF(S70,"*P*"),
   INDEX($C$157:$AJ$157,
     COUNTIFS($C$13:S13, "*")
   ),
"")</f>
        <v/>
      </c>
      <c r="T278" s="40" t="str" cm="1">
        <f t="array" ref="T278">IF(COUNTIF(T70,"*P*"),
   INDEX($C$157:$AJ$157,
     COUNTIFS($C$13:T13, "*")
   ),
"")</f>
        <v/>
      </c>
      <c r="U278" s="40" t="str" cm="1">
        <f t="array" ref="U278">IF(COUNTIF(U70,"*P*"),
   INDEX($C$157:$AJ$157,
     COUNTIFS($C$13:U13, "*")
   ),
"")</f>
        <v/>
      </c>
      <c r="V278" s="40" t="str" cm="1">
        <f t="array" ref="V278">IF(COUNTIF(V70,"*P*"),
   INDEX($C$157:$AJ$157,
     COUNTIFS($C$13:V13, "*")
   ),
"")</f>
        <v/>
      </c>
      <c r="W278" s="40" t="str" cm="1">
        <f t="array" ref="W278">IF(COUNTIF(W70,"*P*"),
   INDEX($C$157:$AJ$157,
     COUNTIFS($C$13:W13, "*")
   ),
"")</f>
        <v/>
      </c>
      <c r="X278" s="40" t="str" cm="1">
        <f t="array" ref="X278">IF(COUNTIF(X70,"*P*"),
   INDEX($C$157:$AJ$157,
     COUNTIFS($C$13:X13, "*")
   ),
"")</f>
        <v/>
      </c>
      <c r="Y278" s="40" t="str" cm="1">
        <f t="array" ref="Y278">IF(COUNTIF(Y70,"*P*"),
   INDEX($C$157:$AJ$157,
     COUNTIFS($C$13:Y13, "*")
   ),
"")</f>
        <v/>
      </c>
      <c r="Z278" s="40" t="str" cm="1">
        <f t="array" ref="Z278">IF(COUNTIF(Z70,"*P*"),
   INDEX($C$157:$AJ$157,
     COUNTIFS($C$13:Z13, "*")
   ),
"")</f>
        <v/>
      </c>
      <c r="AA278" s="40" t="str" cm="1">
        <f t="array" ref="AA278">IF(COUNTIF(AA70,"*P*"),
   INDEX($C$157:$AJ$157,
     COUNTIFS($C$13:AA13, "*")
   ),
"")</f>
        <v/>
      </c>
      <c r="AB278" s="40" t="str" cm="1">
        <f t="array" ref="AB278">IF(COUNTIF(AB70,"*P*"),
   INDEX($C$157:$AJ$157,
     COUNTIFS($C$13:AB13, "*")
   ),
"")</f>
        <v/>
      </c>
      <c r="AC278" s="40" t="str" cm="1">
        <f t="array" ref="AC278">IF(COUNTIF(AC70,"*P*"),
   INDEX($C$157:$AJ$157,
     COUNTIFS($C$13:AC13, "*")
   ),
"")</f>
        <v/>
      </c>
      <c r="AD278" s="40" t="str" cm="1">
        <f t="array" ref="AD278">IF(COUNTIF(AD70,"*P*"),
   INDEX($C$157:$AJ$157,
     COUNTIFS($C$13:AD13, "*")
   ),
"")</f>
        <v/>
      </c>
      <c r="AE278" s="40" t="str" cm="1">
        <f t="array" ref="AE278">IF(COUNTIF(AE70,"*P*"),
   INDEX($C$157:$AJ$157,
     COUNTIFS($C$13:AE13, "*")
   ),
"")</f>
        <v/>
      </c>
      <c r="AF278" s="40" t="str" cm="1">
        <f t="array" ref="AF278">IF(COUNTIF(AF70,"*P*"),
   INDEX($C$157:$AJ$157,
     COUNTIFS($C$13:AF13, "*")
   ),
"")</f>
        <v/>
      </c>
      <c r="AG278" s="40" t="str" cm="1">
        <f t="array" ref="AG278">IF(COUNTIF(AG70,"*P*"),
   INDEX($C$157:$AJ$157,
     COUNTIFS($C$13:AG13, "*")
   ),
"")</f>
        <v/>
      </c>
      <c r="AH278" s="40" t="str" cm="1">
        <f t="array" ref="AH278">IF(COUNTIF(AH70,"*P*"),
   INDEX($C$157:$AJ$157,
     COUNTIFS($C$13:AH13, "*")
   ),
"")</f>
        <v/>
      </c>
      <c r="AI278" s="40" t="str" cm="1">
        <f t="array" ref="AI278">IF(COUNTIF(AI70,"*P*"),
   INDEX($C$157:$AJ$157,
     COUNTIFS($C$13:AI13, "*")
   ),
"")</f>
        <v/>
      </c>
      <c r="AJ278" s="40" t="str" cm="1">
        <f t="array" ref="AJ278">IF(COUNTIF(AJ70,"*P*"),
   INDEX($C$157:$AJ$157,
     COUNTIFS($C$13:AJ13, "*")
   ),
"")</f>
        <v/>
      </c>
      <c r="AK278" s="62" t="str">
        <f t="shared" si="53"/>
        <v/>
      </c>
    </row>
    <row r="279" spans="1:37" ht="15" customHeight="1" thickBot="1" x14ac:dyDescent="0.4">
      <c r="A279" s="1196"/>
      <c r="B279" s="22">
        <v>11</v>
      </c>
      <c r="C279" s="40" t="str" cm="1">
        <f t="array" ref="C279">IF(COUNTIF(C71,"*P*"),
   INDEX($C$158:$AJ$158,
     COUNTIFS($C$14:C14, "*")
   ),
"")</f>
        <v/>
      </c>
      <c r="D279" s="40" t="str" cm="1">
        <f t="array" ref="D279">IF(COUNTIF(D71,"*P*"),
   INDEX($C$158:$AJ$158,
     COUNTIFS($C$14:D14, "*")
   ),
"")</f>
        <v/>
      </c>
      <c r="E279" s="40" t="str" cm="1">
        <f t="array" ref="E279">IF(COUNTIF(E71,"*P*"),
   INDEX($C$158:$AJ$158,
     COUNTIFS($C$14:E14, "*")
   ),
"")</f>
        <v/>
      </c>
      <c r="F279" s="40" t="str" cm="1">
        <f t="array" ref="F279">IF(COUNTIF(F71,"*P*"),
   INDEX($C$158:$AJ$158,
     COUNTIFS($C$14:F14, "*")
   ),
"")</f>
        <v/>
      </c>
      <c r="G279" s="40" t="str" cm="1">
        <f t="array" ref="G279">IF(COUNTIF(G71,"*P*"),
   INDEX($C$158:$AJ$158,
     COUNTIFS($C$14:G14, "*")
   ),
"")</f>
        <v/>
      </c>
      <c r="H279" s="40" t="str" cm="1">
        <f t="array" ref="H279">IF(COUNTIF(H71,"*P*"),
   INDEX($C$158:$AJ$158,
     COUNTIFS($C$14:H14, "*")
   ),
"")</f>
        <v/>
      </c>
      <c r="I279" s="40" t="str" cm="1">
        <f t="array" ref="I279">IF(COUNTIF(I71,"*P*"),
   INDEX($C$158:$AJ$158,
     COUNTIFS($C$14:I14, "*")
   ),
"")</f>
        <v/>
      </c>
      <c r="J279" s="40" t="str" cm="1">
        <f t="array" ref="J279">IF(COUNTIF(J71,"*P*"),
   INDEX($C$158:$AJ$158,
     COUNTIFS($C$14:J14, "*")
   ),
"")</f>
        <v/>
      </c>
      <c r="K279" s="40" t="str" cm="1">
        <f t="array" ref="K279">IF(COUNTIF(K71,"*P*"),
   INDEX($C$158:$AJ$158,
     COUNTIFS($C$14:K14, "*")
   ),
"")</f>
        <v/>
      </c>
      <c r="L279" s="40" t="str" cm="1">
        <f t="array" ref="L279">IF(COUNTIF(L71,"*P*"),
   INDEX($C$158:$AJ$158,
     COUNTIFS($C$14:L14, "*")
   ),
"")</f>
        <v/>
      </c>
      <c r="M279" s="40" t="str" cm="1">
        <f t="array" ref="M279">IF(COUNTIF(M71,"*P*"),
   INDEX($C$158:$AJ$158,
     COUNTIFS($C$14:M14, "*")
   ),
"")</f>
        <v/>
      </c>
      <c r="N279" s="40" t="str" cm="1">
        <f t="array" ref="N279">IF(COUNTIF(N71,"*P*"),
   INDEX($C$158:$AJ$158,
     COUNTIFS($C$14:N14, "*")
   ),
"")</f>
        <v/>
      </c>
      <c r="O279" s="40" t="str" cm="1">
        <f t="array" ref="O279">IF(COUNTIF(O71,"*P*"),
   INDEX($C$158:$AJ$158,
     COUNTIFS($C$14:O14, "*")
   ),
"")</f>
        <v/>
      </c>
      <c r="P279" s="40" t="str" cm="1">
        <f t="array" ref="P279">IF(COUNTIF(P71,"*P*"),
   INDEX($C$158:$AJ$158,
     COUNTIFS($C$14:P14, "*")
   ),
"")</f>
        <v/>
      </c>
      <c r="Q279" s="40" t="str" cm="1">
        <f t="array" ref="Q279">IF(COUNTIF(Q71,"*P*"),
   INDEX($C$158:$AJ$158,
     COUNTIFS($C$14:Q14, "*")
   ),
"")</f>
        <v/>
      </c>
      <c r="R279" s="40" t="str" cm="1">
        <f t="array" ref="R279">IF(COUNTIF(R71,"*P*"),
   INDEX($C$158:$AJ$158,
     COUNTIFS($C$14:R14, "*")
   ),
"")</f>
        <v/>
      </c>
      <c r="S279" s="40" t="str" cm="1">
        <f t="array" ref="S279">IF(COUNTIF(S71,"*P*"),
   INDEX($C$158:$AJ$158,
     COUNTIFS($C$14:S14, "*")
   ),
"")</f>
        <v/>
      </c>
      <c r="T279" s="40" t="str" cm="1">
        <f t="array" ref="T279">IF(COUNTIF(T71,"*P*"),
   INDEX($C$158:$AJ$158,
     COUNTIFS($C$14:T14, "*")
   ),
"")</f>
        <v/>
      </c>
      <c r="U279" s="40" t="str" cm="1">
        <f t="array" ref="U279">IF(COUNTIF(U71,"*P*"),
   INDEX($C$158:$AJ$158,
     COUNTIFS($C$14:U14, "*")
   ),
"")</f>
        <v/>
      </c>
      <c r="V279" s="40" t="str" cm="1">
        <f t="array" ref="V279">IF(COUNTIF(V71,"*P*"),
   INDEX($C$158:$AJ$158,
     COUNTIFS($C$14:V14, "*")
   ),
"")</f>
        <v/>
      </c>
      <c r="W279" s="40" t="str" cm="1">
        <f t="array" ref="W279">IF(COUNTIF(W71,"*P*"),
   INDEX($C$158:$AJ$158,
     COUNTIFS($C$14:W14, "*")
   ),
"")</f>
        <v/>
      </c>
      <c r="X279" s="40" t="str" cm="1">
        <f t="array" ref="X279">IF(COUNTIF(X71,"*P*"),
   INDEX($C$158:$AJ$158,
     COUNTIFS($C$14:X14, "*")
   ),
"")</f>
        <v/>
      </c>
      <c r="Y279" s="40" t="str" cm="1">
        <f t="array" ref="Y279">IF(COUNTIF(Y71,"*P*"),
   INDEX($C$158:$AJ$158,
     COUNTIFS($C$14:Y14, "*")
   ),
"")</f>
        <v/>
      </c>
      <c r="Z279" s="40" t="str" cm="1">
        <f t="array" ref="Z279">IF(COUNTIF(Z71,"*P*"),
   INDEX($C$158:$AJ$158,
     COUNTIFS($C$14:Z14, "*")
   ),
"")</f>
        <v/>
      </c>
      <c r="AA279" s="40" t="str" cm="1">
        <f t="array" ref="AA279">IF(COUNTIF(AA71,"*P*"),
   INDEX($C$158:$AJ$158,
     COUNTIFS($C$14:AA14, "*")
   ),
"")</f>
        <v/>
      </c>
      <c r="AB279" s="40" t="str" cm="1">
        <f t="array" ref="AB279">IF(COUNTIF(AB71,"*P*"),
   INDEX($C$158:$AJ$158,
     COUNTIFS($C$14:AB14, "*")
   ),
"")</f>
        <v/>
      </c>
      <c r="AC279" s="40" t="str" cm="1">
        <f t="array" ref="AC279">IF(COUNTIF(AC71,"*P*"),
   INDEX($C$158:$AJ$158,
     COUNTIFS($C$14:AC14, "*")
   ),
"")</f>
        <v/>
      </c>
      <c r="AD279" s="40" t="str" cm="1">
        <f t="array" ref="AD279">IF(COUNTIF(AD71,"*P*"),
   INDEX($C$158:$AJ$158,
     COUNTIFS($C$14:AD14, "*")
   ),
"")</f>
        <v/>
      </c>
      <c r="AE279" s="40" t="str" cm="1">
        <f t="array" ref="AE279">IF(COUNTIF(AE71,"*P*"),
   INDEX($C$158:$AJ$158,
     COUNTIFS($C$14:AE14, "*")
   ),
"")</f>
        <v/>
      </c>
      <c r="AF279" s="40" t="str" cm="1">
        <f t="array" ref="AF279">IF(COUNTIF(AF71,"*P*"),
   INDEX($C$158:$AJ$158,
     COUNTIFS($C$14:AF14, "*")
   ),
"")</f>
        <v/>
      </c>
      <c r="AG279" s="40" t="str" cm="1">
        <f t="array" ref="AG279">IF(COUNTIF(AG71,"*P*"),
   INDEX($C$158:$AJ$158,
     COUNTIFS($C$14:AG14, "*")
   ),
"")</f>
        <v/>
      </c>
      <c r="AH279" s="40" t="str" cm="1">
        <f t="array" ref="AH279">IF(COUNTIF(AH71,"*P*"),
   INDEX($C$158:$AJ$158,
     COUNTIFS($C$14:AH14, "*")
   ),
"")</f>
        <v/>
      </c>
      <c r="AI279" s="40" t="str" cm="1">
        <f t="array" ref="AI279">IF(COUNTIF(AI71,"*P*"),
   INDEX($C$158:$AJ$158,
     COUNTIFS($C$14:AI14, "*")
   ),
"")</f>
        <v/>
      </c>
      <c r="AJ279" s="40" t="str" cm="1">
        <f t="array" ref="AJ279">IF(COUNTIF(AJ71,"*P*"),
   INDEX($C$158:$AJ$158,
     COUNTIFS($C$14:AJ14, "*")
   ),
"")</f>
        <v/>
      </c>
      <c r="AK279" s="62" t="str">
        <f t="shared" si="53"/>
        <v/>
      </c>
    </row>
    <row r="280" spans="1:37" ht="15.75" customHeight="1" thickBot="1" x14ac:dyDescent="0.4">
      <c r="A280" s="1197"/>
      <c r="B280" s="23">
        <v>12</v>
      </c>
      <c r="C280" s="40" t="str" cm="1">
        <f t="array" ref="C280">IF(COUNTIF(C72,"*P*"),
   INDEX($C$159:$AJ$159,
     COUNTIFS($C$15:C15, "*")
   ),
"")</f>
        <v/>
      </c>
      <c r="D280" s="40" t="str" cm="1">
        <f t="array" ref="D280">IF(COUNTIF(D72,"*P*"),
   INDEX($C$159:$AJ$159,
     COUNTIFS($C$15:D15, "*")
   ),
"")</f>
        <v/>
      </c>
      <c r="E280" s="40" t="str" cm="1">
        <f t="array" ref="E280">IF(COUNTIF(E72,"*P*"),
   INDEX($C$159:$AJ$159,
     COUNTIFS($C$15:E15, "*")
   ),
"")</f>
        <v/>
      </c>
      <c r="F280" s="40" t="str" cm="1">
        <f t="array" ref="F280">IF(COUNTIF(F72,"*P*"),
   INDEX($C$159:$AJ$159,
     COUNTIFS($C$15:F15, "*")
   ),
"")</f>
        <v/>
      </c>
      <c r="G280" s="40" t="str" cm="1">
        <f t="array" ref="G280">IF(COUNTIF(G72,"*P*"),
   INDEX($C$159:$AJ$159,
     COUNTIFS($C$15:G15, "*")
   ),
"")</f>
        <v/>
      </c>
      <c r="H280" s="40" t="str" cm="1">
        <f t="array" ref="H280">IF(COUNTIF(H72,"*P*"),
   INDEX($C$159:$AJ$159,
     COUNTIFS($C$15:H15, "*")
   ),
"")</f>
        <v/>
      </c>
      <c r="I280" s="40" t="str" cm="1">
        <f t="array" ref="I280">IF(COUNTIF(I72,"*P*"),
   INDEX($C$159:$AJ$159,
     COUNTIFS($C$15:I15, "*")
   ),
"")</f>
        <v/>
      </c>
      <c r="J280" s="40" t="str" cm="1">
        <f t="array" ref="J280">IF(COUNTIF(J72,"*P*"),
   INDEX($C$159:$AJ$159,
     COUNTIFS($C$15:J15, "*")
   ),
"")</f>
        <v/>
      </c>
      <c r="K280" s="40" t="str" cm="1">
        <f t="array" ref="K280">IF(COUNTIF(K72,"*P*"),
   INDEX($C$159:$AJ$159,
     COUNTIFS($C$15:K15, "*")
   ),
"")</f>
        <v/>
      </c>
      <c r="L280" s="40" t="str" cm="1">
        <f t="array" ref="L280">IF(COUNTIF(L72,"*P*"),
   INDEX($C$159:$AJ$159,
     COUNTIFS($C$15:L15, "*")
   ),
"")</f>
        <v/>
      </c>
      <c r="M280" s="40" t="str" cm="1">
        <f t="array" ref="M280">IF(COUNTIF(M72,"*P*"),
   INDEX($C$159:$AJ$159,
     COUNTIFS($C$15:M15, "*")
   ),
"")</f>
        <v/>
      </c>
      <c r="N280" s="40" t="str" cm="1">
        <f t="array" ref="N280">IF(COUNTIF(N72,"*P*"),
   INDEX($C$159:$AJ$159,
     COUNTIFS($C$15:N15, "*")
   ),
"")</f>
        <v/>
      </c>
      <c r="O280" s="40" t="str" cm="1">
        <f t="array" ref="O280">IF(COUNTIF(O72,"*P*"),
   INDEX($C$159:$AJ$159,
     COUNTIFS($C$15:O15, "*")
   ),
"")</f>
        <v/>
      </c>
      <c r="P280" s="40" t="str" cm="1">
        <f t="array" ref="P280">IF(COUNTIF(P72,"*P*"),
   INDEX($C$159:$AJ$159,
     COUNTIFS($C$15:P15, "*")
   ),
"")</f>
        <v/>
      </c>
      <c r="Q280" s="40" t="str" cm="1">
        <f t="array" ref="Q280">IF(COUNTIF(Q72,"*P*"),
   INDEX($C$159:$AJ$159,
     COUNTIFS($C$15:Q15, "*")
   ),
"")</f>
        <v/>
      </c>
      <c r="R280" s="40" t="str" cm="1">
        <f t="array" ref="R280">IF(COUNTIF(R72,"*P*"),
   INDEX($C$159:$AJ$159,
     COUNTIFS($C$15:R15, "*")
   ),
"")</f>
        <v/>
      </c>
      <c r="S280" s="40" t="str" cm="1">
        <f t="array" ref="S280">IF(COUNTIF(S72,"*P*"),
   INDEX($C$159:$AJ$159,
     COUNTIFS($C$15:S15, "*")
   ),
"")</f>
        <v/>
      </c>
      <c r="T280" s="40" t="str" cm="1">
        <f t="array" ref="T280">IF(COUNTIF(T72,"*P*"),
   INDEX($C$159:$AJ$159,
     COUNTIFS($C$15:T15, "*")
   ),
"")</f>
        <v/>
      </c>
      <c r="U280" s="40" t="str" cm="1">
        <f t="array" ref="U280">IF(COUNTIF(U72,"*P*"),
   INDEX($C$159:$AJ$159,
     COUNTIFS($C$15:U15, "*")
   ),
"")</f>
        <v/>
      </c>
      <c r="V280" s="40" t="str" cm="1">
        <f t="array" ref="V280">IF(COUNTIF(V72,"*P*"),
   INDEX($C$159:$AJ$159,
     COUNTIFS($C$15:V15, "*")
   ),
"")</f>
        <v/>
      </c>
      <c r="W280" s="40" t="str" cm="1">
        <f t="array" ref="W280">IF(COUNTIF(W72,"*P*"),
   INDEX($C$159:$AJ$159,
     COUNTIFS($C$15:W15, "*")
   ),
"")</f>
        <v/>
      </c>
      <c r="X280" s="40" t="str" cm="1">
        <f t="array" ref="X280">IF(COUNTIF(X72,"*P*"),
   INDEX($C$159:$AJ$159,
     COUNTIFS($C$15:X15, "*")
   ),
"")</f>
        <v/>
      </c>
      <c r="Y280" s="40" t="str" cm="1">
        <f t="array" ref="Y280">IF(COUNTIF(Y72,"*P*"),
   INDEX($C$159:$AJ$159,
     COUNTIFS($C$15:Y15, "*")
   ),
"")</f>
        <v/>
      </c>
      <c r="Z280" s="40" t="str" cm="1">
        <f t="array" ref="Z280">IF(COUNTIF(Z72,"*P*"),
   INDEX($C$159:$AJ$159,
     COUNTIFS($C$15:Z15, "*")
   ),
"")</f>
        <v/>
      </c>
      <c r="AA280" s="40" t="str" cm="1">
        <f t="array" ref="AA280">IF(COUNTIF(AA72,"*P*"),
   INDEX($C$159:$AJ$159,
     COUNTIFS($C$15:AA15, "*")
   ),
"")</f>
        <v/>
      </c>
      <c r="AB280" s="40" t="str" cm="1">
        <f t="array" ref="AB280">IF(COUNTIF(AB72,"*P*"),
   INDEX($C$159:$AJ$159,
     COUNTIFS($C$15:AB15, "*")
   ),
"")</f>
        <v/>
      </c>
      <c r="AC280" s="40" t="str" cm="1">
        <f t="array" ref="AC280">IF(COUNTIF(AC72,"*P*"),
   INDEX($C$159:$AJ$159,
     COUNTIFS($C$15:AC15, "*")
   ),
"")</f>
        <v/>
      </c>
      <c r="AD280" s="40" t="str" cm="1">
        <f t="array" ref="AD280">IF(COUNTIF(AD72,"*P*"),
   INDEX($C$159:$AJ$159,
     COUNTIFS($C$15:AD15, "*")
   ),
"")</f>
        <v/>
      </c>
      <c r="AE280" s="40" t="str" cm="1">
        <f t="array" ref="AE280">IF(COUNTIF(AE72,"*P*"),
   INDEX($C$159:$AJ$159,
     COUNTIFS($C$15:AE15, "*")
   ),
"")</f>
        <v/>
      </c>
      <c r="AF280" s="40" t="str" cm="1">
        <f t="array" ref="AF280">IF(COUNTIF(AF72,"*P*"),
   INDEX($C$159:$AJ$159,
     COUNTIFS($C$15:AF15, "*")
   ),
"")</f>
        <v/>
      </c>
      <c r="AG280" s="40" t="str" cm="1">
        <f t="array" ref="AG280">IF(COUNTIF(AG72,"*P*"),
   INDEX($C$159:$AJ$159,
     COUNTIFS($C$15:AG15, "*")
   ),
"")</f>
        <v/>
      </c>
      <c r="AH280" s="40" t="str" cm="1">
        <f t="array" ref="AH280">IF(COUNTIF(AH72,"*P*"),
   INDEX($C$159:$AJ$159,
     COUNTIFS($C$15:AH15, "*")
   ),
"")</f>
        <v/>
      </c>
      <c r="AI280" s="40" t="str" cm="1">
        <f t="array" ref="AI280">IF(COUNTIF(AI72,"*P*"),
   INDEX($C$159:$AJ$159,
     COUNTIFS($C$15:AI15, "*")
   ),
"")</f>
        <v/>
      </c>
      <c r="AJ280" s="40" t="str" cm="1">
        <f t="array" ref="AJ280">IF(COUNTIF(AJ72,"*P*"),
   INDEX($C$159:$AJ$159,
     COUNTIFS($C$15:AJ15, "*")
   ),
"")</f>
        <v/>
      </c>
      <c r="AK280" s="62" t="str">
        <f t="shared" si="53"/>
        <v/>
      </c>
    </row>
    <row r="281" spans="1:37" ht="15" customHeight="1" x14ac:dyDescent="0.35">
      <c r="AK281" s="63" t="str">
        <f>CONCATENATE(AK269,AK270,AK271,AK272,AK273,AK274,AK275,AK276,AK277,AK278,AK279,AK280)</f>
        <v/>
      </c>
    </row>
    <row r="282" spans="1:37" ht="15" customHeight="1" x14ac:dyDescent="0.35">
      <c r="AK282" s="63" t="s">
        <v>712</v>
      </c>
    </row>
    <row r="283" spans="1:37" ht="15" customHeight="1" x14ac:dyDescent="0.35">
      <c r="AK283" s="63" t="s">
        <v>713</v>
      </c>
    </row>
    <row r="284" spans="1:37" ht="15.75" customHeight="1" thickBot="1" x14ac:dyDescent="0.4">
      <c r="AK284" s="64" t="str">
        <f>IF(AK281&lt;&gt;"",IF(LEN(AK281)&lt;9,CONCATENATE(AK282,LEFT(AK281,4),"."),IF(LEN(AK281&gt;6),LEFT(CONCATENATE(AK283,LEFT(AK281,LEN(AK281)-10),SUBSTITUTE(RIGHT(AK281,10),", "," and ")),LEN(CONCATENATE(AK283,LEFT(AK281,LEN(AK281)-10),SUBSTITUTE(RIGHT(AK281,10),", "," and ")))-5)&amp;".")),"")</f>
        <v/>
      </c>
    </row>
    <row r="285" spans="1:37" ht="10" customHeight="1" x14ac:dyDescent="0.35"/>
    <row r="286" spans="1:37" ht="15" customHeight="1" x14ac:dyDescent="0.35"/>
    <row r="287" spans="1:37" ht="15.75" customHeight="1" thickBot="1" x14ac:dyDescent="0.4">
      <c r="C287" s="1201" t="s">
        <v>709</v>
      </c>
      <c r="D287" s="1201"/>
      <c r="E287" s="1201"/>
      <c r="F287" s="1201"/>
      <c r="G287" s="1201"/>
      <c r="H287" s="1201"/>
      <c r="I287" s="1201"/>
      <c r="J287" s="1201"/>
      <c r="K287" s="1201"/>
      <c r="L287" s="1201"/>
      <c r="M287" s="1201"/>
      <c r="N287" s="1201"/>
      <c r="O287" s="1201"/>
      <c r="P287" s="1201"/>
      <c r="Q287" s="1201"/>
      <c r="R287" s="1201"/>
      <c r="S287" s="1201"/>
      <c r="T287" s="1201"/>
      <c r="U287" s="1201"/>
      <c r="V287" s="1201"/>
      <c r="W287" s="1201"/>
      <c r="X287" s="1201"/>
      <c r="Y287" s="1201"/>
      <c r="Z287" s="1201"/>
      <c r="AA287" s="1201"/>
      <c r="AB287" s="1201"/>
      <c r="AC287" s="1201"/>
      <c r="AD287" s="1201"/>
      <c r="AE287" s="1201"/>
      <c r="AF287" s="1201"/>
      <c r="AG287" s="1201"/>
      <c r="AH287" s="1201"/>
      <c r="AI287" s="1201"/>
    </row>
    <row r="288" spans="1:37" ht="15" customHeight="1" x14ac:dyDescent="0.35">
      <c r="A288" s="1202"/>
      <c r="B288" s="1203"/>
      <c r="C288" s="1207" t="s">
        <v>17</v>
      </c>
      <c r="D288" s="1207"/>
      <c r="E288" s="1207"/>
      <c r="F288" s="1207"/>
      <c r="G288" s="1207"/>
      <c r="H288" s="1207"/>
      <c r="I288" s="1207"/>
      <c r="J288" s="1207"/>
      <c r="K288" s="1207"/>
      <c r="L288" s="1207"/>
      <c r="M288" s="1207"/>
      <c r="N288" s="1207"/>
      <c r="O288" s="1207"/>
      <c r="P288" s="1207"/>
      <c r="Q288" s="1207"/>
      <c r="R288" s="1207"/>
      <c r="S288" s="1207"/>
      <c r="T288" s="1207"/>
      <c r="U288" s="1207"/>
      <c r="V288" s="1208"/>
      <c r="W288" s="6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8"/>
    </row>
    <row r="289" spans="1:37" ht="15.75" customHeight="1" thickBot="1" x14ac:dyDescent="0.4">
      <c r="A289" s="1204"/>
      <c r="B289" s="1205"/>
      <c r="C289" s="16">
        <v>1</v>
      </c>
      <c r="D289" s="17">
        <v>2</v>
      </c>
      <c r="E289" s="17">
        <v>3</v>
      </c>
      <c r="F289" s="17">
        <v>4</v>
      </c>
      <c r="G289" s="17">
        <v>5</v>
      </c>
      <c r="H289" s="17">
        <v>6</v>
      </c>
      <c r="I289" s="17">
        <v>7</v>
      </c>
      <c r="J289" s="17">
        <v>8</v>
      </c>
      <c r="K289" s="17">
        <v>9</v>
      </c>
      <c r="L289" s="17">
        <v>10</v>
      </c>
      <c r="M289" s="17">
        <v>11</v>
      </c>
      <c r="N289" s="17">
        <v>12</v>
      </c>
      <c r="O289" s="17">
        <v>13</v>
      </c>
      <c r="P289" s="17">
        <v>14</v>
      </c>
      <c r="Q289" s="17">
        <v>15</v>
      </c>
      <c r="R289" s="17">
        <v>16</v>
      </c>
      <c r="S289" s="17">
        <v>17</v>
      </c>
      <c r="T289" s="17">
        <v>18</v>
      </c>
      <c r="U289" s="17">
        <v>19</v>
      </c>
      <c r="V289" s="18">
        <v>20</v>
      </c>
      <c r="W289" s="17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20"/>
    </row>
    <row r="290" spans="1:37" ht="15" customHeight="1" thickBot="1" x14ac:dyDescent="0.4">
      <c r="A290" s="1196" t="s">
        <v>18</v>
      </c>
      <c r="B290" s="21">
        <v>1</v>
      </c>
      <c r="C290" s="40" t="str" cm="1">
        <f t="array" ref="C290">IF(COUNTIF(C61,"*I*"),
   INDEX($C$148:$AJ$148,
     COUNTIFS($C$4:C4, "*")
   ),
"")</f>
        <v/>
      </c>
      <c r="D290" s="40" t="str" cm="1">
        <f t="array" ref="D290">IF(COUNTIF(D61,"*I*"),
   INDEX($C$148:$AJ$148,
     COUNTIFS($C$4:D4, "*")
   ),
"")</f>
        <v/>
      </c>
      <c r="E290" s="40" t="str" cm="1">
        <f t="array" ref="E290">IF(COUNTIF(E61,"*I*"),
   INDEX($C$148:$AJ$148,
     COUNTIFS($C$4:E4, "*")
   ),
"")</f>
        <v/>
      </c>
      <c r="F290" s="40" t="str" cm="1">
        <f t="array" ref="F290">IF(COUNTIF(F61,"*I*"),
   INDEX($C$148:$AJ$148,
     COUNTIFS($C$4:F4, "*")
   ),
"")</f>
        <v/>
      </c>
      <c r="G290" s="40" t="str" cm="1">
        <f t="array" ref="G290">IF(COUNTIF(G61,"*I*"),
   INDEX($C$148:$AJ$148,
     COUNTIFS($C$4:G4, "*")
   ),
"")</f>
        <v/>
      </c>
      <c r="H290" s="40" t="str" cm="1">
        <f t="array" ref="H290">IF(COUNTIF(H61,"*I*"),
   INDEX($C$148:$AJ$148,
     COUNTIFS($C$4:H4, "*")
   ),
"")</f>
        <v/>
      </c>
      <c r="I290" s="40" t="str" cm="1">
        <f t="array" ref="I290">IF(COUNTIF(I61,"*I*"),
   INDEX($C$148:$AJ$148,
     COUNTIFS($C$4:I4, "*")
   ),
"")</f>
        <v/>
      </c>
      <c r="J290" s="40" t="str" cm="1">
        <f t="array" ref="J290">IF(COUNTIF(J61,"*I*"),
   INDEX($C$148:$AJ$148,
     COUNTIFS($C$4:J4, "*")
   ),
"")</f>
        <v/>
      </c>
      <c r="K290" s="40" t="str" cm="1">
        <f t="array" ref="K290">IF(COUNTIF(K61,"*I*"),
   INDEX($C$148:$AJ$148,
     COUNTIFS($C$4:K4, "*")
   ),
"")</f>
        <v/>
      </c>
      <c r="L290" s="40" t="str" cm="1">
        <f t="array" ref="L290">IF(COUNTIF(L61,"*I*"),
   INDEX($C$148:$AJ$148,
     COUNTIFS($C$4:L4, "*")
   ),
"")</f>
        <v/>
      </c>
      <c r="M290" s="40" t="str" cm="1">
        <f t="array" ref="M290">IF(COUNTIF(M61,"*I*"),
   INDEX($C$148:$AJ$148,
     COUNTIFS($C$4:M4, "*")
   ),
"")</f>
        <v/>
      </c>
      <c r="N290" s="40" t="str" cm="1">
        <f t="array" ref="N290">IF(COUNTIF(N61,"*I*"),
   INDEX($C$148:$AJ$148,
     COUNTIFS($C$4:N4, "*")
   ),
"")</f>
        <v/>
      </c>
      <c r="O290" s="40" t="str" cm="1">
        <f t="array" ref="O290">IF(COUNTIF(O61,"*I*"),
   INDEX($C$148:$AJ$148,
     COUNTIFS($C$4:O4, "*")
   ),
"")</f>
        <v/>
      </c>
      <c r="P290" s="40" t="str" cm="1">
        <f t="array" ref="P290">IF(COUNTIF(P61,"*I*"),
   INDEX($C$148:$AJ$148,
     COUNTIFS($C$4:P4, "*")
   ),
"")</f>
        <v/>
      </c>
      <c r="Q290" s="40" t="str" cm="1">
        <f t="array" ref="Q290">IF(COUNTIF(Q61,"*I*"),
   INDEX($C$148:$AJ$148,
     COUNTIFS($C$4:Q4, "*")
   ),
"")</f>
        <v/>
      </c>
      <c r="R290" s="40" t="str" cm="1">
        <f t="array" ref="R290">IF(COUNTIF(R61,"*I*"),
   INDEX($C$148:$AJ$148,
     COUNTIFS($C$4:R4, "*")
   ),
"")</f>
        <v/>
      </c>
      <c r="S290" s="40" t="str" cm="1">
        <f t="array" ref="S290">IF(COUNTIF(S61,"*I*"),
   INDEX($C$148:$AJ$148,
     COUNTIFS($C$4:S4, "*")
   ),
"")</f>
        <v/>
      </c>
      <c r="T290" s="40" t="str" cm="1">
        <f t="array" ref="T290">IF(COUNTIF(T61,"*I*"),
   INDEX($C$148:$AJ$148,
     COUNTIFS($C$4:T4, "*")
   ),
"")</f>
        <v/>
      </c>
      <c r="U290" s="40" t="str" cm="1">
        <f t="array" ref="U290">IF(COUNTIF(U61,"*I*"),
   INDEX($C$148:$AJ$148,
     COUNTIFS($C$4:U4, "*")
   ),
"")</f>
        <v/>
      </c>
      <c r="V290" s="40" t="str" cm="1">
        <f t="array" ref="V290">IF(COUNTIF(V61,"*I*"),
   INDEX($C$148:$AJ$148,
     COUNTIFS($C$4:V4, "*")
   ),
"")</f>
        <v/>
      </c>
      <c r="W290" s="40" t="str" cm="1">
        <f t="array" ref="W290">IF(COUNTIF(W61,"*I*"),
   INDEX($C$148:$AJ$148,
     COUNTIFS($C$4:W4, "*")
   ),
"")</f>
        <v/>
      </c>
      <c r="X290" s="40" t="str" cm="1">
        <f t="array" ref="X290">IF(COUNTIF(X61,"*I*"),
   INDEX($C$148:$AJ$148,
     COUNTIFS($C$4:X4, "*")
   ),
"")</f>
        <v/>
      </c>
      <c r="Y290" s="40" t="str" cm="1">
        <f t="array" ref="Y290">IF(COUNTIF(Y61,"*I*"),
   INDEX($C$148:$AJ$148,
     COUNTIFS($C$4:Y4, "*")
   ),
"")</f>
        <v/>
      </c>
      <c r="Z290" s="40" t="str" cm="1">
        <f t="array" ref="Z290">IF(COUNTIF(Z61,"*I*"),
   INDEX($C$148:$AJ$148,
     COUNTIFS($C$4:Z4, "*")
   ),
"")</f>
        <v/>
      </c>
      <c r="AA290" s="40" t="str" cm="1">
        <f t="array" ref="AA290">IF(COUNTIF(AA61,"*I*"),
   INDEX($C$148:$AJ$148,
     COUNTIFS($C$4:AA4, "*")
   ),
"")</f>
        <v/>
      </c>
      <c r="AB290" s="40" t="str" cm="1">
        <f t="array" ref="AB290">IF(COUNTIF(AB61,"*I*"),
   INDEX($C$148:$AJ$148,
     COUNTIFS($C$4:AB4, "*")
   ),
"")</f>
        <v/>
      </c>
      <c r="AC290" s="40" t="str" cm="1">
        <f t="array" ref="AC290">IF(COUNTIF(AC61,"*I*"),
   INDEX($C$148:$AJ$148,
     COUNTIFS($C$4:AC4, "*")
   ),
"")</f>
        <v/>
      </c>
      <c r="AD290" s="40" t="str" cm="1">
        <f t="array" ref="AD290">IF(COUNTIF(AD61,"*I*"),
   INDEX($C$148:$AJ$148,
     COUNTIFS($C$4:AD4, "*")
   ),
"")</f>
        <v/>
      </c>
      <c r="AE290" s="40" t="str" cm="1">
        <f t="array" ref="AE290">IF(COUNTIF(AE61,"*I*"),
   INDEX($C$148:$AJ$148,
     COUNTIFS($C$4:AE4, "*")
   ),
"")</f>
        <v/>
      </c>
      <c r="AF290" s="40" t="str" cm="1">
        <f t="array" ref="AF290">IF(COUNTIF(AF61,"*I*"),
   INDEX($C$148:$AJ$148,
     COUNTIFS($C$4:AF4, "*")
   ),
"")</f>
        <v/>
      </c>
      <c r="AG290" s="40" t="str" cm="1">
        <f t="array" ref="AG290">IF(COUNTIF(AG61,"*I*"),
   INDEX($C$148:$AJ$148,
     COUNTIFS($C$4:AG4, "*")
   ),
"")</f>
        <v/>
      </c>
      <c r="AH290" s="40" t="str" cm="1">
        <f t="array" ref="AH290">IF(COUNTIF(AH61,"*I*"),
   INDEX($C$148:$AJ$148,
     COUNTIFS($C$4:AH4, "*")
   ),
"")</f>
        <v/>
      </c>
      <c r="AI290" s="40" t="str" cm="1">
        <f t="array" ref="AI290">IF(COUNTIF(AI61,"*I*"),
   INDEX($C$148:$AJ$148,
     COUNTIFS($C$4:AI4, "*")
   ),
"")</f>
        <v/>
      </c>
      <c r="AJ290" s="40" t="str" cm="1">
        <f t="array" ref="AJ290">IF(COUNTIF(AJ61,"*I*"),
   INDEX($C$148:$AJ$148,
     COUNTIFS($C$4:AJ4, "*")
   ),
"")</f>
        <v/>
      </c>
      <c r="AK290" s="62" t="str">
        <f>CONCATENATE(C290,D290,E290,F290,G290,H290,I290,J290,K290,L290,M290,N290,O290,P290,Q290,R290,S290,T290,U290,V290,W290,X290,Y290,Z290,AA290,AB290,AC290,AD290,AE290,AF290,AG290,AH290,AI290,AJ290)</f>
        <v/>
      </c>
    </row>
    <row r="291" spans="1:37" ht="15" customHeight="1" thickBot="1" x14ac:dyDescent="0.4">
      <c r="A291" s="1196"/>
      <c r="B291" s="22">
        <v>2</v>
      </c>
      <c r="C291" s="40" t="str" cm="1">
        <f t="array" ref="C291">IF(COUNTIF(C62,"*I*"),
   INDEX($C$149:$AJ$149,
     COUNTIFS($C$5:C5, "*")
   ),
"")</f>
        <v/>
      </c>
      <c r="D291" s="40" t="str" cm="1">
        <f t="array" ref="D291">IF(COUNTIF(D62,"*I*"),
   INDEX($C$149:$AJ$149,
     COUNTIFS($C$5:D5, "*")
   ),
"")</f>
        <v/>
      </c>
      <c r="E291" s="40" t="str" cm="1">
        <f t="array" ref="E291">IF(COUNTIF(E62,"*I*"),
   INDEX($C$149:$AJ$149,
     COUNTIFS($C$5:E5, "*")
   ),
"")</f>
        <v/>
      </c>
      <c r="F291" s="40" t="str" cm="1">
        <f t="array" ref="F291">IF(COUNTIF(F62,"*I*"),
   INDEX($C$149:$AJ$149,
     COUNTIFS($C$5:F5, "*")
   ),
"")</f>
        <v/>
      </c>
      <c r="G291" s="40" t="str" cm="1">
        <f t="array" ref="G291">IF(COUNTIF(G62,"*I*"),
   INDEX($C$149:$AJ$149,
     COUNTIFS($C$5:G5, "*")
   ),
"")</f>
        <v/>
      </c>
      <c r="H291" s="40" t="str" cm="1">
        <f t="array" ref="H291">IF(COUNTIF(H62,"*I*"),
   INDEX($C$149:$AJ$149,
     COUNTIFS($C$5:H5, "*")
   ),
"")</f>
        <v/>
      </c>
      <c r="I291" s="40" t="str" cm="1">
        <f t="array" ref="I291">IF(COUNTIF(I62,"*I*"),
   INDEX($C$149:$AJ$149,
     COUNTIFS($C$5:I5, "*")
   ),
"")</f>
        <v/>
      </c>
      <c r="J291" s="40" t="str" cm="1">
        <f t="array" ref="J291">IF(COUNTIF(J62,"*I*"),
   INDEX($C$149:$AJ$149,
     COUNTIFS($C$5:J5, "*")
   ),
"")</f>
        <v/>
      </c>
      <c r="K291" s="40" t="str" cm="1">
        <f t="array" ref="K291">IF(COUNTIF(K62,"*I*"),
   INDEX($C$149:$AJ$149,
     COUNTIFS($C$5:K5, "*")
   ),
"")</f>
        <v/>
      </c>
      <c r="L291" s="40" t="str" cm="1">
        <f t="array" ref="L291">IF(COUNTIF(L62,"*I*"),
   INDEX($C$149:$AJ$149,
     COUNTIFS($C$5:L5, "*")
   ),
"")</f>
        <v/>
      </c>
      <c r="M291" s="40" t="str" cm="1">
        <f t="array" ref="M291">IF(COUNTIF(M62,"*I*"),
   INDEX($C$149:$AJ$149,
     COUNTIFS($C$5:M5, "*")
   ),
"")</f>
        <v/>
      </c>
      <c r="N291" s="40" t="str" cm="1">
        <f t="array" ref="N291">IF(COUNTIF(N62,"*I*"),
   INDEX($C$149:$AJ$149,
     COUNTIFS($C$5:N5, "*")
   ),
"")</f>
        <v/>
      </c>
      <c r="O291" s="40" t="str" cm="1">
        <f t="array" ref="O291">IF(COUNTIF(O62,"*I*"),
   INDEX($C$149:$AJ$149,
     COUNTIFS($C$5:O5, "*")
   ),
"")</f>
        <v/>
      </c>
      <c r="P291" s="40" t="str" cm="1">
        <f t="array" ref="P291">IF(COUNTIF(P62,"*I*"),
   INDEX($C$149:$AJ$149,
     COUNTIFS($C$5:P5, "*")
   ),
"")</f>
        <v/>
      </c>
      <c r="Q291" s="40" t="str" cm="1">
        <f t="array" ref="Q291">IF(COUNTIF(Q62,"*I*"),
   INDEX($C$149:$AJ$149,
     COUNTIFS($C$5:Q5, "*")
   ),
"")</f>
        <v/>
      </c>
      <c r="R291" s="40" t="str" cm="1">
        <f t="array" ref="R291">IF(COUNTIF(R62,"*I*"),
   INDEX($C$149:$AJ$149,
     COUNTIFS($C$5:R5, "*")
   ),
"")</f>
        <v/>
      </c>
      <c r="S291" s="40" t="str" cm="1">
        <f t="array" ref="S291">IF(COUNTIF(S62,"*I*"),
   INDEX($C$149:$AJ$149,
     COUNTIFS($C$5:S5, "*")
   ),
"")</f>
        <v/>
      </c>
      <c r="T291" s="40" t="str" cm="1">
        <f t="array" ref="T291">IF(COUNTIF(T62,"*I*"),
   INDEX($C$149:$AJ$149,
     COUNTIFS($C$5:T5, "*")
   ),
"")</f>
        <v/>
      </c>
      <c r="U291" s="40" t="str" cm="1">
        <f t="array" ref="U291">IF(COUNTIF(U62,"*I*"),
   INDEX($C$149:$AJ$149,
     COUNTIFS($C$5:U5, "*")
   ),
"")</f>
        <v/>
      </c>
      <c r="V291" s="40" t="str" cm="1">
        <f t="array" ref="V291">IF(COUNTIF(V62,"*I*"),
   INDEX($C$149:$AJ$149,
     COUNTIFS($C$5:V5, "*")
   ),
"")</f>
        <v/>
      </c>
      <c r="W291" s="40" t="str" cm="1">
        <f t="array" ref="W291">IF(COUNTIF(W62,"*I*"),
   INDEX($C$149:$AJ$149,
     COUNTIFS($C$5:W5, "*")
   ),
"")</f>
        <v/>
      </c>
      <c r="X291" s="40" t="str" cm="1">
        <f t="array" ref="X291">IF(COUNTIF(X62,"*I*"),
   INDEX($C$149:$AJ$149,
     COUNTIFS($C$5:X5, "*")
   ),
"")</f>
        <v/>
      </c>
      <c r="Y291" s="40" t="str" cm="1">
        <f t="array" ref="Y291">IF(COUNTIF(Y62,"*I*"),
   INDEX($C$149:$AJ$149,
     COUNTIFS($C$5:Y5, "*")
   ),
"")</f>
        <v/>
      </c>
      <c r="Z291" s="40" t="str" cm="1">
        <f t="array" ref="Z291">IF(COUNTIF(Z62,"*I*"),
   INDEX($C$149:$AJ$149,
     COUNTIFS($C$5:Z5, "*")
   ),
"")</f>
        <v/>
      </c>
      <c r="AA291" s="40" t="str" cm="1">
        <f t="array" ref="AA291">IF(COUNTIF(AA62,"*I*"),
   INDEX($C$149:$AJ$149,
     COUNTIFS($C$5:AA5, "*")
   ),
"")</f>
        <v/>
      </c>
      <c r="AB291" s="40" t="str" cm="1">
        <f t="array" ref="AB291">IF(COUNTIF(AB62,"*I*"),
   INDEX($C$149:$AJ$149,
     COUNTIFS($C$5:AB5, "*")
   ),
"")</f>
        <v/>
      </c>
      <c r="AC291" s="40" t="str" cm="1">
        <f t="array" ref="AC291">IF(COUNTIF(AC62,"*I*"),
   INDEX($C$149:$AJ$149,
     COUNTIFS($C$5:AC5, "*")
   ),
"")</f>
        <v/>
      </c>
      <c r="AD291" s="40" t="str" cm="1">
        <f t="array" ref="AD291">IF(COUNTIF(AD62,"*I*"),
   INDEX($C$149:$AJ$149,
     COUNTIFS($C$5:AD5, "*")
   ),
"")</f>
        <v/>
      </c>
      <c r="AE291" s="40" t="str" cm="1">
        <f t="array" ref="AE291">IF(COUNTIF(AE62,"*I*"),
   INDEX($C$149:$AJ$149,
     COUNTIFS($C$5:AE5, "*")
   ),
"")</f>
        <v/>
      </c>
      <c r="AF291" s="40" t="str" cm="1">
        <f t="array" ref="AF291">IF(COUNTIF(AF62,"*I*"),
   INDEX($C$149:$AJ$149,
     COUNTIFS($C$5:AF5, "*")
   ),
"")</f>
        <v/>
      </c>
      <c r="AG291" s="40" t="str" cm="1">
        <f t="array" ref="AG291">IF(COUNTIF(AG62,"*I*"),
   INDEX($C$149:$AJ$149,
     COUNTIFS($C$5:AG5, "*")
   ),
"")</f>
        <v/>
      </c>
      <c r="AH291" s="40" t="str" cm="1">
        <f t="array" ref="AH291">IF(COUNTIF(AH62,"*I*"),
   INDEX($C$149:$AJ$149,
     COUNTIFS($C$5:AH5, "*")
   ),
"")</f>
        <v/>
      </c>
      <c r="AI291" s="40" t="str" cm="1">
        <f t="array" ref="AI291">IF(COUNTIF(AI62,"*I*"),
   INDEX($C$149:$AJ$149,
     COUNTIFS($C$5:AI5, "*")
   ),
"")</f>
        <v/>
      </c>
      <c r="AJ291" s="40" t="str" cm="1">
        <f t="array" ref="AJ291">IF(COUNTIF(AJ62,"*I*"),
   INDEX($C$149:$AJ$149,
     COUNTIFS($C$5:AJ5, "*")
   ),
"")</f>
        <v/>
      </c>
      <c r="AK291" s="62" t="str">
        <f t="shared" ref="AK291:AK301" si="54">CONCATENATE(C291,D291,E291,F291,G291,H291,I291,J291,K291,L291,M291,N291,O291,P291,Q291,R291,S291,T291,U291,V291,W291,X291,Y291,Z291,AA291,AB291,AC291,AD291,AE291,AF291,AG291,AH291,AI291,AJ291)</f>
        <v/>
      </c>
    </row>
    <row r="292" spans="1:37" ht="15" customHeight="1" thickBot="1" x14ac:dyDescent="0.4">
      <c r="A292" s="1196"/>
      <c r="B292" s="22">
        <v>3</v>
      </c>
      <c r="C292" s="40" t="str" cm="1">
        <f t="array" ref="C292">IF(COUNTIF(C63,"*I*"),
   INDEX($C$150:$AJ$150,
     COUNTIFS($C$6:C6, "*")
   ),
"")</f>
        <v/>
      </c>
      <c r="D292" s="40" t="str" cm="1">
        <f t="array" ref="D292">IF(COUNTIF(D63,"*I*"),
   INDEX($C$150:$AJ$150,
     COUNTIFS($C$6:D6, "*")
   ),
"")</f>
        <v/>
      </c>
      <c r="E292" s="40" t="str" cm="1">
        <f t="array" ref="E292">IF(COUNTIF(E63,"*I*"),
   INDEX($C$150:$AJ$150,
     COUNTIFS($C$6:E6, "*")
   ),
"")</f>
        <v/>
      </c>
      <c r="F292" s="40" t="str" cm="1">
        <f t="array" ref="F292">IF(COUNTIF(F63,"*I*"),
   INDEX($C$150:$AJ$150,
     COUNTIFS($C$6:F6, "*")
   ),
"")</f>
        <v/>
      </c>
      <c r="G292" s="40" t="str" cm="1">
        <f t="array" ref="G292">IF(COUNTIF(G63,"*I*"),
   INDEX($C$150:$AJ$150,
     COUNTIFS($C$6:G6, "*")
   ),
"")</f>
        <v/>
      </c>
      <c r="H292" s="40" t="str" cm="1">
        <f t="array" ref="H292">IF(COUNTIF(H63,"*I*"),
   INDEX($C$150:$AJ$150,
     COUNTIFS($C$6:H6, "*")
   ),
"")</f>
        <v/>
      </c>
      <c r="I292" s="40" t="str" cm="1">
        <f t="array" ref="I292">IF(COUNTIF(I63,"*I*"),
   INDEX($C$150:$AJ$150,
     COUNTIFS($C$6:I6, "*")
   ),
"")</f>
        <v/>
      </c>
      <c r="J292" s="40" t="str" cm="1">
        <f t="array" ref="J292">IF(COUNTIF(J63,"*I*"),
   INDEX($C$150:$AJ$150,
     COUNTIFS($C$6:J6, "*")
   ),
"")</f>
        <v/>
      </c>
      <c r="K292" s="40" t="str" cm="1">
        <f t="array" ref="K292">IF(COUNTIF(K63,"*I*"),
   INDEX($C$150:$AJ$150,
     COUNTIFS($C$6:K6, "*")
   ),
"")</f>
        <v/>
      </c>
      <c r="L292" s="40" t="str" cm="1">
        <f t="array" ref="L292">IF(COUNTIF(L63,"*I*"),
   INDEX($C$150:$AJ$150,
     COUNTIFS($C$6:L6, "*")
   ),
"")</f>
        <v/>
      </c>
      <c r="M292" s="40" t="str" cm="1">
        <f t="array" ref="M292">IF(COUNTIF(M63,"*I*"),
   INDEX($C$150:$AJ$150,
     COUNTIFS($C$6:M6, "*")
   ),
"")</f>
        <v/>
      </c>
      <c r="N292" s="40" t="str" cm="1">
        <f t="array" ref="N292">IF(COUNTIF(N63,"*I*"),
   INDEX($C$150:$AJ$150,
     COUNTIFS($C$6:N6, "*")
   ),
"")</f>
        <v/>
      </c>
      <c r="O292" s="40" t="str" cm="1">
        <f t="array" ref="O292">IF(COUNTIF(O63,"*I*"),
   INDEX($C$150:$AJ$150,
     COUNTIFS($C$6:O6, "*")
   ),
"")</f>
        <v/>
      </c>
      <c r="P292" s="40" t="str" cm="1">
        <f t="array" ref="P292">IF(COUNTIF(P63,"*I*"),
   INDEX($C$150:$AJ$150,
     COUNTIFS($C$6:P6, "*")
   ),
"")</f>
        <v/>
      </c>
      <c r="Q292" s="40" t="str" cm="1">
        <f t="array" ref="Q292">IF(COUNTIF(Q63,"*I*"),
   INDEX($C$150:$AJ$150,
     COUNTIFS($C$6:Q6, "*")
   ),
"")</f>
        <v/>
      </c>
      <c r="R292" s="40" t="str" cm="1">
        <f t="array" ref="R292">IF(COUNTIF(R63,"*I*"),
   INDEX($C$150:$AJ$150,
     COUNTIFS($C$6:R6, "*")
   ),
"")</f>
        <v/>
      </c>
      <c r="S292" s="40" t="str" cm="1">
        <f t="array" ref="S292">IF(COUNTIF(S63,"*I*"),
   INDEX($C$150:$AJ$150,
     COUNTIFS($C$6:S6, "*")
   ),
"")</f>
        <v/>
      </c>
      <c r="T292" s="40" t="str" cm="1">
        <f t="array" ref="T292">IF(COUNTIF(T63,"*I*"),
   INDEX($C$150:$AJ$150,
     COUNTIFS($C$6:T6, "*")
   ),
"")</f>
        <v/>
      </c>
      <c r="U292" s="40" t="str" cm="1">
        <f t="array" ref="U292">IF(COUNTIF(U63,"*I*"),
   INDEX($C$150:$AJ$150,
     COUNTIFS($C$6:U6, "*")
   ),
"")</f>
        <v/>
      </c>
      <c r="V292" s="40" t="str" cm="1">
        <f t="array" ref="V292">IF(COUNTIF(V63,"*I*"),
   INDEX($C$150:$AJ$150,
     COUNTIFS($C$6:V6, "*")
   ),
"")</f>
        <v/>
      </c>
      <c r="W292" s="40" t="str" cm="1">
        <f t="array" ref="W292">IF(COUNTIF(W63,"*I*"),
   INDEX($C$150:$AJ$150,
     COUNTIFS($C$6:W6, "*")
   ),
"")</f>
        <v/>
      </c>
      <c r="X292" s="40" t="str" cm="1">
        <f t="array" ref="X292">IF(COUNTIF(X63,"*I*"),
   INDEX($C$150:$AJ$150,
     COUNTIFS($C$6:X6, "*")
   ),
"")</f>
        <v/>
      </c>
      <c r="Y292" s="40" t="str" cm="1">
        <f t="array" ref="Y292">IF(COUNTIF(Y63,"*I*"),
   INDEX($C$150:$AJ$150,
     COUNTIFS($C$6:Y6, "*")
   ),
"")</f>
        <v/>
      </c>
      <c r="Z292" s="40" t="str" cm="1">
        <f t="array" ref="Z292">IF(COUNTIF(Z63,"*I*"),
   INDEX($C$150:$AJ$150,
     COUNTIFS($C$6:Z6, "*")
   ),
"")</f>
        <v/>
      </c>
      <c r="AA292" s="40" t="str" cm="1">
        <f t="array" ref="AA292">IF(COUNTIF(AA63,"*I*"),
   INDEX($C$150:$AJ$150,
     COUNTIFS($C$6:AA6, "*")
   ),
"")</f>
        <v/>
      </c>
      <c r="AB292" s="40" t="str" cm="1">
        <f t="array" ref="AB292">IF(COUNTIF(AB63,"*I*"),
   INDEX($C$150:$AJ$150,
     COUNTIFS($C$6:AB6, "*")
   ),
"")</f>
        <v/>
      </c>
      <c r="AC292" s="40" t="str" cm="1">
        <f t="array" ref="AC292">IF(COUNTIF(AC63,"*I*"),
   INDEX($C$150:$AJ$150,
     COUNTIFS($C$6:AC6, "*")
   ),
"")</f>
        <v/>
      </c>
      <c r="AD292" s="40" t="str" cm="1">
        <f t="array" ref="AD292">IF(COUNTIF(AD63,"*I*"),
   INDEX($C$150:$AJ$150,
     COUNTIFS($C$6:AD6, "*")
   ),
"")</f>
        <v/>
      </c>
      <c r="AE292" s="40" t="str" cm="1">
        <f t="array" ref="AE292">IF(COUNTIF(AE63,"*I*"),
   INDEX($C$150:$AJ$150,
     COUNTIFS($C$6:AE6, "*")
   ),
"")</f>
        <v/>
      </c>
      <c r="AF292" s="40" t="str" cm="1">
        <f t="array" ref="AF292">IF(COUNTIF(AF63,"*I*"),
   INDEX($C$150:$AJ$150,
     COUNTIFS($C$6:AF6, "*")
   ),
"")</f>
        <v/>
      </c>
      <c r="AG292" s="40" t="str" cm="1">
        <f t="array" ref="AG292">IF(COUNTIF(AG63,"*I*"),
   INDEX($C$150:$AJ$150,
     COUNTIFS($C$6:AG6, "*")
   ),
"")</f>
        <v/>
      </c>
      <c r="AH292" s="40" t="str" cm="1">
        <f t="array" ref="AH292">IF(COUNTIF(AH63,"*I*"),
   INDEX($C$150:$AJ$150,
     COUNTIFS($C$6:AH6, "*")
   ),
"")</f>
        <v/>
      </c>
      <c r="AI292" s="40" t="str" cm="1">
        <f t="array" ref="AI292">IF(COUNTIF(AI63,"*I*"),
   INDEX($C$150:$AJ$150,
     COUNTIFS($C$6:AI6, "*")
   ),
"")</f>
        <v/>
      </c>
      <c r="AJ292" s="40" t="str" cm="1">
        <f t="array" ref="AJ292">IF(COUNTIF(AJ63,"*I*"),
   INDEX($C$150:$AJ$150,
     COUNTIFS($C$6:AJ6, "*")
   ),
"")</f>
        <v/>
      </c>
      <c r="AK292" s="62" t="str">
        <f t="shared" si="54"/>
        <v/>
      </c>
    </row>
    <row r="293" spans="1:37" ht="15" customHeight="1" thickBot="1" x14ac:dyDescent="0.4">
      <c r="A293" s="1196"/>
      <c r="B293" s="22">
        <v>4</v>
      </c>
      <c r="C293" s="40" t="str" cm="1">
        <f t="array" ref="C293">IF(COUNTIF(C64,"*I*"),
   INDEX($C$151:$AJ$151,
     COUNTIFS($C$7:C7, "*")
   ),
"")</f>
        <v/>
      </c>
      <c r="D293" s="40" t="str" cm="1">
        <f t="array" ref="D293">IF(COUNTIF(D64,"*I*"),
   INDEX($C$151:$AJ$151,
     COUNTIFS($C$7:D7, "*")
   ),
"")</f>
        <v/>
      </c>
      <c r="E293" s="40" t="str" cm="1">
        <f t="array" ref="E293">IF(COUNTIF(E64,"*I*"),
   INDEX($C$151:$AJ$151,
     COUNTIFS($C$7:E7, "*")
   ),
"")</f>
        <v/>
      </c>
      <c r="F293" s="40" t="str" cm="1">
        <f t="array" ref="F293">IF(COUNTIF(F64,"*I*"),
   INDEX($C$151:$AJ$151,
     COUNTIFS($C$7:F7, "*")
   ),
"")</f>
        <v/>
      </c>
      <c r="G293" s="40" t="str" cm="1">
        <f t="array" ref="G293">IF(COUNTIF(G64,"*I*"),
   INDEX($C$151:$AJ$151,
     COUNTIFS($C$7:G7, "*")
   ),
"")</f>
        <v/>
      </c>
      <c r="H293" s="40" t="str" cm="1">
        <f t="array" ref="H293">IF(COUNTIF(H64,"*I*"),
   INDEX($C$151:$AJ$151,
     COUNTIFS($C$7:H7, "*")
   ),
"")</f>
        <v/>
      </c>
      <c r="I293" s="40" t="str" cm="1">
        <f t="array" ref="I293">IF(COUNTIF(I64,"*I*"),
   INDEX($C$151:$AJ$151,
     COUNTIFS($C$7:I7, "*")
   ),
"")</f>
        <v/>
      </c>
      <c r="J293" s="40" t="str" cm="1">
        <f t="array" ref="J293">IF(COUNTIF(J64,"*I*"),
   INDEX($C$151:$AJ$151,
     COUNTIFS($C$7:J7, "*")
   ),
"")</f>
        <v/>
      </c>
      <c r="K293" s="40" t="str" cm="1">
        <f t="array" ref="K293">IF(COUNTIF(K64,"*I*"),
   INDEX($C$151:$AJ$151,
     COUNTIFS($C$7:K7, "*")
   ),
"")</f>
        <v/>
      </c>
      <c r="L293" s="40" t="str" cm="1">
        <f t="array" ref="L293">IF(COUNTIF(L64,"*I*"),
   INDEX($C$151:$AJ$151,
     COUNTIFS($C$7:L7, "*")
   ),
"")</f>
        <v/>
      </c>
      <c r="M293" s="40" t="str" cm="1">
        <f t="array" ref="M293">IF(COUNTIF(M64,"*I*"),
   INDEX($C$151:$AJ$151,
     COUNTIFS($C$7:M7, "*")
   ),
"")</f>
        <v/>
      </c>
      <c r="N293" s="40" t="str" cm="1">
        <f t="array" ref="N293">IF(COUNTIF(N64,"*I*"),
   INDEX($C$151:$AJ$151,
     COUNTIFS($C$7:N7, "*")
   ),
"")</f>
        <v/>
      </c>
      <c r="O293" s="40" t="str" cm="1">
        <f t="array" ref="O293">IF(COUNTIF(O64,"*I*"),
   INDEX($C$151:$AJ$151,
     COUNTIFS($C$7:O7, "*")
   ),
"")</f>
        <v/>
      </c>
      <c r="P293" s="40" t="str" cm="1">
        <f t="array" ref="P293">IF(COUNTIF(P64,"*I*"),
   INDEX($C$151:$AJ$151,
     COUNTIFS($C$7:P7, "*")
   ),
"")</f>
        <v/>
      </c>
      <c r="Q293" s="40" t="str" cm="1">
        <f t="array" ref="Q293">IF(COUNTIF(Q64,"*I*"),
   INDEX($C$151:$AJ$151,
     COUNTIFS($C$7:Q7, "*")
   ),
"")</f>
        <v/>
      </c>
      <c r="R293" s="40" t="str" cm="1">
        <f t="array" ref="R293">IF(COUNTIF(R64,"*I*"),
   INDEX($C$151:$AJ$151,
     COUNTIFS($C$7:R7, "*")
   ),
"")</f>
        <v/>
      </c>
      <c r="S293" s="40" t="str" cm="1">
        <f t="array" ref="S293">IF(COUNTIF(S64,"*I*"),
   INDEX($C$151:$AJ$151,
     COUNTIFS($C$7:S7, "*")
   ),
"")</f>
        <v/>
      </c>
      <c r="T293" s="40" t="str" cm="1">
        <f t="array" ref="T293">IF(COUNTIF(T64,"*I*"),
   INDEX($C$151:$AJ$151,
     COUNTIFS($C$7:T7, "*")
   ),
"")</f>
        <v/>
      </c>
      <c r="U293" s="40" t="str" cm="1">
        <f t="array" ref="U293">IF(COUNTIF(U64,"*I*"),
   INDEX($C$151:$AJ$151,
     COUNTIFS($C$7:U7, "*")
   ),
"")</f>
        <v/>
      </c>
      <c r="V293" s="40" t="str" cm="1">
        <f t="array" ref="V293">IF(COUNTIF(V64,"*I*"),
   INDEX($C$151:$AJ$151,
     COUNTIFS($C$7:V7, "*")
   ),
"")</f>
        <v/>
      </c>
      <c r="W293" s="40" t="str" cm="1">
        <f t="array" ref="W293">IF(COUNTIF(W64,"*I*"),
   INDEX($C$151:$AJ$151,
     COUNTIFS($C$7:W7, "*")
   ),
"")</f>
        <v/>
      </c>
      <c r="X293" s="40" t="str" cm="1">
        <f t="array" ref="X293">IF(COUNTIF(X64,"*I*"),
   INDEX($C$151:$AJ$151,
     COUNTIFS($C$7:X7, "*")
   ),
"")</f>
        <v/>
      </c>
      <c r="Y293" s="40" t="str" cm="1">
        <f t="array" ref="Y293">IF(COUNTIF(Y64,"*I*"),
   INDEX($C$151:$AJ$151,
     COUNTIFS($C$7:Y7, "*")
   ),
"")</f>
        <v/>
      </c>
      <c r="Z293" s="40" t="str" cm="1">
        <f t="array" ref="Z293">IF(COUNTIF(Z64,"*I*"),
   INDEX($C$151:$AJ$151,
     COUNTIFS($C$7:Z7, "*")
   ),
"")</f>
        <v/>
      </c>
      <c r="AA293" s="40" t="str" cm="1">
        <f t="array" ref="AA293">IF(COUNTIF(AA64,"*I*"),
   INDEX($C$151:$AJ$151,
     COUNTIFS($C$7:AA7, "*")
   ),
"")</f>
        <v/>
      </c>
      <c r="AB293" s="40" t="str" cm="1">
        <f t="array" ref="AB293">IF(COUNTIF(AB64,"*I*"),
   INDEX($C$151:$AJ$151,
     COUNTIFS($C$7:AB7, "*")
   ),
"")</f>
        <v/>
      </c>
      <c r="AC293" s="40" t="str" cm="1">
        <f t="array" ref="AC293">IF(COUNTIF(AC64,"*I*"),
   INDEX($C$151:$AJ$151,
     COUNTIFS($C$7:AC7, "*")
   ),
"")</f>
        <v/>
      </c>
      <c r="AD293" s="40" t="str" cm="1">
        <f t="array" ref="AD293">IF(COUNTIF(AD64,"*I*"),
   INDEX($C$151:$AJ$151,
     COUNTIFS($C$7:AD7, "*")
   ),
"")</f>
        <v/>
      </c>
      <c r="AE293" s="40" t="str" cm="1">
        <f t="array" ref="AE293">IF(COUNTIF(AE64,"*I*"),
   INDEX($C$151:$AJ$151,
     COUNTIFS($C$7:AE7, "*")
   ),
"")</f>
        <v/>
      </c>
      <c r="AF293" s="40" t="str" cm="1">
        <f t="array" ref="AF293">IF(COUNTIF(AF64,"*I*"),
   INDEX($C$151:$AJ$151,
     COUNTIFS($C$7:AF7, "*")
   ),
"")</f>
        <v/>
      </c>
      <c r="AG293" s="40" t="str" cm="1">
        <f t="array" ref="AG293">IF(COUNTIF(AG64,"*I*"),
   INDEX($C$151:$AJ$151,
     COUNTIFS($C$7:AG7, "*")
   ),
"")</f>
        <v/>
      </c>
      <c r="AH293" s="40" t="str" cm="1">
        <f t="array" ref="AH293">IF(COUNTIF(AH64,"*I*"),
   INDEX($C$151:$AJ$151,
     COUNTIFS($C$7:AH7, "*")
   ),
"")</f>
        <v/>
      </c>
      <c r="AI293" s="40" t="str" cm="1">
        <f t="array" ref="AI293">IF(COUNTIF(AI64,"*I*"),
   INDEX($C$151:$AJ$151,
     COUNTIFS($C$7:AI7, "*")
   ),
"")</f>
        <v/>
      </c>
      <c r="AJ293" s="40" t="str" cm="1">
        <f t="array" ref="AJ293">IF(COUNTIF(AJ64,"*I*"),
   INDEX($C$151:$AJ$151,
     COUNTIFS($C$7:AJ7, "*")
   ),
"")</f>
        <v/>
      </c>
      <c r="AK293" s="62" t="str">
        <f t="shared" si="54"/>
        <v/>
      </c>
    </row>
    <row r="294" spans="1:37" ht="15" customHeight="1" thickBot="1" x14ac:dyDescent="0.4">
      <c r="A294" s="1196"/>
      <c r="B294" s="22">
        <v>5</v>
      </c>
      <c r="C294" s="40" t="str" cm="1">
        <f t="array" ref="C294">IF(COUNTIF(C65,"*I*"),
   INDEX($C$152:$AJ$152,
     COUNTIFS($C$8:C8, "*")
   ),
"")</f>
        <v/>
      </c>
      <c r="D294" s="40" t="str" cm="1">
        <f t="array" ref="D294">IF(COUNTIF(D65,"*I*"),
   INDEX($C$152:$AJ$152,
     COUNTIFS($C$8:D8, "*")
   ),
"")</f>
        <v/>
      </c>
      <c r="E294" s="40" t="str" cm="1">
        <f t="array" ref="E294">IF(COUNTIF(E65,"*I*"),
   INDEX($C$152:$AJ$152,
     COUNTIFS($C$8:E8, "*")
   ),
"")</f>
        <v/>
      </c>
      <c r="F294" s="40" t="str" cm="1">
        <f t="array" ref="F294">IF(COUNTIF(F65,"*I*"),
   INDEX($C$152:$AJ$152,
     COUNTIFS($C$8:F8, "*")
   ),
"")</f>
        <v/>
      </c>
      <c r="G294" s="40" t="str" cm="1">
        <f t="array" ref="G294">IF(COUNTIF(G65,"*I*"),
   INDEX($C$152:$AJ$152,
     COUNTIFS($C$8:G8, "*")
   ),
"")</f>
        <v/>
      </c>
      <c r="H294" s="40" t="str" cm="1">
        <f t="array" ref="H294">IF(COUNTIF(H65,"*I*"),
   INDEX($C$152:$AJ$152,
     COUNTIFS($C$8:H8, "*")
   ),
"")</f>
        <v/>
      </c>
      <c r="I294" s="40" t="str" cm="1">
        <f t="array" ref="I294">IF(COUNTIF(I65,"*I*"),
   INDEX($C$152:$AJ$152,
     COUNTIFS($C$8:I8, "*")
   ),
"")</f>
        <v/>
      </c>
      <c r="J294" s="40" t="str" cm="1">
        <f t="array" ref="J294">IF(COUNTIF(J65,"*I*"),
   INDEX($C$152:$AJ$152,
     COUNTIFS($C$8:J8, "*")
   ),
"")</f>
        <v/>
      </c>
      <c r="K294" s="40" t="str" cm="1">
        <f t="array" ref="K294">IF(COUNTIF(K65,"*I*"),
   INDEX($C$152:$AJ$152,
     COUNTIFS($C$8:K8, "*")
   ),
"")</f>
        <v/>
      </c>
      <c r="L294" s="40" t="str" cm="1">
        <f t="array" ref="L294">IF(COUNTIF(L65,"*I*"),
   INDEX($C$152:$AJ$152,
     COUNTIFS($C$8:L8, "*")
   ),
"")</f>
        <v/>
      </c>
      <c r="M294" s="40" t="str" cm="1">
        <f t="array" ref="M294">IF(COUNTIF(M65,"*I*"),
   INDEX($C$152:$AJ$152,
     COUNTIFS($C$8:M8, "*")
   ),
"")</f>
        <v/>
      </c>
      <c r="N294" s="40" t="str" cm="1">
        <f t="array" ref="N294">IF(COUNTIF(N65,"*I*"),
   INDEX($C$152:$AJ$152,
     COUNTIFS($C$8:N8, "*")
   ),
"")</f>
        <v/>
      </c>
      <c r="O294" s="40" t="str" cm="1">
        <f t="array" ref="O294">IF(COUNTIF(O65,"*I*"),
   INDEX($C$152:$AJ$152,
     COUNTIFS($C$8:O8, "*")
   ),
"")</f>
        <v/>
      </c>
      <c r="P294" s="40" t="str" cm="1">
        <f t="array" ref="P294">IF(COUNTIF(P65,"*I*"),
   INDEX($C$152:$AJ$152,
     COUNTIFS($C$8:P8, "*")
   ),
"")</f>
        <v/>
      </c>
      <c r="Q294" s="40" t="str" cm="1">
        <f t="array" ref="Q294">IF(COUNTIF(Q65,"*I*"),
   INDEX($C$152:$AJ$152,
     COUNTIFS($C$8:Q8, "*")
   ),
"")</f>
        <v/>
      </c>
      <c r="R294" s="40" t="str" cm="1">
        <f t="array" ref="R294">IF(COUNTIF(R65,"*I*"),
   INDEX($C$152:$AJ$152,
     COUNTIFS($C$8:R8, "*")
   ),
"")</f>
        <v/>
      </c>
      <c r="S294" s="40" t="str" cm="1">
        <f t="array" ref="S294">IF(COUNTIF(S65,"*I*"),
   INDEX($C$152:$AJ$152,
     COUNTIFS($C$8:S8, "*")
   ),
"")</f>
        <v/>
      </c>
      <c r="T294" s="40" t="str" cm="1">
        <f t="array" ref="T294">IF(COUNTIF(T65,"*I*"),
   INDEX($C$152:$AJ$152,
     COUNTIFS($C$8:T8, "*")
   ),
"")</f>
        <v/>
      </c>
      <c r="U294" s="40" t="str" cm="1">
        <f t="array" ref="U294">IF(COUNTIF(U65,"*I*"),
   INDEX($C$152:$AJ$152,
     COUNTIFS($C$8:U8, "*")
   ),
"")</f>
        <v/>
      </c>
      <c r="V294" s="40" t="str" cm="1">
        <f t="array" ref="V294">IF(COUNTIF(V65,"*I*"),
   INDEX($C$152:$AJ$152,
     COUNTIFS($C$8:V8, "*")
   ),
"")</f>
        <v/>
      </c>
      <c r="W294" s="40" t="str" cm="1">
        <f t="array" ref="W294">IF(COUNTIF(W65,"*I*"),
   INDEX($C$152:$AJ$152,
     COUNTIFS($C$8:W8, "*")
   ),
"")</f>
        <v/>
      </c>
      <c r="X294" s="40" t="str" cm="1">
        <f t="array" ref="X294">IF(COUNTIF(X65,"*I*"),
   INDEX($C$152:$AJ$152,
     COUNTIFS($C$8:X8, "*")
   ),
"")</f>
        <v/>
      </c>
      <c r="Y294" s="40" t="str" cm="1">
        <f t="array" ref="Y294">IF(COUNTIF(Y65,"*I*"),
   INDEX($C$152:$AJ$152,
     COUNTIFS($C$8:Y8, "*")
   ),
"")</f>
        <v/>
      </c>
      <c r="Z294" s="40" t="str" cm="1">
        <f t="array" ref="Z294">IF(COUNTIF(Z65,"*I*"),
   INDEX($C$152:$AJ$152,
     COUNTIFS($C$8:Z8, "*")
   ),
"")</f>
        <v/>
      </c>
      <c r="AA294" s="40" t="str" cm="1">
        <f t="array" ref="AA294">IF(COUNTIF(AA65,"*I*"),
   INDEX($C$152:$AJ$152,
     COUNTIFS($C$8:AA8, "*")
   ),
"")</f>
        <v/>
      </c>
      <c r="AB294" s="40" t="str" cm="1">
        <f t="array" ref="AB294">IF(COUNTIF(AB65,"*I*"),
   INDEX($C$152:$AJ$152,
     COUNTIFS($C$8:AB8, "*")
   ),
"")</f>
        <v/>
      </c>
      <c r="AC294" s="40" t="str" cm="1">
        <f t="array" ref="AC294">IF(COUNTIF(AC65,"*I*"),
   INDEX($C$152:$AJ$152,
     COUNTIFS($C$8:AC8, "*")
   ),
"")</f>
        <v/>
      </c>
      <c r="AD294" s="40" t="str" cm="1">
        <f t="array" ref="AD294">IF(COUNTIF(AD65,"*I*"),
   INDEX($C$152:$AJ$152,
     COUNTIFS($C$8:AD8, "*")
   ),
"")</f>
        <v/>
      </c>
      <c r="AE294" s="40" t="str" cm="1">
        <f t="array" ref="AE294">IF(COUNTIF(AE65,"*I*"),
   INDEX($C$152:$AJ$152,
     COUNTIFS($C$8:AE8, "*")
   ),
"")</f>
        <v/>
      </c>
      <c r="AF294" s="40" t="str" cm="1">
        <f t="array" ref="AF294">IF(COUNTIF(AF65,"*I*"),
   INDEX($C$152:$AJ$152,
     COUNTIFS($C$8:AF8, "*")
   ),
"")</f>
        <v/>
      </c>
      <c r="AG294" s="40" t="str" cm="1">
        <f t="array" ref="AG294">IF(COUNTIF(AG65,"*I*"),
   INDEX($C$152:$AJ$152,
     COUNTIFS($C$8:AG8, "*")
   ),
"")</f>
        <v/>
      </c>
      <c r="AH294" s="40" t="str" cm="1">
        <f t="array" ref="AH294">IF(COUNTIF(AH65,"*I*"),
   INDEX($C$152:$AJ$152,
     COUNTIFS($C$8:AH8, "*")
   ),
"")</f>
        <v/>
      </c>
      <c r="AI294" s="40" t="str" cm="1">
        <f t="array" ref="AI294">IF(COUNTIF(AI65,"*I*"),
   INDEX($C$152:$AJ$152,
     COUNTIFS($C$8:AI8, "*")
   ),
"")</f>
        <v/>
      </c>
      <c r="AJ294" s="40" t="str" cm="1">
        <f t="array" ref="AJ294">IF(COUNTIF(AJ65,"*I*"),
   INDEX($C$152:$AJ$152,
     COUNTIFS($C$8:AJ8, "*")
   ),
"")</f>
        <v/>
      </c>
      <c r="AK294" s="62" t="str">
        <f t="shared" si="54"/>
        <v/>
      </c>
    </row>
    <row r="295" spans="1:37" ht="15" customHeight="1" thickBot="1" x14ac:dyDescent="0.4">
      <c r="A295" s="1196"/>
      <c r="B295" s="22">
        <v>6</v>
      </c>
      <c r="C295" s="40" t="str" cm="1">
        <f t="array" ref="C295">IF(COUNTIF(C66,"*I*"),
   INDEX($C$153:$AJ$153,
     COUNTIFS($C$9:C9, "*")
   ),
"")</f>
        <v/>
      </c>
      <c r="D295" s="40" t="str" cm="1">
        <f t="array" ref="D295">IF(COUNTIF(D66,"*I*"),
   INDEX($C$153:$AJ$153,
     COUNTIFS($C$9:D9, "*")
   ),
"")</f>
        <v/>
      </c>
      <c r="E295" s="40" t="str" cm="1">
        <f t="array" ref="E295">IF(COUNTIF(E66,"*I*"),
   INDEX($C$153:$AJ$153,
     COUNTIFS($C$9:E9, "*")
   ),
"")</f>
        <v/>
      </c>
      <c r="F295" s="40" t="str" cm="1">
        <f t="array" ref="F295">IF(COUNTIF(F66,"*I*"),
   INDEX($C$153:$AJ$153,
     COUNTIFS($C$9:F9, "*")
   ),
"")</f>
        <v/>
      </c>
      <c r="G295" s="40" t="str" cm="1">
        <f t="array" ref="G295">IF(COUNTIF(G66,"*I*"),
   INDEX($C$153:$AJ$153,
     COUNTIFS($C$9:G9, "*")
   ),
"")</f>
        <v/>
      </c>
      <c r="H295" s="40" t="str" cm="1">
        <f t="array" ref="H295">IF(COUNTIF(H66,"*I*"),
   INDEX($C$153:$AJ$153,
     COUNTIFS($C$9:H9, "*")
   ),
"")</f>
        <v/>
      </c>
      <c r="I295" s="40" t="str" cm="1">
        <f t="array" ref="I295">IF(COUNTIF(I66,"*I*"),
   INDEX($C$153:$AJ$153,
     COUNTIFS($C$9:I9, "*")
   ),
"")</f>
        <v/>
      </c>
      <c r="J295" s="40" t="str" cm="1">
        <f t="array" ref="J295">IF(COUNTIF(J66,"*I*"),
   INDEX($C$153:$AJ$153,
     COUNTIFS($C$9:J9, "*")
   ),
"")</f>
        <v/>
      </c>
      <c r="K295" s="40" t="str" cm="1">
        <f t="array" ref="K295">IF(COUNTIF(K66,"*I*"),
   INDEX($C$153:$AJ$153,
     COUNTIFS($C$9:K9, "*")
   ),
"")</f>
        <v/>
      </c>
      <c r="L295" s="40" t="str" cm="1">
        <f t="array" ref="L295">IF(COUNTIF(L66,"*I*"),
   INDEX($C$153:$AJ$153,
     COUNTIFS($C$9:L9, "*")
   ),
"")</f>
        <v/>
      </c>
      <c r="M295" s="40" t="str" cm="1">
        <f t="array" ref="M295">IF(COUNTIF(M66,"*I*"),
   INDEX($C$153:$AJ$153,
     COUNTIFS($C$9:M9, "*")
   ),
"")</f>
        <v/>
      </c>
      <c r="N295" s="40" t="str" cm="1">
        <f t="array" ref="N295">IF(COUNTIF(N66,"*I*"),
   INDEX($C$153:$AJ$153,
     COUNTIFS($C$9:N9, "*")
   ),
"")</f>
        <v/>
      </c>
      <c r="O295" s="40" t="str" cm="1">
        <f t="array" ref="O295">IF(COUNTIF(O66,"*I*"),
   INDEX($C$153:$AJ$153,
     COUNTIFS($C$9:O9, "*")
   ),
"")</f>
        <v/>
      </c>
      <c r="P295" s="40" t="str" cm="1">
        <f t="array" ref="P295">IF(COUNTIF(P66,"*I*"),
   INDEX($C$153:$AJ$153,
     COUNTIFS($C$9:P9, "*")
   ),
"")</f>
        <v/>
      </c>
      <c r="Q295" s="40" t="str" cm="1">
        <f t="array" ref="Q295">IF(COUNTIF(Q66,"*I*"),
   INDEX($C$153:$AJ$153,
     COUNTIFS($C$9:Q9, "*")
   ),
"")</f>
        <v/>
      </c>
      <c r="R295" s="40" t="str" cm="1">
        <f t="array" ref="R295">IF(COUNTIF(R66,"*I*"),
   INDEX($C$153:$AJ$153,
     COUNTIFS($C$9:R9, "*")
   ),
"")</f>
        <v/>
      </c>
      <c r="S295" s="40" t="str" cm="1">
        <f t="array" ref="S295">IF(COUNTIF(S66,"*I*"),
   INDEX($C$153:$AJ$153,
     COUNTIFS($C$9:S9, "*")
   ),
"")</f>
        <v/>
      </c>
      <c r="T295" s="40" t="str" cm="1">
        <f t="array" ref="T295">IF(COUNTIF(T66,"*I*"),
   INDEX($C$153:$AJ$153,
     COUNTIFS($C$9:T9, "*")
   ),
"")</f>
        <v/>
      </c>
      <c r="U295" s="40" t="str" cm="1">
        <f t="array" ref="U295">IF(COUNTIF(U66,"*I*"),
   INDEX($C$153:$AJ$153,
     COUNTIFS($C$9:U9, "*")
   ),
"")</f>
        <v/>
      </c>
      <c r="V295" s="40" t="str" cm="1">
        <f t="array" ref="V295">IF(COUNTIF(V66,"*I*"),
   INDEX($C$153:$AJ$153,
     COUNTIFS($C$9:V9, "*")
   ),
"")</f>
        <v/>
      </c>
      <c r="W295" s="40" t="str" cm="1">
        <f t="array" ref="W295">IF(COUNTIF(W66,"*I*"),
   INDEX($C$153:$AJ$153,
     COUNTIFS($C$9:W9, "*")
   ),
"")</f>
        <v/>
      </c>
      <c r="X295" s="40" t="str" cm="1">
        <f t="array" ref="X295">IF(COUNTIF(X66,"*I*"),
   INDEX($C$153:$AJ$153,
     COUNTIFS($C$9:X9, "*")
   ),
"")</f>
        <v/>
      </c>
      <c r="Y295" s="40" t="str" cm="1">
        <f t="array" ref="Y295">IF(COUNTIF(Y66,"*I*"),
   INDEX($C$153:$AJ$153,
     COUNTIFS($C$9:Y9, "*")
   ),
"")</f>
        <v/>
      </c>
      <c r="Z295" s="40" t="str" cm="1">
        <f t="array" ref="Z295">IF(COUNTIF(Z66,"*I*"),
   INDEX($C$153:$AJ$153,
     COUNTIFS($C$9:Z9, "*")
   ),
"")</f>
        <v/>
      </c>
      <c r="AA295" s="40" t="str" cm="1">
        <f t="array" ref="AA295">IF(COUNTIF(AA66,"*I*"),
   INDEX($C$153:$AJ$153,
     COUNTIFS($C$9:AA9, "*")
   ),
"")</f>
        <v/>
      </c>
      <c r="AB295" s="40" t="str" cm="1">
        <f t="array" ref="AB295">IF(COUNTIF(AB66,"*I*"),
   INDEX($C$153:$AJ$153,
     COUNTIFS($C$9:AB9, "*")
   ),
"")</f>
        <v/>
      </c>
      <c r="AC295" s="40" t="str" cm="1">
        <f t="array" ref="AC295">IF(COUNTIF(AC66,"*I*"),
   INDEX($C$153:$AJ$153,
     COUNTIFS($C$9:AC9, "*")
   ),
"")</f>
        <v/>
      </c>
      <c r="AD295" s="40" t="str" cm="1">
        <f t="array" ref="AD295">IF(COUNTIF(AD66,"*I*"),
   INDEX($C$153:$AJ$153,
     COUNTIFS($C$9:AD9, "*")
   ),
"")</f>
        <v/>
      </c>
      <c r="AE295" s="40" t="str" cm="1">
        <f t="array" ref="AE295">IF(COUNTIF(AE66,"*I*"),
   INDEX($C$153:$AJ$153,
     COUNTIFS($C$9:AE9, "*")
   ),
"")</f>
        <v/>
      </c>
      <c r="AF295" s="40" t="str" cm="1">
        <f t="array" ref="AF295">IF(COUNTIF(AF66,"*I*"),
   INDEX($C$153:$AJ$153,
     COUNTIFS($C$9:AF9, "*")
   ),
"")</f>
        <v/>
      </c>
      <c r="AG295" s="40" t="str" cm="1">
        <f t="array" ref="AG295">IF(COUNTIF(AG66,"*I*"),
   INDEX($C$153:$AJ$153,
     COUNTIFS($C$9:AG9, "*")
   ),
"")</f>
        <v/>
      </c>
      <c r="AH295" s="40" t="str" cm="1">
        <f t="array" ref="AH295">IF(COUNTIF(AH66,"*I*"),
   INDEX($C$153:$AJ$153,
     COUNTIFS($C$9:AH9, "*")
   ),
"")</f>
        <v/>
      </c>
      <c r="AI295" s="40" t="str" cm="1">
        <f t="array" ref="AI295">IF(COUNTIF(AI66,"*I*"),
   INDEX($C$153:$AJ$153,
     COUNTIFS($C$9:AI9, "*")
   ),
"")</f>
        <v/>
      </c>
      <c r="AJ295" s="40" t="str" cm="1">
        <f t="array" ref="AJ295">IF(COUNTIF(AJ66,"*I*"),
   INDEX($C$153:$AJ$153,
     COUNTIFS($C$9:AJ9, "*")
   ),
"")</f>
        <v/>
      </c>
      <c r="AK295" s="62" t="str">
        <f t="shared" si="54"/>
        <v/>
      </c>
    </row>
    <row r="296" spans="1:37" ht="15" customHeight="1" thickBot="1" x14ac:dyDescent="0.4">
      <c r="A296" s="1196"/>
      <c r="B296" s="22">
        <v>7</v>
      </c>
      <c r="C296" s="40" t="str" cm="1">
        <f t="array" ref="C296">IF(COUNTIF(C67,"*I*"),
   INDEX($C$154:$AJ$154,
     COUNTIFS($C$10:C10, "*")
   ),
"")</f>
        <v/>
      </c>
      <c r="D296" s="40" t="str" cm="1">
        <f t="array" ref="D296">IF(COUNTIF(D67,"*I*"),
   INDEX($C$154:$AJ$154,
     COUNTIFS($C$10:D10, "*")
   ),
"")</f>
        <v/>
      </c>
      <c r="E296" s="40" t="str" cm="1">
        <f t="array" ref="E296">IF(COUNTIF(E67,"*I*"),
   INDEX($C$154:$AJ$154,
     COUNTIFS($C$10:E10, "*")
   ),
"")</f>
        <v/>
      </c>
      <c r="F296" s="40" t="str" cm="1">
        <f t="array" ref="F296">IF(COUNTIF(F67,"*I*"),
   INDEX($C$154:$AJ$154,
     COUNTIFS($C$10:F10, "*")
   ),
"")</f>
        <v/>
      </c>
      <c r="G296" s="40" t="str" cm="1">
        <f t="array" ref="G296">IF(COUNTIF(G67,"*I*"),
   INDEX($C$154:$AJ$154,
     COUNTIFS($C$10:G10, "*")
   ),
"")</f>
        <v/>
      </c>
      <c r="H296" s="40" t="str" cm="1">
        <f t="array" ref="H296">IF(COUNTIF(H67,"*I*"),
   INDEX($C$154:$AJ$154,
     COUNTIFS($C$10:H10, "*")
   ),
"")</f>
        <v/>
      </c>
      <c r="I296" s="40" t="str" cm="1">
        <f t="array" ref="I296">IF(COUNTIF(I67,"*I*"),
   INDEX($C$154:$AJ$154,
     COUNTIFS($C$10:I10, "*")
   ),
"")</f>
        <v/>
      </c>
      <c r="J296" s="40" t="str" cm="1">
        <f t="array" ref="J296">IF(COUNTIF(J67,"*I*"),
   INDEX($C$154:$AJ$154,
     COUNTIFS($C$10:J10, "*")
   ),
"")</f>
        <v/>
      </c>
      <c r="K296" s="40" t="str" cm="1">
        <f t="array" ref="K296">IF(COUNTIF(K67,"*I*"),
   INDEX($C$154:$AJ$154,
     COUNTIFS($C$10:K10, "*")
   ),
"")</f>
        <v/>
      </c>
      <c r="L296" s="40" t="str" cm="1">
        <f t="array" ref="L296">IF(COUNTIF(L67,"*I*"),
   INDEX($C$154:$AJ$154,
     COUNTIFS($C$10:L10, "*")
   ),
"")</f>
        <v/>
      </c>
      <c r="M296" s="40" t="str" cm="1">
        <f t="array" ref="M296">IF(COUNTIF(M67,"*I*"),
   INDEX($C$154:$AJ$154,
     COUNTIFS($C$10:M10, "*")
   ),
"")</f>
        <v/>
      </c>
      <c r="N296" s="40" t="str" cm="1">
        <f t="array" ref="N296">IF(COUNTIF(N67,"*I*"),
   INDEX($C$154:$AJ$154,
     COUNTIFS($C$10:N10, "*")
   ),
"")</f>
        <v/>
      </c>
      <c r="O296" s="40" t="str" cm="1">
        <f t="array" ref="O296">IF(COUNTIF(O67,"*I*"),
   INDEX($C$154:$AJ$154,
     COUNTIFS($C$10:O10, "*")
   ),
"")</f>
        <v/>
      </c>
      <c r="P296" s="40" t="str" cm="1">
        <f t="array" ref="P296">IF(COUNTIF(P67,"*I*"),
   INDEX($C$154:$AJ$154,
     COUNTIFS($C$10:P10, "*")
   ),
"")</f>
        <v/>
      </c>
      <c r="Q296" s="40" t="str" cm="1">
        <f t="array" ref="Q296">IF(COUNTIF(Q67,"*I*"),
   INDEX($C$154:$AJ$154,
     COUNTIFS($C$10:Q10, "*")
   ),
"")</f>
        <v/>
      </c>
      <c r="R296" s="40" t="str" cm="1">
        <f t="array" ref="R296">IF(COUNTIF(R67,"*I*"),
   INDEX($C$154:$AJ$154,
     COUNTIFS($C$10:R10, "*")
   ),
"")</f>
        <v/>
      </c>
      <c r="S296" s="40" t="str" cm="1">
        <f t="array" ref="S296">IF(COUNTIF(S67,"*I*"),
   INDEX($C$154:$AJ$154,
     COUNTIFS($C$10:S10, "*")
   ),
"")</f>
        <v/>
      </c>
      <c r="T296" s="40" t="str" cm="1">
        <f t="array" ref="T296">IF(COUNTIF(T67,"*I*"),
   INDEX($C$154:$AJ$154,
     COUNTIFS($C$10:T10, "*")
   ),
"")</f>
        <v/>
      </c>
      <c r="U296" s="40" t="str" cm="1">
        <f t="array" ref="U296">IF(COUNTIF(U67,"*I*"),
   INDEX($C$154:$AJ$154,
     COUNTIFS($C$10:U10, "*")
   ),
"")</f>
        <v/>
      </c>
      <c r="V296" s="40" t="str" cm="1">
        <f t="array" ref="V296">IF(COUNTIF(V67,"*I*"),
   INDEX($C$154:$AJ$154,
     COUNTIFS($C$10:V10, "*")
   ),
"")</f>
        <v/>
      </c>
      <c r="W296" s="40" t="str" cm="1">
        <f t="array" ref="W296">IF(COUNTIF(W67,"*I*"),
   INDEX($C$154:$AJ$154,
     COUNTIFS($C$10:W10, "*")
   ),
"")</f>
        <v/>
      </c>
      <c r="X296" s="40" t="str" cm="1">
        <f t="array" ref="X296">IF(COUNTIF(X67,"*I*"),
   INDEX($C$154:$AJ$154,
     COUNTIFS($C$10:X10, "*")
   ),
"")</f>
        <v/>
      </c>
      <c r="Y296" s="40" t="str" cm="1">
        <f t="array" ref="Y296">IF(COUNTIF(Y67,"*I*"),
   INDEX($C$154:$AJ$154,
     COUNTIFS($C$10:Y10, "*")
   ),
"")</f>
        <v/>
      </c>
      <c r="Z296" s="40" t="str" cm="1">
        <f t="array" ref="Z296">IF(COUNTIF(Z67,"*I*"),
   INDEX($C$154:$AJ$154,
     COUNTIFS($C$10:Z10, "*")
   ),
"")</f>
        <v/>
      </c>
      <c r="AA296" s="40" t="str" cm="1">
        <f t="array" ref="AA296">IF(COUNTIF(AA67,"*I*"),
   INDEX($C$154:$AJ$154,
     COUNTIFS($C$10:AA10, "*")
   ),
"")</f>
        <v/>
      </c>
      <c r="AB296" s="40" t="str" cm="1">
        <f t="array" ref="AB296">IF(COUNTIF(AB67,"*I*"),
   INDEX($C$154:$AJ$154,
     COUNTIFS($C$10:AB10, "*")
   ),
"")</f>
        <v/>
      </c>
      <c r="AC296" s="40" t="str" cm="1">
        <f t="array" ref="AC296">IF(COUNTIF(AC67,"*I*"),
   INDEX($C$154:$AJ$154,
     COUNTIFS($C$10:AC10, "*")
   ),
"")</f>
        <v/>
      </c>
      <c r="AD296" s="40" t="str" cm="1">
        <f t="array" ref="AD296">IF(COUNTIF(AD67,"*I*"),
   INDEX($C$154:$AJ$154,
     COUNTIFS($C$10:AD10, "*")
   ),
"")</f>
        <v/>
      </c>
      <c r="AE296" s="40" t="str" cm="1">
        <f t="array" ref="AE296">IF(COUNTIF(AE67,"*I*"),
   INDEX($C$154:$AJ$154,
     COUNTIFS($C$10:AE10, "*")
   ),
"")</f>
        <v/>
      </c>
      <c r="AF296" s="40" t="str" cm="1">
        <f t="array" ref="AF296">IF(COUNTIF(AF67,"*I*"),
   INDEX($C$154:$AJ$154,
     COUNTIFS($C$10:AF10, "*")
   ),
"")</f>
        <v/>
      </c>
      <c r="AG296" s="40" t="str" cm="1">
        <f t="array" ref="AG296">IF(COUNTIF(AG67,"*I*"),
   INDEX($C$154:$AJ$154,
     COUNTIFS($C$10:AG10, "*")
   ),
"")</f>
        <v/>
      </c>
      <c r="AH296" s="40" t="str" cm="1">
        <f t="array" ref="AH296">IF(COUNTIF(AH67,"*I*"),
   INDEX($C$154:$AJ$154,
     COUNTIFS($C$10:AH10, "*")
   ),
"")</f>
        <v/>
      </c>
      <c r="AI296" s="40" t="str" cm="1">
        <f t="array" ref="AI296">IF(COUNTIF(AI67,"*I*"),
   INDEX($C$154:$AJ$154,
     COUNTIFS($C$10:AI10, "*")
   ),
"")</f>
        <v/>
      </c>
      <c r="AJ296" s="40" t="str" cm="1">
        <f t="array" ref="AJ296">IF(COUNTIF(AJ67,"*I*"),
   INDEX($C$154:$AJ$154,
     COUNTIFS($C$10:AJ10, "*")
   ),
"")</f>
        <v/>
      </c>
      <c r="AK296" s="62" t="str">
        <f t="shared" si="54"/>
        <v/>
      </c>
    </row>
    <row r="297" spans="1:37" ht="15" customHeight="1" thickBot="1" x14ac:dyDescent="0.4">
      <c r="A297" s="1196"/>
      <c r="B297" s="22">
        <v>8</v>
      </c>
      <c r="C297" s="40" t="str" cm="1">
        <f t="array" ref="C297">IF(COUNTIF(C68,"*I*"),
   INDEX($C$155:$AJ$155,
     COUNTIFS($C$11:C11, "*")
   ),
"")</f>
        <v/>
      </c>
      <c r="D297" s="40" t="str" cm="1">
        <f t="array" ref="D297">IF(COUNTIF(D68,"*I*"),
   INDEX($C$155:$AJ$155,
     COUNTIFS($C$11:D11, "*")
   ),
"")</f>
        <v/>
      </c>
      <c r="E297" s="40" t="str" cm="1">
        <f t="array" ref="E297">IF(COUNTIF(E68,"*I*"),
   INDEX($C$155:$AJ$155,
     COUNTIFS($C$11:E11, "*")
   ),
"")</f>
        <v/>
      </c>
      <c r="F297" s="40" t="str" cm="1">
        <f t="array" ref="F297">IF(COUNTIF(F68,"*I*"),
   INDEX($C$155:$AJ$155,
     COUNTIFS($C$11:F11, "*")
   ),
"")</f>
        <v/>
      </c>
      <c r="G297" s="40" t="str" cm="1">
        <f t="array" ref="G297">IF(COUNTIF(G68,"*I*"),
   INDEX($C$155:$AJ$155,
     COUNTIFS($C$11:G11, "*")
   ),
"")</f>
        <v/>
      </c>
      <c r="H297" s="40" t="str" cm="1">
        <f t="array" ref="H297">IF(COUNTIF(H68,"*I*"),
   INDEX($C$155:$AJ$155,
     COUNTIFS($C$11:H11, "*")
   ),
"")</f>
        <v/>
      </c>
      <c r="I297" s="40" t="str" cm="1">
        <f t="array" ref="I297">IF(COUNTIF(I68,"*I*"),
   INDEX($C$155:$AJ$155,
     COUNTIFS($C$11:I11, "*")
   ),
"")</f>
        <v/>
      </c>
      <c r="J297" s="40" t="str" cm="1">
        <f t="array" ref="J297">IF(COUNTIF(J68,"*I*"),
   INDEX($C$155:$AJ$155,
     COUNTIFS($C$11:J11, "*")
   ),
"")</f>
        <v/>
      </c>
      <c r="K297" s="40" t="str" cm="1">
        <f t="array" ref="K297">IF(COUNTIF(K68,"*I*"),
   INDEX($C$155:$AJ$155,
     COUNTIFS($C$11:K11, "*")
   ),
"")</f>
        <v/>
      </c>
      <c r="L297" s="40" t="str" cm="1">
        <f t="array" ref="L297">IF(COUNTIF(L68,"*I*"),
   INDEX($C$155:$AJ$155,
     COUNTIFS($C$11:L11, "*")
   ),
"")</f>
        <v/>
      </c>
      <c r="M297" s="40" t="str" cm="1">
        <f t="array" ref="M297">IF(COUNTIF(M68,"*I*"),
   INDEX($C$155:$AJ$155,
     COUNTIFS($C$11:M11, "*")
   ),
"")</f>
        <v/>
      </c>
      <c r="N297" s="40" t="str" cm="1">
        <f t="array" ref="N297">IF(COUNTIF(N68,"*I*"),
   INDEX($C$155:$AJ$155,
     COUNTIFS($C$11:N11, "*")
   ),
"")</f>
        <v/>
      </c>
      <c r="O297" s="40" t="str" cm="1">
        <f t="array" ref="O297">IF(COUNTIF(O68,"*I*"),
   INDEX($C$155:$AJ$155,
     COUNTIFS($C$11:O11, "*")
   ),
"")</f>
        <v/>
      </c>
      <c r="P297" s="40" t="str" cm="1">
        <f t="array" ref="P297">IF(COUNTIF(P68,"*I*"),
   INDEX($C$155:$AJ$155,
     COUNTIFS($C$11:P11, "*")
   ),
"")</f>
        <v/>
      </c>
      <c r="Q297" s="40" t="str" cm="1">
        <f t="array" ref="Q297">IF(COUNTIF(Q68,"*I*"),
   INDEX($C$155:$AJ$155,
     COUNTIFS($C$11:Q11, "*")
   ),
"")</f>
        <v/>
      </c>
      <c r="R297" s="40" t="str" cm="1">
        <f t="array" ref="R297">IF(COUNTIF(R68,"*I*"),
   INDEX($C$155:$AJ$155,
     COUNTIFS($C$11:R11, "*")
   ),
"")</f>
        <v/>
      </c>
      <c r="S297" s="40" t="str" cm="1">
        <f t="array" ref="S297">IF(COUNTIF(S68,"*I*"),
   INDEX($C$155:$AJ$155,
     COUNTIFS($C$11:S11, "*")
   ),
"")</f>
        <v/>
      </c>
      <c r="T297" s="40" t="str" cm="1">
        <f t="array" ref="T297">IF(COUNTIF(T68,"*I*"),
   INDEX($C$155:$AJ$155,
     COUNTIFS($C$11:T11, "*")
   ),
"")</f>
        <v/>
      </c>
      <c r="U297" s="40" t="str" cm="1">
        <f t="array" ref="U297">IF(COUNTIF(U68,"*I*"),
   INDEX($C$155:$AJ$155,
     COUNTIFS($C$11:U11, "*")
   ),
"")</f>
        <v/>
      </c>
      <c r="V297" s="40" t="str" cm="1">
        <f t="array" ref="V297">IF(COUNTIF(V68,"*I*"),
   INDEX($C$155:$AJ$155,
     COUNTIFS($C$11:V11, "*")
   ),
"")</f>
        <v/>
      </c>
      <c r="W297" s="40" t="str" cm="1">
        <f t="array" ref="W297">IF(COUNTIF(W68,"*I*"),
   INDEX($C$155:$AJ$155,
     COUNTIFS($C$11:W11, "*")
   ),
"")</f>
        <v/>
      </c>
      <c r="X297" s="40" t="str" cm="1">
        <f t="array" ref="X297">IF(COUNTIF(X68,"*I*"),
   INDEX($C$155:$AJ$155,
     COUNTIFS($C$11:X11, "*")
   ),
"")</f>
        <v/>
      </c>
      <c r="Y297" s="40" t="str" cm="1">
        <f t="array" ref="Y297">IF(COUNTIF(Y68,"*I*"),
   INDEX($C$155:$AJ$155,
     COUNTIFS($C$11:Y11, "*")
   ),
"")</f>
        <v/>
      </c>
      <c r="Z297" s="40" t="str" cm="1">
        <f t="array" ref="Z297">IF(COUNTIF(Z68,"*I*"),
   INDEX($C$155:$AJ$155,
     COUNTIFS($C$11:Z11, "*")
   ),
"")</f>
        <v/>
      </c>
      <c r="AA297" s="40" t="str" cm="1">
        <f t="array" ref="AA297">IF(COUNTIF(AA68,"*I*"),
   INDEX($C$155:$AJ$155,
     COUNTIFS($C$11:AA11, "*")
   ),
"")</f>
        <v/>
      </c>
      <c r="AB297" s="40" t="str" cm="1">
        <f t="array" ref="AB297">IF(COUNTIF(AB68,"*I*"),
   INDEX($C$155:$AJ$155,
     COUNTIFS($C$11:AB11, "*")
   ),
"")</f>
        <v/>
      </c>
      <c r="AC297" s="40" t="str" cm="1">
        <f t="array" ref="AC297">IF(COUNTIF(AC68,"*I*"),
   INDEX($C$155:$AJ$155,
     COUNTIFS($C$11:AC11, "*")
   ),
"")</f>
        <v/>
      </c>
      <c r="AD297" s="40" t="str" cm="1">
        <f t="array" ref="AD297">IF(COUNTIF(AD68,"*I*"),
   INDEX($C$155:$AJ$155,
     COUNTIFS($C$11:AD11, "*")
   ),
"")</f>
        <v/>
      </c>
      <c r="AE297" s="40" t="str" cm="1">
        <f t="array" ref="AE297">IF(COUNTIF(AE68,"*I*"),
   INDEX($C$155:$AJ$155,
     COUNTIFS($C$11:AE11, "*")
   ),
"")</f>
        <v/>
      </c>
      <c r="AF297" s="40" t="str" cm="1">
        <f t="array" ref="AF297">IF(COUNTIF(AF68,"*I*"),
   INDEX($C$155:$AJ$155,
     COUNTIFS($C$11:AF11, "*")
   ),
"")</f>
        <v/>
      </c>
      <c r="AG297" s="40" t="str" cm="1">
        <f t="array" ref="AG297">IF(COUNTIF(AG68,"*I*"),
   INDEX($C$155:$AJ$155,
     COUNTIFS($C$11:AG11, "*")
   ),
"")</f>
        <v/>
      </c>
      <c r="AH297" s="40" t="str" cm="1">
        <f t="array" ref="AH297">IF(COUNTIF(AH68,"*I*"),
   INDEX($C$155:$AJ$155,
     COUNTIFS($C$11:AH11, "*")
   ),
"")</f>
        <v/>
      </c>
      <c r="AI297" s="40" t="str" cm="1">
        <f t="array" ref="AI297">IF(COUNTIF(AI68,"*I*"),
   INDEX($C$155:$AJ$155,
     COUNTIFS($C$11:AI11, "*")
   ),
"")</f>
        <v/>
      </c>
      <c r="AJ297" s="40" t="str" cm="1">
        <f t="array" ref="AJ297">IF(COUNTIF(AJ68,"*I*"),
   INDEX($C$155:$AJ$155,
     COUNTIFS($C$11:AJ11, "*")
   ),
"")</f>
        <v/>
      </c>
      <c r="AK297" s="62" t="str">
        <f t="shared" si="54"/>
        <v/>
      </c>
    </row>
    <row r="298" spans="1:37" ht="15" customHeight="1" thickBot="1" x14ac:dyDescent="0.4">
      <c r="A298" s="1196"/>
      <c r="B298" s="22">
        <v>9</v>
      </c>
      <c r="C298" s="40" t="str" cm="1">
        <f t="array" ref="C298">IF(COUNTIF(C69,"*I*"),
   INDEX($C$156:$AJ$156,
     COUNTIFS($C$12:C12, "*")
   ),
"")</f>
        <v/>
      </c>
      <c r="D298" s="40" t="str" cm="1">
        <f t="array" ref="D298">IF(COUNTIF(D69,"*I*"),
   INDEX($C$156:$AJ$156,
     COUNTIFS($C$12:D12, "*")
   ),
"")</f>
        <v/>
      </c>
      <c r="E298" s="40" t="str" cm="1">
        <f t="array" ref="E298">IF(COUNTIF(E69,"*I*"),
   INDEX($C$156:$AJ$156,
     COUNTIFS($C$12:E12, "*")
   ),
"")</f>
        <v/>
      </c>
      <c r="F298" s="40" t="str" cm="1">
        <f t="array" ref="F298">IF(COUNTIF(F69,"*I*"),
   INDEX($C$156:$AJ$156,
     COUNTIFS($C$12:F12, "*")
   ),
"")</f>
        <v/>
      </c>
      <c r="G298" s="40" t="str" cm="1">
        <f t="array" ref="G298">IF(COUNTIF(G69,"*I*"),
   INDEX($C$156:$AJ$156,
     COUNTIFS($C$12:G12, "*")
   ),
"")</f>
        <v/>
      </c>
      <c r="H298" s="40" t="str" cm="1">
        <f t="array" ref="H298">IF(COUNTIF(H69,"*I*"),
   INDEX($C$156:$AJ$156,
     COUNTIFS($C$12:H12, "*")
   ),
"")</f>
        <v/>
      </c>
      <c r="I298" s="40" t="str" cm="1">
        <f t="array" ref="I298">IF(COUNTIF(I69,"*I*"),
   INDEX($C$156:$AJ$156,
     COUNTIFS($C$12:I12, "*")
   ),
"")</f>
        <v/>
      </c>
      <c r="J298" s="40" t="str" cm="1">
        <f t="array" ref="J298">IF(COUNTIF(J69,"*I*"),
   INDEX($C$156:$AJ$156,
     COUNTIFS($C$12:J12, "*")
   ),
"")</f>
        <v/>
      </c>
      <c r="K298" s="40" t="str" cm="1">
        <f t="array" ref="K298">IF(COUNTIF(K69,"*I*"),
   INDEX($C$156:$AJ$156,
     COUNTIFS($C$12:K12, "*")
   ),
"")</f>
        <v/>
      </c>
      <c r="L298" s="40" t="str" cm="1">
        <f t="array" ref="L298">IF(COUNTIF(L69,"*I*"),
   INDEX($C$156:$AJ$156,
     COUNTIFS($C$12:L12, "*")
   ),
"")</f>
        <v/>
      </c>
      <c r="M298" s="40" t="str" cm="1">
        <f t="array" ref="M298">IF(COUNTIF(M69,"*I*"),
   INDEX($C$156:$AJ$156,
     COUNTIFS($C$12:M12, "*")
   ),
"")</f>
        <v/>
      </c>
      <c r="N298" s="40" t="str" cm="1">
        <f t="array" ref="N298">IF(COUNTIF(N69,"*I*"),
   INDEX($C$156:$AJ$156,
     COUNTIFS($C$12:N12, "*")
   ),
"")</f>
        <v/>
      </c>
      <c r="O298" s="40" t="str" cm="1">
        <f t="array" ref="O298">IF(COUNTIF(O69,"*I*"),
   INDEX($C$156:$AJ$156,
     COUNTIFS($C$12:O12, "*")
   ),
"")</f>
        <v/>
      </c>
      <c r="P298" s="40" t="str" cm="1">
        <f t="array" ref="P298">IF(COUNTIF(P69,"*I*"),
   INDEX($C$156:$AJ$156,
     COUNTIFS($C$12:P12, "*")
   ),
"")</f>
        <v/>
      </c>
      <c r="Q298" s="40" t="str" cm="1">
        <f t="array" ref="Q298">IF(COUNTIF(Q69,"*I*"),
   INDEX($C$156:$AJ$156,
     COUNTIFS($C$12:Q12, "*")
   ),
"")</f>
        <v/>
      </c>
      <c r="R298" s="40" t="str" cm="1">
        <f t="array" ref="R298">IF(COUNTIF(R69,"*I*"),
   INDEX($C$156:$AJ$156,
     COUNTIFS($C$12:R12, "*")
   ),
"")</f>
        <v/>
      </c>
      <c r="S298" s="40" t="str" cm="1">
        <f t="array" ref="S298">IF(COUNTIF(S69,"*I*"),
   INDEX($C$156:$AJ$156,
     COUNTIFS($C$12:S12, "*")
   ),
"")</f>
        <v/>
      </c>
      <c r="T298" s="40" t="str" cm="1">
        <f t="array" ref="T298">IF(COUNTIF(T69,"*I*"),
   INDEX($C$156:$AJ$156,
     COUNTIFS($C$12:T12, "*")
   ),
"")</f>
        <v/>
      </c>
      <c r="U298" s="40" t="str" cm="1">
        <f t="array" ref="U298">IF(COUNTIF(U69,"*I*"),
   INDEX($C$156:$AJ$156,
     COUNTIFS($C$12:U12, "*")
   ),
"")</f>
        <v/>
      </c>
      <c r="V298" s="40" t="str" cm="1">
        <f t="array" ref="V298">IF(COUNTIF(V69,"*I*"),
   INDEX($C$156:$AJ$156,
     COUNTIFS($C$12:V12, "*")
   ),
"")</f>
        <v/>
      </c>
      <c r="W298" s="40" t="str" cm="1">
        <f t="array" ref="W298">IF(COUNTIF(W69,"*I*"),
   INDEX($C$156:$AJ$156,
     COUNTIFS($C$12:W12, "*")
   ),
"")</f>
        <v/>
      </c>
      <c r="X298" s="40" t="str" cm="1">
        <f t="array" ref="X298">IF(COUNTIF(X69,"*I*"),
   INDEX($C$156:$AJ$156,
     COUNTIFS($C$12:X12, "*")
   ),
"")</f>
        <v/>
      </c>
      <c r="Y298" s="40" t="str" cm="1">
        <f t="array" ref="Y298">IF(COUNTIF(Y69,"*I*"),
   INDEX($C$156:$AJ$156,
     COUNTIFS($C$12:Y12, "*")
   ),
"")</f>
        <v/>
      </c>
      <c r="Z298" s="40" t="str" cm="1">
        <f t="array" ref="Z298">IF(COUNTIF(Z69,"*I*"),
   INDEX($C$156:$AJ$156,
     COUNTIFS($C$12:Z12, "*")
   ),
"")</f>
        <v/>
      </c>
      <c r="AA298" s="40" t="str" cm="1">
        <f t="array" ref="AA298">IF(COUNTIF(AA69,"*I*"),
   INDEX($C$156:$AJ$156,
     COUNTIFS($C$12:AA12, "*")
   ),
"")</f>
        <v/>
      </c>
      <c r="AB298" s="40" t="str" cm="1">
        <f t="array" ref="AB298">IF(COUNTIF(AB69,"*I*"),
   INDEX($C$156:$AJ$156,
     COUNTIFS($C$12:AB12, "*")
   ),
"")</f>
        <v/>
      </c>
      <c r="AC298" s="40" t="str" cm="1">
        <f t="array" ref="AC298">IF(COUNTIF(AC69,"*I*"),
   INDEX($C$156:$AJ$156,
     COUNTIFS($C$12:AC12, "*")
   ),
"")</f>
        <v/>
      </c>
      <c r="AD298" s="40" t="str" cm="1">
        <f t="array" ref="AD298">IF(COUNTIF(AD69,"*I*"),
   INDEX($C$156:$AJ$156,
     COUNTIFS($C$12:AD12, "*")
   ),
"")</f>
        <v/>
      </c>
      <c r="AE298" s="40" t="str" cm="1">
        <f t="array" ref="AE298">IF(COUNTIF(AE69,"*I*"),
   INDEX($C$156:$AJ$156,
     COUNTIFS($C$12:AE12, "*")
   ),
"")</f>
        <v/>
      </c>
      <c r="AF298" s="40" t="str" cm="1">
        <f t="array" ref="AF298">IF(COUNTIF(AF69,"*I*"),
   INDEX($C$156:$AJ$156,
     COUNTIFS($C$12:AF12, "*")
   ),
"")</f>
        <v/>
      </c>
      <c r="AG298" s="40" t="str" cm="1">
        <f t="array" ref="AG298">IF(COUNTIF(AG69,"*I*"),
   INDEX($C$156:$AJ$156,
     COUNTIFS($C$12:AG12, "*")
   ),
"")</f>
        <v/>
      </c>
      <c r="AH298" s="40" t="str" cm="1">
        <f t="array" ref="AH298">IF(COUNTIF(AH69,"*I*"),
   INDEX($C$156:$AJ$156,
     COUNTIFS($C$12:AH12, "*")
   ),
"")</f>
        <v/>
      </c>
      <c r="AI298" s="40" t="str" cm="1">
        <f t="array" ref="AI298">IF(COUNTIF(AI69,"*I*"),
   INDEX($C$156:$AJ$156,
     COUNTIFS($C$12:AI12, "*")
   ),
"")</f>
        <v/>
      </c>
      <c r="AJ298" s="40" t="str" cm="1">
        <f t="array" ref="AJ298">IF(COUNTIF(AJ69,"*I*"),
   INDEX($C$156:$AJ$156,
     COUNTIFS($C$12:AJ12, "*")
   ),
"")</f>
        <v/>
      </c>
      <c r="AK298" s="62" t="str">
        <f t="shared" si="54"/>
        <v/>
      </c>
    </row>
    <row r="299" spans="1:37" ht="15" customHeight="1" thickBot="1" x14ac:dyDescent="0.4">
      <c r="A299" s="1196"/>
      <c r="B299" s="22">
        <v>10</v>
      </c>
      <c r="C299" s="40" t="str" cm="1">
        <f t="array" ref="C299">IF(COUNTIF(C70,"*I*"),
   INDEX($C$157:$AJ$157,
     COUNTIFS($C$13:C13, "*")
   ),
"")</f>
        <v/>
      </c>
      <c r="D299" s="40" t="str" cm="1">
        <f t="array" ref="D299">IF(COUNTIF(D70,"*I*"),
   INDEX($C$157:$AJ$157,
     COUNTIFS($C$13:D13, "*")
   ),
"")</f>
        <v/>
      </c>
      <c r="E299" s="40" t="str" cm="1">
        <f t="array" ref="E299">IF(COUNTIF(E70,"*I*"),
   INDEX($C$157:$AJ$157,
     COUNTIFS($C$13:E13, "*")
   ),
"")</f>
        <v/>
      </c>
      <c r="F299" s="40" t="str" cm="1">
        <f t="array" ref="F299">IF(COUNTIF(F70,"*I*"),
   INDEX($C$157:$AJ$157,
     COUNTIFS($C$13:F13, "*")
   ),
"")</f>
        <v/>
      </c>
      <c r="G299" s="40" t="str" cm="1">
        <f t="array" ref="G299">IF(COUNTIF(G70,"*I*"),
   INDEX($C$157:$AJ$157,
     COUNTIFS($C$13:G13, "*")
   ),
"")</f>
        <v/>
      </c>
      <c r="H299" s="40" t="str" cm="1">
        <f t="array" ref="H299">IF(COUNTIF(H70,"*I*"),
   INDEX($C$157:$AJ$157,
     COUNTIFS($C$13:H13, "*")
   ),
"")</f>
        <v/>
      </c>
      <c r="I299" s="40" t="str" cm="1">
        <f t="array" ref="I299">IF(COUNTIF(I70,"*I*"),
   INDEX($C$157:$AJ$157,
     COUNTIFS($C$13:I13, "*")
   ),
"")</f>
        <v/>
      </c>
      <c r="J299" s="40" t="str" cm="1">
        <f t="array" ref="J299">IF(COUNTIF(J70,"*I*"),
   INDEX($C$157:$AJ$157,
     COUNTIFS($C$13:J13, "*")
   ),
"")</f>
        <v/>
      </c>
      <c r="K299" s="40" t="str" cm="1">
        <f t="array" ref="K299">IF(COUNTIF(K70,"*I*"),
   INDEX($C$157:$AJ$157,
     COUNTIFS($C$13:K13, "*")
   ),
"")</f>
        <v/>
      </c>
      <c r="L299" s="40" t="str" cm="1">
        <f t="array" ref="L299">IF(COUNTIF(L70,"*I*"),
   INDEX($C$157:$AJ$157,
     COUNTIFS($C$13:L13, "*")
   ),
"")</f>
        <v/>
      </c>
      <c r="M299" s="40" t="str" cm="1">
        <f t="array" ref="M299">IF(COUNTIF(M70,"*I*"),
   INDEX($C$157:$AJ$157,
     COUNTIFS($C$13:M13, "*")
   ),
"")</f>
        <v/>
      </c>
      <c r="N299" s="40" t="str" cm="1">
        <f t="array" ref="N299">IF(COUNTIF(N70,"*I*"),
   INDEX($C$157:$AJ$157,
     COUNTIFS($C$13:N13, "*")
   ),
"")</f>
        <v/>
      </c>
      <c r="O299" s="40" t="str" cm="1">
        <f t="array" ref="O299">IF(COUNTIF(O70,"*I*"),
   INDEX($C$157:$AJ$157,
     COUNTIFS($C$13:O13, "*")
   ),
"")</f>
        <v/>
      </c>
      <c r="P299" s="40" t="str" cm="1">
        <f t="array" ref="P299">IF(COUNTIF(P70,"*I*"),
   INDEX($C$157:$AJ$157,
     COUNTIFS($C$13:P13, "*")
   ),
"")</f>
        <v/>
      </c>
      <c r="Q299" s="40" t="str" cm="1">
        <f t="array" ref="Q299">IF(COUNTIF(Q70,"*I*"),
   INDEX($C$157:$AJ$157,
     COUNTIFS($C$13:Q13, "*")
   ),
"")</f>
        <v/>
      </c>
      <c r="R299" s="40" t="str" cm="1">
        <f t="array" ref="R299">IF(COUNTIF(R70,"*I*"),
   INDEX($C$157:$AJ$157,
     COUNTIFS($C$13:R13, "*")
   ),
"")</f>
        <v/>
      </c>
      <c r="S299" s="40" t="str" cm="1">
        <f t="array" ref="S299">IF(COUNTIF(S70,"*I*"),
   INDEX($C$157:$AJ$157,
     COUNTIFS($C$13:S13, "*")
   ),
"")</f>
        <v/>
      </c>
      <c r="T299" s="40" t="str" cm="1">
        <f t="array" ref="T299">IF(COUNTIF(T70,"*I*"),
   INDEX($C$157:$AJ$157,
     COUNTIFS($C$13:T13, "*")
   ),
"")</f>
        <v/>
      </c>
      <c r="U299" s="40" t="str" cm="1">
        <f t="array" ref="U299">IF(COUNTIF(U70,"*I*"),
   INDEX($C$157:$AJ$157,
     COUNTIFS($C$13:U13, "*")
   ),
"")</f>
        <v/>
      </c>
      <c r="V299" s="40" t="str" cm="1">
        <f t="array" ref="V299">IF(COUNTIF(V70,"*I*"),
   INDEX($C$157:$AJ$157,
     COUNTIFS($C$13:V13, "*")
   ),
"")</f>
        <v/>
      </c>
      <c r="W299" s="40" t="str" cm="1">
        <f t="array" ref="W299">IF(COUNTIF(W70,"*I*"),
   INDEX($C$157:$AJ$157,
     COUNTIFS($C$13:W13, "*")
   ),
"")</f>
        <v/>
      </c>
      <c r="X299" s="40" t="str" cm="1">
        <f t="array" ref="X299">IF(COUNTIF(X70,"*I*"),
   INDEX($C$157:$AJ$157,
     COUNTIFS($C$13:X13, "*")
   ),
"")</f>
        <v/>
      </c>
      <c r="Y299" s="40" t="str" cm="1">
        <f t="array" ref="Y299">IF(COUNTIF(Y70,"*I*"),
   INDEX($C$157:$AJ$157,
     COUNTIFS($C$13:Y13, "*")
   ),
"")</f>
        <v/>
      </c>
      <c r="Z299" s="40" t="str" cm="1">
        <f t="array" ref="Z299">IF(COUNTIF(Z70,"*I*"),
   INDEX($C$157:$AJ$157,
     COUNTIFS($C$13:Z13, "*")
   ),
"")</f>
        <v/>
      </c>
      <c r="AA299" s="40" t="str" cm="1">
        <f t="array" ref="AA299">IF(COUNTIF(AA70,"*I*"),
   INDEX($C$157:$AJ$157,
     COUNTIFS($C$13:AA13, "*")
   ),
"")</f>
        <v/>
      </c>
      <c r="AB299" s="40" t="str" cm="1">
        <f t="array" ref="AB299">IF(COUNTIF(AB70,"*I*"),
   INDEX($C$157:$AJ$157,
     COUNTIFS($C$13:AB13, "*")
   ),
"")</f>
        <v/>
      </c>
      <c r="AC299" s="40" t="str" cm="1">
        <f t="array" ref="AC299">IF(COUNTIF(AC70,"*I*"),
   INDEX($C$157:$AJ$157,
     COUNTIFS($C$13:AC13, "*")
   ),
"")</f>
        <v/>
      </c>
      <c r="AD299" s="40" t="str" cm="1">
        <f t="array" ref="AD299">IF(COUNTIF(AD70,"*I*"),
   INDEX($C$157:$AJ$157,
     COUNTIFS($C$13:AD13, "*")
   ),
"")</f>
        <v/>
      </c>
      <c r="AE299" s="40" t="str" cm="1">
        <f t="array" ref="AE299">IF(COUNTIF(AE70,"*I*"),
   INDEX($C$157:$AJ$157,
     COUNTIFS($C$13:AE13, "*")
   ),
"")</f>
        <v/>
      </c>
      <c r="AF299" s="40" t="str" cm="1">
        <f t="array" ref="AF299">IF(COUNTIF(AF70,"*I*"),
   INDEX($C$157:$AJ$157,
     COUNTIFS($C$13:AF13, "*")
   ),
"")</f>
        <v/>
      </c>
      <c r="AG299" s="40" t="str" cm="1">
        <f t="array" ref="AG299">IF(COUNTIF(AG70,"*I*"),
   INDEX($C$157:$AJ$157,
     COUNTIFS($C$13:AG13, "*")
   ),
"")</f>
        <v/>
      </c>
      <c r="AH299" s="40" t="str" cm="1">
        <f t="array" ref="AH299">IF(COUNTIF(AH70,"*I*"),
   INDEX($C$157:$AJ$157,
     COUNTIFS($C$13:AH13, "*")
   ),
"")</f>
        <v/>
      </c>
      <c r="AI299" s="40" t="str" cm="1">
        <f t="array" ref="AI299">IF(COUNTIF(AI70,"*I*"),
   INDEX($C$157:$AJ$157,
     COUNTIFS($C$13:AI13, "*")
   ),
"")</f>
        <v/>
      </c>
      <c r="AJ299" s="40" t="str" cm="1">
        <f t="array" ref="AJ299">IF(COUNTIF(AJ70,"*I*"),
   INDEX($C$157:$AJ$157,
     COUNTIFS($C$13:AJ13, "*")
   ),
"")</f>
        <v/>
      </c>
      <c r="AK299" s="62" t="str">
        <f t="shared" si="54"/>
        <v/>
      </c>
    </row>
    <row r="300" spans="1:37" ht="15" customHeight="1" thickBot="1" x14ac:dyDescent="0.4">
      <c r="A300" s="1196"/>
      <c r="B300" s="22">
        <v>11</v>
      </c>
      <c r="C300" s="40" t="str" cm="1">
        <f t="array" ref="C300">IF(COUNTIF(C71,"*I*"),
   INDEX($C$158:$AJ$158,
     COUNTIFS($C$14:C14, "*")
   ),
"")</f>
        <v/>
      </c>
      <c r="D300" s="40" t="str" cm="1">
        <f t="array" ref="D300">IF(COUNTIF(D71,"*I*"),
   INDEX($C$158:$AJ$158,
     COUNTIFS($C$14:D14, "*")
   ),
"")</f>
        <v/>
      </c>
      <c r="E300" s="40" t="str" cm="1">
        <f t="array" ref="E300">IF(COUNTIF(E71,"*I*"),
   INDEX($C$158:$AJ$158,
     COUNTIFS($C$14:E14, "*")
   ),
"")</f>
        <v/>
      </c>
      <c r="F300" s="40" t="str" cm="1">
        <f t="array" ref="F300">IF(COUNTIF(F71,"*I*"),
   INDEX($C$158:$AJ$158,
     COUNTIFS($C$14:F14, "*")
   ),
"")</f>
        <v/>
      </c>
      <c r="G300" s="40" t="str" cm="1">
        <f t="array" ref="G300">IF(COUNTIF(G71,"*I*"),
   INDEX($C$158:$AJ$158,
     COUNTIFS($C$14:G14, "*")
   ),
"")</f>
        <v/>
      </c>
      <c r="H300" s="40" t="str" cm="1">
        <f t="array" ref="H300">IF(COUNTIF(H71,"*I*"),
   INDEX($C$158:$AJ$158,
     COUNTIFS($C$14:H14, "*")
   ),
"")</f>
        <v/>
      </c>
      <c r="I300" s="40" t="str" cm="1">
        <f t="array" ref="I300">IF(COUNTIF(I71,"*I*"),
   INDEX($C$158:$AJ$158,
     COUNTIFS($C$14:I14, "*")
   ),
"")</f>
        <v/>
      </c>
      <c r="J300" s="40" t="str" cm="1">
        <f t="array" ref="J300">IF(COUNTIF(J71,"*I*"),
   INDEX($C$158:$AJ$158,
     COUNTIFS($C$14:J14, "*")
   ),
"")</f>
        <v/>
      </c>
      <c r="K300" s="40" t="str" cm="1">
        <f t="array" ref="K300">IF(COUNTIF(K71,"*I*"),
   INDEX($C$158:$AJ$158,
     COUNTIFS($C$14:K14, "*")
   ),
"")</f>
        <v/>
      </c>
      <c r="L300" s="40" t="str" cm="1">
        <f t="array" ref="L300">IF(COUNTIF(L71,"*I*"),
   INDEX($C$158:$AJ$158,
     COUNTIFS($C$14:L14, "*")
   ),
"")</f>
        <v/>
      </c>
      <c r="M300" s="40" t="str" cm="1">
        <f t="array" ref="M300">IF(COUNTIF(M71,"*I*"),
   INDEX($C$158:$AJ$158,
     COUNTIFS($C$14:M14, "*")
   ),
"")</f>
        <v/>
      </c>
      <c r="N300" s="40" t="str" cm="1">
        <f t="array" ref="N300">IF(COUNTIF(N71,"*I*"),
   INDEX($C$158:$AJ$158,
     COUNTIFS($C$14:N14, "*")
   ),
"")</f>
        <v/>
      </c>
      <c r="O300" s="40" t="str" cm="1">
        <f t="array" ref="O300">IF(COUNTIF(O71,"*I*"),
   INDEX($C$158:$AJ$158,
     COUNTIFS($C$14:O14, "*")
   ),
"")</f>
        <v/>
      </c>
      <c r="P300" s="40" t="str" cm="1">
        <f t="array" ref="P300">IF(COUNTIF(P71,"*I*"),
   INDEX($C$158:$AJ$158,
     COUNTIFS($C$14:P14, "*")
   ),
"")</f>
        <v/>
      </c>
      <c r="Q300" s="40" t="str" cm="1">
        <f t="array" ref="Q300">IF(COUNTIF(Q71,"*I*"),
   INDEX($C$158:$AJ$158,
     COUNTIFS($C$14:Q14, "*")
   ),
"")</f>
        <v/>
      </c>
      <c r="R300" s="40" t="str" cm="1">
        <f t="array" ref="R300">IF(COUNTIF(R71,"*I*"),
   INDEX($C$158:$AJ$158,
     COUNTIFS($C$14:R14, "*")
   ),
"")</f>
        <v/>
      </c>
      <c r="S300" s="40" t="str" cm="1">
        <f t="array" ref="S300">IF(COUNTIF(S71,"*I*"),
   INDEX($C$158:$AJ$158,
     COUNTIFS($C$14:S14, "*")
   ),
"")</f>
        <v/>
      </c>
      <c r="T300" s="40" t="str" cm="1">
        <f t="array" ref="T300">IF(COUNTIF(T71,"*I*"),
   INDEX($C$158:$AJ$158,
     COUNTIFS($C$14:T14, "*")
   ),
"")</f>
        <v/>
      </c>
      <c r="U300" s="40" t="str" cm="1">
        <f t="array" ref="U300">IF(COUNTIF(U71,"*I*"),
   INDEX($C$158:$AJ$158,
     COUNTIFS($C$14:U14, "*")
   ),
"")</f>
        <v/>
      </c>
      <c r="V300" s="40" t="str" cm="1">
        <f t="array" ref="V300">IF(COUNTIF(V71,"*I*"),
   INDEX($C$158:$AJ$158,
     COUNTIFS($C$14:V14, "*")
   ),
"")</f>
        <v/>
      </c>
      <c r="W300" s="40" t="str" cm="1">
        <f t="array" ref="W300">IF(COUNTIF(W71,"*I*"),
   INDEX($C$158:$AJ$158,
     COUNTIFS($C$14:W14, "*")
   ),
"")</f>
        <v/>
      </c>
      <c r="X300" s="40" t="str" cm="1">
        <f t="array" ref="X300">IF(COUNTIF(X71,"*I*"),
   INDEX($C$158:$AJ$158,
     COUNTIFS($C$14:X14, "*")
   ),
"")</f>
        <v/>
      </c>
      <c r="Y300" s="40" t="str" cm="1">
        <f t="array" ref="Y300">IF(COUNTIF(Y71,"*I*"),
   INDEX($C$158:$AJ$158,
     COUNTIFS($C$14:Y14, "*")
   ),
"")</f>
        <v/>
      </c>
      <c r="Z300" s="40" t="str" cm="1">
        <f t="array" ref="Z300">IF(COUNTIF(Z71,"*I*"),
   INDEX($C$158:$AJ$158,
     COUNTIFS($C$14:Z14, "*")
   ),
"")</f>
        <v/>
      </c>
      <c r="AA300" s="40" t="str" cm="1">
        <f t="array" ref="AA300">IF(COUNTIF(AA71,"*I*"),
   INDEX($C$158:$AJ$158,
     COUNTIFS($C$14:AA14, "*")
   ),
"")</f>
        <v/>
      </c>
      <c r="AB300" s="40" t="str" cm="1">
        <f t="array" ref="AB300">IF(COUNTIF(AB71,"*I*"),
   INDEX($C$158:$AJ$158,
     COUNTIFS($C$14:AB14, "*")
   ),
"")</f>
        <v/>
      </c>
      <c r="AC300" s="40" t="str" cm="1">
        <f t="array" ref="AC300">IF(COUNTIF(AC71,"*I*"),
   INDEX($C$158:$AJ$158,
     COUNTIFS($C$14:AC14, "*")
   ),
"")</f>
        <v/>
      </c>
      <c r="AD300" s="40" t="str" cm="1">
        <f t="array" ref="AD300">IF(COUNTIF(AD71,"*I*"),
   INDEX($C$158:$AJ$158,
     COUNTIFS($C$14:AD14, "*")
   ),
"")</f>
        <v/>
      </c>
      <c r="AE300" s="40" t="str" cm="1">
        <f t="array" ref="AE300">IF(COUNTIF(AE71,"*I*"),
   INDEX($C$158:$AJ$158,
     COUNTIFS($C$14:AE14, "*")
   ),
"")</f>
        <v/>
      </c>
      <c r="AF300" s="40" t="str" cm="1">
        <f t="array" ref="AF300">IF(COUNTIF(AF71,"*I*"),
   INDEX($C$158:$AJ$158,
     COUNTIFS($C$14:AF14, "*")
   ),
"")</f>
        <v/>
      </c>
      <c r="AG300" s="40" t="str" cm="1">
        <f t="array" ref="AG300">IF(COUNTIF(AG71,"*I*"),
   INDEX($C$158:$AJ$158,
     COUNTIFS($C$14:AG14, "*")
   ),
"")</f>
        <v/>
      </c>
      <c r="AH300" s="40" t="str" cm="1">
        <f t="array" ref="AH300">IF(COUNTIF(AH71,"*I*"),
   INDEX($C$158:$AJ$158,
     COUNTIFS($C$14:AH14, "*")
   ),
"")</f>
        <v/>
      </c>
      <c r="AI300" s="40" t="str" cm="1">
        <f t="array" ref="AI300">IF(COUNTIF(AI71,"*I*"),
   INDEX($C$158:$AJ$158,
     COUNTIFS($C$14:AI14, "*")
   ),
"")</f>
        <v/>
      </c>
      <c r="AJ300" s="40" t="str" cm="1">
        <f t="array" ref="AJ300">IF(COUNTIF(AJ71,"*I*"),
   INDEX($C$158:$AJ$158,
     COUNTIFS($C$14:AJ14, "*")
   ),
"")</f>
        <v/>
      </c>
      <c r="AK300" s="62" t="str">
        <f t="shared" si="54"/>
        <v/>
      </c>
    </row>
    <row r="301" spans="1:37" ht="15.75" customHeight="1" thickBot="1" x14ac:dyDescent="0.4">
      <c r="A301" s="1197"/>
      <c r="B301" s="23">
        <v>12</v>
      </c>
      <c r="C301" s="40" t="str" cm="1">
        <f t="array" ref="C301">IF(COUNTIF(C72,"*I*"),
   INDEX($C$159:$AJ$159,
     COUNTIFS($C$15:C15, "*")
   ),
"")</f>
        <v/>
      </c>
      <c r="D301" s="40" t="str" cm="1">
        <f t="array" ref="D301">IF(COUNTIF(D72,"*I*"),
   INDEX($C$159:$AJ$159,
     COUNTIFS($C$15:D15, "*")
   ),
"")</f>
        <v/>
      </c>
      <c r="E301" s="40" t="str" cm="1">
        <f t="array" ref="E301">IF(COUNTIF(E72,"*I*"),
   INDEX($C$159:$AJ$159,
     COUNTIFS($C$15:E15, "*")
   ),
"")</f>
        <v/>
      </c>
      <c r="F301" s="40" t="str" cm="1">
        <f t="array" ref="F301">IF(COUNTIF(F72,"*I*"),
   INDEX($C$159:$AJ$159,
     COUNTIFS($C$15:F15, "*")
   ),
"")</f>
        <v/>
      </c>
      <c r="G301" s="40" t="str" cm="1">
        <f t="array" ref="G301">IF(COUNTIF(G72,"*I*"),
   INDEX($C$159:$AJ$159,
     COUNTIFS($C$15:G15, "*")
   ),
"")</f>
        <v/>
      </c>
      <c r="H301" s="40" t="str" cm="1">
        <f t="array" ref="H301">IF(COUNTIF(H72,"*I*"),
   INDEX($C$159:$AJ$159,
     COUNTIFS($C$15:H15, "*")
   ),
"")</f>
        <v/>
      </c>
      <c r="I301" s="40" t="str" cm="1">
        <f t="array" ref="I301">IF(COUNTIF(I72,"*I*"),
   INDEX($C$159:$AJ$159,
     COUNTIFS($C$15:I15, "*")
   ),
"")</f>
        <v/>
      </c>
      <c r="J301" s="40" t="str" cm="1">
        <f t="array" ref="J301">IF(COUNTIF(J72,"*I*"),
   INDEX($C$159:$AJ$159,
     COUNTIFS($C$15:J15, "*")
   ),
"")</f>
        <v/>
      </c>
      <c r="K301" s="40" t="str" cm="1">
        <f t="array" ref="K301">IF(COUNTIF(K72,"*I*"),
   INDEX($C$159:$AJ$159,
     COUNTIFS($C$15:K15, "*")
   ),
"")</f>
        <v/>
      </c>
      <c r="L301" s="40" t="str" cm="1">
        <f t="array" ref="L301">IF(COUNTIF(L72,"*I*"),
   INDEX($C$159:$AJ$159,
     COUNTIFS($C$15:L15, "*")
   ),
"")</f>
        <v/>
      </c>
      <c r="M301" s="40" t="str" cm="1">
        <f t="array" ref="M301">IF(COUNTIF(M72,"*I*"),
   INDEX($C$159:$AJ$159,
     COUNTIFS($C$15:M15, "*")
   ),
"")</f>
        <v/>
      </c>
      <c r="N301" s="40" t="str" cm="1">
        <f t="array" ref="N301">IF(COUNTIF(N72,"*I*"),
   INDEX($C$159:$AJ$159,
     COUNTIFS($C$15:N15, "*")
   ),
"")</f>
        <v/>
      </c>
      <c r="O301" s="40" t="str" cm="1">
        <f t="array" ref="O301">IF(COUNTIF(O72,"*I*"),
   INDEX($C$159:$AJ$159,
     COUNTIFS($C$15:O15, "*")
   ),
"")</f>
        <v/>
      </c>
      <c r="P301" s="40" t="str" cm="1">
        <f t="array" ref="P301">IF(COUNTIF(P72,"*I*"),
   INDEX($C$159:$AJ$159,
     COUNTIFS($C$15:P15, "*")
   ),
"")</f>
        <v/>
      </c>
      <c r="Q301" s="40" t="str" cm="1">
        <f t="array" ref="Q301">IF(COUNTIF(Q72,"*I*"),
   INDEX($C$159:$AJ$159,
     COUNTIFS($C$15:Q15, "*")
   ),
"")</f>
        <v/>
      </c>
      <c r="R301" s="40" t="str" cm="1">
        <f t="array" ref="R301">IF(COUNTIF(R72,"*I*"),
   INDEX($C$159:$AJ$159,
     COUNTIFS($C$15:R15, "*")
   ),
"")</f>
        <v/>
      </c>
      <c r="S301" s="40" t="str" cm="1">
        <f t="array" ref="S301">IF(COUNTIF(S72,"*I*"),
   INDEX($C$159:$AJ$159,
     COUNTIFS($C$15:S15, "*")
   ),
"")</f>
        <v/>
      </c>
      <c r="T301" s="40" t="str" cm="1">
        <f t="array" ref="T301">IF(COUNTIF(T72,"*I*"),
   INDEX($C$159:$AJ$159,
     COUNTIFS($C$15:T15, "*")
   ),
"")</f>
        <v/>
      </c>
      <c r="U301" s="40" t="str" cm="1">
        <f t="array" ref="U301">IF(COUNTIF(U72,"*I*"),
   INDEX($C$159:$AJ$159,
     COUNTIFS($C$15:U15, "*")
   ),
"")</f>
        <v/>
      </c>
      <c r="V301" s="40" t="str" cm="1">
        <f t="array" ref="V301">IF(COUNTIF(V72,"*I*"),
   INDEX($C$159:$AJ$159,
     COUNTIFS($C$15:V15, "*")
   ),
"")</f>
        <v/>
      </c>
      <c r="W301" s="40" t="str" cm="1">
        <f t="array" ref="W301">IF(COUNTIF(W72,"*I*"),
   INDEX($C$159:$AJ$159,
     COUNTIFS($C$15:W15, "*")
   ),
"")</f>
        <v/>
      </c>
      <c r="X301" s="40" t="str" cm="1">
        <f t="array" ref="X301">IF(COUNTIF(X72,"*I*"),
   INDEX($C$159:$AJ$159,
     COUNTIFS($C$15:X15, "*")
   ),
"")</f>
        <v/>
      </c>
      <c r="Y301" s="40" t="str" cm="1">
        <f t="array" ref="Y301">IF(COUNTIF(Y72,"*I*"),
   INDEX($C$159:$AJ$159,
     COUNTIFS($C$15:Y15, "*")
   ),
"")</f>
        <v/>
      </c>
      <c r="Z301" s="40" t="str" cm="1">
        <f t="array" ref="Z301">IF(COUNTIF(Z72,"*I*"),
   INDEX($C$159:$AJ$159,
     COUNTIFS($C$15:Z15, "*")
   ),
"")</f>
        <v/>
      </c>
      <c r="AA301" s="40" t="str" cm="1">
        <f t="array" ref="AA301">IF(COUNTIF(AA72,"*I*"),
   INDEX($C$159:$AJ$159,
     COUNTIFS($C$15:AA15, "*")
   ),
"")</f>
        <v/>
      </c>
      <c r="AB301" s="40" t="str" cm="1">
        <f t="array" ref="AB301">IF(COUNTIF(AB72,"*I*"),
   INDEX($C$159:$AJ$159,
     COUNTIFS($C$15:AB15, "*")
   ),
"")</f>
        <v/>
      </c>
      <c r="AC301" s="40" t="str" cm="1">
        <f t="array" ref="AC301">IF(COUNTIF(AC72,"*I*"),
   INDEX($C$159:$AJ$159,
     COUNTIFS($C$15:AC15, "*")
   ),
"")</f>
        <v/>
      </c>
      <c r="AD301" s="40" t="str" cm="1">
        <f t="array" ref="AD301">IF(COUNTIF(AD72,"*I*"),
   INDEX($C$159:$AJ$159,
     COUNTIFS($C$15:AD15, "*")
   ),
"")</f>
        <v/>
      </c>
      <c r="AE301" s="40" t="str" cm="1">
        <f t="array" ref="AE301">IF(COUNTIF(AE72,"*I*"),
   INDEX($C$159:$AJ$159,
     COUNTIFS($C$15:AE15, "*")
   ),
"")</f>
        <v/>
      </c>
      <c r="AF301" s="40" t="str" cm="1">
        <f t="array" ref="AF301">IF(COUNTIF(AF72,"*I*"),
   INDEX($C$159:$AJ$159,
     COUNTIFS($C$15:AF15, "*")
   ),
"")</f>
        <v/>
      </c>
      <c r="AG301" s="40" t="str" cm="1">
        <f t="array" ref="AG301">IF(COUNTIF(AG72,"*I*"),
   INDEX($C$159:$AJ$159,
     COUNTIFS($C$15:AG15, "*")
   ),
"")</f>
        <v/>
      </c>
      <c r="AH301" s="40" t="str" cm="1">
        <f t="array" ref="AH301">IF(COUNTIF(AH72,"*I*"),
   INDEX($C$159:$AJ$159,
     COUNTIFS($C$15:AH15, "*")
   ),
"")</f>
        <v/>
      </c>
      <c r="AI301" s="40" t="str" cm="1">
        <f t="array" ref="AI301">IF(COUNTIF(AI72,"*I*"),
   INDEX($C$159:$AJ$159,
     COUNTIFS($C$15:AI15, "*")
   ),
"")</f>
        <v/>
      </c>
      <c r="AJ301" s="40" t="str" cm="1">
        <f t="array" ref="AJ301">IF(COUNTIF(AJ72,"*I*"),
   INDEX($C$159:$AJ$159,
     COUNTIFS($C$15:AJ15, "*")
   ),
"")</f>
        <v/>
      </c>
      <c r="AK301" s="62" t="str">
        <f t="shared" si="54"/>
        <v/>
      </c>
    </row>
    <row r="302" spans="1:37" ht="15" customHeight="1" x14ac:dyDescent="0.35">
      <c r="AK302" s="63" t="str">
        <f>SUBSTITUTE(CONCATENATE(AK290,AK291,AK292,AK293,AK294,AK295,AK296,AK297,AK298,AK299,AK300,AK301),"P","I")</f>
        <v/>
      </c>
    </row>
    <row r="303" spans="1:37" ht="15" customHeight="1" x14ac:dyDescent="0.35">
      <c r="AK303" s="63" t="s">
        <v>714</v>
      </c>
    </row>
    <row r="304" spans="1:37" ht="15" customHeight="1" x14ac:dyDescent="0.35">
      <c r="AK304" s="63" t="s">
        <v>714</v>
      </c>
    </row>
    <row r="305" spans="1:37" ht="15.75" customHeight="1" thickBot="1" x14ac:dyDescent="0.4">
      <c r="AK305" s="64" t="str">
        <f>IF(AK302&lt;&gt;"",IF(LEN(AK302)&lt;9,CONCATENATE(AK303,LEFT(AK302,4),"."),IF(LEN(AK302&gt;6),LEFT(CONCATENATE(AK304,LEFT(AK302,LEN(AK302)-10),SUBSTITUTE(RIGHT(AK302,10),", "," and ")),LEN(CONCATENATE(AK304,LEFT(AK302,LEN(AK302)-10),SUBSTITUTE(RIGHT(AK302,10),", "," and ")))-5)&amp;". ")),"")</f>
        <v/>
      </c>
    </row>
    <row r="306" spans="1:37" ht="15" customHeight="1" x14ac:dyDescent="0.35"/>
    <row r="307" spans="1:37" ht="15" customHeight="1" x14ac:dyDescent="0.35"/>
    <row r="308" spans="1:37" ht="15.75" customHeight="1" thickBot="1" x14ac:dyDescent="0.4">
      <c r="C308" s="1201" t="s">
        <v>710</v>
      </c>
      <c r="D308" s="1201"/>
      <c r="E308" s="1201"/>
      <c r="F308" s="1201"/>
      <c r="G308" s="1201"/>
      <c r="H308" s="1201"/>
      <c r="I308" s="1201"/>
      <c r="J308" s="1201"/>
      <c r="K308" s="1201"/>
      <c r="L308" s="1201"/>
      <c r="M308" s="1201"/>
      <c r="N308" s="1201"/>
      <c r="O308" s="1201"/>
      <c r="P308" s="1201"/>
      <c r="Q308" s="1201"/>
      <c r="R308" s="1201"/>
      <c r="S308" s="1201"/>
      <c r="T308" s="1201"/>
      <c r="U308" s="1201"/>
      <c r="V308" s="1201"/>
      <c r="W308" s="1201"/>
      <c r="X308" s="1201"/>
      <c r="Y308" s="1201"/>
      <c r="Z308" s="1201"/>
      <c r="AA308" s="1201"/>
      <c r="AB308" s="1201"/>
      <c r="AC308" s="1201"/>
      <c r="AD308" s="1201"/>
      <c r="AE308" s="1201"/>
      <c r="AF308" s="1201"/>
      <c r="AG308" s="1201"/>
      <c r="AH308" s="1201"/>
      <c r="AI308" s="1201"/>
    </row>
    <row r="309" spans="1:37" ht="15" customHeight="1" x14ac:dyDescent="0.35">
      <c r="A309" s="1202"/>
      <c r="B309" s="1203"/>
      <c r="C309" s="1207" t="s">
        <v>17</v>
      </c>
      <c r="D309" s="1207"/>
      <c r="E309" s="1207"/>
      <c r="F309" s="1207"/>
      <c r="G309" s="1207"/>
      <c r="H309" s="1207"/>
      <c r="I309" s="1207"/>
      <c r="J309" s="1207"/>
      <c r="K309" s="1207"/>
      <c r="L309" s="1207"/>
      <c r="M309" s="1207"/>
      <c r="N309" s="1207"/>
      <c r="O309" s="1207"/>
      <c r="P309" s="1207"/>
      <c r="Q309" s="1207"/>
      <c r="R309" s="1207"/>
      <c r="S309" s="1207"/>
      <c r="T309" s="1207"/>
      <c r="U309" s="1207"/>
      <c r="V309" s="1208"/>
      <c r="W309" s="6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8"/>
    </row>
    <row r="310" spans="1:37" ht="15.75" customHeight="1" thickBot="1" x14ac:dyDescent="0.4">
      <c r="A310" s="1204"/>
      <c r="B310" s="1205"/>
      <c r="C310" s="16">
        <v>1</v>
      </c>
      <c r="D310" s="17">
        <v>2</v>
      </c>
      <c r="E310" s="17">
        <v>3</v>
      </c>
      <c r="F310" s="17">
        <v>4</v>
      </c>
      <c r="G310" s="17">
        <v>5</v>
      </c>
      <c r="H310" s="17">
        <v>6</v>
      </c>
      <c r="I310" s="17">
        <v>7</v>
      </c>
      <c r="J310" s="17">
        <v>8</v>
      </c>
      <c r="K310" s="17">
        <v>9</v>
      </c>
      <c r="L310" s="17">
        <v>10</v>
      </c>
      <c r="M310" s="17">
        <v>11</v>
      </c>
      <c r="N310" s="17">
        <v>12</v>
      </c>
      <c r="O310" s="17">
        <v>13</v>
      </c>
      <c r="P310" s="17">
        <v>14</v>
      </c>
      <c r="Q310" s="17">
        <v>15</v>
      </c>
      <c r="R310" s="17">
        <v>16</v>
      </c>
      <c r="S310" s="17">
        <v>17</v>
      </c>
      <c r="T310" s="17">
        <v>18</v>
      </c>
      <c r="U310" s="17">
        <v>19</v>
      </c>
      <c r="V310" s="18">
        <v>20</v>
      </c>
      <c r="W310" s="17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20"/>
    </row>
    <row r="311" spans="1:37" ht="15" customHeight="1" thickBot="1" x14ac:dyDescent="0.4">
      <c r="A311" s="1196" t="s">
        <v>18</v>
      </c>
      <c r="B311" s="21">
        <v>1</v>
      </c>
      <c r="C311" s="40" t="str" cm="1">
        <f t="array" ref="C311">IF(COUNTIF(C61,"*B*"),
   INDEX($C$148:$AJ$148,
     COUNTIFS($C$4:C4, "*")
   ),
"")</f>
        <v/>
      </c>
      <c r="D311" s="40" t="str" cm="1">
        <f t="array" ref="D311">IF(COUNTIF(D61,"*B*"),
   INDEX($C$148:$AJ$148,
     COUNTIFS($C$4:D4, "*")
   ),
"")</f>
        <v/>
      </c>
      <c r="E311" s="40" t="str" cm="1">
        <f t="array" ref="E311">IF(COUNTIF(E61,"*B*"),
   INDEX($C$148:$AJ$148,
     COUNTIFS($C$4:E4, "*")
   ),
"")</f>
        <v/>
      </c>
      <c r="F311" s="40" t="str" cm="1">
        <f t="array" ref="F311">IF(COUNTIF(F61,"*B*"),
   INDEX($C$148:$AJ$148,
     COUNTIFS($C$4:F4, "*")
   ),
"")</f>
        <v/>
      </c>
      <c r="G311" s="40" t="str" cm="1">
        <f t="array" ref="G311">IF(COUNTIF(G61,"*B*"),
   INDEX($C$148:$AJ$148,
     COUNTIFS($C$4:G4, "*")
   ),
"")</f>
        <v/>
      </c>
      <c r="H311" s="40" t="str" cm="1">
        <f t="array" ref="H311">IF(COUNTIF(H61,"*B*"),
   INDEX($C$148:$AJ$148,
     COUNTIFS($C$4:H4, "*")
   ),
"")</f>
        <v/>
      </c>
      <c r="I311" s="40" t="str" cm="1">
        <f t="array" ref="I311">IF(COUNTIF(I61,"*B*"),
   INDEX($C$148:$AJ$148,
     COUNTIFS($C$4:I4, "*")
   ),
"")</f>
        <v/>
      </c>
      <c r="J311" s="40" t="str" cm="1">
        <f t="array" ref="J311">IF(COUNTIF(J61,"*B*"),
   INDEX($C$148:$AJ$148,
     COUNTIFS($C$4:J4, "*")
   ),
"")</f>
        <v/>
      </c>
      <c r="K311" s="40" t="str" cm="1">
        <f t="array" ref="K311">IF(COUNTIF(K61,"*B*"),
   INDEX($C$148:$AJ$148,
     COUNTIFS($C$4:K4, "*")
   ),
"")</f>
        <v/>
      </c>
      <c r="L311" s="40" t="str" cm="1">
        <f t="array" ref="L311">IF(COUNTIF(L61,"*B*"),
   INDEX($C$148:$AJ$148,
     COUNTIFS($C$4:L4, "*")
   ),
"")</f>
        <v/>
      </c>
      <c r="M311" s="40" t="str" cm="1">
        <f t="array" ref="M311">IF(COUNTIF(M61,"*B*"),
   INDEX($C$148:$AJ$148,
     COUNTIFS($C$4:M4, "*")
   ),
"")</f>
        <v/>
      </c>
      <c r="N311" s="40" t="str" cm="1">
        <f t="array" ref="N311">IF(COUNTIF(N61,"*B*"),
   INDEX($C$148:$AJ$148,
     COUNTIFS($C$4:N4, "*")
   ),
"")</f>
        <v/>
      </c>
      <c r="O311" s="40" t="str" cm="1">
        <f t="array" ref="O311">IF(COUNTIF(O61,"*B*"),
   INDEX($C$148:$AJ$148,
     COUNTIFS($C$4:O4, "*")
   ),
"")</f>
        <v/>
      </c>
      <c r="P311" s="40" t="str" cm="1">
        <f t="array" ref="P311">IF(COUNTIF(P61,"*B*"),
   INDEX($C$148:$AJ$148,
     COUNTIFS($C$4:P4, "*")
   ),
"")</f>
        <v/>
      </c>
      <c r="Q311" s="40" t="str" cm="1">
        <f t="array" ref="Q311">IF(COUNTIF(Q61,"*B*"),
   INDEX($C$148:$AJ$148,
     COUNTIFS($C$4:Q4, "*")
   ),
"")</f>
        <v/>
      </c>
      <c r="R311" s="40" t="str" cm="1">
        <f t="array" ref="R311">IF(COUNTIF(R61,"*B*"),
   INDEX($C$148:$AJ$148,
     COUNTIFS($C$4:R4, "*")
   ),
"")</f>
        <v/>
      </c>
      <c r="S311" s="40" t="str" cm="1">
        <f t="array" ref="S311">IF(COUNTIF(S61,"*B*"),
   INDEX($C$148:$AJ$148,
     COUNTIFS($C$4:S4, "*")
   ),
"")</f>
        <v/>
      </c>
      <c r="T311" s="40" t="str" cm="1">
        <f t="array" ref="T311">IF(COUNTIF(T61,"*B*"),
   INDEX($C$148:$AJ$148,
     COUNTIFS($C$4:T4, "*")
   ),
"")</f>
        <v/>
      </c>
      <c r="U311" s="40" t="str" cm="1">
        <f t="array" ref="U311">IF(COUNTIF(U61,"*B*"),
   INDEX($C$148:$AJ$148,
     COUNTIFS($C$4:U4, "*")
   ),
"")</f>
        <v/>
      </c>
      <c r="V311" s="40" t="str" cm="1">
        <f t="array" ref="V311">IF(COUNTIF(V61,"*B*"),
   INDEX($C$148:$AJ$148,
     COUNTIFS($C$4:V4, "*")
   ),
"")</f>
        <v/>
      </c>
      <c r="W311" s="40" t="str" cm="1">
        <f t="array" ref="W311">IF(COUNTIF(W61,"*B*"),
   INDEX($C$148:$AJ$148,
     COUNTIFS($C$4:W4, "*")
   ),
"")</f>
        <v/>
      </c>
      <c r="X311" s="40" t="str" cm="1">
        <f t="array" ref="X311">IF(COUNTIF(X61,"*B*"),
   INDEX($C$148:$AJ$148,
     COUNTIFS($C$4:X4, "*")
   ),
"")</f>
        <v/>
      </c>
      <c r="Y311" s="40" t="str" cm="1">
        <f t="array" ref="Y311">IF(COUNTIF(Y61,"*B*"),
   INDEX($C$148:$AJ$148,
     COUNTIFS($C$4:Y4, "*")
   ),
"")</f>
        <v/>
      </c>
      <c r="Z311" s="40" t="str" cm="1">
        <f t="array" ref="Z311">IF(COUNTIF(Z61,"*B*"),
   INDEX($C$148:$AJ$148,
     COUNTIFS($C$4:Z4, "*")
   ),
"")</f>
        <v/>
      </c>
      <c r="AA311" s="40" t="str" cm="1">
        <f t="array" ref="AA311">IF(COUNTIF(AA61,"*B*"),
   INDEX($C$148:$AJ$148,
     COUNTIFS($C$4:AA4, "*")
   ),
"")</f>
        <v/>
      </c>
      <c r="AB311" s="40" t="str" cm="1">
        <f t="array" ref="AB311">IF(COUNTIF(AB61,"*B*"),
   INDEX($C$148:$AJ$148,
     COUNTIFS($C$4:AB4, "*")
   ),
"")</f>
        <v/>
      </c>
      <c r="AC311" s="40" t="str" cm="1">
        <f t="array" ref="AC311">IF(COUNTIF(AC61,"*B*"),
   INDEX($C$148:$AJ$148,
     COUNTIFS($C$4:AC4, "*")
   ),
"")</f>
        <v/>
      </c>
      <c r="AD311" s="40" t="str" cm="1">
        <f t="array" ref="AD311">IF(COUNTIF(AD61,"*B*"),
   INDEX($C$148:$AJ$148,
     COUNTIFS($C$4:AD4, "*")
   ),
"")</f>
        <v/>
      </c>
      <c r="AE311" s="40" t="str" cm="1">
        <f t="array" ref="AE311">IF(COUNTIF(AE61,"*B*"),
   INDEX($C$148:$AJ$148,
     COUNTIFS($C$4:AE4, "*")
   ),
"")</f>
        <v/>
      </c>
      <c r="AF311" s="40" t="str" cm="1">
        <f t="array" ref="AF311">IF(COUNTIF(AF61,"*B*"),
   INDEX($C$148:$AJ$148,
     COUNTIFS($C$4:AF4, "*")
   ),
"")</f>
        <v/>
      </c>
      <c r="AG311" s="40" t="str" cm="1">
        <f t="array" ref="AG311">IF(COUNTIF(AG61,"*B*"),
   INDEX($C$148:$AJ$148,
     COUNTIFS($C$4:AG4, "*")
   ),
"")</f>
        <v/>
      </c>
      <c r="AH311" s="40" t="str" cm="1">
        <f t="array" ref="AH311">IF(COUNTIF(AH61,"*B*"),
   INDEX($C$148:$AJ$148,
     COUNTIFS($C$4:AH4, "*")
   ),
"")</f>
        <v/>
      </c>
      <c r="AI311" s="40" t="str" cm="1">
        <f t="array" ref="AI311">IF(COUNTIF(AI61,"*B*"),
   INDEX($C$148:$AJ$148,
     COUNTIFS($C$4:AI4, "*")
   ),
"")</f>
        <v/>
      </c>
      <c r="AJ311" s="40" t="str" cm="1">
        <f t="array" ref="AJ311">IF(COUNTIF(AJ61,"*B*"),
   INDEX($C$148:$AJ$148,
     COUNTIFS($C$4:AJ4, "*")
   ),
"")</f>
        <v/>
      </c>
      <c r="AK311" s="62" t="str">
        <f>CONCATENATE(C311,D311,E311,F311,G311,H311,I311,J311,K311,L311,M311,N311,O311,P311,Q311,R311,S311,T311,U311,V311,W311,X311,Y311,Z311,AA311,AB311,AC311,AD311,AE311,AF311,AG311,AH311,AI311,AJ311)</f>
        <v/>
      </c>
    </row>
    <row r="312" spans="1:37" ht="15" customHeight="1" thickBot="1" x14ac:dyDescent="0.4">
      <c r="A312" s="1196"/>
      <c r="B312" s="22">
        <v>2</v>
      </c>
      <c r="C312" s="40" t="str" cm="1">
        <f t="array" ref="C312">IF(COUNTIF(C62,"*B*"),
   INDEX($C$149:$AJ$149,
     COUNTIFS($C$5:C5, "*")
   ),
"")</f>
        <v/>
      </c>
      <c r="D312" s="40" t="str" cm="1">
        <f t="array" ref="D312">IF(COUNTIF(D62,"*B*"),
   INDEX($C$149:$AJ$149,
     COUNTIFS($C$5:D5, "*")
   ),
"")</f>
        <v/>
      </c>
      <c r="E312" s="40" t="str" cm="1">
        <f t="array" ref="E312">IF(COUNTIF(E62,"*B*"),
   INDEX($C$149:$AJ$149,
     COUNTIFS($C$5:E5, "*")
   ),
"")</f>
        <v/>
      </c>
      <c r="F312" s="40" t="str" cm="1">
        <f t="array" ref="F312">IF(COUNTIF(F62,"*B*"),
   INDEX($C$149:$AJ$149,
     COUNTIFS($C$5:F5, "*")
   ),
"")</f>
        <v/>
      </c>
      <c r="G312" s="40" t="str" cm="1">
        <f t="array" ref="G312">IF(COUNTIF(G62,"*B*"),
   INDEX($C$149:$AJ$149,
     COUNTIFS($C$5:G5, "*")
   ),
"")</f>
        <v/>
      </c>
      <c r="H312" s="40" t="str" cm="1">
        <f t="array" ref="H312">IF(COUNTIF(H62,"*B*"),
   INDEX($C$149:$AJ$149,
     COUNTIFS($C$5:H5, "*")
   ),
"")</f>
        <v/>
      </c>
      <c r="I312" s="40" t="str" cm="1">
        <f t="array" ref="I312">IF(COUNTIF(I62,"*B*"),
   INDEX($C$149:$AJ$149,
     COUNTIFS($C$5:I5, "*")
   ),
"")</f>
        <v/>
      </c>
      <c r="J312" s="40" t="str" cm="1">
        <f t="array" ref="J312">IF(COUNTIF(J62,"*B*"),
   INDEX($C$149:$AJ$149,
     COUNTIFS($C$5:J5, "*")
   ),
"")</f>
        <v/>
      </c>
      <c r="K312" s="40" t="str" cm="1">
        <f t="array" ref="K312">IF(COUNTIF(K62,"*B*"),
   INDEX($C$149:$AJ$149,
     COUNTIFS($C$5:K5, "*")
   ),
"")</f>
        <v/>
      </c>
      <c r="L312" s="40" t="str" cm="1">
        <f t="array" ref="L312">IF(COUNTIF(L62,"*B*"),
   INDEX($C$149:$AJ$149,
     COUNTIFS($C$5:L5, "*")
   ),
"")</f>
        <v/>
      </c>
      <c r="M312" s="40" t="str" cm="1">
        <f t="array" ref="M312">IF(COUNTIF(M62,"*B*"),
   INDEX($C$149:$AJ$149,
     COUNTIFS($C$5:M5, "*")
   ),
"")</f>
        <v/>
      </c>
      <c r="N312" s="40" t="str" cm="1">
        <f t="array" ref="N312">IF(COUNTIF(N62,"*B*"),
   INDEX($C$149:$AJ$149,
     COUNTIFS($C$5:N5, "*")
   ),
"")</f>
        <v/>
      </c>
      <c r="O312" s="40" t="str" cm="1">
        <f t="array" ref="O312">IF(COUNTIF(O62,"*B*"),
   INDEX($C$149:$AJ$149,
     COUNTIFS($C$5:O5, "*")
   ),
"")</f>
        <v/>
      </c>
      <c r="P312" s="40" t="str" cm="1">
        <f t="array" ref="P312">IF(COUNTIF(P62,"*B*"),
   INDEX($C$149:$AJ$149,
     COUNTIFS($C$5:P5, "*")
   ),
"")</f>
        <v/>
      </c>
      <c r="Q312" s="40" t="str" cm="1">
        <f t="array" ref="Q312">IF(COUNTIF(Q62,"*B*"),
   INDEX($C$149:$AJ$149,
     COUNTIFS($C$5:Q5, "*")
   ),
"")</f>
        <v/>
      </c>
      <c r="R312" s="40" t="str" cm="1">
        <f t="array" ref="R312">IF(COUNTIF(R62,"*B*"),
   INDEX($C$149:$AJ$149,
     COUNTIFS($C$5:R5, "*")
   ),
"")</f>
        <v/>
      </c>
      <c r="S312" s="40" t="str" cm="1">
        <f t="array" ref="S312">IF(COUNTIF(S62,"*B*"),
   INDEX($C$149:$AJ$149,
     COUNTIFS($C$5:S5, "*")
   ),
"")</f>
        <v/>
      </c>
      <c r="T312" s="40" t="str" cm="1">
        <f t="array" ref="T312">IF(COUNTIF(T62,"*B*"),
   INDEX($C$149:$AJ$149,
     COUNTIFS($C$5:T5, "*")
   ),
"")</f>
        <v/>
      </c>
      <c r="U312" s="40" t="str" cm="1">
        <f t="array" ref="U312">IF(COUNTIF(U62,"*B*"),
   INDEX($C$149:$AJ$149,
     COUNTIFS($C$5:U5, "*")
   ),
"")</f>
        <v/>
      </c>
      <c r="V312" s="40" t="str" cm="1">
        <f t="array" ref="V312">IF(COUNTIF(V62,"*B*"),
   INDEX($C$149:$AJ$149,
     COUNTIFS($C$5:V5, "*")
   ),
"")</f>
        <v/>
      </c>
      <c r="W312" s="40" t="str" cm="1">
        <f t="array" ref="W312">IF(COUNTIF(W62,"*B*"),
   INDEX($C$149:$AJ$149,
     COUNTIFS($C$5:W5, "*")
   ),
"")</f>
        <v/>
      </c>
      <c r="X312" s="40" t="str" cm="1">
        <f t="array" ref="X312">IF(COUNTIF(X62,"*B*"),
   INDEX($C$149:$AJ$149,
     COUNTIFS($C$5:X5, "*")
   ),
"")</f>
        <v/>
      </c>
      <c r="Y312" s="40" t="str" cm="1">
        <f t="array" ref="Y312">IF(COUNTIF(Y62,"*B*"),
   INDEX($C$149:$AJ$149,
     COUNTIFS($C$5:Y5, "*")
   ),
"")</f>
        <v/>
      </c>
      <c r="Z312" s="40" t="str" cm="1">
        <f t="array" ref="Z312">IF(COUNTIF(Z62,"*B*"),
   INDEX($C$149:$AJ$149,
     COUNTIFS($C$5:Z5, "*")
   ),
"")</f>
        <v/>
      </c>
      <c r="AA312" s="40" t="str" cm="1">
        <f t="array" ref="AA312">IF(COUNTIF(AA62,"*B*"),
   INDEX($C$149:$AJ$149,
     COUNTIFS($C$5:AA5, "*")
   ),
"")</f>
        <v/>
      </c>
      <c r="AB312" s="40" t="str" cm="1">
        <f t="array" ref="AB312">IF(COUNTIF(AB62,"*B*"),
   INDEX($C$149:$AJ$149,
     COUNTIFS($C$5:AB5, "*")
   ),
"")</f>
        <v/>
      </c>
      <c r="AC312" s="40" t="str" cm="1">
        <f t="array" ref="AC312">IF(COUNTIF(AC62,"*B*"),
   INDEX($C$149:$AJ$149,
     COUNTIFS($C$5:AC5, "*")
   ),
"")</f>
        <v/>
      </c>
      <c r="AD312" s="40" t="str" cm="1">
        <f t="array" ref="AD312">IF(COUNTIF(AD62,"*B*"),
   INDEX($C$149:$AJ$149,
     COUNTIFS($C$5:AD5, "*")
   ),
"")</f>
        <v/>
      </c>
      <c r="AE312" s="40" t="str" cm="1">
        <f t="array" ref="AE312">IF(COUNTIF(AE62,"*B*"),
   INDEX($C$149:$AJ$149,
     COUNTIFS($C$5:AE5, "*")
   ),
"")</f>
        <v/>
      </c>
      <c r="AF312" s="40" t="str" cm="1">
        <f t="array" ref="AF312">IF(COUNTIF(AF62,"*B*"),
   INDEX($C$149:$AJ$149,
     COUNTIFS($C$5:AF5, "*")
   ),
"")</f>
        <v/>
      </c>
      <c r="AG312" s="40" t="str" cm="1">
        <f t="array" ref="AG312">IF(COUNTIF(AG62,"*B*"),
   INDEX($C$149:$AJ$149,
     COUNTIFS($C$5:AG5, "*")
   ),
"")</f>
        <v/>
      </c>
      <c r="AH312" s="40" t="str" cm="1">
        <f t="array" ref="AH312">IF(COUNTIF(AH62,"*B*"),
   INDEX($C$149:$AJ$149,
     COUNTIFS($C$5:AH5, "*")
   ),
"")</f>
        <v/>
      </c>
      <c r="AI312" s="40" t="str" cm="1">
        <f t="array" ref="AI312">IF(COUNTIF(AI62,"*B*"),
   INDEX($C$149:$AJ$149,
     COUNTIFS($C$5:AI5, "*")
   ),
"")</f>
        <v/>
      </c>
      <c r="AJ312" s="40" t="str" cm="1">
        <f t="array" ref="AJ312">IF(COUNTIF(AJ62,"*B*"),
   INDEX($C$149:$AJ$149,
     COUNTIFS($C$5:AJ5, "*")
   ),
"")</f>
        <v/>
      </c>
      <c r="AK312" s="62" t="str">
        <f t="shared" ref="AK312:AK322" si="55">CONCATENATE(C312,D312,E312,F312,G312,H312,I312,J312,K312,L312,M312,N312,O312,P312,Q312,R312,S312,T312,U312,V312,W312,X312,Y312,Z312,AA312,AB312,AC312,AD312,AE312,AF312,AG312,AH312,AI312,AJ312)</f>
        <v/>
      </c>
    </row>
    <row r="313" spans="1:37" ht="15" customHeight="1" thickBot="1" x14ac:dyDescent="0.4">
      <c r="A313" s="1196"/>
      <c r="B313" s="22">
        <v>3</v>
      </c>
      <c r="C313" s="40" t="str" cm="1">
        <f t="array" ref="C313">IF(COUNTIF(C63,"*B*"),
   INDEX($C$150:$AJ$150,
     COUNTIFS($C$6:C6, "*")
   ),
"")</f>
        <v/>
      </c>
      <c r="D313" s="40" t="str" cm="1">
        <f t="array" ref="D313">IF(COUNTIF(D63,"*B*"),
   INDEX($C$150:$AJ$150,
     COUNTIFS($C$6:D6, "*")
   ),
"")</f>
        <v/>
      </c>
      <c r="E313" s="40" t="str" cm="1">
        <f t="array" ref="E313">IF(COUNTIF(E63,"*B*"),
   INDEX($C$150:$AJ$150,
     COUNTIFS($C$6:E6, "*")
   ),
"")</f>
        <v/>
      </c>
      <c r="F313" s="40" t="str" cm="1">
        <f t="array" ref="F313">IF(COUNTIF(F63,"*B*"),
   INDEX($C$150:$AJ$150,
     COUNTIFS($C$6:F6, "*")
   ),
"")</f>
        <v/>
      </c>
      <c r="G313" s="40" t="str" cm="1">
        <f t="array" ref="G313">IF(COUNTIF(G63,"*B*"),
   INDEX($C$150:$AJ$150,
     COUNTIFS($C$6:G6, "*")
   ),
"")</f>
        <v/>
      </c>
      <c r="H313" s="40" t="str" cm="1">
        <f t="array" ref="H313">IF(COUNTIF(H63,"*B*"),
   INDEX($C$150:$AJ$150,
     COUNTIFS($C$6:H6, "*")
   ),
"")</f>
        <v/>
      </c>
      <c r="I313" s="40" t="str" cm="1">
        <f t="array" ref="I313">IF(COUNTIF(I63,"*B*"),
   INDEX($C$150:$AJ$150,
     COUNTIFS($C$6:I6, "*")
   ),
"")</f>
        <v/>
      </c>
      <c r="J313" s="40" t="str" cm="1">
        <f t="array" ref="J313">IF(COUNTIF(J63,"*B*"),
   INDEX($C$150:$AJ$150,
     COUNTIFS($C$6:J6, "*")
   ),
"")</f>
        <v/>
      </c>
      <c r="K313" s="40" t="str" cm="1">
        <f t="array" ref="K313">IF(COUNTIF(K63,"*B*"),
   INDEX($C$150:$AJ$150,
     COUNTIFS($C$6:K6, "*")
   ),
"")</f>
        <v/>
      </c>
      <c r="L313" s="40" t="str" cm="1">
        <f t="array" ref="L313">IF(COUNTIF(L63,"*B*"),
   INDEX($C$150:$AJ$150,
     COUNTIFS($C$6:L6, "*")
   ),
"")</f>
        <v/>
      </c>
      <c r="M313" s="40" t="str" cm="1">
        <f t="array" ref="M313">IF(COUNTIF(M63,"*B*"),
   INDEX($C$150:$AJ$150,
     COUNTIFS($C$6:M6, "*")
   ),
"")</f>
        <v/>
      </c>
      <c r="N313" s="40" t="str" cm="1">
        <f t="array" ref="N313">IF(COUNTIF(N63,"*B*"),
   INDEX($C$150:$AJ$150,
     COUNTIFS($C$6:N6, "*")
   ),
"")</f>
        <v/>
      </c>
      <c r="O313" s="40" t="str" cm="1">
        <f t="array" ref="O313">IF(COUNTIF(O63,"*B*"),
   INDEX($C$150:$AJ$150,
     COUNTIFS($C$6:O6, "*")
   ),
"")</f>
        <v/>
      </c>
      <c r="P313" s="40" t="str" cm="1">
        <f t="array" ref="P313">IF(COUNTIF(P63,"*B*"),
   INDEX($C$150:$AJ$150,
     COUNTIFS($C$6:P6, "*")
   ),
"")</f>
        <v/>
      </c>
      <c r="Q313" s="40" t="str" cm="1">
        <f t="array" ref="Q313">IF(COUNTIF(Q63,"*B*"),
   INDEX($C$150:$AJ$150,
     COUNTIFS($C$6:Q6, "*")
   ),
"")</f>
        <v/>
      </c>
      <c r="R313" s="40" t="str" cm="1">
        <f t="array" ref="R313">IF(COUNTIF(R63,"*B*"),
   INDEX($C$150:$AJ$150,
     COUNTIFS($C$6:R6, "*")
   ),
"")</f>
        <v/>
      </c>
      <c r="S313" s="40" t="str" cm="1">
        <f t="array" ref="S313">IF(COUNTIF(S63,"*B*"),
   INDEX($C$150:$AJ$150,
     COUNTIFS($C$6:S6, "*")
   ),
"")</f>
        <v/>
      </c>
      <c r="T313" s="40" t="str" cm="1">
        <f t="array" ref="T313">IF(COUNTIF(T63,"*B*"),
   INDEX($C$150:$AJ$150,
     COUNTIFS($C$6:T6, "*")
   ),
"")</f>
        <v/>
      </c>
      <c r="U313" s="40" t="str" cm="1">
        <f t="array" ref="U313">IF(COUNTIF(U63,"*B*"),
   INDEX($C$150:$AJ$150,
     COUNTIFS($C$6:U6, "*")
   ),
"")</f>
        <v/>
      </c>
      <c r="V313" s="40" t="str" cm="1">
        <f t="array" ref="V313">IF(COUNTIF(V63,"*B*"),
   INDEX($C$150:$AJ$150,
     COUNTIFS($C$6:V6, "*")
   ),
"")</f>
        <v/>
      </c>
      <c r="W313" s="40" t="str" cm="1">
        <f t="array" ref="W313">IF(COUNTIF(W63,"*B*"),
   INDEX($C$150:$AJ$150,
     COUNTIFS($C$6:W6, "*")
   ),
"")</f>
        <v/>
      </c>
      <c r="X313" s="40" t="str" cm="1">
        <f t="array" ref="X313">IF(COUNTIF(X63,"*B*"),
   INDEX($C$150:$AJ$150,
     COUNTIFS($C$6:X6, "*")
   ),
"")</f>
        <v/>
      </c>
      <c r="Y313" s="40" t="str" cm="1">
        <f t="array" ref="Y313">IF(COUNTIF(Y63,"*B*"),
   INDEX($C$150:$AJ$150,
     COUNTIFS($C$6:Y6, "*")
   ),
"")</f>
        <v/>
      </c>
      <c r="Z313" s="40" t="str" cm="1">
        <f t="array" ref="Z313">IF(COUNTIF(Z63,"*B*"),
   INDEX($C$150:$AJ$150,
     COUNTIFS($C$6:Z6, "*")
   ),
"")</f>
        <v/>
      </c>
      <c r="AA313" s="40" t="str" cm="1">
        <f t="array" ref="AA313">IF(COUNTIF(AA63,"*B*"),
   INDEX($C$150:$AJ$150,
     COUNTIFS($C$6:AA6, "*")
   ),
"")</f>
        <v/>
      </c>
      <c r="AB313" s="40" t="str" cm="1">
        <f t="array" ref="AB313">IF(COUNTIF(AB63,"*B*"),
   INDEX($C$150:$AJ$150,
     COUNTIFS($C$6:AB6, "*")
   ),
"")</f>
        <v/>
      </c>
      <c r="AC313" s="40" t="str" cm="1">
        <f t="array" ref="AC313">IF(COUNTIF(AC63,"*B*"),
   INDEX($C$150:$AJ$150,
     COUNTIFS($C$6:AC6, "*")
   ),
"")</f>
        <v/>
      </c>
      <c r="AD313" s="40" t="str" cm="1">
        <f t="array" ref="AD313">IF(COUNTIF(AD63,"*B*"),
   INDEX($C$150:$AJ$150,
     COUNTIFS($C$6:AD6, "*")
   ),
"")</f>
        <v/>
      </c>
      <c r="AE313" s="40" t="str" cm="1">
        <f t="array" ref="AE313">IF(COUNTIF(AE63,"*B*"),
   INDEX($C$150:$AJ$150,
     COUNTIFS($C$6:AE6, "*")
   ),
"")</f>
        <v/>
      </c>
      <c r="AF313" s="40" t="str" cm="1">
        <f t="array" ref="AF313">IF(COUNTIF(AF63,"*B*"),
   INDEX($C$150:$AJ$150,
     COUNTIFS($C$6:AF6, "*")
   ),
"")</f>
        <v/>
      </c>
      <c r="AG313" s="40" t="str" cm="1">
        <f t="array" ref="AG313">IF(COUNTIF(AG63,"*B*"),
   INDEX($C$150:$AJ$150,
     COUNTIFS($C$6:AG6, "*")
   ),
"")</f>
        <v/>
      </c>
      <c r="AH313" s="40" t="str" cm="1">
        <f t="array" ref="AH313">IF(COUNTIF(AH63,"*B*"),
   INDEX($C$150:$AJ$150,
     COUNTIFS($C$6:AH6, "*")
   ),
"")</f>
        <v/>
      </c>
      <c r="AI313" s="40" t="str" cm="1">
        <f t="array" ref="AI313">IF(COUNTIF(AI63,"*B*"),
   INDEX($C$150:$AJ$150,
     COUNTIFS($C$6:AI6, "*")
   ),
"")</f>
        <v/>
      </c>
      <c r="AJ313" s="40" t="str" cm="1">
        <f t="array" ref="AJ313">IF(COUNTIF(AJ63,"*B*"),
   INDEX($C$150:$AJ$150,
     COUNTIFS($C$6:AJ6, "*")
   ),
"")</f>
        <v/>
      </c>
      <c r="AK313" s="62" t="str">
        <f t="shared" si="55"/>
        <v/>
      </c>
    </row>
    <row r="314" spans="1:37" ht="15" customHeight="1" thickBot="1" x14ac:dyDescent="0.4">
      <c r="A314" s="1196"/>
      <c r="B314" s="22">
        <v>4</v>
      </c>
      <c r="C314" s="40" t="str" cm="1">
        <f t="array" ref="C314">IF(COUNTIF(C64,"*B*"),
   INDEX($C$151:$AJ$151,
     COUNTIFS($C$7:C7, "*")
   ),
"")</f>
        <v/>
      </c>
      <c r="D314" s="40" t="str" cm="1">
        <f t="array" ref="D314">IF(COUNTIF(D64,"*B*"),
   INDEX($C$151:$AJ$151,
     COUNTIFS($C$7:D7, "*")
   ),
"")</f>
        <v/>
      </c>
      <c r="E314" s="40" t="str" cm="1">
        <f t="array" ref="E314">IF(COUNTIF(E64,"*B*"),
   INDEX($C$151:$AJ$151,
     COUNTIFS($C$7:E7, "*")
   ),
"")</f>
        <v/>
      </c>
      <c r="F314" s="40" t="str" cm="1">
        <f t="array" ref="F314">IF(COUNTIF(F64,"*B*"),
   INDEX($C$151:$AJ$151,
     COUNTIFS($C$7:F7, "*")
   ),
"")</f>
        <v/>
      </c>
      <c r="G314" s="40" t="str" cm="1">
        <f t="array" ref="G314">IF(COUNTIF(G64,"*B*"),
   INDEX($C$151:$AJ$151,
     COUNTIFS($C$7:G7, "*")
   ),
"")</f>
        <v/>
      </c>
      <c r="H314" s="40" t="str" cm="1">
        <f t="array" ref="H314">IF(COUNTIF(H64,"*B*"),
   INDEX($C$151:$AJ$151,
     COUNTIFS($C$7:H7, "*")
   ),
"")</f>
        <v/>
      </c>
      <c r="I314" s="40" t="str" cm="1">
        <f t="array" ref="I314">IF(COUNTIF(I64,"*B*"),
   INDEX($C$151:$AJ$151,
     COUNTIFS($C$7:I7, "*")
   ),
"")</f>
        <v/>
      </c>
      <c r="J314" s="40" t="str" cm="1">
        <f t="array" ref="J314">IF(COUNTIF(J64,"*B*"),
   INDEX($C$151:$AJ$151,
     COUNTIFS($C$7:J7, "*")
   ),
"")</f>
        <v/>
      </c>
      <c r="K314" s="40" t="str" cm="1">
        <f t="array" ref="K314">IF(COUNTIF(K64,"*B*"),
   INDEX($C$151:$AJ$151,
     COUNTIFS($C$7:K7, "*")
   ),
"")</f>
        <v/>
      </c>
      <c r="L314" s="40" t="str" cm="1">
        <f t="array" ref="L314">IF(COUNTIF(L64,"*B*"),
   INDEX($C$151:$AJ$151,
     COUNTIFS($C$7:L7, "*")
   ),
"")</f>
        <v/>
      </c>
      <c r="M314" s="40" t="str" cm="1">
        <f t="array" ref="M314">IF(COUNTIF(M64,"*B*"),
   INDEX($C$151:$AJ$151,
     COUNTIFS($C$7:M7, "*")
   ),
"")</f>
        <v/>
      </c>
      <c r="N314" s="40" t="str" cm="1">
        <f t="array" ref="N314">IF(COUNTIF(N64,"*B*"),
   INDEX($C$151:$AJ$151,
     COUNTIFS($C$7:N7, "*")
   ),
"")</f>
        <v/>
      </c>
      <c r="O314" s="40" t="str" cm="1">
        <f t="array" ref="O314">IF(COUNTIF(O64,"*B*"),
   INDEX($C$151:$AJ$151,
     COUNTIFS($C$7:O7, "*")
   ),
"")</f>
        <v/>
      </c>
      <c r="P314" s="40" t="str" cm="1">
        <f t="array" ref="P314">IF(COUNTIF(P64,"*B*"),
   INDEX($C$151:$AJ$151,
     COUNTIFS($C$7:P7, "*")
   ),
"")</f>
        <v/>
      </c>
      <c r="Q314" s="40" t="str" cm="1">
        <f t="array" ref="Q314">IF(COUNTIF(Q64,"*B*"),
   INDEX($C$151:$AJ$151,
     COUNTIFS($C$7:Q7, "*")
   ),
"")</f>
        <v/>
      </c>
      <c r="R314" s="40" t="str" cm="1">
        <f t="array" ref="R314">IF(COUNTIF(R64,"*B*"),
   INDEX($C$151:$AJ$151,
     COUNTIFS($C$7:R7, "*")
   ),
"")</f>
        <v/>
      </c>
      <c r="S314" s="40" t="str" cm="1">
        <f t="array" ref="S314">IF(COUNTIF(S64,"*B*"),
   INDEX($C$151:$AJ$151,
     COUNTIFS($C$7:S7, "*")
   ),
"")</f>
        <v/>
      </c>
      <c r="T314" s="40" t="str" cm="1">
        <f t="array" ref="T314">IF(COUNTIF(T64,"*B*"),
   INDEX($C$151:$AJ$151,
     COUNTIFS($C$7:T7, "*")
   ),
"")</f>
        <v/>
      </c>
      <c r="U314" s="40" t="str" cm="1">
        <f t="array" ref="U314">IF(COUNTIF(U64,"*B*"),
   INDEX($C$151:$AJ$151,
     COUNTIFS($C$7:U7, "*")
   ),
"")</f>
        <v/>
      </c>
      <c r="V314" s="40" t="str" cm="1">
        <f t="array" ref="V314">IF(COUNTIF(V64,"*B*"),
   INDEX($C$151:$AJ$151,
     COUNTIFS($C$7:V7, "*")
   ),
"")</f>
        <v/>
      </c>
      <c r="W314" s="40" t="str" cm="1">
        <f t="array" ref="W314">IF(COUNTIF(W64,"*B*"),
   INDEX($C$151:$AJ$151,
     COUNTIFS($C$7:W7, "*")
   ),
"")</f>
        <v/>
      </c>
      <c r="X314" s="40" t="str" cm="1">
        <f t="array" ref="X314">IF(COUNTIF(X64,"*B*"),
   INDEX($C$151:$AJ$151,
     COUNTIFS($C$7:X7, "*")
   ),
"")</f>
        <v/>
      </c>
      <c r="Y314" s="40" t="str" cm="1">
        <f t="array" ref="Y314">IF(COUNTIF(Y64,"*B*"),
   INDEX($C$151:$AJ$151,
     COUNTIFS($C$7:Y7, "*")
   ),
"")</f>
        <v/>
      </c>
      <c r="Z314" s="40" t="str" cm="1">
        <f t="array" ref="Z314">IF(COUNTIF(Z64,"*B*"),
   INDEX($C$151:$AJ$151,
     COUNTIFS($C$7:Z7, "*")
   ),
"")</f>
        <v/>
      </c>
      <c r="AA314" s="40" t="str" cm="1">
        <f t="array" ref="AA314">IF(COUNTIF(AA64,"*B*"),
   INDEX($C$151:$AJ$151,
     COUNTIFS($C$7:AA7, "*")
   ),
"")</f>
        <v/>
      </c>
      <c r="AB314" s="40" t="str" cm="1">
        <f t="array" ref="AB314">IF(COUNTIF(AB64,"*B*"),
   INDEX($C$151:$AJ$151,
     COUNTIFS($C$7:AB7, "*")
   ),
"")</f>
        <v/>
      </c>
      <c r="AC314" s="40" t="str" cm="1">
        <f t="array" ref="AC314">IF(COUNTIF(AC64,"*B*"),
   INDEX($C$151:$AJ$151,
     COUNTIFS($C$7:AC7, "*")
   ),
"")</f>
        <v/>
      </c>
      <c r="AD314" s="40" t="str" cm="1">
        <f t="array" ref="AD314">IF(COUNTIF(AD64,"*B*"),
   INDEX($C$151:$AJ$151,
     COUNTIFS($C$7:AD7, "*")
   ),
"")</f>
        <v/>
      </c>
      <c r="AE314" s="40" t="str" cm="1">
        <f t="array" ref="AE314">IF(COUNTIF(AE64,"*B*"),
   INDEX($C$151:$AJ$151,
     COUNTIFS($C$7:AE7, "*")
   ),
"")</f>
        <v/>
      </c>
      <c r="AF314" s="40" t="str" cm="1">
        <f t="array" ref="AF314">IF(COUNTIF(AF64,"*B*"),
   INDEX($C$151:$AJ$151,
     COUNTIFS($C$7:AF7, "*")
   ),
"")</f>
        <v/>
      </c>
      <c r="AG314" s="40" t="str" cm="1">
        <f t="array" ref="AG314">IF(COUNTIF(AG64,"*B*"),
   INDEX($C$151:$AJ$151,
     COUNTIFS($C$7:AG7, "*")
   ),
"")</f>
        <v/>
      </c>
      <c r="AH314" s="40" t="str" cm="1">
        <f t="array" ref="AH314">IF(COUNTIF(AH64,"*B*"),
   INDEX($C$151:$AJ$151,
     COUNTIFS($C$7:AH7, "*")
   ),
"")</f>
        <v/>
      </c>
      <c r="AI314" s="40" t="str" cm="1">
        <f t="array" ref="AI314">IF(COUNTIF(AI64,"*B*"),
   INDEX($C$151:$AJ$151,
     COUNTIFS($C$7:AI7, "*")
   ),
"")</f>
        <v/>
      </c>
      <c r="AJ314" s="40" t="str" cm="1">
        <f t="array" ref="AJ314">IF(COUNTIF(AJ64,"*B*"),
   INDEX($C$151:$AJ$151,
     COUNTIFS($C$7:AJ7, "*")
   ),
"")</f>
        <v/>
      </c>
      <c r="AK314" s="62" t="str">
        <f t="shared" si="55"/>
        <v/>
      </c>
    </row>
    <row r="315" spans="1:37" ht="15" customHeight="1" thickBot="1" x14ac:dyDescent="0.4">
      <c r="A315" s="1196"/>
      <c r="B315" s="22">
        <v>5</v>
      </c>
      <c r="C315" s="40" t="str" cm="1">
        <f t="array" ref="C315">IF(COUNTIF(C65,"*B*"),
   INDEX($C$152:$AJ$152,
     COUNTIFS($C$8:C8, "*")
   ),
"")</f>
        <v/>
      </c>
      <c r="D315" s="40" t="str" cm="1">
        <f t="array" ref="D315">IF(COUNTIF(D65,"*B*"),
   INDEX($C$152:$AJ$152,
     COUNTIFS($C$8:D8, "*")
   ),
"")</f>
        <v/>
      </c>
      <c r="E315" s="40" t="str" cm="1">
        <f t="array" ref="E315">IF(COUNTIF(E65,"*B*"),
   INDEX($C$152:$AJ$152,
     COUNTIFS($C$8:E8, "*")
   ),
"")</f>
        <v/>
      </c>
      <c r="F315" s="40" t="str" cm="1">
        <f t="array" ref="F315">IF(COUNTIF(F65,"*B*"),
   INDEX($C$152:$AJ$152,
     COUNTIFS($C$8:F8, "*")
   ),
"")</f>
        <v/>
      </c>
      <c r="G315" s="40" t="str" cm="1">
        <f t="array" ref="G315">IF(COUNTIF(G65,"*B*"),
   INDEX($C$152:$AJ$152,
     COUNTIFS($C$8:G8, "*")
   ),
"")</f>
        <v/>
      </c>
      <c r="H315" s="40" t="str" cm="1">
        <f t="array" ref="H315">IF(COUNTIF(H65,"*B*"),
   INDEX($C$152:$AJ$152,
     COUNTIFS($C$8:H8, "*")
   ),
"")</f>
        <v/>
      </c>
      <c r="I315" s="40" t="str" cm="1">
        <f t="array" ref="I315">IF(COUNTIF(I65,"*B*"),
   INDEX($C$152:$AJ$152,
     COUNTIFS($C$8:I8, "*")
   ),
"")</f>
        <v/>
      </c>
      <c r="J315" s="40" t="str" cm="1">
        <f t="array" ref="J315">IF(COUNTIF(J65,"*B*"),
   INDEX($C$152:$AJ$152,
     COUNTIFS($C$8:J8, "*")
   ),
"")</f>
        <v/>
      </c>
      <c r="K315" s="40" t="str" cm="1">
        <f t="array" ref="K315">IF(COUNTIF(K65,"*B*"),
   INDEX($C$152:$AJ$152,
     COUNTIFS($C$8:K8, "*")
   ),
"")</f>
        <v/>
      </c>
      <c r="L315" s="40" t="str" cm="1">
        <f t="array" ref="L315">IF(COUNTIF(L65,"*B*"),
   INDEX($C$152:$AJ$152,
     COUNTIFS($C$8:L8, "*")
   ),
"")</f>
        <v/>
      </c>
      <c r="M315" s="40" t="str" cm="1">
        <f t="array" ref="M315">IF(COUNTIF(M65,"*B*"),
   INDEX($C$152:$AJ$152,
     COUNTIFS($C$8:M8, "*")
   ),
"")</f>
        <v/>
      </c>
      <c r="N315" s="40" t="str" cm="1">
        <f t="array" ref="N315">IF(COUNTIF(N65,"*B*"),
   INDEX($C$152:$AJ$152,
     COUNTIFS($C$8:N8, "*")
   ),
"")</f>
        <v/>
      </c>
      <c r="O315" s="40" t="str" cm="1">
        <f t="array" ref="O315">IF(COUNTIF(O65,"*B*"),
   INDEX($C$152:$AJ$152,
     COUNTIFS($C$8:O8, "*")
   ),
"")</f>
        <v/>
      </c>
      <c r="P315" s="40" t="str" cm="1">
        <f t="array" ref="P315">IF(COUNTIF(P65,"*B*"),
   INDEX($C$152:$AJ$152,
     COUNTIFS($C$8:P8, "*")
   ),
"")</f>
        <v/>
      </c>
      <c r="Q315" s="40" t="str" cm="1">
        <f t="array" ref="Q315">IF(COUNTIF(Q65,"*B*"),
   INDEX($C$152:$AJ$152,
     COUNTIFS($C$8:Q8, "*")
   ),
"")</f>
        <v/>
      </c>
      <c r="R315" s="40" t="str" cm="1">
        <f t="array" ref="R315">IF(COUNTIF(R65,"*B*"),
   INDEX($C$152:$AJ$152,
     COUNTIFS($C$8:R8, "*")
   ),
"")</f>
        <v/>
      </c>
      <c r="S315" s="40" t="str" cm="1">
        <f t="array" ref="S315">IF(COUNTIF(S65,"*B*"),
   INDEX($C$152:$AJ$152,
     COUNTIFS($C$8:S8, "*")
   ),
"")</f>
        <v/>
      </c>
      <c r="T315" s="40" t="str" cm="1">
        <f t="array" ref="T315">IF(COUNTIF(T65,"*B*"),
   INDEX($C$152:$AJ$152,
     COUNTIFS($C$8:T8, "*")
   ),
"")</f>
        <v/>
      </c>
      <c r="U315" s="40" t="str" cm="1">
        <f t="array" ref="U315">IF(COUNTIF(U65,"*B*"),
   INDEX($C$152:$AJ$152,
     COUNTIFS($C$8:U8, "*")
   ),
"")</f>
        <v/>
      </c>
      <c r="V315" s="40" t="str" cm="1">
        <f t="array" ref="V315">IF(COUNTIF(V65,"*B*"),
   INDEX($C$152:$AJ$152,
     COUNTIFS($C$8:V8, "*")
   ),
"")</f>
        <v/>
      </c>
      <c r="W315" s="40" t="str" cm="1">
        <f t="array" ref="W315">IF(COUNTIF(W65,"*B*"),
   INDEX($C$152:$AJ$152,
     COUNTIFS($C$8:W8, "*")
   ),
"")</f>
        <v/>
      </c>
      <c r="X315" s="40" t="str" cm="1">
        <f t="array" ref="X315">IF(COUNTIF(X65,"*B*"),
   INDEX($C$152:$AJ$152,
     COUNTIFS($C$8:X8, "*")
   ),
"")</f>
        <v/>
      </c>
      <c r="Y315" s="40" t="str" cm="1">
        <f t="array" ref="Y315">IF(COUNTIF(Y65,"*B*"),
   INDEX($C$152:$AJ$152,
     COUNTIFS($C$8:Y8, "*")
   ),
"")</f>
        <v/>
      </c>
      <c r="Z315" s="40" t="str" cm="1">
        <f t="array" ref="Z315">IF(COUNTIF(Z65,"*B*"),
   INDEX($C$152:$AJ$152,
     COUNTIFS($C$8:Z8, "*")
   ),
"")</f>
        <v/>
      </c>
      <c r="AA315" s="40" t="str" cm="1">
        <f t="array" ref="AA315">IF(COUNTIF(AA65,"*B*"),
   INDEX($C$152:$AJ$152,
     COUNTIFS($C$8:AA8, "*")
   ),
"")</f>
        <v/>
      </c>
      <c r="AB315" s="40" t="str" cm="1">
        <f t="array" ref="AB315">IF(COUNTIF(AB65,"*B*"),
   INDEX($C$152:$AJ$152,
     COUNTIFS($C$8:AB8, "*")
   ),
"")</f>
        <v/>
      </c>
      <c r="AC315" s="40" t="str" cm="1">
        <f t="array" ref="AC315">IF(COUNTIF(AC65,"*B*"),
   INDEX($C$152:$AJ$152,
     COUNTIFS($C$8:AC8, "*")
   ),
"")</f>
        <v/>
      </c>
      <c r="AD315" s="40" t="str" cm="1">
        <f t="array" ref="AD315">IF(COUNTIF(AD65,"*B*"),
   INDEX($C$152:$AJ$152,
     COUNTIFS($C$8:AD8, "*")
   ),
"")</f>
        <v/>
      </c>
      <c r="AE315" s="40" t="str" cm="1">
        <f t="array" ref="AE315">IF(COUNTIF(AE65,"*B*"),
   INDEX($C$152:$AJ$152,
     COUNTIFS($C$8:AE8, "*")
   ),
"")</f>
        <v/>
      </c>
      <c r="AF315" s="40" t="str" cm="1">
        <f t="array" ref="AF315">IF(COUNTIF(AF65,"*B*"),
   INDEX($C$152:$AJ$152,
     COUNTIFS($C$8:AF8, "*")
   ),
"")</f>
        <v/>
      </c>
      <c r="AG315" s="40" t="str" cm="1">
        <f t="array" ref="AG315">IF(COUNTIF(AG65,"*B*"),
   INDEX($C$152:$AJ$152,
     COUNTIFS($C$8:AG8, "*")
   ),
"")</f>
        <v/>
      </c>
      <c r="AH315" s="40" t="str" cm="1">
        <f t="array" ref="AH315">IF(COUNTIF(AH65,"*B*"),
   INDEX($C$152:$AJ$152,
     COUNTIFS($C$8:AH8, "*")
   ),
"")</f>
        <v/>
      </c>
      <c r="AI315" s="40" t="str" cm="1">
        <f t="array" ref="AI315">IF(COUNTIF(AI65,"*B*"),
   INDEX($C$152:$AJ$152,
     COUNTIFS($C$8:AI8, "*")
   ),
"")</f>
        <v/>
      </c>
      <c r="AJ315" s="40" t="str" cm="1">
        <f t="array" ref="AJ315">IF(COUNTIF(AJ65,"*B*"),
   INDEX($C$152:$AJ$152,
     COUNTIFS($C$8:AJ8, "*")
   ),
"")</f>
        <v/>
      </c>
      <c r="AK315" s="62" t="str">
        <f t="shared" si="55"/>
        <v/>
      </c>
    </row>
    <row r="316" spans="1:37" ht="15" customHeight="1" thickBot="1" x14ac:dyDescent="0.4">
      <c r="A316" s="1196"/>
      <c r="B316" s="22">
        <v>6</v>
      </c>
      <c r="C316" s="40" t="str" cm="1">
        <f t="array" ref="C316">IF(COUNTIF(C66,"*B*"),
   INDEX($C$153:$AJ$153,
     COUNTIFS($C$9:C9, "*")
   ),
"")</f>
        <v/>
      </c>
      <c r="D316" s="40" t="str" cm="1">
        <f t="array" ref="D316">IF(COUNTIF(D66,"*B*"),
   INDEX($C$153:$AJ$153,
     COUNTIFS($C$9:D9, "*")
   ),
"")</f>
        <v/>
      </c>
      <c r="E316" s="40" t="str" cm="1">
        <f t="array" ref="E316">IF(COUNTIF(E66,"*B*"),
   INDEX($C$153:$AJ$153,
     COUNTIFS($C$9:E9, "*")
   ),
"")</f>
        <v/>
      </c>
      <c r="F316" s="40" t="str" cm="1">
        <f t="array" ref="F316">IF(COUNTIF(F66,"*B*"),
   INDEX($C$153:$AJ$153,
     COUNTIFS($C$9:F9, "*")
   ),
"")</f>
        <v/>
      </c>
      <c r="G316" s="40" t="str" cm="1">
        <f t="array" ref="G316">IF(COUNTIF(G66,"*B*"),
   INDEX($C$153:$AJ$153,
     COUNTIFS($C$9:G9, "*")
   ),
"")</f>
        <v/>
      </c>
      <c r="H316" s="40" t="str" cm="1">
        <f t="array" ref="H316">IF(COUNTIF(H66,"*B*"),
   INDEX($C$153:$AJ$153,
     COUNTIFS($C$9:H9, "*")
   ),
"")</f>
        <v/>
      </c>
      <c r="I316" s="40" t="str" cm="1">
        <f t="array" ref="I316">IF(COUNTIF(I66,"*B*"),
   INDEX($C$153:$AJ$153,
     COUNTIFS($C$9:I9, "*")
   ),
"")</f>
        <v/>
      </c>
      <c r="J316" s="40" t="str" cm="1">
        <f t="array" ref="J316">IF(COUNTIF(J66,"*B*"),
   INDEX($C$153:$AJ$153,
     COUNTIFS($C$9:J9, "*")
   ),
"")</f>
        <v/>
      </c>
      <c r="K316" s="40" t="str" cm="1">
        <f t="array" ref="K316">IF(COUNTIF(K66,"*B*"),
   INDEX($C$153:$AJ$153,
     COUNTIFS($C$9:K9, "*")
   ),
"")</f>
        <v/>
      </c>
      <c r="L316" s="40" t="str" cm="1">
        <f t="array" ref="L316">IF(COUNTIF(L66,"*B*"),
   INDEX($C$153:$AJ$153,
     COUNTIFS($C$9:L9, "*")
   ),
"")</f>
        <v/>
      </c>
      <c r="M316" s="40" t="str" cm="1">
        <f t="array" ref="M316">IF(COUNTIF(M66,"*B*"),
   INDEX($C$153:$AJ$153,
     COUNTIFS($C$9:M9, "*")
   ),
"")</f>
        <v/>
      </c>
      <c r="N316" s="40" t="str" cm="1">
        <f t="array" ref="N316">IF(COUNTIF(N66,"*B*"),
   INDEX($C$153:$AJ$153,
     COUNTIFS($C$9:N9, "*")
   ),
"")</f>
        <v/>
      </c>
      <c r="O316" s="40" t="str" cm="1">
        <f t="array" ref="O316">IF(COUNTIF(O66,"*B*"),
   INDEX($C$153:$AJ$153,
     COUNTIFS($C$9:O9, "*")
   ),
"")</f>
        <v/>
      </c>
      <c r="P316" s="40" t="str" cm="1">
        <f t="array" ref="P316">IF(COUNTIF(P66,"*B*"),
   INDEX($C$153:$AJ$153,
     COUNTIFS($C$9:P9, "*")
   ),
"")</f>
        <v/>
      </c>
      <c r="Q316" s="40" t="str" cm="1">
        <f t="array" ref="Q316">IF(COUNTIF(Q66,"*B*"),
   INDEX($C$153:$AJ$153,
     COUNTIFS($C$9:Q9, "*")
   ),
"")</f>
        <v/>
      </c>
      <c r="R316" s="40" t="str" cm="1">
        <f t="array" ref="R316">IF(COUNTIF(R66,"*B*"),
   INDEX($C$153:$AJ$153,
     COUNTIFS($C$9:R9, "*")
   ),
"")</f>
        <v/>
      </c>
      <c r="S316" s="40" t="str" cm="1">
        <f t="array" ref="S316">IF(COUNTIF(S66,"*B*"),
   INDEX($C$153:$AJ$153,
     COUNTIFS($C$9:S9, "*")
   ),
"")</f>
        <v/>
      </c>
      <c r="T316" s="40" t="str" cm="1">
        <f t="array" ref="T316">IF(COUNTIF(T66,"*B*"),
   INDEX($C$153:$AJ$153,
     COUNTIFS($C$9:T9, "*")
   ),
"")</f>
        <v/>
      </c>
      <c r="U316" s="40" t="str" cm="1">
        <f t="array" ref="U316">IF(COUNTIF(U66,"*B*"),
   INDEX($C$153:$AJ$153,
     COUNTIFS($C$9:U9, "*")
   ),
"")</f>
        <v/>
      </c>
      <c r="V316" s="40" t="str" cm="1">
        <f t="array" ref="V316">IF(COUNTIF(V66,"*B*"),
   INDEX($C$153:$AJ$153,
     COUNTIFS($C$9:V9, "*")
   ),
"")</f>
        <v/>
      </c>
      <c r="W316" s="40" t="str" cm="1">
        <f t="array" ref="W316">IF(COUNTIF(W66,"*B*"),
   INDEX($C$153:$AJ$153,
     COUNTIFS($C$9:W9, "*")
   ),
"")</f>
        <v/>
      </c>
      <c r="X316" s="40" t="str" cm="1">
        <f t="array" ref="X316">IF(COUNTIF(X66,"*B*"),
   INDEX($C$153:$AJ$153,
     COUNTIFS($C$9:X9, "*")
   ),
"")</f>
        <v/>
      </c>
      <c r="Y316" s="40" t="str" cm="1">
        <f t="array" ref="Y316">IF(COUNTIF(Y66,"*B*"),
   INDEX($C$153:$AJ$153,
     COUNTIFS($C$9:Y9, "*")
   ),
"")</f>
        <v/>
      </c>
      <c r="Z316" s="40" t="str" cm="1">
        <f t="array" ref="Z316">IF(COUNTIF(Z66,"*B*"),
   INDEX($C$153:$AJ$153,
     COUNTIFS($C$9:Z9, "*")
   ),
"")</f>
        <v/>
      </c>
      <c r="AA316" s="40" t="str" cm="1">
        <f t="array" ref="AA316">IF(COUNTIF(AA66,"*B*"),
   INDEX($C$153:$AJ$153,
     COUNTIFS($C$9:AA9, "*")
   ),
"")</f>
        <v/>
      </c>
      <c r="AB316" s="40" t="str" cm="1">
        <f t="array" ref="AB316">IF(COUNTIF(AB66,"*B*"),
   INDEX($C$153:$AJ$153,
     COUNTIFS($C$9:AB9, "*")
   ),
"")</f>
        <v/>
      </c>
      <c r="AC316" s="40" t="str" cm="1">
        <f t="array" ref="AC316">IF(COUNTIF(AC66,"*B*"),
   INDEX($C$153:$AJ$153,
     COUNTIFS($C$9:AC9, "*")
   ),
"")</f>
        <v/>
      </c>
      <c r="AD316" s="40" t="str" cm="1">
        <f t="array" ref="AD316">IF(COUNTIF(AD66,"*B*"),
   INDEX($C$153:$AJ$153,
     COUNTIFS($C$9:AD9, "*")
   ),
"")</f>
        <v/>
      </c>
      <c r="AE316" s="40" t="str" cm="1">
        <f t="array" ref="AE316">IF(COUNTIF(AE66,"*B*"),
   INDEX($C$153:$AJ$153,
     COUNTIFS($C$9:AE9, "*")
   ),
"")</f>
        <v/>
      </c>
      <c r="AF316" s="40" t="str" cm="1">
        <f t="array" ref="AF316">IF(COUNTIF(AF66,"*B*"),
   INDEX($C$153:$AJ$153,
     COUNTIFS($C$9:AF9, "*")
   ),
"")</f>
        <v/>
      </c>
      <c r="AG316" s="40" t="str" cm="1">
        <f t="array" ref="AG316">IF(COUNTIF(AG66,"*B*"),
   INDEX($C$153:$AJ$153,
     COUNTIFS($C$9:AG9, "*")
   ),
"")</f>
        <v/>
      </c>
      <c r="AH316" s="40" t="str" cm="1">
        <f t="array" ref="AH316">IF(COUNTIF(AH66,"*B*"),
   INDEX($C$153:$AJ$153,
     COUNTIFS($C$9:AH9, "*")
   ),
"")</f>
        <v/>
      </c>
      <c r="AI316" s="40" t="str" cm="1">
        <f t="array" ref="AI316">IF(COUNTIF(AI66,"*B*"),
   INDEX($C$153:$AJ$153,
     COUNTIFS($C$9:AI9, "*")
   ),
"")</f>
        <v/>
      </c>
      <c r="AJ316" s="40" t="str" cm="1">
        <f t="array" ref="AJ316">IF(COUNTIF(AJ66,"*B*"),
   INDEX($C$153:$AJ$153,
     COUNTIFS($C$9:AJ9, "*")
   ),
"")</f>
        <v/>
      </c>
      <c r="AK316" s="62" t="str">
        <f t="shared" si="55"/>
        <v/>
      </c>
    </row>
    <row r="317" spans="1:37" ht="15" customHeight="1" thickBot="1" x14ac:dyDescent="0.4">
      <c r="A317" s="1196"/>
      <c r="B317" s="22">
        <v>7</v>
      </c>
      <c r="C317" s="40" t="str" cm="1">
        <f t="array" ref="C317">IF(COUNTIF(C67,"*B*"),
   INDEX($C$154:$AJ$154,
     COUNTIFS($C$10:C10, "*")
   ),
"")</f>
        <v/>
      </c>
      <c r="D317" s="40" t="str" cm="1">
        <f t="array" ref="D317">IF(COUNTIF(D67,"*B*"),
   INDEX($C$154:$AJ$154,
     COUNTIFS($C$10:D10, "*")
   ),
"")</f>
        <v/>
      </c>
      <c r="E317" s="40" t="str" cm="1">
        <f t="array" ref="E317">IF(COUNTIF(E67,"*B*"),
   INDEX($C$154:$AJ$154,
     COUNTIFS($C$10:E10, "*")
   ),
"")</f>
        <v/>
      </c>
      <c r="F317" s="40" t="str" cm="1">
        <f t="array" ref="F317">IF(COUNTIF(F67,"*B*"),
   INDEX($C$154:$AJ$154,
     COUNTIFS($C$10:F10, "*")
   ),
"")</f>
        <v/>
      </c>
      <c r="G317" s="40" t="str" cm="1">
        <f t="array" ref="G317">IF(COUNTIF(G67,"*B*"),
   INDEX($C$154:$AJ$154,
     COUNTIFS($C$10:G10, "*")
   ),
"")</f>
        <v/>
      </c>
      <c r="H317" s="40" t="str" cm="1">
        <f t="array" ref="H317">IF(COUNTIF(H67,"*B*"),
   INDEX($C$154:$AJ$154,
     COUNTIFS($C$10:H10, "*")
   ),
"")</f>
        <v/>
      </c>
      <c r="I317" s="40" t="str" cm="1">
        <f t="array" ref="I317">IF(COUNTIF(I67,"*B*"),
   INDEX($C$154:$AJ$154,
     COUNTIFS($C$10:I10, "*")
   ),
"")</f>
        <v/>
      </c>
      <c r="J317" s="40" t="str" cm="1">
        <f t="array" ref="J317">IF(COUNTIF(J67,"*B*"),
   INDEX($C$154:$AJ$154,
     COUNTIFS($C$10:J10, "*")
   ),
"")</f>
        <v/>
      </c>
      <c r="K317" s="40" t="str" cm="1">
        <f t="array" ref="K317">IF(COUNTIF(K67,"*B*"),
   INDEX($C$154:$AJ$154,
     COUNTIFS($C$10:K10, "*")
   ),
"")</f>
        <v/>
      </c>
      <c r="L317" s="40" t="str" cm="1">
        <f t="array" ref="L317">IF(COUNTIF(L67,"*B*"),
   INDEX($C$154:$AJ$154,
     COUNTIFS($C$10:L10, "*")
   ),
"")</f>
        <v/>
      </c>
      <c r="M317" s="40" t="str" cm="1">
        <f t="array" ref="M317">IF(COUNTIF(M67,"*B*"),
   INDEX($C$154:$AJ$154,
     COUNTIFS($C$10:M10, "*")
   ),
"")</f>
        <v/>
      </c>
      <c r="N317" s="40" t="str" cm="1">
        <f t="array" ref="N317">IF(COUNTIF(N67,"*B*"),
   INDEX($C$154:$AJ$154,
     COUNTIFS($C$10:N10, "*")
   ),
"")</f>
        <v/>
      </c>
      <c r="O317" s="40" t="str" cm="1">
        <f t="array" ref="O317">IF(COUNTIF(O67,"*B*"),
   INDEX($C$154:$AJ$154,
     COUNTIFS($C$10:O10, "*")
   ),
"")</f>
        <v/>
      </c>
      <c r="P317" s="40" t="str" cm="1">
        <f t="array" ref="P317">IF(COUNTIF(P67,"*B*"),
   INDEX($C$154:$AJ$154,
     COUNTIFS($C$10:P10, "*")
   ),
"")</f>
        <v/>
      </c>
      <c r="Q317" s="40" t="str" cm="1">
        <f t="array" ref="Q317">IF(COUNTIF(Q67,"*B*"),
   INDEX($C$154:$AJ$154,
     COUNTIFS($C$10:Q10, "*")
   ),
"")</f>
        <v/>
      </c>
      <c r="R317" s="40" t="str" cm="1">
        <f t="array" ref="R317">IF(COUNTIF(R67,"*B*"),
   INDEX($C$154:$AJ$154,
     COUNTIFS($C$10:R10, "*")
   ),
"")</f>
        <v/>
      </c>
      <c r="S317" s="40" t="str" cm="1">
        <f t="array" ref="S317">IF(COUNTIF(S67,"*B*"),
   INDEX($C$154:$AJ$154,
     COUNTIFS($C$10:S10, "*")
   ),
"")</f>
        <v/>
      </c>
      <c r="T317" s="40" t="str" cm="1">
        <f t="array" ref="T317">IF(COUNTIF(T67,"*B*"),
   INDEX($C$154:$AJ$154,
     COUNTIFS($C$10:T10, "*")
   ),
"")</f>
        <v/>
      </c>
      <c r="U317" s="40" t="str" cm="1">
        <f t="array" ref="U317">IF(COUNTIF(U67,"*B*"),
   INDEX($C$154:$AJ$154,
     COUNTIFS($C$10:U10, "*")
   ),
"")</f>
        <v/>
      </c>
      <c r="V317" s="40" t="str" cm="1">
        <f t="array" ref="V317">IF(COUNTIF(V67,"*B*"),
   INDEX($C$154:$AJ$154,
     COUNTIFS($C$10:V10, "*")
   ),
"")</f>
        <v/>
      </c>
      <c r="W317" s="40" t="str" cm="1">
        <f t="array" ref="W317">IF(COUNTIF(W67,"*B*"),
   INDEX($C$154:$AJ$154,
     COUNTIFS($C$10:W10, "*")
   ),
"")</f>
        <v/>
      </c>
      <c r="X317" s="40" t="str" cm="1">
        <f t="array" ref="X317">IF(COUNTIF(X67,"*B*"),
   INDEX($C$154:$AJ$154,
     COUNTIFS($C$10:X10, "*")
   ),
"")</f>
        <v/>
      </c>
      <c r="Y317" s="40" t="str" cm="1">
        <f t="array" ref="Y317">IF(COUNTIF(Y67,"*B*"),
   INDEX($C$154:$AJ$154,
     COUNTIFS($C$10:Y10, "*")
   ),
"")</f>
        <v/>
      </c>
      <c r="Z317" s="40" t="str" cm="1">
        <f t="array" ref="Z317">IF(COUNTIF(Z67,"*B*"),
   INDEX($C$154:$AJ$154,
     COUNTIFS($C$10:Z10, "*")
   ),
"")</f>
        <v/>
      </c>
      <c r="AA317" s="40" t="str" cm="1">
        <f t="array" ref="AA317">IF(COUNTIF(AA67,"*B*"),
   INDEX($C$154:$AJ$154,
     COUNTIFS($C$10:AA10, "*")
   ),
"")</f>
        <v/>
      </c>
      <c r="AB317" s="40" t="str" cm="1">
        <f t="array" ref="AB317">IF(COUNTIF(AB67,"*B*"),
   INDEX($C$154:$AJ$154,
     COUNTIFS($C$10:AB10, "*")
   ),
"")</f>
        <v/>
      </c>
      <c r="AC317" s="40" t="str" cm="1">
        <f t="array" ref="AC317">IF(COUNTIF(AC67,"*B*"),
   INDEX($C$154:$AJ$154,
     COUNTIFS($C$10:AC10, "*")
   ),
"")</f>
        <v/>
      </c>
      <c r="AD317" s="40" t="str" cm="1">
        <f t="array" ref="AD317">IF(COUNTIF(AD67,"*B*"),
   INDEX($C$154:$AJ$154,
     COUNTIFS($C$10:AD10, "*")
   ),
"")</f>
        <v/>
      </c>
      <c r="AE317" s="40" t="str" cm="1">
        <f t="array" ref="AE317">IF(COUNTIF(AE67,"*B*"),
   INDEX($C$154:$AJ$154,
     COUNTIFS($C$10:AE10, "*")
   ),
"")</f>
        <v/>
      </c>
      <c r="AF317" s="40" t="str" cm="1">
        <f t="array" ref="AF317">IF(COUNTIF(AF67,"*B*"),
   INDEX($C$154:$AJ$154,
     COUNTIFS($C$10:AF10, "*")
   ),
"")</f>
        <v/>
      </c>
      <c r="AG317" s="40" t="str" cm="1">
        <f t="array" ref="AG317">IF(COUNTIF(AG67,"*B*"),
   INDEX($C$154:$AJ$154,
     COUNTIFS($C$10:AG10, "*")
   ),
"")</f>
        <v/>
      </c>
      <c r="AH317" s="40" t="str" cm="1">
        <f t="array" ref="AH317">IF(COUNTIF(AH67,"*B*"),
   INDEX($C$154:$AJ$154,
     COUNTIFS($C$10:AH10, "*")
   ),
"")</f>
        <v/>
      </c>
      <c r="AI317" s="40" t="str" cm="1">
        <f t="array" ref="AI317">IF(COUNTIF(AI67,"*B*"),
   INDEX($C$154:$AJ$154,
     COUNTIFS($C$10:AI10, "*")
   ),
"")</f>
        <v/>
      </c>
      <c r="AJ317" s="40" t="str" cm="1">
        <f t="array" ref="AJ317">IF(COUNTIF(AJ67,"*B*"),
   INDEX($C$154:$AJ$154,
     COUNTIFS($C$10:AJ10, "*")
   ),
"")</f>
        <v/>
      </c>
      <c r="AK317" s="62" t="str">
        <f t="shared" si="55"/>
        <v/>
      </c>
    </row>
    <row r="318" spans="1:37" ht="15" customHeight="1" thickBot="1" x14ac:dyDescent="0.4">
      <c r="A318" s="1196"/>
      <c r="B318" s="22">
        <v>8</v>
      </c>
      <c r="C318" s="40" t="str" cm="1">
        <f t="array" ref="C318">IF(COUNTIF(C68,"*B*"),
   INDEX($C$155:$AJ$155,
     COUNTIFS($C$11:C11, "*")
   ),
"")</f>
        <v/>
      </c>
      <c r="D318" s="40" t="str" cm="1">
        <f t="array" ref="D318">IF(COUNTIF(D68,"*B*"),
   INDEX($C$155:$AJ$155,
     COUNTIFS($C$11:D11, "*")
   ),
"")</f>
        <v/>
      </c>
      <c r="E318" s="40" t="str" cm="1">
        <f t="array" ref="E318">IF(COUNTIF(E68,"*B*"),
   INDEX($C$155:$AJ$155,
     COUNTIFS($C$11:E11, "*")
   ),
"")</f>
        <v/>
      </c>
      <c r="F318" s="40" t="str" cm="1">
        <f t="array" ref="F318">IF(COUNTIF(F68,"*B*"),
   INDEX($C$155:$AJ$155,
     COUNTIFS($C$11:F11, "*")
   ),
"")</f>
        <v/>
      </c>
      <c r="G318" s="40" t="str" cm="1">
        <f t="array" ref="G318">IF(COUNTIF(G68,"*B*"),
   INDEX($C$155:$AJ$155,
     COUNTIFS($C$11:G11, "*")
   ),
"")</f>
        <v/>
      </c>
      <c r="H318" s="40" t="str" cm="1">
        <f t="array" ref="H318">IF(COUNTIF(H68,"*B*"),
   INDEX($C$155:$AJ$155,
     COUNTIFS($C$11:H11, "*")
   ),
"")</f>
        <v/>
      </c>
      <c r="I318" s="40" t="str" cm="1">
        <f t="array" ref="I318">IF(COUNTIF(I68,"*B*"),
   INDEX($C$155:$AJ$155,
     COUNTIFS($C$11:I11, "*")
   ),
"")</f>
        <v/>
      </c>
      <c r="J318" s="40" t="str" cm="1">
        <f t="array" ref="J318">IF(COUNTIF(J68,"*B*"),
   INDEX($C$155:$AJ$155,
     COUNTIFS($C$11:J11, "*")
   ),
"")</f>
        <v/>
      </c>
      <c r="K318" s="40" t="str" cm="1">
        <f t="array" ref="K318">IF(COUNTIF(K68,"*B*"),
   INDEX($C$155:$AJ$155,
     COUNTIFS($C$11:K11, "*")
   ),
"")</f>
        <v/>
      </c>
      <c r="L318" s="40" t="str" cm="1">
        <f t="array" ref="L318">IF(COUNTIF(L68,"*B*"),
   INDEX($C$155:$AJ$155,
     COUNTIFS($C$11:L11, "*")
   ),
"")</f>
        <v/>
      </c>
      <c r="M318" s="40" t="str" cm="1">
        <f t="array" ref="M318">IF(COUNTIF(M68,"*B*"),
   INDEX($C$155:$AJ$155,
     COUNTIFS($C$11:M11, "*")
   ),
"")</f>
        <v/>
      </c>
      <c r="N318" s="40" t="str" cm="1">
        <f t="array" ref="N318">IF(COUNTIF(N68,"*B*"),
   INDEX($C$155:$AJ$155,
     COUNTIFS($C$11:N11, "*")
   ),
"")</f>
        <v/>
      </c>
      <c r="O318" s="40" t="str" cm="1">
        <f t="array" ref="O318">IF(COUNTIF(O68,"*B*"),
   INDEX($C$155:$AJ$155,
     COUNTIFS($C$11:O11, "*")
   ),
"")</f>
        <v/>
      </c>
      <c r="P318" s="40" t="str" cm="1">
        <f t="array" ref="P318">IF(COUNTIF(P68,"*B*"),
   INDEX($C$155:$AJ$155,
     COUNTIFS($C$11:P11, "*")
   ),
"")</f>
        <v/>
      </c>
      <c r="Q318" s="40" t="str" cm="1">
        <f t="array" ref="Q318">IF(COUNTIF(Q68,"*B*"),
   INDEX($C$155:$AJ$155,
     COUNTIFS($C$11:Q11, "*")
   ),
"")</f>
        <v/>
      </c>
      <c r="R318" s="40" t="str" cm="1">
        <f t="array" ref="R318">IF(COUNTIF(R68,"*B*"),
   INDEX($C$155:$AJ$155,
     COUNTIFS($C$11:R11, "*")
   ),
"")</f>
        <v/>
      </c>
      <c r="S318" s="40" t="str" cm="1">
        <f t="array" ref="S318">IF(COUNTIF(S68,"*B*"),
   INDEX($C$155:$AJ$155,
     COUNTIFS($C$11:S11, "*")
   ),
"")</f>
        <v/>
      </c>
      <c r="T318" s="40" t="str" cm="1">
        <f t="array" ref="T318">IF(COUNTIF(T68,"*B*"),
   INDEX($C$155:$AJ$155,
     COUNTIFS($C$11:T11, "*")
   ),
"")</f>
        <v/>
      </c>
      <c r="U318" s="40" t="str" cm="1">
        <f t="array" ref="U318">IF(COUNTIF(U68,"*B*"),
   INDEX($C$155:$AJ$155,
     COUNTIFS($C$11:U11, "*")
   ),
"")</f>
        <v/>
      </c>
      <c r="V318" s="40" t="str" cm="1">
        <f t="array" ref="V318">IF(COUNTIF(V68,"*B*"),
   INDEX($C$155:$AJ$155,
     COUNTIFS($C$11:V11, "*")
   ),
"")</f>
        <v/>
      </c>
      <c r="W318" s="40" t="str" cm="1">
        <f t="array" ref="W318">IF(COUNTIF(W68,"*B*"),
   INDEX($C$155:$AJ$155,
     COUNTIFS($C$11:W11, "*")
   ),
"")</f>
        <v/>
      </c>
      <c r="X318" s="40" t="str" cm="1">
        <f t="array" ref="X318">IF(COUNTIF(X68,"*B*"),
   INDEX($C$155:$AJ$155,
     COUNTIFS($C$11:X11, "*")
   ),
"")</f>
        <v/>
      </c>
      <c r="Y318" s="40" t="str" cm="1">
        <f t="array" ref="Y318">IF(COUNTIF(Y68,"*B*"),
   INDEX($C$155:$AJ$155,
     COUNTIFS($C$11:Y11, "*")
   ),
"")</f>
        <v/>
      </c>
      <c r="Z318" s="40" t="str" cm="1">
        <f t="array" ref="Z318">IF(COUNTIF(Z68,"*B*"),
   INDEX($C$155:$AJ$155,
     COUNTIFS($C$11:Z11, "*")
   ),
"")</f>
        <v/>
      </c>
      <c r="AA318" s="40" t="str" cm="1">
        <f t="array" ref="AA318">IF(COUNTIF(AA68,"*B*"),
   INDEX($C$155:$AJ$155,
     COUNTIFS($C$11:AA11, "*")
   ),
"")</f>
        <v/>
      </c>
      <c r="AB318" s="40" t="str" cm="1">
        <f t="array" ref="AB318">IF(COUNTIF(AB68,"*B*"),
   INDEX($C$155:$AJ$155,
     COUNTIFS($C$11:AB11, "*")
   ),
"")</f>
        <v/>
      </c>
      <c r="AC318" s="40" t="str" cm="1">
        <f t="array" ref="AC318">IF(COUNTIF(AC68,"*B*"),
   INDEX($C$155:$AJ$155,
     COUNTIFS($C$11:AC11, "*")
   ),
"")</f>
        <v/>
      </c>
      <c r="AD318" s="40" t="str" cm="1">
        <f t="array" ref="AD318">IF(COUNTIF(AD68,"*B*"),
   INDEX($C$155:$AJ$155,
     COUNTIFS($C$11:AD11, "*")
   ),
"")</f>
        <v/>
      </c>
      <c r="AE318" s="40" t="str" cm="1">
        <f t="array" ref="AE318">IF(COUNTIF(AE68,"*B*"),
   INDEX($C$155:$AJ$155,
     COUNTIFS($C$11:AE11, "*")
   ),
"")</f>
        <v/>
      </c>
      <c r="AF318" s="40" t="str" cm="1">
        <f t="array" ref="AF318">IF(COUNTIF(AF68,"*B*"),
   INDEX($C$155:$AJ$155,
     COUNTIFS($C$11:AF11, "*")
   ),
"")</f>
        <v/>
      </c>
      <c r="AG318" s="40" t="str" cm="1">
        <f t="array" ref="AG318">IF(COUNTIF(AG68,"*B*"),
   INDEX($C$155:$AJ$155,
     COUNTIFS($C$11:AG11, "*")
   ),
"")</f>
        <v/>
      </c>
      <c r="AH318" s="40" t="str" cm="1">
        <f t="array" ref="AH318">IF(COUNTIF(AH68,"*B*"),
   INDEX($C$155:$AJ$155,
     COUNTIFS($C$11:AH11, "*")
   ),
"")</f>
        <v/>
      </c>
      <c r="AI318" s="40" t="str" cm="1">
        <f t="array" ref="AI318">IF(COUNTIF(AI68,"*B*"),
   INDEX($C$155:$AJ$155,
     COUNTIFS($C$11:AI11, "*")
   ),
"")</f>
        <v/>
      </c>
      <c r="AJ318" s="40" t="str" cm="1">
        <f t="array" ref="AJ318">IF(COUNTIF(AJ68,"*B*"),
   INDEX($C$155:$AJ$155,
     COUNTIFS($C$11:AJ11, "*")
   ),
"")</f>
        <v/>
      </c>
      <c r="AK318" s="62" t="str">
        <f t="shared" si="55"/>
        <v/>
      </c>
    </row>
    <row r="319" spans="1:37" ht="15" customHeight="1" thickBot="1" x14ac:dyDescent="0.4">
      <c r="A319" s="1196"/>
      <c r="B319" s="22">
        <v>9</v>
      </c>
      <c r="C319" s="40" t="str" cm="1">
        <f t="array" ref="C319">IF(COUNTIF(C69,"*B*"),
   INDEX($C$156:$AJ$156,
     COUNTIFS($C$12:C12, "*")
   ),
"")</f>
        <v/>
      </c>
      <c r="D319" s="40" t="str" cm="1">
        <f t="array" ref="D319">IF(COUNTIF(D69,"*B*"),
   INDEX($C$156:$AJ$156,
     COUNTIFS($C$12:D12, "*")
   ),
"")</f>
        <v/>
      </c>
      <c r="E319" s="40" t="str" cm="1">
        <f t="array" ref="E319">IF(COUNTIF(E69,"*B*"),
   INDEX($C$156:$AJ$156,
     COUNTIFS($C$12:E12, "*")
   ),
"")</f>
        <v/>
      </c>
      <c r="F319" s="40" t="str" cm="1">
        <f t="array" ref="F319">IF(COUNTIF(F69,"*B*"),
   INDEX($C$156:$AJ$156,
     COUNTIFS($C$12:F12, "*")
   ),
"")</f>
        <v/>
      </c>
      <c r="G319" s="40" t="str" cm="1">
        <f t="array" ref="G319">IF(COUNTIF(G69,"*B*"),
   INDEX($C$156:$AJ$156,
     COUNTIFS($C$12:G12, "*")
   ),
"")</f>
        <v/>
      </c>
      <c r="H319" s="40" t="str" cm="1">
        <f t="array" ref="H319">IF(COUNTIF(H69,"*B*"),
   INDEX($C$156:$AJ$156,
     COUNTIFS($C$12:H12, "*")
   ),
"")</f>
        <v/>
      </c>
      <c r="I319" s="40" t="str" cm="1">
        <f t="array" ref="I319">IF(COUNTIF(I69,"*B*"),
   INDEX($C$156:$AJ$156,
     COUNTIFS($C$12:I12, "*")
   ),
"")</f>
        <v/>
      </c>
      <c r="J319" s="40" t="str" cm="1">
        <f t="array" ref="J319">IF(COUNTIF(J69,"*B*"),
   INDEX($C$156:$AJ$156,
     COUNTIFS($C$12:J12, "*")
   ),
"")</f>
        <v/>
      </c>
      <c r="K319" s="40" t="str" cm="1">
        <f t="array" ref="K319">IF(COUNTIF(K69,"*B*"),
   INDEX($C$156:$AJ$156,
     COUNTIFS($C$12:K12, "*")
   ),
"")</f>
        <v/>
      </c>
      <c r="L319" s="40" t="str" cm="1">
        <f t="array" ref="L319">IF(COUNTIF(L69,"*B*"),
   INDEX($C$156:$AJ$156,
     COUNTIFS($C$12:L12, "*")
   ),
"")</f>
        <v/>
      </c>
      <c r="M319" s="40" t="str" cm="1">
        <f t="array" ref="M319">IF(COUNTIF(M69,"*B*"),
   INDEX($C$156:$AJ$156,
     COUNTIFS($C$12:M12, "*")
   ),
"")</f>
        <v/>
      </c>
      <c r="N319" s="40" t="str" cm="1">
        <f t="array" ref="N319">IF(COUNTIF(N69,"*B*"),
   INDEX($C$156:$AJ$156,
     COUNTIFS($C$12:N12, "*")
   ),
"")</f>
        <v/>
      </c>
      <c r="O319" s="40" t="str" cm="1">
        <f t="array" ref="O319">IF(COUNTIF(O69,"*B*"),
   INDEX($C$156:$AJ$156,
     COUNTIFS($C$12:O12, "*")
   ),
"")</f>
        <v/>
      </c>
      <c r="P319" s="40" t="str" cm="1">
        <f t="array" ref="P319">IF(COUNTIF(P69,"*B*"),
   INDEX($C$156:$AJ$156,
     COUNTIFS($C$12:P12, "*")
   ),
"")</f>
        <v/>
      </c>
      <c r="Q319" s="40" t="str" cm="1">
        <f t="array" ref="Q319">IF(COUNTIF(Q69,"*B*"),
   INDEX($C$156:$AJ$156,
     COUNTIFS($C$12:Q12, "*")
   ),
"")</f>
        <v/>
      </c>
      <c r="R319" s="40" t="str" cm="1">
        <f t="array" ref="R319">IF(COUNTIF(R69,"*B*"),
   INDEX($C$156:$AJ$156,
     COUNTIFS($C$12:R12, "*")
   ),
"")</f>
        <v/>
      </c>
      <c r="S319" s="40" t="str" cm="1">
        <f t="array" ref="S319">IF(COUNTIF(S69,"*B*"),
   INDEX($C$156:$AJ$156,
     COUNTIFS($C$12:S12, "*")
   ),
"")</f>
        <v/>
      </c>
      <c r="T319" s="40" t="str" cm="1">
        <f t="array" ref="T319">IF(COUNTIF(T69,"*B*"),
   INDEX($C$156:$AJ$156,
     COUNTIFS($C$12:T12, "*")
   ),
"")</f>
        <v/>
      </c>
      <c r="U319" s="40" t="str" cm="1">
        <f t="array" ref="U319">IF(COUNTIF(U69,"*B*"),
   INDEX($C$156:$AJ$156,
     COUNTIFS($C$12:U12, "*")
   ),
"")</f>
        <v/>
      </c>
      <c r="V319" s="40" t="str" cm="1">
        <f t="array" ref="V319">IF(COUNTIF(V69,"*B*"),
   INDEX($C$156:$AJ$156,
     COUNTIFS($C$12:V12, "*")
   ),
"")</f>
        <v/>
      </c>
      <c r="W319" s="40" t="str" cm="1">
        <f t="array" ref="W319">IF(COUNTIF(W69,"*B*"),
   INDEX($C$156:$AJ$156,
     COUNTIFS($C$12:W12, "*")
   ),
"")</f>
        <v/>
      </c>
      <c r="X319" s="40" t="str" cm="1">
        <f t="array" ref="X319">IF(COUNTIF(X69,"*B*"),
   INDEX($C$156:$AJ$156,
     COUNTIFS($C$12:X12, "*")
   ),
"")</f>
        <v/>
      </c>
      <c r="Y319" s="40" t="str" cm="1">
        <f t="array" ref="Y319">IF(COUNTIF(Y69,"*B*"),
   INDEX($C$156:$AJ$156,
     COUNTIFS($C$12:Y12, "*")
   ),
"")</f>
        <v/>
      </c>
      <c r="Z319" s="40" t="str" cm="1">
        <f t="array" ref="Z319">IF(COUNTIF(Z69,"*B*"),
   INDEX($C$156:$AJ$156,
     COUNTIFS($C$12:Z12, "*")
   ),
"")</f>
        <v/>
      </c>
      <c r="AA319" s="40" t="str" cm="1">
        <f t="array" ref="AA319">IF(COUNTIF(AA69,"*B*"),
   INDEX($C$156:$AJ$156,
     COUNTIFS($C$12:AA12, "*")
   ),
"")</f>
        <v/>
      </c>
      <c r="AB319" s="40" t="str" cm="1">
        <f t="array" ref="AB319">IF(COUNTIF(AB69,"*B*"),
   INDEX($C$156:$AJ$156,
     COUNTIFS($C$12:AB12, "*")
   ),
"")</f>
        <v/>
      </c>
      <c r="AC319" s="40" t="str" cm="1">
        <f t="array" ref="AC319">IF(COUNTIF(AC69,"*B*"),
   INDEX($C$156:$AJ$156,
     COUNTIFS($C$12:AC12, "*")
   ),
"")</f>
        <v/>
      </c>
      <c r="AD319" s="40" t="str" cm="1">
        <f t="array" ref="AD319">IF(COUNTIF(AD69,"*B*"),
   INDEX($C$156:$AJ$156,
     COUNTIFS($C$12:AD12, "*")
   ),
"")</f>
        <v/>
      </c>
      <c r="AE319" s="40" t="str" cm="1">
        <f t="array" ref="AE319">IF(COUNTIF(AE69,"*B*"),
   INDEX($C$156:$AJ$156,
     COUNTIFS($C$12:AE12, "*")
   ),
"")</f>
        <v/>
      </c>
      <c r="AF319" s="40" t="str" cm="1">
        <f t="array" ref="AF319">IF(COUNTIF(AF69,"*B*"),
   INDEX($C$156:$AJ$156,
     COUNTIFS($C$12:AF12, "*")
   ),
"")</f>
        <v/>
      </c>
      <c r="AG319" s="40" t="str" cm="1">
        <f t="array" ref="AG319">IF(COUNTIF(AG69,"*B*"),
   INDEX($C$156:$AJ$156,
     COUNTIFS($C$12:AG12, "*")
   ),
"")</f>
        <v/>
      </c>
      <c r="AH319" s="40" t="str" cm="1">
        <f t="array" ref="AH319">IF(COUNTIF(AH69,"*B*"),
   INDEX($C$156:$AJ$156,
     COUNTIFS($C$12:AH12, "*")
   ),
"")</f>
        <v/>
      </c>
      <c r="AI319" s="40" t="str" cm="1">
        <f t="array" ref="AI319">IF(COUNTIF(AI69,"*B*"),
   INDEX($C$156:$AJ$156,
     COUNTIFS($C$12:AI12, "*")
   ),
"")</f>
        <v/>
      </c>
      <c r="AJ319" s="40" t="str" cm="1">
        <f t="array" ref="AJ319">IF(COUNTIF(AJ69,"*B*"),
   INDEX($C$156:$AJ$156,
     COUNTIFS($C$12:AJ12, "*")
   ),
"")</f>
        <v/>
      </c>
      <c r="AK319" s="62" t="str">
        <f t="shared" si="55"/>
        <v/>
      </c>
    </row>
    <row r="320" spans="1:37" ht="15" customHeight="1" thickBot="1" x14ac:dyDescent="0.4">
      <c r="A320" s="1196"/>
      <c r="B320" s="22">
        <v>10</v>
      </c>
      <c r="C320" s="40" t="str" cm="1">
        <f t="array" ref="C320">IF(COUNTIF(C70,"*B*"),
   INDEX($C$157:$AJ$157,
     COUNTIFS($C$13:C13, "*")
   ),
"")</f>
        <v/>
      </c>
      <c r="D320" s="40" t="str" cm="1">
        <f t="array" ref="D320">IF(COUNTIF(D70,"*B*"),
   INDEX($C$157:$AJ$157,
     COUNTIFS($C$13:D13, "*")
   ),
"")</f>
        <v/>
      </c>
      <c r="E320" s="40" t="str" cm="1">
        <f t="array" ref="E320">IF(COUNTIF(E70,"*B*"),
   INDEX($C$157:$AJ$157,
     COUNTIFS($C$13:E13, "*")
   ),
"")</f>
        <v/>
      </c>
      <c r="F320" s="40" t="str" cm="1">
        <f t="array" ref="F320">IF(COUNTIF(F70,"*B*"),
   INDEX($C$157:$AJ$157,
     COUNTIFS($C$13:F13, "*")
   ),
"")</f>
        <v/>
      </c>
      <c r="G320" s="40" t="str" cm="1">
        <f t="array" ref="G320">IF(COUNTIF(G70,"*B*"),
   INDEX($C$157:$AJ$157,
     COUNTIFS($C$13:G13, "*")
   ),
"")</f>
        <v/>
      </c>
      <c r="H320" s="40" t="str" cm="1">
        <f t="array" ref="H320">IF(COUNTIF(H70,"*B*"),
   INDEX($C$157:$AJ$157,
     COUNTIFS($C$13:H13, "*")
   ),
"")</f>
        <v/>
      </c>
      <c r="I320" s="40" t="str" cm="1">
        <f t="array" ref="I320">IF(COUNTIF(I70,"*B*"),
   INDEX($C$157:$AJ$157,
     COUNTIFS($C$13:I13, "*")
   ),
"")</f>
        <v/>
      </c>
      <c r="J320" s="40" t="str" cm="1">
        <f t="array" ref="J320">IF(COUNTIF(J70,"*B*"),
   INDEX($C$157:$AJ$157,
     COUNTIFS($C$13:J13, "*")
   ),
"")</f>
        <v/>
      </c>
      <c r="K320" s="40" t="str" cm="1">
        <f t="array" ref="K320">IF(COUNTIF(K70,"*B*"),
   INDEX($C$157:$AJ$157,
     COUNTIFS($C$13:K13, "*")
   ),
"")</f>
        <v/>
      </c>
      <c r="L320" s="40" t="str" cm="1">
        <f t="array" ref="L320">IF(COUNTIF(L70,"*B*"),
   INDEX($C$157:$AJ$157,
     COUNTIFS($C$13:L13, "*")
   ),
"")</f>
        <v/>
      </c>
      <c r="M320" s="40" t="str" cm="1">
        <f t="array" ref="M320">IF(COUNTIF(M70,"*B*"),
   INDEX($C$157:$AJ$157,
     COUNTIFS($C$13:M13, "*")
   ),
"")</f>
        <v/>
      </c>
      <c r="N320" s="40" t="str" cm="1">
        <f t="array" ref="N320">IF(COUNTIF(N70,"*B*"),
   INDEX($C$157:$AJ$157,
     COUNTIFS($C$13:N13, "*")
   ),
"")</f>
        <v/>
      </c>
      <c r="O320" s="40" t="str" cm="1">
        <f t="array" ref="O320">IF(COUNTIF(O70,"*B*"),
   INDEX($C$157:$AJ$157,
     COUNTIFS($C$13:O13, "*")
   ),
"")</f>
        <v/>
      </c>
      <c r="P320" s="40" t="str" cm="1">
        <f t="array" ref="P320">IF(COUNTIF(P70,"*B*"),
   INDEX($C$157:$AJ$157,
     COUNTIFS($C$13:P13, "*")
   ),
"")</f>
        <v/>
      </c>
      <c r="Q320" s="40" t="str" cm="1">
        <f t="array" ref="Q320">IF(COUNTIF(Q70,"*B*"),
   INDEX($C$157:$AJ$157,
     COUNTIFS($C$13:Q13, "*")
   ),
"")</f>
        <v/>
      </c>
      <c r="R320" s="40" t="str" cm="1">
        <f t="array" ref="R320">IF(COUNTIF(R70,"*B*"),
   INDEX($C$157:$AJ$157,
     COUNTIFS($C$13:R13, "*")
   ),
"")</f>
        <v/>
      </c>
      <c r="S320" s="40" t="str" cm="1">
        <f t="array" ref="S320">IF(COUNTIF(S70,"*B*"),
   INDEX($C$157:$AJ$157,
     COUNTIFS($C$13:S13, "*")
   ),
"")</f>
        <v/>
      </c>
      <c r="T320" s="40" t="str" cm="1">
        <f t="array" ref="T320">IF(COUNTIF(T70,"*B*"),
   INDEX($C$157:$AJ$157,
     COUNTIFS($C$13:T13, "*")
   ),
"")</f>
        <v/>
      </c>
      <c r="U320" s="40" t="str" cm="1">
        <f t="array" ref="U320">IF(COUNTIF(U70,"*B*"),
   INDEX($C$157:$AJ$157,
     COUNTIFS($C$13:U13, "*")
   ),
"")</f>
        <v/>
      </c>
      <c r="V320" s="40" t="str" cm="1">
        <f t="array" ref="V320">IF(COUNTIF(V70,"*B*"),
   INDEX($C$157:$AJ$157,
     COUNTIFS($C$13:V13, "*")
   ),
"")</f>
        <v/>
      </c>
      <c r="W320" s="40" t="str" cm="1">
        <f t="array" ref="W320">IF(COUNTIF(W70,"*B*"),
   INDEX($C$157:$AJ$157,
     COUNTIFS($C$13:W13, "*")
   ),
"")</f>
        <v/>
      </c>
      <c r="X320" s="40" t="str" cm="1">
        <f t="array" ref="X320">IF(COUNTIF(X70,"*B*"),
   INDEX($C$157:$AJ$157,
     COUNTIFS($C$13:X13, "*")
   ),
"")</f>
        <v/>
      </c>
      <c r="Y320" s="40" t="str" cm="1">
        <f t="array" ref="Y320">IF(COUNTIF(Y70,"*B*"),
   INDEX($C$157:$AJ$157,
     COUNTIFS($C$13:Y13, "*")
   ),
"")</f>
        <v/>
      </c>
      <c r="Z320" s="40" t="str" cm="1">
        <f t="array" ref="Z320">IF(COUNTIF(Z70,"*B*"),
   INDEX($C$157:$AJ$157,
     COUNTIFS($C$13:Z13, "*")
   ),
"")</f>
        <v/>
      </c>
      <c r="AA320" s="40" t="str" cm="1">
        <f t="array" ref="AA320">IF(COUNTIF(AA70,"*B*"),
   INDEX($C$157:$AJ$157,
     COUNTIFS($C$13:AA13, "*")
   ),
"")</f>
        <v/>
      </c>
      <c r="AB320" s="40" t="str" cm="1">
        <f t="array" ref="AB320">IF(COUNTIF(AB70,"*B*"),
   INDEX($C$157:$AJ$157,
     COUNTIFS($C$13:AB13, "*")
   ),
"")</f>
        <v/>
      </c>
      <c r="AC320" s="40" t="str" cm="1">
        <f t="array" ref="AC320">IF(COUNTIF(AC70,"*B*"),
   INDEX($C$157:$AJ$157,
     COUNTIFS($C$13:AC13, "*")
   ),
"")</f>
        <v/>
      </c>
      <c r="AD320" s="40" t="str" cm="1">
        <f t="array" ref="AD320">IF(COUNTIF(AD70,"*B*"),
   INDEX($C$157:$AJ$157,
     COUNTIFS($C$13:AD13, "*")
   ),
"")</f>
        <v/>
      </c>
      <c r="AE320" s="40" t="str" cm="1">
        <f t="array" ref="AE320">IF(COUNTIF(AE70,"*B*"),
   INDEX($C$157:$AJ$157,
     COUNTIFS($C$13:AE13, "*")
   ),
"")</f>
        <v/>
      </c>
      <c r="AF320" s="40" t="str" cm="1">
        <f t="array" ref="AF320">IF(COUNTIF(AF70,"*B*"),
   INDEX($C$157:$AJ$157,
     COUNTIFS($C$13:AF13, "*")
   ),
"")</f>
        <v/>
      </c>
      <c r="AG320" s="40" t="str" cm="1">
        <f t="array" ref="AG320">IF(COUNTIF(AG70,"*B*"),
   INDEX($C$157:$AJ$157,
     COUNTIFS($C$13:AG13, "*")
   ),
"")</f>
        <v/>
      </c>
      <c r="AH320" s="40" t="str" cm="1">
        <f t="array" ref="AH320">IF(COUNTIF(AH70,"*B*"),
   INDEX($C$157:$AJ$157,
     COUNTIFS($C$13:AH13, "*")
   ),
"")</f>
        <v/>
      </c>
      <c r="AI320" s="40" t="str" cm="1">
        <f t="array" ref="AI320">IF(COUNTIF(AI70,"*B*"),
   INDEX($C$157:$AJ$157,
     COUNTIFS($C$13:AI13, "*")
   ),
"")</f>
        <v/>
      </c>
      <c r="AJ320" s="40" t="str" cm="1">
        <f t="array" ref="AJ320">IF(COUNTIF(AJ70,"*B*"),
   INDEX($C$157:$AJ$157,
     COUNTIFS($C$13:AJ13, "*")
   ),
"")</f>
        <v/>
      </c>
      <c r="AK320" s="62" t="str">
        <f t="shared" si="55"/>
        <v/>
      </c>
    </row>
    <row r="321" spans="1:37" ht="15" customHeight="1" thickBot="1" x14ac:dyDescent="0.4">
      <c r="A321" s="1196"/>
      <c r="B321" s="22">
        <v>11</v>
      </c>
      <c r="C321" s="40" t="str" cm="1">
        <f t="array" ref="C321">IF(COUNTIF(C71,"*B*"),
   INDEX($C$158:$AJ$158,
     COUNTIFS($C$14:C14, "*")
   ),
"")</f>
        <v/>
      </c>
      <c r="D321" s="40" t="str" cm="1">
        <f t="array" ref="D321">IF(COUNTIF(D71,"*B*"),
   INDEX($C$158:$AJ$158,
     COUNTIFS($C$14:D14, "*")
   ),
"")</f>
        <v/>
      </c>
      <c r="E321" s="40" t="str" cm="1">
        <f t="array" ref="E321">IF(COUNTIF(E71,"*B*"),
   INDEX($C$158:$AJ$158,
     COUNTIFS($C$14:E14, "*")
   ),
"")</f>
        <v/>
      </c>
      <c r="F321" s="40" t="str" cm="1">
        <f t="array" ref="F321">IF(COUNTIF(F71,"*B*"),
   INDEX($C$158:$AJ$158,
     COUNTIFS($C$14:F14, "*")
   ),
"")</f>
        <v/>
      </c>
      <c r="G321" s="40" t="str" cm="1">
        <f t="array" ref="G321">IF(COUNTIF(G71,"*B*"),
   INDEX($C$158:$AJ$158,
     COUNTIFS($C$14:G14, "*")
   ),
"")</f>
        <v/>
      </c>
      <c r="H321" s="40" t="str" cm="1">
        <f t="array" ref="H321">IF(COUNTIF(H71,"*B*"),
   INDEX($C$158:$AJ$158,
     COUNTIFS($C$14:H14, "*")
   ),
"")</f>
        <v/>
      </c>
      <c r="I321" s="40" t="str" cm="1">
        <f t="array" ref="I321">IF(COUNTIF(I71,"*B*"),
   INDEX($C$158:$AJ$158,
     COUNTIFS($C$14:I14, "*")
   ),
"")</f>
        <v/>
      </c>
      <c r="J321" s="40" t="str" cm="1">
        <f t="array" ref="J321">IF(COUNTIF(J71,"*B*"),
   INDEX($C$158:$AJ$158,
     COUNTIFS($C$14:J14, "*")
   ),
"")</f>
        <v/>
      </c>
      <c r="K321" s="40" t="str" cm="1">
        <f t="array" ref="K321">IF(COUNTIF(K71,"*B*"),
   INDEX($C$158:$AJ$158,
     COUNTIFS($C$14:K14, "*")
   ),
"")</f>
        <v/>
      </c>
      <c r="L321" s="40" t="str" cm="1">
        <f t="array" ref="L321">IF(COUNTIF(L71,"*B*"),
   INDEX($C$158:$AJ$158,
     COUNTIFS($C$14:L14, "*")
   ),
"")</f>
        <v/>
      </c>
      <c r="M321" s="40" t="str" cm="1">
        <f t="array" ref="M321">IF(COUNTIF(M71,"*B*"),
   INDEX($C$158:$AJ$158,
     COUNTIFS($C$14:M14, "*")
   ),
"")</f>
        <v/>
      </c>
      <c r="N321" s="40" t="str" cm="1">
        <f t="array" ref="N321">IF(COUNTIF(N71,"*B*"),
   INDEX($C$158:$AJ$158,
     COUNTIFS($C$14:N14, "*")
   ),
"")</f>
        <v/>
      </c>
      <c r="O321" s="40" t="str" cm="1">
        <f t="array" ref="O321">IF(COUNTIF(O71,"*B*"),
   INDEX($C$158:$AJ$158,
     COUNTIFS($C$14:O14, "*")
   ),
"")</f>
        <v/>
      </c>
      <c r="P321" s="40" t="str" cm="1">
        <f t="array" ref="P321">IF(COUNTIF(P71,"*B*"),
   INDEX($C$158:$AJ$158,
     COUNTIFS($C$14:P14, "*")
   ),
"")</f>
        <v/>
      </c>
      <c r="Q321" s="40" t="str" cm="1">
        <f t="array" ref="Q321">IF(COUNTIF(Q71,"*B*"),
   INDEX($C$158:$AJ$158,
     COUNTIFS($C$14:Q14, "*")
   ),
"")</f>
        <v/>
      </c>
      <c r="R321" s="40" t="str" cm="1">
        <f t="array" ref="R321">IF(COUNTIF(R71,"*B*"),
   INDEX($C$158:$AJ$158,
     COUNTIFS($C$14:R14, "*")
   ),
"")</f>
        <v/>
      </c>
      <c r="S321" s="40" t="str" cm="1">
        <f t="array" ref="S321">IF(COUNTIF(S71,"*B*"),
   INDEX($C$158:$AJ$158,
     COUNTIFS($C$14:S14, "*")
   ),
"")</f>
        <v/>
      </c>
      <c r="T321" s="40" t="str" cm="1">
        <f t="array" ref="T321">IF(COUNTIF(T71,"*B*"),
   INDEX($C$158:$AJ$158,
     COUNTIFS($C$14:T14, "*")
   ),
"")</f>
        <v/>
      </c>
      <c r="U321" s="40" t="str" cm="1">
        <f t="array" ref="U321">IF(COUNTIF(U71,"*B*"),
   INDEX($C$158:$AJ$158,
     COUNTIFS($C$14:U14, "*")
   ),
"")</f>
        <v/>
      </c>
      <c r="V321" s="40" t="str" cm="1">
        <f t="array" ref="V321">IF(COUNTIF(V71,"*B*"),
   INDEX($C$158:$AJ$158,
     COUNTIFS($C$14:V14, "*")
   ),
"")</f>
        <v/>
      </c>
      <c r="W321" s="40" t="str" cm="1">
        <f t="array" ref="W321">IF(COUNTIF(W71,"*B*"),
   INDEX($C$158:$AJ$158,
     COUNTIFS($C$14:W14, "*")
   ),
"")</f>
        <v/>
      </c>
      <c r="X321" s="40" t="str" cm="1">
        <f t="array" ref="X321">IF(COUNTIF(X71,"*B*"),
   INDEX($C$158:$AJ$158,
     COUNTIFS($C$14:X14, "*")
   ),
"")</f>
        <v/>
      </c>
      <c r="Y321" s="40" t="str" cm="1">
        <f t="array" ref="Y321">IF(COUNTIF(Y71,"*B*"),
   INDEX($C$158:$AJ$158,
     COUNTIFS($C$14:Y14, "*")
   ),
"")</f>
        <v/>
      </c>
      <c r="Z321" s="40" t="str" cm="1">
        <f t="array" ref="Z321">IF(COUNTIF(Z71,"*B*"),
   INDEX($C$158:$AJ$158,
     COUNTIFS($C$14:Z14, "*")
   ),
"")</f>
        <v/>
      </c>
      <c r="AA321" s="40" t="str" cm="1">
        <f t="array" ref="AA321">IF(COUNTIF(AA71,"*B*"),
   INDEX($C$158:$AJ$158,
     COUNTIFS($C$14:AA14, "*")
   ),
"")</f>
        <v/>
      </c>
      <c r="AB321" s="40" t="str" cm="1">
        <f t="array" ref="AB321">IF(COUNTIF(AB71,"*B*"),
   INDEX($C$158:$AJ$158,
     COUNTIFS($C$14:AB14, "*")
   ),
"")</f>
        <v/>
      </c>
      <c r="AC321" s="40" t="str" cm="1">
        <f t="array" ref="AC321">IF(COUNTIF(AC71,"*B*"),
   INDEX($C$158:$AJ$158,
     COUNTIFS($C$14:AC14, "*")
   ),
"")</f>
        <v/>
      </c>
      <c r="AD321" s="40" t="str" cm="1">
        <f t="array" ref="AD321">IF(COUNTIF(AD71,"*B*"),
   INDEX($C$158:$AJ$158,
     COUNTIFS($C$14:AD14, "*")
   ),
"")</f>
        <v/>
      </c>
      <c r="AE321" s="40" t="str" cm="1">
        <f t="array" ref="AE321">IF(COUNTIF(AE71,"*B*"),
   INDEX($C$158:$AJ$158,
     COUNTIFS($C$14:AE14, "*")
   ),
"")</f>
        <v/>
      </c>
      <c r="AF321" s="40" t="str" cm="1">
        <f t="array" ref="AF321">IF(COUNTIF(AF71,"*B*"),
   INDEX($C$158:$AJ$158,
     COUNTIFS($C$14:AF14, "*")
   ),
"")</f>
        <v/>
      </c>
      <c r="AG321" s="40" t="str" cm="1">
        <f t="array" ref="AG321">IF(COUNTIF(AG71,"*B*"),
   INDEX($C$158:$AJ$158,
     COUNTIFS($C$14:AG14, "*")
   ),
"")</f>
        <v/>
      </c>
      <c r="AH321" s="40" t="str" cm="1">
        <f t="array" ref="AH321">IF(COUNTIF(AH71,"*B*"),
   INDEX($C$158:$AJ$158,
     COUNTIFS($C$14:AH14, "*")
   ),
"")</f>
        <v/>
      </c>
      <c r="AI321" s="40" t="str" cm="1">
        <f t="array" ref="AI321">IF(COUNTIF(AI71,"*B*"),
   INDEX($C$158:$AJ$158,
     COUNTIFS($C$14:AI14, "*")
   ),
"")</f>
        <v/>
      </c>
      <c r="AJ321" s="40" t="str" cm="1">
        <f t="array" ref="AJ321">IF(COUNTIF(AJ71,"*B*"),
   INDEX($C$158:$AJ$158,
     COUNTIFS($C$14:AJ14, "*")
   ),
"")</f>
        <v/>
      </c>
      <c r="AK321" s="62" t="str">
        <f t="shared" si="55"/>
        <v/>
      </c>
    </row>
    <row r="322" spans="1:37" ht="15.75" customHeight="1" thickBot="1" x14ac:dyDescent="0.4">
      <c r="A322" s="1197"/>
      <c r="B322" s="23">
        <v>12</v>
      </c>
      <c r="C322" s="40" t="str" cm="1">
        <f t="array" ref="C322">IF(COUNTIF(C72,"*B*"),
   INDEX($C$159:$AJ$159,
     COUNTIFS($C$15:C15, "*")
   ),
"")</f>
        <v/>
      </c>
      <c r="D322" s="40" t="str" cm="1">
        <f t="array" ref="D322">IF(COUNTIF(D72,"*B*"),
   INDEX($C$159:$AJ$159,
     COUNTIFS($C$15:D15, "*")
   ),
"")</f>
        <v/>
      </c>
      <c r="E322" s="40" t="str" cm="1">
        <f t="array" ref="E322">IF(COUNTIF(E72,"*B*"),
   INDEX($C$159:$AJ$159,
     COUNTIFS($C$15:E15, "*")
   ),
"")</f>
        <v/>
      </c>
      <c r="F322" s="40" t="str" cm="1">
        <f t="array" ref="F322">IF(COUNTIF(F72,"*B*"),
   INDEX($C$159:$AJ$159,
     COUNTIFS($C$15:F15, "*")
   ),
"")</f>
        <v/>
      </c>
      <c r="G322" s="40" t="str" cm="1">
        <f t="array" ref="G322">IF(COUNTIF(G72,"*B*"),
   INDEX($C$159:$AJ$159,
     COUNTIFS($C$15:G15, "*")
   ),
"")</f>
        <v/>
      </c>
      <c r="H322" s="40" t="str" cm="1">
        <f t="array" ref="H322">IF(COUNTIF(H72,"*B*"),
   INDEX($C$159:$AJ$159,
     COUNTIFS($C$15:H15, "*")
   ),
"")</f>
        <v/>
      </c>
      <c r="I322" s="40" t="str" cm="1">
        <f t="array" ref="I322">IF(COUNTIF(I72,"*B*"),
   INDEX($C$159:$AJ$159,
     COUNTIFS($C$15:I15, "*")
   ),
"")</f>
        <v/>
      </c>
      <c r="J322" s="40" t="str" cm="1">
        <f t="array" ref="J322">IF(COUNTIF(J72,"*B*"),
   INDEX($C$159:$AJ$159,
     COUNTIFS($C$15:J15, "*")
   ),
"")</f>
        <v/>
      </c>
      <c r="K322" s="40" t="str" cm="1">
        <f t="array" ref="K322">IF(COUNTIF(K72,"*B*"),
   INDEX($C$159:$AJ$159,
     COUNTIFS($C$15:K15, "*")
   ),
"")</f>
        <v/>
      </c>
      <c r="L322" s="40" t="str" cm="1">
        <f t="array" ref="L322">IF(COUNTIF(L72,"*B*"),
   INDEX($C$159:$AJ$159,
     COUNTIFS($C$15:L15, "*")
   ),
"")</f>
        <v/>
      </c>
      <c r="M322" s="40" t="str" cm="1">
        <f t="array" ref="M322">IF(COUNTIF(M72,"*B*"),
   INDEX($C$159:$AJ$159,
     COUNTIFS($C$15:M15, "*")
   ),
"")</f>
        <v/>
      </c>
      <c r="N322" s="40" t="str" cm="1">
        <f t="array" ref="N322">IF(COUNTIF(N72,"*B*"),
   INDEX($C$159:$AJ$159,
     COUNTIFS($C$15:N15, "*")
   ),
"")</f>
        <v/>
      </c>
      <c r="O322" s="40" t="str" cm="1">
        <f t="array" ref="O322">IF(COUNTIF(O72,"*B*"),
   INDEX($C$159:$AJ$159,
     COUNTIFS($C$15:O15, "*")
   ),
"")</f>
        <v/>
      </c>
      <c r="P322" s="40" t="str" cm="1">
        <f t="array" ref="P322">IF(COUNTIF(P72,"*B*"),
   INDEX($C$159:$AJ$159,
     COUNTIFS($C$15:P15, "*")
   ),
"")</f>
        <v/>
      </c>
      <c r="Q322" s="40" t="str" cm="1">
        <f t="array" ref="Q322">IF(COUNTIF(Q72,"*B*"),
   INDEX($C$159:$AJ$159,
     COUNTIFS($C$15:Q15, "*")
   ),
"")</f>
        <v/>
      </c>
      <c r="R322" s="40" t="str" cm="1">
        <f t="array" ref="R322">IF(COUNTIF(R72,"*B*"),
   INDEX($C$159:$AJ$159,
     COUNTIFS($C$15:R15, "*")
   ),
"")</f>
        <v/>
      </c>
      <c r="S322" s="40" t="str" cm="1">
        <f t="array" ref="S322">IF(COUNTIF(S72,"*B*"),
   INDEX($C$159:$AJ$159,
     COUNTIFS($C$15:S15, "*")
   ),
"")</f>
        <v/>
      </c>
      <c r="T322" s="40" t="str" cm="1">
        <f t="array" ref="T322">IF(COUNTIF(T72,"*B*"),
   INDEX($C$159:$AJ$159,
     COUNTIFS($C$15:T15, "*")
   ),
"")</f>
        <v/>
      </c>
      <c r="U322" s="40" t="str" cm="1">
        <f t="array" ref="U322">IF(COUNTIF(U72,"*B*"),
   INDEX($C$159:$AJ$159,
     COUNTIFS($C$15:U15, "*")
   ),
"")</f>
        <v/>
      </c>
      <c r="V322" s="40" t="str" cm="1">
        <f t="array" ref="V322">IF(COUNTIF(V72,"*B*"),
   INDEX($C$159:$AJ$159,
     COUNTIFS($C$15:V15, "*")
   ),
"")</f>
        <v/>
      </c>
      <c r="W322" s="40" t="str" cm="1">
        <f t="array" ref="W322">IF(COUNTIF(W72,"*B*"),
   INDEX($C$159:$AJ$159,
     COUNTIFS($C$15:W15, "*")
   ),
"")</f>
        <v/>
      </c>
      <c r="X322" s="40" t="str" cm="1">
        <f t="array" ref="X322">IF(COUNTIF(X72,"*B*"),
   INDEX($C$159:$AJ$159,
     COUNTIFS($C$15:X15, "*")
   ),
"")</f>
        <v/>
      </c>
      <c r="Y322" s="40" t="str" cm="1">
        <f t="array" ref="Y322">IF(COUNTIF(Y72,"*B*"),
   INDEX($C$159:$AJ$159,
     COUNTIFS($C$15:Y15, "*")
   ),
"")</f>
        <v/>
      </c>
      <c r="Z322" s="40" t="str" cm="1">
        <f t="array" ref="Z322">IF(COUNTIF(Z72,"*B*"),
   INDEX($C$159:$AJ$159,
     COUNTIFS($C$15:Z15, "*")
   ),
"")</f>
        <v/>
      </c>
      <c r="AA322" s="40" t="str" cm="1">
        <f t="array" ref="AA322">IF(COUNTIF(AA72,"*B*"),
   INDEX($C$159:$AJ$159,
     COUNTIFS($C$15:AA15, "*")
   ),
"")</f>
        <v/>
      </c>
      <c r="AB322" s="40" t="str" cm="1">
        <f t="array" ref="AB322">IF(COUNTIF(AB72,"*B*"),
   INDEX($C$159:$AJ$159,
     COUNTIFS($C$15:AB15, "*")
   ),
"")</f>
        <v/>
      </c>
      <c r="AC322" s="40" t="str" cm="1">
        <f t="array" ref="AC322">IF(COUNTIF(AC72,"*B*"),
   INDEX($C$159:$AJ$159,
     COUNTIFS($C$15:AC15, "*")
   ),
"")</f>
        <v/>
      </c>
      <c r="AD322" s="40" t="str" cm="1">
        <f t="array" ref="AD322">IF(COUNTIF(AD72,"*B*"),
   INDEX($C$159:$AJ$159,
     COUNTIFS($C$15:AD15, "*")
   ),
"")</f>
        <v/>
      </c>
      <c r="AE322" s="40" t="str" cm="1">
        <f t="array" ref="AE322">IF(COUNTIF(AE72,"*B*"),
   INDEX($C$159:$AJ$159,
     COUNTIFS($C$15:AE15, "*")
   ),
"")</f>
        <v/>
      </c>
      <c r="AF322" s="40" t="str" cm="1">
        <f t="array" ref="AF322">IF(COUNTIF(AF72,"*B*"),
   INDEX($C$159:$AJ$159,
     COUNTIFS($C$15:AF15, "*")
   ),
"")</f>
        <v/>
      </c>
      <c r="AG322" s="40" t="str" cm="1">
        <f t="array" ref="AG322">IF(COUNTIF(AG72,"*B*"),
   INDEX($C$159:$AJ$159,
     COUNTIFS($C$15:AG15, "*")
   ),
"")</f>
        <v/>
      </c>
      <c r="AH322" s="40" t="str" cm="1">
        <f t="array" ref="AH322">IF(COUNTIF(AH72,"*B*"),
   INDEX($C$159:$AJ$159,
     COUNTIFS($C$15:AH15, "*")
   ),
"")</f>
        <v/>
      </c>
      <c r="AI322" s="40" t="str" cm="1">
        <f t="array" ref="AI322">IF(COUNTIF(AI72,"*B*"),
   INDEX($C$159:$AJ$159,
     COUNTIFS($C$15:AI15, "*")
   ),
"")</f>
        <v/>
      </c>
      <c r="AJ322" s="40" t="str" cm="1">
        <f t="array" ref="AJ322">IF(COUNTIF(AJ72,"*B*"),
   INDEX($C$159:$AJ$159,
     COUNTIFS($C$15:AJ15, "*")
   ),
"")</f>
        <v/>
      </c>
      <c r="AK322" s="62" t="str">
        <f t="shared" si="55"/>
        <v/>
      </c>
    </row>
    <row r="323" spans="1:37" ht="15" customHeight="1" x14ac:dyDescent="0.35">
      <c r="AK323" s="63" t="str">
        <f>CONCATENATE(AK311,AK312,AK313,AK314,AK315,AK316,AK317,AK318,AK319,AK320,AK321,AK322)</f>
        <v/>
      </c>
    </row>
    <row r="324" spans="1:37" ht="15" customHeight="1" x14ac:dyDescent="0.35">
      <c r="AK324" s="63" t="s">
        <v>715</v>
      </c>
    </row>
    <row r="325" spans="1:37" ht="15" customHeight="1" x14ac:dyDescent="0.35">
      <c r="AK325" s="63" t="s">
        <v>715</v>
      </c>
    </row>
    <row r="326" spans="1:37" ht="15.75" customHeight="1" thickBot="1" x14ac:dyDescent="0.4">
      <c r="AK326" s="64" t="str">
        <f>IF(AK323&lt;&gt;"",IF(LEN(AK323)&lt;9,CONCATENATE(AK324,LEFT(AK323,4),"."),IF(LEN(AK323&gt;6),LEFT(CONCATENATE(AK325,LEFT(AK323,LEN(AK323)-10),SUBSTITUTE(RIGHT(AK323,10),", "," and ")),LEN(CONCATENATE(AK325,LEFT(AK323,LEN(AK323)-10),SUBSTITUTE(RIGHT(AK323,10),", "," and ")))-5)&amp;". ")),"")</f>
        <v/>
      </c>
    </row>
    <row r="327" spans="1:37" ht="15" customHeight="1" x14ac:dyDescent="0.35"/>
    <row r="328" spans="1:37" ht="15" customHeight="1" x14ac:dyDescent="0.35"/>
    <row r="329" spans="1:37" ht="15.75" customHeight="1" thickBot="1" x14ac:dyDescent="0.4">
      <c r="D329" s="1201" t="s">
        <v>711</v>
      </c>
      <c r="E329" s="1201"/>
      <c r="F329" s="1201"/>
      <c r="G329" s="1201"/>
      <c r="H329" s="1201"/>
      <c r="I329" s="1201"/>
      <c r="J329" s="1201"/>
      <c r="K329" s="1201"/>
      <c r="L329" s="1201"/>
      <c r="M329" s="1201"/>
      <c r="N329" s="1201"/>
      <c r="O329" s="1201"/>
      <c r="P329" s="1201"/>
      <c r="Q329" s="1201"/>
      <c r="R329" s="1201"/>
      <c r="S329" s="1201"/>
      <c r="T329" s="1201"/>
      <c r="U329" s="1201"/>
      <c r="V329" s="1201"/>
      <c r="W329" s="1201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</row>
    <row r="330" spans="1:37" ht="15" customHeight="1" x14ac:dyDescent="0.35">
      <c r="A330" s="1202"/>
      <c r="B330" s="1203"/>
      <c r="D330" s="1206" t="s">
        <v>17</v>
      </c>
      <c r="E330" s="1207"/>
      <c r="F330" s="1207"/>
      <c r="G330" s="1207"/>
      <c r="H330" s="1207"/>
      <c r="I330" s="1207"/>
      <c r="J330" s="1207"/>
      <c r="K330" s="1207"/>
      <c r="L330" s="1207"/>
      <c r="M330" s="1207"/>
      <c r="N330" s="1207"/>
      <c r="O330" s="1207"/>
      <c r="P330" s="1207"/>
      <c r="Q330" s="1207"/>
      <c r="R330" s="1207"/>
      <c r="S330" s="1207"/>
      <c r="T330" s="1207"/>
      <c r="U330" s="1207"/>
      <c r="V330" s="1207"/>
      <c r="W330" s="1208"/>
      <c r="X330" s="6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8"/>
      <c r="AK330" s="62"/>
    </row>
    <row r="331" spans="1:37" ht="15.75" customHeight="1" thickBot="1" x14ac:dyDescent="0.4">
      <c r="A331" s="1204"/>
      <c r="B331" s="1205"/>
      <c r="D331" s="16">
        <v>1</v>
      </c>
      <c r="E331" s="17">
        <v>2</v>
      </c>
      <c r="F331" s="17">
        <v>3</v>
      </c>
      <c r="G331" s="17">
        <v>4</v>
      </c>
      <c r="H331" s="17">
        <v>5</v>
      </c>
      <c r="I331" s="17">
        <v>6</v>
      </c>
      <c r="J331" s="17">
        <v>7</v>
      </c>
      <c r="K331" s="17">
        <v>8</v>
      </c>
      <c r="L331" s="17">
        <v>9</v>
      </c>
      <c r="M331" s="17">
        <v>10</v>
      </c>
      <c r="N331" s="17">
        <v>11</v>
      </c>
      <c r="O331" s="17">
        <v>12</v>
      </c>
      <c r="P331" s="17">
        <v>13</v>
      </c>
      <c r="Q331" s="17">
        <v>14</v>
      </c>
      <c r="R331" s="17">
        <v>15</v>
      </c>
      <c r="S331" s="17">
        <v>16</v>
      </c>
      <c r="T331" s="17">
        <v>17</v>
      </c>
      <c r="U331" s="17">
        <v>18</v>
      </c>
      <c r="V331" s="17">
        <v>19</v>
      </c>
      <c r="W331" s="18">
        <v>20</v>
      </c>
      <c r="X331" s="17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20"/>
      <c r="AK331" s="63"/>
    </row>
    <row r="332" spans="1:37" ht="15" customHeight="1" x14ac:dyDescent="0.35">
      <c r="A332" s="1196" t="s">
        <v>18</v>
      </c>
      <c r="B332" s="21">
        <v>1</v>
      </c>
      <c r="D332" s="115" t="str" cm="1">
        <f t="array" ref="D332">IF(COUNTIF(C94,"*V*"),
   _xlfn.LET(
      _xlpm.pos, SUMPRODUCT(--(LEN($C$94:C94)&gt;0)),
      _xlpm.val, INDEX($C$148:$AK$148, _xlpm.pos),
      IF(C332="",
         SUBSTITUTE(_xlpm.val, ", ", " &amp; "),
         IF(COUNTIF(C332, "*&amp;*"),
            _xlpm.val,
            SUBSTITUTE(_xlpm.val, ", ", " &amp; ")
         )
      )
   ),
"")</f>
        <v/>
      </c>
      <c r="E332" s="115" t="str" cm="1">
        <f t="array" ref="E332">IF(COUNTIF(D94,"*V*"),
   _xlfn.LET(
      _xlpm.pos, SUMPRODUCT(--(LEN($C$94:D94)&gt;0)),
      _xlpm.val, INDEX($C$148:$AK$148, _xlpm.pos),
      IF(D332="",
         SUBSTITUTE(_xlpm.val, ", ", " &amp; "),
         IF(COUNTIF(D332, "*&amp;*"),
            _xlpm.val,
            SUBSTITUTE(_xlpm.val, ", ", " &amp; ")
         )
      )
   ),
"")</f>
        <v/>
      </c>
      <c r="F332" s="115" t="str" cm="1">
        <f t="array" ref="F332">IF(COUNTIF(E94,"*V*"),
   _xlfn.LET(
      _xlpm.pos, SUMPRODUCT(--(LEN($C$94:E94)&gt;0)),
      _xlpm.val, INDEX($C$148:$AK$148, _xlpm.pos),
      IF(E332="",
         SUBSTITUTE(_xlpm.val, ", ", " &amp; "),
         IF(COUNTIF(E332, "*&amp;*"),
            _xlpm.val,
            SUBSTITUTE(_xlpm.val, ", ", " &amp; ")
         )
      )
   ),
"")</f>
        <v/>
      </c>
      <c r="G332" s="115" t="str" cm="1">
        <f t="array" ref="G332">IF(COUNTIF(F94,"*V*"),
   _xlfn.LET(
      _xlpm.pos, SUMPRODUCT(--(LEN($C$94:F94)&gt;0)),
      _xlpm.val, INDEX($C$148:$AK$148, _xlpm.pos),
      IF(F332="",
         SUBSTITUTE(_xlpm.val, ", ", " &amp; "),
         IF(COUNTIF(F332, "*&amp;*"),
            _xlpm.val,
            SUBSTITUTE(_xlpm.val, ", ", " &amp; ")
         )
      )
   ),
"")</f>
        <v/>
      </c>
      <c r="H332" s="115" t="str" cm="1">
        <f t="array" ref="H332">IF(COUNTIF(G94,"*V*"),
   _xlfn.LET(
      _xlpm.pos, SUMPRODUCT(--(LEN($C$94:G94)&gt;0)),
      _xlpm.val, INDEX($C$148:$AK$148, _xlpm.pos),
      IF(G332="",
         SUBSTITUTE(_xlpm.val, ", ", " &amp; "),
         IF(COUNTIF(G332, "*&amp;*"),
            _xlpm.val,
            SUBSTITUTE(_xlpm.val, ", ", " &amp; ")
         )
      )
   ),
"")</f>
        <v/>
      </c>
      <c r="I332" s="115" t="str" cm="1">
        <f t="array" ref="I332">IF(COUNTIF(H94,"*V*"),
   _xlfn.LET(
      _xlpm.pos, SUMPRODUCT(--(LEN($C$94:H94)&gt;0)),
      _xlpm.val, INDEX($C$148:$AK$148, _xlpm.pos),
      IF(H332="",
         SUBSTITUTE(_xlpm.val, ", ", " &amp; "),
         IF(COUNTIF(H332, "*&amp;*"),
            _xlpm.val,
            SUBSTITUTE(_xlpm.val, ", ", " &amp; ")
         )
      )
   ),
"")</f>
        <v/>
      </c>
      <c r="J332" s="115" t="str" cm="1">
        <f t="array" ref="J332">IF(COUNTIF(I94,"*V*"),
   _xlfn.LET(
      _xlpm.pos, SUMPRODUCT(--(LEN($C$94:I94)&gt;0)),
      _xlpm.val, INDEX($C$148:$AK$148, _xlpm.pos),
      IF(I332="",
         SUBSTITUTE(_xlpm.val, ", ", " &amp; "),
         IF(COUNTIF(I332, "*&amp;*"),
            _xlpm.val,
            SUBSTITUTE(_xlpm.val, ", ", " &amp; ")
         )
      )
   ),
"")</f>
        <v/>
      </c>
      <c r="K332" s="115" t="str" cm="1">
        <f t="array" ref="K332">IF(COUNTIF(J94,"*V*"),
   _xlfn.LET(
      _xlpm.pos, SUMPRODUCT(--(LEN($C$94:J94)&gt;0)),
      _xlpm.val, INDEX($C$148:$AK$148, _xlpm.pos),
      IF(J332="",
         SUBSTITUTE(_xlpm.val, ", ", " &amp; "),
         IF(COUNTIF(J332, "*&amp;*"),
            _xlpm.val,
            SUBSTITUTE(_xlpm.val, ", ", " &amp; ")
         )
      )
   ),
"")</f>
        <v/>
      </c>
      <c r="L332" s="115" t="str" cm="1">
        <f t="array" ref="L332">IF(COUNTIF(K94,"*V*"),
   _xlfn.LET(
      _xlpm.pos, SUMPRODUCT(--(LEN($C$94:K94)&gt;0)),
      _xlpm.val, INDEX($C$148:$AK$148, _xlpm.pos),
      IF(K332="",
         SUBSTITUTE(_xlpm.val, ", ", " &amp; "),
         IF(COUNTIF(K332, "*&amp;*"),
            _xlpm.val,
            SUBSTITUTE(_xlpm.val, ", ", " &amp; ")
         )
      )
   ),
"")</f>
        <v/>
      </c>
      <c r="M332" s="115" t="str" cm="1">
        <f t="array" ref="M332">IF(COUNTIF(L94,"*V*"),
   _xlfn.LET(
      _xlpm.pos, SUMPRODUCT(--(LEN($C$94:L94)&gt;0)),
      _xlpm.val, INDEX($C$148:$AK$148, _xlpm.pos),
      IF(L332="",
         SUBSTITUTE(_xlpm.val, ", ", " &amp; "),
         IF(COUNTIF(L332, "*&amp;*"),
            _xlpm.val,
            SUBSTITUTE(_xlpm.val, ", ", " &amp; ")
         )
      )
   ),
"")</f>
        <v/>
      </c>
      <c r="N332" s="115" t="str" cm="1">
        <f t="array" ref="N332">IF(COUNTIF(M94,"*V*"),
   _xlfn.LET(
      _xlpm.pos, SUMPRODUCT(--(LEN($C$94:M94)&gt;0)),
      _xlpm.val, INDEX($C$148:$AK$148, _xlpm.pos),
      IF(M332="",
         SUBSTITUTE(_xlpm.val, ", ", " &amp; "),
         IF(COUNTIF(M332, "*&amp;*"),
            _xlpm.val,
            SUBSTITUTE(_xlpm.val, ", ", " &amp; ")
         )
      )
   ),
"")</f>
        <v/>
      </c>
      <c r="O332" s="115" t="str" cm="1">
        <f t="array" ref="O332">IF(COUNTIF(N94,"*V*"),
   _xlfn.LET(
      _xlpm.pos, SUMPRODUCT(--(LEN($C$94:N94)&gt;0)),
      _xlpm.val, INDEX($C$148:$AK$148, _xlpm.pos),
      IF(N332="",
         SUBSTITUTE(_xlpm.val, ", ", " &amp; "),
         IF(COUNTIF(N332, "*&amp;*"),
            _xlpm.val,
            SUBSTITUTE(_xlpm.val, ", ", " &amp; ")
         )
      )
   ),
"")</f>
        <v/>
      </c>
      <c r="P332" s="115" t="str" cm="1">
        <f t="array" ref="P332">IF(COUNTIF(O94,"*V*"),
   _xlfn.LET(
      _xlpm.pos, SUMPRODUCT(--(LEN($C$94:O94)&gt;0)),
      _xlpm.val, INDEX($C$148:$AK$148, _xlpm.pos),
      IF(O332="",
         SUBSTITUTE(_xlpm.val, ", ", " &amp; "),
         IF(COUNTIF(O332, "*&amp;*"),
            _xlpm.val,
            SUBSTITUTE(_xlpm.val, ", ", " &amp; ")
         )
      )
   ),
"")</f>
        <v/>
      </c>
      <c r="Q332" s="115" t="str" cm="1">
        <f t="array" ref="Q332">IF(COUNTIF(P94,"*V*"),
   _xlfn.LET(
      _xlpm.pos, SUMPRODUCT(--(LEN($C$94:P94)&gt;0)),
      _xlpm.val, INDEX($C$148:$AK$148, _xlpm.pos),
      IF(P332="",
         SUBSTITUTE(_xlpm.val, ", ", " &amp; "),
         IF(COUNTIF(P332, "*&amp;*"),
            _xlpm.val,
            SUBSTITUTE(_xlpm.val, ", ", " &amp; ")
         )
      )
   ),
"")</f>
        <v/>
      </c>
      <c r="R332" s="115" t="str" cm="1">
        <f t="array" ref="R332">IF(COUNTIF(Q94,"*V*"),
   _xlfn.LET(
      _xlpm.pos, SUMPRODUCT(--(LEN($C$94:Q94)&gt;0)),
      _xlpm.val, INDEX($C$148:$AK$148, _xlpm.pos),
      IF(Q332="",
         SUBSTITUTE(_xlpm.val, ", ", " &amp; "),
         IF(COUNTIF(Q332, "*&amp;*"),
            _xlpm.val,
            SUBSTITUTE(_xlpm.val, ", ", " &amp; ")
         )
      )
   ),
"")</f>
        <v/>
      </c>
      <c r="S332" s="115" t="str" cm="1">
        <f t="array" ref="S332">IF(COUNTIF(R94,"*V*"),
   _xlfn.LET(
      _xlpm.pos, SUMPRODUCT(--(LEN($C$94:R94)&gt;0)),
      _xlpm.val, INDEX($C$148:$AK$148, _xlpm.pos),
      IF(R332="",
         SUBSTITUTE(_xlpm.val, ", ", " &amp; "),
         IF(COUNTIF(R332, "*&amp;*"),
            _xlpm.val,
            SUBSTITUTE(_xlpm.val, ", ", " &amp; ")
         )
      )
   ),
"")</f>
        <v/>
      </c>
      <c r="T332" s="115" t="str" cm="1">
        <f t="array" ref="T332">IF(COUNTIF(S94,"*V*"),
   _xlfn.LET(
      _xlpm.pos, SUMPRODUCT(--(LEN($C$94:S94)&gt;0)),
      _xlpm.val, INDEX($C$148:$AK$148, _xlpm.pos),
      IF(S332="",
         SUBSTITUTE(_xlpm.val, ", ", " &amp; "),
         IF(COUNTIF(S332, "*&amp;*"),
            _xlpm.val,
            SUBSTITUTE(_xlpm.val, ", ", " &amp; ")
         )
      )
   ),
"")</f>
        <v/>
      </c>
      <c r="U332" s="115" t="str" cm="1">
        <f t="array" ref="U332">IF(COUNTIF(T94,"*V*"),
   _xlfn.LET(
      _xlpm.pos, SUMPRODUCT(--(LEN($C$94:T94)&gt;0)),
      _xlpm.val, INDEX($C$148:$AK$148, _xlpm.pos),
      IF(T332="",
         SUBSTITUTE(_xlpm.val, ", ", " &amp; "),
         IF(COUNTIF(T332, "*&amp;*"),
            _xlpm.val,
            SUBSTITUTE(_xlpm.val, ", ", " &amp; ")
         )
      )
   ),
"")</f>
        <v/>
      </c>
      <c r="V332" s="115" t="str" cm="1">
        <f t="array" ref="V332">IF(COUNTIF(U94,"*V*"),
   _xlfn.LET(
      _xlpm.pos, SUMPRODUCT(--(LEN($C$94:U94)&gt;0)),
      _xlpm.val, INDEX($C$148:$AK$148, _xlpm.pos),
      IF(U332="",
         SUBSTITUTE(_xlpm.val, ", ", " &amp; "),
         IF(COUNTIF(U332, "*&amp;*"),
            _xlpm.val,
            SUBSTITUTE(_xlpm.val, ", ", " &amp; ")
         )
      )
   ),
"")</f>
        <v/>
      </c>
      <c r="W332" s="115" t="str" cm="1">
        <f t="array" ref="W332">IF(COUNTIF(V94,"*V*"),
   _xlfn.LET(
      _xlpm.pos, SUMPRODUCT(--(LEN($C$94:V94)&gt;0)),
      _xlpm.val, INDEX($C$148:$AK$148, _xlpm.pos),
      IF(V332="",
         SUBSTITUTE(_xlpm.val, ", ", " &amp; "),
         IF(COUNTIF(V332, "*&amp;*"),
            _xlpm.val,
            SUBSTITUTE(_xlpm.val, ", ", " &amp; ")
         )
      )
   ),
"")</f>
        <v/>
      </c>
      <c r="X332" s="115" t="str" cm="1">
        <f t="array" ref="X332">IF(COUNTIF(W94,"*V*"),
   _xlfn.LET(
      _xlpm.pos, SUMPRODUCT(--(LEN($C$94:W94)&gt;0)),
      _xlpm.val, INDEX($C$148:$AK$148, _xlpm.pos),
      IF(W332="",
         SUBSTITUTE(_xlpm.val, ", ", " &amp; "),
         IF(COUNTIF(W332, "*&amp;*"),
            _xlpm.val,
            SUBSTITUTE(_xlpm.val, ", ", " &amp; ")
         )
      )
   ),
"")</f>
        <v/>
      </c>
      <c r="Y332" s="115" t="str" cm="1">
        <f t="array" ref="Y332">IF(COUNTIF(X94,"*V*"),
   _xlfn.LET(
      _xlpm.pos, SUMPRODUCT(--(LEN($C$94:X94)&gt;0)),
      _xlpm.val, INDEX($C$148:$AK$148, _xlpm.pos),
      IF(X332="",
         SUBSTITUTE(_xlpm.val, ", ", " &amp; "),
         IF(COUNTIF(X332, "*&amp;*"),
            _xlpm.val,
            SUBSTITUTE(_xlpm.val, ", ", " &amp; ")
         )
      )
   ),
"")</f>
        <v/>
      </c>
      <c r="Z332" s="115" t="str" cm="1">
        <f t="array" ref="Z332">IF(COUNTIF(Y94,"*V*"),
   _xlfn.LET(
      _xlpm.pos, SUMPRODUCT(--(LEN($C$94:Y94)&gt;0)),
      _xlpm.val, INDEX($C$148:$AK$148, _xlpm.pos),
      IF(Y332="",
         SUBSTITUTE(_xlpm.val, ", ", " &amp; "),
         IF(COUNTIF(Y332, "*&amp;*"),
            _xlpm.val,
            SUBSTITUTE(_xlpm.val, ", ", " &amp; ")
         )
      )
   ),
"")</f>
        <v/>
      </c>
      <c r="AA332" s="115" t="str" cm="1">
        <f t="array" ref="AA332">IF(COUNTIF(Z94,"*V*"),
   _xlfn.LET(
      _xlpm.pos, SUMPRODUCT(--(LEN($C$94:Z94)&gt;0)),
      _xlpm.val, INDEX($C$148:$AK$148, _xlpm.pos),
      IF(Z332="",
         SUBSTITUTE(_xlpm.val, ", ", " &amp; "),
         IF(COUNTIF(Z332, "*&amp;*"),
            _xlpm.val,
            SUBSTITUTE(_xlpm.val, ", ", " &amp; ")
         )
      )
   ),
"")</f>
        <v/>
      </c>
      <c r="AB332" s="115" t="str" cm="1">
        <f t="array" ref="AB332">IF(COUNTIF(AA94,"*V*"),
   _xlfn.LET(
      _xlpm.pos, SUMPRODUCT(--(LEN($C$94:AA94)&gt;0)),
      _xlpm.val, INDEX($C$148:$AK$148, _xlpm.pos),
      IF(AA332="",
         SUBSTITUTE(_xlpm.val, ", ", " &amp; "),
         IF(COUNTIF(AA332, "*&amp;*"),
            _xlpm.val,
            SUBSTITUTE(_xlpm.val, ", ", " &amp; ")
         )
      )
   ),
"")</f>
        <v/>
      </c>
      <c r="AC332" s="115" t="str" cm="1">
        <f t="array" ref="AC332">IF(COUNTIF(AB94,"*V*"),
   _xlfn.LET(
      _xlpm.pos, SUMPRODUCT(--(LEN($C$94:AB94)&gt;0)),
      _xlpm.val, INDEX($C$148:$AK$148, _xlpm.pos),
      IF(AB332="",
         SUBSTITUTE(_xlpm.val, ", ", " &amp; "),
         IF(COUNTIF(AB332, "*&amp;*"),
            _xlpm.val,
            SUBSTITUTE(_xlpm.val, ", ", " &amp; ")
         )
      )
   ),
"")</f>
        <v/>
      </c>
      <c r="AD332" s="115" t="str" cm="1">
        <f t="array" ref="AD332">IF(COUNTIF(AC94,"*V*"),
   _xlfn.LET(
      _xlpm.pos, SUMPRODUCT(--(LEN($C$94:AC94)&gt;0)),
      _xlpm.val, INDEX($C$148:$AK$148, _xlpm.pos),
      IF(AC332="",
         SUBSTITUTE(_xlpm.val, ", ", " &amp; "),
         IF(COUNTIF(AC332, "*&amp;*"),
            _xlpm.val,
            SUBSTITUTE(_xlpm.val, ", ", " &amp; ")
         )
      )
   ),
"")</f>
        <v/>
      </c>
      <c r="AE332" s="115" t="str" cm="1">
        <f t="array" ref="AE332">IF(COUNTIF(AD94,"*V*"),
   _xlfn.LET(
      _xlpm.pos, SUMPRODUCT(--(LEN($C$94:AD94)&gt;0)),
      _xlpm.val, INDEX($C$148:$AK$148, _xlpm.pos),
      IF(AD332="",
         SUBSTITUTE(_xlpm.val, ", ", " &amp; "),
         IF(COUNTIF(AD332, "*&amp;*"),
            _xlpm.val,
            SUBSTITUTE(_xlpm.val, ", ", " &amp; ")
         )
      )
   ),
"")</f>
        <v/>
      </c>
      <c r="AF332" s="115" t="str" cm="1">
        <f t="array" ref="AF332">IF(COUNTIF(AE94,"*V*"),
   _xlfn.LET(
      _xlpm.pos, SUMPRODUCT(--(LEN($C$94:AE94)&gt;0)),
      _xlpm.val, INDEX($C$148:$AK$148, _xlpm.pos),
      IF(AE332="",
         SUBSTITUTE(_xlpm.val, ", ", " &amp; "),
         IF(COUNTIF(AE332, "*&amp;*"),
            _xlpm.val,
            SUBSTITUTE(_xlpm.val, ", ", " &amp; ")
         )
      )
   ),
"")</f>
        <v/>
      </c>
      <c r="AG332" s="115" t="str" cm="1">
        <f t="array" ref="AG332">IF(COUNTIF(AF94,"*V*"),
   _xlfn.LET(
      _xlpm.pos, SUMPRODUCT(--(LEN($C$94:AF94)&gt;0)),
      _xlpm.val, INDEX($C$148:$AK$148, _xlpm.pos),
      IF(AF332="",
         SUBSTITUTE(_xlpm.val, ", ", " &amp; "),
         IF(COUNTIF(AF332, "*&amp;*"),
            _xlpm.val,
            SUBSTITUTE(_xlpm.val, ", ", " &amp; ")
         )
      )
   ),
"")</f>
        <v/>
      </c>
      <c r="AH332" s="115" t="str" cm="1">
        <f t="array" ref="AH332">IF(COUNTIF(AG94,"*V*"),
   _xlfn.LET(
      _xlpm.pos, SUMPRODUCT(--(LEN($C$94:AG94)&gt;0)),
      _xlpm.val, INDEX($C$148:$AK$148, _xlpm.pos),
      IF(AG332="",
         SUBSTITUTE(_xlpm.val, ", ", " &amp; "),
         IF(COUNTIF(AG332, "*&amp;*"),
            _xlpm.val,
            SUBSTITUTE(_xlpm.val, ", ", " &amp; ")
         )
      )
   ),
"")</f>
        <v/>
      </c>
      <c r="AI332" s="115" t="str" cm="1">
        <f t="array" ref="AI332">IF(COUNTIF(AH94,"*V*"),
   _xlfn.LET(
      _xlpm.pos, SUMPRODUCT(--(LEN($C$94:AH94)&gt;0)),
      _xlpm.val, INDEX($C$148:$AK$148, _xlpm.pos),
      IF(AH332="",
         SUBSTITUTE(_xlpm.val, ", ", " &amp; "),
         IF(COUNTIF(AH332, "*&amp;*"),
            _xlpm.val,
            SUBSTITUTE(_xlpm.val, ", ", " &amp; ")
         )
      )
   ),
"")</f>
        <v/>
      </c>
      <c r="AJ332" s="115" t="str" cm="1">
        <f t="array" ref="AJ332">IF(COUNTIF(AI94,"*V*"),
   _xlfn.LET(
      _xlpm.pos, SUMPRODUCT(--(LEN($C$94:AI94)&gt;0)),
      _xlpm.val, INDEX($C$148:$AK$148, _xlpm.pos),
      IF(AI332="",
         SUBSTITUTE(_xlpm.val, ", ", " &amp; "),
         IF(COUNTIF(AI332, "*&amp;*"),
            _xlpm.val,
            SUBSTITUTE(_xlpm.val, ", ", " &amp; ")
         )
      )
   ),
"")</f>
        <v/>
      </c>
      <c r="AK332" s="115" t="str">
        <f>IF(COUNTIF(AJ94,"*V*"),IF(AJ332="",SUBSTITUTE(AJ148,", "," &amp; "),IF(COUNTIF(AJ332,"*&amp;*"),AJ148,SUBSTITUTE(AJ148,", "," &amp; "))),"")</f>
        <v/>
      </c>
    </row>
    <row r="333" spans="1:37" ht="15" customHeight="1" x14ac:dyDescent="0.35">
      <c r="A333" s="1196"/>
      <c r="B333" s="22">
        <v>2</v>
      </c>
      <c r="D333" s="115" t="str" cm="1">
        <f t="array" ref="D333">IF(COUNTIF(C95,"*V*"),
   _xlfn.LET(
      _xlpm.pos, SUMPRODUCT(--(LEN($C$95:C95)&gt;0)),
      _xlpm.val, INDEX($C$149:$AK$149, _xlpm.pos),
      IF(C333="",
         SUBSTITUTE(_xlpm.val, ", ", " &amp; "),
         IF(COUNTIF(C333, "*&amp;*"),
            _xlpm.val,
            SUBSTITUTE(_xlpm.val, ", ", " &amp; ")
         )
      )
   ),
"")</f>
        <v/>
      </c>
      <c r="E333" s="115" t="str" cm="1">
        <f t="array" ref="E333">IF(COUNTIF(D95,"*V*"),
   _xlfn.LET(
      _xlpm.pos, SUMPRODUCT(--(LEN($C$95:D95)&gt;0)),
      _xlpm.val, INDEX($C$149:$AK$149, _xlpm.pos),
      IF(D333="",
         SUBSTITUTE(_xlpm.val, ", ", " &amp; "),
         IF(COUNTIF(D333, "*&amp;*"),
            _xlpm.val,
            SUBSTITUTE(_xlpm.val, ", ", " &amp; ")
         )
      )
   ),
"")</f>
        <v/>
      </c>
      <c r="F333" s="115" t="str" cm="1">
        <f t="array" ref="F333">IF(COUNTIF(E95,"*V*"),
   _xlfn.LET(
      _xlpm.pos, SUMPRODUCT(--(LEN($C$95:E95)&gt;0)),
      _xlpm.val, INDEX($C$149:$AK$149, _xlpm.pos),
      IF(E333="",
         SUBSTITUTE(_xlpm.val, ", ", " &amp; "),
         IF(COUNTIF(E333, "*&amp;*"),
            _xlpm.val,
            SUBSTITUTE(_xlpm.val, ", ", " &amp; ")
         )
      )
   ),
"")</f>
        <v/>
      </c>
      <c r="G333" s="115" t="str" cm="1">
        <f t="array" ref="G333">IF(COUNTIF(F95,"*V*"),
   _xlfn.LET(
      _xlpm.pos, SUMPRODUCT(--(LEN($C$95:F95)&gt;0)),
      _xlpm.val, INDEX($C$149:$AK$149, _xlpm.pos),
      IF(F333="",
         SUBSTITUTE(_xlpm.val, ", ", " &amp; "),
         IF(COUNTIF(F333, "*&amp;*"),
            _xlpm.val,
            SUBSTITUTE(_xlpm.val, ", ", " &amp; ")
         )
      )
   ),
"")</f>
        <v/>
      </c>
      <c r="H333" s="115" t="str" cm="1">
        <f t="array" ref="H333">IF(COUNTIF(G95,"*V*"),
   _xlfn.LET(
      _xlpm.pos, SUMPRODUCT(--(LEN($C$95:G95)&gt;0)),
      _xlpm.val, INDEX($C$149:$AK$149, _xlpm.pos),
      IF(G333="",
         SUBSTITUTE(_xlpm.val, ", ", " &amp; "),
         IF(COUNTIF(G333, "*&amp;*"),
            _xlpm.val,
            SUBSTITUTE(_xlpm.val, ", ", " &amp; ")
         )
      )
   ),
"")</f>
        <v/>
      </c>
      <c r="I333" s="115" t="str" cm="1">
        <f t="array" ref="I333">IF(COUNTIF(H95,"*V*"),
   _xlfn.LET(
      _xlpm.pos, SUMPRODUCT(--(LEN($C$95:H95)&gt;0)),
      _xlpm.val, INDEX($C$149:$AK$149, _xlpm.pos),
      IF(H333="",
         SUBSTITUTE(_xlpm.val, ", ", " &amp; "),
         IF(COUNTIF(H333, "*&amp;*"),
            _xlpm.val,
            SUBSTITUTE(_xlpm.val, ", ", " &amp; ")
         )
      )
   ),
"")</f>
        <v/>
      </c>
      <c r="J333" s="115" t="str" cm="1">
        <f t="array" ref="J333">IF(COUNTIF(I95,"*V*"),
   _xlfn.LET(
      _xlpm.pos, SUMPRODUCT(--(LEN($C$95:I95)&gt;0)),
      _xlpm.val, INDEX($C$149:$AK$149, _xlpm.pos),
      IF(I333="",
         SUBSTITUTE(_xlpm.val, ", ", " &amp; "),
         IF(COUNTIF(I333, "*&amp;*"),
            _xlpm.val,
            SUBSTITUTE(_xlpm.val, ", ", " &amp; ")
         )
      )
   ),
"")</f>
        <v/>
      </c>
      <c r="K333" s="115" t="str" cm="1">
        <f t="array" ref="K333">IF(COUNTIF(J95,"*V*"),
   _xlfn.LET(
      _xlpm.pos, SUMPRODUCT(--(LEN($C$95:J95)&gt;0)),
      _xlpm.val, INDEX($C$149:$AK$149, _xlpm.pos),
      IF(J333="",
         SUBSTITUTE(_xlpm.val, ", ", " &amp; "),
         IF(COUNTIF(J333, "*&amp;*"),
            _xlpm.val,
            SUBSTITUTE(_xlpm.val, ", ", " &amp; ")
         )
      )
   ),
"")</f>
        <v/>
      </c>
      <c r="L333" s="115" t="str" cm="1">
        <f t="array" ref="L333">IF(COUNTIF(K95,"*V*"),
   _xlfn.LET(
      _xlpm.pos, SUMPRODUCT(--(LEN($C$95:K95)&gt;0)),
      _xlpm.val, INDEX($C$149:$AK$149, _xlpm.pos),
      IF(K333="",
         SUBSTITUTE(_xlpm.val, ", ", " &amp; "),
         IF(COUNTIF(K333, "*&amp;*"),
            _xlpm.val,
            SUBSTITUTE(_xlpm.val, ", ", " &amp; ")
         )
      )
   ),
"")</f>
        <v/>
      </c>
      <c r="M333" s="115" t="str" cm="1">
        <f t="array" ref="M333">IF(COUNTIF(L95,"*V*"),
   _xlfn.LET(
      _xlpm.pos, SUMPRODUCT(--(LEN($C$95:L95)&gt;0)),
      _xlpm.val, INDEX($C$149:$AK$149, _xlpm.pos),
      IF(L333="",
         SUBSTITUTE(_xlpm.val, ", ", " &amp; "),
         IF(COUNTIF(L333, "*&amp;*"),
            _xlpm.val,
            SUBSTITUTE(_xlpm.val, ", ", " &amp; ")
         )
      )
   ),
"")</f>
        <v/>
      </c>
      <c r="N333" s="115" t="str" cm="1">
        <f t="array" ref="N333">IF(COUNTIF(M95,"*V*"),
   _xlfn.LET(
      _xlpm.pos, SUMPRODUCT(--(LEN($C$95:M95)&gt;0)),
      _xlpm.val, INDEX($C$149:$AK$149, _xlpm.pos),
      IF(M333="",
         SUBSTITUTE(_xlpm.val, ", ", " &amp; "),
         IF(COUNTIF(M333, "*&amp;*"),
            _xlpm.val,
            SUBSTITUTE(_xlpm.val, ", ", " &amp; ")
         )
      )
   ),
"")</f>
        <v/>
      </c>
      <c r="O333" s="115" t="str" cm="1">
        <f t="array" ref="O333">IF(COUNTIF(N95,"*V*"),
   _xlfn.LET(
      _xlpm.pos, SUMPRODUCT(--(LEN($C$95:N95)&gt;0)),
      _xlpm.val, INDEX($C$149:$AK$149, _xlpm.pos),
      IF(N333="",
         SUBSTITUTE(_xlpm.val, ", ", " &amp; "),
         IF(COUNTIF(N333, "*&amp;*"),
            _xlpm.val,
            SUBSTITUTE(_xlpm.val, ", ", " &amp; ")
         )
      )
   ),
"")</f>
        <v/>
      </c>
      <c r="P333" s="115" t="str" cm="1">
        <f t="array" ref="P333">IF(COUNTIF(O95,"*V*"),
   _xlfn.LET(
      _xlpm.pos, SUMPRODUCT(--(LEN($C$95:O95)&gt;0)),
      _xlpm.val, INDEX($C$149:$AK$149, _xlpm.pos),
      IF(O333="",
         SUBSTITUTE(_xlpm.val, ", ", " &amp; "),
         IF(COUNTIF(O333, "*&amp;*"),
            _xlpm.val,
            SUBSTITUTE(_xlpm.val, ", ", " &amp; ")
         )
      )
   ),
"")</f>
        <v/>
      </c>
      <c r="Q333" s="115" t="str" cm="1">
        <f t="array" ref="Q333">IF(COUNTIF(P95,"*V*"),
   _xlfn.LET(
      _xlpm.pos, SUMPRODUCT(--(LEN($C$95:P95)&gt;0)),
      _xlpm.val, INDEX($C$149:$AK$149, _xlpm.pos),
      IF(P333="",
         SUBSTITUTE(_xlpm.val, ", ", " &amp; "),
         IF(COUNTIF(P333, "*&amp;*"),
            _xlpm.val,
            SUBSTITUTE(_xlpm.val, ", ", " &amp; ")
         )
      )
   ),
"")</f>
        <v/>
      </c>
      <c r="R333" s="115" t="str" cm="1">
        <f t="array" ref="R333">IF(COUNTIF(Q95,"*V*"),
   _xlfn.LET(
      _xlpm.pos, SUMPRODUCT(--(LEN($C$95:Q95)&gt;0)),
      _xlpm.val, INDEX($C$149:$AK$149, _xlpm.pos),
      IF(Q333="",
         SUBSTITUTE(_xlpm.val, ", ", " &amp; "),
         IF(COUNTIF(Q333, "*&amp;*"),
            _xlpm.val,
            SUBSTITUTE(_xlpm.val, ", ", " &amp; ")
         )
      )
   ),
"")</f>
        <v/>
      </c>
      <c r="S333" s="115" t="str" cm="1">
        <f t="array" ref="S333">IF(COUNTIF(R95,"*V*"),
   _xlfn.LET(
      _xlpm.pos, SUMPRODUCT(--(LEN($C$95:R95)&gt;0)),
      _xlpm.val, INDEX($C$149:$AK$149, _xlpm.pos),
      IF(R333="",
         SUBSTITUTE(_xlpm.val, ", ", " &amp; "),
         IF(COUNTIF(R333, "*&amp;*"),
            _xlpm.val,
            SUBSTITUTE(_xlpm.val, ", ", " &amp; ")
         )
      )
   ),
"")</f>
        <v/>
      </c>
      <c r="T333" s="115" t="str" cm="1">
        <f t="array" ref="T333">IF(COUNTIF(S95,"*V*"),
   _xlfn.LET(
      _xlpm.pos, SUMPRODUCT(--(LEN($C$95:S95)&gt;0)),
      _xlpm.val, INDEX($C$149:$AK$149, _xlpm.pos),
      IF(S333="",
         SUBSTITUTE(_xlpm.val, ", ", " &amp; "),
         IF(COUNTIF(S333, "*&amp;*"),
            _xlpm.val,
            SUBSTITUTE(_xlpm.val, ", ", " &amp; ")
         )
      )
   ),
"")</f>
        <v/>
      </c>
      <c r="U333" s="115" t="str" cm="1">
        <f t="array" ref="U333">IF(COUNTIF(T95,"*V*"),
   _xlfn.LET(
      _xlpm.pos, SUMPRODUCT(--(LEN($C$95:T95)&gt;0)),
      _xlpm.val, INDEX($C$149:$AK$149, _xlpm.pos),
      IF(T333="",
         SUBSTITUTE(_xlpm.val, ", ", " &amp; "),
         IF(COUNTIF(T333, "*&amp;*"),
            _xlpm.val,
            SUBSTITUTE(_xlpm.val, ", ", " &amp; ")
         )
      )
   ),
"")</f>
        <v/>
      </c>
      <c r="V333" s="115" t="str" cm="1">
        <f t="array" ref="V333">IF(COUNTIF(U95,"*V*"),
   _xlfn.LET(
      _xlpm.pos, SUMPRODUCT(--(LEN($C$95:U95)&gt;0)),
      _xlpm.val, INDEX($C$149:$AK$149, _xlpm.pos),
      IF(U333="",
         SUBSTITUTE(_xlpm.val, ", ", " &amp; "),
         IF(COUNTIF(U333, "*&amp;*"),
            _xlpm.val,
            SUBSTITUTE(_xlpm.val, ", ", " &amp; ")
         )
      )
   ),
"")</f>
        <v/>
      </c>
      <c r="W333" s="115" t="str" cm="1">
        <f t="array" ref="W333">IF(COUNTIF(V95,"*V*"),
   _xlfn.LET(
      _xlpm.pos, SUMPRODUCT(--(LEN($C$95:V95)&gt;0)),
      _xlpm.val, INDEX($C$149:$AK$149, _xlpm.pos),
      IF(V333="",
         SUBSTITUTE(_xlpm.val, ", ", " &amp; "),
         IF(COUNTIF(V333, "*&amp;*"),
            _xlpm.val,
            SUBSTITUTE(_xlpm.val, ", ", " &amp; ")
         )
      )
   ),
"")</f>
        <v/>
      </c>
      <c r="X333" s="115" t="str" cm="1">
        <f t="array" ref="X333">IF(COUNTIF(W95,"*V*"),
   _xlfn.LET(
      _xlpm.pos, SUMPRODUCT(--(LEN($C$95:W95)&gt;0)),
      _xlpm.val, INDEX($C$149:$AK$149, _xlpm.pos),
      IF(W333="",
         SUBSTITUTE(_xlpm.val, ", ", " &amp; "),
         IF(COUNTIF(W333, "*&amp;*"),
            _xlpm.val,
            SUBSTITUTE(_xlpm.val, ", ", " &amp; ")
         )
      )
   ),
"")</f>
        <v/>
      </c>
      <c r="Y333" s="115" t="str" cm="1">
        <f t="array" ref="Y333">IF(COUNTIF(X95,"*V*"),
   _xlfn.LET(
      _xlpm.pos, SUMPRODUCT(--(LEN($C$95:X95)&gt;0)),
      _xlpm.val, INDEX($C$149:$AK$149, _xlpm.pos),
      IF(X333="",
         SUBSTITUTE(_xlpm.val, ", ", " &amp; "),
         IF(COUNTIF(X333, "*&amp;*"),
            _xlpm.val,
            SUBSTITUTE(_xlpm.val, ", ", " &amp; ")
         )
      )
   ),
"")</f>
        <v/>
      </c>
      <c r="Z333" s="115" t="str" cm="1">
        <f t="array" ref="Z333">IF(COUNTIF(Y95,"*V*"),
   _xlfn.LET(
      _xlpm.pos, SUMPRODUCT(--(LEN($C$95:Y95)&gt;0)),
      _xlpm.val, INDEX($C$149:$AK$149, _xlpm.pos),
      IF(Y333="",
         SUBSTITUTE(_xlpm.val, ", ", " &amp; "),
         IF(COUNTIF(Y333, "*&amp;*"),
            _xlpm.val,
            SUBSTITUTE(_xlpm.val, ", ", " &amp; ")
         )
      )
   ),
"")</f>
        <v/>
      </c>
      <c r="AA333" s="115" t="str" cm="1">
        <f t="array" ref="AA333">IF(COUNTIF(Z95,"*V*"),
   _xlfn.LET(
      _xlpm.pos, SUMPRODUCT(--(LEN($C$95:Z95)&gt;0)),
      _xlpm.val, INDEX($C$149:$AK$149, _xlpm.pos),
      IF(Z333="",
         SUBSTITUTE(_xlpm.val, ", ", " &amp; "),
         IF(COUNTIF(Z333, "*&amp;*"),
            _xlpm.val,
            SUBSTITUTE(_xlpm.val, ", ", " &amp; ")
         )
      )
   ),
"")</f>
        <v/>
      </c>
      <c r="AB333" s="115" t="str" cm="1">
        <f t="array" ref="AB333">IF(COUNTIF(AA95,"*V*"),
   _xlfn.LET(
      _xlpm.pos, SUMPRODUCT(--(LEN($C$95:AA95)&gt;0)),
      _xlpm.val, INDEX($C$149:$AK$149, _xlpm.pos),
      IF(AA333="",
         SUBSTITUTE(_xlpm.val, ", ", " &amp; "),
         IF(COUNTIF(AA333, "*&amp;*"),
            _xlpm.val,
            SUBSTITUTE(_xlpm.val, ", ", " &amp; ")
         )
      )
   ),
"")</f>
        <v/>
      </c>
      <c r="AC333" s="115" t="str" cm="1">
        <f t="array" ref="AC333">IF(COUNTIF(AB95,"*V*"),
   _xlfn.LET(
      _xlpm.pos, SUMPRODUCT(--(LEN($C$95:AB95)&gt;0)),
      _xlpm.val, INDEX($C$149:$AK$149, _xlpm.pos),
      IF(AB333="",
         SUBSTITUTE(_xlpm.val, ", ", " &amp; "),
         IF(COUNTIF(AB333, "*&amp;*"),
            _xlpm.val,
            SUBSTITUTE(_xlpm.val, ", ", " &amp; ")
         )
      )
   ),
"")</f>
        <v/>
      </c>
      <c r="AD333" s="115" t="str" cm="1">
        <f t="array" ref="AD333">IF(COUNTIF(AC95,"*V*"),
   _xlfn.LET(
      _xlpm.pos, SUMPRODUCT(--(LEN($C$95:AC95)&gt;0)),
      _xlpm.val, INDEX($C$149:$AK$149, _xlpm.pos),
      IF(AC333="",
         SUBSTITUTE(_xlpm.val, ", ", " &amp; "),
         IF(COUNTIF(AC333, "*&amp;*"),
            _xlpm.val,
            SUBSTITUTE(_xlpm.val, ", ", " &amp; ")
         )
      )
   ),
"")</f>
        <v/>
      </c>
      <c r="AE333" s="115" t="str" cm="1">
        <f t="array" ref="AE333">IF(COUNTIF(AD95,"*V*"),
   _xlfn.LET(
      _xlpm.pos, SUMPRODUCT(--(LEN($C$95:AD95)&gt;0)),
      _xlpm.val, INDEX($C$149:$AK$149, _xlpm.pos),
      IF(AD333="",
         SUBSTITUTE(_xlpm.val, ", ", " &amp; "),
         IF(COUNTIF(AD333, "*&amp;*"),
            _xlpm.val,
            SUBSTITUTE(_xlpm.val, ", ", " &amp; ")
         )
      )
   ),
"")</f>
        <v/>
      </c>
      <c r="AF333" s="115" t="str" cm="1">
        <f t="array" ref="AF333">IF(COUNTIF(AE95,"*V*"),
   _xlfn.LET(
      _xlpm.pos, SUMPRODUCT(--(LEN($C$95:AE95)&gt;0)),
      _xlpm.val, INDEX($C$149:$AK$149, _xlpm.pos),
      IF(AE333="",
         SUBSTITUTE(_xlpm.val, ", ", " &amp; "),
         IF(COUNTIF(AE333, "*&amp;*"),
            _xlpm.val,
            SUBSTITUTE(_xlpm.val, ", ", " &amp; ")
         )
      )
   ),
"")</f>
        <v/>
      </c>
      <c r="AG333" s="115" t="str" cm="1">
        <f t="array" ref="AG333">IF(COUNTIF(AF95,"*V*"),
   _xlfn.LET(
      _xlpm.pos, SUMPRODUCT(--(LEN($C$95:AF95)&gt;0)),
      _xlpm.val, INDEX($C$149:$AK$149, _xlpm.pos),
      IF(AF333="",
         SUBSTITUTE(_xlpm.val, ", ", " &amp; "),
         IF(COUNTIF(AF333, "*&amp;*"),
            _xlpm.val,
            SUBSTITUTE(_xlpm.val, ", ", " &amp; ")
         )
      )
   ),
"")</f>
        <v/>
      </c>
      <c r="AH333" s="115" t="str" cm="1">
        <f t="array" ref="AH333">IF(COUNTIF(AG95,"*V*"),
   _xlfn.LET(
      _xlpm.pos, SUMPRODUCT(--(LEN($C$95:AG95)&gt;0)),
      _xlpm.val, INDEX($C$149:$AK$149, _xlpm.pos),
      IF(AG333="",
         SUBSTITUTE(_xlpm.val, ", ", " &amp; "),
         IF(COUNTIF(AG333, "*&amp;*"),
            _xlpm.val,
            SUBSTITUTE(_xlpm.val, ", ", " &amp; ")
         )
      )
   ),
"")</f>
        <v/>
      </c>
      <c r="AI333" s="115" t="str" cm="1">
        <f t="array" ref="AI333">IF(COUNTIF(AH95,"*V*"),
   _xlfn.LET(
      _xlpm.pos, SUMPRODUCT(--(LEN($C$95:AH95)&gt;0)),
      _xlpm.val, INDEX($C$149:$AK$149, _xlpm.pos),
      IF(AH333="",
         SUBSTITUTE(_xlpm.val, ", ", " &amp; "),
         IF(COUNTIF(AH333, "*&amp;*"),
            _xlpm.val,
            SUBSTITUTE(_xlpm.val, ", ", " &amp; ")
         )
      )
   ),
"")</f>
        <v/>
      </c>
      <c r="AJ333" s="115" t="str" cm="1">
        <f t="array" ref="AJ333">IF(COUNTIF(AI95,"*V*"),
   _xlfn.LET(
      _xlpm.pos, SUMPRODUCT(--(LEN($C$95:AI95)&gt;0)),
      _xlpm.val, INDEX($C$149:$AK$149, _xlpm.pos),
      IF(AI333="",
         SUBSTITUTE(_xlpm.val, ", ", " &amp; "),
         IF(COUNTIF(AI333, "*&amp;*"),
            _xlpm.val,
            SUBSTITUTE(_xlpm.val, ", ", " &amp; ")
         )
      )
   ),
"")</f>
        <v/>
      </c>
      <c r="AK333" s="115" t="str" cm="1">
        <f t="array" ref="AK333">IF(COUNTIF(AJ95,"*V*"),
   _xlfn.LET(
      _xlpm.pos, SUMPRODUCT(--(LEN($C$95:AJ95)&gt;0)),
      _xlpm.val, INDEX($C$149:$AK$149, _xlpm.pos),
      IF(AJ333="",
         SUBSTITUTE(_xlpm.val, ", ", " &amp; "),
         IF(COUNTIF(AJ333, "*&amp;*"),
            _xlpm.val,
            SUBSTITUTE(_xlpm.val, ", ", " &amp; ")
         )
      )
   ),
"")</f>
        <v/>
      </c>
    </row>
    <row r="334" spans="1:37" ht="15" customHeight="1" x14ac:dyDescent="0.35">
      <c r="A334" s="1196"/>
      <c r="B334" s="22">
        <v>3</v>
      </c>
      <c r="D334" s="115" t="str" cm="1">
        <f t="array" ref="D334">IF(COUNTIF(C96,"*V*"),
   _xlfn.LET(
      _xlpm.pos, SUMPRODUCT(--(LEN($C$96:C96)&gt;0)),
      _xlpm.val, INDEX($C$150:$AK$150, _xlpm.pos),
      IF(C334="",
         SUBSTITUTE(_xlpm.val, ", ", " &amp; "),
         IF(COUNTIF(C334, "*&amp;*"),
            _xlpm.val,
            SUBSTITUTE(_xlpm.val, ", ", " &amp; ")
         )
      )
   ),
"")</f>
        <v/>
      </c>
      <c r="E334" s="115" t="str" cm="1">
        <f t="array" ref="E334">IF(COUNTIF(D96,"*V*"),
   _xlfn.LET(
      _xlpm.pos, SUMPRODUCT(--(LEN($C$96:D96)&gt;0)),
      _xlpm.val, INDEX($C$150:$AK$150, _xlpm.pos),
      IF(D334="",
         SUBSTITUTE(_xlpm.val, ", ", " &amp; "),
         IF(COUNTIF(D334, "*&amp;*"),
            _xlpm.val,
            SUBSTITUTE(_xlpm.val, ", ", " &amp; ")
         )
      )
   ),
"")</f>
        <v/>
      </c>
      <c r="F334" s="115" t="str" cm="1">
        <f t="array" ref="F334">IF(COUNTIF(E96,"*V*"),
   _xlfn.LET(
      _xlpm.pos, SUMPRODUCT(--(LEN($C$96:E96)&gt;0)),
      _xlpm.val, INDEX($C$150:$AK$150, _xlpm.pos),
      IF(E334="",
         SUBSTITUTE(_xlpm.val, ", ", " &amp; "),
         IF(COUNTIF(E334, "*&amp;*"),
            _xlpm.val,
            SUBSTITUTE(_xlpm.val, ", ", " &amp; ")
         )
      )
   ),
"")</f>
        <v/>
      </c>
      <c r="G334" s="115" t="str" cm="1">
        <f t="array" ref="G334">IF(COUNTIF(F96,"*V*"),
   _xlfn.LET(
      _xlpm.pos, SUMPRODUCT(--(LEN($C$96:F96)&gt;0)),
      _xlpm.val, INDEX($C$150:$AK$150, _xlpm.pos),
      IF(F334="",
         SUBSTITUTE(_xlpm.val, ", ", " &amp; "),
         IF(COUNTIF(F334, "*&amp;*"),
            _xlpm.val,
            SUBSTITUTE(_xlpm.val, ", ", " &amp; ")
         )
      )
   ),
"")</f>
        <v/>
      </c>
      <c r="H334" s="115" t="str" cm="1">
        <f t="array" ref="H334">IF(COUNTIF(G96,"*V*"),
   _xlfn.LET(
      _xlpm.pos, SUMPRODUCT(--(LEN($C$96:G96)&gt;0)),
      _xlpm.val, INDEX($C$150:$AK$150, _xlpm.pos),
      IF(G334="",
         SUBSTITUTE(_xlpm.val, ", ", " &amp; "),
         IF(COUNTIF(G334, "*&amp;*"),
            _xlpm.val,
            SUBSTITUTE(_xlpm.val, ", ", " &amp; ")
         )
      )
   ),
"")</f>
        <v/>
      </c>
      <c r="I334" s="115" t="str" cm="1">
        <f t="array" ref="I334">IF(COUNTIF(H96,"*V*"),
   _xlfn.LET(
      _xlpm.pos, SUMPRODUCT(--(LEN($C$96:H96)&gt;0)),
      _xlpm.val, INDEX($C$150:$AK$150, _xlpm.pos),
      IF(H334="",
         SUBSTITUTE(_xlpm.val, ", ", " &amp; "),
         IF(COUNTIF(H334, "*&amp;*"),
            _xlpm.val,
            SUBSTITUTE(_xlpm.val, ", ", " &amp; ")
         )
      )
   ),
"")</f>
        <v/>
      </c>
      <c r="J334" s="115" t="str" cm="1">
        <f t="array" ref="J334">IF(COUNTIF(I96,"*V*"),
   _xlfn.LET(
      _xlpm.pos, SUMPRODUCT(--(LEN($C$96:I96)&gt;0)),
      _xlpm.val, INDEX($C$150:$AK$150, _xlpm.pos),
      IF(I334="",
         SUBSTITUTE(_xlpm.val, ", ", " &amp; "),
         IF(COUNTIF(I334, "*&amp;*"),
            _xlpm.val,
            SUBSTITUTE(_xlpm.val, ", ", " &amp; ")
         )
      )
   ),
"")</f>
        <v/>
      </c>
      <c r="K334" s="115" t="str" cm="1">
        <f t="array" ref="K334">IF(COUNTIF(J96,"*V*"),
   _xlfn.LET(
      _xlpm.pos, SUMPRODUCT(--(LEN($C$96:J96)&gt;0)),
      _xlpm.val, INDEX($C$150:$AK$150, _xlpm.pos),
      IF(J334="",
         SUBSTITUTE(_xlpm.val, ", ", " &amp; "),
         IF(COUNTIF(J334, "*&amp;*"),
            _xlpm.val,
            SUBSTITUTE(_xlpm.val, ", ", " &amp; ")
         )
      )
   ),
"")</f>
        <v/>
      </c>
      <c r="L334" s="115" t="str" cm="1">
        <f t="array" ref="L334">IF(COUNTIF(K96,"*V*"),
   _xlfn.LET(
      _xlpm.pos, SUMPRODUCT(--(LEN($C$96:K96)&gt;0)),
      _xlpm.val, INDEX($C$150:$AK$150, _xlpm.pos),
      IF(K334="",
         SUBSTITUTE(_xlpm.val, ", ", " &amp; "),
         IF(COUNTIF(K334, "*&amp;*"),
            _xlpm.val,
            SUBSTITUTE(_xlpm.val, ", ", " &amp; ")
         )
      )
   ),
"")</f>
        <v/>
      </c>
      <c r="M334" s="115" t="str" cm="1">
        <f t="array" ref="M334">IF(COUNTIF(L96,"*V*"),
   _xlfn.LET(
      _xlpm.pos, SUMPRODUCT(--(LEN($C$96:L96)&gt;0)),
      _xlpm.val, INDEX($C$150:$AK$150, _xlpm.pos),
      IF(L334="",
         SUBSTITUTE(_xlpm.val, ", ", " &amp; "),
         IF(COUNTIF(L334, "*&amp;*"),
            _xlpm.val,
            SUBSTITUTE(_xlpm.val, ", ", " &amp; ")
         )
      )
   ),
"")</f>
        <v/>
      </c>
      <c r="N334" s="115" t="str" cm="1">
        <f t="array" ref="N334">IF(COUNTIF(M96,"*V*"),
   _xlfn.LET(
      _xlpm.pos, SUMPRODUCT(--(LEN($C$96:M96)&gt;0)),
      _xlpm.val, INDEX($C$150:$AK$150, _xlpm.pos),
      IF(M334="",
         SUBSTITUTE(_xlpm.val, ", ", " &amp; "),
         IF(COUNTIF(M334, "*&amp;*"),
            _xlpm.val,
            SUBSTITUTE(_xlpm.val, ", ", " &amp; ")
         )
      )
   ),
"")</f>
        <v/>
      </c>
      <c r="O334" s="115" t="str" cm="1">
        <f t="array" ref="O334">IF(COUNTIF(N96,"*V*"),
   _xlfn.LET(
      _xlpm.pos, SUMPRODUCT(--(LEN($C$96:N96)&gt;0)),
      _xlpm.val, INDEX($C$150:$AK$150, _xlpm.pos),
      IF(N334="",
         SUBSTITUTE(_xlpm.val, ", ", " &amp; "),
         IF(COUNTIF(N334, "*&amp;*"),
            _xlpm.val,
            SUBSTITUTE(_xlpm.val, ", ", " &amp; ")
         )
      )
   ),
"")</f>
        <v/>
      </c>
      <c r="P334" s="115" t="str" cm="1">
        <f t="array" ref="P334">IF(COUNTIF(O96,"*V*"),
   _xlfn.LET(
      _xlpm.pos, SUMPRODUCT(--(LEN($C$96:O96)&gt;0)),
      _xlpm.val, INDEX($C$150:$AK$150, _xlpm.pos),
      IF(O334="",
         SUBSTITUTE(_xlpm.val, ", ", " &amp; "),
         IF(COUNTIF(O334, "*&amp;*"),
            _xlpm.val,
            SUBSTITUTE(_xlpm.val, ", ", " &amp; ")
         )
      )
   ),
"")</f>
        <v/>
      </c>
      <c r="Q334" s="115" t="str" cm="1">
        <f t="array" ref="Q334">IF(COUNTIF(P96,"*V*"),
   _xlfn.LET(
      _xlpm.pos, SUMPRODUCT(--(LEN($C$96:P96)&gt;0)),
      _xlpm.val, INDEX($C$150:$AK$150, _xlpm.pos),
      IF(P334="",
         SUBSTITUTE(_xlpm.val, ", ", " &amp; "),
         IF(COUNTIF(P334, "*&amp;*"),
            _xlpm.val,
            SUBSTITUTE(_xlpm.val, ", ", " &amp; ")
         )
      )
   ),
"")</f>
        <v/>
      </c>
      <c r="R334" s="115" t="str" cm="1">
        <f t="array" ref="R334">IF(COUNTIF(Q96,"*V*"),
   _xlfn.LET(
      _xlpm.pos, SUMPRODUCT(--(LEN($C$96:Q96)&gt;0)),
      _xlpm.val, INDEX($C$150:$AK$150, _xlpm.pos),
      IF(Q334="",
         SUBSTITUTE(_xlpm.val, ", ", " &amp; "),
         IF(COUNTIF(Q334, "*&amp;*"),
            _xlpm.val,
            SUBSTITUTE(_xlpm.val, ", ", " &amp; ")
         )
      )
   ),
"")</f>
        <v/>
      </c>
      <c r="S334" s="115" t="str" cm="1">
        <f t="array" ref="S334">IF(COUNTIF(R96,"*V*"),
   _xlfn.LET(
      _xlpm.pos, SUMPRODUCT(--(LEN($C$96:R96)&gt;0)),
      _xlpm.val, INDEX($C$150:$AK$150, _xlpm.pos),
      IF(R334="",
         SUBSTITUTE(_xlpm.val, ", ", " &amp; "),
         IF(COUNTIF(R334, "*&amp;*"),
            _xlpm.val,
            SUBSTITUTE(_xlpm.val, ", ", " &amp; ")
         )
      )
   ),
"")</f>
        <v/>
      </c>
      <c r="T334" s="115" t="str" cm="1">
        <f t="array" ref="T334">IF(COUNTIF(S96,"*V*"),
   _xlfn.LET(
      _xlpm.pos, SUMPRODUCT(--(LEN($C$96:S96)&gt;0)),
      _xlpm.val, INDEX($C$150:$AK$150, _xlpm.pos),
      IF(S334="",
         SUBSTITUTE(_xlpm.val, ", ", " &amp; "),
         IF(COUNTIF(S334, "*&amp;*"),
            _xlpm.val,
            SUBSTITUTE(_xlpm.val, ", ", " &amp; ")
         )
      )
   ),
"")</f>
        <v/>
      </c>
      <c r="U334" s="115" t="str" cm="1">
        <f t="array" ref="U334">IF(COUNTIF(T96,"*V*"),
   _xlfn.LET(
      _xlpm.pos, SUMPRODUCT(--(LEN($C$96:T96)&gt;0)),
      _xlpm.val, INDEX($C$150:$AK$150, _xlpm.pos),
      IF(T334="",
         SUBSTITUTE(_xlpm.val, ", ", " &amp; "),
         IF(COUNTIF(T334, "*&amp;*"),
            _xlpm.val,
            SUBSTITUTE(_xlpm.val, ", ", " &amp; ")
         )
      )
   ),
"")</f>
        <v/>
      </c>
      <c r="V334" s="115" t="str" cm="1">
        <f t="array" ref="V334">IF(COUNTIF(U96,"*V*"),
   _xlfn.LET(
      _xlpm.pos, SUMPRODUCT(--(LEN($C$96:U96)&gt;0)),
      _xlpm.val, INDEX($C$150:$AK$150, _xlpm.pos),
      IF(U334="",
         SUBSTITUTE(_xlpm.val, ", ", " &amp; "),
         IF(COUNTIF(U334, "*&amp;*"),
            _xlpm.val,
            SUBSTITUTE(_xlpm.val, ", ", " &amp; ")
         )
      )
   ),
"")</f>
        <v/>
      </c>
      <c r="W334" s="115" t="str" cm="1">
        <f t="array" ref="W334">IF(COUNTIF(V96,"*V*"),
   _xlfn.LET(
      _xlpm.pos, SUMPRODUCT(--(LEN($C$96:V96)&gt;0)),
      _xlpm.val, INDEX($C$150:$AK$150, _xlpm.pos),
      IF(V334="",
         SUBSTITUTE(_xlpm.val, ", ", " &amp; "),
         IF(COUNTIF(V334, "*&amp;*"),
            _xlpm.val,
            SUBSTITUTE(_xlpm.val, ", ", " &amp; ")
         )
      )
   ),
"")</f>
        <v/>
      </c>
      <c r="X334" s="115" t="str" cm="1">
        <f t="array" ref="X334">IF(COUNTIF(W96,"*V*"),
   _xlfn.LET(
      _xlpm.pos, SUMPRODUCT(--(LEN($C$96:W96)&gt;0)),
      _xlpm.val, INDEX($C$150:$AK$150, _xlpm.pos),
      IF(W334="",
         SUBSTITUTE(_xlpm.val, ", ", " &amp; "),
         IF(COUNTIF(W334, "*&amp;*"),
            _xlpm.val,
            SUBSTITUTE(_xlpm.val, ", ", " &amp; ")
         )
      )
   ),
"")</f>
        <v/>
      </c>
      <c r="Y334" s="115" t="str" cm="1">
        <f t="array" ref="Y334">IF(COUNTIF(X96,"*V*"),
   _xlfn.LET(
      _xlpm.pos, SUMPRODUCT(--(LEN($C$96:X96)&gt;0)),
      _xlpm.val, INDEX($C$150:$AK$150, _xlpm.pos),
      IF(X334="",
         SUBSTITUTE(_xlpm.val, ", ", " &amp; "),
         IF(COUNTIF(X334, "*&amp;*"),
            _xlpm.val,
            SUBSTITUTE(_xlpm.val, ", ", " &amp; ")
         )
      )
   ),
"")</f>
        <v/>
      </c>
      <c r="Z334" s="115" t="str" cm="1">
        <f t="array" ref="Z334">IF(COUNTIF(Y96,"*V*"),
   _xlfn.LET(
      _xlpm.pos, SUMPRODUCT(--(LEN($C$96:Y96)&gt;0)),
      _xlpm.val, INDEX($C$150:$AK$150, _xlpm.pos),
      IF(Y334="",
         SUBSTITUTE(_xlpm.val, ", ", " &amp; "),
         IF(COUNTIF(Y334, "*&amp;*"),
            _xlpm.val,
            SUBSTITUTE(_xlpm.val, ", ", " &amp; ")
         )
      )
   ),
"")</f>
        <v/>
      </c>
      <c r="AA334" s="115" t="str" cm="1">
        <f t="array" ref="AA334">IF(COUNTIF(Z96,"*V*"),
   _xlfn.LET(
      _xlpm.pos, SUMPRODUCT(--(LEN($C$96:Z96)&gt;0)),
      _xlpm.val, INDEX($C$150:$AK$150, _xlpm.pos),
      IF(Z334="",
         SUBSTITUTE(_xlpm.val, ", ", " &amp; "),
         IF(COUNTIF(Z334, "*&amp;*"),
            _xlpm.val,
            SUBSTITUTE(_xlpm.val, ", ", " &amp; ")
         )
      )
   ),
"")</f>
        <v/>
      </c>
      <c r="AB334" s="115" t="str" cm="1">
        <f t="array" ref="AB334">IF(COUNTIF(AA96,"*V*"),
   _xlfn.LET(
      _xlpm.pos, SUMPRODUCT(--(LEN($C$96:AA96)&gt;0)),
      _xlpm.val, INDEX($C$150:$AK$150, _xlpm.pos),
      IF(AA334="",
         SUBSTITUTE(_xlpm.val, ", ", " &amp; "),
         IF(COUNTIF(AA334, "*&amp;*"),
            _xlpm.val,
            SUBSTITUTE(_xlpm.val, ", ", " &amp; ")
         )
      )
   ),
"")</f>
        <v/>
      </c>
      <c r="AC334" s="115" t="str" cm="1">
        <f t="array" ref="AC334">IF(COUNTIF(AB96,"*V*"),
   _xlfn.LET(
      _xlpm.pos, SUMPRODUCT(--(LEN($C$96:AB96)&gt;0)),
      _xlpm.val, INDEX($C$150:$AK$150, _xlpm.pos),
      IF(AB334="",
         SUBSTITUTE(_xlpm.val, ", ", " &amp; "),
         IF(COUNTIF(AB334, "*&amp;*"),
            _xlpm.val,
            SUBSTITUTE(_xlpm.val, ", ", " &amp; ")
         )
      )
   ),
"")</f>
        <v/>
      </c>
      <c r="AD334" s="115" t="str" cm="1">
        <f t="array" ref="AD334">IF(COUNTIF(AC96,"*V*"),
   _xlfn.LET(
      _xlpm.pos, SUMPRODUCT(--(LEN($C$96:AC96)&gt;0)),
      _xlpm.val, INDEX($C$150:$AK$150, _xlpm.pos),
      IF(AC334="",
         SUBSTITUTE(_xlpm.val, ", ", " &amp; "),
         IF(COUNTIF(AC334, "*&amp;*"),
            _xlpm.val,
            SUBSTITUTE(_xlpm.val, ", ", " &amp; ")
         )
      )
   ),
"")</f>
        <v/>
      </c>
      <c r="AE334" s="115" t="str" cm="1">
        <f t="array" ref="AE334">IF(COUNTIF(AD96,"*V*"),
   _xlfn.LET(
      _xlpm.pos, SUMPRODUCT(--(LEN($C$96:AD96)&gt;0)),
      _xlpm.val, INDEX($C$150:$AK$150, _xlpm.pos),
      IF(AD334="",
         SUBSTITUTE(_xlpm.val, ", ", " &amp; "),
         IF(COUNTIF(AD334, "*&amp;*"),
            _xlpm.val,
            SUBSTITUTE(_xlpm.val, ", ", " &amp; ")
         )
      )
   ),
"")</f>
        <v/>
      </c>
      <c r="AF334" s="115" t="str" cm="1">
        <f t="array" ref="AF334">IF(COUNTIF(AE96,"*V*"),
   _xlfn.LET(
      _xlpm.pos, SUMPRODUCT(--(LEN($C$96:AE96)&gt;0)),
      _xlpm.val, INDEX($C$150:$AK$150, _xlpm.pos),
      IF(AE334="",
         SUBSTITUTE(_xlpm.val, ", ", " &amp; "),
         IF(COUNTIF(AE334, "*&amp;*"),
            _xlpm.val,
            SUBSTITUTE(_xlpm.val, ", ", " &amp; ")
         )
      )
   ),
"")</f>
        <v/>
      </c>
      <c r="AG334" s="115" t="str" cm="1">
        <f t="array" ref="AG334">IF(COUNTIF(AF96,"*V*"),
   _xlfn.LET(
      _xlpm.pos, SUMPRODUCT(--(LEN($C$96:AF96)&gt;0)),
      _xlpm.val, INDEX($C$150:$AK$150, _xlpm.pos),
      IF(AF334="",
         SUBSTITUTE(_xlpm.val, ", ", " &amp; "),
         IF(COUNTIF(AF334, "*&amp;*"),
            _xlpm.val,
            SUBSTITUTE(_xlpm.val, ", ", " &amp; ")
         )
      )
   ),
"")</f>
        <v/>
      </c>
      <c r="AH334" s="115" t="str" cm="1">
        <f t="array" ref="AH334">IF(COUNTIF(AG96,"*V*"),
   _xlfn.LET(
      _xlpm.pos, SUMPRODUCT(--(LEN($C$96:AG96)&gt;0)),
      _xlpm.val, INDEX($C$150:$AK$150, _xlpm.pos),
      IF(AG334="",
         SUBSTITUTE(_xlpm.val, ", ", " &amp; "),
         IF(COUNTIF(AG334, "*&amp;*"),
            _xlpm.val,
            SUBSTITUTE(_xlpm.val, ", ", " &amp; ")
         )
      )
   ),
"")</f>
        <v/>
      </c>
      <c r="AI334" s="115" t="str" cm="1">
        <f t="array" ref="AI334">IF(COUNTIF(AH96,"*V*"),
   _xlfn.LET(
      _xlpm.pos, SUMPRODUCT(--(LEN($C$96:AH96)&gt;0)),
      _xlpm.val, INDEX($C$150:$AK$150, _xlpm.pos),
      IF(AH334="",
         SUBSTITUTE(_xlpm.val, ", ", " &amp; "),
         IF(COUNTIF(AH334, "*&amp;*"),
            _xlpm.val,
            SUBSTITUTE(_xlpm.val, ", ", " &amp; ")
         )
      )
   ),
"")</f>
        <v/>
      </c>
      <c r="AJ334" s="115" t="str" cm="1">
        <f t="array" ref="AJ334">IF(COUNTIF(AI96,"*V*"),
   _xlfn.LET(
      _xlpm.pos, SUMPRODUCT(--(LEN($C$96:AI96)&gt;0)),
      _xlpm.val, INDEX($C$150:$AK$150, _xlpm.pos),
      IF(AI334="",
         SUBSTITUTE(_xlpm.val, ", ", " &amp; "),
         IF(COUNTIF(AI334, "*&amp;*"),
            _xlpm.val,
            SUBSTITUTE(_xlpm.val, ", ", " &amp; ")
         )
      )
   ),
"")</f>
        <v/>
      </c>
      <c r="AK334" s="115" t="str" cm="1">
        <f t="array" ref="AK334">IF(COUNTIF(AJ96,"*V*"),
   _xlfn.LET(
      _xlpm.pos, SUMPRODUCT(--(LEN($C$96:AJ96)&gt;0)),
      _xlpm.val, INDEX($C$150:$AK$150, _xlpm.pos),
      IF(AJ334="",
         SUBSTITUTE(_xlpm.val, ", ", " &amp; "),
         IF(COUNTIF(AJ334, "*&amp;*"),
            _xlpm.val,
            SUBSTITUTE(_xlpm.val, ", ", " &amp; ")
         )
      )
   ),
"")</f>
        <v/>
      </c>
    </row>
    <row r="335" spans="1:37" ht="15" customHeight="1" x14ac:dyDescent="0.35">
      <c r="A335" s="1196"/>
      <c r="B335" s="22">
        <v>4</v>
      </c>
      <c r="D335" s="115" t="str" cm="1">
        <f t="array" ref="D335">IF(COUNTIF(C97,"*V*"),
   _xlfn.LET(
      _xlpm.pos, SUMPRODUCT(--(LEN($C$97:C97)&gt;0)),
      _xlpm.val, INDEX($C$151:$AK$151, _xlpm.pos),
      IF(C335="",
         SUBSTITUTE(_xlpm.val, ", ", " &amp; "),
         IF(COUNTIF(C335, "*&amp;*"),
            _xlpm.val,
            SUBSTITUTE(_xlpm.val, ", ", " &amp; ")
         )
      )
   ),
"")</f>
        <v/>
      </c>
      <c r="E335" s="115" t="str" cm="1">
        <f t="array" ref="E335">IF(COUNTIF(D97,"*V*"),
   _xlfn.LET(
      _xlpm.pos, SUMPRODUCT(--(LEN($C$97:D97)&gt;0)),
      _xlpm.val, INDEX($C$151:$AK$151, _xlpm.pos),
      IF(D335="",
         SUBSTITUTE(_xlpm.val, ", ", " &amp; "),
         IF(COUNTIF(D335, "*&amp;*"),
            _xlpm.val,
            SUBSTITUTE(_xlpm.val, ", ", " &amp; ")
         )
      )
   ),
"")</f>
        <v/>
      </c>
      <c r="F335" s="115" t="str" cm="1">
        <f t="array" ref="F335">IF(COUNTIF(E97,"*V*"),
   _xlfn.LET(
      _xlpm.pos, SUMPRODUCT(--(LEN($C$97:E97)&gt;0)),
      _xlpm.val, INDEX($C$151:$AK$151, _xlpm.pos),
      IF(E335="",
         SUBSTITUTE(_xlpm.val, ", ", " &amp; "),
         IF(COUNTIF(E335, "*&amp;*"),
            _xlpm.val,
            SUBSTITUTE(_xlpm.val, ", ", " &amp; ")
         )
      )
   ),
"")</f>
        <v/>
      </c>
      <c r="G335" s="115" t="str" cm="1">
        <f t="array" ref="G335">IF(COUNTIF(F97,"*V*"),
   _xlfn.LET(
      _xlpm.pos, SUMPRODUCT(--(LEN($C$97:F97)&gt;0)),
      _xlpm.val, INDEX($C$151:$AK$151, _xlpm.pos),
      IF(F335="",
         SUBSTITUTE(_xlpm.val, ", ", " &amp; "),
         IF(COUNTIF(F335, "*&amp;*"),
            _xlpm.val,
            SUBSTITUTE(_xlpm.val, ", ", " &amp; ")
         )
      )
   ),
"")</f>
        <v/>
      </c>
      <c r="H335" s="115" t="str" cm="1">
        <f t="array" ref="H335">IF(COUNTIF(G97,"*V*"),
   _xlfn.LET(
      _xlpm.pos, SUMPRODUCT(--(LEN($C$97:G97)&gt;0)),
      _xlpm.val, INDEX($C$151:$AK$151, _xlpm.pos),
      IF(G335="",
         SUBSTITUTE(_xlpm.val, ", ", " &amp; "),
         IF(COUNTIF(G335, "*&amp;*"),
            _xlpm.val,
            SUBSTITUTE(_xlpm.val, ", ", " &amp; ")
         )
      )
   ),
"")</f>
        <v/>
      </c>
      <c r="I335" s="115" t="str" cm="1">
        <f t="array" ref="I335">IF(COUNTIF(H97,"*V*"),
   _xlfn.LET(
      _xlpm.pos, SUMPRODUCT(--(LEN($C$97:H97)&gt;0)),
      _xlpm.val, INDEX($C$151:$AK$151, _xlpm.pos),
      IF(H335="",
         SUBSTITUTE(_xlpm.val, ", ", " &amp; "),
         IF(COUNTIF(H335, "*&amp;*"),
            _xlpm.val,
            SUBSTITUTE(_xlpm.val, ", ", " &amp; ")
         )
      )
   ),
"")</f>
        <v/>
      </c>
      <c r="J335" s="115" t="str" cm="1">
        <f t="array" ref="J335">IF(COUNTIF(I97,"*V*"),
   _xlfn.LET(
      _xlpm.pos, SUMPRODUCT(--(LEN($C$97:I97)&gt;0)),
      _xlpm.val, INDEX($C$151:$AK$151, _xlpm.pos),
      IF(I335="",
         SUBSTITUTE(_xlpm.val, ", ", " &amp; "),
         IF(COUNTIF(I335, "*&amp;*"),
            _xlpm.val,
            SUBSTITUTE(_xlpm.val, ", ", " &amp; ")
         )
      )
   ),
"")</f>
        <v/>
      </c>
      <c r="K335" s="115" t="str" cm="1">
        <f t="array" ref="K335">IF(COUNTIF(J97,"*V*"),
   _xlfn.LET(
      _xlpm.pos, SUMPRODUCT(--(LEN($C$97:J97)&gt;0)),
      _xlpm.val, INDEX($C$151:$AK$151, _xlpm.pos),
      IF(J335="",
         SUBSTITUTE(_xlpm.val, ", ", " &amp; "),
         IF(COUNTIF(J335, "*&amp;*"),
            _xlpm.val,
            SUBSTITUTE(_xlpm.val, ", ", " &amp; ")
         )
      )
   ),
"")</f>
        <v/>
      </c>
      <c r="L335" s="115" t="str" cm="1">
        <f t="array" ref="L335">IF(COUNTIF(K97,"*V*"),
   _xlfn.LET(
      _xlpm.pos, SUMPRODUCT(--(LEN($C$97:K97)&gt;0)),
      _xlpm.val, INDEX($C$151:$AK$151, _xlpm.pos),
      IF(K335="",
         SUBSTITUTE(_xlpm.val, ", ", " &amp; "),
         IF(COUNTIF(K335, "*&amp;*"),
            _xlpm.val,
            SUBSTITUTE(_xlpm.val, ", ", " &amp; ")
         )
      )
   ),
"")</f>
        <v/>
      </c>
      <c r="M335" s="115" t="str" cm="1">
        <f t="array" ref="M335">IF(COUNTIF(L97,"*V*"),
   _xlfn.LET(
      _xlpm.pos, SUMPRODUCT(--(LEN($C$97:L97)&gt;0)),
      _xlpm.val, INDEX($C$151:$AK$151, _xlpm.pos),
      IF(L335="",
         SUBSTITUTE(_xlpm.val, ", ", " &amp; "),
         IF(COUNTIF(L335, "*&amp;*"),
            _xlpm.val,
            SUBSTITUTE(_xlpm.val, ", ", " &amp; ")
         )
      )
   ),
"")</f>
        <v/>
      </c>
      <c r="N335" s="115" t="str" cm="1">
        <f t="array" ref="N335">IF(COUNTIF(M97,"*V*"),
   _xlfn.LET(
      _xlpm.pos, SUMPRODUCT(--(LEN($C$97:M97)&gt;0)),
      _xlpm.val, INDEX($C$151:$AK$151, _xlpm.pos),
      IF(M335="",
         SUBSTITUTE(_xlpm.val, ", ", " &amp; "),
         IF(COUNTIF(M335, "*&amp;*"),
            _xlpm.val,
            SUBSTITUTE(_xlpm.val, ", ", " &amp; ")
         )
      )
   ),
"")</f>
        <v/>
      </c>
      <c r="O335" s="115" t="str" cm="1">
        <f t="array" ref="O335">IF(COUNTIF(N97,"*V*"),
   _xlfn.LET(
      _xlpm.pos, SUMPRODUCT(--(LEN($C$97:N97)&gt;0)),
      _xlpm.val, INDEX($C$151:$AK$151, _xlpm.pos),
      IF(N335="",
         SUBSTITUTE(_xlpm.val, ", ", " &amp; "),
         IF(COUNTIF(N335, "*&amp;*"),
            _xlpm.val,
            SUBSTITUTE(_xlpm.val, ", ", " &amp; ")
         )
      )
   ),
"")</f>
        <v/>
      </c>
      <c r="P335" s="115" t="str" cm="1">
        <f t="array" ref="P335">IF(COUNTIF(O97,"*V*"),
   _xlfn.LET(
      _xlpm.pos, SUMPRODUCT(--(LEN($C$97:O97)&gt;0)),
      _xlpm.val, INDEX($C$151:$AK$151, _xlpm.pos),
      IF(O335="",
         SUBSTITUTE(_xlpm.val, ", ", " &amp; "),
         IF(COUNTIF(O335, "*&amp;*"),
            _xlpm.val,
            SUBSTITUTE(_xlpm.val, ", ", " &amp; ")
         )
      )
   ),
"")</f>
        <v/>
      </c>
      <c r="Q335" s="115" t="str" cm="1">
        <f t="array" ref="Q335">IF(COUNTIF(P97,"*V*"),
   _xlfn.LET(
      _xlpm.pos, SUMPRODUCT(--(LEN($C$97:P97)&gt;0)),
      _xlpm.val, INDEX($C$151:$AK$151, _xlpm.pos),
      IF(P335="",
         SUBSTITUTE(_xlpm.val, ", ", " &amp; "),
         IF(COUNTIF(P335, "*&amp;*"),
            _xlpm.val,
            SUBSTITUTE(_xlpm.val, ", ", " &amp; ")
         )
      )
   ),
"")</f>
        <v/>
      </c>
      <c r="R335" s="115" t="str" cm="1">
        <f t="array" ref="R335">IF(COUNTIF(Q97,"*V*"),
   _xlfn.LET(
      _xlpm.pos, SUMPRODUCT(--(LEN($C$97:Q97)&gt;0)),
      _xlpm.val, INDEX($C$151:$AK$151, _xlpm.pos),
      IF(Q335="",
         SUBSTITUTE(_xlpm.val, ", ", " &amp; "),
         IF(COUNTIF(Q335, "*&amp;*"),
            _xlpm.val,
            SUBSTITUTE(_xlpm.val, ", ", " &amp; ")
         )
      )
   ),
"")</f>
        <v/>
      </c>
      <c r="S335" s="115" t="str" cm="1">
        <f t="array" ref="S335">IF(COUNTIF(R97,"*V*"),
   _xlfn.LET(
      _xlpm.pos, SUMPRODUCT(--(LEN($C$97:R97)&gt;0)),
      _xlpm.val, INDEX($C$151:$AK$151, _xlpm.pos),
      IF(R335="",
         SUBSTITUTE(_xlpm.val, ", ", " &amp; "),
         IF(COUNTIF(R335, "*&amp;*"),
            _xlpm.val,
            SUBSTITUTE(_xlpm.val, ", ", " &amp; ")
         )
      )
   ),
"")</f>
        <v/>
      </c>
      <c r="T335" s="115" t="str" cm="1">
        <f t="array" ref="T335">IF(COUNTIF(S97,"*V*"),
   _xlfn.LET(
      _xlpm.pos, SUMPRODUCT(--(LEN($C$97:S97)&gt;0)),
      _xlpm.val, INDEX($C$151:$AK$151, _xlpm.pos),
      IF(S335="",
         SUBSTITUTE(_xlpm.val, ", ", " &amp; "),
         IF(COUNTIF(S335, "*&amp;*"),
            _xlpm.val,
            SUBSTITUTE(_xlpm.val, ", ", " &amp; ")
         )
      )
   ),
"")</f>
        <v/>
      </c>
      <c r="U335" s="115" t="str" cm="1">
        <f t="array" ref="U335">IF(COUNTIF(T97,"*V*"),
   _xlfn.LET(
      _xlpm.pos, SUMPRODUCT(--(LEN($C$97:T97)&gt;0)),
      _xlpm.val, INDEX($C$151:$AK$151, _xlpm.pos),
      IF(T335="",
         SUBSTITUTE(_xlpm.val, ", ", " &amp; "),
         IF(COUNTIF(T335, "*&amp;*"),
            _xlpm.val,
            SUBSTITUTE(_xlpm.val, ", ", " &amp; ")
         )
      )
   ),
"")</f>
        <v/>
      </c>
      <c r="V335" s="115" t="str" cm="1">
        <f t="array" ref="V335">IF(COUNTIF(U97,"*V*"),
   _xlfn.LET(
      _xlpm.pos, SUMPRODUCT(--(LEN($C$97:U97)&gt;0)),
      _xlpm.val, INDEX($C$151:$AK$151, _xlpm.pos),
      IF(U335="",
         SUBSTITUTE(_xlpm.val, ", ", " &amp; "),
         IF(COUNTIF(U335, "*&amp;*"),
            _xlpm.val,
            SUBSTITUTE(_xlpm.val, ", ", " &amp; ")
         )
      )
   ),
"")</f>
        <v/>
      </c>
      <c r="W335" s="115" t="str" cm="1">
        <f t="array" ref="W335">IF(COUNTIF(V97,"*V*"),
   _xlfn.LET(
      _xlpm.pos, SUMPRODUCT(--(LEN($C$97:V97)&gt;0)),
      _xlpm.val, INDEX($C$151:$AK$151, _xlpm.pos),
      IF(V335="",
         SUBSTITUTE(_xlpm.val, ", ", " &amp; "),
         IF(COUNTIF(V335, "*&amp;*"),
            _xlpm.val,
            SUBSTITUTE(_xlpm.val, ", ", " &amp; ")
         )
      )
   ),
"")</f>
        <v/>
      </c>
      <c r="X335" s="115" t="str" cm="1">
        <f t="array" ref="X335">IF(COUNTIF(W97,"*V*"),
   _xlfn.LET(
      _xlpm.pos, SUMPRODUCT(--(LEN($C$97:W97)&gt;0)),
      _xlpm.val, INDEX($C$151:$AK$151, _xlpm.pos),
      IF(W335="",
         SUBSTITUTE(_xlpm.val, ", ", " &amp; "),
         IF(COUNTIF(W335, "*&amp;*"),
            _xlpm.val,
            SUBSTITUTE(_xlpm.val, ", ", " &amp; ")
         )
      )
   ),
"")</f>
        <v/>
      </c>
      <c r="Y335" s="115" t="str" cm="1">
        <f t="array" ref="Y335">IF(COUNTIF(X97,"*V*"),
   _xlfn.LET(
      _xlpm.pos, SUMPRODUCT(--(LEN($C$97:X97)&gt;0)),
      _xlpm.val, INDEX($C$151:$AK$151, _xlpm.pos),
      IF(X335="",
         SUBSTITUTE(_xlpm.val, ", ", " &amp; "),
         IF(COUNTIF(X335, "*&amp;*"),
            _xlpm.val,
            SUBSTITUTE(_xlpm.val, ", ", " &amp; ")
         )
      )
   ),
"")</f>
        <v/>
      </c>
      <c r="Z335" s="115" t="str" cm="1">
        <f t="array" ref="Z335">IF(COUNTIF(Y97,"*V*"),
   _xlfn.LET(
      _xlpm.pos, SUMPRODUCT(--(LEN($C$97:Y97)&gt;0)),
      _xlpm.val, INDEX($C$151:$AK$151, _xlpm.pos),
      IF(Y335="",
         SUBSTITUTE(_xlpm.val, ", ", " &amp; "),
         IF(COUNTIF(Y335, "*&amp;*"),
            _xlpm.val,
            SUBSTITUTE(_xlpm.val, ", ", " &amp; ")
         )
      )
   ),
"")</f>
        <v/>
      </c>
      <c r="AA335" s="115" t="str" cm="1">
        <f t="array" ref="AA335">IF(COUNTIF(Z97,"*V*"),
   _xlfn.LET(
      _xlpm.pos, SUMPRODUCT(--(LEN($C$97:Z97)&gt;0)),
      _xlpm.val, INDEX($C$151:$AK$151, _xlpm.pos),
      IF(Z335="",
         SUBSTITUTE(_xlpm.val, ", ", " &amp; "),
         IF(COUNTIF(Z335, "*&amp;*"),
            _xlpm.val,
            SUBSTITUTE(_xlpm.val, ", ", " &amp; ")
         )
      )
   ),
"")</f>
        <v/>
      </c>
      <c r="AB335" s="115" t="str" cm="1">
        <f t="array" ref="AB335">IF(COUNTIF(AA97,"*V*"),
   _xlfn.LET(
      _xlpm.pos, SUMPRODUCT(--(LEN($C$97:AA97)&gt;0)),
      _xlpm.val, INDEX($C$151:$AK$151, _xlpm.pos),
      IF(AA335="",
         SUBSTITUTE(_xlpm.val, ", ", " &amp; "),
         IF(COUNTIF(AA335, "*&amp;*"),
            _xlpm.val,
            SUBSTITUTE(_xlpm.val, ", ", " &amp; ")
         )
      )
   ),
"")</f>
        <v/>
      </c>
      <c r="AC335" s="115" t="str" cm="1">
        <f t="array" ref="AC335">IF(COUNTIF(AB97,"*V*"),
   _xlfn.LET(
      _xlpm.pos, SUMPRODUCT(--(LEN($C$97:AB97)&gt;0)),
      _xlpm.val, INDEX($C$151:$AK$151, _xlpm.pos),
      IF(AB335="",
         SUBSTITUTE(_xlpm.val, ", ", " &amp; "),
         IF(COUNTIF(AB335, "*&amp;*"),
            _xlpm.val,
            SUBSTITUTE(_xlpm.val, ", ", " &amp; ")
         )
      )
   ),
"")</f>
        <v/>
      </c>
      <c r="AD335" s="115" t="str" cm="1">
        <f t="array" ref="AD335">IF(COUNTIF(AC97,"*V*"),
   _xlfn.LET(
      _xlpm.pos, SUMPRODUCT(--(LEN($C$97:AC97)&gt;0)),
      _xlpm.val, INDEX($C$151:$AK$151, _xlpm.pos),
      IF(AC335="",
         SUBSTITUTE(_xlpm.val, ", ", " &amp; "),
         IF(COUNTIF(AC335, "*&amp;*"),
            _xlpm.val,
            SUBSTITUTE(_xlpm.val, ", ", " &amp; ")
         )
      )
   ),
"")</f>
        <v/>
      </c>
      <c r="AE335" s="115" t="str" cm="1">
        <f t="array" ref="AE335">IF(COUNTIF(AD97,"*V*"),
   _xlfn.LET(
      _xlpm.pos, SUMPRODUCT(--(LEN($C$97:AD97)&gt;0)),
      _xlpm.val, INDEX($C$151:$AK$151, _xlpm.pos),
      IF(AD335="",
         SUBSTITUTE(_xlpm.val, ", ", " &amp; "),
         IF(COUNTIF(AD335, "*&amp;*"),
            _xlpm.val,
            SUBSTITUTE(_xlpm.val, ", ", " &amp; ")
         )
      )
   ),
"")</f>
        <v/>
      </c>
      <c r="AF335" s="115" t="str" cm="1">
        <f t="array" ref="AF335">IF(COUNTIF(AE97,"*V*"),
   _xlfn.LET(
      _xlpm.pos, SUMPRODUCT(--(LEN($C$97:AE97)&gt;0)),
      _xlpm.val, INDEX($C$151:$AK$151, _xlpm.pos),
      IF(AE335="",
         SUBSTITUTE(_xlpm.val, ", ", " &amp; "),
         IF(COUNTIF(AE335, "*&amp;*"),
            _xlpm.val,
            SUBSTITUTE(_xlpm.val, ", ", " &amp; ")
         )
      )
   ),
"")</f>
        <v/>
      </c>
      <c r="AG335" s="115" t="str" cm="1">
        <f t="array" ref="AG335">IF(COUNTIF(AF97,"*V*"),
   _xlfn.LET(
      _xlpm.pos, SUMPRODUCT(--(LEN($C$97:AF97)&gt;0)),
      _xlpm.val, INDEX($C$151:$AK$151, _xlpm.pos),
      IF(AF335="",
         SUBSTITUTE(_xlpm.val, ", ", " &amp; "),
         IF(COUNTIF(AF335, "*&amp;*"),
            _xlpm.val,
            SUBSTITUTE(_xlpm.val, ", ", " &amp; ")
         )
      )
   ),
"")</f>
        <v/>
      </c>
      <c r="AH335" s="115" t="str" cm="1">
        <f t="array" ref="AH335">IF(COUNTIF(AG97,"*V*"),
   _xlfn.LET(
      _xlpm.pos, SUMPRODUCT(--(LEN($C$97:AG97)&gt;0)),
      _xlpm.val, INDEX($C$151:$AK$151, _xlpm.pos),
      IF(AG335="",
         SUBSTITUTE(_xlpm.val, ", ", " &amp; "),
         IF(COUNTIF(AG335, "*&amp;*"),
            _xlpm.val,
            SUBSTITUTE(_xlpm.val, ", ", " &amp; ")
         )
      )
   ),
"")</f>
        <v/>
      </c>
      <c r="AI335" s="115" t="str" cm="1">
        <f t="array" ref="AI335">IF(COUNTIF(AH97,"*V*"),
   _xlfn.LET(
      _xlpm.pos, SUMPRODUCT(--(LEN($C$97:AH97)&gt;0)),
      _xlpm.val, INDEX($C$151:$AK$151, _xlpm.pos),
      IF(AH335="",
         SUBSTITUTE(_xlpm.val, ", ", " &amp; "),
         IF(COUNTIF(AH335, "*&amp;*"),
            _xlpm.val,
            SUBSTITUTE(_xlpm.val, ", ", " &amp; ")
         )
      )
   ),
"")</f>
        <v/>
      </c>
      <c r="AJ335" s="115" t="str" cm="1">
        <f t="array" ref="AJ335">IF(COUNTIF(AI97,"*V*"),
   _xlfn.LET(
      _xlpm.pos, SUMPRODUCT(--(LEN($C$97:AI97)&gt;0)),
      _xlpm.val, INDEX($C$151:$AK$151, _xlpm.pos),
      IF(AI335="",
         SUBSTITUTE(_xlpm.val, ", ", " &amp; "),
         IF(COUNTIF(AI335, "*&amp;*"),
            _xlpm.val,
            SUBSTITUTE(_xlpm.val, ", ", " &amp; ")
         )
      )
   ),
"")</f>
        <v/>
      </c>
      <c r="AK335" s="115" t="str" cm="1">
        <f t="array" ref="AK335">IF(COUNTIF(AJ97,"*V*"),
   _xlfn.LET(
      _xlpm.pos, SUMPRODUCT(--(LEN($C$97:AJ97)&gt;0)),
      _xlpm.val, INDEX($C$151:$AK$151, _xlpm.pos),
      IF(AJ335="",
         SUBSTITUTE(_xlpm.val, ", ", " &amp; "),
         IF(COUNTIF(AJ335, "*&amp;*"),
            _xlpm.val,
            SUBSTITUTE(_xlpm.val, ", ", " &amp; ")
         )
      )
   ),
"")</f>
        <v/>
      </c>
    </row>
    <row r="336" spans="1:37" ht="15" customHeight="1" x14ac:dyDescent="0.35">
      <c r="A336" s="1196"/>
      <c r="B336" s="22">
        <v>5</v>
      </c>
      <c r="D336" s="115" t="str" cm="1">
        <f t="array" ref="D336">IF(COUNTIF(C98,"*V*"),
   _xlfn.LET(
      _xlpm.pos, SUMPRODUCT(--(LEN($C$98:C98)&gt;0)),
      _xlpm.val, INDEX($C$152:$AK$152, _xlpm.pos),
      IF(C336="",
         SUBSTITUTE(_xlpm.val, ", ", " &amp; "),
         IF(COUNTIF(C336, "*&amp;*"),
            _xlpm.val,
            SUBSTITUTE(_xlpm.val, ", ", " &amp; ")
         )
      )
   ),
"")</f>
        <v/>
      </c>
      <c r="E336" s="115" t="str" cm="1">
        <f t="array" ref="E336">IF(COUNTIF(D98,"*V*"),
   _xlfn.LET(
      _xlpm.pos, SUMPRODUCT(--(LEN($C$98:D98)&gt;0)),
      _xlpm.val, INDEX($C$152:$AK$152, _xlpm.pos),
      IF(D336="",
         SUBSTITUTE(_xlpm.val, ", ", " &amp; "),
         IF(COUNTIF(D336, "*&amp;*"),
            _xlpm.val,
            SUBSTITUTE(_xlpm.val, ", ", " &amp; ")
         )
      )
   ),
"")</f>
        <v/>
      </c>
      <c r="F336" s="115" t="str" cm="1">
        <f t="array" ref="F336">IF(COUNTIF(E98,"*V*"),
   _xlfn.LET(
      _xlpm.pos, SUMPRODUCT(--(LEN($C$98:E98)&gt;0)),
      _xlpm.val, INDEX($C$152:$AK$152, _xlpm.pos),
      IF(E336="",
         SUBSTITUTE(_xlpm.val, ", ", " &amp; "),
         IF(COUNTIF(E336, "*&amp;*"),
            _xlpm.val,
            SUBSTITUTE(_xlpm.val, ", ", " &amp; ")
         )
      )
   ),
"")</f>
        <v/>
      </c>
      <c r="G336" s="115" t="str" cm="1">
        <f t="array" ref="G336">IF(COUNTIF(F98,"*V*"),
   _xlfn.LET(
      _xlpm.pos, SUMPRODUCT(--(LEN($C$98:F98)&gt;0)),
      _xlpm.val, INDEX($C$152:$AK$152, _xlpm.pos),
      IF(F336="",
         SUBSTITUTE(_xlpm.val, ", ", " &amp; "),
         IF(COUNTIF(F336, "*&amp;*"),
            _xlpm.val,
            SUBSTITUTE(_xlpm.val, ", ", " &amp; ")
         )
      )
   ),
"")</f>
        <v/>
      </c>
      <c r="H336" s="115" t="str" cm="1">
        <f t="array" ref="H336">IF(COUNTIF(G98,"*V*"),
   _xlfn.LET(
      _xlpm.pos, SUMPRODUCT(--(LEN($C$98:G98)&gt;0)),
      _xlpm.val, INDEX($C$152:$AK$152, _xlpm.pos),
      IF(G336="",
         SUBSTITUTE(_xlpm.val, ", ", " &amp; "),
         IF(COUNTIF(G336, "*&amp;*"),
            _xlpm.val,
            SUBSTITUTE(_xlpm.val, ", ", " &amp; ")
         )
      )
   ),
"")</f>
        <v/>
      </c>
      <c r="I336" s="115" t="str" cm="1">
        <f t="array" ref="I336">IF(COUNTIF(H98,"*V*"),
   _xlfn.LET(
      _xlpm.pos, SUMPRODUCT(--(LEN($C$98:H98)&gt;0)),
      _xlpm.val, INDEX($C$152:$AK$152, _xlpm.pos),
      IF(H336="",
         SUBSTITUTE(_xlpm.val, ", ", " &amp; "),
         IF(COUNTIF(H336, "*&amp;*"),
            _xlpm.val,
            SUBSTITUTE(_xlpm.val, ", ", " &amp; ")
         )
      )
   ),
"")</f>
        <v/>
      </c>
      <c r="J336" s="115" t="str" cm="1">
        <f t="array" ref="J336">IF(COUNTIF(I98,"*V*"),
   _xlfn.LET(
      _xlpm.pos, SUMPRODUCT(--(LEN($C$98:I98)&gt;0)),
      _xlpm.val, INDEX($C$152:$AK$152, _xlpm.pos),
      IF(I336="",
         SUBSTITUTE(_xlpm.val, ", ", " &amp; "),
         IF(COUNTIF(I336, "*&amp;*"),
            _xlpm.val,
            SUBSTITUTE(_xlpm.val, ", ", " &amp; ")
         )
      )
   ),
"")</f>
        <v/>
      </c>
      <c r="K336" s="115" t="str" cm="1">
        <f t="array" ref="K336">IF(COUNTIF(J98,"*V*"),
   _xlfn.LET(
      _xlpm.pos, SUMPRODUCT(--(LEN($C$98:J98)&gt;0)),
      _xlpm.val, INDEX($C$152:$AK$152, _xlpm.pos),
      IF(J336="",
         SUBSTITUTE(_xlpm.val, ", ", " &amp; "),
         IF(COUNTIF(J336, "*&amp;*"),
            _xlpm.val,
            SUBSTITUTE(_xlpm.val, ", ", " &amp; ")
         )
      )
   ),
"")</f>
        <v/>
      </c>
      <c r="L336" s="115" t="str" cm="1">
        <f t="array" ref="L336">IF(COUNTIF(K98,"*V*"),
   _xlfn.LET(
      _xlpm.pos, SUMPRODUCT(--(LEN($C$98:K98)&gt;0)),
      _xlpm.val, INDEX($C$152:$AK$152, _xlpm.pos),
      IF(K336="",
         SUBSTITUTE(_xlpm.val, ", ", " &amp; "),
         IF(COUNTIF(K336, "*&amp;*"),
            _xlpm.val,
            SUBSTITUTE(_xlpm.val, ", ", " &amp; ")
         )
      )
   ),
"")</f>
        <v/>
      </c>
      <c r="M336" s="115" t="str" cm="1">
        <f t="array" ref="M336">IF(COUNTIF(L98,"*V*"),
   _xlfn.LET(
      _xlpm.pos, SUMPRODUCT(--(LEN($C$98:L98)&gt;0)),
      _xlpm.val, INDEX($C$152:$AK$152, _xlpm.pos),
      IF(L336="",
         SUBSTITUTE(_xlpm.val, ", ", " &amp; "),
         IF(COUNTIF(L336, "*&amp;*"),
            _xlpm.val,
            SUBSTITUTE(_xlpm.val, ", ", " &amp; ")
         )
      )
   ),
"")</f>
        <v/>
      </c>
      <c r="N336" s="115" t="str" cm="1">
        <f t="array" ref="N336">IF(COUNTIF(M98,"*V*"),
   _xlfn.LET(
      _xlpm.pos, SUMPRODUCT(--(LEN($C$98:M98)&gt;0)),
      _xlpm.val, INDEX($C$152:$AK$152, _xlpm.pos),
      IF(M336="",
         SUBSTITUTE(_xlpm.val, ", ", " &amp; "),
         IF(COUNTIF(M336, "*&amp;*"),
            _xlpm.val,
            SUBSTITUTE(_xlpm.val, ", ", " &amp; ")
         )
      )
   ),
"")</f>
        <v/>
      </c>
      <c r="O336" s="115" t="str" cm="1">
        <f t="array" ref="O336">IF(COUNTIF(N98,"*V*"),
   _xlfn.LET(
      _xlpm.pos, SUMPRODUCT(--(LEN($C$98:N98)&gt;0)),
      _xlpm.val, INDEX($C$152:$AK$152, _xlpm.pos),
      IF(N336="",
         SUBSTITUTE(_xlpm.val, ", ", " &amp; "),
         IF(COUNTIF(N336, "*&amp;*"),
            _xlpm.val,
            SUBSTITUTE(_xlpm.val, ", ", " &amp; ")
         )
      )
   ),
"")</f>
        <v/>
      </c>
      <c r="P336" s="115" t="str" cm="1">
        <f t="array" ref="P336">IF(COUNTIF(O98,"*V*"),
   _xlfn.LET(
      _xlpm.pos, SUMPRODUCT(--(LEN($C$98:O98)&gt;0)),
      _xlpm.val, INDEX($C$152:$AK$152, _xlpm.pos),
      IF(O336="",
         SUBSTITUTE(_xlpm.val, ", ", " &amp; "),
         IF(COUNTIF(O336, "*&amp;*"),
            _xlpm.val,
            SUBSTITUTE(_xlpm.val, ", ", " &amp; ")
         )
      )
   ),
"")</f>
        <v/>
      </c>
      <c r="Q336" s="115" t="str" cm="1">
        <f t="array" ref="Q336">IF(COUNTIF(P98,"*V*"),
   _xlfn.LET(
      _xlpm.pos, SUMPRODUCT(--(LEN($C$98:P98)&gt;0)),
      _xlpm.val, INDEX($C$152:$AK$152, _xlpm.pos),
      IF(P336="",
         SUBSTITUTE(_xlpm.val, ", ", " &amp; "),
         IF(COUNTIF(P336, "*&amp;*"),
            _xlpm.val,
            SUBSTITUTE(_xlpm.val, ", ", " &amp; ")
         )
      )
   ),
"")</f>
        <v/>
      </c>
      <c r="R336" s="115" t="str" cm="1">
        <f t="array" ref="R336">IF(COUNTIF(Q98,"*V*"),
   _xlfn.LET(
      _xlpm.pos, SUMPRODUCT(--(LEN($C$98:Q98)&gt;0)),
      _xlpm.val, INDEX($C$152:$AK$152, _xlpm.pos),
      IF(Q336="",
         SUBSTITUTE(_xlpm.val, ", ", " &amp; "),
         IF(COUNTIF(Q336, "*&amp;*"),
            _xlpm.val,
            SUBSTITUTE(_xlpm.val, ", ", " &amp; ")
         )
      )
   ),
"")</f>
        <v/>
      </c>
      <c r="S336" s="115" t="str" cm="1">
        <f t="array" ref="S336">IF(COUNTIF(R98,"*V*"),
   _xlfn.LET(
      _xlpm.pos, SUMPRODUCT(--(LEN($C$98:R98)&gt;0)),
      _xlpm.val, INDEX($C$152:$AK$152, _xlpm.pos),
      IF(R336="",
         SUBSTITUTE(_xlpm.val, ", ", " &amp; "),
         IF(COUNTIF(R336, "*&amp;*"),
            _xlpm.val,
            SUBSTITUTE(_xlpm.val, ", ", " &amp; ")
         )
      )
   ),
"")</f>
        <v/>
      </c>
      <c r="T336" s="115" t="str" cm="1">
        <f t="array" ref="T336">IF(COUNTIF(S98,"*V*"),
   _xlfn.LET(
      _xlpm.pos, SUMPRODUCT(--(LEN($C$98:S98)&gt;0)),
      _xlpm.val, INDEX($C$152:$AK$152, _xlpm.pos),
      IF(S336="",
         SUBSTITUTE(_xlpm.val, ", ", " &amp; "),
         IF(COUNTIF(S336, "*&amp;*"),
            _xlpm.val,
            SUBSTITUTE(_xlpm.val, ", ", " &amp; ")
         )
      )
   ),
"")</f>
        <v/>
      </c>
      <c r="U336" s="115" t="str" cm="1">
        <f t="array" ref="U336">IF(COUNTIF(T98,"*V*"),
   _xlfn.LET(
      _xlpm.pos, SUMPRODUCT(--(LEN($C$98:T98)&gt;0)),
      _xlpm.val, INDEX($C$152:$AK$152, _xlpm.pos),
      IF(T336="",
         SUBSTITUTE(_xlpm.val, ", ", " &amp; "),
         IF(COUNTIF(T336, "*&amp;*"),
            _xlpm.val,
            SUBSTITUTE(_xlpm.val, ", ", " &amp; ")
         )
      )
   ),
"")</f>
        <v/>
      </c>
      <c r="V336" s="115" t="str" cm="1">
        <f t="array" ref="V336">IF(COUNTIF(U98,"*V*"),
   _xlfn.LET(
      _xlpm.pos, SUMPRODUCT(--(LEN($C$98:U98)&gt;0)),
      _xlpm.val, INDEX($C$152:$AK$152, _xlpm.pos),
      IF(U336="",
         SUBSTITUTE(_xlpm.val, ", ", " &amp; "),
         IF(COUNTIF(U336, "*&amp;*"),
            _xlpm.val,
            SUBSTITUTE(_xlpm.val, ", ", " &amp; ")
         )
      )
   ),
"")</f>
        <v/>
      </c>
      <c r="W336" s="115" t="str" cm="1">
        <f t="array" ref="W336">IF(COUNTIF(V98,"*V*"),
   _xlfn.LET(
      _xlpm.pos, SUMPRODUCT(--(LEN($C$98:V98)&gt;0)),
      _xlpm.val, INDEX($C$152:$AK$152, _xlpm.pos),
      IF(V336="",
         SUBSTITUTE(_xlpm.val, ", ", " &amp; "),
         IF(COUNTIF(V336, "*&amp;*"),
            _xlpm.val,
            SUBSTITUTE(_xlpm.val, ", ", " &amp; ")
         )
      )
   ),
"")</f>
        <v/>
      </c>
      <c r="X336" s="115" t="str" cm="1">
        <f t="array" ref="X336">IF(COUNTIF(W98,"*V*"),
   _xlfn.LET(
      _xlpm.pos, SUMPRODUCT(--(LEN($C$98:W98)&gt;0)),
      _xlpm.val, INDEX($C$152:$AK$152, _xlpm.pos),
      IF(W336="",
         SUBSTITUTE(_xlpm.val, ", ", " &amp; "),
         IF(COUNTIF(W336, "*&amp;*"),
            _xlpm.val,
            SUBSTITUTE(_xlpm.val, ", ", " &amp; ")
         )
      )
   ),
"")</f>
        <v/>
      </c>
      <c r="Y336" s="115" t="str" cm="1">
        <f t="array" ref="Y336">IF(COUNTIF(X98,"*V*"),
   _xlfn.LET(
      _xlpm.pos, SUMPRODUCT(--(LEN($C$98:X98)&gt;0)),
      _xlpm.val, INDEX($C$152:$AK$152, _xlpm.pos),
      IF(X336="",
         SUBSTITUTE(_xlpm.val, ", ", " &amp; "),
         IF(COUNTIF(X336, "*&amp;*"),
            _xlpm.val,
            SUBSTITUTE(_xlpm.val, ", ", " &amp; ")
         )
      )
   ),
"")</f>
        <v/>
      </c>
      <c r="Z336" s="115" t="str" cm="1">
        <f t="array" ref="Z336">IF(COUNTIF(Y98,"*V*"),
   _xlfn.LET(
      _xlpm.pos, SUMPRODUCT(--(LEN($C$98:Y98)&gt;0)),
      _xlpm.val, INDEX($C$152:$AK$152, _xlpm.pos),
      IF(Y336="",
         SUBSTITUTE(_xlpm.val, ", ", " &amp; "),
         IF(COUNTIF(Y336, "*&amp;*"),
            _xlpm.val,
            SUBSTITUTE(_xlpm.val, ", ", " &amp; ")
         )
      )
   ),
"")</f>
        <v/>
      </c>
      <c r="AA336" s="115" t="str" cm="1">
        <f t="array" ref="AA336">IF(COUNTIF(Z98,"*V*"),
   _xlfn.LET(
      _xlpm.pos, SUMPRODUCT(--(LEN($C$98:Z98)&gt;0)),
      _xlpm.val, INDEX($C$152:$AK$152, _xlpm.pos),
      IF(Z336="",
         SUBSTITUTE(_xlpm.val, ", ", " &amp; "),
         IF(COUNTIF(Z336, "*&amp;*"),
            _xlpm.val,
            SUBSTITUTE(_xlpm.val, ", ", " &amp; ")
         )
      )
   ),
"")</f>
        <v/>
      </c>
      <c r="AB336" s="115" t="str" cm="1">
        <f t="array" ref="AB336">IF(COUNTIF(AA98,"*V*"),
   _xlfn.LET(
      _xlpm.pos, SUMPRODUCT(--(LEN($C$98:AA98)&gt;0)),
      _xlpm.val, INDEX($C$152:$AK$152, _xlpm.pos),
      IF(AA336="",
         SUBSTITUTE(_xlpm.val, ", ", " &amp; "),
         IF(COUNTIF(AA336, "*&amp;*"),
            _xlpm.val,
            SUBSTITUTE(_xlpm.val, ", ", " &amp; ")
         )
      )
   ),
"")</f>
        <v/>
      </c>
      <c r="AC336" s="115" t="str" cm="1">
        <f t="array" ref="AC336">IF(COUNTIF(AB98,"*V*"),
   _xlfn.LET(
      _xlpm.pos, SUMPRODUCT(--(LEN($C$98:AB98)&gt;0)),
      _xlpm.val, INDEX($C$152:$AK$152, _xlpm.pos),
      IF(AB336="",
         SUBSTITUTE(_xlpm.val, ", ", " &amp; "),
         IF(COUNTIF(AB336, "*&amp;*"),
            _xlpm.val,
            SUBSTITUTE(_xlpm.val, ", ", " &amp; ")
         )
      )
   ),
"")</f>
        <v/>
      </c>
      <c r="AD336" s="115" t="str" cm="1">
        <f t="array" ref="AD336">IF(COUNTIF(AC98,"*V*"),
   _xlfn.LET(
      _xlpm.pos, SUMPRODUCT(--(LEN($C$98:AC98)&gt;0)),
      _xlpm.val, INDEX($C$152:$AK$152, _xlpm.pos),
      IF(AC336="",
         SUBSTITUTE(_xlpm.val, ", ", " &amp; "),
         IF(COUNTIF(AC336, "*&amp;*"),
            _xlpm.val,
            SUBSTITUTE(_xlpm.val, ", ", " &amp; ")
         )
      )
   ),
"")</f>
        <v/>
      </c>
      <c r="AE336" s="115" t="str" cm="1">
        <f t="array" ref="AE336">IF(COUNTIF(AD98,"*V*"),
   _xlfn.LET(
      _xlpm.pos, SUMPRODUCT(--(LEN($C$98:AD98)&gt;0)),
      _xlpm.val, INDEX($C$152:$AK$152, _xlpm.pos),
      IF(AD336="",
         SUBSTITUTE(_xlpm.val, ", ", " &amp; "),
         IF(COUNTIF(AD336, "*&amp;*"),
            _xlpm.val,
            SUBSTITUTE(_xlpm.val, ", ", " &amp; ")
         )
      )
   ),
"")</f>
        <v/>
      </c>
      <c r="AF336" s="115" t="str" cm="1">
        <f t="array" ref="AF336">IF(COUNTIF(AE98,"*V*"),
   _xlfn.LET(
      _xlpm.pos, SUMPRODUCT(--(LEN($C$98:AE98)&gt;0)),
      _xlpm.val, INDEX($C$152:$AK$152, _xlpm.pos),
      IF(AE336="",
         SUBSTITUTE(_xlpm.val, ", ", " &amp; "),
         IF(COUNTIF(AE336, "*&amp;*"),
            _xlpm.val,
            SUBSTITUTE(_xlpm.val, ", ", " &amp; ")
         )
      )
   ),
"")</f>
        <v/>
      </c>
      <c r="AG336" s="115" t="str" cm="1">
        <f t="array" ref="AG336">IF(COUNTIF(AF98,"*V*"),
   _xlfn.LET(
      _xlpm.pos, SUMPRODUCT(--(LEN($C$98:AF98)&gt;0)),
      _xlpm.val, INDEX($C$152:$AK$152, _xlpm.pos),
      IF(AF336="",
         SUBSTITUTE(_xlpm.val, ", ", " &amp; "),
         IF(COUNTIF(AF336, "*&amp;*"),
            _xlpm.val,
            SUBSTITUTE(_xlpm.val, ", ", " &amp; ")
         )
      )
   ),
"")</f>
        <v/>
      </c>
      <c r="AH336" s="115" t="str" cm="1">
        <f t="array" ref="AH336">IF(COUNTIF(AG98,"*V*"),
   _xlfn.LET(
      _xlpm.pos, SUMPRODUCT(--(LEN($C$98:AG98)&gt;0)),
      _xlpm.val, INDEX($C$152:$AK$152, _xlpm.pos),
      IF(AG336="",
         SUBSTITUTE(_xlpm.val, ", ", " &amp; "),
         IF(COUNTIF(AG336, "*&amp;*"),
            _xlpm.val,
            SUBSTITUTE(_xlpm.val, ", ", " &amp; ")
         )
      )
   ),
"")</f>
        <v/>
      </c>
      <c r="AI336" s="115" t="str" cm="1">
        <f t="array" ref="AI336">IF(COUNTIF(AH98,"*V*"),
   _xlfn.LET(
      _xlpm.pos, SUMPRODUCT(--(LEN($C$98:AH98)&gt;0)),
      _xlpm.val, INDEX($C$152:$AK$152, _xlpm.pos),
      IF(AH336="",
         SUBSTITUTE(_xlpm.val, ", ", " &amp; "),
         IF(COUNTIF(AH336, "*&amp;*"),
            _xlpm.val,
            SUBSTITUTE(_xlpm.val, ", ", " &amp; ")
         )
      )
   ),
"")</f>
        <v/>
      </c>
      <c r="AJ336" s="115" t="str" cm="1">
        <f t="array" ref="AJ336">IF(COUNTIF(AI98,"*V*"),
   _xlfn.LET(
      _xlpm.pos, SUMPRODUCT(--(LEN($C$98:AI98)&gt;0)),
      _xlpm.val, INDEX($C$152:$AK$152, _xlpm.pos),
      IF(AI336="",
         SUBSTITUTE(_xlpm.val, ", ", " &amp; "),
         IF(COUNTIF(AI336, "*&amp;*"),
            _xlpm.val,
            SUBSTITUTE(_xlpm.val, ", ", " &amp; ")
         )
      )
   ),
"")</f>
        <v/>
      </c>
      <c r="AK336" s="115" t="str" cm="1">
        <f t="array" ref="AK336">IF(COUNTIF(AJ98,"*V*"),
   _xlfn.LET(
      _xlpm.pos, SUMPRODUCT(--(LEN($C$98:AJ98)&gt;0)),
      _xlpm.val, INDEX($C$152:$AK$152, _xlpm.pos),
      IF(AJ336="",
         SUBSTITUTE(_xlpm.val, ", ", " &amp; "),
         IF(COUNTIF(AJ336, "*&amp;*"),
            _xlpm.val,
            SUBSTITUTE(_xlpm.val, ", ", " &amp; ")
         )
      )
   ),
"")</f>
        <v/>
      </c>
    </row>
    <row r="337" spans="1:37" ht="15" customHeight="1" x14ac:dyDescent="0.35">
      <c r="A337" s="1196"/>
      <c r="B337" s="22">
        <v>6</v>
      </c>
      <c r="D337" s="115" t="str" cm="1">
        <f t="array" ref="D337">IF(COUNTIF(C99,"*V*"),
   _xlfn.LET(
      _xlpm.pos, SUMPRODUCT(--(LEN($C$99:C99)&gt;0)),
      _xlpm.val, INDEX($C$153:$AK$153, _xlpm.pos),
      IF(C337="",
         SUBSTITUTE(_xlpm.val, ", ", " &amp; "),
         IF(COUNTIF(C337, "*&amp;*"),
            _xlpm.val,
            SUBSTITUTE(_xlpm.val, ", ", " &amp; ")
         )
      )
   ),
"")</f>
        <v/>
      </c>
      <c r="E337" s="115" t="str" cm="1">
        <f t="array" ref="E337">IF(COUNTIF(D99,"*V*"),
   _xlfn.LET(
      _xlpm.pos, SUMPRODUCT(--(LEN($C$99:D99)&gt;0)),
      _xlpm.val, INDEX($C$153:$AK$153, _xlpm.pos),
      IF(D337="",
         SUBSTITUTE(_xlpm.val, ", ", " &amp; "),
         IF(COUNTIF(D337, "*&amp;*"),
            _xlpm.val,
            SUBSTITUTE(_xlpm.val, ", ", " &amp; ")
         )
      )
   ),
"")</f>
        <v/>
      </c>
      <c r="F337" s="115" t="str" cm="1">
        <f t="array" ref="F337">IF(COUNTIF(E99,"*V*"),
   _xlfn.LET(
      _xlpm.pos, SUMPRODUCT(--(LEN($C$99:E99)&gt;0)),
      _xlpm.val, INDEX($C$153:$AK$153, _xlpm.pos),
      IF(E337="",
         SUBSTITUTE(_xlpm.val, ", ", " &amp; "),
         IF(COUNTIF(E337, "*&amp;*"),
            _xlpm.val,
            SUBSTITUTE(_xlpm.val, ", ", " &amp; ")
         )
      )
   ),
"")</f>
        <v/>
      </c>
      <c r="G337" s="115" t="str" cm="1">
        <f t="array" ref="G337">IF(COUNTIF(F99,"*V*"),
   _xlfn.LET(
      _xlpm.pos, SUMPRODUCT(--(LEN($C$99:F99)&gt;0)),
      _xlpm.val, INDEX($C$153:$AK$153, _xlpm.pos),
      IF(F337="",
         SUBSTITUTE(_xlpm.val, ", ", " &amp; "),
         IF(COUNTIF(F337, "*&amp;*"),
            _xlpm.val,
            SUBSTITUTE(_xlpm.val, ", ", " &amp; ")
         )
      )
   ),
"")</f>
        <v/>
      </c>
      <c r="H337" s="115" t="str" cm="1">
        <f t="array" ref="H337">IF(COUNTIF(G99,"*V*"),
   _xlfn.LET(
      _xlpm.pos, SUMPRODUCT(--(LEN($C$99:G99)&gt;0)),
      _xlpm.val, INDEX($C$153:$AK$153, _xlpm.pos),
      IF(G337="",
         SUBSTITUTE(_xlpm.val, ", ", " &amp; "),
         IF(COUNTIF(G337, "*&amp;*"),
            _xlpm.val,
            SUBSTITUTE(_xlpm.val, ", ", " &amp; ")
         )
      )
   ),
"")</f>
        <v/>
      </c>
      <c r="I337" s="115" t="str" cm="1">
        <f t="array" ref="I337">IF(COUNTIF(H99,"*V*"),
   _xlfn.LET(
      _xlpm.pos, SUMPRODUCT(--(LEN($C$99:H99)&gt;0)),
      _xlpm.val, INDEX($C$153:$AK$153, _xlpm.pos),
      IF(H337="",
         SUBSTITUTE(_xlpm.val, ", ", " &amp; "),
         IF(COUNTIF(H337, "*&amp;*"),
            _xlpm.val,
            SUBSTITUTE(_xlpm.val, ", ", " &amp; ")
         )
      )
   ),
"")</f>
        <v/>
      </c>
      <c r="J337" s="115" t="str" cm="1">
        <f t="array" ref="J337">IF(COUNTIF(I99,"*V*"),
   _xlfn.LET(
      _xlpm.pos, SUMPRODUCT(--(LEN($C$99:I99)&gt;0)),
      _xlpm.val, INDEX($C$153:$AK$153, _xlpm.pos),
      IF(I337="",
         SUBSTITUTE(_xlpm.val, ", ", " &amp; "),
         IF(COUNTIF(I337, "*&amp;*"),
            _xlpm.val,
            SUBSTITUTE(_xlpm.val, ", ", " &amp; ")
         )
      )
   ),
"")</f>
        <v/>
      </c>
      <c r="K337" s="115" t="str" cm="1">
        <f t="array" ref="K337">IF(COUNTIF(J99,"*V*"),
   _xlfn.LET(
      _xlpm.pos, SUMPRODUCT(--(LEN($C$99:J99)&gt;0)),
      _xlpm.val, INDEX($C$153:$AK$153, _xlpm.pos),
      IF(J337="",
         SUBSTITUTE(_xlpm.val, ", ", " &amp; "),
         IF(COUNTIF(J337, "*&amp;*"),
            _xlpm.val,
            SUBSTITUTE(_xlpm.val, ", ", " &amp; ")
         )
      )
   ),
"")</f>
        <v/>
      </c>
      <c r="L337" s="115" t="str" cm="1">
        <f t="array" ref="L337">IF(COUNTIF(K99,"*V*"),
   _xlfn.LET(
      _xlpm.pos, SUMPRODUCT(--(LEN($C$99:K99)&gt;0)),
      _xlpm.val, INDEX($C$153:$AK$153, _xlpm.pos),
      IF(K337="",
         SUBSTITUTE(_xlpm.val, ", ", " &amp; "),
         IF(COUNTIF(K337, "*&amp;*"),
            _xlpm.val,
            SUBSTITUTE(_xlpm.val, ", ", " &amp; ")
         )
      )
   ),
"")</f>
        <v/>
      </c>
      <c r="M337" s="115" t="str" cm="1">
        <f t="array" ref="M337">IF(COUNTIF(L99,"*V*"),
   _xlfn.LET(
      _xlpm.pos, SUMPRODUCT(--(LEN($C$99:L99)&gt;0)),
      _xlpm.val, INDEX($C$153:$AK$153, _xlpm.pos),
      IF(L337="",
         SUBSTITUTE(_xlpm.val, ", ", " &amp; "),
         IF(COUNTIF(L337, "*&amp;*"),
            _xlpm.val,
            SUBSTITUTE(_xlpm.val, ", ", " &amp; ")
         )
      )
   ),
"")</f>
        <v/>
      </c>
      <c r="N337" s="115" t="str" cm="1">
        <f t="array" ref="N337">IF(COUNTIF(M99,"*V*"),
   _xlfn.LET(
      _xlpm.pos, SUMPRODUCT(--(LEN($C$99:M99)&gt;0)),
      _xlpm.val, INDEX($C$153:$AK$153, _xlpm.pos),
      IF(M337="",
         SUBSTITUTE(_xlpm.val, ", ", " &amp; "),
         IF(COUNTIF(M337, "*&amp;*"),
            _xlpm.val,
            SUBSTITUTE(_xlpm.val, ", ", " &amp; ")
         )
      )
   ),
"")</f>
        <v/>
      </c>
      <c r="O337" s="115" t="str" cm="1">
        <f t="array" ref="O337">IF(COUNTIF(N99,"*V*"),
   _xlfn.LET(
      _xlpm.pos, SUMPRODUCT(--(LEN($C$99:N99)&gt;0)),
      _xlpm.val, INDEX($C$153:$AK$153, _xlpm.pos),
      IF(N337="",
         SUBSTITUTE(_xlpm.val, ", ", " &amp; "),
         IF(COUNTIF(N337, "*&amp;*"),
            _xlpm.val,
            SUBSTITUTE(_xlpm.val, ", ", " &amp; ")
         )
      )
   ),
"")</f>
        <v/>
      </c>
      <c r="P337" s="115" t="str" cm="1">
        <f t="array" ref="P337">IF(COUNTIF(O99,"*V*"),
   _xlfn.LET(
      _xlpm.pos, SUMPRODUCT(--(LEN($C$99:O99)&gt;0)),
      _xlpm.val, INDEX($C$153:$AK$153, _xlpm.pos),
      IF(O337="",
         SUBSTITUTE(_xlpm.val, ", ", " &amp; "),
         IF(COUNTIF(O337, "*&amp;*"),
            _xlpm.val,
            SUBSTITUTE(_xlpm.val, ", ", " &amp; ")
         )
      )
   ),
"")</f>
        <v/>
      </c>
      <c r="Q337" s="115" t="str" cm="1">
        <f t="array" ref="Q337">IF(COUNTIF(P99,"*V*"),
   _xlfn.LET(
      _xlpm.pos, SUMPRODUCT(--(LEN($C$99:P99)&gt;0)),
      _xlpm.val, INDEX($C$153:$AK$153, _xlpm.pos),
      IF(P337="",
         SUBSTITUTE(_xlpm.val, ", ", " &amp; "),
         IF(COUNTIF(P337, "*&amp;*"),
            _xlpm.val,
            SUBSTITUTE(_xlpm.val, ", ", " &amp; ")
         )
      )
   ),
"")</f>
        <v/>
      </c>
      <c r="R337" s="115" t="str" cm="1">
        <f t="array" ref="R337">IF(COUNTIF(Q99,"*V*"),
   _xlfn.LET(
      _xlpm.pos, SUMPRODUCT(--(LEN($C$99:Q99)&gt;0)),
      _xlpm.val, INDEX($C$153:$AK$153, _xlpm.pos),
      IF(Q337="",
         SUBSTITUTE(_xlpm.val, ", ", " &amp; "),
         IF(COUNTIF(Q337, "*&amp;*"),
            _xlpm.val,
            SUBSTITUTE(_xlpm.val, ", ", " &amp; ")
         )
      )
   ),
"")</f>
        <v/>
      </c>
      <c r="S337" s="115" t="str" cm="1">
        <f t="array" ref="S337">IF(COUNTIF(R99,"*V*"),
   _xlfn.LET(
      _xlpm.pos, SUMPRODUCT(--(LEN($C$99:R99)&gt;0)),
      _xlpm.val, INDEX($C$153:$AK$153, _xlpm.pos),
      IF(R337="",
         SUBSTITUTE(_xlpm.val, ", ", " &amp; "),
         IF(COUNTIF(R337, "*&amp;*"),
            _xlpm.val,
            SUBSTITUTE(_xlpm.val, ", ", " &amp; ")
         )
      )
   ),
"")</f>
        <v/>
      </c>
      <c r="T337" s="115" t="str" cm="1">
        <f t="array" ref="T337">IF(COUNTIF(S99,"*V*"),
   _xlfn.LET(
      _xlpm.pos, SUMPRODUCT(--(LEN($C$99:S99)&gt;0)),
      _xlpm.val, INDEX($C$153:$AK$153, _xlpm.pos),
      IF(S337="",
         SUBSTITUTE(_xlpm.val, ", ", " &amp; "),
         IF(COUNTIF(S337, "*&amp;*"),
            _xlpm.val,
            SUBSTITUTE(_xlpm.val, ", ", " &amp; ")
         )
      )
   ),
"")</f>
        <v/>
      </c>
      <c r="U337" s="115" t="str" cm="1">
        <f t="array" ref="U337">IF(COUNTIF(T99,"*V*"),
   _xlfn.LET(
      _xlpm.pos, SUMPRODUCT(--(LEN($C$99:T99)&gt;0)),
      _xlpm.val, INDEX($C$153:$AK$153, _xlpm.pos),
      IF(T337="",
         SUBSTITUTE(_xlpm.val, ", ", " &amp; "),
         IF(COUNTIF(T337, "*&amp;*"),
            _xlpm.val,
            SUBSTITUTE(_xlpm.val, ", ", " &amp; ")
         )
      )
   ),
"")</f>
        <v/>
      </c>
      <c r="V337" s="115" t="str" cm="1">
        <f t="array" ref="V337">IF(COUNTIF(U99,"*V*"),
   _xlfn.LET(
      _xlpm.pos, SUMPRODUCT(--(LEN($C$99:U99)&gt;0)),
      _xlpm.val, INDEX($C$153:$AK$153, _xlpm.pos),
      IF(U337="",
         SUBSTITUTE(_xlpm.val, ", ", " &amp; "),
         IF(COUNTIF(U337, "*&amp;*"),
            _xlpm.val,
            SUBSTITUTE(_xlpm.val, ", ", " &amp; ")
         )
      )
   ),
"")</f>
        <v/>
      </c>
      <c r="W337" s="115" t="str" cm="1">
        <f t="array" ref="W337">IF(COUNTIF(V99,"*V*"),
   _xlfn.LET(
      _xlpm.pos, SUMPRODUCT(--(LEN($C$99:V99)&gt;0)),
      _xlpm.val, INDEX($C$153:$AK$153, _xlpm.pos),
      IF(V337="",
         SUBSTITUTE(_xlpm.val, ", ", " &amp; "),
         IF(COUNTIF(V337, "*&amp;*"),
            _xlpm.val,
            SUBSTITUTE(_xlpm.val, ", ", " &amp; ")
         )
      )
   ),
"")</f>
        <v/>
      </c>
      <c r="X337" s="115" t="str" cm="1">
        <f t="array" ref="X337">IF(COUNTIF(W99,"*V*"),
   _xlfn.LET(
      _xlpm.pos, SUMPRODUCT(--(LEN($C$99:W99)&gt;0)),
      _xlpm.val, INDEX($C$153:$AK$153, _xlpm.pos),
      IF(W337="",
         SUBSTITUTE(_xlpm.val, ", ", " &amp; "),
         IF(COUNTIF(W337, "*&amp;*"),
            _xlpm.val,
            SUBSTITUTE(_xlpm.val, ", ", " &amp; ")
         )
      )
   ),
"")</f>
        <v/>
      </c>
      <c r="Y337" s="115" t="str" cm="1">
        <f t="array" ref="Y337">IF(COUNTIF(X99,"*V*"),
   _xlfn.LET(
      _xlpm.pos, SUMPRODUCT(--(LEN($C$99:X99)&gt;0)),
      _xlpm.val, INDEX($C$153:$AK$153, _xlpm.pos),
      IF(X337="",
         SUBSTITUTE(_xlpm.val, ", ", " &amp; "),
         IF(COUNTIF(X337, "*&amp;*"),
            _xlpm.val,
            SUBSTITUTE(_xlpm.val, ", ", " &amp; ")
         )
      )
   ),
"")</f>
        <v/>
      </c>
      <c r="Z337" s="115" t="str" cm="1">
        <f t="array" ref="Z337">IF(COUNTIF(Y99,"*V*"),
   _xlfn.LET(
      _xlpm.pos, SUMPRODUCT(--(LEN($C$99:Y99)&gt;0)),
      _xlpm.val, INDEX($C$153:$AK$153, _xlpm.pos),
      IF(Y337="",
         SUBSTITUTE(_xlpm.val, ", ", " &amp; "),
         IF(COUNTIF(Y337, "*&amp;*"),
            _xlpm.val,
            SUBSTITUTE(_xlpm.val, ", ", " &amp; ")
         )
      )
   ),
"")</f>
        <v/>
      </c>
      <c r="AA337" s="115" t="str" cm="1">
        <f t="array" ref="AA337">IF(COUNTIF(Z99,"*V*"),
   _xlfn.LET(
      _xlpm.pos, SUMPRODUCT(--(LEN($C$99:Z99)&gt;0)),
      _xlpm.val, INDEX($C$153:$AK$153, _xlpm.pos),
      IF(Z337="",
         SUBSTITUTE(_xlpm.val, ", ", " &amp; "),
         IF(COUNTIF(Z337, "*&amp;*"),
            _xlpm.val,
            SUBSTITUTE(_xlpm.val, ", ", " &amp; ")
         )
      )
   ),
"")</f>
        <v/>
      </c>
      <c r="AB337" s="115" t="str" cm="1">
        <f t="array" ref="AB337">IF(COUNTIF(AA99,"*V*"),
   _xlfn.LET(
      _xlpm.pos, SUMPRODUCT(--(LEN($C$99:AA99)&gt;0)),
      _xlpm.val, INDEX($C$153:$AK$153, _xlpm.pos),
      IF(AA337="",
         SUBSTITUTE(_xlpm.val, ", ", " &amp; "),
         IF(COUNTIF(AA337, "*&amp;*"),
            _xlpm.val,
            SUBSTITUTE(_xlpm.val, ", ", " &amp; ")
         )
      )
   ),
"")</f>
        <v/>
      </c>
      <c r="AC337" s="115" t="str" cm="1">
        <f t="array" ref="AC337">IF(COUNTIF(AB99,"*V*"),
   _xlfn.LET(
      _xlpm.pos, SUMPRODUCT(--(LEN($C$99:AB99)&gt;0)),
      _xlpm.val, INDEX($C$153:$AK$153, _xlpm.pos),
      IF(AB337="",
         SUBSTITUTE(_xlpm.val, ", ", " &amp; "),
         IF(COUNTIF(AB337, "*&amp;*"),
            _xlpm.val,
            SUBSTITUTE(_xlpm.val, ", ", " &amp; ")
         )
      )
   ),
"")</f>
        <v/>
      </c>
      <c r="AD337" s="115" t="str" cm="1">
        <f t="array" ref="AD337">IF(COUNTIF(AC99,"*V*"),
   _xlfn.LET(
      _xlpm.pos, SUMPRODUCT(--(LEN($C$99:AC99)&gt;0)),
      _xlpm.val, INDEX($C$153:$AK$153, _xlpm.pos),
      IF(AC337="",
         SUBSTITUTE(_xlpm.val, ", ", " &amp; "),
         IF(COUNTIF(AC337, "*&amp;*"),
            _xlpm.val,
            SUBSTITUTE(_xlpm.val, ", ", " &amp; ")
         )
      )
   ),
"")</f>
        <v/>
      </c>
      <c r="AE337" s="115" t="str" cm="1">
        <f t="array" ref="AE337">IF(COUNTIF(AD99,"*V*"),
   _xlfn.LET(
      _xlpm.pos, SUMPRODUCT(--(LEN($C$99:AD99)&gt;0)),
      _xlpm.val, INDEX($C$153:$AK$153, _xlpm.pos),
      IF(AD337="",
         SUBSTITUTE(_xlpm.val, ", ", " &amp; "),
         IF(COUNTIF(AD337, "*&amp;*"),
            _xlpm.val,
            SUBSTITUTE(_xlpm.val, ", ", " &amp; ")
         )
      )
   ),
"")</f>
        <v/>
      </c>
      <c r="AF337" s="115" t="str" cm="1">
        <f t="array" ref="AF337">IF(COUNTIF(AE99,"*V*"),
   _xlfn.LET(
      _xlpm.pos, SUMPRODUCT(--(LEN($C$99:AE99)&gt;0)),
      _xlpm.val, INDEX($C$153:$AK$153, _xlpm.pos),
      IF(AE337="",
         SUBSTITUTE(_xlpm.val, ", ", " &amp; "),
         IF(COUNTIF(AE337, "*&amp;*"),
            _xlpm.val,
            SUBSTITUTE(_xlpm.val, ", ", " &amp; ")
         )
      )
   ),
"")</f>
        <v/>
      </c>
      <c r="AG337" s="115" t="str" cm="1">
        <f t="array" ref="AG337">IF(COUNTIF(AF99,"*V*"),
   _xlfn.LET(
      _xlpm.pos, SUMPRODUCT(--(LEN($C$99:AF99)&gt;0)),
      _xlpm.val, INDEX($C$153:$AK$153, _xlpm.pos),
      IF(AF337="",
         SUBSTITUTE(_xlpm.val, ", ", " &amp; "),
         IF(COUNTIF(AF337, "*&amp;*"),
            _xlpm.val,
            SUBSTITUTE(_xlpm.val, ", ", " &amp; ")
         )
      )
   ),
"")</f>
        <v/>
      </c>
      <c r="AH337" s="115" t="str" cm="1">
        <f t="array" ref="AH337">IF(COUNTIF(AG99,"*V*"),
   _xlfn.LET(
      _xlpm.pos, SUMPRODUCT(--(LEN($C$99:AG99)&gt;0)),
      _xlpm.val, INDEX($C$153:$AK$153, _xlpm.pos),
      IF(AG337="",
         SUBSTITUTE(_xlpm.val, ", ", " &amp; "),
         IF(COUNTIF(AG337, "*&amp;*"),
            _xlpm.val,
            SUBSTITUTE(_xlpm.val, ", ", " &amp; ")
         )
      )
   ),
"")</f>
        <v/>
      </c>
      <c r="AI337" s="115" t="str" cm="1">
        <f t="array" ref="AI337">IF(COUNTIF(AH99,"*V*"),
   _xlfn.LET(
      _xlpm.pos, SUMPRODUCT(--(LEN($C$99:AH99)&gt;0)),
      _xlpm.val, INDEX($C$153:$AK$153, _xlpm.pos),
      IF(AH337="",
         SUBSTITUTE(_xlpm.val, ", ", " &amp; "),
         IF(COUNTIF(AH337, "*&amp;*"),
            _xlpm.val,
            SUBSTITUTE(_xlpm.val, ", ", " &amp; ")
         )
      )
   ),
"")</f>
        <v/>
      </c>
      <c r="AJ337" s="115" t="str" cm="1">
        <f t="array" ref="AJ337">IF(COUNTIF(AI99,"*V*"),
   _xlfn.LET(
      _xlpm.pos, SUMPRODUCT(--(LEN($C$99:AI99)&gt;0)),
      _xlpm.val, INDEX($C$153:$AK$153, _xlpm.pos),
      IF(AI337="",
         SUBSTITUTE(_xlpm.val, ", ", " &amp; "),
         IF(COUNTIF(AI337, "*&amp;*"),
            _xlpm.val,
            SUBSTITUTE(_xlpm.val, ", ", " &amp; ")
         )
      )
   ),
"")</f>
        <v/>
      </c>
      <c r="AK337" s="115" t="str" cm="1">
        <f t="array" ref="AK337">IF(COUNTIF(AJ99,"*V*"),
   _xlfn.LET(
      _xlpm.pos, SUMPRODUCT(--(LEN($C$99:AJ99)&gt;0)),
      _xlpm.val, INDEX($C$153:$AK$153, _xlpm.pos),
      IF(AJ337="",
         SUBSTITUTE(_xlpm.val, ", ", " &amp; "),
         IF(COUNTIF(AJ337, "*&amp;*"),
            _xlpm.val,
            SUBSTITUTE(_xlpm.val, ", ", " &amp; ")
         )
      )
   ),
"")</f>
        <v/>
      </c>
    </row>
    <row r="338" spans="1:37" ht="15" customHeight="1" x14ac:dyDescent="0.35">
      <c r="A338" s="1196"/>
      <c r="B338" s="22">
        <v>7</v>
      </c>
      <c r="D338" s="115" t="str" cm="1">
        <f t="array" ref="D338">IF(COUNTIF(C100,"*V*"),
   _xlfn.LET(
      _xlpm.pos, SUMPRODUCT(--(LEN($C$100:C100)&gt;0)),
      _xlpm.val, INDEX($C$154:$AK$154, _xlpm.pos),
      IF(C338="",
         SUBSTITUTE(_xlpm.val, ", ", " &amp; "),
         IF(COUNTIF(C338, "*&amp;*"),
            _xlpm.val,
            SUBSTITUTE(_xlpm.val, ", ", " &amp; ")
         )
      )
   ),
"")</f>
        <v/>
      </c>
      <c r="E338" s="115" t="str" cm="1">
        <f t="array" ref="E338">IF(COUNTIF(D100,"*V*"),
   _xlfn.LET(
      _xlpm.pos, SUMPRODUCT(--(LEN($C$100:D100)&gt;0)),
      _xlpm.val, INDEX($C$154:$AK$154, _xlpm.pos),
      IF(D338="",
         SUBSTITUTE(_xlpm.val, ", ", " &amp; "),
         IF(COUNTIF(D338, "*&amp;*"),
            _xlpm.val,
            SUBSTITUTE(_xlpm.val, ", ", " &amp; ")
         )
      )
   ),
"")</f>
        <v/>
      </c>
      <c r="F338" s="115" t="str" cm="1">
        <f t="array" ref="F338">IF(COUNTIF(E100,"*V*"),
   _xlfn.LET(
      _xlpm.pos, SUMPRODUCT(--(LEN($C$100:E100)&gt;0)),
      _xlpm.val, INDEX($C$154:$AK$154, _xlpm.pos),
      IF(E338="",
         SUBSTITUTE(_xlpm.val, ", ", " &amp; "),
         IF(COUNTIF(E338, "*&amp;*"),
            _xlpm.val,
            SUBSTITUTE(_xlpm.val, ", ", " &amp; ")
         )
      )
   ),
"")</f>
        <v/>
      </c>
      <c r="G338" s="115" t="str" cm="1">
        <f t="array" ref="G338">IF(COUNTIF(F100,"*V*"),
   _xlfn.LET(
      _xlpm.pos, SUMPRODUCT(--(LEN($C$100:F100)&gt;0)),
      _xlpm.val, INDEX($C$154:$AK$154, _xlpm.pos),
      IF(F338="",
         SUBSTITUTE(_xlpm.val, ", ", " &amp; "),
         IF(COUNTIF(F338, "*&amp;*"),
            _xlpm.val,
            SUBSTITUTE(_xlpm.val, ", ", " &amp; ")
         )
      )
   ),
"")</f>
        <v/>
      </c>
      <c r="H338" s="115" t="str" cm="1">
        <f t="array" ref="H338">IF(COUNTIF(G100,"*V*"),
   _xlfn.LET(
      _xlpm.pos, SUMPRODUCT(--(LEN($C$100:G100)&gt;0)),
      _xlpm.val, INDEX($C$154:$AK$154, _xlpm.pos),
      IF(G338="",
         SUBSTITUTE(_xlpm.val, ", ", " &amp; "),
         IF(COUNTIF(G338, "*&amp;*"),
            _xlpm.val,
            SUBSTITUTE(_xlpm.val, ", ", " &amp; ")
         )
      )
   ),
"")</f>
        <v/>
      </c>
      <c r="I338" s="115" t="str" cm="1">
        <f t="array" ref="I338">IF(COUNTIF(H100,"*V*"),
   _xlfn.LET(
      _xlpm.pos, SUMPRODUCT(--(LEN($C$100:H100)&gt;0)),
      _xlpm.val, INDEX($C$154:$AK$154, _xlpm.pos),
      IF(H338="",
         SUBSTITUTE(_xlpm.val, ", ", " &amp; "),
         IF(COUNTIF(H338, "*&amp;*"),
            _xlpm.val,
            SUBSTITUTE(_xlpm.val, ", ", " &amp; ")
         )
      )
   ),
"")</f>
        <v/>
      </c>
      <c r="J338" s="115" t="str" cm="1">
        <f t="array" ref="J338">IF(COUNTIF(I100,"*V*"),
   _xlfn.LET(
      _xlpm.pos, SUMPRODUCT(--(LEN($C$100:I100)&gt;0)),
      _xlpm.val, INDEX($C$154:$AK$154, _xlpm.pos),
      IF(I338="",
         SUBSTITUTE(_xlpm.val, ", ", " &amp; "),
         IF(COUNTIF(I338, "*&amp;*"),
            _xlpm.val,
            SUBSTITUTE(_xlpm.val, ", ", " &amp; ")
         )
      )
   ),
"")</f>
        <v/>
      </c>
      <c r="K338" s="115" t="str" cm="1">
        <f t="array" ref="K338">IF(COUNTIF(J100,"*V*"),
   _xlfn.LET(
      _xlpm.pos, SUMPRODUCT(--(LEN($C$100:J100)&gt;0)),
      _xlpm.val, INDEX($C$154:$AK$154, _xlpm.pos),
      IF(J338="",
         SUBSTITUTE(_xlpm.val, ", ", " &amp; "),
         IF(COUNTIF(J338, "*&amp;*"),
            _xlpm.val,
            SUBSTITUTE(_xlpm.val, ", ", " &amp; ")
         )
      )
   ),
"")</f>
        <v/>
      </c>
      <c r="L338" s="115" t="str" cm="1">
        <f t="array" ref="L338">IF(COUNTIF(K100,"*V*"),
   _xlfn.LET(
      _xlpm.pos, SUMPRODUCT(--(LEN($C$100:K100)&gt;0)),
      _xlpm.val, INDEX($C$154:$AK$154, _xlpm.pos),
      IF(K338="",
         SUBSTITUTE(_xlpm.val, ", ", " &amp; "),
         IF(COUNTIF(K338, "*&amp;*"),
            _xlpm.val,
            SUBSTITUTE(_xlpm.val, ", ", " &amp; ")
         )
      )
   ),
"")</f>
        <v/>
      </c>
      <c r="M338" s="115" t="str" cm="1">
        <f t="array" ref="M338">IF(COUNTIF(L100,"*V*"),
   _xlfn.LET(
      _xlpm.pos, SUMPRODUCT(--(LEN($C$100:L100)&gt;0)),
      _xlpm.val, INDEX($C$154:$AK$154, _xlpm.pos),
      IF(L338="",
         SUBSTITUTE(_xlpm.val, ", ", " &amp; "),
         IF(COUNTIF(L338, "*&amp;*"),
            _xlpm.val,
            SUBSTITUTE(_xlpm.val, ", ", " &amp; ")
         )
      )
   ),
"")</f>
        <v/>
      </c>
      <c r="N338" s="115" t="str" cm="1">
        <f t="array" ref="N338">IF(COUNTIF(M100,"*V*"),
   _xlfn.LET(
      _xlpm.pos, SUMPRODUCT(--(LEN($C$100:M100)&gt;0)),
      _xlpm.val, INDEX($C$154:$AK$154, _xlpm.pos),
      IF(M338="",
         SUBSTITUTE(_xlpm.val, ", ", " &amp; "),
         IF(COUNTIF(M338, "*&amp;*"),
            _xlpm.val,
            SUBSTITUTE(_xlpm.val, ", ", " &amp; ")
         )
      )
   ),
"")</f>
        <v/>
      </c>
      <c r="O338" s="115" t="str" cm="1">
        <f t="array" ref="O338">IF(COUNTIF(N100,"*V*"),
   _xlfn.LET(
      _xlpm.pos, SUMPRODUCT(--(LEN($C$100:N100)&gt;0)),
      _xlpm.val, INDEX($C$154:$AK$154, _xlpm.pos),
      IF(N338="",
         SUBSTITUTE(_xlpm.val, ", ", " &amp; "),
         IF(COUNTIF(N338, "*&amp;*"),
            _xlpm.val,
            SUBSTITUTE(_xlpm.val, ", ", " &amp; ")
         )
      )
   ),
"")</f>
        <v/>
      </c>
      <c r="P338" s="115" t="str" cm="1">
        <f t="array" ref="P338">IF(COUNTIF(O100,"*V*"),
   _xlfn.LET(
      _xlpm.pos, SUMPRODUCT(--(LEN($C$100:O100)&gt;0)),
      _xlpm.val, INDEX($C$154:$AK$154, _xlpm.pos),
      IF(O338="",
         SUBSTITUTE(_xlpm.val, ", ", " &amp; "),
         IF(COUNTIF(O338, "*&amp;*"),
            _xlpm.val,
            SUBSTITUTE(_xlpm.val, ", ", " &amp; ")
         )
      )
   ),
"")</f>
        <v/>
      </c>
      <c r="Q338" s="115" t="str" cm="1">
        <f t="array" ref="Q338">IF(COUNTIF(P100,"*V*"),
   _xlfn.LET(
      _xlpm.pos, SUMPRODUCT(--(LEN($C$100:P100)&gt;0)),
      _xlpm.val, INDEX($C$154:$AK$154, _xlpm.pos),
      IF(P338="",
         SUBSTITUTE(_xlpm.val, ", ", " &amp; "),
         IF(COUNTIF(P338, "*&amp;*"),
            _xlpm.val,
            SUBSTITUTE(_xlpm.val, ", ", " &amp; ")
         )
      )
   ),
"")</f>
        <v/>
      </c>
      <c r="R338" s="115" t="str" cm="1">
        <f t="array" ref="R338">IF(COUNTIF(Q100,"*V*"),
   _xlfn.LET(
      _xlpm.pos, SUMPRODUCT(--(LEN($C$100:Q100)&gt;0)),
      _xlpm.val, INDEX($C$154:$AK$154, _xlpm.pos),
      IF(Q338="",
         SUBSTITUTE(_xlpm.val, ", ", " &amp; "),
         IF(COUNTIF(Q338, "*&amp;*"),
            _xlpm.val,
            SUBSTITUTE(_xlpm.val, ", ", " &amp; ")
         )
      )
   ),
"")</f>
        <v/>
      </c>
      <c r="S338" s="115" t="str" cm="1">
        <f t="array" ref="S338">IF(COUNTIF(R100,"*V*"),
   _xlfn.LET(
      _xlpm.pos, SUMPRODUCT(--(LEN($C$100:R100)&gt;0)),
      _xlpm.val, INDEX($C$154:$AK$154, _xlpm.pos),
      IF(R338="",
         SUBSTITUTE(_xlpm.val, ", ", " &amp; "),
         IF(COUNTIF(R338, "*&amp;*"),
            _xlpm.val,
            SUBSTITUTE(_xlpm.val, ", ", " &amp; ")
         )
      )
   ),
"")</f>
        <v/>
      </c>
      <c r="T338" s="115" t="str" cm="1">
        <f t="array" ref="T338">IF(COUNTIF(S100,"*V*"),
   _xlfn.LET(
      _xlpm.pos, SUMPRODUCT(--(LEN($C$100:S100)&gt;0)),
      _xlpm.val, INDEX($C$154:$AK$154, _xlpm.pos),
      IF(S338="",
         SUBSTITUTE(_xlpm.val, ", ", " &amp; "),
         IF(COUNTIF(S338, "*&amp;*"),
            _xlpm.val,
            SUBSTITUTE(_xlpm.val, ", ", " &amp; ")
         )
      )
   ),
"")</f>
        <v/>
      </c>
      <c r="U338" s="115" t="str" cm="1">
        <f t="array" ref="U338">IF(COUNTIF(T100,"*V*"),
   _xlfn.LET(
      _xlpm.pos, SUMPRODUCT(--(LEN($C$100:T100)&gt;0)),
      _xlpm.val, INDEX($C$154:$AK$154, _xlpm.pos),
      IF(T338="",
         SUBSTITUTE(_xlpm.val, ", ", " &amp; "),
         IF(COUNTIF(T338, "*&amp;*"),
            _xlpm.val,
            SUBSTITUTE(_xlpm.val, ", ", " &amp; ")
         )
      )
   ),
"")</f>
        <v/>
      </c>
      <c r="V338" s="115" t="str" cm="1">
        <f t="array" ref="V338">IF(COUNTIF(U100,"*V*"),
   _xlfn.LET(
      _xlpm.pos, SUMPRODUCT(--(LEN($C$100:U100)&gt;0)),
      _xlpm.val, INDEX($C$154:$AK$154, _xlpm.pos),
      IF(U338="",
         SUBSTITUTE(_xlpm.val, ", ", " &amp; "),
         IF(COUNTIF(U338, "*&amp;*"),
            _xlpm.val,
            SUBSTITUTE(_xlpm.val, ", ", " &amp; ")
         )
      )
   ),
"")</f>
        <v/>
      </c>
      <c r="W338" s="115" t="str" cm="1">
        <f t="array" ref="W338">IF(COUNTIF(V100,"*V*"),
   _xlfn.LET(
      _xlpm.pos, SUMPRODUCT(--(LEN($C$100:V100)&gt;0)),
      _xlpm.val, INDEX($C$154:$AK$154, _xlpm.pos),
      IF(V338="",
         SUBSTITUTE(_xlpm.val, ", ", " &amp; "),
         IF(COUNTIF(V338, "*&amp;*"),
            _xlpm.val,
            SUBSTITUTE(_xlpm.val, ", ", " &amp; ")
         )
      )
   ),
"")</f>
        <v/>
      </c>
      <c r="X338" s="115" t="str" cm="1">
        <f t="array" ref="X338">IF(COUNTIF(W100,"*V*"),
   _xlfn.LET(
      _xlpm.pos, SUMPRODUCT(--(LEN($C$100:W100)&gt;0)),
      _xlpm.val, INDEX($C$154:$AK$154, _xlpm.pos),
      IF(W338="",
         SUBSTITUTE(_xlpm.val, ", ", " &amp; "),
         IF(COUNTIF(W338, "*&amp;*"),
            _xlpm.val,
            SUBSTITUTE(_xlpm.val, ", ", " &amp; ")
         )
      )
   ),
"")</f>
        <v/>
      </c>
      <c r="Y338" s="115" t="str" cm="1">
        <f t="array" ref="Y338">IF(COUNTIF(X100,"*V*"),
   _xlfn.LET(
      _xlpm.pos, SUMPRODUCT(--(LEN($C$100:X100)&gt;0)),
      _xlpm.val, INDEX($C$154:$AK$154, _xlpm.pos),
      IF(X338="",
         SUBSTITUTE(_xlpm.val, ", ", " &amp; "),
         IF(COUNTIF(X338, "*&amp;*"),
            _xlpm.val,
            SUBSTITUTE(_xlpm.val, ", ", " &amp; ")
         )
      )
   ),
"")</f>
        <v/>
      </c>
      <c r="Z338" s="115" t="str" cm="1">
        <f t="array" ref="Z338">IF(COUNTIF(Y100,"*V*"),
   _xlfn.LET(
      _xlpm.pos, SUMPRODUCT(--(LEN($C$100:Y100)&gt;0)),
      _xlpm.val, INDEX($C$154:$AK$154, _xlpm.pos),
      IF(Y338="",
         SUBSTITUTE(_xlpm.val, ", ", " &amp; "),
         IF(COUNTIF(Y338, "*&amp;*"),
            _xlpm.val,
            SUBSTITUTE(_xlpm.val, ", ", " &amp; ")
         )
      )
   ),
"")</f>
        <v/>
      </c>
      <c r="AA338" s="115" t="str" cm="1">
        <f t="array" ref="AA338">IF(COUNTIF(Z100,"*V*"),
   _xlfn.LET(
      _xlpm.pos, SUMPRODUCT(--(LEN($C$100:Z100)&gt;0)),
      _xlpm.val, INDEX($C$154:$AK$154, _xlpm.pos),
      IF(Z338="",
         SUBSTITUTE(_xlpm.val, ", ", " &amp; "),
         IF(COUNTIF(Z338, "*&amp;*"),
            _xlpm.val,
            SUBSTITUTE(_xlpm.val, ", ", " &amp; ")
         )
      )
   ),
"")</f>
        <v/>
      </c>
      <c r="AB338" s="115" t="str" cm="1">
        <f t="array" ref="AB338">IF(COUNTIF(AA100,"*V*"),
   _xlfn.LET(
      _xlpm.pos, SUMPRODUCT(--(LEN($C$100:AA100)&gt;0)),
      _xlpm.val, INDEX($C$154:$AK$154, _xlpm.pos),
      IF(AA338="",
         SUBSTITUTE(_xlpm.val, ", ", " &amp; "),
         IF(COUNTIF(AA338, "*&amp;*"),
            _xlpm.val,
            SUBSTITUTE(_xlpm.val, ", ", " &amp; ")
         )
      )
   ),
"")</f>
        <v/>
      </c>
      <c r="AC338" s="115" t="str" cm="1">
        <f t="array" ref="AC338">IF(COUNTIF(AB100,"*V*"),
   _xlfn.LET(
      _xlpm.pos, SUMPRODUCT(--(LEN($C$100:AB100)&gt;0)),
      _xlpm.val, INDEX($C$154:$AK$154, _xlpm.pos),
      IF(AB338="",
         SUBSTITUTE(_xlpm.val, ", ", " &amp; "),
         IF(COUNTIF(AB338, "*&amp;*"),
            _xlpm.val,
            SUBSTITUTE(_xlpm.val, ", ", " &amp; ")
         )
      )
   ),
"")</f>
        <v/>
      </c>
      <c r="AD338" s="115" t="str" cm="1">
        <f t="array" ref="AD338">IF(COUNTIF(AC100,"*V*"),
   _xlfn.LET(
      _xlpm.pos, SUMPRODUCT(--(LEN($C$100:AC100)&gt;0)),
      _xlpm.val, INDEX($C$154:$AK$154, _xlpm.pos),
      IF(AC338="",
         SUBSTITUTE(_xlpm.val, ", ", " &amp; "),
         IF(COUNTIF(AC338, "*&amp;*"),
            _xlpm.val,
            SUBSTITUTE(_xlpm.val, ", ", " &amp; ")
         )
      )
   ),
"")</f>
        <v/>
      </c>
      <c r="AE338" s="115" t="str" cm="1">
        <f t="array" ref="AE338">IF(COUNTIF(AD100,"*V*"),
   _xlfn.LET(
      _xlpm.pos, SUMPRODUCT(--(LEN($C$100:AD100)&gt;0)),
      _xlpm.val, INDEX($C$154:$AK$154, _xlpm.pos),
      IF(AD338="",
         SUBSTITUTE(_xlpm.val, ", ", " &amp; "),
         IF(COUNTIF(AD338, "*&amp;*"),
            _xlpm.val,
            SUBSTITUTE(_xlpm.val, ", ", " &amp; ")
         )
      )
   ),
"")</f>
        <v/>
      </c>
      <c r="AF338" s="115" t="str" cm="1">
        <f t="array" ref="AF338">IF(COUNTIF(AE100,"*V*"),
   _xlfn.LET(
      _xlpm.pos, SUMPRODUCT(--(LEN($C$100:AE100)&gt;0)),
      _xlpm.val, INDEX($C$154:$AK$154, _xlpm.pos),
      IF(AE338="",
         SUBSTITUTE(_xlpm.val, ", ", " &amp; "),
         IF(COUNTIF(AE338, "*&amp;*"),
            _xlpm.val,
            SUBSTITUTE(_xlpm.val, ", ", " &amp; ")
         )
      )
   ),
"")</f>
        <v/>
      </c>
      <c r="AG338" s="115" t="str" cm="1">
        <f t="array" ref="AG338">IF(COUNTIF(AF100,"*V*"),
   _xlfn.LET(
      _xlpm.pos, SUMPRODUCT(--(LEN($C$100:AF100)&gt;0)),
      _xlpm.val, INDEX($C$154:$AK$154, _xlpm.pos),
      IF(AF338="",
         SUBSTITUTE(_xlpm.val, ", ", " &amp; "),
         IF(COUNTIF(AF338, "*&amp;*"),
            _xlpm.val,
            SUBSTITUTE(_xlpm.val, ", ", " &amp; ")
         )
      )
   ),
"")</f>
        <v/>
      </c>
      <c r="AH338" s="115" t="str" cm="1">
        <f t="array" ref="AH338">IF(COUNTIF(AG100,"*V*"),
   _xlfn.LET(
      _xlpm.pos, SUMPRODUCT(--(LEN($C$100:AG100)&gt;0)),
      _xlpm.val, INDEX($C$154:$AK$154, _xlpm.pos),
      IF(AG338="",
         SUBSTITUTE(_xlpm.val, ", ", " &amp; "),
         IF(COUNTIF(AG338, "*&amp;*"),
            _xlpm.val,
            SUBSTITUTE(_xlpm.val, ", ", " &amp; ")
         )
      )
   ),
"")</f>
        <v/>
      </c>
      <c r="AI338" s="115" t="str" cm="1">
        <f t="array" ref="AI338">IF(COUNTIF(AH100,"*V*"),
   _xlfn.LET(
      _xlpm.pos, SUMPRODUCT(--(LEN($C$100:AH100)&gt;0)),
      _xlpm.val, INDEX($C$154:$AK$154, _xlpm.pos),
      IF(AH338="",
         SUBSTITUTE(_xlpm.val, ", ", " &amp; "),
         IF(COUNTIF(AH338, "*&amp;*"),
            _xlpm.val,
            SUBSTITUTE(_xlpm.val, ", ", " &amp; ")
         )
      )
   ),
"")</f>
        <v/>
      </c>
      <c r="AJ338" s="115" t="str" cm="1">
        <f t="array" ref="AJ338">IF(COUNTIF(AI100,"*V*"),
   _xlfn.LET(
      _xlpm.pos, SUMPRODUCT(--(LEN($C$100:AI100)&gt;0)),
      _xlpm.val, INDEX($C$154:$AK$154, _xlpm.pos),
      IF(AI338="",
         SUBSTITUTE(_xlpm.val, ", ", " &amp; "),
         IF(COUNTIF(AI338, "*&amp;*"),
            _xlpm.val,
            SUBSTITUTE(_xlpm.val, ", ", " &amp; ")
         )
      )
   ),
"")</f>
        <v/>
      </c>
      <c r="AK338" s="115" t="str" cm="1">
        <f t="array" ref="AK338">IF(COUNTIF(AJ100,"*V*"),
   _xlfn.LET(
      _xlpm.pos, SUMPRODUCT(--(LEN($C$100:AJ100)&gt;0)),
      _xlpm.val, INDEX($C$154:$AK$154, _xlpm.pos),
      IF(AJ338="",
         SUBSTITUTE(_xlpm.val, ", ", " &amp; "),
         IF(COUNTIF(AJ338, "*&amp;*"),
            _xlpm.val,
            SUBSTITUTE(_xlpm.val, ", ", " &amp; ")
         )
      )
   ),
"")</f>
        <v/>
      </c>
    </row>
    <row r="339" spans="1:37" ht="10" customHeight="1" x14ac:dyDescent="0.35">
      <c r="A339" s="1196"/>
      <c r="B339" s="22">
        <v>8</v>
      </c>
      <c r="D339" s="115" t="str" cm="1">
        <f t="array" ref="D339">IF(COUNTIF(C101,"*V*"),
   _xlfn.LET(
      _xlpm.pos, SUMPRODUCT(--(LEN($C$101:C101)&gt;0)),
      _xlpm.val, INDEX($C$155:$AK$155, _xlpm.pos),
      IF(C339="",
         SUBSTITUTE(_xlpm.val, ", ", " &amp; "),
         IF(COUNTIF(C339, "*&amp;*"),
            _xlpm.val,
            SUBSTITUTE(_xlpm.val, ", ", " &amp; ")
         )
      )
   ),
"")</f>
        <v/>
      </c>
      <c r="E339" s="115" t="str" cm="1">
        <f t="array" ref="E339">IF(COUNTIF(D101,"*V*"),
   _xlfn.LET(
      _xlpm.pos, SUMPRODUCT(--(LEN($C$101:D101)&gt;0)),
      _xlpm.val, INDEX($C$155:$AK$155, _xlpm.pos),
      IF(D339="",
         SUBSTITUTE(_xlpm.val, ", ", " &amp; "),
         IF(COUNTIF(D339, "*&amp;*"),
            _xlpm.val,
            SUBSTITUTE(_xlpm.val, ", ", " &amp; ")
         )
      )
   ),
"")</f>
        <v/>
      </c>
      <c r="F339" s="115" t="str" cm="1">
        <f t="array" ref="F339">IF(COUNTIF(E101,"*V*"),
   _xlfn.LET(
      _xlpm.pos, SUMPRODUCT(--(LEN($C$101:E101)&gt;0)),
      _xlpm.val, INDEX($C$155:$AK$155, _xlpm.pos),
      IF(E339="",
         SUBSTITUTE(_xlpm.val, ", ", " &amp; "),
         IF(COUNTIF(E339, "*&amp;*"),
            _xlpm.val,
            SUBSTITUTE(_xlpm.val, ", ", " &amp; ")
         )
      )
   ),
"")</f>
        <v/>
      </c>
      <c r="G339" s="115" t="str" cm="1">
        <f t="array" ref="G339">IF(COUNTIF(F101,"*V*"),
   _xlfn.LET(
      _xlpm.pos, SUMPRODUCT(--(LEN($C$101:F101)&gt;0)),
      _xlpm.val, INDEX($C$155:$AK$155, _xlpm.pos),
      IF(F339="",
         SUBSTITUTE(_xlpm.val, ", ", " &amp; "),
         IF(COUNTIF(F339, "*&amp;*"),
            _xlpm.val,
            SUBSTITUTE(_xlpm.val, ", ", " &amp; ")
         )
      )
   ),
"")</f>
        <v/>
      </c>
      <c r="H339" s="115" t="str" cm="1">
        <f t="array" ref="H339">IF(COUNTIF(G101,"*V*"),
   _xlfn.LET(
      _xlpm.pos, SUMPRODUCT(--(LEN($C$101:G101)&gt;0)),
      _xlpm.val, INDEX($C$155:$AK$155, _xlpm.pos),
      IF(G339="",
         SUBSTITUTE(_xlpm.val, ", ", " &amp; "),
         IF(COUNTIF(G339, "*&amp;*"),
            _xlpm.val,
            SUBSTITUTE(_xlpm.val, ", ", " &amp; ")
         )
      )
   ),
"")</f>
        <v/>
      </c>
      <c r="I339" s="115" t="str" cm="1">
        <f t="array" ref="I339">IF(COUNTIF(H101,"*V*"),
   _xlfn.LET(
      _xlpm.pos, SUMPRODUCT(--(LEN($C$101:H101)&gt;0)),
      _xlpm.val, INDEX($C$155:$AK$155, _xlpm.pos),
      IF(H339="",
         SUBSTITUTE(_xlpm.val, ", ", " &amp; "),
         IF(COUNTIF(H339, "*&amp;*"),
            _xlpm.val,
            SUBSTITUTE(_xlpm.val, ", ", " &amp; ")
         )
      )
   ),
"")</f>
        <v/>
      </c>
      <c r="J339" s="115" t="str" cm="1">
        <f t="array" ref="J339">IF(COUNTIF(I101,"*V*"),
   _xlfn.LET(
      _xlpm.pos, SUMPRODUCT(--(LEN($C$101:I101)&gt;0)),
      _xlpm.val, INDEX($C$155:$AK$155, _xlpm.pos),
      IF(I339="",
         SUBSTITUTE(_xlpm.val, ", ", " &amp; "),
         IF(COUNTIF(I339, "*&amp;*"),
            _xlpm.val,
            SUBSTITUTE(_xlpm.val, ", ", " &amp; ")
         )
      )
   ),
"")</f>
        <v/>
      </c>
      <c r="K339" s="115" t="str" cm="1">
        <f t="array" ref="K339">IF(COUNTIF(J101,"*V*"),
   _xlfn.LET(
      _xlpm.pos, SUMPRODUCT(--(LEN($C$101:J101)&gt;0)),
      _xlpm.val, INDEX($C$155:$AK$155, _xlpm.pos),
      IF(J339="",
         SUBSTITUTE(_xlpm.val, ", ", " &amp; "),
         IF(COUNTIF(J339, "*&amp;*"),
            _xlpm.val,
            SUBSTITUTE(_xlpm.val, ", ", " &amp; ")
         )
      )
   ),
"")</f>
        <v/>
      </c>
      <c r="L339" s="115" t="str" cm="1">
        <f t="array" ref="L339">IF(COUNTIF(K101,"*V*"),
   _xlfn.LET(
      _xlpm.pos, SUMPRODUCT(--(LEN($C$101:K101)&gt;0)),
      _xlpm.val, INDEX($C$155:$AK$155, _xlpm.pos),
      IF(K339="",
         SUBSTITUTE(_xlpm.val, ", ", " &amp; "),
         IF(COUNTIF(K339, "*&amp;*"),
            _xlpm.val,
            SUBSTITUTE(_xlpm.val, ", ", " &amp; ")
         )
      )
   ),
"")</f>
        <v/>
      </c>
      <c r="M339" s="115" t="str" cm="1">
        <f t="array" ref="M339">IF(COUNTIF(L101,"*V*"),
   _xlfn.LET(
      _xlpm.pos, SUMPRODUCT(--(LEN($C$101:L101)&gt;0)),
      _xlpm.val, INDEX($C$155:$AK$155, _xlpm.pos),
      IF(L339="",
         SUBSTITUTE(_xlpm.val, ", ", " &amp; "),
         IF(COUNTIF(L339, "*&amp;*"),
            _xlpm.val,
            SUBSTITUTE(_xlpm.val, ", ", " &amp; ")
         )
      )
   ),
"")</f>
        <v/>
      </c>
      <c r="N339" s="115" t="str" cm="1">
        <f t="array" ref="N339">IF(COUNTIF(M101,"*V*"),
   _xlfn.LET(
      _xlpm.pos, SUMPRODUCT(--(LEN($C$101:M101)&gt;0)),
      _xlpm.val, INDEX($C$155:$AK$155, _xlpm.pos),
      IF(M339="",
         SUBSTITUTE(_xlpm.val, ", ", " &amp; "),
         IF(COUNTIF(M339, "*&amp;*"),
            _xlpm.val,
            SUBSTITUTE(_xlpm.val, ", ", " &amp; ")
         )
      )
   ),
"")</f>
        <v/>
      </c>
      <c r="O339" s="115" t="str" cm="1">
        <f t="array" ref="O339">IF(COUNTIF(N101,"*V*"),
   _xlfn.LET(
      _xlpm.pos, SUMPRODUCT(--(LEN($C$101:N101)&gt;0)),
      _xlpm.val, INDEX($C$155:$AK$155, _xlpm.pos),
      IF(N339="",
         SUBSTITUTE(_xlpm.val, ", ", " &amp; "),
         IF(COUNTIF(N339, "*&amp;*"),
            _xlpm.val,
            SUBSTITUTE(_xlpm.val, ", ", " &amp; ")
         )
      )
   ),
"")</f>
        <v/>
      </c>
      <c r="P339" s="115" t="str" cm="1">
        <f t="array" ref="P339">IF(COUNTIF(O101,"*V*"),
   _xlfn.LET(
      _xlpm.pos, SUMPRODUCT(--(LEN($C$101:O101)&gt;0)),
      _xlpm.val, INDEX($C$155:$AK$155, _xlpm.pos),
      IF(O339="",
         SUBSTITUTE(_xlpm.val, ", ", " &amp; "),
         IF(COUNTIF(O339, "*&amp;*"),
            _xlpm.val,
            SUBSTITUTE(_xlpm.val, ", ", " &amp; ")
         )
      )
   ),
"")</f>
        <v/>
      </c>
      <c r="Q339" s="115" t="str" cm="1">
        <f t="array" ref="Q339">IF(COUNTIF(P101,"*V*"),
   _xlfn.LET(
      _xlpm.pos, SUMPRODUCT(--(LEN($C$101:P101)&gt;0)),
      _xlpm.val, INDEX($C$155:$AK$155, _xlpm.pos),
      IF(P339="",
         SUBSTITUTE(_xlpm.val, ", ", " &amp; "),
         IF(COUNTIF(P339, "*&amp;*"),
            _xlpm.val,
            SUBSTITUTE(_xlpm.val, ", ", " &amp; ")
         )
      )
   ),
"")</f>
        <v/>
      </c>
      <c r="R339" s="115" t="str" cm="1">
        <f t="array" ref="R339">IF(COUNTIF(Q101,"*V*"),
   _xlfn.LET(
      _xlpm.pos, SUMPRODUCT(--(LEN($C$101:Q101)&gt;0)),
      _xlpm.val, INDEX($C$155:$AK$155, _xlpm.pos),
      IF(Q339="",
         SUBSTITUTE(_xlpm.val, ", ", " &amp; "),
         IF(COUNTIF(Q339, "*&amp;*"),
            _xlpm.val,
            SUBSTITUTE(_xlpm.val, ", ", " &amp; ")
         )
      )
   ),
"")</f>
        <v/>
      </c>
      <c r="S339" s="115" t="str" cm="1">
        <f t="array" ref="S339">IF(COUNTIF(R101,"*V*"),
   _xlfn.LET(
      _xlpm.pos, SUMPRODUCT(--(LEN($C$101:R101)&gt;0)),
      _xlpm.val, INDEX($C$155:$AK$155, _xlpm.pos),
      IF(R339="",
         SUBSTITUTE(_xlpm.val, ", ", " &amp; "),
         IF(COUNTIF(R339, "*&amp;*"),
            _xlpm.val,
            SUBSTITUTE(_xlpm.val, ", ", " &amp; ")
         )
      )
   ),
"")</f>
        <v/>
      </c>
      <c r="T339" s="115" t="str" cm="1">
        <f t="array" ref="T339">IF(COUNTIF(S101,"*V*"),
   _xlfn.LET(
      _xlpm.pos, SUMPRODUCT(--(LEN($C$101:S101)&gt;0)),
      _xlpm.val, INDEX($C$155:$AK$155, _xlpm.pos),
      IF(S339="",
         SUBSTITUTE(_xlpm.val, ", ", " &amp; "),
         IF(COUNTIF(S339, "*&amp;*"),
            _xlpm.val,
            SUBSTITUTE(_xlpm.val, ", ", " &amp; ")
         )
      )
   ),
"")</f>
        <v/>
      </c>
      <c r="U339" s="115" t="str" cm="1">
        <f t="array" ref="U339">IF(COUNTIF(T101,"*V*"),
   _xlfn.LET(
      _xlpm.pos, SUMPRODUCT(--(LEN($C$101:T101)&gt;0)),
      _xlpm.val, INDEX($C$155:$AK$155, _xlpm.pos),
      IF(T339="",
         SUBSTITUTE(_xlpm.val, ", ", " &amp; "),
         IF(COUNTIF(T339, "*&amp;*"),
            _xlpm.val,
            SUBSTITUTE(_xlpm.val, ", ", " &amp; ")
         )
      )
   ),
"")</f>
        <v/>
      </c>
      <c r="V339" s="115" t="str" cm="1">
        <f t="array" ref="V339">IF(COUNTIF(U101,"*V*"),
   _xlfn.LET(
      _xlpm.pos, SUMPRODUCT(--(LEN($C$101:U101)&gt;0)),
      _xlpm.val, INDEX($C$155:$AK$155, _xlpm.pos),
      IF(U339="",
         SUBSTITUTE(_xlpm.val, ", ", " &amp; "),
         IF(COUNTIF(U339, "*&amp;*"),
            _xlpm.val,
            SUBSTITUTE(_xlpm.val, ", ", " &amp; ")
         )
      )
   ),
"")</f>
        <v/>
      </c>
      <c r="W339" s="115" t="str" cm="1">
        <f t="array" ref="W339">IF(COUNTIF(V101,"*V*"),
   _xlfn.LET(
      _xlpm.pos, SUMPRODUCT(--(LEN($C$101:V101)&gt;0)),
      _xlpm.val, INDEX($C$155:$AK$155, _xlpm.pos),
      IF(V339="",
         SUBSTITUTE(_xlpm.val, ", ", " &amp; "),
         IF(COUNTIF(V339, "*&amp;*"),
            _xlpm.val,
            SUBSTITUTE(_xlpm.val, ", ", " &amp; ")
         )
      )
   ),
"")</f>
        <v/>
      </c>
      <c r="X339" s="115" t="str" cm="1">
        <f t="array" ref="X339">IF(COUNTIF(W101,"*V*"),
   _xlfn.LET(
      _xlpm.pos, SUMPRODUCT(--(LEN($C$101:W101)&gt;0)),
      _xlpm.val, INDEX($C$155:$AK$155, _xlpm.pos),
      IF(W339="",
         SUBSTITUTE(_xlpm.val, ", ", " &amp; "),
         IF(COUNTIF(W339, "*&amp;*"),
            _xlpm.val,
            SUBSTITUTE(_xlpm.val, ", ", " &amp; ")
         )
      )
   ),
"")</f>
        <v/>
      </c>
      <c r="Y339" s="115" t="str" cm="1">
        <f t="array" ref="Y339">IF(COUNTIF(X101,"*V*"),
   _xlfn.LET(
      _xlpm.pos, SUMPRODUCT(--(LEN($C$101:X101)&gt;0)),
      _xlpm.val, INDEX($C$155:$AK$155, _xlpm.pos),
      IF(X339="",
         SUBSTITUTE(_xlpm.val, ", ", " &amp; "),
         IF(COUNTIF(X339, "*&amp;*"),
            _xlpm.val,
            SUBSTITUTE(_xlpm.val, ", ", " &amp; ")
         )
      )
   ),
"")</f>
        <v/>
      </c>
      <c r="Z339" s="115" t="str" cm="1">
        <f t="array" ref="Z339">IF(COUNTIF(Y101,"*V*"),
   _xlfn.LET(
      _xlpm.pos, SUMPRODUCT(--(LEN($C$101:Y101)&gt;0)),
      _xlpm.val, INDEX($C$155:$AK$155, _xlpm.pos),
      IF(Y339="",
         SUBSTITUTE(_xlpm.val, ", ", " &amp; "),
         IF(COUNTIF(Y339, "*&amp;*"),
            _xlpm.val,
            SUBSTITUTE(_xlpm.val, ", ", " &amp; ")
         )
      )
   ),
"")</f>
        <v/>
      </c>
      <c r="AA339" s="115" t="str" cm="1">
        <f t="array" ref="AA339">IF(COUNTIF(Z101,"*V*"),
   _xlfn.LET(
      _xlpm.pos, SUMPRODUCT(--(LEN($C$101:Z101)&gt;0)),
      _xlpm.val, INDEX($C$155:$AK$155, _xlpm.pos),
      IF(Z339="",
         SUBSTITUTE(_xlpm.val, ", ", " &amp; "),
         IF(COUNTIF(Z339, "*&amp;*"),
            _xlpm.val,
            SUBSTITUTE(_xlpm.val, ", ", " &amp; ")
         )
      )
   ),
"")</f>
        <v/>
      </c>
      <c r="AB339" s="115" t="str" cm="1">
        <f t="array" ref="AB339">IF(COUNTIF(AA101,"*V*"),
   _xlfn.LET(
      _xlpm.pos, SUMPRODUCT(--(LEN($C$101:AA101)&gt;0)),
      _xlpm.val, INDEX($C$155:$AK$155, _xlpm.pos),
      IF(AA339="",
         SUBSTITUTE(_xlpm.val, ", ", " &amp; "),
         IF(COUNTIF(AA339, "*&amp;*"),
            _xlpm.val,
            SUBSTITUTE(_xlpm.val, ", ", " &amp; ")
         )
      )
   ),
"")</f>
        <v/>
      </c>
      <c r="AC339" s="115" t="str" cm="1">
        <f t="array" ref="AC339">IF(COUNTIF(AB101,"*V*"),
   _xlfn.LET(
      _xlpm.pos, SUMPRODUCT(--(LEN($C$101:AB101)&gt;0)),
      _xlpm.val, INDEX($C$155:$AK$155, _xlpm.pos),
      IF(AB339="",
         SUBSTITUTE(_xlpm.val, ", ", " &amp; "),
         IF(COUNTIF(AB339, "*&amp;*"),
            _xlpm.val,
            SUBSTITUTE(_xlpm.val, ", ", " &amp; ")
         )
      )
   ),
"")</f>
        <v/>
      </c>
      <c r="AD339" s="115" t="str" cm="1">
        <f t="array" ref="AD339">IF(COUNTIF(AC101,"*V*"),
   _xlfn.LET(
      _xlpm.pos, SUMPRODUCT(--(LEN($C$101:AC101)&gt;0)),
      _xlpm.val, INDEX($C$155:$AK$155, _xlpm.pos),
      IF(AC339="",
         SUBSTITUTE(_xlpm.val, ", ", " &amp; "),
         IF(COUNTIF(AC339, "*&amp;*"),
            _xlpm.val,
            SUBSTITUTE(_xlpm.val, ", ", " &amp; ")
         )
      )
   ),
"")</f>
        <v/>
      </c>
      <c r="AE339" s="115" t="str" cm="1">
        <f t="array" ref="AE339">IF(COUNTIF(AD101,"*V*"),
   _xlfn.LET(
      _xlpm.pos, SUMPRODUCT(--(LEN($C$101:AD101)&gt;0)),
      _xlpm.val, INDEX($C$155:$AK$155, _xlpm.pos),
      IF(AD339="",
         SUBSTITUTE(_xlpm.val, ", ", " &amp; "),
         IF(COUNTIF(AD339, "*&amp;*"),
            _xlpm.val,
            SUBSTITUTE(_xlpm.val, ", ", " &amp; ")
         )
      )
   ),
"")</f>
        <v/>
      </c>
      <c r="AF339" s="115" t="str" cm="1">
        <f t="array" ref="AF339">IF(COUNTIF(AE101,"*V*"),
   _xlfn.LET(
      _xlpm.pos, SUMPRODUCT(--(LEN($C$101:AE101)&gt;0)),
      _xlpm.val, INDEX($C$155:$AK$155, _xlpm.pos),
      IF(AE339="",
         SUBSTITUTE(_xlpm.val, ", ", " &amp; "),
         IF(COUNTIF(AE339, "*&amp;*"),
            _xlpm.val,
            SUBSTITUTE(_xlpm.val, ", ", " &amp; ")
         )
      )
   ),
"")</f>
        <v/>
      </c>
      <c r="AG339" s="115" t="str" cm="1">
        <f t="array" ref="AG339">IF(COUNTIF(AF101,"*V*"),
   _xlfn.LET(
      _xlpm.pos, SUMPRODUCT(--(LEN($C$101:AF101)&gt;0)),
      _xlpm.val, INDEX($C$155:$AK$155, _xlpm.pos),
      IF(AF339="",
         SUBSTITUTE(_xlpm.val, ", ", " &amp; "),
         IF(COUNTIF(AF339, "*&amp;*"),
            _xlpm.val,
            SUBSTITUTE(_xlpm.val, ", ", " &amp; ")
         )
      )
   ),
"")</f>
        <v/>
      </c>
      <c r="AH339" s="115" t="str" cm="1">
        <f t="array" ref="AH339">IF(COUNTIF(AG101,"*V*"),
   _xlfn.LET(
      _xlpm.pos, SUMPRODUCT(--(LEN($C$101:AG101)&gt;0)),
      _xlpm.val, INDEX($C$155:$AK$155, _xlpm.pos),
      IF(AG339="",
         SUBSTITUTE(_xlpm.val, ", ", " &amp; "),
         IF(COUNTIF(AG339, "*&amp;*"),
            _xlpm.val,
            SUBSTITUTE(_xlpm.val, ", ", " &amp; ")
         )
      )
   ),
"")</f>
        <v/>
      </c>
      <c r="AI339" s="115" t="str" cm="1">
        <f t="array" ref="AI339">IF(COUNTIF(AH101,"*V*"),
   _xlfn.LET(
      _xlpm.pos, SUMPRODUCT(--(LEN($C$101:AH101)&gt;0)),
      _xlpm.val, INDEX($C$155:$AK$155, _xlpm.pos),
      IF(AH339="",
         SUBSTITUTE(_xlpm.val, ", ", " &amp; "),
         IF(COUNTIF(AH339, "*&amp;*"),
            _xlpm.val,
            SUBSTITUTE(_xlpm.val, ", ", " &amp; ")
         )
      )
   ),
"")</f>
        <v/>
      </c>
      <c r="AJ339" s="115" t="str" cm="1">
        <f t="array" ref="AJ339">IF(COUNTIF(AI101,"*V*"),
   _xlfn.LET(
      _xlpm.pos, SUMPRODUCT(--(LEN($C$101:AI101)&gt;0)),
      _xlpm.val, INDEX($C$155:$AK$155, _xlpm.pos),
      IF(AI339="",
         SUBSTITUTE(_xlpm.val, ", ", " &amp; "),
         IF(COUNTIF(AI339, "*&amp;*"),
            _xlpm.val,
            SUBSTITUTE(_xlpm.val, ", ", " &amp; ")
         )
      )
   ),
"")</f>
        <v/>
      </c>
      <c r="AK339" s="115" t="str" cm="1">
        <f t="array" ref="AK339">IF(COUNTIF(AJ101,"*V*"),
   _xlfn.LET(
      _xlpm.pos, SUMPRODUCT(--(LEN($C$101:AJ101)&gt;0)),
      _xlpm.val, INDEX($C$155:$AK$155, _xlpm.pos),
      IF(AJ339="",
         SUBSTITUTE(_xlpm.val, ", ", " &amp; "),
         IF(COUNTIF(AJ339, "*&amp;*"),
            _xlpm.val,
            SUBSTITUTE(_xlpm.val, ", ", " &amp; ")
         )
      )
   ),
"")</f>
        <v/>
      </c>
    </row>
    <row r="340" spans="1:37" ht="15" customHeight="1" x14ac:dyDescent="0.35">
      <c r="A340" s="1196"/>
      <c r="B340" s="22">
        <v>9</v>
      </c>
      <c r="D340" s="115" t="str" cm="1">
        <f t="array" ref="D340">IF(COUNTIF(C102,"*V*"),
   _xlfn.LET(
      _xlpm.pos, SUMPRODUCT(--(LEN($C$102:C102)&gt;0)),
      _xlpm.val, INDEX($C$156:$AK$156, _xlpm.pos),
      IF(C340="",
         SUBSTITUTE(_xlpm.val, ", ", " &amp; "),
         IF(COUNTIF(C340, "*&amp;*"),
            _xlpm.val,
            SUBSTITUTE(_xlpm.val, ", ", " &amp; ")
         )
      )
   ),
"")</f>
        <v/>
      </c>
      <c r="E340" s="115" t="str" cm="1">
        <f t="array" ref="E340">IF(COUNTIF(D102,"*V*"),
   _xlfn.LET(
      _xlpm.pos, SUMPRODUCT(--(LEN($C$102:D102)&gt;0)),
      _xlpm.val, INDEX($C$156:$AK$156, _xlpm.pos),
      IF(D340="",
         SUBSTITUTE(_xlpm.val, ", ", " &amp; "),
         IF(COUNTIF(D340, "*&amp;*"),
            _xlpm.val,
            SUBSTITUTE(_xlpm.val, ", ", " &amp; ")
         )
      )
   ),
"")</f>
        <v/>
      </c>
      <c r="F340" s="115" t="str" cm="1">
        <f t="array" ref="F340">IF(COUNTIF(E102,"*V*"),
   _xlfn.LET(
      _xlpm.pos, SUMPRODUCT(--(LEN($C$102:E102)&gt;0)),
      _xlpm.val, INDEX($C$156:$AK$156, _xlpm.pos),
      IF(E340="",
         SUBSTITUTE(_xlpm.val, ", ", " &amp; "),
         IF(COUNTIF(E340, "*&amp;*"),
            _xlpm.val,
            SUBSTITUTE(_xlpm.val, ", ", " &amp; ")
         )
      )
   ),
"")</f>
        <v/>
      </c>
      <c r="G340" s="115" t="str" cm="1">
        <f t="array" ref="G340">IF(COUNTIF(F102,"*V*"),
   _xlfn.LET(
      _xlpm.pos, SUMPRODUCT(--(LEN($C$102:F102)&gt;0)),
      _xlpm.val, INDEX($C$156:$AK$156, _xlpm.pos),
      IF(F340="",
         SUBSTITUTE(_xlpm.val, ", ", " &amp; "),
         IF(COUNTIF(F340, "*&amp;*"),
            _xlpm.val,
            SUBSTITUTE(_xlpm.val, ", ", " &amp; ")
         )
      )
   ),
"")</f>
        <v/>
      </c>
      <c r="H340" s="115" t="str" cm="1">
        <f t="array" ref="H340">IF(COUNTIF(G102,"*V*"),
   _xlfn.LET(
      _xlpm.pos, SUMPRODUCT(--(LEN($C$102:G102)&gt;0)),
      _xlpm.val, INDEX($C$156:$AK$156, _xlpm.pos),
      IF(G340="",
         SUBSTITUTE(_xlpm.val, ", ", " &amp; "),
         IF(COUNTIF(G340, "*&amp;*"),
            _xlpm.val,
            SUBSTITUTE(_xlpm.val, ", ", " &amp; ")
         )
      )
   ),
"")</f>
        <v/>
      </c>
      <c r="I340" s="115" t="str" cm="1">
        <f t="array" ref="I340">IF(COUNTIF(H102,"*V*"),
   _xlfn.LET(
      _xlpm.pos, SUMPRODUCT(--(LEN($C$102:H102)&gt;0)),
      _xlpm.val, INDEX($C$156:$AK$156, _xlpm.pos),
      IF(H340="",
         SUBSTITUTE(_xlpm.val, ", ", " &amp; "),
         IF(COUNTIF(H340, "*&amp;*"),
            _xlpm.val,
            SUBSTITUTE(_xlpm.val, ", ", " &amp; ")
         )
      )
   ),
"")</f>
        <v/>
      </c>
      <c r="J340" s="115" t="str" cm="1">
        <f t="array" ref="J340">IF(COUNTIF(I102,"*V*"),
   _xlfn.LET(
      _xlpm.pos, SUMPRODUCT(--(LEN($C$102:I102)&gt;0)),
      _xlpm.val, INDEX($C$156:$AK$156, _xlpm.pos),
      IF(I340="",
         SUBSTITUTE(_xlpm.val, ", ", " &amp; "),
         IF(COUNTIF(I340, "*&amp;*"),
            _xlpm.val,
            SUBSTITUTE(_xlpm.val, ", ", " &amp; ")
         )
      )
   ),
"")</f>
        <v/>
      </c>
      <c r="K340" s="115" t="str" cm="1">
        <f t="array" ref="K340">IF(COUNTIF(J102,"*V*"),
   _xlfn.LET(
      _xlpm.pos, SUMPRODUCT(--(LEN($C$102:J102)&gt;0)),
      _xlpm.val, INDEX($C$156:$AK$156, _xlpm.pos),
      IF(J340="",
         SUBSTITUTE(_xlpm.val, ", ", " &amp; "),
         IF(COUNTIF(J340, "*&amp;*"),
            _xlpm.val,
            SUBSTITUTE(_xlpm.val, ", ", " &amp; ")
         )
      )
   ),
"")</f>
        <v/>
      </c>
      <c r="L340" s="115" t="str" cm="1">
        <f t="array" ref="L340">IF(COUNTIF(K102,"*V*"),
   _xlfn.LET(
      _xlpm.pos, SUMPRODUCT(--(LEN($C$102:K102)&gt;0)),
      _xlpm.val, INDEX($C$156:$AK$156, _xlpm.pos),
      IF(K340="",
         SUBSTITUTE(_xlpm.val, ", ", " &amp; "),
         IF(COUNTIF(K340, "*&amp;*"),
            _xlpm.val,
            SUBSTITUTE(_xlpm.val, ", ", " &amp; ")
         )
      )
   ),
"")</f>
        <v/>
      </c>
      <c r="M340" s="115" t="str" cm="1">
        <f t="array" ref="M340">IF(COUNTIF(L102,"*V*"),
   _xlfn.LET(
      _xlpm.pos, SUMPRODUCT(--(LEN($C$102:L102)&gt;0)),
      _xlpm.val, INDEX($C$156:$AK$156, _xlpm.pos),
      IF(L340="",
         SUBSTITUTE(_xlpm.val, ", ", " &amp; "),
         IF(COUNTIF(L340, "*&amp;*"),
            _xlpm.val,
            SUBSTITUTE(_xlpm.val, ", ", " &amp; ")
         )
      )
   ),
"")</f>
        <v/>
      </c>
      <c r="N340" s="115" t="str" cm="1">
        <f t="array" ref="N340">IF(COUNTIF(M102,"*V*"),
   _xlfn.LET(
      _xlpm.pos, SUMPRODUCT(--(LEN($C$102:M102)&gt;0)),
      _xlpm.val, INDEX($C$156:$AK$156, _xlpm.pos),
      IF(M340="",
         SUBSTITUTE(_xlpm.val, ", ", " &amp; "),
         IF(COUNTIF(M340, "*&amp;*"),
            _xlpm.val,
            SUBSTITUTE(_xlpm.val, ", ", " &amp; ")
         )
      )
   ),
"")</f>
        <v/>
      </c>
      <c r="O340" s="115" t="str" cm="1">
        <f t="array" ref="O340">IF(COUNTIF(N102,"*V*"),
   _xlfn.LET(
      _xlpm.pos, SUMPRODUCT(--(LEN($C$102:N102)&gt;0)),
      _xlpm.val, INDEX($C$156:$AK$156, _xlpm.pos),
      IF(N340="",
         SUBSTITUTE(_xlpm.val, ", ", " &amp; "),
         IF(COUNTIF(N340, "*&amp;*"),
            _xlpm.val,
            SUBSTITUTE(_xlpm.val, ", ", " &amp; ")
         )
      )
   ),
"")</f>
        <v/>
      </c>
      <c r="P340" s="115" t="str" cm="1">
        <f t="array" ref="P340">IF(COUNTIF(O102,"*V*"),
   _xlfn.LET(
      _xlpm.pos, SUMPRODUCT(--(LEN($C$102:O102)&gt;0)),
      _xlpm.val, INDEX($C$156:$AK$156, _xlpm.pos),
      IF(O340="",
         SUBSTITUTE(_xlpm.val, ", ", " &amp; "),
         IF(COUNTIF(O340, "*&amp;*"),
            _xlpm.val,
            SUBSTITUTE(_xlpm.val, ", ", " &amp; ")
         )
      )
   ),
"")</f>
        <v/>
      </c>
      <c r="Q340" s="115" t="str" cm="1">
        <f t="array" ref="Q340">IF(COUNTIF(P102,"*V*"),
   _xlfn.LET(
      _xlpm.pos, SUMPRODUCT(--(LEN($C$102:P102)&gt;0)),
      _xlpm.val, INDEX($C$156:$AK$156, _xlpm.pos),
      IF(P340="",
         SUBSTITUTE(_xlpm.val, ", ", " &amp; "),
         IF(COUNTIF(P340, "*&amp;*"),
            _xlpm.val,
            SUBSTITUTE(_xlpm.val, ", ", " &amp; ")
         )
      )
   ),
"")</f>
        <v/>
      </c>
      <c r="R340" s="115" t="str" cm="1">
        <f t="array" ref="R340">IF(COUNTIF(Q102,"*V*"),
   _xlfn.LET(
      _xlpm.pos, SUMPRODUCT(--(LEN($C$102:Q102)&gt;0)),
      _xlpm.val, INDEX($C$156:$AK$156, _xlpm.pos),
      IF(Q340="",
         SUBSTITUTE(_xlpm.val, ", ", " &amp; "),
         IF(COUNTIF(Q340, "*&amp;*"),
            _xlpm.val,
            SUBSTITUTE(_xlpm.val, ", ", " &amp; ")
         )
      )
   ),
"")</f>
        <v/>
      </c>
      <c r="S340" s="115" t="str" cm="1">
        <f t="array" ref="S340">IF(COUNTIF(R102,"*V*"),
   _xlfn.LET(
      _xlpm.pos, SUMPRODUCT(--(LEN($C$102:R102)&gt;0)),
      _xlpm.val, INDEX($C$156:$AK$156, _xlpm.pos),
      IF(R340="",
         SUBSTITUTE(_xlpm.val, ", ", " &amp; "),
         IF(COUNTIF(R340, "*&amp;*"),
            _xlpm.val,
            SUBSTITUTE(_xlpm.val, ", ", " &amp; ")
         )
      )
   ),
"")</f>
        <v/>
      </c>
      <c r="T340" s="115" t="str" cm="1">
        <f t="array" ref="T340">IF(COUNTIF(S102,"*V*"),
   _xlfn.LET(
      _xlpm.pos, SUMPRODUCT(--(LEN($C$102:S102)&gt;0)),
      _xlpm.val, INDEX($C$156:$AK$156, _xlpm.pos),
      IF(S340="",
         SUBSTITUTE(_xlpm.val, ", ", " &amp; "),
         IF(COUNTIF(S340, "*&amp;*"),
            _xlpm.val,
            SUBSTITUTE(_xlpm.val, ", ", " &amp; ")
         )
      )
   ),
"")</f>
        <v/>
      </c>
      <c r="U340" s="115" t="str" cm="1">
        <f t="array" ref="U340">IF(COUNTIF(T102,"*V*"),
   _xlfn.LET(
      _xlpm.pos, SUMPRODUCT(--(LEN($C$102:T102)&gt;0)),
      _xlpm.val, INDEX($C$156:$AK$156, _xlpm.pos),
      IF(T340="",
         SUBSTITUTE(_xlpm.val, ", ", " &amp; "),
         IF(COUNTIF(T340, "*&amp;*"),
            _xlpm.val,
            SUBSTITUTE(_xlpm.val, ", ", " &amp; ")
         )
      )
   ),
"")</f>
        <v/>
      </c>
      <c r="V340" s="115" t="str" cm="1">
        <f t="array" ref="V340">IF(COUNTIF(U102,"*V*"),
   _xlfn.LET(
      _xlpm.pos, SUMPRODUCT(--(LEN($C$102:U102)&gt;0)),
      _xlpm.val, INDEX($C$156:$AK$156, _xlpm.pos),
      IF(U340="",
         SUBSTITUTE(_xlpm.val, ", ", " &amp; "),
         IF(COUNTIF(U340, "*&amp;*"),
            _xlpm.val,
            SUBSTITUTE(_xlpm.val, ", ", " &amp; ")
         )
      )
   ),
"")</f>
        <v/>
      </c>
      <c r="W340" s="115" t="str" cm="1">
        <f t="array" ref="W340">IF(COUNTIF(V102,"*V*"),
   _xlfn.LET(
      _xlpm.pos, SUMPRODUCT(--(LEN($C$102:V102)&gt;0)),
      _xlpm.val, INDEX($C$156:$AK$156, _xlpm.pos),
      IF(V340="",
         SUBSTITUTE(_xlpm.val, ", ", " &amp; "),
         IF(COUNTIF(V340, "*&amp;*"),
            _xlpm.val,
            SUBSTITUTE(_xlpm.val, ", ", " &amp; ")
         )
      )
   ),
"")</f>
        <v/>
      </c>
      <c r="X340" s="115" t="str" cm="1">
        <f t="array" ref="X340">IF(COUNTIF(W102,"*V*"),
   _xlfn.LET(
      _xlpm.pos, SUMPRODUCT(--(LEN($C$102:W102)&gt;0)),
      _xlpm.val, INDEX($C$156:$AK$156, _xlpm.pos),
      IF(W340="",
         SUBSTITUTE(_xlpm.val, ", ", " &amp; "),
         IF(COUNTIF(W340, "*&amp;*"),
            _xlpm.val,
            SUBSTITUTE(_xlpm.val, ", ", " &amp; ")
         )
      )
   ),
"")</f>
        <v/>
      </c>
      <c r="Y340" s="115" t="str" cm="1">
        <f t="array" ref="Y340">IF(COUNTIF(X102,"*V*"),
   _xlfn.LET(
      _xlpm.pos, SUMPRODUCT(--(LEN($C$102:X102)&gt;0)),
      _xlpm.val, INDEX($C$156:$AK$156, _xlpm.pos),
      IF(X340="",
         SUBSTITUTE(_xlpm.val, ", ", " &amp; "),
         IF(COUNTIF(X340, "*&amp;*"),
            _xlpm.val,
            SUBSTITUTE(_xlpm.val, ", ", " &amp; ")
         )
      )
   ),
"")</f>
        <v/>
      </c>
      <c r="Z340" s="115" t="str" cm="1">
        <f t="array" ref="Z340">IF(COUNTIF(Y102,"*V*"),
   _xlfn.LET(
      _xlpm.pos, SUMPRODUCT(--(LEN($C$102:Y102)&gt;0)),
      _xlpm.val, INDEX($C$156:$AK$156, _xlpm.pos),
      IF(Y340="",
         SUBSTITUTE(_xlpm.val, ", ", " &amp; "),
         IF(COUNTIF(Y340, "*&amp;*"),
            _xlpm.val,
            SUBSTITUTE(_xlpm.val, ", ", " &amp; ")
         )
      )
   ),
"")</f>
        <v/>
      </c>
      <c r="AA340" s="115" t="str" cm="1">
        <f t="array" ref="AA340">IF(COUNTIF(Z102,"*V*"),
   _xlfn.LET(
      _xlpm.pos, SUMPRODUCT(--(LEN($C$102:Z102)&gt;0)),
      _xlpm.val, INDEX($C$156:$AK$156, _xlpm.pos),
      IF(Z340="",
         SUBSTITUTE(_xlpm.val, ", ", " &amp; "),
         IF(COUNTIF(Z340, "*&amp;*"),
            _xlpm.val,
            SUBSTITUTE(_xlpm.val, ", ", " &amp; ")
         )
      )
   ),
"")</f>
        <v/>
      </c>
      <c r="AB340" s="115" t="str" cm="1">
        <f t="array" ref="AB340">IF(COUNTIF(AA102,"*V*"),
   _xlfn.LET(
      _xlpm.pos, SUMPRODUCT(--(LEN($C$102:AA102)&gt;0)),
      _xlpm.val, INDEX($C$156:$AK$156, _xlpm.pos),
      IF(AA340="",
         SUBSTITUTE(_xlpm.val, ", ", " &amp; "),
         IF(COUNTIF(AA340, "*&amp;*"),
            _xlpm.val,
            SUBSTITUTE(_xlpm.val, ", ", " &amp; ")
         )
      )
   ),
"")</f>
        <v/>
      </c>
      <c r="AC340" s="115" t="str" cm="1">
        <f t="array" ref="AC340">IF(COUNTIF(AB102,"*V*"),
   _xlfn.LET(
      _xlpm.pos, SUMPRODUCT(--(LEN($C$102:AB102)&gt;0)),
      _xlpm.val, INDEX($C$156:$AK$156, _xlpm.pos),
      IF(AB340="",
         SUBSTITUTE(_xlpm.val, ", ", " &amp; "),
         IF(COUNTIF(AB340, "*&amp;*"),
            _xlpm.val,
            SUBSTITUTE(_xlpm.val, ", ", " &amp; ")
         )
      )
   ),
"")</f>
        <v/>
      </c>
      <c r="AD340" s="115" t="str" cm="1">
        <f t="array" ref="AD340">IF(COUNTIF(AC102,"*V*"),
   _xlfn.LET(
      _xlpm.pos, SUMPRODUCT(--(LEN($C$102:AC102)&gt;0)),
      _xlpm.val, INDEX($C$156:$AK$156, _xlpm.pos),
      IF(AC340="",
         SUBSTITUTE(_xlpm.val, ", ", " &amp; "),
         IF(COUNTIF(AC340, "*&amp;*"),
            _xlpm.val,
            SUBSTITUTE(_xlpm.val, ", ", " &amp; ")
         )
      )
   ),
"")</f>
        <v/>
      </c>
      <c r="AE340" s="115" t="str" cm="1">
        <f t="array" ref="AE340">IF(COUNTIF(AD102,"*V*"),
   _xlfn.LET(
      _xlpm.pos, SUMPRODUCT(--(LEN($C$102:AD102)&gt;0)),
      _xlpm.val, INDEX($C$156:$AK$156, _xlpm.pos),
      IF(AD340="",
         SUBSTITUTE(_xlpm.val, ", ", " &amp; "),
         IF(COUNTIF(AD340, "*&amp;*"),
            _xlpm.val,
            SUBSTITUTE(_xlpm.val, ", ", " &amp; ")
         )
      )
   ),
"")</f>
        <v/>
      </c>
      <c r="AF340" s="115" t="str" cm="1">
        <f t="array" ref="AF340">IF(COUNTIF(AE102,"*V*"),
   _xlfn.LET(
      _xlpm.pos, SUMPRODUCT(--(LEN($C$102:AE102)&gt;0)),
      _xlpm.val, INDEX($C$156:$AK$156, _xlpm.pos),
      IF(AE340="",
         SUBSTITUTE(_xlpm.val, ", ", " &amp; "),
         IF(COUNTIF(AE340, "*&amp;*"),
            _xlpm.val,
            SUBSTITUTE(_xlpm.val, ", ", " &amp; ")
         )
      )
   ),
"")</f>
        <v/>
      </c>
      <c r="AG340" s="115" t="str" cm="1">
        <f t="array" ref="AG340">IF(COUNTIF(AF102,"*V*"),
   _xlfn.LET(
      _xlpm.pos, SUMPRODUCT(--(LEN($C$102:AF102)&gt;0)),
      _xlpm.val, INDEX($C$156:$AK$156, _xlpm.pos),
      IF(AF340="",
         SUBSTITUTE(_xlpm.val, ", ", " &amp; "),
         IF(COUNTIF(AF340, "*&amp;*"),
            _xlpm.val,
            SUBSTITUTE(_xlpm.val, ", ", " &amp; ")
         )
      )
   ),
"")</f>
        <v/>
      </c>
      <c r="AH340" s="115" t="str" cm="1">
        <f t="array" ref="AH340">IF(COUNTIF(AG102,"*V*"),
   _xlfn.LET(
      _xlpm.pos, SUMPRODUCT(--(LEN($C$102:AG102)&gt;0)),
      _xlpm.val, INDEX($C$156:$AK$156, _xlpm.pos),
      IF(AG340="",
         SUBSTITUTE(_xlpm.val, ", ", " &amp; "),
         IF(COUNTIF(AG340, "*&amp;*"),
            _xlpm.val,
            SUBSTITUTE(_xlpm.val, ", ", " &amp; ")
         )
      )
   ),
"")</f>
        <v/>
      </c>
      <c r="AI340" s="115" t="str" cm="1">
        <f t="array" ref="AI340">IF(COUNTIF(AH102,"*V*"),
   _xlfn.LET(
      _xlpm.pos, SUMPRODUCT(--(LEN($C$102:AH102)&gt;0)),
      _xlpm.val, INDEX($C$156:$AK$156, _xlpm.pos),
      IF(AH340="",
         SUBSTITUTE(_xlpm.val, ", ", " &amp; "),
         IF(COUNTIF(AH340, "*&amp;*"),
            _xlpm.val,
            SUBSTITUTE(_xlpm.val, ", ", " &amp; ")
         )
      )
   ),
"")</f>
        <v/>
      </c>
      <c r="AJ340" s="115" t="str" cm="1">
        <f t="array" ref="AJ340">IF(COUNTIF(AI102,"*V*"),
   _xlfn.LET(
      _xlpm.pos, SUMPRODUCT(--(LEN($C$102:AI102)&gt;0)),
      _xlpm.val, INDEX($C$156:$AK$156, _xlpm.pos),
      IF(AI340="",
         SUBSTITUTE(_xlpm.val, ", ", " &amp; "),
         IF(COUNTIF(AI340, "*&amp;*"),
            _xlpm.val,
            SUBSTITUTE(_xlpm.val, ", ", " &amp; ")
         )
      )
   ),
"")</f>
        <v/>
      </c>
      <c r="AK340" s="115" t="str" cm="1">
        <f t="array" ref="AK340">IF(COUNTIF(AJ102,"*V*"),
   _xlfn.LET(
      _xlpm.pos, SUMPRODUCT(--(LEN($C$102:AJ102)&gt;0)),
      _xlpm.val, INDEX($C$156:$AK$156, _xlpm.pos),
      IF(AJ340="",
         SUBSTITUTE(_xlpm.val, ", ", " &amp; "),
         IF(COUNTIF(AJ340, "*&amp;*"),
            _xlpm.val,
            SUBSTITUTE(_xlpm.val, ", ", " &amp; ")
         )
      )
   ),
"")</f>
        <v/>
      </c>
    </row>
    <row r="341" spans="1:37" ht="15" customHeight="1" x14ac:dyDescent="0.35">
      <c r="A341" s="1196"/>
      <c r="B341" s="22">
        <v>10</v>
      </c>
      <c r="D341" s="115" t="str" cm="1">
        <f t="array" ref="D341">IF(COUNTIF(C103,"*V*"),
   _xlfn.LET(
      _xlpm.pos, SUMPRODUCT(--(LEN($C$103:C103)&gt;0)),
      _xlpm.val, INDEX($C$157:$AK$157, _xlpm.pos),
      IF(C341="",
         SUBSTITUTE(_xlpm.val, ", ", " &amp; "),
         IF(COUNTIF(C341, "*&amp;*"),
            _xlpm.val,
            SUBSTITUTE(_xlpm.val, ", ", " &amp; ")
         )
      )
   ),
"")</f>
        <v/>
      </c>
      <c r="E341" s="115" t="str" cm="1">
        <f t="array" ref="E341">IF(COUNTIF(D103,"*V*"),
   _xlfn.LET(
      _xlpm.pos, SUMPRODUCT(--(LEN($C$103:D103)&gt;0)),
      _xlpm.val, INDEX($C$157:$AK$157, _xlpm.pos),
      IF(D341="",
         SUBSTITUTE(_xlpm.val, ", ", " &amp; "),
         IF(COUNTIF(D341, "*&amp;*"),
            _xlpm.val,
            SUBSTITUTE(_xlpm.val, ", ", " &amp; ")
         )
      )
   ),
"")</f>
        <v/>
      </c>
      <c r="F341" s="115" t="str" cm="1">
        <f t="array" ref="F341">IF(COUNTIF(E103,"*V*"),
   _xlfn.LET(
      _xlpm.pos, SUMPRODUCT(--(LEN($C$103:E103)&gt;0)),
      _xlpm.val, INDEX($C$157:$AK$157, _xlpm.pos),
      IF(E341="",
         SUBSTITUTE(_xlpm.val, ", ", " &amp; "),
         IF(COUNTIF(E341, "*&amp;*"),
            _xlpm.val,
            SUBSTITUTE(_xlpm.val, ", ", " &amp; ")
         )
      )
   ),
"")</f>
        <v/>
      </c>
      <c r="G341" s="115" t="str" cm="1">
        <f t="array" ref="G341">IF(COUNTIF(F103,"*V*"),
   _xlfn.LET(
      _xlpm.pos, SUMPRODUCT(--(LEN($C$103:F103)&gt;0)),
      _xlpm.val, INDEX($C$157:$AK$157, _xlpm.pos),
      IF(F341="",
         SUBSTITUTE(_xlpm.val, ", ", " &amp; "),
         IF(COUNTIF(F341, "*&amp;*"),
            _xlpm.val,
            SUBSTITUTE(_xlpm.val, ", ", " &amp; ")
         )
      )
   ),
"")</f>
        <v/>
      </c>
      <c r="H341" s="115" t="str" cm="1">
        <f t="array" ref="H341">IF(COUNTIF(G103,"*V*"),
   _xlfn.LET(
      _xlpm.pos, SUMPRODUCT(--(LEN($C$103:G103)&gt;0)),
      _xlpm.val, INDEX($C$157:$AK$157, _xlpm.pos),
      IF(G341="",
         SUBSTITUTE(_xlpm.val, ", ", " &amp; "),
         IF(COUNTIF(G341, "*&amp;*"),
            _xlpm.val,
            SUBSTITUTE(_xlpm.val, ", ", " &amp; ")
         )
      )
   ),
"")</f>
        <v/>
      </c>
      <c r="I341" s="115" t="str" cm="1">
        <f t="array" ref="I341">IF(COUNTIF(H103,"*V*"),
   _xlfn.LET(
      _xlpm.pos, SUMPRODUCT(--(LEN($C$103:H103)&gt;0)),
      _xlpm.val, INDEX($C$157:$AK$157, _xlpm.pos),
      IF(H341="",
         SUBSTITUTE(_xlpm.val, ", ", " &amp; "),
         IF(COUNTIF(H341, "*&amp;*"),
            _xlpm.val,
            SUBSTITUTE(_xlpm.val, ", ", " &amp; ")
         )
      )
   ),
"")</f>
        <v/>
      </c>
      <c r="J341" s="115" t="str" cm="1">
        <f t="array" ref="J341">IF(COUNTIF(I103,"*V*"),
   _xlfn.LET(
      _xlpm.pos, SUMPRODUCT(--(LEN($C$103:I103)&gt;0)),
      _xlpm.val, INDEX($C$157:$AK$157, _xlpm.pos),
      IF(I341="",
         SUBSTITUTE(_xlpm.val, ", ", " &amp; "),
         IF(COUNTIF(I341, "*&amp;*"),
            _xlpm.val,
            SUBSTITUTE(_xlpm.val, ", ", " &amp; ")
         )
      )
   ),
"")</f>
        <v/>
      </c>
      <c r="K341" s="115" t="str" cm="1">
        <f t="array" ref="K341">IF(COUNTIF(J103,"*V*"),
   _xlfn.LET(
      _xlpm.pos, SUMPRODUCT(--(LEN($C$103:J103)&gt;0)),
      _xlpm.val, INDEX($C$157:$AK$157, _xlpm.pos),
      IF(J341="",
         SUBSTITUTE(_xlpm.val, ", ", " &amp; "),
         IF(COUNTIF(J341, "*&amp;*"),
            _xlpm.val,
            SUBSTITUTE(_xlpm.val, ", ", " &amp; ")
         )
      )
   ),
"")</f>
        <v/>
      </c>
      <c r="L341" s="115" t="str" cm="1">
        <f t="array" ref="L341">IF(COUNTIF(K103,"*V*"),
   _xlfn.LET(
      _xlpm.pos, SUMPRODUCT(--(LEN($C$103:K103)&gt;0)),
      _xlpm.val, INDEX($C$157:$AK$157, _xlpm.pos),
      IF(K341="",
         SUBSTITUTE(_xlpm.val, ", ", " &amp; "),
         IF(COUNTIF(K341, "*&amp;*"),
            _xlpm.val,
            SUBSTITUTE(_xlpm.val, ", ", " &amp; ")
         )
      )
   ),
"")</f>
        <v/>
      </c>
      <c r="M341" s="115" t="str" cm="1">
        <f t="array" ref="M341">IF(COUNTIF(L103,"*V*"),
   _xlfn.LET(
      _xlpm.pos, SUMPRODUCT(--(LEN($C$103:L103)&gt;0)),
      _xlpm.val, INDEX($C$157:$AK$157, _xlpm.pos),
      IF(L341="",
         SUBSTITUTE(_xlpm.val, ", ", " &amp; "),
         IF(COUNTIF(L341, "*&amp;*"),
            _xlpm.val,
            SUBSTITUTE(_xlpm.val, ", ", " &amp; ")
         )
      )
   ),
"")</f>
        <v/>
      </c>
      <c r="N341" s="115" t="str" cm="1">
        <f t="array" ref="N341">IF(COUNTIF(M103,"*V*"),
   _xlfn.LET(
      _xlpm.pos, SUMPRODUCT(--(LEN($C$103:M103)&gt;0)),
      _xlpm.val, INDEX($C$157:$AK$157, _xlpm.pos),
      IF(M341="",
         SUBSTITUTE(_xlpm.val, ", ", " &amp; "),
         IF(COUNTIF(M341, "*&amp;*"),
            _xlpm.val,
            SUBSTITUTE(_xlpm.val, ", ", " &amp; ")
         )
      )
   ),
"")</f>
        <v/>
      </c>
      <c r="O341" s="115" t="str" cm="1">
        <f t="array" ref="O341">IF(COUNTIF(N103,"*V*"),
   _xlfn.LET(
      _xlpm.pos, SUMPRODUCT(--(LEN($C$103:N103)&gt;0)),
      _xlpm.val, INDEX($C$157:$AK$157, _xlpm.pos),
      IF(N341="",
         SUBSTITUTE(_xlpm.val, ", ", " &amp; "),
         IF(COUNTIF(N341, "*&amp;*"),
            _xlpm.val,
            SUBSTITUTE(_xlpm.val, ", ", " &amp; ")
         )
      )
   ),
"")</f>
        <v/>
      </c>
      <c r="P341" s="115" t="str" cm="1">
        <f t="array" ref="P341">IF(COUNTIF(O103,"*V*"),
   _xlfn.LET(
      _xlpm.pos, SUMPRODUCT(--(LEN($C$103:O103)&gt;0)),
      _xlpm.val, INDEX($C$157:$AK$157, _xlpm.pos),
      IF(O341="",
         SUBSTITUTE(_xlpm.val, ", ", " &amp; "),
         IF(COUNTIF(O341, "*&amp;*"),
            _xlpm.val,
            SUBSTITUTE(_xlpm.val, ", ", " &amp; ")
         )
      )
   ),
"")</f>
        <v/>
      </c>
      <c r="Q341" s="115" t="str" cm="1">
        <f t="array" ref="Q341">IF(COUNTIF(P103,"*V*"),
   _xlfn.LET(
      _xlpm.pos, SUMPRODUCT(--(LEN($C$103:P103)&gt;0)),
      _xlpm.val, INDEX($C$157:$AK$157, _xlpm.pos),
      IF(P341="",
         SUBSTITUTE(_xlpm.val, ", ", " &amp; "),
         IF(COUNTIF(P341, "*&amp;*"),
            _xlpm.val,
            SUBSTITUTE(_xlpm.val, ", ", " &amp; ")
         )
      )
   ),
"")</f>
        <v/>
      </c>
      <c r="R341" s="115" t="str" cm="1">
        <f t="array" ref="R341">IF(COUNTIF(Q103,"*V*"),
   _xlfn.LET(
      _xlpm.pos, SUMPRODUCT(--(LEN($C$103:Q103)&gt;0)),
      _xlpm.val, INDEX($C$157:$AK$157, _xlpm.pos),
      IF(Q341="",
         SUBSTITUTE(_xlpm.val, ", ", " &amp; "),
         IF(COUNTIF(Q341, "*&amp;*"),
            _xlpm.val,
            SUBSTITUTE(_xlpm.val, ", ", " &amp; ")
         )
      )
   ),
"")</f>
        <v/>
      </c>
      <c r="S341" s="115" t="str" cm="1">
        <f t="array" ref="S341">IF(COUNTIF(R103,"*V*"),
   _xlfn.LET(
      _xlpm.pos, SUMPRODUCT(--(LEN($C$103:R103)&gt;0)),
      _xlpm.val, INDEX($C$157:$AK$157, _xlpm.pos),
      IF(R341="",
         SUBSTITUTE(_xlpm.val, ", ", " &amp; "),
         IF(COUNTIF(R341, "*&amp;*"),
            _xlpm.val,
            SUBSTITUTE(_xlpm.val, ", ", " &amp; ")
         )
      )
   ),
"")</f>
        <v/>
      </c>
      <c r="T341" s="115" t="str" cm="1">
        <f t="array" ref="T341">IF(COUNTIF(S103,"*V*"),
   _xlfn.LET(
      _xlpm.pos, SUMPRODUCT(--(LEN($C$103:S103)&gt;0)),
      _xlpm.val, INDEX($C$157:$AK$157, _xlpm.pos),
      IF(S341="",
         SUBSTITUTE(_xlpm.val, ", ", " &amp; "),
         IF(COUNTIF(S341, "*&amp;*"),
            _xlpm.val,
            SUBSTITUTE(_xlpm.val, ", ", " &amp; ")
         )
      )
   ),
"")</f>
        <v/>
      </c>
      <c r="U341" s="115" t="str" cm="1">
        <f t="array" ref="U341">IF(COUNTIF(T103,"*V*"),
   _xlfn.LET(
      _xlpm.pos, SUMPRODUCT(--(LEN($C$103:T103)&gt;0)),
      _xlpm.val, INDEX($C$157:$AK$157, _xlpm.pos),
      IF(T341="",
         SUBSTITUTE(_xlpm.val, ", ", " &amp; "),
         IF(COUNTIF(T341, "*&amp;*"),
            _xlpm.val,
            SUBSTITUTE(_xlpm.val, ", ", " &amp; ")
         )
      )
   ),
"")</f>
        <v/>
      </c>
      <c r="V341" s="115" t="str" cm="1">
        <f t="array" ref="V341">IF(COUNTIF(U103,"*V*"),
   _xlfn.LET(
      _xlpm.pos, SUMPRODUCT(--(LEN($C$103:U103)&gt;0)),
      _xlpm.val, INDEX($C$157:$AK$157, _xlpm.pos),
      IF(U341="",
         SUBSTITUTE(_xlpm.val, ", ", " &amp; "),
         IF(COUNTIF(U341, "*&amp;*"),
            _xlpm.val,
            SUBSTITUTE(_xlpm.val, ", ", " &amp; ")
         )
      )
   ),
"")</f>
        <v/>
      </c>
      <c r="W341" s="115" t="str" cm="1">
        <f t="array" ref="W341">IF(COUNTIF(V103,"*V*"),
   _xlfn.LET(
      _xlpm.pos, SUMPRODUCT(--(LEN($C$103:V103)&gt;0)),
      _xlpm.val, INDEX($C$157:$AK$157, _xlpm.pos),
      IF(V341="",
         SUBSTITUTE(_xlpm.val, ", ", " &amp; "),
         IF(COUNTIF(V341, "*&amp;*"),
            _xlpm.val,
            SUBSTITUTE(_xlpm.val, ", ", " &amp; ")
         )
      )
   ),
"")</f>
        <v/>
      </c>
      <c r="X341" s="115" t="str" cm="1">
        <f t="array" ref="X341">IF(COUNTIF(W103,"*V*"),
   _xlfn.LET(
      _xlpm.pos, SUMPRODUCT(--(LEN($C$103:W103)&gt;0)),
      _xlpm.val, INDEX($C$157:$AK$157, _xlpm.pos),
      IF(W341="",
         SUBSTITUTE(_xlpm.val, ", ", " &amp; "),
         IF(COUNTIF(W341, "*&amp;*"),
            _xlpm.val,
            SUBSTITUTE(_xlpm.val, ", ", " &amp; ")
         )
      )
   ),
"")</f>
        <v/>
      </c>
      <c r="Y341" s="115" t="str" cm="1">
        <f t="array" ref="Y341">IF(COUNTIF(X103,"*V*"),
   _xlfn.LET(
      _xlpm.pos, SUMPRODUCT(--(LEN($C$103:X103)&gt;0)),
      _xlpm.val, INDEX($C$157:$AK$157, _xlpm.pos),
      IF(X341="",
         SUBSTITUTE(_xlpm.val, ", ", " &amp; "),
         IF(COUNTIF(X341, "*&amp;*"),
            _xlpm.val,
            SUBSTITUTE(_xlpm.val, ", ", " &amp; ")
         )
      )
   ),
"")</f>
        <v/>
      </c>
      <c r="Z341" s="115" t="str" cm="1">
        <f t="array" ref="Z341">IF(COUNTIF(Y103,"*V*"),
   _xlfn.LET(
      _xlpm.pos, SUMPRODUCT(--(LEN($C$103:Y103)&gt;0)),
      _xlpm.val, INDEX($C$157:$AK$157, _xlpm.pos),
      IF(Y341="",
         SUBSTITUTE(_xlpm.val, ", ", " &amp; "),
         IF(COUNTIF(Y341, "*&amp;*"),
            _xlpm.val,
            SUBSTITUTE(_xlpm.val, ", ", " &amp; ")
         )
      )
   ),
"")</f>
        <v/>
      </c>
      <c r="AA341" s="115" t="str" cm="1">
        <f t="array" ref="AA341">IF(COUNTIF(Z103,"*V*"),
   _xlfn.LET(
      _xlpm.pos, SUMPRODUCT(--(LEN($C$103:Z103)&gt;0)),
      _xlpm.val, INDEX($C$157:$AK$157, _xlpm.pos),
      IF(Z341="",
         SUBSTITUTE(_xlpm.val, ", ", " &amp; "),
         IF(COUNTIF(Z341, "*&amp;*"),
            _xlpm.val,
            SUBSTITUTE(_xlpm.val, ", ", " &amp; ")
         )
      )
   ),
"")</f>
        <v/>
      </c>
      <c r="AB341" s="115" t="str" cm="1">
        <f t="array" ref="AB341">IF(COUNTIF(AA103,"*V*"),
   _xlfn.LET(
      _xlpm.pos, SUMPRODUCT(--(LEN($C$103:AA103)&gt;0)),
      _xlpm.val, INDEX($C$157:$AK$157, _xlpm.pos),
      IF(AA341="",
         SUBSTITUTE(_xlpm.val, ", ", " &amp; "),
         IF(COUNTIF(AA341, "*&amp;*"),
            _xlpm.val,
            SUBSTITUTE(_xlpm.val, ", ", " &amp; ")
         )
      )
   ),
"")</f>
        <v/>
      </c>
      <c r="AC341" s="115" t="str" cm="1">
        <f t="array" ref="AC341">IF(COUNTIF(AB103,"*V*"),
   _xlfn.LET(
      _xlpm.pos, SUMPRODUCT(--(LEN($C$103:AB103)&gt;0)),
      _xlpm.val, INDEX($C$157:$AK$157, _xlpm.pos),
      IF(AB341="",
         SUBSTITUTE(_xlpm.val, ", ", " &amp; "),
         IF(COUNTIF(AB341, "*&amp;*"),
            _xlpm.val,
            SUBSTITUTE(_xlpm.val, ", ", " &amp; ")
         )
      )
   ),
"")</f>
        <v/>
      </c>
      <c r="AD341" s="115" t="str" cm="1">
        <f t="array" ref="AD341">IF(COUNTIF(AC103,"*V*"),
   _xlfn.LET(
      _xlpm.pos, SUMPRODUCT(--(LEN($C$103:AC103)&gt;0)),
      _xlpm.val, INDEX($C$157:$AK$157, _xlpm.pos),
      IF(AC341="",
         SUBSTITUTE(_xlpm.val, ", ", " &amp; "),
         IF(COUNTIF(AC341, "*&amp;*"),
            _xlpm.val,
            SUBSTITUTE(_xlpm.val, ", ", " &amp; ")
         )
      )
   ),
"")</f>
        <v/>
      </c>
      <c r="AE341" s="115" t="str" cm="1">
        <f t="array" ref="AE341">IF(COUNTIF(AD103,"*V*"),
   _xlfn.LET(
      _xlpm.pos, SUMPRODUCT(--(LEN($C$103:AD103)&gt;0)),
      _xlpm.val, INDEX($C$157:$AK$157, _xlpm.pos),
      IF(AD341="",
         SUBSTITUTE(_xlpm.val, ", ", " &amp; "),
         IF(COUNTIF(AD341, "*&amp;*"),
            _xlpm.val,
            SUBSTITUTE(_xlpm.val, ", ", " &amp; ")
         )
      )
   ),
"")</f>
        <v/>
      </c>
      <c r="AF341" s="115" t="str" cm="1">
        <f t="array" ref="AF341">IF(COUNTIF(AE103,"*V*"),
   _xlfn.LET(
      _xlpm.pos, SUMPRODUCT(--(LEN($C$103:AE103)&gt;0)),
      _xlpm.val, INDEX($C$157:$AK$157, _xlpm.pos),
      IF(AE341="",
         SUBSTITUTE(_xlpm.val, ", ", " &amp; "),
         IF(COUNTIF(AE341, "*&amp;*"),
            _xlpm.val,
            SUBSTITUTE(_xlpm.val, ", ", " &amp; ")
         )
      )
   ),
"")</f>
        <v/>
      </c>
      <c r="AG341" s="115" t="str" cm="1">
        <f t="array" ref="AG341">IF(COUNTIF(AF103,"*V*"),
   _xlfn.LET(
      _xlpm.pos, SUMPRODUCT(--(LEN($C$103:AF103)&gt;0)),
      _xlpm.val, INDEX($C$157:$AK$157, _xlpm.pos),
      IF(AF341="",
         SUBSTITUTE(_xlpm.val, ", ", " &amp; "),
         IF(COUNTIF(AF341, "*&amp;*"),
            _xlpm.val,
            SUBSTITUTE(_xlpm.val, ", ", " &amp; ")
         )
      )
   ),
"")</f>
        <v/>
      </c>
      <c r="AH341" s="115" t="str" cm="1">
        <f t="array" ref="AH341">IF(COUNTIF(AG103,"*V*"),
   _xlfn.LET(
      _xlpm.pos, SUMPRODUCT(--(LEN($C$103:AG103)&gt;0)),
      _xlpm.val, INDEX($C$157:$AK$157, _xlpm.pos),
      IF(AG341="",
         SUBSTITUTE(_xlpm.val, ", ", " &amp; "),
         IF(COUNTIF(AG341, "*&amp;*"),
            _xlpm.val,
            SUBSTITUTE(_xlpm.val, ", ", " &amp; ")
         )
      )
   ),
"")</f>
        <v/>
      </c>
      <c r="AI341" s="115" t="str" cm="1">
        <f t="array" ref="AI341">IF(COUNTIF(AH103,"*V*"),
   _xlfn.LET(
      _xlpm.pos, SUMPRODUCT(--(LEN($C$103:AH103)&gt;0)),
      _xlpm.val, INDEX($C$157:$AK$157, _xlpm.pos),
      IF(AH341="",
         SUBSTITUTE(_xlpm.val, ", ", " &amp; "),
         IF(COUNTIF(AH341, "*&amp;*"),
            _xlpm.val,
            SUBSTITUTE(_xlpm.val, ", ", " &amp; ")
         )
      )
   ),
"")</f>
        <v/>
      </c>
      <c r="AJ341" s="115" t="str" cm="1">
        <f t="array" ref="AJ341">IF(COUNTIF(AI103,"*V*"),
   _xlfn.LET(
      _xlpm.pos, SUMPRODUCT(--(LEN($C$103:AI103)&gt;0)),
      _xlpm.val, INDEX($C$157:$AK$157, _xlpm.pos),
      IF(AI341="",
         SUBSTITUTE(_xlpm.val, ", ", " &amp; "),
         IF(COUNTIF(AI341, "*&amp;*"),
            _xlpm.val,
            SUBSTITUTE(_xlpm.val, ", ", " &amp; ")
         )
      )
   ),
"")</f>
        <v/>
      </c>
      <c r="AK341" s="115" t="str" cm="1">
        <f t="array" ref="AK341">IF(COUNTIF(AJ103,"*V*"),
   _xlfn.LET(
      _xlpm.pos, SUMPRODUCT(--(LEN($C$103:AJ103)&gt;0)),
      _xlpm.val, INDEX($C$157:$AK$157, _xlpm.pos),
      IF(AJ341="",
         SUBSTITUTE(_xlpm.val, ", ", " &amp; "),
         IF(COUNTIF(AJ341, "*&amp;*"),
            _xlpm.val,
            SUBSTITUTE(_xlpm.val, ", ", " &amp; ")
         )
      )
   ),
"")</f>
        <v/>
      </c>
    </row>
    <row r="342" spans="1:37" ht="15" customHeight="1" x14ac:dyDescent="0.35">
      <c r="A342" s="1196"/>
      <c r="B342" s="22">
        <v>11</v>
      </c>
      <c r="D342" s="115" t="str" cm="1">
        <f t="array" ref="D342">IF(COUNTIF(C104,"*V*"),
   _xlfn.LET(
      _xlpm.pos, SUMPRODUCT(--(LEN($C$104:C104)&gt;0)),
      _xlpm.val, INDEX($C$158:$AK$158, _xlpm.pos),
      IF(C342="",
         SUBSTITUTE(_xlpm.val, ", ", " &amp; "),
         IF(COUNTIF(C342, "*&amp;*"),
            _xlpm.val,
            SUBSTITUTE(_xlpm.val, ", ", " &amp; ")
         )
      )
   ),
"")</f>
        <v/>
      </c>
      <c r="E342" s="115" t="str" cm="1">
        <f t="array" ref="E342">IF(COUNTIF(D104,"*V*"),
   _xlfn.LET(
      _xlpm.pos, SUMPRODUCT(--(LEN($C$104:D104)&gt;0)),
      _xlpm.val, INDEX($C$158:$AK$158, _xlpm.pos),
      IF(D342="",
         SUBSTITUTE(_xlpm.val, ", ", " &amp; "),
         IF(COUNTIF(D342, "*&amp;*"),
            _xlpm.val,
            SUBSTITUTE(_xlpm.val, ", ", " &amp; ")
         )
      )
   ),
"")</f>
        <v/>
      </c>
      <c r="F342" s="115" t="str" cm="1">
        <f t="array" ref="F342">IF(COUNTIF(E104,"*V*"),
   _xlfn.LET(
      _xlpm.pos, SUMPRODUCT(--(LEN($C$104:E104)&gt;0)),
      _xlpm.val, INDEX($C$158:$AK$158, _xlpm.pos),
      IF(E342="",
         SUBSTITUTE(_xlpm.val, ", ", " &amp; "),
         IF(COUNTIF(E342, "*&amp;*"),
            _xlpm.val,
            SUBSTITUTE(_xlpm.val, ", ", " &amp; ")
         )
      )
   ),
"")</f>
        <v/>
      </c>
      <c r="G342" s="115" t="str" cm="1">
        <f t="array" ref="G342">IF(COUNTIF(F104,"*V*"),
   _xlfn.LET(
      _xlpm.pos, SUMPRODUCT(--(LEN($C$104:F104)&gt;0)),
      _xlpm.val, INDEX($C$158:$AK$158, _xlpm.pos),
      IF(F342="",
         SUBSTITUTE(_xlpm.val, ", ", " &amp; "),
         IF(COUNTIF(F342, "*&amp;*"),
            _xlpm.val,
            SUBSTITUTE(_xlpm.val, ", ", " &amp; ")
         )
      )
   ),
"")</f>
        <v/>
      </c>
      <c r="H342" s="115" t="str" cm="1">
        <f t="array" ref="H342">IF(COUNTIF(G104,"*V*"),
   _xlfn.LET(
      _xlpm.pos, SUMPRODUCT(--(LEN($C$104:G104)&gt;0)),
      _xlpm.val, INDEX($C$158:$AK$158, _xlpm.pos),
      IF(G342="",
         SUBSTITUTE(_xlpm.val, ", ", " &amp; "),
         IF(COUNTIF(G342, "*&amp;*"),
            _xlpm.val,
            SUBSTITUTE(_xlpm.val, ", ", " &amp; ")
         )
      )
   ),
"")</f>
        <v/>
      </c>
      <c r="I342" s="115" t="str" cm="1">
        <f t="array" ref="I342">IF(COUNTIF(H104,"*V*"),
   _xlfn.LET(
      _xlpm.pos, SUMPRODUCT(--(LEN($C$104:H104)&gt;0)),
      _xlpm.val, INDEX($C$158:$AK$158, _xlpm.pos),
      IF(H342="",
         SUBSTITUTE(_xlpm.val, ", ", " &amp; "),
         IF(COUNTIF(H342, "*&amp;*"),
            _xlpm.val,
            SUBSTITUTE(_xlpm.val, ", ", " &amp; ")
         )
      )
   ),
"")</f>
        <v/>
      </c>
      <c r="J342" s="115" t="str" cm="1">
        <f t="array" ref="J342">IF(COUNTIF(I104,"*V*"),
   _xlfn.LET(
      _xlpm.pos, SUMPRODUCT(--(LEN($C$104:I104)&gt;0)),
      _xlpm.val, INDEX($C$158:$AK$158, _xlpm.pos),
      IF(I342="",
         SUBSTITUTE(_xlpm.val, ", ", " &amp; "),
         IF(COUNTIF(I342, "*&amp;*"),
            _xlpm.val,
            SUBSTITUTE(_xlpm.val, ", ", " &amp; ")
         )
      )
   ),
"")</f>
        <v/>
      </c>
      <c r="K342" s="115" t="str" cm="1">
        <f t="array" ref="K342">IF(COUNTIF(J104,"*V*"),
   _xlfn.LET(
      _xlpm.pos, SUMPRODUCT(--(LEN($C$104:J104)&gt;0)),
      _xlpm.val, INDEX($C$158:$AK$158, _xlpm.pos),
      IF(J342="",
         SUBSTITUTE(_xlpm.val, ", ", " &amp; "),
         IF(COUNTIF(J342, "*&amp;*"),
            _xlpm.val,
            SUBSTITUTE(_xlpm.val, ", ", " &amp; ")
         )
      )
   ),
"")</f>
        <v/>
      </c>
      <c r="L342" s="115" t="str" cm="1">
        <f t="array" ref="L342">IF(COUNTIF(K104,"*V*"),
   _xlfn.LET(
      _xlpm.pos, SUMPRODUCT(--(LEN($C$104:K104)&gt;0)),
      _xlpm.val, INDEX($C$158:$AK$158, _xlpm.pos),
      IF(K342="",
         SUBSTITUTE(_xlpm.val, ", ", " &amp; "),
         IF(COUNTIF(K342, "*&amp;*"),
            _xlpm.val,
            SUBSTITUTE(_xlpm.val, ", ", " &amp; ")
         )
      )
   ),
"")</f>
        <v/>
      </c>
      <c r="M342" s="115" t="str" cm="1">
        <f t="array" ref="M342">IF(COUNTIF(L104,"*V*"),
   _xlfn.LET(
      _xlpm.pos, SUMPRODUCT(--(LEN($C$104:L104)&gt;0)),
      _xlpm.val, INDEX($C$158:$AK$158, _xlpm.pos),
      IF(L342="",
         SUBSTITUTE(_xlpm.val, ", ", " &amp; "),
         IF(COUNTIF(L342, "*&amp;*"),
            _xlpm.val,
            SUBSTITUTE(_xlpm.val, ", ", " &amp; ")
         )
      )
   ),
"")</f>
        <v/>
      </c>
      <c r="N342" s="115" t="str" cm="1">
        <f t="array" ref="N342">IF(COUNTIF(M104,"*V*"),
   _xlfn.LET(
      _xlpm.pos, SUMPRODUCT(--(LEN($C$104:M104)&gt;0)),
      _xlpm.val, INDEX($C$158:$AK$158, _xlpm.pos),
      IF(M342="",
         SUBSTITUTE(_xlpm.val, ", ", " &amp; "),
         IF(COUNTIF(M342, "*&amp;*"),
            _xlpm.val,
            SUBSTITUTE(_xlpm.val, ", ", " &amp; ")
         )
      )
   ),
"")</f>
        <v/>
      </c>
      <c r="O342" s="115" t="str" cm="1">
        <f t="array" ref="O342">IF(COUNTIF(N104,"*V*"),
   _xlfn.LET(
      _xlpm.pos, SUMPRODUCT(--(LEN($C$104:N104)&gt;0)),
      _xlpm.val, INDEX($C$158:$AK$158, _xlpm.pos),
      IF(N342="",
         SUBSTITUTE(_xlpm.val, ", ", " &amp; "),
         IF(COUNTIF(N342, "*&amp;*"),
            _xlpm.val,
            SUBSTITUTE(_xlpm.val, ", ", " &amp; ")
         )
      )
   ),
"")</f>
        <v/>
      </c>
      <c r="P342" s="115" t="str" cm="1">
        <f t="array" ref="P342">IF(COUNTIF(O104,"*V*"),
   _xlfn.LET(
      _xlpm.pos, SUMPRODUCT(--(LEN($C$104:O104)&gt;0)),
      _xlpm.val, INDEX($C$158:$AK$158, _xlpm.pos),
      IF(O342="",
         SUBSTITUTE(_xlpm.val, ", ", " &amp; "),
         IF(COUNTIF(O342, "*&amp;*"),
            _xlpm.val,
            SUBSTITUTE(_xlpm.val, ", ", " &amp; ")
         )
      )
   ),
"")</f>
        <v/>
      </c>
      <c r="Q342" s="115" t="str" cm="1">
        <f t="array" ref="Q342">IF(COUNTIF(P104,"*V*"),
   _xlfn.LET(
      _xlpm.pos, SUMPRODUCT(--(LEN($C$104:P104)&gt;0)),
      _xlpm.val, INDEX($C$158:$AK$158, _xlpm.pos),
      IF(P342="",
         SUBSTITUTE(_xlpm.val, ", ", " &amp; "),
         IF(COUNTIF(P342, "*&amp;*"),
            _xlpm.val,
            SUBSTITUTE(_xlpm.val, ", ", " &amp; ")
         )
      )
   ),
"")</f>
        <v/>
      </c>
      <c r="R342" s="115" t="str" cm="1">
        <f t="array" ref="R342">IF(COUNTIF(Q104,"*V*"),
   _xlfn.LET(
      _xlpm.pos, SUMPRODUCT(--(LEN($C$104:Q104)&gt;0)),
      _xlpm.val, INDEX($C$158:$AK$158, _xlpm.pos),
      IF(Q342="",
         SUBSTITUTE(_xlpm.val, ", ", " &amp; "),
         IF(COUNTIF(Q342, "*&amp;*"),
            _xlpm.val,
            SUBSTITUTE(_xlpm.val, ", ", " &amp; ")
         )
      )
   ),
"")</f>
        <v/>
      </c>
      <c r="S342" s="115" t="str" cm="1">
        <f t="array" ref="S342">IF(COUNTIF(R104,"*V*"),
   _xlfn.LET(
      _xlpm.pos, SUMPRODUCT(--(LEN($C$104:R104)&gt;0)),
      _xlpm.val, INDEX($C$158:$AK$158, _xlpm.pos),
      IF(R342="",
         SUBSTITUTE(_xlpm.val, ", ", " &amp; "),
         IF(COUNTIF(R342, "*&amp;*"),
            _xlpm.val,
            SUBSTITUTE(_xlpm.val, ", ", " &amp; ")
         )
      )
   ),
"")</f>
        <v/>
      </c>
      <c r="T342" s="115" t="str" cm="1">
        <f t="array" ref="T342">IF(COUNTIF(S104,"*V*"),
   _xlfn.LET(
      _xlpm.pos, SUMPRODUCT(--(LEN($C$104:S104)&gt;0)),
      _xlpm.val, INDEX($C$158:$AK$158, _xlpm.pos),
      IF(S342="",
         SUBSTITUTE(_xlpm.val, ", ", " &amp; "),
         IF(COUNTIF(S342, "*&amp;*"),
            _xlpm.val,
            SUBSTITUTE(_xlpm.val, ", ", " &amp; ")
         )
      )
   ),
"")</f>
        <v/>
      </c>
      <c r="U342" s="115" t="str" cm="1">
        <f t="array" ref="U342">IF(COUNTIF(T104,"*V*"),
   _xlfn.LET(
      _xlpm.pos, SUMPRODUCT(--(LEN($C$104:T104)&gt;0)),
      _xlpm.val, INDEX($C$158:$AK$158, _xlpm.pos),
      IF(T342="",
         SUBSTITUTE(_xlpm.val, ", ", " &amp; "),
         IF(COUNTIF(T342, "*&amp;*"),
            _xlpm.val,
            SUBSTITUTE(_xlpm.val, ", ", " &amp; ")
         )
      )
   ),
"")</f>
        <v/>
      </c>
      <c r="V342" s="115" t="str" cm="1">
        <f t="array" ref="V342">IF(COUNTIF(U104,"*V*"),
   _xlfn.LET(
      _xlpm.pos, SUMPRODUCT(--(LEN($C$104:U104)&gt;0)),
      _xlpm.val, INDEX($C$158:$AK$158, _xlpm.pos),
      IF(U342="",
         SUBSTITUTE(_xlpm.val, ", ", " &amp; "),
         IF(COUNTIF(U342, "*&amp;*"),
            _xlpm.val,
            SUBSTITUTE(_xlpm.val, ", ", " &amp; ")
         )
      )
   ),
"")</f>
        <v/>
      </c>
      <c r="W342" s="115" t="str" cm="1">
        <f t="array" ref="W342">IF(COUNTIF(V104,"*V*"),
   _xlfn.LET(
      _xlpm.pos, SUMPRODUCT(--(LEN($C$104:V104)&gt;0)),
      _xlpm.val, INDEX($C$158:$AK$158, _xlpm.pos),
      IF(V342="",
         SUBSTITUTE(_xlpm.val, ", ", " &amp; "),
         IF(COUNTIF(V342, "*&amp;*"),
            _xlpm.val,
            SUBSTITUTE(_xlpm.val, ", ", " &amp; ")
         )
      )
   ),
"")</f>
        <v/>
      </c>
      <c r="X342" s="115" t="str" cm="1">
        <f t="array" ref="X342">IF(COUNTIF(W104,"*V*"),
   _xlfn.LET(
      _xlpm.pos, SUMPRODUCT(--(LEN($C$104:W104)&gt;0)),
      _xlpm.val, INDEX($C$158:$AK$158, _xlpm.pos),
      IF(W342="",
         SUBSTITUTE(_xlpm.val, ", ", " &amp; "),
         IF(COUNTIF(W342, "*&amp;*"),
            _xlpm.val,
            SUBSTITUTE(_xlpm.val, ", ", " &amp; ")
         )
      )
   ),
"")</f>
        <v/>
      </c>
      <c r="Y342" s="115" t="str" cm="1">
        <f t="array" ref="Y342">IF(COUNTIF(X104,"*V*"),
   _xlfn.LET(
      _xlpm.pos, SUMPRODUCT(--(LEN($C$104:X104)&gt;0)),
      _xlpm.val, INDEX($C$158:$AK$158, _xlpm.pos),
      IF(X342="",
         SUBSTITUTE(_xlpm.val, ", ", " &amp; "),
         IF(COUNTIF(X342, "*&amp;*"),
            _xlpm.val,
            SUBSTITUTE(_xlpm.val, ", ", " &amp; ")
         )
      )
   ),
"")</f>
        <v/>
      </c>
      <c r="Z342" s="115" t="str" cm="1">
        <f t="array" ref="Z342">IF(COUNTIF(Y104,"*V*"),
   _xlfn.LET(
      _xlpm.pos, SUMPRODUCT(--(LEN($C$104:Y104)&gt;0)),
      _xlpm.val, INDEX($C$158:$AK$158, _xlpm.pos),
      IF(Y342="",
         SUBSTITUTE(_xlpm.val, ", ", " &amp; "),
         IF(COUNTIF(Y342, "*&amp;*"),
            _xlpm.val,
            SUBSTITUTE(_xlpm.val, ", ", " &amp; ")
         )
      )
   ),
"")</f>
        <v/>
      </c>
      <c r="AA342" s="115" t="str" cm="1">
        <f t="array" ref="AA342">IF(COUNTIF(Z104,"*V*"),
   _xlfn.LET(
      _xlpm.pos, SUMPRODUCT(--(LEN($C$104:Z104)&gt;0)),
      _xlpm.val, INDEX($C$158:$AK$158, _xlpm.pos),
      IF(Z342="",
         SUBSTITUTE(_xlpm.val, ", ", " &amp; "),
         IF(COUNTIF(Z342, "*&amp;*"),
            _xlpm.val,
            SUBSTITUTE(_xlpm.val, ", ", " &amp; ")
         )
      )
   ),
"")</f>
        <v/>
      </c>
      <c r="AB342" s="115" t="str" cm="1">
        <f t="array" ref="AB342">IF(COUNTIF(AA104,"*V*"),
   _xlfn.LET(
      _xlpm.pos, SUMPRODUCT(--(LEN($C$104:AA104)&gt;0)),
      _xlpm.val, INDEX($C$158:$AK$158, _xlpm.pos),
      IF(AA342="",
         SUBSTITUTE(_xlpm.val, ", ", " &amp; "),
         IF(COUNTIF(AA342, "*&amp;*"),
            _xlpm.val,
            SUBSTITUTE(_xlpm.val, ", ", " &amp; ")
         )
      )
   ),
"")</f>
        <v/>
      </c>
      <c r="AC342" s="115" t="str" cm="1">
        <f t="array" ref="AC342">IF(COUNTIF(AB104,"*V*"),
   _xlfn.LET(
      _xlpm.pos, SUMPRODUCT(--(LEN($C$104:AB104)&gt;0)),
      _xlpm.val, INDEX($C$158:$AK$158, _xlpm.pos),
      IF(AB342="",
         SUBSTITUTE(_xlpm.val, ", ", " &amp; "),
         IF(COUNTIF(AB342, "*&amp;*"),
            _xlpm.val,
            SUBSTITUTE(_xlpm.val, ", ", " &amp; ")
         )
      )
   ),
"")</f>
        <v/>
      </c>
      <c r="AD342" s="115" t="str" cm="1">
        <f t="array" ref="AD342">IF(COUNTIF(AC104,"*V*"),
   _xlfn.LET(
      _xlpm.pos, SUMPRODUCT(--(LEN($C$104:AC104)&gt;0)),
      _xlpm.val, INDEX($C$158:$AK$158, _xlpm.pos),
      IF(AC342="",
         SUBSTITUTE(_xlpm.val, ", ", " &amp; "),
         IF(COUNTIF(AC342, "*&amp;*"),
            _xlpm.val,
            SUBSTITUTE(_xlpm.val, ", ", " &amp; ")
         )
      )
   ),
"")</f>
        <v/>
      </c>
      <c r="AE342" s="115" t="str" cm="1">
        <f t="array" ref="AE342">IF(COUNTIF(AD104,"*V*"),
   _xlfn.LET(
      _xlpm.pos, SUMPRODUCT(--(LEN($C$104:AD104)&gt;0)),
      _xlpm.val, INDEX($C$158:$AK$158, _xlpm.pos),
      IF(AD342="",
         SUBSTITUTE(_xlpm.val, ", ", " &amp; "),
         IF(COUNTIF(AD342, "*&amp;*"),
            _xlpm.val,
            SUBSTITUTE(_xlpm.val, ", ", " &amp; ")
         )
      )
   ),
"")</f>
        <v/>
      </c>
      <c r="AF342" s="115" t="str" cm="1">
        <f t="array" ref="AF342">IF(COUNTIF(AE104,"*V*"),
   _xlfn.LET(
      _xlpm.pos, SUMPRODUCT(--(LEN($C$104:AE104)&gt;0)),
      _xlpm.val, INDEX($C$158:$AK$158, _xlpm.pos),
      IF(AE342="",
         SUBSTITUTE(_xlpm.val, ", ", " &amp; "),
         IF(COUNTIF(AE342, "*&amp;*"),
            _xlpm.val,
            SUBSTITUTE(_xlpm.val, ", ", " &amp; ")
         )
      )
   ),
"")</f>
        <v/>
      </c>
      <c r="AG342" s="115" t="str" cm="1">
        <f t="array" ref="AG342">IF(COUNTIF(AF104,"*V*"),
   _xlfn.LET(
      _xlpm.pos, SUMPRODUCT(--(LEN($C$104:AF104)&gt;0)),
      _xlpm.val, INDEX($C$158:$AK$158, _xlpm.pos),
      IF(AF342="",
         SUBSTITUTE(_xlpm.val, ", ", " &amp; "),
         IF(COUNTIF(AF342, "*&amp;*"),
            _xlpm.val,
            SUBSTITUTE(_xlpm.val, ", ", " &amp; ")
         )
      )
   ),
"")</f>
        <v/>
      </c>
      <c r="AH342" s="115" t="str" cm="1">
        <f t="array" ref="AH342">IF(COUNTIF(AG104,"*V*"),
   _xlfn.LET(
      _xlpm.pos, SUMPRODUCT(--(LEN($C$104:AG104)&gt;0)),
      _xlpm.val, INDEX($C$158:$AK$158, _xlpm.pos),
      IF(AG342="",
         SUBSTITUTE(_xlpm.val, ", ", " &amp; "),
         IF(COUNTIF(AG342, "*&amp;*"),
            _xlpm.val,
            SUBSTITUTE(_xlpm.val, ", ", " &amp; ")
         )
      )
   ),
"")</f>
        <v/>
      </c>
      <c r="AI342" s="115" t="str" cm="1">
        <f t="array" ref="AI342">IF(COUNTIF(AH104,"*V*"),
   _xlfn.LET(
      _xlpm.pos, SUMPRODUCT(--(LEN($C$104:AH104)&gt;0)),
      _xlpm.val, INDEX($C$158:$AK$158, _xlpm.pos),
      IF(AH342="",
         SUBSTITUTE(_xlpm.val, ", ", " &amp; "),
         IF(COUNTIF(AH342, "*&amp;*"),
            _xlpm.val,
            SUBSTITUTE(_xlpm.val, ", ", " &amp; ")
         )
      )
   ),
"")</f>
        <v/>
      </c>
      <c r="AJ342" s="115" t="str" cm="1">
        <f t="array" ref="AJ342">IF(COUNTIF(AI104,"*V*"),
   _xlfn.LET(
      _xlpm.pos, SUMPRODUCT(--(LEN($C$104:AI104)&gt;0)),
      _xlpm.val, INDEX($C$158:$AK$158, _xlpm.pos),
      IF(AI342="",
         SUBSTITUTE(_xlpm.val, ", ", " &amp; "),
         IF(COUNTIF(AI342, "*&amp;*"),
            _xlpm.val,
            SUBSTITUTE(_xlpm.val, ", ", " &amp; ")
         )
      )
   ),
"")</f>
        <v/>
      </c>
      <c r="AK342" s="115" t="str" cm="1">
        <f t="array" ref="AK342">IF(COUNTIF(AJ104,"*V*"),
   _xlfn.LET(
      _xlpm.pos, SUMPRODUCT(--(LEN($C$104:AJ104)&gt;0)),
      _xlpm.val, INDEX($C$158:$AK$158, _xlpm.pos),
      IF(AJ342="",
         SUBSTITUTE(_xlpm.val, ", ", " &amp; "),
         IF(COUNTIF(AJ342, "*&amp;*"),
            _xlpm.val,
            SUBSTITUTE(_xlpm.val, ", ", " &amp; ")
         )
      )
   ),
"")</f>
        <v/>
      </c>
    </row>
    <row r="343" spans="1:37" ht="15.75" customHeight="1" thickBot="1" x14ac:dyDescent="0.4">
      <c r="A343" s="1197"/>
      <c r="B343" s="23">
        <v>12</v>
      </c>
      <c r="D343" s="115" t="str" cm="1">
        <f t="array" ref="D343">IF(COUNTIF(C105,"*V*"),
   _xlfn.LET(
      _xlpm.pos, SUMPRODUCT(--(LEN($C$105:C105)&gt;0)),
      _xlpm.val, INDEX($C$159:$AK$159, _xlpm.pos),
      IF(C343="",
         SUBSTITUTE(_xlpm.val, ", ", " &amp; "),
         IF(COUNTIF(C343, "*&amp;*"),
            _xlpm.val,
            SUBSTITUTE(_xlpm.val, ", ", " &amp; ")
         )
      )
   ),
"")</f>
        <v/>
      </c>
      <c r="E343" s="115" t="str" cm="1">
        <f t="array" ref="E343">IF(COUNTIF(D105,"*V*"),
   _xlfn.LET(
      _xlpm.pos, SUMPRODUCT(--(LEN($C$105:D105)&gt;0)),
      _xlpm.val, INDEX($C$159:$AK$159, _xlpm.pos),
      IF(D343="",
         SUBSTITUTE(_xlpm.val, ", ", " &amp; "),
         IF(COUNTIF(D343, "*&amp;*"),
            _xlpm.val,
            SUBSTITUTE(_xlpm.val, ", ", " &amp; ")
         )
      )
   ),
"")</f>
        <v/>
      </c>
      <c r="F343" s="115" t="str" cm="1">
        <f t="array" ref="F343">IF(COUNTIF(E105,"*V*"),
   _xlfn.LET(
      _xlpm.pos, SUMPRODUCT(--(LEN($C$105:E105)&gt;0)),
      _xlpm.val, INDEX($C$159:$AK$159, _xlpm.pos),
      IF(E343="",
         SUBSTITUTE(_xlpm.val, ", ", " &amp; "),
         IF(COUNTIF(E343, "*&amp;*"),
            _xlpm.val,
            SUBSTITUTE(_xlpm.val, ", ", " &amp; ")
         )
      )
   ),
"")</f>
        <v/>
      </c>
      <c r="G343" s="115" t="str" cm="1">
        <f t="array" ref="G343">IF(COUNTIF(F105,"*V*"),
   _xlfn.LET(
      _xlpm.pos, SUMPRODUCT(--(LEN($C$105:F105)&gt;0)),
      _xlpm.val, INDEX($C$159:$AK$159, _xlpm.pos),
      IF(F343="",
         SUBSTITUTE(_xlpm.val, ", ", " &amp; "),
         IF(COUNTIF(F343, "*&amp;*"),
            _xlpm.val,
            SUBSTITUTE(_xlpm.val, ", ", " &amp; ")
         )
      )
   ),
"")</f>
        <v/>
      </c>
      <c r="H343" s="115" t="str" cm="1">
        <f t="array" ref="H343">IF(COUNTIF(G105,"*V*"),
   _xlfn.LET(
      _xlpm.pos, SUMPRODUCT(--(LEN($C$105:G105)&gt;0)),
      _xlpm.val, INDEX($C$159:$AK$159, _xlpm.pos),
      IF(G343="",
         SUBSTITUTE(_xlpm.val, ", ", " &amp; "),
         IF(COUNTIF(G343, "*&amp;*"),
            _xlpm.val,
            SUBSTITUTE(_xlpm.val, ", ", " &amp; ")
         )
      )
   ),
"")</f>
        <v/>
      </c>
      <c r="I343" s="115" t="str" cm="1">
        <f t="array" ref="I343">IF(COUNTIF(H105,"*V*"),
   _xlfn.LET(
      _xlpm.pos, SUMPRODUCT(--(LEN($C$105:H105)&gt;0)),
      _xlpm.val, INDEX($C$159:$AK$159, _xlpm.pos),
      IF(H343="",
         SUBSTITUTE(_xlpm.val, ", ", " &amp; "),
         IF(COUNTIF(H343, "*&amp;*"),
            _xlpm.val,
            SUBSTITUTE(_xlpm.val, ", ", " &amp; ")
         )
      )
   ),
"")</f>
        <v/>
      </c>
      <c r="J343" s="115" t="str" cm="1">
        <f t="array" ref="J343">IF(COUNTIF(I105,"*V*"),
   _xlfn.LET(
      _xlpm.pos, SUMPRODUCT(--(LEN($C$105:I105)&gt;0)),
      _xlpm.val, INDEX($C$159:$AK$159, _xlpm.pos),
      IF(I343="",
         SUBSTITUTE(_xlpm.val, ", ", " &amp; "),
         IF(COUNTIF(I343, "*&amp;*"),
            _xlpm.val,
            SUBSTITUTE(_xlpm.val, ", ", " &amp; ")
         )
      )
   ),
"")</f>
        <v/>
      </c>
      <c r="K343" s="115" t="str" cm="1">
        <f t="array" ref="K343">IF(COUNTIF(J105,"*V*"),
   _xlfn.LET(
      _xlpm.pos, SUMPRODUCT(--(LEN($C$105:J105)&gt;0)),
      _xlpm.val, INDEX($C$159:$AK$159, _xlpm.pos),
      IF(J343="",
         SUBSTITUTE(_xlpm.val, ", ", " &amp; "),
         IF(COUNTIF(J343, "*&amp;*"),
            _xlpm.val,
            SUBSTITUTE(_xlpm.val, ", ", " &amp; ")
         )
      )
   ),
"")</f>
        <v/>
      </c>
      <c r="L343" s="115" t="str" cm="1">
        <f t="array" ref="L343">IF(COUNTIF(K105,"*V*"),
   _xlfn.LET(
      _xlpm.pos, SUMPRODUCT(--(LEN($C$105:K105)&gt;0)),
      _xlpm.val, INDEX($C$159:$AK$159, _xlpm.pos),
      IF(K343="",
         SUBSTITUTE(_xlpm.val, ", ", " &amp; "),
         IF(COUNTIF(K343, "*&amp;*"),
            _xlpm.val,
            SUBSTITUTE(_xlpm.val, ", ", " &amp; ")
         )
      )
   ),
"")</f>
        <v/>
      </c>
      <c r="M343" s="115" t="str" cm="1">
        <f t="array" ref="M343">IF(COUNTIF(L105,"*V*"),
   _xlfn.LET(
      _xlpm.pos, SUMPRODUCT(--(LEN($C$105:L105)&gt;0)),
      _xlpm.val, INDEX($C$159:$AK$159, _xlpm.pos),
      IF(L343="",
         SUBSTITUTE(_xlpm.val, ", ", " &amp; "),
         IF(COUNTIF(L343, "*&amp;*"),
            _xlpm.val,
            SUBSTITUTE(_xlpm.val, ", ", " &amp; ")
         )
      )
   ),
"")</f>
        <v/>
      </c>
      <c r="N343" s="115" t="str" cm="1">
        <f t="array" ref="N343">IF(COUNTIF(M105,"*V*"),
   _xlfn.LET(
      _xlpm.pos, SUMPRODUCT(--(LEN($C$105:M105)&gt;0)),
      _xlpm.val, INDEX($C$159:$AK$159, _xlpm.pos),
      IF(M343="",
         SUBSTITUTE(_xlpm.val, ", ", " &amp; "),
         IF(COUNTIF(M343, "*&amp;*"),
            _xlpm.val,
            SUBSTITUTE(_xlpm.val, ", ", " &amp; ")
         )
      )
   ),
"")</f>
        <v/>
      </c>
      <c r="O343" s="115" t="str" cm="1">
        <f t="array" ref="O343">IF(COUNTIF(N105,"*V*"),
   _xlfn.LET(
      _xlpm.pos, SUMPRODUCT(--(LEN($C$105:N105)&gt;0)),
      _xlpm.val, INDEX($C$159:$AK$159, _xlpm.pos),
      IF(N343="",
         SUBSTITUTE(_xlpm.val, ", ", " &amp; "),
         IF(COUNTIF(N343, "*&amp;*"),
            _xlpm.val,
            SUBSTITUTE(_xlpm.val, ", ", " &amp; ")
         )
      )
   ),
"")</f>
        <v/>
      </c>
      <c r="P343" s="115" t="str" cm="1">
        <f t="array" ref="P343">IF(COUNTIF(O105,"*V*"),
   _xlfn.LET(
      _xlpm.pos, SUMPRODUCT(--(LEN($C$105:O105)&gt;0)),
      _xlpm.val, INDEX($C$159:$AK$159, _xlpm.pos),
      IF(O343="",
         SUBSTITUTE(_xlpm.val, ", ", " &amp; "),
         IF(COUNTIF(O343, "*&amp;*"),
            _xlpm.val,
            SUBSTITUTE(_xlpm.val, ", ", " &amp; ")
         )
      )
   ),
"")</f>
        <v/>
      </c>
      <c r="Q343" s="115" t="str" cm="1">
        <f t="array" ref="Q343">IF(COUNTIF(P105,"*V*"),
   _xlfn.LET(
      _xlpm.pos, SUMPRODUCT(--(LEN($C$105:P105)&gt;0)),
      _xlpm.val, INDEX($C$159:$AK$159, _xlpm.pos),
      IF(P343="",
         SUBSTITUTE(_xlpm.val, ", ", " &amp; "),
         IF(COUNTIF(P343, "*&amp;*"),
            _xlpm.val,
            SUBSTITUTE(_xlpm.val, ", ", " &amp; ")
         )
      )
   ),
"")</f>
        <v/>
      </c>
      <c r="R343" s="115" t="str" cm="1">
        <f t="array" ref="R343">IF(COUNTIF(Q105,"*V*"),
   _xlfn.LET(
      _xlpm.pos, SUMPRODUCT(--(LEN($C$105:Q105)&gt;0)),
      _xlpm.val, INDEX($C$159:$AK$159, _xlpm.pos),
      IF(Q343="",
         SUBSTITUTE(_xlpm.val, ", ", " &amp; "),
         IF(COUNTIF(Q343, "*&amp;*"),
            _xlpm.val,
            SUBSTITUTE(_xlpm.val, ", ", " &amp; ")
         )
      )
   ),
"")</f>
        <v/>
      </c>
      <c r="S343" s="115" t="str" cm="1">
        <f t="array" ref="S343">IF(COUNTIF(R105,"*V*"),
   _xlfn.LET(
      _xlpm.pos, SUMPRODUCT(--(LEN($C$105:R105)&gt;0)),
      _xlpm.val, INDEX($C$159:$AK$159, _xlpm.pos),
      IF(R343="",
         SUBSTITUTE(_xlpm.val, ", ", " &amp; "),
         IF(COUNTIF(R343, "*&amp;*"),
            _xlpm.val,
            SUBSTITUTE(_xlpm.val, ", ", " &amp; ")
         )
      )
   ),
"")</f>
        <v/>
      </c>
      <c r="T343" s="115" t="str" cm="1">
        <f t="array" ref="T343">IF(COUNTIF(S105,"*V*"),
   _xlfn.LET(
      _xlpm.pos, SUMPRODUCT(--(LEN($C$105:S105)&gt;0)),
      _xlpm.val, INDEX($C$159:$AK$159, _xlpm.pos),
      IF(S343="",
         SUBSTITUTE(_xlpm.val, ", ", " &amp; "),
         IF(COUNTIF(S343, "*&amp;*"),
            _xlpm.val,
            SUBSTITUTE(_xlpm.val, ", ", " &amp; ")
         )
      )
   ),
"")</f>
        <v/>
      </c>
      <c r="U343" s="115" t="str" cm="1">
        <f t="array" ref="U343">IF(COUNTIF(T105,"*V*"),
   _xlfn.LET(
      _xlpm.pos, SUMPRODUCT(--(LEN($C$105:T105)&gt;0)),
      _xlpm.val, INDEX($C$159:$AK$159, _xlpm.pos),
      IF(T343="",
         SUBSTITUTE(_xlpm.val, ", ", " &amp; "),
         IF(COUNTIF(T343, "*&amp;*"),
            _xlpm.val,
            SUBSTITUTE(_xlpm.val, ", ", " &amp; ")
         )
      )
   ),
"")</f>
        <v/>
      </c>
      <c r="V343" s="115" t="str" cm="1">
        <f t="array" ref="V343">IF(COUNTIF(U105,"*V*"),
   _xlfn.LET(
      _xlpm.pos, SUMPRODUCT(--(LEN($C$105:U105)&gt;0)),
      _xlpm.val, INDEX($C$159:$AK$159, _xlpm.pos),
      IF(U343="",
         SUBSTITUTE(_xlpm.val, ", ", " &amp; "),
         IF(COUNTIF(U343, "*&amp;*"),
            _xlpm.val,
            SUBSTITUTE(_xlpm.val, ", ", " &amp; ")
         )
      )
   ),
"")</f>
        <v/>
      </c>
      <c r="W343" s="115" t="str" cm="1">
        <f t="array" ref="W343">IF(COUNTIF(V105,"*V*"),
   _xlfn.LET(
      _xlpm.pos, SUMPRODUCT(--(LEN($C$105:V105)&gt;0)),
      _xlpm.val, INDEX($C$159:$AK$159, _xlpm.pos),
      IF(V343="",
         SUBSTITUTE(_xlpm.val, ", ", " &amp; "),
         IF(COUNTIF(V343, "*&amp;*"),
            _xlpm.val,
            SUBSTITUTE(_xlpm.val, ", ", " &amp; ")
         )
      )
   ),
"")</f>
        <v/>
      </c>
      <c r="X343" s="115" t="str" cm="1">
        <f t="array" ref="X343">IF(COUNTIF(W105,"*V*"),
   _xlfn.LET(
      _xlpm.pos, SUMPRODUCT(--(LEN($C$105:W105)&gt;0)),
      _xlpm.val, INDEX($C$159:$AK$159, _xlpm.pos),
      IF(W343="",
         SUBSTITUTE(_xlpm.val, ", ", " &amp; "),
         IF(COUNTIF(W343, "*&amp;*"),
            _xlpm.val,
            SUBSTITUTE(_xlpm.val, ", ", " &amp; ")
         )
      )
   ),
"")</f>
        <v/>
      </c>
      <c r="Y343" s="115" t="str" cm="1">
        <f t="array" ref="Y343">IF(COUNTIF(X105,"*V*"),
   _xlfn.LET(
      _xlpm.pos, SUMPRODUCT(--(LEN($C$105:X105)&gt;0)),
      _xlpm.val, INDEX($C$159:$AK$159, _xlpm.pos),
      IF(X343="",
         SUBSTITUTE(_xlpm.val, ", ", " &amp; "),
         IF(COUNTIF(X343, "*&amp;*"),
            _xlpm.val,
            SUBSTITUTE(_xlpm.val, ", ", " &amp; ")
         )
      )
   ),
"")</f>
        <v/>
      </c>
      <c r="Z343" s="115" t="str" cm="1">
        <f t="array" ref="Z343">IF(COUNTIF(Y105,"*V*"),
   _xlfn.LET(
      _xlpm.pos, SUMPRODUCT(--(LEN($C$105:Y105)&gt;0)),
      _xlpm.val, INDEX($C$159:$AK$159, _xlpm.pos),
      IF(Y343="",
         SUBSTITUTE(_xlpm.val, ", ", " &amp; "),
         IF(COUNTIF(Y343, "*&amp;*"),
            _xlpm.val,
            SUBSTITUTE(_xlpm.val, ", ", " &amp; ")
         )
      )
   ),
"")</f>
        <v/>
      </c>
      <c r="AA343" s="115" t="str" cm="1">
        <f t="array" ref="AA343">IF(COUNTIF(Z105,"*V*"),
   _xlfn.LET(
      _xlpm.pos, SUMPRODUCT(--(LEN($C$105:Z105)&gt;0)),
      _xlpm.val, INDEX($C$159:$AK$159, _xlpm.pos),
      IF(Z343="",
         SUBSTITUTE(_xlpm.val, ", ", " &amp; "),
         IF(COUNTIF(Z343, "*&amp;*"),
            _xlpm.val,
            SUBSTITUTE(_xlpm.val, ", ", " &amp; ")
         )
      )
   ),
"")</f>
        <v/>
      </c>
      <c r="AB343" s="115" t="str" cm="1">
        <f t="array" ref="AB343">IF(COUNTIF(AA105,"*V*"),
   _xlfn.LET(
      _xlpm.pos, SUMPRODUCT(--(LEN($C$105:AA105)&gt;0)),
      _xlpm.val, INDEX($C$159:$AK$159, _xlpm.pos),
      IF(AA343="",
         SUBSTITUTE(_xlpm.val, ", ", " &amp; "),
         IF(COUNTIF(AA343, "*&amp;*"),
            _xlpm.val,
            SUBSTITUTE(_xlpm.val, ", ", " &amp; ")
         )
      )
   ),
"")</f>
        <v/>
      </c>
      <c r="AC343" s="115" t="str" cm="1">
        <f t="array" ref="AC343">IF(COUNTIF(AB105,"*V*"),
   _xlfn.LET(
      _xlpm.pos, SUMPRODUCT(--(LEN($C$105:AB105)&gt;0)),
      _xlpm.val, INDEX($C$159:$AK$159, _xlpm.pos),
      IF(AB343="",
         SUBSTITUTE(_xlpm.val, ", ", " &amp; "),
         IF(COUNTIF(AB343, "*&amp;*"),
            _xlpm.val,
            SUBSTITUTE(_xlpm.val, ", ", " &amp; ")
         )
      )
   ),
"")</f>
        <v/>
      </c>
      <c r="AD343" s="115" t="str" cm="1">
        <f t="array" ref="AD343">IF(COUNTIF(AC105,"*V*"),
   _xlfn.LET(
      _xlpm.pos, SUMPRODUCT(--(LEN($C$105:AC105)&gt;0)),
      _xlpm.val, INDEX($C$159:$AK$159, _xlpm.pos),
      IF(AC343="",
         SUBSTITUTE(_xlpm.val, ", ", " &amp; "),
         IF(COUNTIF(AC343, "*&amp;*"),
            _xlpm.val,
            SUBSTITUTE(_xlpm.val, ", ", " &amp; ")
         )
      )
   ),
"")</f>
        <v/>
      </c>
      <c r="AE343" s="115" t="str" cm="1">
        <f t="array" ref="AE343">IF(COUNTIF(AD105,"*V*"),
   _xlfn.LET(
      _xlpm.pos, SUMPRODUCT(--(LEN($C$105:AD105)&gt;0)),
      _xlpm.val, INDEX($C$159:$AK$159, _xlpm.pos),
      IF(AD343="",
         SUBSTITUTE(_xlpm.val, ", ", " &amp; "),
         IF(COUNTIF(AD343, "*&amp;*"),
            _xlpm.val,
            SUBSTITUTE(_xlpm.val, ", ", " &amp; ")
         )
      )
   ),
"")</f>
        <v/>
      </c>
      <c r="AF343" s="115" t="str" cm="1">
        <f t="array" ref="AF343">IF(COUNTIF(AE105,"*V*"),
   _xlfn.LET(
      _xlpm.pos, SUMPRODUCT(--(LEN($C$105:AE105)&gt;0)),
      _xlpm.val, INDEX($C$159:$AK$159, _xlpm.pos),
      IF(AE343="",
         SUBSTITUTE(_xlpm.val, ", ", " &amp; "),
         IF(COUNTIF(AE343, "*&amp;*"),
            _xlpm.val,
            SUBSTITUTE(_xlpm.val, ", ", " &amp; ")
         )
      )
   ),
"")</f>
        <v/>
      </c>
      <c r="AG343" s="115" t="str" cm="1">
        <f t="array" ref="AG343">IF(COUNTIF(AF105,"*V*"),
   _xlfn.LET(
      _xlpm.pos, SUMPRODUCT(--(LEN($C$105:AF105)&gt;0)),
      _xlpm.val, INDEX($C$159:$AK$159, _xlpm.pos),
      IF(AF343="",
         SUBSTITUTE(_xlpm.val, ", ", " &amp; "),
         IF(COUNTIF(AF343, "*&amp;*"),
            _xlpm.val,
            SUBSTITUTE(_xlpm.val, ", ", " &amp; ")
         )
      )
   ),
"")</f>
        <v/>
      </c>
      <c r="AH343" s="115" t="str" cm="1">
        <f t="array" ref="AH343">IF(COUNTIF(AG105,"*V*"),
   _xlfn.LET(
      _xlpm.pos, SUMPRODUCT(--(LEN($C$105:AG105)&gt;0)),
      _xlpm.val, INDEX($C$159:$AK$159, _xlpm.pos),
      IF(AG343="",
         SUBSTITUTE(_xlpm.val, ", ", " &amp; "),
         IF(COUNTIF(AG343, "*&amp;*"),
            _xlpm.val,
            SUBSTITUTE(_xlpm.val, ", ", " &amp; ")
         )
      )
   ),
"")</f>
        <v/>
      </c>
      <c r="AI343" s="115" t="str" cm="1">
        <f t="array" ref="AI343">IF(COUNTIF(AH105,"*V*"),
   _xlfn.LET(
      _xlpm.pos, SUMPRODUCT(--(LEN($C$105:AH105)&gt;0)),
      _xlpm.val, INDEX($C$159:$AK$159, _xlpm.pos),
      IF(AH343="",
         SUBSTITUTE(_xlpm.val, ", ", " &amp; "),
         IF(COUNTIF(AH343, "*&amp;*"),
            _xlpm.val,
            SUBSTITUTE(_xlpm.val, ", ", " &amp; ")
         )
      )
   ),
"")</f>
        <v/>
      </c>
      <c r="AJ343" s="115" t="str" cm="1">
        <f t="array" ref="AJ343">IF(COUNTIF(AI105,"*V*"),
   _xlfn.LET(
      _xlpm.pos, SUMPRODUCT(--(LEN($C$105:AI105)&gt;0)),
      _xlpm.val, INDEX($C$159:$AK$159, _xlpm.pos),
      IF(AI343="",
         SUBSTITUTE(_xlpm.val, ", ", " &amp; "),
         IF(COUNTIF(AI343, "*&amp;*"),
            _xlpm.val,
            SUBSTITUTE(_xlpm.val, ", ", " &amp; ")
         )
      )
   ),
"")</f>
        <v/>
      </c>
      <c r="AK343" s="115" t="str" cm="1">
        <f t="array" ref="AK343">IF(COUNTIF(AJ105,"*V*"),
   _xlfn.LET(
      _xlpm.pos, SUMPRODUCT(--(LEN($C$105:AJ105)&gt;0)),
      _xlpm.val, INDEX($C$159:$AK$159, _xlpm.pos),
      IF(AJ343="",
         SUBSTITUTE(_xlpm.val, ", ", " &amp; "),
         IF(COUNTIF(AJ343, "*&amp;*"),
            _xlpm.val,
            SUBSTITUTE(_xlpm.val, ", ", " &amp; ")
         )
      )
   ),
"")</f>
        <v/>
      </c>
    </row>
    <row r="344" spans="1:37" ht="10" customHeight="1" x14ac:dyDescent="0.35"/>
    <row r="345" spans="1:37" ht="10" customHeight="1" x14ac:dyDescent="0.35"/>
    <row r="346" spans="1:37" ht="10" customHeight="1" x14ac:dyDescent="0.35"/>
    <row r="347" spans="1:37" ht="10" customHeight="1" x14ac:dyDescent="0.35"/>
    <row r="348" spans="1:37" ht="10" customHeight="1" x14ac:dyDescent="0.35"/>
    <row r="349" spans="1:37" ht="10" customHeight="1" x14ac:dyDescent="0.35"/>
    <row r="350" spans="1:37" ht="15.75" customHeight="1" thickBot="1" x14ac:dyDescent="0.4">
      <c r="D350" s="1201" t="s">
        <v>823</v>
      </c>
      <c r="E350" s="1201"/>
      <c r="F350" s="1201"/>
      <c r="G350" s="1201"/>
      <c r="H350" s="1201"/>
      <c r="I350" s="1201"/>
      <c r="J350" s="1201"/>
      <c r="K350" s="1201"/>
      <c r="L350" s="1201"/>
      <c r="M350" s="1201"/>
      <c r="N350" s="1201"/>
      <c r="O350" s="1201"/>
      <c r="P350" s="1201"/>
      <c r="Q350" s="1201"/>
      <c r="R350" s="1201"/>
      <c r="S350" s="1201"/>
      <c r="T350" s="1201"/>
      <c r="U350" s="1201"/>
      <c r="V350" s="1201"/>
      <c r="W350" s="1201"/>
      <c r="X350" s="66"/>
      <c r="Y350" s="66"/>
      <c r="Z350" s="66"/>
      <c r="AA350" s="66"/>
      <c r="AB350" s="66"/>
      <c r="AC350" s="66"/>
      <c r="AD350" s="66"/>
      <c r="AE350" s="66"/>
      <c r="AF350" s="66"/>
    </row>
    <row r="351" spans="1:37" ht="15" customHeight="1" x14ac:dyDescent="0.35">
      <c r="A351" s="1202"/>
      <c r="B351" s="1203"/>
      <c r="D351" s="1206" t="s">
        <v>17</v>
      </c>
      <c r="E351" s="1207"/>
      <c r="F351" s="1207"/>
      <c r="G351" s="1207"/>
      <c r="H351" s="1207"/>
      <c r="I351" s="1207"/>
      <c r="J351" s="1207"/>
      <c r="K351" s="1207"/>
      <c r="L351" s="1207"/>
      <c r="M351" s="1207"/>
      <c r="N351" s="1207"/>
      <c r="O351" s="1207"/>
      <c r="P351" s="1207"/>
      <c r="Q351" s="1207"/>
      <c r="R351" s="1207"/>
      <c r="S351" s="1207"/>
      <c r="T351" s="1207"/>
      <c r="U351" s="1207"/>
      <c r="V351" s="1207"/>
      <c r="W351" s="1208"/>
      <c r="X351" s="6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8"/>
    </row>
    <row r="352" spans="1:37" ht="15.75" customHeight="1" thickBot="1" x14ac:dyDescent="0.4">
      <c r="A352" s="1204"/>
      <c r="B352" s="1205"/>
      <c r="D352" s="16">
        <v>1</v>
      </c>
      <c r="E352" s="17">
        <v>2</v>
      </c>
      <c r="F352" s="17">
        <v>3</v>
      </c>
      <c r="G352" s="17">
        <v>4</v>
      </c>
      <c r="H352" s="17">
        <v>5</v>
      </c>
      <c r="I352" s="17">
        <v>6</v>
      </c>
      <c r="J352" s="17">
        <v>7</v>
      </c>
      <c r="K352" s="17">
        <v>8</v>
      </c>
      <c r="L352" s="17">
        <v>9</v>
      </c>
      <c r="M352" s="17">
        <v>10</v>
      </c>
      <c r="N352" s="17">
        <v>11</v>
      </c>
      <c r="O352" s="17">
        <v>12</v>
      </c>
      <c r="P352" s="17">
        <v>13</v>
      </c>
      <c r="Q352" s="17">
        <v>14</v>
      </c>
      <c r="R352" s="17">
        <v>15</v>
      </c>
      <c r="S352" s="17">
        <v>16</v>
      </c>
      <c r="T352" s="17">
        <v>17</v>
      </c>
      <c r="U352" s="17">
        <v>18</v>
      </c>
      <c r="V352" s="17">
        <v>19</v>
      </c>
      <c r="W352" s="18">
        <v>20</v>
      </c>
      <c r="X352" s="17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20"/>
    </row>
    <row r="353" spans="1:40" ht="15" customHeight="1" thickBot="1" x14ac:dyDescent="0.4">
      <c r="A353" s="1196" t="s">
        <v>18</v>
      </c>
      <c r="B353" s="21">
        <v>1</v>
      </c>
      <c r="D353" s="40" t="str">
        <f>IF(AND(C332="",E332=""),"",IF(D332&lt;&gt;"",IF(E332&lt;&gt;"",SUBSTITUTE(D332,","," &amp;")&amp;SUBSTITUTE(E332," &amp;",","),""),""))</f>
        <v/>
      </c>
      <c r="E353" s="40" t="str">
        <f t="shared" ref="E353:AK353" si="56">IF(AND(D332="",F332=""),"",IF(E332&lt;&gt;"",IF(F332&lt;&gt;"",SUBSTITUTE(E332,","," &amp;")&amp;SUBSTITUTE(F332," &amp;",","),""),""))</f>
        <v/>
      </c>
      <c r="F353" s="40" t="str">
        <f t="shared" si="56"/>
        <v/>
      </c>
      <c r="G353" s="40" t="str">
        <f t="shared" si="56"/>
        <v/>
      </c>
      <c r="H353" s="40" t="str">
        <f t="shared" si="56"/>
        <v/>
      </c>
      <c r="I353" s="40" t="str">
        <f t="shared" si="56"/>
        <v/>
      </c>
      <c r="J353" s="40" t="str">
        <f t="shared" si="56"/>
        <v/>
      </c>
      <c r="K353" s="40" t="str">
        <f t="shared" si="56"/>
        <v/>
      </c>
      <c r="L353" s="40" t="str">
        <f t="shared" si="56"/>
        <v/>
      </c>
      <c r="M353" s="40" t="str">
        <f t="shared" si="56"/>
        <v/>
      </c>
      <c r="N353" s="40" t="str">
        <f t="shared" si="56"/>
        <v/>
      </c>
      <c r="O353" s="40" t="str">
        <f t="shared" si="56"/>
        <v/>
      </c>
      <c r="P353" s="40" t="str">
        <f t="shared" si="56"/>
        <v/>
      </c>
      <c r="Q353" s="40" t="str">
        <f t="shared" si="56"/>
        <v/>
      </c>
      <c r="R353" s="40" t="str">
        <f t="shared" si="56"/>
        <v/>
      </c>
      <c r="S353" s="40" t="str">
        <f t="shared" si="56"/>
        <v/>
      </c>
      <c r="T353" s="40" t="str">
        <f t="shared" si="56"/>
        <v/>
      </c>
      <c r="U353" s="40" t="str">
        <f t="shared" si="56"/>
        <v/>
      </c>
      <c r="V353" s="40" t="str">
        <f t="shared" si="56"/>
        <v/>
      </c>
      <c r="W353" s="40" t="str">
        <f t="shared" si="56"/>
        <v/>
      </c>
      <c r="X353" s="40" t="str">
        <f t="shared" si="56"/>
        <v/>
      </c>
      <c r="Y353" s="40" t="str">
        <f t="shared" si="56"/>
        <v/>
      </c>
      <c r="Z353" s="40" t="str">
        <f t="shared" si="56"/>
        <v/>
      </c>
      <c r="AA353" s="40" t="str">
        <f t="shared" si="56"/>
        <v/>
      </c>
      <c r="AB353" s="40" t="str">
        <f t="shared" si="56"/>
        <v/>
      </c>
      <c r="AC353" s="40" t="str">
        <f t="shared" si="56"/>
        <v/>
      </c>
      <c r="AD353" s="40" t="str">
        <f t="shared" si="56"/>
        <v/>
      </c>
      <c r="AE353" s="40" t="str">
        <f t="shared" si="56"/>
        <v/>
      </c>
      <c r="AF353" s="40" t="str">
        <f t="shared" si="56"/>
        <v/>
      </c>
      <c r="AG353" s="40" t="str">
        <f t="shared" si="56"/>
        <v/>
      </c>
      <c r="AH353" s="40" t="str">
        <f t="shared" si="56"/>
        <v/>
      </c>
      <c r="AI353" s="40" t="str">
        <f t="shared" si="56"/>
        <v/>
      </c>
      <c r="AJ353" s="40" t="str">
        <f t="shared" si="56"/>
        <v/>
      </c>
      <c r="AK353" s="40" t="str">
        <f t="shared" si="56"/>
        <v/>
      </c>
      <c r="AL353" s="62" t="str">
        <f>CONCATENATE(D353,E353,F353,G353,H353,I353,J353,K353,L353,M353,N353,O353,P353,Q353,R353,S353,T353,U353,V353,W353,X353,Y353,Z353,AA353,AB353,AC353,AD353,AE353,AF353,AG353,AH353,AI353,AJ353,AK353)</f>
        <v/>
      </c>
      <c r="AN353" s="112" t="str">
        <f>IF(AL353&lt;&gt;"",CONCATENATE("B1 (",LEFT(SUBSTITUTE(AL353,"B1",""),LEN(SUBSTITUTE(AL353,"B1",""))-2),"), "), "")</f>
        <v/>
      </c>
    </row>
    <row r="354" spans="1:40" ht="15" customHeight="1" thickBot="1" x14ac:dyDescent="0.4">
      <c r="A354" s="1196"/>
      <c r="B354" s="22">
        <v>2</v>
      </c>
      <c r="D354" s="40" t="str">
        <f t="shared" ref="D354:AK354" si="57">IF(AND(C333="",E333=""),"",IF(D333&lt;&gt;"",IF(E333&lt;&gt;"",SUBSTITUTE(D333,","," &amp;")&amp;SUBSTITUTE(E333," &amp;",","),""),""))</f>
        <v/>
      </c>
      <c r="E354" s="40" t="str">
        <f t="shared" si="57"/>
        <v/>
      </c>
      <c r="F354" s="40" t="str">
        <f t="shared" si="57"/>
        <v/>
      </c>
      <c r="G354" s="40" t="str">
        <f t="shared" si="57"/>
        <v/>
      </c>
      <c r="H354" s="40" t="str">
        <f t="shared" si="57"/>
        <v/>
      </c>
      <c r="I354" s="40" t="str">
        <f t="shared" si="57"/>
        <v/>
      </c>
      <c r="J354" s="40" t="str">
        <f t="shared" si="57"/>
        <v/>
      </c>
      <c r="K354" s="40" t="str">
        <f t="shared" si="57"/>
        <v/>
      </c>
      <c r="L354" s="40" t="str">
        <f t="shared" si="57"/>
        <v/>
      </c>
      <c r="M354" s="40" t="str">
        <f t="shared" si="57"/>
        <v/>
      </c>
      <c r="N354" s="40" t="str">
        <f t="shared" si="57"/>
        <v/>
      </c>
      <c r="O354" s="40" t="str">
        <f t="shared" si="57"/>
        <v/>
      </c>
      <c r="P354" s="40" t="str">
        <f t="shared" si="57"/>
        <v/>
      </c>
      <c r="Q354" s="40" t="str">
        <f t="shared" si="57"/>
        <v/>
      </c>
      <c r="R354" s="40" t="str">
        <f t="shared" si="57"/>
        <v/>
      </c>
      <c r="S354" s="40" t="str">
        <f t="shared" si="57"/>
        <v/>
      </c>
      <c r="T354" s="40" t="str">
        <f t="shared" si="57"/>
        <v/>
      </c>
      <c r="U354" s="40" t="str">
        <f t="shared" si="57"/>
        <v/>
      </c>
      <c r="V354" s="40" t="str">
        <f t="shared" si="57"/>
        <v/>
      </c>
      <c r="W354" s="40" t="str">
        <f t="shared" si="57"/>
        <v/>
      </c>
      <c r="X354" s="40" t="str">
        <f t="shared" si="57"/>
        <v/>
      </c>
      <c r="Y354" s="40" t="str">
        <f t="shared" si="57"/>
        <v/>
      </c>
      <c r="Z354" s="40" t="str">
        <f t="shared" si="57"/>
        <v/>
      </c>
      <c r="AA354" s="40" t="str">
        <f t="shared" si="57"/>
        <v/>
      </c>
      <c r="AB354" s="40" t="str">
        <f t="shared" si="57"/>
        <v/>
      </c>
      <c r="AC354" s="40" t="str">
        <f t="shared" si="57"/>
        <v/>
      </c>
      <c r="AD354" s="40" t="str">
        <f t="shared" si="57"/>
        <v/>
      </c>
      <c r="AE354" s="40" t="str">
        <f t="shared" si="57"/>
        <v/>
      </c>
      <c r="AF354" s="40" t="str">
        <f t="shared" si="57"/>
        <v/>
      </c>
      <c r="AG354" s="40" t="str">
        <f t="shared" si="57"/>
        <v/>
      </c>
      <c r="AH354" s="40" t="str">
        <f t="shared" si="57"/>
        <v/>
      </c>
      <c r="AI354" s="40" t="str">
        <f t="shared" si="57"/>
        <v/>
      </c>
      <c r="AJ354" s="40" t="str">
        <f t="shared" si="57"/>
        <v/>
      </c>
      <c r="AK354" s="40" t="str">
        <f t="shared" si="57"/>
        <v/>
      </c>
      <c r="AL354" s="62" t="str">
        <f t="shared" ref="AL354:AL364" si="58">CONCATENATE(D354,E354,F354,G354,H354,I354,J354,K354,L354,M354,N354,O354,P354,Q354,R354,S354,T354,U354,V354,W354,X354,Y354,Z354,AA354,AB354,AC354,AD354,AE354,AF354,AG354,AH354,AI354,AJ354,AK354)</f>
        <v/>
      </c>
      <c r="AN354" s="113" t="str">
        <f>IF(AL354&lt;&gt;"",CONCATENATE("B2 (",LEFT(SUBSTITUTE(AL354,"B2",""),LEN(SUBSTITUTE(AL354,"B2",""))-2),"), "), "")</f>
        <v/>
      </c>
    </row>
    <row r="355" spans="1:40" ht="15" customHeight="1" thickBot="1" x14ac:dyDescent="0.4">
      <c r="A355" s="1196"/>
      <c r="B355" s="22">
        <v>3</v>
      </c>
      <c r="D355" s="40" t="str">
        <f t="shared" ref="D355:AK355" si="59">IF(AND(C334="",E334=""),"",IF(D334&lt;&gt;"",IF(E334&lt;&gt;"",SUBSTITUTE(D334,","," &amp;")&amp;SUBSTITUTE(E334," &amp;",","),""),""))</f>
        <v/>
      </c>
      <c r="E355" s="40" t="str">
        <f t="shared" si="59"/>
        <v/>
      </c>
      <c r="F355" s="40" t="str">
        <f t="shared" si="59"/>
        <v/>
      </c>
      <c r="G355" s="40" t="str">
        <f t="shared" si="59"/>
        <v/>
      </c>
      <c r="H355" s="40" t="str">
        <f t="shared" si="59"/>
        <v/>
      </c>
      <c r="I355" s="40" t="str">
        <f t="shared" si="59"/>
        <v/>
      </c>
      <c r="J355" s="40" t="str">
        <f t="shared" si="59"/>
        <v/>
      </c>
      <c r="K355" s="40" t="str">
        <f t="shared" si="59"/>
        <v/>
      </c>
      <c r="L355" s="40" t="str">
        <f t="shared" si="59"/>
        <v/>
      </c>
      <c r="M355" s="40" t="str">
        <f t="shared" si="59"/>
        <v/>
      </c>
      <c r="N355" s="40" t="str">
        <f t="shared" si="59"/>
        <v/>
      </c>
      <c r="O355" s="40" t="str">
        <f t="shared" si="59"/>
        <v/>
      </c>
      <c r="P355" s="40" t="str">
        <f t="shared" si="59"/>
        <v/>
      </c>
      <c r="Q355" s="40" t="str">
        <f t="shared" si="59"/>
        <v/>
      </c>
      <c r="R355" s="40" t="str">
        <f t="shared" si="59"/>
        <v/>
      </c>
      <c r="S355" s="40" t="str">
        <f t="shared" si="59"/>
        <v/>
      </c>
      <c r="T355" s="40" t="str">
        <f t="shared" si="59"/>
        <v/>
      </c>
      <c r="U355" s="40" t="str">
        <f t="shared" si="59"/>
        <v/>
      </c>
      <c r="V355" s="40" t="str">
        <f t="shared" si="59"/>
        <v/>
      </c>
      <c r="W355" s="40" t="str">
        <f t="shared" si="59"/>
        <v/>
      </c>
      <c r="X355" s="40" t="str">
        <f t="shared" si="59"/>
        <v/>
      </c>
      <c r="Y355" s="40" t="str">
        <f t="shared" si="59"/>
        <v/>
      </c>
      <c r="Z355" s="40" t="str">
        <f t="shared" si="59"/>
        <v/>
      </c>
      <c r="AA355" s="40" t="str">
        <f t="shared" si="59"/>
        <v/>
      </c>
      <c r="AB355" s="40" t="str">
        <f t="shared" si="59"/>
        <v/>
      </c>
      <c r="AC355" s="40" t="str">
        <f t="shared" si="59"/>
        <v/>
      </c>
      <c r="AD355" s="40" t="str">
        <f t="shared" si="59"/>
        <v/>
      </c>
      <c r="AE355" s="40" t="str">
        <f t="shared" si="59"/>
        <v/>
      </c>
      <c r="AF355" s="40" t="str">
        <f t="shared" si="59"/>
        <v/>
      </c>
      <c r="AG355" s="40" t="str">
        <f t="shared" si="59"/>
        <v/>
      </c>
      <c r="AH355" s="40" t="str">
        <f t="shared" si="59"/>
        <v/>
      </c>
      <c r="AI355" s="40" t="str">
        <f t="shared" si="59"/>
        <v/>
      </c>
      <c r="AJ355" s="40" t="str">
        <f t="shared" si="59"/>
        <v/>
      </c>
      <c r="AK355" s="40" t="str">
        <f t="shared" si="59"/>
        <v/>
      </c>
      <c r="AL355" s="62" t="str">
        <f t="shared" si="58"/>
        <v/>
      </c>
      <c r="AN355" s="113" t="str">
        <f>IF(AL355&lt;&gt;"",CONCATENATE("B3 (",LEFT(SUBSTITUTE(AL355,"B3",""),LEN(SUBSTITUTE(AL355,"B3",""))-2),"), "), "")</f>
        <v/>
      </c>
    </row>
    <row r="356" spans="1:40" ht="15" customHeight="1" thickBot="1" x14ac:dyDescent="0.4">
      <c r="A356" s="1196"/>
      <c r="B356" s="22">
        <v>4</v>
      </c>
      <c r="D356" s="40" t="str">
        <f t="shared" ref="D356:AK356" si="60">IF(AND(C335="",E335=""),"",IF(D335&lt;&gt;"",IF(E335&lt;&gt;"",SUBSTITUTE(D335,","," &amp;")&amp;SUBSTITUTE(E335," &amp;",","),""),""))</f>
        <v/>
      </c>
      <c r="E356" s="40" t="str">
        <f t="shared" si="60"/>
        <v/>
      </c>
      <c r="F356" s="40" t="str">
        <f t="shared" si="60"/>
        <v/>
      </c>
      <c r="G356" s="40" t="str">
        <f t="shared" si="60"/>
        <v/>
      </c>
      <c r="H356" s="40" t="str">
        <f t="shared" si="60"/>
        <v/>
      </c>
      <c r="I356" s="40" t="str">
        <f t="shared" si="60"/>
        <v/>
      </c>
      <c r="J356" s="40" t="str">
        <f t="shared" si="60"/>
        <v/>
      </c>
      <c r="K356" s="40" t="str">
        <f t="shared" si="60"/>
        <v/>
      </c>
      <c r="L356" s="40" t="str">
        <f t="shared" si="60"/>
        <v/>
      </c>
      <c r="M356" s="40" t="str">
        <f t="shared" si="60"/>
        <v/>
      </c>
      <c r="N356" s="40" t="str">
        <f t="shared" si="60"/>
        <v/>
      </c>
      <c r="O356" s="40" t="str">
        <f t="shared" si="60"/>
        <v/>
      </c>
      <c r="P356" s="40" t="str">
        <f t="shared" si="60"/>
        <v/>
      </c>
      <c r="Q356" s="40" t="str">
        <f t="shared" si="60"/>
        <v/>
      </c>
      <c r="R356" s="40" t="str">
        <f t="shared" si="60"/>
        <v/>
      </c>
      <c r="S356" s="40" t="str">
        <f t="shared" si="60"/>
        <v/>
      </c>
      <c r="T356" s="40" t="str">
        <f t="shared" si="60"/>
        <v/>
      </c>
      <c r="U356" s="40" t="str">
        <f t="shared" si="60"/>
        <v/>
      </c>
      <c r="V356" s="40" t="str">
        <f t="shared" si="60"/>
        <v/>
      </c>
      <c r="W356" s="40" t="str">
        <f t="shared" si="60"/>
        <v/>
      </c>
      <c r="X356" s="40" t="str">
        <f t="shared" si="60"/>
        <v/>
      </c>
      <c r="Y356" s="40" t="str">
        <f t="shared" si="60"/>
        <v/>
      </c>
      <c r="Z356" s="40" t="str">
        <f t="shared" si="60"/>
        <v/>
      </c>
      <c r="AA356" s="40" t="str">
        <f t="shared" si="60"/>
        <v/>
      </c>
      <c r="AB356" s="40" t="str">
        <f t="shared" si="60"/>
        <v/>
      </c>
      <c r="AC356" s="40" t="str">
        <f t="shared" si="60"/>
        <v/>
      </c>
      <c r="AD356" s="40" t="str">
        <f t="shared" si="60"/>
        <v/>
      </c>
      <c r="AE356" s="40" t="str">
        <f t="shared" si="60"/>
        <v/>
      </c>
      <c r="AF356" s="40" t="str">
        <f t="shared" si="60"/>
        <v/>
      </c>
      <c r="AG356" s="40" t="str">
        <f t="shared" si="60"/>
        <v/>
      </c>
      <c r="AH356" s="40" t="str">
        <f t="shared" si="60"/>
        <v/>
      </c>
      <c r="AI356" s="40" t="str">
        <f t="shared" si="60"/>
        <v/>
      </c>
      <c r="AJ356" s="40" t="str">
        <f t="shared" si="60"/>
        <v/>
      </c>
      <c r="AK356" s="40" t="str">
        <f t="shared" si="60"/>
        <v/>
      </c>
      <c r="AL356" s="62" t="str">
        <f t="shared" si="58"/>
        <v/>
      </c>
      <c r="AN356" s="113" t="str">
        <f>IF(AL356&lt;&gt;"",CONCATENATE("B4 (",LEFT(SUBSTITUTE(AL356,"B4",""),LEN(SUBSTITUTE(AL356,"B4",""))-2),"), "), "")</f>
        <v/>
      </c>
    </row>
    <row r="357" spans="1:40" ht="15" customHeight="1" thickBot="1" x14ac:dyDescent="0.4">
      <c r="A357" s="1196"/>
      <c r="B357" s="22">
        <v>5</v>
      </c>
      <c r="D357" s="40" t="str">
        <f t="shared" ref="D357:AK357" si="61">IF(AND(C336="",E336=""),"",IF(D336&lt;&gt;"",IF(E336&lt;&gt;"",SUBSTITUTE(D336,","," &amp;")&amp;SUBSTITUTE(E336," &amp;",","),""),""))</f>
        <v/>
      </c>
      <c r="E357" s="40" t="str">
        <f t="shared" si="61"/>
        <v/>
      </c>
      <c r="F357" s="40" t="str">
        <f t="shared" si="61"/>
        <v/>
      </c>
      <c r="G357" s="40" t="str">
        <f t="shared" si="61"/>
        <v/>
      </c>
      <c r="H357" s="40" t="str">
        <f t="shared" si="61"/>
        <v/>
      </c>
      <c r="I357" s="40" t="str">
        <f t="shared" si="61"/>
        <v/>
      </c>
      <c r="J357" s="40" t="str">
        <f t="shared" si="61"/>
        <v/>
      </c>
      <c r="K357" s="40" t="str">
        <f t="shared" si="61"/>
        <v/>
      </c>
      <c r="L357" s="40" t="str">
        <f t="shared" si="61"/>
        <v/>
      </c>
      <c r="M357" s="40" t="str">
        <f t="shared" si="61"/>
        <v/>
      </c>
      <c r="N357" s="40" t="str">
        <f t="shared" si="61"/>
        <v/>
      </c>
      <c r="O357" s="40" t="str">
        <f t="shared" si="61"/>
        <v/>
      </c>
      <c r="P357" s="40" t="str">
        <f t="shared" si="61"/>
        <v/>
      </c>
      <c r="Q357" s="40" t="str">
        <f t="shared" si="61"/>
        <v/>
      </c>
      <c r="R357" s="40" t="str">
        <f t="shared" si="61"/>
        <v/>
      </c>
      <c r="S357" s="40" t="str">
        <f t="shared" si="61"/>
        <v/>
      </c>
      <c r="T357" s="40" t="str">
        <f t="shared" si="61"/>
        <v/>
      </c>
      <c r="U357" s="40" t="str">
        <f t="shared" si="61"/>
        <v/>
      </c>
      <c r="V357" s="40" t="str">
        <f t="shared" si="61"/>
        <v/>
      </c>
      <c r="W357" s="40" t="str">
        <f t="shared" si="61"/>
        <v/>
      </c>
      <c r="X357" s="40" t="str">
        <f t="shared" si="61"/>
        <v/>
      </c>
      <c r="Y357" s="40" t="str">
        <f t="shared" si="61"/>
        <v/>
      </c>
      <c r="Z357" s="40" t="str">
        <f t="shared" si="61"/>
        <v/>
      </c>
      <c r="AA357" s="40" t="str">
        <f t="shared" si="61"/>
        <v/>
      </c>
      <c r="AB357" s="40" t="str">
        <f t="shared" si="61"/>
        <v/>
      </c>
      <c r="AC357" s="40" t="str">
        <f t="shared" si="61"/>
        <v/>
      </c>
      <c r="AD357" s="40" t="str">
        <f t="shared" si="61"/>
        <v/>
      </c>
      <c r="AE357" s="40" t="str">
        <f t="shared" si="61"/>
        <v/>
      </c>
      <c r="AF357" s="40" t="str">
        <f t="shared" si="61"/>
        <v/>
      </c>
      <c r="AG357" s="40" t="str">
        <f t="shared" si="61"/>
        <v/>
      </c>
      <c r="AH357" s="40" t="str">
        <f t="shared" si="61"/>
        <v/>
      </c>
      <c r="AI357" s="40" t="str">
        <f t="shared" si="61"/>
        <v/>
      </c>
      <c r="AJ357" s="40" t="str">
        <f t="shared" si="61"/>
        <v/>
      </c>
      <c r="AK357" s="40" t="str">
        <f t="shared" si="61"/>
        <v/>
      </c>
      <c r="AL357" s="62" t="str">
        <f t="shared" si="58"/>
        <v/>
      </c>
      <c r="AN357" s="113" t="str">
        <f>IF(AL357&lt;&gt;"",CONCATENATE("B5 (",LEFT(SUBSTITUTE(AL357,"B5",""),LEN(SUBSTITUTE(AL357,"B5",""))-2),"), "), "")</f>
        <v/>
      </c>
    </row>
    <row r="358" spans="1:40" ht="15" customHeight="1" thickBot="1" x14ac:dyDescent="0.4">
      <c r="A358" s="1196"/>
      <c r="B358" s="22">
        <v>6</v>
      </c>
      <c r="D358" s="40" t="str">
        <f t="shared" ref="D358:AK358" si="62">IF(AND(C337="",E337=""),"",IF(D337&lt;&gt;"",IF(E337&lt;&gt;"",SUBSTITUTE(D337,","," &amp;")&amp;SUBSTITUTE(E337," &amp;",","),""),""))</f>
        <v/>
      </c>
      <c r="E358" s="40" t="str">
        <f t="shared" si="62"/>
        <v/>
      </c>
      <c r="F358" s="40" t="str">
        <f t="shared" si="62"/>
        <v/>
      </c>
      <c r="G358" s="40" t="str">
        <f t="shared" si="62"/>
        <v/>
      </c>
      <c r="H358" s="40" t="str">
        <f t="shared" si="62"/>
        <v/>
      </c>
      <c r="I358" s="40" t="str">
        <f t="shared" si="62"/>
        <v/>
      </c>
      <c r="J358" s="40" t="str">
        <f t="shared" si="62"/>
        <v/>
      </c>
      <c r="K358" s="40" t="str">
        <f t="shared" si="62"/>
        <v/>
      </c>
      <c r="L358" s="40" t="str">
        <f t="shared" si="62"/>
        <v/>
      </c>
      <c r="M358" s="40" t="str">
        <f t="shared" si="62"/>
        <v/>
      </c>
      <c r="N358" s="40" t="str">
        <f t="shared" si="62"/>
        <v/>
      </c>
      <c r="O358" s="40" t="str">
        <f t="shared" si="62"/>
        <v/>
      </c>
      <c r="P358" s="40" t="str">
        <f t="shared" si="62"/>
        <v/>
      </c>
      <c r="Q358" s="40" t="str">
        <f t="shared" si="62"/>
        <v/>
      </c>
      <c r="R358" s="40" t="str">
        <f t="shared" si="62"/>
        <v/>
      </c>
      <c r="S358" s="40" t="str">
        <f t="shared" si="62"/>
        <v/>
      </c>
      <c r="T358" s="40" t="str">
        <f t="shared" si="62"/>
        <v/>
      </c>
      <c r="U358" s="40" t="str">
        <f t="shared" si="62"/>
        <v/>
      </c>
      <c r="V358" s="40" t="str">
        <f t="shared" si="62"/>
        <v/>
      </c>
      <c r="W358" s="40" t="str">
        <f t="shared" si="62"/>
        <v/>
      </c>
      <c r="X358" s="40" t="str">
        <f t="shared" si="62"/>
        <v/>
      </c>
      <c r="Y358" s="40" t="str">
        <f t="shared" si="62"/>
        <v/>
      </c>
      <c r="Z358" s="40" t="str">
        <f t="shared" si="62"/>
        <v/>
      </c>
      <c r="AA358" s="40" t="str">
        <f t="shared" si="62"/>
        <v/>
      </c>
      <c r="AB358" s="40" t="str">
        <f t="shared" si="62"/>
        <v/>
      </c>
      <c r="AC358" s="40" t="str">
        <f t="shared" si="62"/>
        <v/>
      </c>
      <c r="AD358" s="40" t="str">
        <f t="shared" si="62"/>
        <v/>
      </c>
      <c r="AE358" s="40" t="str">
        <f t="shared" si="62"/>
        <v/>
      </c>
      <c r="AF358" s="40" t="str">
        <f t="shared" si="62"/>
        <v/>
      </c>
      <c r="AG358" s="40" t="str">
        <f t="shared" si="62"/>
        <v/>
      </c>
      <c r="AH358" s="40" t="str">
        <f t="shared" si="62"/>
        <v/>
      </c>
      <c r="AI358" s="40" t="str">
        <f t="shared" si="62"/>
        <v/>
      </c>
      <c r="AJ358" s="40" t="str">
        <f t="shared" si="62"/>
        <v/>
      </c>
      <c r="AK358" s="40" t="str">
        <f t="shared" si="62"/>
        <v/>
      </c>
      <c r="AL358" s="62" t="str">
        <f t="shared" si="58"/>
        <v/>
      </c>
      <c r="AN358" s="113" t="str">
        <f>IF(AL358&lt;&gt;"",CONCATENATE("B6 (",LEFT(SUBSTITUTE(AL358,"B6",""),LEN(SUBSTITUTE(AL358,"B6",""))-2),"), "), "")</f>
        <v/>
      </c>
    </row>
    <row r="359" spans="1:40" ht="15" customHeight="1" thickBot="1" x14ac:dyDescent="0.4">
      <c r="A359" s="1196"/>
      <c r="B359" s="22">
        <v>7</v>
      </c>
      <c r="D359" s="40" t="str">
        <f t="shared" ref="D359:AK359" si="63">IF(AND(C338="",E338=""),"",IF(D338&lt;&gt;"",IF(E338&lt;&gt;"",SUBSTITUTE(D338,","," &amp;")&amp;SUBSTITUTE(E338," &amp;",","),""),""))</f>
        <v/>
      </c>
      <c r="E359" s="40" t="str">
        <f t="shared" si="63"/>
        <v/>
      </c>
      <c r="F359" s="40" t="str">
        <f t="shared" si="63"/>
        <v/>
      </c>
      <c r="G359" s="40" t="str">
        <f t="shared" si="63"/>
        <v/>
      </c>
      <c r="H359" s="40" t="str">
        <f t="shared" si="63"/>
        <v/>
      </c>
      <c r="I359" s="40" t="str">
        <f t="shared" si="63"/>
        <v/>
      </c>
      <c r="J359" s="40" t="str">
        <f t="shared" si="63"/>
        <v/>
      </c>
      <c r="K359" s="40" t="str">
        <f t="shared" si="63"/>
        <v/>
      </c>
      <c r="L359" s="40" t="str">
        <f t="shared" si="63"/>
        <v/>
      </c>
      <c r="M359" s="40" t="str">
        <f t="shared" si="63"/>
        <v/>
      </c>
      <c r="N359" s="40" t="str">
        <f t="shared" si="63"/>
        <v/>
      </c>
      <c r="O359" s="40" t="str">
        <f t="shared" si="63"/>
        <v/>
      </c>
      <c r="P359" s="40" t="str">
        <f t="shared" si="63"/>
        <v/>
      </c>
      <c r="Q359" s="40" t="str">
        <f t="shared" si="63"/>
        <v/>
      </c>
      <c r="R359" s="40" t="str">
        <f t="shared" si="63"/>
        <v/>
      </c>
      <c r="S359" s="40" t="str">
        <f t="shared" si="63"/>
        <v/>
      </c>
      <c r="T359" s="40" t="str">
        <f t="shared" si="63"/>
        <v/>
      </c>
      <c r="U359" s="40" t="str">
        <f t="shared" si="63"/>
        <v/>
      </c>
      <c r="V359" s="40" t="str">
        <f t="shared" si="63"/>
        <v/>
      </c>
      <c r="W359" s="40" t="str">
        <f t="shared" si="63"/>
        <v/>
      </c>
      <c r="X359" s="40" t="str">
        <f t="shared" si="63"/>
        <v/>
      </c>
      <c r="Y359" s="40" t="str">
        <f t="shared" si="63"/>
        <v/>
      </c>
      <c r="Z359" s="40" t="str">
        <f t="shared" si="63"/>
        <v/>
      </c>
      <c r="AA359" s="40" t="str">
        <f t="shared" si="63"/>
        <v/>
      </c>
      <c r="AB359" s="40" t="str">
        <f t="shared" si="63"/>
        <v/>
      </c>
      <c r="AC359" s="40" t="str">
        <f t="shared" si="63"/>
        <v/>
      </c>
      <c r="AD359" s="40" t="str">
        <f t="shared" si="63"/>
        <v/>
      </c>
      <c r="AE359" s="40" t="str">
        <f t="shared" si="63"/>
        <v/>
      </c>
      <c r="AF359" s="40" t="str">
        <f t="shared" si="63"/>
        <v/>
      </c>
      <c r="AG359" s="40" t="str">
        <f t="shared" si="63"/>
        <v/>
      </c>
      <c r="AH359" s="40" t="str">
        <f t="shared" si="63"/>
        <v/>
      </c>
      <c r="AI359" s="40" t="str">
        <f t="shared" si="63"/>
        <v/>
      </c>
      <c r="AJ359" s="40" t="str">
        <f t="shared" si="63"/>
        <v/>
      </c>
      <c r="AK359" s="40" t="str">
        <f t="shared" si="63"/>
        <v/>
      </c>
      <c r="AL359" s="62" t="str">
        <f t="shared" si="58"/>
        <v/>
      </c>
      <c r="AN359" s="113" t="str">
        <f>IF(AL359&lt;&gt;"",CONCATENATE("B7 (",LEFT(SUBSTITUTE(AL359,"B7",""),LEN(SUBSTITUTE(AL359,"B7",""))-2),"), "), "")</f>
        <v/>
      </c>
    </row>
    <row r="360" spans="1:40" ht="10" customHeight="1" thickBot="1" x14ac:dyDescent="0.4">
      <c r="A360" s="1196"/>
      <c r="B360" s="22">
        <v>8</v>
      </c>
      <c r="D360" s="40" t="str">
        <f t="shared" ref="D360:AK360" si="64">IF(AND(C339="",E339=""),"",IF(D339&lt;&gt;"",IF(E339&lt;&gt;"",SUBSTITUTE(D339,","," &amp;")&amp;SUBSTITUTE(E339," &amp;",","),""),""))</f>
        <v/>
      </c>
      <c r="E360" s="40" t="str">
        <f t="shared" si="64"/>
        <v/>
      </c>
      <c r="F360" s="40" t="str">
        <f t="shared" si="64"/>
        <v/>
      </c>
      <c r="G360" s="40" t="str">
        <f t="shared" si="64"/>
        <v/>
      </c>
      <c r="H360" s="40" t="str">
        <f t="shared" si="64"/>
        <v/>
      </c>
      <c r="I360" s="40" t="str">
        <f t="shared" si="64"/>
        <v/>
      </c>
      <c r="J360" s="40" t="str">
        <f t="shared" si="64"/>
        <v/>
      </c>
      <c r="K360" s="40" t="str">
        <f t="shared" si="64"/>
        <v/>
      </c>
      <c r="L360" s="40" t="str">
        <f t="shared" si="64"/>
        <v/>
      </c>
      <c r="M360" s="40" t="str">
        <f t="shared" si="64"/>
        <v/>
      </c>
      <c r="N360" s="40" t="str">
        <f t="shared" si="64"/>
        <v/>
      </c>
      <c r="O360" s="40" t="str">
        <f t="shared" si="64"/>
        <v/>
      </c>
      <c r="P360" s="40" t="str">
        <f t="shared" si="64"/>
        <v/>
      </c>
      <c r="Q360" s="40" t="str">
        <f t="shared" si="64"/>
        <v/>
      </c>
      <c r="R360" s="40" t="str">
        <f t="shared" si="64"/>
        <v/>
      </c>
      <c r="S360" s="40" t="str">
        <f t="shared" si="64"/>
        <v/>
      </c>
      <c r="T360" s="40" t="str">
        <f t="shared" si="64"/>
        <v/>
      </c>
      <c r="U360" s="40" t="str">
        <f t="shared" si="64"/>
        <v/>
      </c>
      <c r="V360" s="40" t="str">
        <f t="shared" si="64"/>
        <v/>
      </c>
      <c r="W360" s="40" t="str">
        <f t="shared" si="64"/>
        <v/>
      </c>
      <c r="X360" s="40" t="str">
        <f t="shared" si="64"/>
        <v/>
      </c>
      <c r="Y360" s="40" t="str">
        <f t="shared" si="64"/>
        <v/>
      </c>
      <c r="Z360" s="40" t="str">
        <f t="shared" si="64"/>
        <v/>
      </c>
      <c r="AA360" s="40" t="str">
        <f t="shared" si="64"/>
        <v/>
      </c>
      <c r="AB360" s="40" t="str">
        <f t="shared" si="64"/>
        <v/>
      </c>
      <c r="AC360" s="40" t="str">
        <f t="shared" si="64"/>
        <v/>
      </c>
      <c r="AD360" s="40" t="str">
        <f t="shared" si="64"/>
        <v/>
      </c>
      <c r="AE360" s="40" t="str">
        <f t="shared" si="64"/>
        <v/>
      </c>
      <c r="AF360" s="40" t="str">
        <f t="shared" si="64"/>
        <v/>
      </c>
      <c r="AG360" s="40" t="str">
        <f t="shared" si="64"/>
        <v/>
      </c>
      <c r="AH360" s="40" t="str">
        <f t="shared" si="64"/>
        <v/>
      </c>
      <c r="AI360" s="40" t="str">
        <f t="shared" si="64"/>
        <v/>
      </c>
      <c r="AJ360" s="40" t="str">
        <f t="shared" si="64"/>
        <v/>
      </c>
      <c r="AK360" s="40" t="str">
        <f t="shared" si="64"/>
        <v/>
      </c>
      <c r="AL360" s="62" t="str">
        <f t="shared" si="58"/>
        <v/>
      </c>
      <c r="AN360" s="113" t="str">
        <f>IF(AL360&lt;&gt;"",CONCATENATE("B8 (",LEFT(SUBSTITUTE(AL360,"B8",""),LEN(SUBSTITUTE(AL360,"B8",""))-2),"), "), "")</f>
        <v/>
      </c>
    </row>
    <row r="361" spans="1:40" ht="15" customHeight="1" thickBot="1" x14ac:dyDescent="0.4">
      <c r="A361" s="1196"/>
      <c r="B361" s="22">
        <v>9</v>
      </c>
      <c r="D361" s="40" t="str">
        <f t="shared" ref="D361:AK361" si="65">IF(AND(C340="",E340=""),"",IF(D340&lt;&gt;"",IF(E340&lt;&gt;"",SUBSTITUTE(D340,","," &amp;")&amp;SUBSTITUTE(E340," &amp;",","),""),""))</f>
        <v/>
      </c>
      <c r="E361" s="40" t="str">
        <f t="shared" si="65"/>
        <v/>
      </c>
      <c r="F361" s="40" t="str">
        <f t="shared" si="65"/>
        <v/>
      </c>
      <c r="G361" s="40" t="str">
        <f t="shared" si="65"/>
        <v/>
      </c>
      <c r="H361" s="40" t="str">
        <f t="shared" si="65"/>
        <v/>
      </c>
      <c r="I361" s="40" t="str">
        <f t="shared" si="65"/>
        <v/>
      </c>
      <c r="J361" s="40" t="str">
        <f t="shared" si="65"/>
        <v/>
      </c>
      <c r="K361" s="40" t="str">
        <f t="shared" si="65"/>
        <v/>
      </c>
      <c r="L361" s="40" t="str">
        <f t="shared" si="65"/>
        <v/>
      </c>
      <c r="M361" s="40" t="str">
        <f t="shared" si="65"/>
        <v/>
      </c>
      <c r="N361" s="40" t="str">
        <f t="shared" si="65"/>
        <v/>
      </c>
      <c r="O361" s="40" t="str">
        <f t="shared" si="65"/>
        <v/>
      </c>
      <c r="P361" s="40" t="str">
        <f t="shared" si="65"/>
        <v/>
      </c>
      <c r="Q361" s="40" t="str">
        <f t="shared" si="65"/>
        <v/>
      </c>
      <c r="R361" s="40" t="str">
        <f t="shared" si="65"/>
        <v/>
      </c>
      <c r="S361" s="40" t="str">
        <f t="shared" si="65"/>
        <v/>
      </c>
      <c r="T361" s="40" t="str">
        <f t="shared" si="65"/>
        <v/>
      </c>
      <c r="U361" s="40" t="str">
        <f t="shared" si="65"/>
        <v/>
      </c>
      <c r="V361" s="40" t="str">
        <f t="shared" si="65"/>
        <v/>
      </c>
      <c r="W361" s="40" t="str">
        <f t="shared" si="65"/>
        <v/>
      </c>
      <c r="X361" s="40" t="str">
        <f t="shared" si="65"/>
        <v/>
      </c>
      <c r="Y361" s="40" t="str">
        <f t="shared" si="65"/>
        <v/>
      </c>
      <c r="Z361" s="40" t="str">
        <f t="shared" si="65"/>
        <v/>
      </c>
      <c r="AA361" s="40" t="str">
        <f t="shared" si="65"/>
        <v/>
      </c>
      <c r="AB361" s="40" t="str">
        <f t="shared" si="65"/>
        <v/>
      </c>
      <c r="AC361" s="40" t="str">
        <f t="shared" si="65"/>
        <v/>
      </c>
      <c r="AD361" s="40" t="str">
        <f t="shared" si="65"/>
        <v/>
      </c>
      <c r="AE361" s="40" t="str">
        <f t="shared" si="65"/>
        <v/>
      </c>
      <c r="AF361" s="40" t="str">
        <f t="shared" si="65"/>
        <v/>
      </c>
      <c r="AG361" s="40" t="str">
        <f t="shared" si="65"/>
        <v/>
      </c>
      <c r="AH361" s="40" t="str">
        <f t="shared" si="65"/>
        <v/>
      </c>
      <c r="AI361" s="40" t="str">
        <f t="shared" si="65"/>
        <v/>
      </c>
      <c r="AJ361" s="40" t="str">
        <f t="shared" si="65"/>
        <v/>
      </c>
      <c r="AK361" s="40" t="str">
        <f t="shared" si="65"/>
        <v/>
      </c>
      <c r="AL361" s="62" t="str">
        <f t="shared" si="58"/>
        <v/>
      </c>
      <c r="AN361" s="113" t="str">
        <f>IF(AL361&lt;&gt;"",CONCATENATE("B9 (",LEFT(SUBSTITUTE(AL361,"B9",""),LEN(SUBSTITUTE(AL361,"B9",""))-2),"), "), "")</f>
        <v/>
      </c>
    </row>
    <row r="362" spans="1:40" ht="15" customHeight="1" thickBot="1" x14ac:dyDescent="0.4">
      <c r="A362" s="1196"/>
      <c r="B362" s="22">
        <v>10</v>
      </c>
      <c r="D362" s="40" t="str">
        <f t="shared" ref="D362:AK362" si="66">IF(AND(C341="",E341=""),"",IF(D341&lt;&gt;"",IF(E341&lt;&gt;"",SUBSTITUTE(D341,","," &amp;")&amp;SUBSTITUTE(E341," &amp;",","),""),""))</f>
        <v/>
      </c>
      <c r="E362" s="40" t="str">
        <f t="shared" si="66"/>
        <v/>
      </c>
      <c r="F362" s="40" t="str">
        <f t="shared" si="66"/>
        <v/>
      </c>
      <c r="G362" s="40" t="str">
        <f t="shared" si="66"/>
        <v/>
      </c>
      <c r="H362" s="40" t="str">
        <f t="shared" si="66"/>
        <v/>
      </c>
      <c r="I362" s="40" t="str">
        <f t="shared" si="66"/>
        <v/>
      </c>
      <c r="J362" s="40" t="str">
        <f t="shared" si="66"/>
        <v/>
      </c>
      <c r="K362" s="40" t="str">
        <f t="shared" si="66"/>
        <v/>
      </c>
      <c r="L362" s="40" t="str">
        <f t="shared" si="66"/>
        <v/>
      </c>
      <c r="M362" s="40" t="str">
        <f t="shared" si="66"/>
        <v/>
      </c>
      <c r="N362" s="40" t="str">
        <f t="shared" si="66"/>
        <v/>
      </c>
      <c r="O362" s="40" t="str">
        <f t="shared" si="66"/>
        <v/>
      </c>
      <c r="P362" s="40" t="str">
        <f t="shared" si="66"/>
        <v/>
      </c>
      <c r="Q362" s="40" t="str">
        <f t="shared" si="66"/>
        <v/>
      </c>
      <c r="R362" s="40" t="str">
        <f t="shared" si="66"/>
        <v/>
      </c>
      <c r="S362" s="40" t="str">
        <f t="shared" si="66"/>
        <v/>
      </c>
      <c r="T362" s="40" t="str">
        <f t="shared" si="66"/>
        <v/>
      </c>
      <c r="U362" s="40" t="str">
        <f t="shared" si="66"/>
        <v/>
      </c>
      <c r="V362" s="40" t="str">
        <f t="shared" si="66"/>
        <v/>
      </c>
      <c r="W362" s="40" t="str">
        <f t="shared" si="66"/>
        <v/>
      </c>
      <c r="X362" s="40" t="str">
        <f t="shared" si="66"/>
        <v/>
      </c>
      <c r="Y362" s="40" t="str">
        <f t="shared" si="66"/>
        <v/>
      </c>
      <c r="Z362" s="40" t="str">
        <f t="shared" si="66"/>
        <v/>
      </c>
      <c r="AA362" s="40" t="str">
        <f t="shared" si="66"/>
        <v/>
      </c>
      <c r="AB362" s="40" t="str">
        <f t="shared" si="66"/>
        <v/>
      </c>
      <c r="AC362" s="40" t="str">
        <f t="shared" si="66"/>
        <v/>
      </c>
      <c r="AD362" s="40" t="str">
        <f t="shared" si="66"/>
        <v/>
      </c>
      <c r="AE362" s="40" t="str">
        <f t="shared" si="66"/>
        <v/>
      </c>
      <c r="AF362" s="40" t="str">
        <f t="shared" si="66"/>
        <v/>
      </c>
      <c r="AG362" s="40" t="str">
        <f t="shared" si="66"/>
        <v/>
      </c>
      <c r="AH362" s="40" t="str">
        <f t="shared" si="66"/>
        <v/>
      </c>
      <c r="AI362" s="40" t="str">
        <f t="shared" si="66"/>
        <v/>
      </c>
      <c r="AJ362" s="40" t="str">
        <f t="shared" si="66"/>
        <v/>
      </c>
      <c r="AK362" s="40" t="str">
        <f t="shared" si="66"/>
        <v/>
      </c>
      <c r="AL362" s="62" t="str">
        <f t="shared" si="58"/>
        <v/>
      </c>
      <c r="AN362" s="113" t="str">
        <f>IF(AL362&lt;&gt;"",CONCATENATE("B10 (",LEFT(SUBSTITUTE(AL362,"B10",""),LEN(SUBSTITUTE(AL362,"B10",""))-2), "),"), "")</f>
        <v/>
      </c>
    </row>
    <row r="363" spans="1:40" ht="15" customHeight="1" thickBot="1" x14ac:dyDescent="0.4">
      <c r="A363" s="1196"/>
      <c r="B363" s="22">
        <v>11</v>
      </c>
      <c r="D363" s="40" t="str">
        <f t="shared" ref="D363:AK363" si="67">IF(AND(C342="",E342=""),"",IF(D342&lt;&gt;"",IF(E342&lt;&gt;"",SUBSTITUTE(D342,","," &amp;")&amp;SUBSTITUTE(E342," &amp;",","),""),""))</f>
        <v/>
      </c>
      <c r="E363" s="40" t="str">
        <f t="shared" si="67"/>
        <v/>
      </c>
      <c r="F363" s="40" t="str">
        <f t="shared" si="67"/>
        <v/>
      </c>
      <c r="G363" s="40" t="str">
        <f t="shared" si="67"/>
        <v/>
      </c>
      <c r="H363" s="40" t="str">
        <f t="shared" si="67"/>
        <v/>
      </c>
      <c r="I363" s="40" t="str">
        <f t="shared" si="67"/>
        <v/>
      </c>
      <c r="J363" s="40" t="str">
        <f t="shared" si="67"/>
        <v/>
      </c>
      <c r="K363" s="40" t="str">
        <f t="shared" si="67"/>
        <v/>
      </c>
      <c r="L363" s="40" t="str">
        <f t="shared" si="67"/>
        <v/>
      </c>
      <c r="M363" s="40" t="str">
        <f t="shared" si="67"/>
        <v/>
      </c>
      <c r="N363" s="40" t="str">
        <f t="shared" si="67"/>
        <v/>
      </c>
      <c r="O363" s="40" t="str">
        <f t="shared" si="67"/>
        <v/>
      </c>
      <c r="P363" s="40" t="str">
        <f t="shared" si="67"/>
        <v/>
      </c>
      <c r="Q363" s="40" t="str">
        <f t="shared" si="67"/>
        <v/>
      </c>
      <c r="R363" s="40" t="str">
        <f t="shared" si="67"/>
        <v/>
      </c>
      <c r="S363" s="40" t="str">
        <f t="shared" si="67"/>
        <v/>
      </c>
      <c r="T363" s="40" t="str">
        <f t="shared" si="67"/>
        <v/>
      </c>
      <c r="U363" s="40" t="str">
        <f t="shared" si="67"/>
        <v/>
      </c>
      <c r="V363" s="40" t="str">
        <f t="shared" si="67"/>
        <v/>
      </c>
      <c r="W363" s="40" t="str">
        <f t="shared" si="67"/>
        <v/>
      </c>
      <c r="X363" s="40" t="str">
        <f t="shared" si="67"/>
        <v/>
      </c>
      <c r="Y363" s="40" t="str">
        <f t="shared" si="67"/>
        <v/>
      </c>
      <c r="Z363" s="40" t="str">
        <f t="shared" si="67"/>
        <v/>
      </c>
      <c r="AA363" s="40" t="str">
        <f t="shared" si="67"/>
        <v/>
      </c>
      <c r="AB363" s="40" t="str">
        <f t="shared" si="67"/>
        <v/>
      </c>
      <c r="AC363" s="40" t="str">
        <f t="shared" si="67"/>
        <v/>
      </c>
      <c r="AD363" s="40" t="str">
        <f t="shared" si="67"/>
        <v/>
      </c>
      <c r="AE363" s="40" t="str">
        <f t="shared" si="67"/>
        <v/>
      </c>
      <c r="AF363" s="40" t="str">
        <f t="shared" si="67"/>
        <v/>
      </c>
      <c r="AG363" s="40" t="str">
        <f t="shared" si="67"/>
        <v/>
      </c>
      <c r="AH363" s="40" t="str">
        <f t="shared" si="67"/>
        <v/>
      </c>
      <c r="AI363" s="40" t="str">
        <f t="shared" si="67"/>
        <v/>
      </c>
      <c r="AJ363" s="40" t="str">
        <f t="shared" si="67"/>
        <v/>
      </c>
      <c r="AK363" s="40" t="str">
        <f t="shared" si="67"/>
        <v/>
      </c>
      <c r="AL363" s="62" t="str">
        <f t="shared" si="58"/>
        <v/>
      </c>
      <c r="AN363" s="113" t="str">
        <f>IF(AL363&lt;&gt;"",CONCATENATE("B11 (",LEFT(SUBSTITUTE(AL363,"B11",""),LEN(SUBSTITUTE(AL363,"B11",""))-2), "),"), "")</f>
        <v/>
      </c>
    </row>
    <row r="364" spans="1:40" ht="15.75" customHeight="1" thickBot="1" x14ac:dyDescent="0.4">
      <c r="A364" s="1197"/>
      <c r="B364" s="23">
        <v>12</v>
      </c>
      <c r="D364" s="40" t="str">
        <f t="shared" ref="D364:AK364" si="68">IF(AND(C343="",E343=""),"",IF(D343&lt;&gt;"",IF(E343&lt;&gt;"",SUBSTITUTE(D343,","," &amp;")&amp;SUBSTITUTE(E343," &amp;",","),""),""))</f>
        <v/>
      </c>
      <c r="E364" s="40" t="str">
        <f t="shared" si="68"/>
        <v/>
      </c>
      <c r="F364" s="40" t="str">
        <f t="shared" si="68"/>
        <v/>
      </c>
      <c r="G364" s="40" t="str">
        <f t="shared" si="68"/>
        <v/>
      </c>
      <c r="H364" s="40" t="str">
        <f t="shared" si="68"/>
        <v/>
      </c>
      <c r="I364" s="40" t="str">
        <f t="shared" si="68"/>
        <v/>
      </c>
      <c r="J364" s="40" t="str">
        <f t="shared" si="68"/>
        <v/>
      </c>
      <c r="K364" s="40" t="str">
        <f t="shared" si="68"/>
        <v/>
      </c>
      <c r="L364" s="40" t="str">
        <f t="shared" si="68"/>
        <v/>
      </c>
      <c r="M364" s="40" t="str">
        <f t="shared" si="68"/>
        <v/>
      </c>
      <c r="N364" s="40" t="str">
        <f t="shared" si="68"/>
        <v/>
      </c>
      <c r="O364" s="40" t="str">
        <f t="shared" si="68"/>
        <v/>
      </c>
      <c r="P364" s="40" t="str">
        <f t="shared" si="68"/>
        <v/>
      </c>
      <c r="Q364" s="40" t="str">
        <f t="shared" si="68"/>
        <v/>
      </c>
      <c r="R364" s="40" t="str">
        <f t="shared" si="68"/>
        <v/>
      </c>
      <c r="S364" s="40" t="str">
        <f t="shared" si="68"/>
        <v/>
      </c>
      <c r="T364" s="40" t="str">
        <f t="shared" si="68"/>
        <v/>
      </c>
      <c r="U364" s="40" t="str">
        <f t="shared" si="68"/>
        <v/>
      </c>
      <c r="V364" s="40" t="str">
        <f t="shared" si="68"/>
        <v/>
      </c>
      <c r="W364" s="40" t="str">
        <f t="shared" si="68"/>
        <v/>
      </c>
      <c r="X364" s="40" t="str">
        <f t="shared" si="68"/>
        <v/>
      </c>
      <c r="Y364" s="40" t="str">
        <f t="shared" si="68"/>
        <v/>
      </c>
      <c r="Z364" s="40" t="str">
        <f t="shared" si="68"/>
        <v/>
      </c>
      <c r="AA364" s="40" t="str">
        <f t="shared" si="68"/>
        <v/>
      </c>
      <c r="AB364" s="40" t="str">
        <f t="shared" si="68"/>
        <v/>
      </c>
      <c r="AC364" s="40" t="str">
        <f t="shared" si="68"/>
        <v/>
      </c>
      <c r="AD364" s="40" t="str">
        <f t="shared" si="68"/>
        <v/>
      </c>
      <c r="AE364" s="40" t="str">
        <f t="shared" si="68"/>
        <v/>
      </c>
      <c r="AF364" s="40" t="str">
        <f t="shared" si="68"/>
        <v/>
      </c>
      <c r="AG364" s="40" t="str">
        <f t="shared" si="68"/>
        <v/>
      </c>
      <c r="AH364" s="40" t="str">
        <f t="shared" si="68"/>
        <v/>
      </c>
      <c r="AI364" s="40" t="str">
        <f t="shared" si="68"/>
        <v/>
      </c>
      <c r="AJ364" s="40" t="str">
        <f t="shared" si="68"/>
        <v/>
      </c>
      <c r="AK364" s="40" t="str">
        <f t="shared" si="68"/>
        <v/>
      </c>
      <c r="AL364" s="62" t="str">
        <f t="shared" si="58"/>
        <v/>
      </c>
      <c r="AN364" s="113" t="str">
        <f>IF(AL364&lt;&gt;"",CONCATENATE("B12 (",LEFT(SUBSTITUTE(AL364,"B12",""),LEN(SUBSTITUTE(AL364,"B12",""))-2), "),"), "")</f>
        <v/>
      </c>
    </row>
    <row r="365" spans="1:40" ht="15" customHeight="1" x14ac:dyDescent="0.35">
      <c r="AN365" s="113" t="str">
        <f>CONCATENATE(AN353,AN354,AN355,AN356,AN357,AN358,AN359,AN360,AN361,AN362,AN363,AN364)</f>
        <v/>
      </c>
    </row>
    <row r="366" spans="1:40" ht="15" customHeight="1" thickBot="1" x14ac:dyDescent="0.4">
      <c r="G366" s="65"/>
      <c r="AN366" s="113" t="str">
        <f>IF(LEN(AN365)&gt;8,LEFT(CONCATENATE(AN353,AN354,AN355,AN356,AN357,AN358,AN359,AN360,AN361,AN362,AN363,AN364),LEN(CONCATENATE(AN353,AN354,AN355,AN356,AN357,AN358,AN359,AN360,AN361,AN362,AN363,AN364))-2),"")</f>
        <v/>
      </c>
    </row>
    <row r="367" spans="1:40" ht="15" customHeight="1" x14ac:dyDescent="0.35">
      <c r="A367" s="1202"/>
      <c r="B367" s="1203"/>
      <c r="C367" s="1207" t="s">
        <v>17</v>
      </c>
      <c r="D367" s="1207"/>
      <c r="E367" s="1207"/>
      <c r="F367" s="1207"/>
      <c r="G367" s="1207"/>
      <c r="H367" s="1207"/>
      <c r="I367" s="1207"/>
      <c r="J367" s="1207"/>
      <c r="K367" s="1207"/>
      <c r="L367" s="1207"/>
      <c r="M367" s="1207"/>
      <c r="N367" s="1207"/>
      <c r="O367" s="1207"/>
      <c r="P367" s="1207"/>
      <c r="Q367" s="1207"/>
      <c r="R367" s="1207"/>
      <c r="S367" s="1207"/>
      <c r="T367" s="1207"/>
      <c r="U367" s="1207"/>
      <c r="V367" s="1208"/>
      <c r="W367" s="6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8"/>
      <c r="AN367" s="113"/>
    </row>
    <row r="368" spans="1:40" ht="15.75" customHeight="1" thickBot="1" x14ac:dyDescent="0.4">
      <c r="A368" s="1204"/>
      <c r="B368" s="1205"/>
      <c r="C368" s="16">
        <v>1</v>
      </c>
      <c r="D368" s="17">
        <v>2</v>
      </c>
      <c r="E368" s="17">
        <v>3</v>
      </c>
      <c r="F368" s="17">
        <v>4</v>
      </c>
      <c r="G368" s="17">
        <v>5</v>
      </c>
      <c r="H368" s="17">
        <v>6</v>
      </c>
      <c r="I368" s="17">
        <v>7</v>
      </c>
      <c r="J368" s="17">
        <v>8</v>
      </c>
      <c r="K368" s="17">
        <v>9</v>
      </c>
      <c r="L368" s="17">
        <v>10</v>
      </c>
      <c r="M368" s="17">
        <v>11</v>
      </c>
      <c r="N368" s="17">
        <v>12</v>
      </c>
      <c r="O368" s="17">
        <v>13</v>
      </c>
      <c r="P368" s="17">
        <v>14</v>
      </c>
      <c r="Q368" s="17">
        <v>15</v>
      </c>
      <c r="R368" s="17">
        <v>16</v>
      </c>
      <c r="S368" s="17">
        <v>17</v>
      </c>
      <c r="T368" s="17">
        <v>18</v>
      </c>
      <c r="U368" s="17">
        <v>19</v>
      </c>
      <c r="V368" s="18">
        <v>20</v>
      </c>
      <c r="W368" s="17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20"/>
      <c r="AN368" s="113" t="s">
        <v>820</v>
      </c>
    </row>
    <row r="369" spans="1:40" ht="15" customHeight="1" x14ac:dyDescent="0.35">
      <c r="A369" s="1196" t="s">
        <v>18</v>
      </c>
      <c r="B369" s="21">
        <v>1</v>
      </c>
      <c r="C369" s="40" t="str">
        <f>IF(AND(COUNTIF(C4,"*V*"),COUNTIF(D4,"*V*")),1,"")</f>
        <v/>
      </c>
      <c r="D369" s="40" t="str">
        <f t="shared" ref="D369:AJ369" si="69">IF(AND(COUNTIF(D4,"*V*"),COUNTIF(E4,"*V*")),1,"")</f>
        <v/>
      </c>
      <c r="E369" s="40" t="str">
        <f t="shared" si="69"/>
        <v/>
      </c>
      <c r="F369" s="40" t="str">
        <f t="shared" si="69"/>
        <v/>
      </c>
      <c r="G369" s="40" t="str">
        <f t="shared" si="69"/>
        <v/>
      </c>
      <c r="H369" s="40" t="str">
        <f t="shared" si="69"/>
        <v/>
      </c>
      <c r="I369" s="40" t="str">
        <f t="shared" si="69"/>
        <v/>
      </c>
      <c r="J369" s="40" t="str">
        <f t="shared" si="69"/>
        <v/>
      </c>
      <c r="K369" s="40" t="str">
        <f t="shared" si="69"/>
        <v/>
      </c>
      <c r="L369" s="40" t="str">
        <f t="shared" si="69"/>
        <v/>
      </c>
      <c r="M369" s="40" t="str">
        <f t="shared" si="69"/>
        <v/>
      </c>
      <c r="N369" s="40" t="str">
        <f t="shared" si="69"/>
        <v/>
      </c>
      <c r="O369" s="40" t="str">
        <f t="shared" si="69"/>
        <v/>
      </c>
      <c r="P369" s="40" t="str">
        <f t="shared" si="69"/>
        <v/>
      </c>
      <c r="Q369" s="40" t="str">
        <f t="shared" si="69"/>
        <v/>
      </c>
      <c r="R369" s="40" t="str">
        <f t="shared" si="69"/>
        <v/>
      </c>
      <c r="S369" s="40" t="str">
        <f t="shared" si="69"/>
        <v/>
      </c>
      <c r="T369" s="40" t="str">
        <f t="shared" si="69"/>
        <v/>
      </c>
      <c r="U369" s="40" t="str">
        <f t="shared" si="69"/>
        <v/>
      </c>
      <c r="V369" s="40" t="str">
        <f t="shared" si="69"/>
        <v/>
      </c>
      <c r="W369" s="40" t="str">
        <f t="shared" si="69"/>
        <v/>
      </c>
      <c r="X369" s="40" t="str">
        <f t="shared" si="69"/>
        <v/>
      </c>
      <c r="Y369" s="40" t="str">
        <f t="shared" si="69"/>
        <v/>
      </c>
      <c r="Z369" s="40" t="str">
        <f t="shared" si="69"/>
        <v/>
      </c>
      <c r="AA369" s="40" t="str">
        <f t="shared" si="69"/>
        <v/>
      </c>
      <c r="AB369" s="40" t="str">
        <f t="shared" si="69"/>
        <v/>
      </c>
      <c r="AC369" s="40" t="str">
        <f t="shared" si="69"/>
        <v/>
      </c>
      <c r="AD369" s="40" t="str">
        <f t="shared" si="69"/>
        <v/>
      </c>
      <c r="AE369" s="40" t="str">
        <f t="shared" si="69"/>
        <v/>
      </c>
      <c r="AF369" s="40" t="str">
        <f t="shared" si="69"/>
        <v/>
      </c>
      <c r="AG369" s="40" t="str">
        <f t="shared" si="69"/>
        <v/>
      </c>
      <c r="AH369" s="40" t="str">
        <f t="shared" si="69"/>
        <v/>
      </c>
      <c r="AI369" s="40" t="str">
        <f t="shared" si="69"/>
        <v/>
      </c>
      <c r="AJ369" s="40" t="str">
        <f t="shared" si="69"/>
        <v/>
      </c>
      <c r="AK369" s="62"/>
      <c r="AN369" s="113" t="s">
        <v>821</v>
      </c>
    </row>
    <row r="370" spans="1:40" ht="15" customHeight="1" thickBot="1" x14ac:dyDescent="0.4">
      <c r="A370" s="1196"/>
      <c r="B370" s="22">
        <v>2</v>
      </c>
      <c r="C370" s="40" t="str">
        <f t="shared" ref="C370:AJ370" si="70">IF(AND(COUNTIF(C5,"*V*"),COUNTIF(D5,"*V*")),1,"")</f>
        <v/>
      </c>
      <c r="D370" s="40" t="str">
        <f t="shared" si="70"/>
        <v/>
      </c>
      <c r="E370" s="40" t="str">
        <f t="shared" si="70"/>
        <v/>
      </c>
      <c r="F370" s="40" t="str">
        <f t="shared" si="70"/>
        <v/>
      </c>
      <c r="G370" s="40" t="str">
        <f t="shared" si="70"/>
        <v/>
      </c>
      <c r="H370" s="40" t="str">
        <f t="shared" si="70"/>
        <v/>
      </c>
      <c r="I370" s="40" t="str">
        <f t="shared" si="70"/>
        <v/>
      </c>
      <c r="J370" s="40" t="str">
        <f t="shared" si="70"/>
        <v/>
      </c>
      <c r="K370" s="40" t="str">
        <f t="shared" si="70"/>
        <v/>
      </c>
      <c r="L370" s="40" t="str">
        <f t="shared" si="70"/>
        <v/>
      </c>
      <c r="M370" s="40" t="str">
        <f t="shared" si="70"/>
        <v/>
      </c>
      <c r="N370" s="40" t="str">
        <f t="shared" si="70"/>
        <v/>
      </c>
      <c r="O370" s="40" t="str">
        <f t="shared" si="70"/>
        <v/>
      </c>
      <c r="P370" s="40" t="str">
        <f t="shared" si="70"/>
        <v/>
      </c>
      <c r="Q370" s="40" t="str">
        <f t="shared" si="70"/>
        <v/>
      </c>
      <c r="R370" s="40" t="str">
        <f t="shared" si="70"/>
        <v/>
      </c>
      <c r="S370" s="40" t="str">
        <f t="shared" si="70"/>
        <v/>
      </c>
      <c r="T370" s="40" t="str">
        <f t="shared" si="70"/>
        <v/>
      </c>
      <c r="U370" s="40" t="str">
        <f t="shared" si="70"/>
        <v/>
      </c>
      <c r="V370" s="40" t="str">
        <f t="shared" si="70"/>
        <v/>
      </c>
      <c r="W370" s="40" t="str">
        <f t="shared" si="70"/>
        <v/>
      </c>
      <c r="X370" s="40" t="str">
        <f t="shared" si="70"/>
        <v/>
      </c>
      <c r="Y370" s="40" t="str">
        <f t="shared" si="70"/>
        <v/>
      </c>
      <c r="Z370" s="40" t="str">
        <f t="shared" si="70"/>
        <v/>
      </c>
      <c r="AA370" s="40" t="str">
        <f t="shared" si="70"/>
        <v/>
      </c>
      <c r="AB370" s="40" t="str">
        <f t="shared" si="70"/>
        <v/>
      </c>
      <c r="AC370" s="40" t="str">
        <f t="shared" si="70"/>
        <v/>
      </c>
      <c r="AD370" s="40" t="str">
        <f t="shared" si="70"/>
        <v/>
      </c>
      <c r="AE370" s="40" t="str">
        <f t="shared" si="70"/>
        <v/>
      </c>
      <c r="AF370" s="40" t="str">
        <f t="shared" si="70"/>
        <v/>
      </c>
      <c r="AG370" s="40" t="str">
        <f t="shared" si="70"/>
        <v/>
      </c>
      <c r="AH370" s="40" t="str">
        <f t="shared" si="70"/>
        <v/>
      </c>
      <c r="AI370" s="40" t="str">
        <f t="shared" si="70"/>
        <v/>
      </c>
      <c r="AJ370" s="40" t="str">
        <f t="shared" si="70"/>
        <v/>
      </c>
      <c r="AK370" s="63"/>
      <c r="AN370" s="114" t="str">
        <f>IF(AND(AN366&lt;&gt;"",LEN(AN366)-LEN(SUBSTITUTE(AN366,"&amp;",""))=1),CONCATENATE(AN368,AN366,". "),CONCATENATE(AN369,AN366,". "))</f>
        <v xml:space="preserve">fins inbetween . </v>
      </c>
    </row>
    <row r="371" spans="1:40" ht="15" customHeight="1" x14ac:dyDescent="0.35">
      <c r="A371" s="1196"/>
      <c r="B371" s="22">
        <v>3</v>
      </c>
      <c r="C371" s="40" t="str">
        <f t="shared" ref="C371:AJ371" si="71">IF(AND(COUNTIF(C6,"*V*"),COUNTIF(D6,"*V*")),1,"")</f>
        <v/>
      </c>
      <c r="D371" s="40" t="str">
        <f t="shared" si="71"/>
        <v/>
      </c>
      <c r="E371" s="40" t="str">
        <f t="shared" si="71"/>
        <v/>
      </c>
      <c r="F371" s="40" t="str">
        <f t="shared" si="71"/>
        <v/>
      </c>
      <c r="G371" s="40" t="str">
        <f t="shared" si="71"/>
        <v/>
      </c>
      <c r="H371" s="40" t="str">
        <f t="shared" si="71"/>
        <v/>
      </c>
      <c r="I371" s="40" t="str">
        <f t="shared" si="71"/>
        <v/>
      </c>
      <c r="J371" s="40" t="str">
        <f t="shared" si="71"/>
        <v/>
      </c>
      <c r="K371" s="40" t="str">
        <f t="shared" si="71"/>
        <v/>
      </c>
      <c r="L371" s="40" t="str">
        <f t="shared" si="71"/>
        <v/>
      </c>
      <c r="M371" s="40" t="str">
        <f t="shared" si="71"/>
        <v/>
      </c>
      <c r="N371" s="40" t="str">
        <f t="shared" si="71"/>
        <v/>
      </c>
      <c r="O371" s="40" t="str">
        <f t="shared" si="71"/>
        <v/>
      </c>
      <c r="P371" s="40" t="str">
        <f t="shared" si="71"/>
        <v/>
      </c>
      <c r="Q371" s="40" t="str">
        <f t="shared" si="71"/>
        <v/>
      </c>
      <c r="R371" s="40" t="str">
        <f t="shared" si="71"/>
        <v/>
      </c>
      <c r="S371" s="40" t="str">
        <f t="shared" si="71"/>
        <v/>
      </c>
      <c r="T371" s="40" t="str">
        <f t="shared" si="71"/>
        <v/>
      </c>
      <c r="U371" s="40" t="str">
        <f t="shared" si="71"/>
        <v/>
      </c>
      <c r="V371" s="40" t="str">
        <f t="shared" si="71"/>
        <v/>
      </c>
      <c r="W371" s="40" t="str">
        <f t="shared" si="71"/>
        <v/>
      </c>
      <c r="X371" s="40" t="str">
        <f t="shared" si="71"/>
        <v/>
      </c>
      <c r="Y371" s="40" t="str">
        <f t="shared" si="71"/>
        <v/>
      </c>
      <c r="Z371" s="40" t="str">
        <f t="shared" si="71"/>
        <v/>
      </c>
      <c r="AA371" s="40" t="str">
        <f t="shared" si="71"/>
        <v/>
      </c>
      <c r="AB371" s="40" t="str">
        <f t="shared" si="71"/>
        <v/>
      </c>
      <c r="AC371" s="40" t="str">
        <f t="shared" si="71"/>
        <v/>
      </c>
      <c r="AD371" s="40" t="str">
        <f t="shared" si="71"/>
        <v/>
      </c>
      <c r="AE371" s="40" t="str">
        <f t="shared" si="71"/>
        <v/>
      </c>
      <c r="AF371" s="40" t="str">
        <f t="shared" si="71"/>
        <v/>
      </c>
      <c r="AG371" s="40" t="str">
        <f t="shared" si="71"/>
        <v/>
      </c>
      <c r="AH371" s="40" t="str">
        <f t="shared" si="71"/>
        <v/>
      </c>
      <c r="AI371" s="40" t="str">
        <f t="shared" si="71"/>
        <v/>
      </c>
      <c r="AJ371" s="40" t="str">
        <f t="shared" si="71"/>
        <v/>
      </c>
      <c r="AK371" s="63"/>
    </row>
    <row r="372" spans="1:40" ht="15" customHeight="1" x14ac:dyDescent="0.35">
      <c r="A372" s="1196"/>
      <c r="B372" s="22">
        <v>4</v>
      </c>
      <c r="C372" s="40" t="str">
        <f t="shared" ref="C372:AJ372" si="72">IF(AND(COUNTIF(C7,"*V*"),COUNTIF(D7,"*V*")),1,"")</f>
        <v/>
      </c>
      <c r="D372" s="40" t="str">
        <f t="shared" si="72"/>
        <v/>
      </c>
      <c r="E372" s="40" t="str">
        <f t="shared" si="72"/>
        <v/>
      </c>
      <c r="F372" s="40" t="str">
        <f t="shared" si="72"/>
        <v/>
      </c>
      <c r="G372" s="40" t="str">
        <f t="shared" si="72"/>
        <v/>
      </c>
      <c r="H372" s="40" t="str">
        <f t="shared" si="72"/>
        <v/>
      </c>
      <c r="I372" s="40" t="str">
        <f t="shared" si="72"/>
        <v/>
      </c>
      <c r="J372" s="40" t="str">
        <f t="shared" si="72"/>
        <v/>
      </c>
      <c r="K372" s="40" t="str">
        <f t="shared" si="72"/>
        <v/>
      </c>
      <c r="L372" s="40" t="str">
        <f t="shared" si="72"/>
        <v/>
      </c>
      <c r="M372" s="40" t="str">
        <f t="shared" si="72"/>
        <v/>
      </c>
      <c r="N372" s="40" t="str">
        <f t="shared" si="72"/>
        <v/>
      </c>
      <c r="O372" s="40" t="str">
        <f t="shared" si="72"/>
        <v/>
      </c>
      <c r="P372" s="40" t="str">
        <f t="shared" si="72"/>
        <v/>
      </c>
      <c r="Q372" s="40" t="str">
        <f t="shared" si="72"/>
        <v/>
      </c>
      <c r="R372" s="40" t="str">
        <f t="shared" si="72"/>
        <v/>
      </c>
      <c r="S372" s="40" t="str">
        <f t="shared" si="72"/>
        <v/>
      </c>
      <c r="T372" s="40" t="str">
        <f t="shared" si="72"/>
        <v/>
      </c>
      <c r="U372" s="40" t="str">
        <f t="shared" si="72"/>
        <v/>
      </c>
      <c r="V372" s="40" t="str">
        <f t="shared" si="72"/>
        <v/>
      </c>
      <c r="W372" s="40" t="str">
        <f t="shared" si="72"/>
        <v/>
      </c>
      <c r="X372" s="40" t="str">
        <f t="shared" si="72"/>
        <v/>
      </c>
      <c r="Y372" s="40" t="str">
        <f t="shared" si="72"/>
        <v/>
      </c>
      <c r="Z372" s="40" t="str">
        <f t="shared" si="72"/>
        <v/>
      </c>
      <c r="AA372" s="40" t="str">
        <f t="shared" si="72"/>
        <v/>
      </c>
      <c r="AB372" s="40" t="str">
        <f t="shared" si="72"/>
        <v/>
      </c>
      <c r="AC372" s="40" t="str">
        <f t="shared" si="72"/>
        <v/>
      </c>
      <c r="AD372" s="40" t="str">
        <f t="shared" si="72"/>
        <v/>
      </c>
      <c r="AE372" s="40" t="str">
        <f t="shared" si="72"/>
        <v/>
      </c>
      <c r="AF372" s="40" t="str">
        <f t="shared" si="72"/>
        <v/>
      </c>
      <c r="AG372" s="40" t="str">
        <f t="shared" si="72"/>
        <v/>
      </c>
      <c r="AH372" s="40" t="str">
        <f t="shared" si="72"/>
        <v/>
      </c>
      <c r="AI372" s="40" t="str">
        <f t="shared" si="72"/>
        <v/>
      </c>
      <c r="AJ372" s="40" t="str">
        <f t="shared" si="72"/>
        <v/>
      </c>
      <c r="AK372" s="63"/>
    </row>
    <row r="373" spans="1:40" ht="15" customHeight="1" x14ac:dyDescent="0.35">
      <c r="A373" s="1196"/>
      <c r="B373" s="22">
        <v>5</v>
      </c>
      <c r="C373" s="40" t="str">
        <f t="shared" ref="C373:AJ373" si="73">IF(AND(COUNTIF(C8,"*V*"),COUNTIF(D8,"*V*")),1,"")</f>
        <v/>
      </c>
      <c r="D373" s="40" t="str">
        <f t="shared" si="73"/>
        <v/>
      </c>
      <c r="E373" s="40" t="str">
        <f t="shared" si="73"/>
        <v/>
      </c>
      <c r="F373" s="40" t="str">
        <f t="shared" si="73"/>
        <v/>
      </c>
      <c r="G373" s="40" t="str">
        <f t="shared" si="73"/>
        <v/>
      </c>
      <c r="H373" s="40" t="str">
        <f t="shared" si="73"/>
        <v/>
      </c>
      <c r="I373" s="40" t="str">
        <f t="shared" si="73"/>
        <v/>
      </c>
      <c r="J373" s="40" t="str">
        <f t="shared" si="73"/>
        <v/>
      </c>
      <c r="K373" s="40" t="str">
        <f t="shared" si="73"/>
        <v/>
      </c>
      <c r="L373" s="40" t="str">
        <f t="shared" si="73"/>
        <v/>
      </c>
      <c r="M373" s="40" t="str">
        <f t="shared" si="73"/>
        <v/>
      </c>
      <c r="N373" s="40" t="str">
        <f t="shared" si="73"/>
        <v/>
      </c>
      <c r="O373" s="40" t="str">
        <f t="shared" si="73"/>
        <v/>
      </c>
      <c r="P373" s="40" t="str">
        <f t="shared" si="73"/>
        <v/>
      </c>
      <c r="Q373" s="40" t="str">
        <f t="shared" si="73"/>
        <v/>
      </c>
      <c r="R373" s="40" t="str">
        <f t="shared" si="73"/>
        <v/>
      </c>
      <c r="S373" s="40" t="str">
        <f t="shared" si="73"/>
        <v/>
      </c>
      <c r="T373" s="40" t="str">
        <f t="shared" si="73"/>
        <v/>
      </c>
      <c r="U373" s="40" t="str">
        <f t="shared" si="73"/>
        <v/>
      </c>
      <c r="V373" s="40" t="str">
        <f t="shared" si="73"/>
        <v/>
      </c>
      <c r="W373" s="40" t="str">
        <f t="shared" si="73"/>
        <v/>
      </c>
      <c r="X373" s="40" t="str">
        <f t="shared" si="73"/>
        <v/>
      </c>
      <c r="Y373" s="40" t="str">
        <f t="shared" si="73"/>
        <v/>
      </c>
      <c r="Z373" s="40" t="str">
        <f t="shared" si="73"/>
        <v/>
      </c>
      <c r="AA373" s="40" t="str">
        <f t="shared" si="73"/>
        <v/>
      </c>
      <c r="AB373" s="40" t="str">
        <f t="shared" si="73"/>
        <v/>
      </c>
      <c r="AC373" s="40" t="str">
        <f t="shared" si="73"/>
        <v/>
      </c>
      <c r="AD373" s="40" t="str">
        <f t="shared" si="73"/>
        <v/>
      </c>
      <c r="AE373" s="40" t="str">
        <f t="shared" si="73"/>
        <v/>
      </c>
      <c r="AF373" s="40" t="str">
        <f t="shared" si="73"/>
        <v/>
      </c>
      <c r="AG373" s="40" t="str">
        <f t="shared" si="73"/>
        <v/>
      </c>
      <c r="AH373" s="40" t="str">
        <f t="shared" si="73"/>
        <v/>
      </c>
      <c r="AI373" s="40" t="str">
        <f t="shared" si="73"/>
        <v/>
      </c>
      <c r="AJ373" s="40" t="str">
        <f t="shared" si="73"/>
        <v/>
      </c>
      <c r="AK373" s="63"/>
    </row>
    <row r="374" spans="1:40" ht="15" customHeight="1" x14ac:dyDescent="0.35">
      <c r="A374" s="1196"/>
      <c r="B374" s="22">
        <v>6</v>
      </c>
      <c r="C374" s="40" t="str">
        <f t="shared" ref="C374:AJ374" si="74">IF(AND(COUNTIF(C9,"*V*"),COUNTIF(D9,"*V*")),1,"")</f>
        <v/>
      </c>
      <c r="D374" s="40" t="str">
        <f t="shared" si="74"/>
        <v/>
      </c>
      <c r="E374" s="40" t="str">
        <f t="shared" si="74"/>
        <v/>
      </c>
      <c r="F374" s="40" t="str">
        <f t="shared" si="74"/>
        <v/>
      </c>
      <c r="G374" s="40" t="str">
        <f t="shared" si="74"/>
        <v/>
      </c>
      <c r="H374" s="40" t="str">
        <f t="shared" si="74"/>
        <v/>
      </c>
      <c r="I374" s="40" t="str">
        <f t="shared" si="74"/>
        <v/>
      </c>
      <c r="J374" s="40" t="str">
        <f t="shared" si="74"/>
        <v/>
      </c>
      <c r="K374" s="40" t="str">
        <f t="shared" si="74"/>
        <v/>
      </c>
      <c r="L374" s="40" t="str">
        <f t="shared" si="74"/>
        <v/>
      </c>
      <c r="M374" s="40" t="str">
        <f t="shared" si="74"/>
        <v/>
      </c>
      <c r="N374" s="40" t="str">
        <f t="shared" si="74"/>
        <v/>
      </c>
      <c r="O374" s="40" t="str">
        <f t="shared" si="74"/>
        <v/>
      </c>
      <c r="P374" s="40" t="str">
        <f t="shared" si="74"/>
        <v/>
      </c>
      <c r="Q374" s="40" t="str">
        <f t="shared" si="74"/>
        <v/>
      </c>
      <c r="R374" s="40" t="str">
        <f t="shared" si="74"/>
        <v/>
      </c>
      <c r="S374" s="40" t="str">
        <f t="shared" si="74"/>
        <v/>
      </c>
      <c r="T374" s="40" t="str">
        <f t="shared" si="74"/>
        <v/>
      </c>
      <c r="U374" s="40" t="str">
        <f t="shared" si="74"/>
        <v/>
      </c>
      <c r="V374" s="40" t="str">
        <f t="shared" si="74"/>
        <v/>
      </c>
      <c r="W374" s="40" t="str">
        <f t="shared" si="74"/>
        <v/>
      </c>
      <c r="X374" s="40" t="str">
        <f t="shared" si="74"/>
        <v/>
      </c>
      <c r="Y374" s="40" t="str">
        <f t="shared" si="74"/>
        <v/>
      </c>
      <c r="Z374" s="40" t="str">
        <f t="shared" si="74"/>
        <v/>
      </c>
      <c r="AA374" s="40" t="str">
        <f t="shared" si="74"/>
        <v/>
      </c>
      <c r="AB374" s="40" t="str">
        <f t="shared" si="74"/>
        <v/>
      </c>
      <c r="AC374" s="40" t="str">
        <f t="shared" si="74"/>
        <v/>
      </c>
      <c r="AD374" s="40" t="str">
        <f t="shared" si="74"/>
        <v/>
      </c>
      <c r="AE374" s="40" t="str">
        <f t="shared" si="74"/>
        <v/>
      </c>
      <c r="AF374" s="40" t="str">
        <f t="shared" si="74"/>
        <v/>
      </c>
      <c r="AG374" s="40" t="str">
        <f t="shared" si="74"/>
        <v/>
      </c>
      <c r="AH374" s="40" t="str">
        <f t="shared" si="74"/>
        <v/>
      </c>
      <c r="AI374" s="40" t="str">
        <f t="shared" si="74"/>
        <v/>
      </c>
      <c r="AJ374" s="40" t="str">
        <f t="shared" si="74"/>
        <v/>
      </c>
      <c r="AK374" s="63"/>
    </row>
    <row r="375" spans="1:40" ht="15" customHeight="1" x14ac:dyDescent="0.35">
      <c r="A375" s="1196"/>
      <c r="B375" s="22">
        <v>7</v>
      </c>
      <c r="C375" s="40" t="str">
        <f t="shared" ref="C375:AJ375" si="75">IF(AND(COUNTIF(C10,"*V*"),COUNTIF(D10,"*V*")),1,"")</f>
        <v/>
      </c>
      <c r="D375" s="40" t="str">
        <f t="shared" si="75"/>
        <v/>
      </c>
      <c r="E375" s="40" t="str">
        <f t="shared" si="75"/>
        <v/>
      </c>
      <c r="F375" s="40" t="str">
        <f t="shared" si="75"/>
        <v/>
      </c>
      <c r="G375" s="40" t="str">
        <f t="shared" si="75"/>
        <v/>
      </c>
      <c r="H375" s="40" t="str">
        <f t="shared" si="75"/>
        <v/>
      </c>
      <c r="I375" s="40" t="str">
        <f t="shared" si="75"/>
        <v/>
      </c>
      <c r="J375" s="40" t="str">
        <f t="shared" si="75"/>
        <v/>
      </c>
      <c r="K375" s="40" t="str">
        <f t="shared" si="75"/>
        <v/>
      </c>
      <c r="L375" s="40" t="str">
        <f t="shared" si="75"/>
        <v/>
      </c>
      <c r="M375" s="40" t="str">
        <f t="shared" si="75"/>
        <v/>
      </c>
      <c r="N375" s="40" t="str">
        <f t="shared" si="75"/>
        <v/>
      </c>
      <c r="O375" s="40" t="str">
        <f t="shared" si="75"/>
        <v/>
      </c>
      <c r="P375" s="40" t="str">
        <f t="shared" si="75"/>
        <v/>
      </c>
      <c r="Q375" s="40" t="str">
        <f t="shared" si="75"/>
        <v/>
      </c>
      <c r="R375" s="40" t="str">
        <f t="shared" si="75"/>
        <v/>
      </c>
      <c r="S375" s="40" t="str">
        <f t="shared" si="75"/>
        <v/>
      </c>
      <c r="T375" s="40" t="str">
        <f t="shared" si="75"/>
        <v/>
      </c>
      <c r="U375" s="40" t="str">
        <f t="shared" si="75"/>
        <v/>
      </c>
      <c r="V375" s="40" t="str">
        <f t="shared" si="75"/>
        <v/>
      </c>
      <c r="W375" s="40" t="str">
        <f t="shared" si="75"/>
        <v/>
      </c>
      <c r="X375" s="40" t="str">
        <f t="shared" si="75"/>
        <v/>
      </c>
      <c r="Y375" s="40" t="str">
        <f t="shared" si="75"/>
        <v/>
      </c>
      <c r="Z375" s="40" t="str">
        <f t="shared" si="75"/>
        <v/>
      </c>
      <c r="AA375" s="40" t="str">
        <f t="shared" si="75"/>
        <v/>
      </c>
      <c r="AB375" s="40" t="str">
        <f t="shared" si="75"/>
        <v/>
      </c>
      <c r="AC375" s="40" t="str">
        <f t="shared" si="75"/>
        <v/>
      </c>
      <c r="AD375" s="40" t="str">
        <f t="shared" si="75"/>
        <v/>
      </c>
      <c r="AE375" s="40" t="str">
        <f t="shared" si="75"/>
        <v/>
      </c>
      <c r="AF375" s="40" t="str">
        <f t="shared" si="75"/>
        <v/>
      </c>
      <c r="AG375" s="40" t="str">
        <f t="shared" si="75"/>
        <v/>
      </c>
      <c r="AH375" s="40" t="str">
        <f t="shared" si="75"/>
        <v/>
      </c>
      <c r="AI375" s="40" t="str">
        <f t="shared" si="75"/>
        <v/>
      </c>
      <c r="AJ375" s="40" t="str">
        <f t="shared" si="75"/>
        <v/>
      </c>
      <c r="AK375" s="63"/>
    </row>
    <row r="376" spans="1:40" ht="15" customHeight="1" x14ac:dyDescent="0.35">
      <c r="A376" s="1196"/>
      <c r="B376" s="22">
        <v>8</v>
      </c>
      <c r="C376" s="40" t="str">
        <f t="shared" ref="C376:AJ376" si="76">IF(AND(COUNTIF(C11,"*V*"),COUNTIF(D11,"*V*")),1,"")</f>
        <v/>
      </c>
      <c r="D376" s="40" t="str">
        <f t="shared" si="76"/>
        <v/>
      </c>
      <c r="E376" s="40" t="str">
        <f t="shared" si="76"/>
        <v/>
      </c>
      <c r="F376" s="40" t="str">
        <f t="shared" si="76"/>
        <v/>
      </c>
      <c r="G376" s="40" t="str">
        <f t="shared" si="76"/>
        <v/>
      </c>
      <c r="H376" s="40" t="str">
        <f t="shared" si="76"/>
        <v/>
      </c>
      <c r="I376" s="40" t="str">
        <f t="shared" si="76"/>
        <v/>
      </c>
      <c r="J376" s="40" t="str">
        <f t="shared" si="76"/>
        <v/>
      </c>
      <c r="K376" s="40" t="str">
        <f t="shared" si="76"/>
        <v/>
      </c>
      <c r="L376" s="40" t="str">
        <f t="shared" si="76"/>
        <v/>
      </c>
      <c r="M376" s="40" t="str">
        <f t="shared" si="76"/>
        <v/>
      </c>
      <c r="N376" s="40" t="str">
        <f t="shared" si="76"/>
        <v/>
      </c>
      <c r="O376" s="40" t="str">
        <f t="shared" si="76"/>
        <v/>
      </c>
      <c r="P376" s="40" t="str">
        <f t="shared" si="76"/>
        <v/>
      </c>
      <c r="Q376" s="40" t="str">
        <f t="shared" si="76"/>
        <v/>
      </c>
      <c r="R376" s="40" t="str">
        <f t="shared" si="76"/>
        <v/>
      </c>
      <c r="S376" s="40" t="str">
        <f t="shared" si="76"/>
        <v/>
      </c>
      <c r="T376" s="40" t="str">
        <f t="shared" si="76"/>
        <v/>
      </c>
      <c r="U376" s="40" t="str">
        <f t="shared" si="76"/>
        <v/>
      </c>
      <c r="V376" s="40" t="str">
        <f t="shared" si="76"/>
        <v/>
      </c>
      <c r="W376" s="40" t="str">
        <f t="shared" si="76"/>
        <v/>
      </c>
      <c r="X376" s="40" t="str">
        <f t="shared" si="76"/>
        <v/>
      </c>
      <c r="Y376" s="40" t="str">
        <f t="shared" si="76"/>
        <v/>
      </c>
      <c r="Z376" s="40" t="str">
        <f t="shared" si="76"/>
        <v/>
      </c>
      <c r="AA376" s="40" t="str">
        <f t="shared" si="76"/>
        <v/>
      </c>
      <c r="AB376" s="40" t="str">
        <f t="shared" si="76"/>
        <v/>
      </c>
      <c r="AC376" s="40" t="str">
        <f t="shared" si="76"/>
        <v/>
      </c>
      <c r="AD376" s="40" t="str">
        <f t="shared" si="76"/>
        <v/>
      </c>
      <c r="AE376" s="40" t="str">
        <f t="shared" si="76"/>
        <v/>
      </c>
      <c r="AF376" s="40" t="str">
        <f t="shared" si="76"/>
        <v/>
      </c>
      <c r="AG376" s="40" t="str">
        <f t="shared" si="76"/>
        <v/>
      </c>
      <c r="AH376" s="40" t="str">
        <f t="shared" si="76"/>
        <v/>
      </c>
      <c r="AI376" s="40" t="str">
        <f t="shared" si="76"/>
        <v/>
      </c>
      <c r="AJ376" s="40" t="str">
        <f t="shared" si="76"/>
        <v/>
      </c>
      <c r="AK376" s="63"/>
    </row>
    <row r="377" spans="1:40" ht="15" customHeight="1" x14ac:dyDescent="0.35">
      <c r="A377" s="1196"/>
      <c r="B377" s="22">
        <v>9</v>
      </c>
      <c r="C377" s="40" t="str">
        <f t="shared" ref="C377:AJ377" si="77">IF(AND(COUNTIF(C12,"*V*"),COUNTIF(D12,"*V*")),1,"")</f>
        <v/>
      </c>
      <c r="D377" s="40" t="str">
        <f t="shared" si="77"/>
        <v/>
      </c>
      <c r="E377" s="40" t="str">
        <f t="shared" si="77"/>
        <v/>
      </c>
      <c r="F377" s="40" t="str">
        <f t="shared" si="77"/>
        <v/>
      </c>
      <c r="G377" s="40" t="str">
        <f t="shared" si="77"/>
        <v/>
      </c>
      <c r="H377" s="40" t="str">
        <f t="shared" si="77"/>
        <v/>
      </c>
      <c r="I377" s="40" t="str">
        <f t="shared" si="77"/>
        <v/>
      </c>
      <c r="J377" s="40" t="str">
        <f t="shared" si="77"/>
        <v/>
      </c>
      <c r="K377" s="40" t="str">
        <f t="shared" si="77"/>
        <v/>
      </c>
      <c r="L377" s="40" t="str">
        <f t="shared" si="77"/>
        <v/>
      </c>
      <c r="M377" s="40" t="str">
        <f t="shared" si="77"/>
        <v/>
      </c>
      <c r="N377" s="40" t="str">
        <f t="shared" si="77"/>
        <v/>
      </c>
      <c r="O377" s="40" t="str">
        <f t="shared" si="77"/>
        <v/>
      </c>
      <c r="P377" s="40" t="str">
        <f t="shared" si="77"/>
        <v/>
      </c>
      <c r="Q377" s="40" t="str">
        <f t="shared" si="77"/>
        <v/>
      </c>
      <c r="R377" s="40" t="str">
        <f t="shared" si="77"/>
        <v/>
      </c>
      <c r="S377" s="40" t="str">
        <f t="shared" si="77"/>
        <v/>
      </c>
      <c r="T377" s="40" t="str">
        <f t="shared" si="77"/>
        <v/>
      </c>
      <c r="U377" s="40" t="str">
        <f t="shared" si="77"/>
        <v/>
      </c>
      <c r="V377" s="40" t="str">
        <f t="shared" si="77"/>
        <v/>
      </c>
      <c r="W377" s="40" t="str">
        <f t="shared" si="77"/>
        <v/>
      </c>
      <c r="X377" s="40" t="str">
        <f t="shared" si="77"/>
        <v/>
      </c>
      <c r="Y377" s="40" t="str">
        <f t="shared" si="77"/>
        <v/>
      </c>
      <c r="Z377" s="40" t="str">
        <f t="shared" si="77"/>
        <v/>
      </c>
      <c r="AA377" s="40" t="str">
        <f t="shared" si="77"/>
        <v/>
      </c>
      <c r="AB377" s="40" t="str">
        <f t="shared" si="77"/>
        <v/>
      </c>
      <c r="AC377" s="40" t="str">
        <f t="shared" si="77"/>
        <v/>
      </c>
      <c r="AD377" s="40" t="str">
        <f t="shared" si="77"/>
        <v/>
      </c>
      <c r="AE377" s="40" t="str">
        <f t="shared" si="77"/>
        <v/>
      </c>
      <c r="AF377" s="40" t="str">
        <f t="shared" si="77"/>
        <v/>
      </c>
      <c r="AG377" s="40" t="str">
        <f t="shared" si="77"/>
        <v/>
      </c>
      <c r="AH377" s="40" t="str">
        <f t="shared" si="77"/>
        <v/>
      </c>
      <c r="AI377" s="40" t="str">
        <f t="shared" si="77"/>
        <v/>
      </c>
      <c r="AJ377" s="40" t="str">
        <f t="shared" si="77"/>
        <v/>
      </c>
      <c r="AK377" s="63"/>
    </row>
    <row r="378" spans="1:40" ht="15" customHeight="1" x14ac:dyDescent="0.35">
      <c r="A378" s="1196"/>
      <c r="B378" s="22">
        <v>10</v>
      </c>
      <c r="C378" s="40" t="str">
        <f t="shared" ref="C378:AJ378" si="78">IF(AND(COUNTIF(C13,"*V*"),COUNTIF(D13,"*V*")),1,"")</f>
        <v/>
      </c>
      <c r="D378" s="40" t="str">
        <f t="shared" si="78"/>
        <v/>
      </c>
      <c r="E378" s="40" t="str">
        <f t="shared" si="78"/>
        <v/>
      </c>
      <c r="F378" s="40" t="str">
        <f t="shared" si="78"/>
        <v/>
      </c>
      <c r="G378" s="40" t="str">
        <f t="shared" si="78"/>
        <v/>
      </c>
      <c r="H378" s="40" t="str">
        <f t="shared" si="78"/>
        <v/>
      </c>
      <c r="I378" s="40" t="str">
        <f t="shared" si="78"/>
        <v/>
      </c>
      <c r="J378" s="40" t="str">
        <f t="shared" si="78"/>
        <v/>
      </c>
      <c r="K378" s="40" t="str">
        <f t="shared" si="78"/>
        <v/>
      </c>
      <c r="L378" s="40" t="str">
        <f t="shared" si="78"/>
        <v/>
      </c>
      <c r="M378" s="40" t="str">
        <f t="shared" si="78"/>
        <v/>
      </c>
      <c r="N378" s="40" t="str">
        <f t="shared" si="78"/>
        <v/>
      </c>
      <c r="O378" s="40" t="str">
        <f t="shared" si="78"/>
        <v/>
      </c>
      <c r="P378" s="40" t="str">
        <f t="shared" si="78"/>
        <v/>
      </c>
      <c r="Q378" s="40" t="str">
        <f t="shared" si="78"/>
        <v/>
      </c>
      <c r="R378" s="40" t="str">
        <f t="shared" si="78"/>
        <v/>
      </c>
      <c r="S378" s="40" t="str">
        <f t="shared" si="78"/>
        <v/>
      </c>
      <c r="T378" s="40" t="str">
        <f t="shared" si="78"/>
        <v/>
      </c>
      <c r="U378" s="40" t="str">
        <f t="shared" si="78"/>
        <v/>
      </c>
      <c r="V378" s="40" t="str">
        <f t="shared" si="78"/>
        <v/>
      </c>
      <c r="W378" s="40" t="str">
        <f t="shared" si="78"/>
        <v/>
      </c>
      <c r="X378" s="40" t="str">
        <f t="shared" si="78"/>
        <v/>
      </c>
      <c r="Y378" s="40" t="str">
        <f t="shared" si="78"/>
        <v/>
      </c>
      <c r="Z378" s="40" t="str">
        <f t="shared" si="78"/>
        <v/>
      </c>
      <c r="AA378" s="40" t="str">
        <f t="shared" si="78"/>
        <v/>
      </c>
      <c r="AB378" s="40" t="str">
        <f t="shared" si="78"/>
        <v/>
      </c>
      <c r="AC378" s="40" t="str">
        <f t="shared" si="78"/>
        <v/>
      </c>
      <c r="AD378" s="40" t="str">
        <f t="shared" si="78"/>
        <v/>
      </c>
      <c r="AE378" s="40" t="str">
        <f t="shared" si="78"/>
        <v/>
      </c>
      <c r="AF378" s="40" t="str">
        <f t="shared" si="78"/>
        <v/>
      </c>
      <c r="AG378" s="40" t="str">
        <f t="shared" si="78"/>
        <v/>
      </c>
      <c r="AH378" s="40" t="str">
        <f t="shared" si="78"/>
        <v/>
      </c>
      <c r="AI378" s="40" t="str">
        <f t="shared" si="78"/>
        <v/>
      </c>
      <c r="AJ378" s="40" t="str">
        <f t="shared" si="78"/>
        <v/>
      </c>
      <c r="AK378" s="63"/>
    </row>
    <row r="379" spans="1:40" ht="15" customHeight="1" x14ac:dyDescent="0.35">
      <c r="A379" s="1196"/>
      <c r="B379" s="22">
        <v>11</v>
      </c>
      <c r="C379" s="40" t="str">
        <f t="shared" ref="C379:AJ379" si="79">IF(AND(COUNTIF(C14,"*V*"),COUNTIF(D14,"*V*")),1,"")</f>
        <v/>
      </c>
      <c r="D379" s="40" t="str">
        <f t="shared" si="79"/>
        <v/>
      </c>
      <c r="E379" s="40" t="str">
        <f t="shared" si="79"/>
        <v/>
      </c>
      <c r="F379" s="40" t="str">
        <f t="shared" si="79"/>
        <v/>
      </c>
      <c r="G379" s="40" t="str">
        <f t="shared" si="79"/>
        <v/>
      </c>
      <c r="H379" s="40" t="str">
        <f t="shared" si="79"/>
        <v/>
      </c>
      <c r="I379" s="40" t="str">
        <f t="shared" si="79"/>
        <v/>
      </c>
      <c r="J379" s="40" t="str">
        <f t="shared" si="79"/>
        <v/>
      </c>
      <c r="K379" s="40" t="str">
        <f t="shared" si="79"/>
        <v/>
      </c>
      <c r="L379" s="40" t="str">
        <f t="shared" si="79"/>
        <v/>
      </c>
      <c r="M379" s="40" t="str">
        <f t="shared" si="79"/>
        <v/>
      </c>
      <c r="N379" s="40" t="str">
        <f t="shared" si="79"/>
        <v/>
      </c>
      <c r="O379" s="40" t="str">
        <f t="shared" si="79"/>
        <v/>
      </c>
      <c r="P379" s="40" t="str">
        <f t="shared" si="79"/>
        <v/>
      </c>
      <c r="Q379" s="40" t="str">
        <f t="shared" si="79"/>
        <v/>
      </c>
      <c r="R379" s="40" t="str">
        <f t="shared" si="79"/>
        <v/>
      </c>
      <c r="S379" s="40" t="str">
        <f t="shared" si="79"/>
        <v/>
      </c>
      <c r="T379" s="40" t="str">
        <f t="shared" si="79"/>
        <v/>
      </c>
      <c r="U379" s="40" t="str">
        <f t="shared" si="79"/>
        <v/>
      </c>
      <c r="V379" s="40" t="str">
        <f t="shared" si="79"/>
        <v/>
      </c>
      <c r="W379" s="40" t="str">
        <f t="shared" si="79"/>
        <v/>
      </c>
      <c r="X379" s="40" t="str">
        <f t="shared" si="79"/>
        <v/>
      </c>
      <c r="Y379" s="40" t="str">
        <f t="shared" si="79"/>
        <v/>
      </c>
      <c r="Z379" s="40" t="str">
        <f t="shared" si="79"/>
        <v/>
      </c>
      <c r="AA379" s="40" t="str">
        <f t="shared" si="79"/>
        <v/>
      </c>
      <c r="AB379" s="40" t="str">
        <f t="shared" si="79"/>
        <v/>
      </c>
      <c r="AC379" s="40" t="str">
        <f t="shared" si="79"/>
        <v/>
      </c>
      <c r="AD379" s="40" t="str">
        <f t="shared" si="79"/>
        <v/>
      </c>
      <c r="AE379" s="40" t="str">
        <f t="shared" si="79"/>
        <v/>
      </c>
      <c r="AF379" s="40" t="str">
        <f t="shared" si="79"/>
        <v/>
      </c>
      <c r="AG379" s="40" t="str">
        <f t="shared" si="79"/>
        <v/>
      </c>
      <c r="AH379" s="40" t="str">
        <f t="shared" si="79"/>
        <v/>
      </c>
      <c r="AI379" s="40" t="str">
        <f t="shared" si="79"/>
        <v/>
      </c>
      <c r="AJ379" s="40" t="str">
        <f t="shared" si="79"/>
        <v/>
      </c>
      <c r="AK379" s="63"/>
    </row>
    <row r="380" spans="1:40" ht="15.75" customHeight="1" thickBot="1" x14ac:dyDescent="0.4">
      <c r="A380" s="1197"/>
      <c r="B380" s="23">
        <v>12</v>
      </c>
      <c r="C380" s="40" t="str">
        <f t="shared" ref="C380:AJ380" si="80">IF(AND(COUNTIF(C15,"*V*"),COUNTIF(D15,"*V*")),1,"")</f>
        <v/>
      </c>
      <c r="D380" s="40" t="str">
        <f t="shared" si="80"/>
        <v/>
      </c>
      <c r="E380" s="40" t="str">
        <f t="shared" si="80"/>
        <v/>
      </c>
      <c r="F380" s="40" t="str">
        <f t="shared" si="80"/>
        <v/>
      </c>
      <c r="G380" s="40" t="str">
        <f t="shared" si="80"/>
        <v/>
      </c>
      <c r="H380" s="40" t="str">
        <f t="shared" si="80"/>
        <v/>
      </c>
      <c r="I380" s="40" t="str">
        <f t="shared" si="80"/>
        <v/>
      </c>
      <c r="J380" s="40" t="str">
        <f t="shared" si="80"/>
        <v/>
      </c>
      <c r="K380" s="40" t="str">
        <f t="shared" si="80"/>
        <v/>
      </c>
      <c r="L380" s="40" t="str">
        <f t="shared" si="80"/>
        <v/>
      </c>
      <c r="M380" s="40" t="str">
        <f t="shared" si="80"/>
        <v/>
      </c>
      <c r="N380" s="40" t="str">
        <f t="shared" si="80"/>
        <v/>
      </c>
      <c r="O380" s="40" t="str">
        <f t="shared" si="80"/>
        <v/>
      </c>
      <c r="P380" s="40" t="str">
        <f t="shared" si="80"/>
        <v/>
      </c>
      <c r="Q380" s="40" t="str">
        <f t="shared" si="80"/>
        <v/>
      </c>
      <c r="R380" s="40" t="str">
        <f t="shared" si="80"/>
        <v/>
      </c>
      <c r="S380" s="40" t="str">
        <f t="shared" si="80"/>
        <v/>
      </c>
      <c r="T380" s="40" t="str">
        <f t="shared" si="80"/>
        <v/>
      </c>
      <c r="U380" s="40" t="str">
        <f t="shared" si="80"/>
        <v/>
      </c>
      <c r="V380" s="40" t="str">
        <f t="shared" si="80"/>
        <v/>
      </c>
      <c r="W380" s="40" t="str">
        <f t="shared" si="80"/>
        <v/>
      </c>
      <c r="X380" s="40" t="str">
        <f t="shared" si="80"/>
        <v/>
      </c>
      <c r="Y380" s="40" t="str">
        <f t="shared" si="80"/>
        <v/>
      </c>
      <c r="Z380" s="40" t="str">
        <f t="shared" si="80"/>
        <v/>
      </c>
      <c r="AA380" s="40" t="str">
        <f t="shared" si="80"/>
        <v/>
      </c>
      <c r="AB380" s="40" t="str">
        <f t="shared" si="80"/>
        <v/>
      </c>
      <c r="AC380" s="40" t="str">
        <f t="shared" si="80"/>
        <v/>
      </c>
      <c r="AD380" s="40" t="str">
        <f t="shared" si="80"/>
        <v/>
      </c>
      <c r="AE380" s="40" t="str">
        <f t="shared" si="80"/>
        <v/>
      </c>
      <c r="AF380" s="40" t="str">
        <f t="shared" si="80"/>
        <v/>
      </c>
      <c r="AG380" s="40" t="str">
        <f t="shared" si="80"/>
        <v/>
      </c>
      <c r="AH380" s="40" t="str">
        <f t="shared" si="80"/>
        <v/>
      </c>
      <c r="AI380" s="40" t="str">
        <f t="shared" si="80"/>
        <v/>
      </c>
      <c r="AJ380" s="40" t="str">
        <f t="shared" si="80"/>
        <v/>
      </c>
      <c r="AK380" s="63"/>
    </row>
    <row r="381" spans="1:40" ht="15" customHeight="1" thickBot="1" x14ac:dyDescent="0.4">
      <c r="AN381" s="113"/>
    </row>
    <row r="382" spans="1:40" ht="15" customHeight="1" x14ac:dyDescent="0.35">
      <c r="A382" s="1202"/>
      <c r="B382" s="1203"/>
      <c r="C382" s="1207" t="s">
        <v>17</v>
      </c>
      <c r="D382" s="1207"/>
      <c r="E382" s="1207"/>
      <c r="F382" s="1207"/>
      <c r="G382" s="1207"/>
      <c r="H382" s="1207"/>
      <c r="I382" s="1207"/>
      <c r="J382" s="1207"/>
      <c r="K382" s="1207"/>
      <c r="L382" s="1207"/>
      <c r="M382" s="1207"/>
      <c r="N382" s="1207"/>
      <c r="O382" s="1207"/>
      <c r="P382" s="1207"/>
      <c r="Q382" s="1207"/>
      <c r="R382" s="1207"/>
      <c r="S382" s="1207"/>
      <c r="T382" s="1207"/>
      <c r="U382" s="1207"/>
      <c r="V382" s="1208"/>
      <c r="W382" s="6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8"/>
    </row>
    <row r="383" spans="1:40" ht="15.75" customHeight="1" thickBot="1" x14ac:dyDescent="0.4">
      <c r="A383" s="1204"/>
      <c r="B383" s="1205"/>
      <c r="C383" s="16">
        <v>1</v>
      </c>
      <c r="D383" s="17">
        <v>2</v>
      </c>
      <c r="E383" s="17">
        <v>3</v>
      </c>
      <c r="F383" s="17">
        <v>4</v>
      </c>
      <c r="G383" s="17">
        <v>5</v>
      </c>
      <c r="H383" s="17">
        <v>6</v>
      </c>
      <c r="I383" s="17">
        <v>7</v>
      </c>
      <c r="J383" s="17">
        <v>8</v>
      </c>
      <c r="K383" s="17">
        <v>9</v>
      </c>
      <c r="L383" s="17">
        <v>10</v>
      </c>
      <c r="M383" s="17">
        <v>11</v>
      </c>
      <c r="N383" s="17">
        <v>12</v>
      </c>
      <c r="O383" s="17">
        <v>13</v>
      </c>
      <c r="P383" s="17">
        <v>14</v>
      </c>
      <c r="Q383" s="17">
        <v>15</v>
      </c>
      <c r="R383" s="17">
        <v>16</v>
      </c>
      <c r="S383" s="17">
        <v>17</v>
      </c>
      <c r="T383" s="17">
        <v>18</v>
      </c>
      <c r="U383" s="17">
        <v>19</v>
      </c>
      <c r="V383" s="18">
        <v>20</v>
      </c>
      <c r="W383" s="17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20"/>
    </row>
    <row r="384" spans="1:40" ht="15" customHeight="1" x14ac:dyDescent="0.35">
      <c r="A384" s="1196" t="s">
        <v>18</v>
      </c>
      <c r="B384" s="21">
        <v>1</v>
      </c>
      <c r="C384" s="40" t="str">
        <f>IF(AND(COUNTIF(C61,"*V*"),COUNTIF(D61,"*V*")),1,"")</f>
        <v/>
      </c>
      <c r="D384" s="40" t="str">
        <f t="shared" ref="D384:AJ384" si="81">IF(AND(COUNTIF(D61,"*V*"),COUNTIF(E61,"*V*")),1,"")</f>
        <v/>
      </c>
      <c r="E384" s="40" t="str">
        <f t="shared" si="81"/>
        <v/>
      </c>
      <c r="F384" s="40" t="str">
        <f t="shared" si="81"/>
        <v/>
      </c>
      <c r="G384" s="40" t="str">
        <f t="shared" si="81"/>
        <v/>
      </c>
      <c r="H384" s="40" t="str">
        <f t="shared" si="81"/>
        <v/>
      </c>
      <c r="I384" s="40" t="str">
        <f t="shared" si="81"/>
        <v/>
      </c>
      <c r="J384" s="40" t="str">
        <f t="shared" si="81"/>
        <v/>
      </c>
      <c r="K384" s="40" t="str">
        <f t="shared" si="81"/>
        <v/>
      </c>
      <c r="L384" s="40" t="str">
        <f t="shared" si="81"/>
        <v/>
      </c>
      <c r="M384" s="40" t="str">
        <f t="shared" si="81"/>
        <v/>
      </c>
      <c r="N384" s="40" t="str">
        <f t="shared" si="81"/>
        <v/>
      </c>
      <c r="O384" s="40" t="str">
        <f t="shared" si="81"/>
        <v/>
      </c>
      <c r="P384" s="40" t="str">
        <f t="shared" si="81"/>
        <v/>
      </c>
      <c r="Q384" s="40" t="str">
        <f t="shared" si="81"/>
        <v/>
      </c>
      <c r="R384" s="40" t="str">
        <f t="shared" si="81"/>
        <v/>
      </c>
      <c r="S384" s="40" t="str">
        <f t="shared" si="81"/>
        <v/>
      </c>
      <c r="T384" s="40" t="str">
        <f t="shared" si="81"/>
        <v/>
      </c>
      <c r="U384" s="40" t="str">
        <f t="shared" si="81"/>
        <v/>
      </c>
      <c r="V384" s="40" t="str">
        <f t="shared" si="81"/>
        <v/>
      </c>
      <c r="W384" s="40" t="str">
        <f t="shared" si="81"/>
        <v/>
      </c>
      <c r="X384" s="40" t="str">
        <f t="shared" si="81"/>
        <v/>
      </c>
      <c r="Y384" s="40" t="str">
        <f t="shared" si="81"/>
        <v/>
      </c>
      <c r="Z384" s="40" t="str">
        <f t="shared" si="81"/>
        <v/>
      </c>
      <c r="AA384" s="40" t="str">
        <f t="shared" si="81"/>
        <v/>
      </c>
      <c r="AB384" s="40" t="str">
        <f t="shared" si="81"/>
        <v/>
      </c>
      <c r="AC384" s="40" t="str">
        <f t="shared" si="81"/>
        <v/>
      </c>
      <c r="AD384" s="40" t="str">
        <f t="shared" si="81"/>
        <v/>
      </c>
      <c r="AE384" s="40" t="str">
        <f t="shared" si="81"/>
        <v/>
      </c>
      <c r="AF384" s="40" t="str">
        <f t="shared" si="81"/>
        <v/>
      </c>
      <c r="AG384" s="40" t="str">
        <f t="shared" si="81"/>
        <v/>
      </c>
      <c r="AH384" s="40" t="str">
        <f t="shared" si="81"/>
        <v/>
      </c>
      <c r="AI384" s="40" t="str">
        <f t="shared" si="81"/>
        <v/>
      </c>
      <c r="AJ384" s="40" t="str">
        <f t="shared" si="81"/>
        <v/>
      </c>
      <c r="AK384" s="62"/>
    </row>
    <row r="385" spans="1:37" ht="15" customHeight="1" x14ac:dyDescent="0.35">
      <c r="A385" s="1196"/>
      <c r="B385" s="22">
        <v>2</v>
      </c>
      <c r="C385" s="40" t="str">
        <f t="shared" ref="C385:AJ385" si="82">IF(AND(COUNTIF(C62,"*V*"),COUNTIF(D62,"*V*")),1,"")</f>
        <v/>
      </c>
      <c r="D385" s="40" t="str">
        <f t="shared" si="82"/>
        <v/>
      </c>
      <c r="E385" s="40" t="str">
        <f t="shared" si="82"/>
        <v/>
      </c>
      <c r="F385" s="40" t="str">
        <f t="shared" si="82"/>
        <v/>
      </c>
      <c r="G385" s="40" t="str">
        <f t="shared" si="82"/>
        <v/>
      </c>
      <c r="H385" s="40" t="str">
        <f t="shared" si="82"/>
        <v/>
      </c>
      <c r="I385" s="40" t="str">
        <f t="shared" si="82"/>
        <v/>
      </c>
      <c r="J385" s="40" t="str">
        <f t="shared" si="82"/>
        <v/>
      </c>
      <c r="K385" s="40" t="str">
        <f t="shared" si="82"/>
        <v/>
      </c>
      <c r="L385" s="40" t="str">
        <f t="shared" si="82"/>
        <v/>
      </c>
      <c r="M385" s="40" t="str">
        <f t="shared" si="82"/>
        <v/>
      </c>
      <c r="N385" s="40" t="str">
        <f t="shared" si="82"/>
        <v/>
      </c>
      <c r="O385" s="40" t="str">
        <f t="shared" si="82"/>
        <v/>
      </c>
      <c r="P385" s="40" t="str">
        <f t="shared" si="82"/>
        <v/>
      </c>
      <c r="Q385" s="40" t="str">
        <f t="shared" si="82"/>
        <v/>
      </c>
      <c r="R385" s="40" t="str">
        <f t="shared" si="82"/>
        <v/>
      </c>
      <c r="S385" s="40" t="str">
        <f t="shared" si="82"/>
        <v/>
      </c>
      <c r="T385" s="40" t="str">
        <f t="shared" si="82"/>
        <v/>
      </c>
      <c r="U385" s="40" t="str">
        <f t="shared" si="82"/>
        <v/>
      </c>
      <c r="V385" s="40" t="str">
        <f t="shared" si="82"/>
        <v/>
      </c>
      <c r="W385" s="40" t="str">
        <f t="shared" si="82"/>
        <v/>
      </c>
      <c r="X385" s="40" t="str">
        <f t="shared" si="82"/>
        <v/>
      </c>
      <c r="Y385" s="40" t="str">
        <f t="shared" si="82"/>
        <v/>
      </c>
      <c r="Z385" s="40" t="str">
        <f t="shared" si="82"/>
        <v/>
      </c>
      <c r="AA385" s="40" t="str">
        <f t="shared" si="82"/>
        <v/>
      </c>
      <c r="AB385" s="40" t="str">
        <f t="shared" si="82"/>
        <v/>
      </c>
      <c r="AC385" s="40" t="str">
        <f t="shared" si="82"/>
        <v/>
      </c>
      <c r="AD385" s="40" t="str">
        <f t="shared" si="82"/>
        <v/>
      </c>
      <c r="AE385" s="40" t="str">
        <f t="shared" si="82"/>
        <v/>
      </c>
      <c r="AF385" s="40" t="str">
        <f t="shared" si="82"/>
        <v/>
      </c>
      <c r="AG385" s="40" t="str">
        <f t="shared" si="82"/>
        <v/>
      </c>
      <c r="AH385" s="40" t="str">
        <f t="shared" si="82"/>
        <v/>
      </c>
      <c r="AI385" s="40" t="str">
        <f t="shared" si="82"/>
        <v/>
      </c>
      <c r="AJ385" s="40" t="str">
        <f t="shared" si="82"/>
        <v/>
      </c>
      <c r="AK385" s="63"/>
    </row>
    <row r="386" spans="1:37" ht="15" customHeight="1" x14ac:dyDescent="0.35">
      <c r="A386" s="1196"/>
      <c r="B386" s="22">
        <v>3</v>
      </c>
      <c r="C386" s="40" t="str">
        <f t="shared" ref="C386:AJ386" si="83">IF(AND(COUNTIF(C63,"*V*"),COUNTIF(D63,"*V*")),1,"")</f>
        <v/>
      </c>
      <c r="D386" s="40" t="str">
        <f t="shared" si="83"/>
        <v/>
      </c>
      <c r="E386" s="40" t="str">
        <f t="shared" si="83"/>
        <v/>
      </c>
      <c r="F386" s="40" t="str">
        <f t="shared" si="83"/>
        <v/>
      </c>
      <c r="G386" s="40" t="str">
        <f t="shared" si="83"/>
        <v/>
      </c>
      <c r="H386" s="40" t="str">
        <f t="shared" si="83"/>
        <v/>
      </c>
      <c r="I386" s="40" t="str">
        <f t="shared" si="83"/>
        <v/>
      </c>
      <c r="J386" s="40" t="str">
        <f t="shared" si="83"/>
        <v/>
      </c>
      <c r="K386" s="40" t="str">
        <f t="shared" si="83"/>
        <v/>
      </c>
      <c r="L386" s="40" t="str">
        <f t="shared" si="83"/>
        <v/>
      </c>
      <c r="M386" s="40" t="str">
        <f t="shared" si="83"/>
        <v/>
      </c>
      <c r="N386" s="40" t="str">
        <f t="shared" si="83"/>
        <v/>
      </c>
      <c r="O386" s="40" t="str">
        <f t="shared" si="83"/>
        <v/>
      </c>
      <c r="P386" s="40" t="str">
        <f t="shared" si="83"/>
        <v/>
      </c>
      <c r="Q386" s="40" t="str">
        <f t="shared" si="83"/>
        <v/>
      </c>
      <c r="R386" s="40" t="str">
        <f t="shared" si="83"/>
        <v/>
      </c>
      <c r="S386" s="40" t="str">
        <f t="shared" si="83"/>
        <v/>
      </c>
      <c r="T386" s="40" t="str">
        <f t="shared" si="83"/>
        <v/>
      </c>
      <c r="U386" s="40" t="str">
        <f t="shared" si="83"/>
        <v/>
      </c>
      <c r="V386" s="40" t="str">
        <f t="shared" si="83"/>
        <v/>
      </c>
      <c r="W386" s="40" t="str">
        <f t="shared" si="83"/>
        <v/>
      </c>
      <c r="X386" s="40" t="str">
        <f t="shared" si="83"/>
        <v/>
      </c>
      <c r="Y386" s="40" t="str">
        <f t="shared" si="83"/>
        <v/>
      </c>
      <c r="Z386" s="40" t="str">
        <f t="shared" si="83"/>
        <v/>
      </c>
      <c r="AA386" s="40" t="str">
        <f t="shared" si="83"/>
        <v/>
      </c>
      <c r="AB386" s="40" t="str">
        <f t="shared" si="83"/>
        <v/>
      </c>
      <c r="AC386" s="40" t="str">
        <f t="shared" si="83"/>
        <v/>
      </c>
      <c r="AD386" s="40" t="str">
        <f t="shared" si="83"/>
        <v/>
      </c>
      <c r="AE386" s="40" t="str">
        <f t="shared" si="83"/>
        <v/>
      </c>
      <c r="AF386" s="40" t="str">
        <f t="shared" si="83"/>
        <v/>
      </c>
      <c r="AG386" s="40" t="str">
        <f t="shared" si="83"/>
        <v/>
      </c>
      <c r="AH386" s="40" t="str">
        <f t="shared" si="83"/>
        <v/>
      </c>
      <c r="AI386" s="40" t="str">
        <f t="shared" si="83"/>
        <v/>
      </c>
      <c r="AJ386" s="40" t="str">
        <f t="shared" si="83"/>
        <v/>
      </c>
      <c r="AK386" s="63"/>
    </row>
    <row r="387" spans="1:37" ht="15" customHeight="1" x14ac:dyDescent="0.35">
      <c r="A387" s="1196"/>
      <c r="B387" s="22">
        <v>4</v>
      </c>
      <c r="C387" s="40" t="str">
        <f t="shared" ref="C387:AJ387" si="84">IF(AND(COUNTIF(C64,"*V*"),COUNTIF(D64,"*V*")),1,"")</f>
        <v/>
      </c>
      <c r="D387" s="40" t="str">
        <f t="shared" si="84"/>
        <v/>
      </c>
      <c r="E387" s="40" t="str">
        <f t="shared" si="84"/>
        <v/>
      </c>
      <c r="F387" s="40" t="str">
        <f t="shared" si="84"/>
        <v/>
      </c>
      <c r="G387" s="40" t="str">
        <f t="shared" si="84"/>
        <v/>
      </c>
      <c r="H387" s="40" t="str">
        <f t="shared" si="84"/>
        <v/>
      </c>
      <c r="I387" s="40" t="str">
        <f t="shared" si="84"/>
        <v/>
      </c>
      <c r="J387" s="40" t="str">
        <f t="shared" si="84"/>
        <v/>
      </c>
      <c r="K387" s="40" t="str">
        <f t="shared" si="84"/>
        <v/>
      </c>
      <c r="L387" s="40" t="str">
        <f t="shared" si="84"/>
        <v/>
      </c>
      <c r="M387" s="40" t="str">
        <f t="shared" si="84"/>
        <v/>
      </c>
      <c r="N387" s="40" t="str">
        <f t="shared" si="84"/>
        <v/>
      </c>
      <c r="O387" s="40" t="str">
        <f t="shared" si="84"/>
        <v/>
      </c>
      <c r="P387" s="40" t="str">
        <f t="shared" si="84"/>
        <v/>
      </c>
      <c r="Q387" s="40" t="str">
        <f t="shared" si="84"/>
        <v/>
      </c>
      <c r="R387" s="40" t="str">
        <f t="shared" si="84"/>
        <v/>
      </c>
      <c r="S387" s="40" t="str">
        <f t="shared" si="84"/>
        <v/>
      </c>
      <c r="T387" s="40" t="str">
        <f t="shared" si="84"/>
        <v/>
      </c>
      <c r="U387" s="40" t="str">
        <f t="shared" si="84"/>
        <v/>
      </c>
      <c r="V387" s="40" t="str">
        <f t="shared" si="84"/>
        <v/>
      </c>
      <c r="W387" s="40" t="str">
        <f t="shared" si="84"/>
        <v/>
      </c>
      <c r="X387" s="40" t="str">
        <f t="shared" si="84"/>
        <v/>
      </c>
      <c r="Y387" s="40" t="str">
        <f t="shared" si="84"/>
        <v/>
      </c>
      <c r="Z387" s="40" t="str">
        <f t="shared" si="84"/>
        <v/>
      </c>
      <c r="AA387" s="40" t="str">
        <f t="shared" si="84"/>
        <v/>
      </c>
      <c r="AB387" s="40" t="str">
        <f t="shared" si="84"/>
        <v/>
      </c>
      <c r="AC387" s="40" t="str">
        <f t="shared" si="84"/>
        <v/>
      </c>
      <c r="AD387" s="40" t="str">
        <f t="shared" si="84"/>
        <v/>
      </c>
      <c r="AE387" s="40" t="str">
        <f t="shared" si="84"/>
        <v/>
      </c>
      <c r="AF387" s="40" t="str">
        <f t="shared" si="84"/>
        <v/>
      </c>
      <c r="AG387" s="40" t="str">
        <f t="shared" si="84"/>
        <v/>
      </c>
      <c r="AH387" s="40" t="str">
        <f t="shared" si="84"/>
        <v/>
      </c>
      <c r="AI387" s="40" t="str">
        <f t="shared" si="84"/>
        <v/>
      </c>
      <c r="AJ387" s="40" t="str">
        <f t="shared" si="84"/>
        <v/>
      </c>
      <c r="AK387" s="63"/>
    </row>
    <row r="388" spans="1:37" ht="15" customHeight="1" x14ac:dyDescent="0.35">
      <c r="A388" s="1196"/>
      <c r="B388" s="22">
        <v>5</v>
      </c>
      <c r="C388" s="40" t="str">
        <f t="shared" ref="C388:AJ388" si="85">IF(AND(COUNTIF(C65,"*V*"),COUNTIF(D65,"*V*")),1,"")</f>
        <v/>
      </c>
      <c r="D388" s="40" t="str">
        <f t="shared" si="85"/>
        <v/>
      </c>
      <c r="E388" s="40" t="str">
        <f t="shared" si="85"/>
        <v/>
      </c>
      <c r="F388" s="40" t="str">
        <f t="shared" si="85"/>
        <v/>
      </c>
      <c r="G388" s="40" t="str">
        <f t="shared" si="85"/>
        <v/>
      </c>
      <c r="H388" s="40" t="str">
        <f t="shared" si="85"/>
        <v/>
      </c>
      <c r="I388" s="40" t="str">
        <f t="shared" si="85"/>
        <v/>
      </c>
      <c r="J388" s="40" t="str">
        <f t="shared" si="85"/>
        <v/>
      </c>
      <c r="K388" s="40" t="str">
        <f t="shared" si="85"/>
        <v/>
      </c>
      <c r="L388" s="40" t="str">
        <f t="shared" si="85"/>
        <v/>
      </c>
      <c r="M388" s="40" t="str">
        <f t="shared" si="85"/>
        <v/>
      </c>
      <c r="N388" s="40" t="str">
        <f t="shared" si="85"/>
        <v/>
      </c>
      <c r="O388" s="40" t="str">
        <f t="shared" si="85"/>
        <v/>
      </c>
      <c r="P388" s="40" t="str">
        <f t="shared" si="85"/>
        <v/>
      </c>
      <c r="Q388" s="40" t="str">
        <f t="shared" si="85"/>
        <v/>
      </c>
      <c r="R388" s="40" t="str">
        <f t="shared" si="85"/>
        <v/>
      </c>
      <c r="S388" s="40" t="str">
        <f t="shared" si="85"/>
        <v/>
      </c>
      <c r="T388" s="40" t="str">
        <f t="shared" si="85"/>
        <v/>
      </c>
      <c r="U388" s="40" t="str">
        <f t="shared" si="85"/>
        <v/>
      </c>
      <c r="V388" s="40" t="str">
        <f t="shared" si="85"/>
        <v/>
      </c>
      <c r="W388" s="40" t="str">
        <f t="shared" si="85"/>
        <v/>
      </c>
      <c r="X388" s="40" t="str">
        <f t="shared" si="85"/>
        <v/>
      </c>
      <c r="Y388" s="40" t="str">
        <f t="shared" si="85"/>
        <v/>
      </c>
      <c r="Z388" s="40" t="str">
        <f t="shared" si="85"/>
        <v/>
      </c>
      <c r="AA388" s="40" t="str">
        <f t="shared" si="85"/>
        <v/>
      </c>
      <c r="AB388" s="40" t="str">
        <f t="shared" si="85"/>
        <v/>
      </c>
      <c r="AC388" s="40" t="str">
        <f t="shared" si="85"/>
        <v/>
      </c>
      <c r="AD388" s="40" t="str">
        <f t="shared" si="85"/>
        <v/>
      </c>
      <c r="AE388" s="40" t="str">
        <f t="shared" si="85"/>
        <v/>
      </c>
      <c r="AF388" s="40" t="str">
        <f t="shared" si="85"/>
        <v/>
      </c>
      <c r="AG388" s="40" t="str">
        <f t="shared" si="85"/>
        <v/>
      </c>
      <c r="AH388" s="40" t="str">
        <f t="shared" si="85"/>
        <v/>
      </c>
      <c r="AI388" s="40" t="str">
        <f t="shared" si="85"/>
        <v/>
      </c>
      <c r="AJ388" s="40" t="str">
        <f t="shared" si="85"/>
        <v/>
      </c>
      <c r="AK388" s="63"/>
    </row>
    <row r="389" spans="1:37" ht="15" customHeight="1" x14ac:dyDescent="0.35">
      <c r="A389" s="1196"/>
      <c r="B389" s="22">
        <v>6</v>
      </c>
      <c r="C389" s="40" t="str">
        <f t="shared" ref="C389:AJ389" si="86">IF(AND(COUNTIF(C66,"*V*"),COUNTIF(D66,"*V*")),1,"")</f>
        <v/>
      </c>
      <c r="D389" s="40" t="str">
        <f t="shared" si="86"/>
        <v/>
      </c>
      <c r="E389" s="40" t="str">
        <f t="shared" si="86"/>
        <v/>
      </c>
      <c r="F389" s="40" t="str">
        <f t="shared" si="86"/>
        <v/>
      </c>
      <c r="G389" s="40" t="str">
        <f t="shared" si="86"/>
        <v/>
      </c>
      <c r="H389" s="40" t="str">
        <f t="shared" si="86"/>
        <v/>
      </c>
      <c r="I389" s="40" t="str">
        <f t="shared" si="86"/>
        <v/>
      </c>
      <c r="J389" s="40" t="str">
        <f t="shared" si="86"/>
        <v/>
      </c>
      <c r="K389" s="40" t="str">
        <f t="shared" si="86"/>
        <v/>
      </c>
      <c r="L389" s="40" t="str">
        <f t="shared" si="86"/>
        <v/>
      </c>
      <c r="M389" s="40" t="str">
        <f t="shared" si="86"/>
        <v/>
      </c>
      <c r="N389" s="40" t="str">
        <f t="shared" si="86"/>
        <v/>
      </c>
      <c r="O389" s="40" t="str">
        <f t="shared" si="86"/>
        <v/>
      </c>
      <c r="P389" s="40" t="str">
        <f t="shared" si="86"/>
        <v/>
      </c>
      <c r="Q389" s="40" t="str">
        <f t="shared" si="86"/>
        <v/>
      </c>
      <c r="R389" s="40" t="str">
        <f t="shared" si="86"/>
        <v/>
      </c>
      <c r="S389" s="40" t="str">
        <f t="shared" si="86"/>
        <v/>
      </c>
      <c r="T389" s="40" t="str">
        <f t="shared" si="86"/>
        <v/>
      </c>
      <c r="U389" s="40" t="str">
        <f t="shared" si="86"/>
        <v/>
      </c>
      <c r="V389" s="40" t="str">
        <f t="shared" si="86"/>
        <v/>
      </c>
      <c r="W389" s="40" t="str">
        <f t="shared" si="86"/>
        <v/>
      </c>
      <c r="X389" s="40" t="str">
        <f t="shared" si="86"/>
        <v/>
      </c>
      <c r="Y389" s="40" t="str">
        <f t="shared" si="86"/>
        <v/>
      </c>
      <c r="Z389" s="40" t="str">
        <f t="shared" si="86"/>
        <v/>
      </c>
      <c r="AA389" s="40" t="str">
        <f t="shared" si="86"/>
        <v/>
      </c>
      <c r="AB389" s="40" t="str">
        <f t="shared" si="86"/>
        <v/>
      </c>
      <c r="AC389" s="40" t="str">
        <f t="shared" si="86"/>
        <v/>
      </c>
      <c r="AD389" s="40" t="str">
        <f t="shared" si="86"/>
        <v/>
      </c>
      <c r="AE389" s="40" t="str">
        <f t="shared" si="86"/>
        <v/>
      </c>
      <c r="AF389" s="40" t="str">
        <f t="shared" si="86"/>
        <v/>
      </c>
      <c r="AG389" s="40" t="str">
        <f t="shared" si="86"/>
        <v/>
      </c>
      <c r="AH389" s="40" t="str">
        <f t="shared" si="86"/>
        <v/>
      </c>
      <c r="AI389" s="40" t="str">
        <f t="shared" si="86"/>
        <v/>
      </c>
      <c r="AJ389" s="40" t="str">
        <f t="shared" si="86"/>
        <v/>
      </c>
      <c r="AK389" s="63"/>
    </row>
    <row r="390" spans="1:37" ht="15" customHeight="1" x14ac:dyDescent="0.35">
      <c r="A390" s="1196"/>
      <c r="B390" s="22">
        <v>7</v>
      </c>
      <c r="C390" s="40" t="str">
        <f t="shared" ref="C390:AJ390" si="87">IF(AND(COUNTIF(C67,"*V*"),COUNTIF(D67,"*V*")),1,"")</f>
        <v/>
      </c>
      <c r="D390" s="40" t="str">
        <f t="shared" si="87"/>
        <v/>
      </c>
      <c r="E390" s="40" t="str">
        <f t="shared" si="87"/>
        <v/>
      </c>
      <c r="F390" s="40" t="str">
        <f t="shared" si="87"/>
        <v/>
      </c>
      <c r="G390" s="40" t="str">
        <f t="shared" si="87"/>
        <v/>
      </c>
      <c r="H390" s="40" t="str">
        <f t="shared" si="87"/>
        <v/>
      </c>
      <c r="I390" s="40" t="str">
        <f t="shared" si="87"/>
        <v/>
      </c>
      <c r="J390" s="40" t="str">
        <f t="shared" si="87"/>
        <v/>
      </c>
      <c r="K390" s="40" t="str">
        <f t="shared" si="87"/>
        <v/>
      </c>
      <c r="L390" s="40" t="str">
        <f t="shared" si="87"/>
        <v/>
      </c>
      <c r="M390" s="40" t="str">
        <f t="shared" si="87"/>
        <v/>
      </c>
      <c r="N390" s="40" t="str">
        <f t="shared" si="87"/>
        <v/>
      </c>
      <c r="O390" s="40" t="str">
        <f t="shared" si="87"/>
        <v/>
      </c>
      <c r="P390" s="40" t="str">
        <f t="shared" si="87"/>
        <v/>
      </c>
      <c r="Q390" s="40" t="str">
        <f t="shared" si="87"/>
        <v/>
      </c>
      <c r="R390" s="40" t="str">
        <f t="shared" si="87"/>
        <v/>
      </c>
      <c r="S390" s="40" t="str">
        <f t="shared" si="87"/>
        <v/>
      </c>
      <c r="T390" s="40" t="str">
        <f t="shared" si="87"/>
        <v/>
      </c>
      <c r="U390" s="40" t="str">
        <f t="shared" si="87"/>
        <v/>
      </c>
      <c r="V390" s="40" t="str">
        <f t="shared" si="87"/>
        <v/>
      </c>
      <c r="W390" s="40" t="str">
        <f t="shared" si="87"/>
        <v/>
      </c>
      <c r="X390" s="40" t="str">
        <f t="shared" si="87"/>
        <v/>
      </c>
      <c r="Y390" s="40" t="str">
        <f t="shared" si="87"/>
        <v/>
      </c>
      <c r="Z390" s="40" t="str">
        <f t="shared" si="87"/>
        <v/>
      </c>
      <c r="AA390" s="40" t="str">
        <f t="shared" si="87"/>
        <v/>
      </c>
      <c r="AB390" s="40" t="str">
        <f t="shared" si="87"/>
        <v/>
      </c>
      <c r="AC390" s="40" t="str">
        <f t="shared" si="87"/>
        <v/>
      </c>
      <c r="AD390" s="40" t="str">
        <f t="shared" si="87"/>
        <v/>
      </c>
      <c r="AE390" s="40" t="str">
        <f t="shared" si="87"/>
        <v/>
      </c>
      <c r="AF390" s="40" t="str">
        <f t="shared" si="87"/>
        <v/>
      </c>
      <c r="AG390" s="40" t="str">
        <f t="shared" si="87"/>
        <v/>
      </c>
      <c r="AH390" s="40" t="str">
        <f t="shared" si="87"/>
        <v/>
      </c>
      <c r="AI390" s="40" t="str">
        <f t="shared" si="87"/>
        <v/>
      </c>
      <c r="AJ390" s="40" t="str">
        <f t="shared" si="87"/>
        <v/>
      </c>
      <c r="AK390" s="63"/>
    </row>
    <row r="391" spans="1:37" ht="15" customHeight="1" x14ac:dyDescent="0.35">
      <c r="A391" s="1196"/>
      <c r="B391" s="22">
        <v>8</v>
      </c>
      <c r="C391" s="40" t="str">
        <f t="shared" ref="C391:AJ391" si="88">IF(AND(COUNTIF(C68,"*V*"),COUNTIF(D68,"*V*")),1,"")</f>
        <v/>
      </c>
      <c r="D391" s="40" t="str">
        <f t="shared" si="88"/>
        <v/>
      </c>
      <c r="E391" s="40" t="str">
        <f t="shared" si="88"/>
        <v/>
      </c>
      <c r="F391" s="40" t="str">
        <f t="shared" si="88"/>
        <v/>
      </c>
      <c r="G391" s="40" t="str">
        <f t="shared" si="88"/>
        <v/>
      </c>
      <c r="H391" s="40" t="str">
        <f t="shared" si="88"/>
        <v/>
      </c>
      <c r="I391" s="40" t="str">
        <f t="shared" si="88"/>
        <v/>
      </c>
      <c r="J391" s="40" t="str">
        <f t="shared" si="88"/>
        <v/>
      </c>
      <c r="K391" s="40" t="str">
        <f t="shared" si="88"/>
        <v/>
      </c>
      <c r="L391" s="40" t="str">
        <f t="shared" si="88"/>
        <v/>
      </c>
      <c r="M391" s="40" t="str">
        <f t="shared" si="88"/>
        <v/>
      </c>
      <c r="N391" s="40" t="str">
        <f t="shared" si="88"/>
        <v/>
      </c>
      <c r="O391" s="40" t="str">
        <f t="shared" si="88"/>
        <v/>
      </c>
      <c r="P391" s="40" t="str">
        <f t="shared" si="88"/>
        <v/>
      </c>
      <c r="Q391" s="40" t="str">
        <f t="shared" si="88"/>
        <v/>
      </c>
      <c r="R391" s="40" t="str">
        <f t="shared" si="88"/>
        <v/>
      </c>
      <c r="S391" s="40" t="str">
        <f t="shared" si="88"/>
        <v/>
      </c>
      <c r="T391" s="40" t="str">
        <f t="shared" si="88"/>
        <v/>
      </c>
      <c r="U391" s="40" t="str">
        <f t="shared" si="88"/>
        <v/>
      </c>
      <c r="V391" s="40" t="str">
        <f t="shared" si="88"/>
        <v/>
      </c>
      <c r="W391" s="40" t="str">
        <f t="shared" si="88"/>
        <v/>
      </c>
      <c r="X391" s="40" t="str">
        <f t="shared" si="88"/>
        <v/>
      </c>
      <c r="Y391" s="40" t="str">
        <f t="shared" si="88"/>
        <v/>
      </c>
      <c r="Z391" s="40" t="str">
        <f t="shared" si="88"/>
        <v/>
      </c>
      <c r="AA391" s="40" t="str">
        <f t="shared" si="88"/>
        <v/>
      </c>
      <c r="AB391" s="40" t="str">
        <f t="shared" si="88"/>
        <v/>
      </c>
      <c r="AC391" s="40" t="str">
        <f t="shared" si="88"/>
        <v/>
      </c>
      <c r="AD391" s="40" t="str">
        <f t="shared" si="88"/>
        <v/>
      </c>
      <c r="AE391" s="40" t="str">
        <f t="shared" si="88"/>
        <v/>
      </c>
      <c r="AF391" s="40" t="str">
        <f t="shared" si="88"/>
        <v/>
      </c>
      <c r="AG391" s="40" t="str">
        <f t="shared" si="88"/>
        <v/>
      </c>
      <c r="AH391" s="40" t="str">
        <f t="shared" si="88"/>
        <v/>
      </c>
      <c r="AI391" s="40" t="str">
        <f t="shared" si="88"/>
        <v/>
      </c>
      <c r="AJ391" s="40" t="str">
        <f t="shared" si="88"/>
        <v/>
      </c>
      <c r="AK391" s="63"/>
    </row>
    <row r="392" spans="1:37" ht="15" customHeight="1" x14ac:dyDescent="0.35">
      <c r="A392" s="1196"/>
      <c r="B392" s="22">
        <v>9</v>
      </c>
      <c r="C392" s="40" t="str">
        <f t="shared" ref="C392:AJ392" si="89">IF(AND(COUNTIF(C69,"*V*"),COUNTIF(D69,"*V*")),1,"")</f>
        <v/>
      </c>
      <c r="D392" s="40" t="str">
        <f t="shared" si="89"/>
        <v/>
      </c>
      <c r="E392" s="40" t="str">
        <f t="shared" si="89"/>
        <v/>
      </c>
      <c r="F392" s="40" t="str">
        <f t="shared" si="89"/>
        <v/>
      </c>
      <c r="G392" s="40" t="str">
        <f t="shared" si="89"/>
        <v/>
      </c>
      <c r="H392" s="40" t="str">
        <f t="shared" si="89"/>
        <v/>
      </c>
      <c r="I392" s="40" t="str">
        <f t="shared" si="89"/>
        <v/>
      </c>
      <c r="J392" s="40" t="str">
        <f t="shared" si="89"/>
        <v/>
      </c>
      <c r="K392" s="40" t="str">
        <f t="shared" si="89"/>
        <v/>
      </c>
      <c r="L392" s="40" t="str">
        <f t="shared" si="89"/>
        <v/>
      </c>
      <c r="M392" s="40" t="str">
        <f t="shared" si="89"/>
        <v/>
      </c>
      <c r="N392" s="40" t="str">
        <f t="shared" si="89"/>
        <v/>
      </c>
      <c r="O392" s="40" t="str">
        <f t="shared" si="89"/>
        <v/>
      </c>
      <c r="P392" s="40" t="str">
        <f t="shared" si="89"/>
        <v/>
      </c>
      <c r="Q392" s="40" t="str">
        <f t="shared" si="89"/>
        <v/>
      </c>
      <c r="R392" s="40" t="str">
        <f t="shared" si="89"/>
        <v/>
      </c>
      <c r="S392" s="40" t="str">
        <f t="shared" si="89"/>
        <v/>
      </c>
      <c r="T392" s="40" t="str">
        <f t="shared" si="89"/>
        <v/>
      </c>
      <c r="U392" s="40" t="str">
        <f t="shared" si="89"/>
        <v/>
      </c>
      <c r="V392" s="40" t="str">
        <f t="shared" si="89"/>
        <v/>
      </c>
      <c r="W392" s="40" t="str">
        <f t="shared" si="89"/>
        <v/>
      </c>
      <c r="X392" s="40" t="str">
        <f t="shared" si="89"/>
        <v/>
      </c>
      <c r="Y392" s="40" t="str">
        <f t="shared" si="89"/>
        <v/>
      </c>
      <c r="Z392" s="40" t="str">
        <f t="shared" si="89"/>
        <v/>
      </c>
      <c r="AA392" s="40" t="str">
        <f t="shared" si="89"/>
        <v/>
      </c>
      <c r="AB392" s="40" t="str">
        <f t="shared" si="89"/>
        <v/>
      </c>
      <c r="AC392" s="40" t="str">
        <f t="shared" si="89"/>
        <v/>
      </c>
      <c r="AD392" s="40" t="str">
        <f t="shared" si="89"/>
        <v/>
      </c>
      <c r="AE392" s="40" t="str">
        <f t="shared" si="89"/>
        <v/>
      </c>
      <c r="AF392" s="40" t="str">
        <f t="shared" si="89"/>
        <v/>
      </c>
      <c r="AG392" s="40" t="str">
        <f t="shared" si="89"/>
        <v/>
      </c>
      <c r="AH392" s="40" t="str">
        <f t="shared" si="89"/>
        <v/>
      </c>
      <c r="AI392" s="40" t="str">
        <f t="shared" si="89"/>
        <v/>
      </c>
      <c r="AJ392" s="40" t="str">
        <f t="shared" si="89"/>
        <v/>
      </c>
      <c r="AK392" s="63"/>
    </row>
    <row r="393" spans="1:37" ht="15" customHeight="1" x14ac:dyDescent="0.35">
      <c r="A393" s="1196"/>
      <c r="B393" s="22">
        <v>10</v>
      </c>
      <c r="C393" s="40" t="str">
        <f t="shared" ref="C393:AJ393" si="90">IF(AND(COUNTIF(C70,"*V*"),COUNTIF(D70,"*V*")),1,"")</f>
        <v/>
      </c>
      <c r="D393" s="40" t="str">
        <f t="shared" si="90"/>
        <v/>
      </c>
      <c r="E393" s="40" t="str">
        <f t="shared" si="90"/>
        <v/>
      </c>
      <c r="F393" s="40" t="str">
        <f t="shared" si="90"/>
        <v/>
      </c>
      <c r="G393" s="40" t="str">
        <f t="shared" si="90"/>
        <v/>
      </c>
      <c r="H393" s="40" t="str">
        <f t="shared" si="90"/>
        <v/>
      </c>
      <c r="I393" s="40" t="str">
        <f t="shared" si="90"/>
        <v/>
      </c>
      <c r="J393" s="40" t="str">
        <f t="shared" si="90"/>
        <v/>
      </c>
      <c r="K393" s="40" t="str">
        <f t="shared" si="90"/>
        <v/>
      </c>
      <c r="L393" s="40" t="str">
        <f t="shared" si="90"/>
        <v/>
      </c>
      <c r="M393" s="40" t="str">
        <f t="shared" si="90"/>
        <v/>
      </c>
      <c r="N393" s="40" t="str">
        <f t="shared" si="90"/>
        <v/>
      </c>
      <c r="O393" s="40" t="str">
        <f t="shared" si="90"/>
        <v/>
      </c>
      <c r="P393" s="40" t="str">
        <f t="shared" si="90"/>
        <v/>
      </c>
      <c r="Q393" s="40" t="str">
        <f t="shared" si="90"/>
        <v/>
      </c>
      <c r="R393" s="40" t="str">
        <f t="shared" si="90"/>
        <v/>
      </c>
      <c r="S393" s="40" t="str">
        <f t="shared" si="90"/>
        <v/>
      </c>
      <c r="T393" s="40" t="str">
        <f t="shared" si="90"/>
        <v/>
      </c>
      <c r="U393" s="40" t="str">
        <f t="shared" si="90"/>
        <v/>
      </c>
      <c r="V393" s="40" t="str">
        <f t="shared" si="90"/>
        <v/>
      </c>
      <c r="W393" s="40" t="str">
        <f t="shared" si="90"/>
        <v/>
      </c>
      <c r="X393" s="40" t="str">
        <f t="shared" si="90"/>
        <v/>
      </c>
      <c r="Y393" s="40" t="str">
        <f t="shared" si="90"/>
        <v/>
      </c>
      <c r="Z393" s="40" t="str">
        <f t="shared" si="90"/>
        <v/>
      </c>
      <c r="AA393" s="40" t="str">
        <f t="shared" si="90"/>
        <v/>
      </c>
      <c r="AB393" s="40" t="str">
        <f t="shared" si="90"/>
        <v/>
      </c>
      <c r="AC393" s="40" t="str">
        <f t="shared" si="90"/>
        <v/>
      </c>
      <c r="AD393" s="40" t="str">
        <f t="shared" si="90"/>
        <v/>
      </c>
      <c r="AE393" s="40" t="str">
        <f t="shared" si="90"/>
        <v/>
      </c>
      <c r="AF393" s="40" t="str">
        <f t="shared" si="90"/>
        <v/>
      </c>
      <c r="AG393" s="40" t="str">
        <f t="shared" si="90"/>
        <v/>
      </c>
      <c r="AH393" s="40" t="str">
        <f t="shared" si="90"/>
        <v/>
      </c>
      <c r="AI393" s="40" t="str">
        <f t="shared" si="90"/>
        <v/>
      </c>
      <c r="AJ393" s="40" t="str">
        <f t="shared" si="90"/>
        <v/>
      </c>
      <c r="AK393" s="63"/>
    </row>
    <row r="394" spans="1:37" ht="15" customHeight="1" x14ac:dyDescent="0.35">
      <c r="A394" s="1196"/>
      <c r="B394" s="22">
        <v>11</v>
      </c>
      <c r="C394" s="40" t="str">
        <f t="shared" ref="C394:AJ394" si="91">IF(AND(COUNTIF(C71,"*V*"),COUNTIF(D71,"*V*")),1,"")</f>
        <v/>
      </c>
      <c r="D394" s="40" t="str">
        <f t="shared" si="91"/>
        <v/>
      </c>
      <c r="E394" s="40" t="str">
        <f t="shared" si="91"/>
        <v/>
      </c>
      <c r="F394" s="40" t="str">
        <f t="shared" si="91"/>
        <v/>
      </c>
      <c r="G394" s="40" t="str">
        <f t="shared" si="91"/>
        <v/>
      </c>
      <c r="H394" s="40" t="str">
        <f t="shared" si="91"/>
        <v/>
      </c>
      <c r="I394" s="40" t="str">
        <f t="shared" si="91"/>
        <v/>
      </c>
      <c r="J394" s="40" t="str">
        <f t="shared" si="91"/>
        <v/>
      </c>
      <c r="K394" s="40" t="str">
        <f t="shared" si="91"/>
        <v/>
      </c>
      <c r="L394" s="40" t="str">
        <f t="shared" si="91"/>
        <v/>
      </c>
      <c r="M394" s="40" t="str">
        <f t="shared" si="91"/>
        <v/>
      </c>
      <c r="N394" s="40" t="str">
        <f t="shared" si="91"/>
        <v/>
      </c>
      <c r="O394" s="40" t="str">
        <f t="shared" si="91"/>
        <v/>
      </c>
      <c r="P394" s="40" t="str">
        <f t="shared" si="91"/>
        <v/>
      </c>
      <c r="Q394" s="40" t="str">
        <f t="shared" si="91"/>
        <v/>
      </c>
      <c r="R394" s="40" t="str">
        <f t="shared" si="91"/>
        <v/>
      </c>
      <c r="S394" s="40" t="str">
        <f t="shared" si="91"/>
        <v/>
      </c>
      <c r="T394" s="40" t="str">
        <f t="shared" si="91"/>
        <v/>
      </c>
      <c r="U394" s="40" t="str">
        <f t="shared" si="91"/>
        <v/>
      </c>
      <c r="V394" s="40" t="str">
        <f t="shared" si="91"/>
        <v/>
      </c>
      <c r="W394" s="40" t="str">
        <f t="shared" si="91"/>
        <v/>
      </c>
      <c r="X394" s="40" t="str">
        <f t="shared" si="91"/>
        <v/>
      </c>
      <c r="Y394" s="40" t="str">
        <f t="shared" si="91"/>
        <v/>
      </c>
      <c r="Z394" s="40" t="str">
        <f t="shared" si="91"/>
        <v/>
      </c>
      <c r="AA394" s="40" t="str">
        <f t="shared" si="91"/>
        <v/>
      </c>
      <c r="AB394" s="40" t="str">
        <f t="shared" si="91"/>
        <v/>
      </c>
      <c r="AC394" s="40" t="str">
        <f t="shared" si="91"/>
        <v/>
      </c>
      <c r="AD394" s="40" t="str">
        <f t="shared" si="91"/>
        <v/>
      </c>
      <c r="AE394" s="40" t="str">
        <f t="shared" si="91"/>
        <v/>
      </c>
      <c r="AF394" s="40" t="str">
        <f t="shared" si="91"/>
        <v/>
      </c>
      <c r="AG394" s="40" t="str">
        <f t="shared" si="91"/>
        <v/>
      </c>
      <c r="AH394" s="40" t="str">
        <f t="shared" si="91"/>
        <v/>
      </c>
      <c r="AI394" s="40" t="str">
        <f t="shared" si="91"/>
        <v/>
      </c>
      <c r="AJ394" s="40" t="str">
        <f t="shared" si="91"/>
        <v/>
      </c>
      <c r="AK394" s="63"/>
    </row>
    <row r="395" spans="1:37" ht="15.75" customHeight="1" thickBot="1" x14ac:dyDescent="0.4">
      <c r="A395" s="1197"/>
      <c r="B395" s="23">
        <v>12</v>
      </c>
      <c r="C395" s="40" t="str">
        <f t="shared" ref="C395:AJ395" si="92">IF(AND(COUNTIF(C72,"*V*"),COUNTIF(D72,"*V*")),1,"")</f>
        <v/>
      </c>
      <c r="D395" s="40" t="str">
        <f t="shared" si="92"/>
        <v/>
      </c>
      <c r="E395" s="40" t="str">
        <f t="shared" si="92"/>
        <v/>
      </c>
      <c r="F395" s="40" t="str">
        <f t="shared" si="92"/>
        <v/>
      </c>
      <c r="G395" s="40" t="str">
        <f t="shared" si="92"/>
        <v/>
      </c>
      <c r="H395" s="40" t="str">
        <f t="shared" si="92"/>
        <v/>
      </c>
      <c r="I395" s="40" t="str">
        <f t="shared" si="92"/>
        <v/>
      </c>
      <c r="J395" s="40" t="str">
        <f t="shared" si="92"/>
        <v/>
      </c>
      <c r="K395" s="40" t="str">
        <f t="shared" si="92"/>
        <v/>
      </c>
      <c r="L395" s="40" t="str">
        <f t="shared" si="92"/>
        <v/>
      </c>
      <c r="M395" s="40" t="str">
        <f t="shared" si="92"/>
        <v/>
      </c>
      <c r="N395" s="40" t="str">
        <f t="shared" si="92"/>
        <v/>
      </c>
      <c r="O395" s="40" t="str">
        <f t="shared" si="92"/>
        <v/>
      </c>
      <c r="P395" s="40" t="str">
        <f t="shared" si="92"/>
        <v/>
      </c>
      <c r="Q395" s="40" t="str">
        <f t="shared" si="92"/>
        <v/>
      </c>
      <c r="R395" s="40" t="str">
        <f t="shared" si="92"/>
        <v/>
      </c>
      <c r="S395" s="40" t="str">
        <f t="shared" si="92"/>
        <v/>
      </c>
      <c r="T395" s="40" t="str">
        <f t="shared" si="92"/>
        <v/>
      </c>
      <c r="U395" s="40" t="str">
        <f t="shared" si="92"/>
        <v/>
      </c>
      <c r="V395" s="40" t="str">
        <f t="shared" si="92"/>
        <v/>
      </c>
      <c r="W395" s="40" t="str">
        <f t="shared" si="92"/>
        <v/>
      </c>
      <c r="X395" s="40" t="str">
        <f t="shared" si="92"/>
        <v/>
      </c>
      <c r="Y395" s="40" t="str">
        <f t="shared" si="92"/>
        <v/>
      </c>
      <c r="Z395" s="40" t="str">
        <f t="shared" si="92"/>
        <v/>
      </c>
      <c r="AA395" s="40" t="str">
        <f t="shared" si="92"/>
        <v/>
      </c>
      <c r="AB395" s="40" t="str">
        <f t="shared" si="92"/>
        <v/>
      </c>
      <c r="AC395" s="40" t="str">
        <f t="shared" si="92"/>
        <v/>
      </c>
      <c r="AD395" s="40" t="str">
        <f t="shared" si="92"/>
        <v/>
      </c>
      <c r="AE395" s="40" t="str">
        <f t="shared" si="92"/>
        <v/>
      </c>
      <c r="AF395" s="40" t="str">
        <f t="shared" si="92"/>
        <v/>
      </c>
      <c r="AG395" s="40" t="str">
        <f t="shared" si="92"/>
        <v/>
      </c>
      <c r="AH395" s="40" t="str">
        <f t="shared" si="92"/>
        <v/>
      </c>
      <c r="AI395" s="40" t="str">
        <f t="shared" si="92"/>
        <v/>
      </c>
      <c r="AJ395" s="40" t="str">
        <f t="shared" si="92"/>
        <v/>
      </c>
      <c r="AK395" s="63"/>
    </row>
    <row r="396" spans="1:37" ht="15" customHeight="1" x14ac:dyDescent="0.35"/>
    <row r="397" spans="1:37" ht="15" customHeight="1" x14ac:dyDescent="0.35"/>
    <row r="399" spans="1:37" ht="10" customHeight="1" thickBot="1" x14ac:dyDescent="0.4"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</row>
    <row r="400" spans="1:37" x14ac:dyDescent="0.35">
      <c r="A400" s="1202"/>
      <c r="B400" s="1203"/>
      <c r="C400" s="1207" t="s">
        <v>17</v>
      </c>
      <c r="D400" s="1207"/>
      <c r="E400" s="1207"/>
      <c r="F400" s="1207"/>
      <c r="G400" s="1207"/>
      <c r="H400" s="1207"/>
      <c r="I400" s="1207"/>
      <c r="J400" s="1207"/>
      <c r="K400" s="1207"/>
      <c r="L400" s="1207"/>
      <c r="M400" s="1207"/>
      <c r="N400" s="1207"/>
      <c r="O400" s="1207"/>
      <c r="P400" s="1207"/>
      <c r="Q400" s="1207"/>
      <c r="R400" s="1207"/>
      <c r="S400" s="1207"/>
      <c r="T400" s="1207"/>
      <c r="U400" s="1207"/>
      <c r="V400" s="1208"/>
      <c r="W400" s="6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8"/>
    </row>
    <row r="401" spans="1:63" ht="15" thickBot="1" x14ac:dyDescent="0.4">
      <c r="A401" s="1204"/>
      <c r="B401" s="1205"/>
      <c r="C401" s="16">
        <v>1</v>
      </c>
      <c r="D401" s="17">
        <v>2</v>
      </c>
      <c r="E401" s="17">
        <v>3</v>
      </c>
      <c r="F401" s="17">
        <v>4</v>
      </c>
      <c r="G401" s="17">
        <v>5</v>
      </c>
      <c r="H401" s="17">
        <v>6</v>
      </c>
      <c r="I401" s="17">
        <v>7</v>
      </c>
      <c r="J401" s="17">
        <v>8</v>
      </c>
      <c r="K401" s="17">
        <v>9</v>
      </c>
      <c r="L401" s="17">
        <v>10</v>
      </c>
      <c r="M401" s="17">
        <v>11</v>
      </c>
      <c r="N401" s="17">
        <v>12</v>
      </c>
      <c r="O401" s="17">
        <v>13</v>
      </c>
      <c r="P401" s="17">
        <v>14</v>
      </c>
      <c r="Q401" s="17">
        <v>15</v>
      </c>
      <c r="R401" s="17">
        <v>16</v>
      </c>
      <c r="S401" s="17">
        <v>17</v>
      </c>
      <c r="T401" s="17">
        <v>18</v>
      </c>
      <c r="U401" s="17">
        <v>19</v>
      </c>
      <c r="V401" s="18">
        <v>20</v>
      </c>
      <c r="W401" s="17">
        <v>21</v>
      </c>
      <c r="X401" s="18">
        <v>22</v>
      </c>
      <c r="Y401" s="17">
        <v>23</v>
      </c>
      <c r="Z401" s="18">
        <v>24</v>
      </c>
      <c r="AA401" s="17">
        <v>25</v>
      </c>
      <c r="AB401" s="18">
        <v>26</v>
      </c>
      <c r="AC401" s="17">
        <v>27</v>
      </c>
      <c r="AD401" s="18">
        <v>28</v>
      </c>
      <c r="AE401" s="17">
        <v>29</v>
      </c>
      <c r="AF401" s="18">
        <v>30</v>
      </c>
      <c r="AG401" s="17">
        <v>31</v>
      </c>
      <c r="AH401" s="18">
        <v>32</v>
      </c>
      <c r="AI401" s="17">
        <v>33</v>
      </c>
    </row>
    <row r="402" spans="1:63" x14ac:dyDescent="0.35">
      <c r="A402" s="1196" t="s">
        <v>18</v>
      </c>
      <c r="B402" s="21">
        <v>1</v>
      </c>
      <c r="C402" s="40" t="str">
        <f t="shared" ref="C402:AI409" si="93">IF(COUNTIF(C$3,"*b*"),"b",IF(COUNTIF(C$3,"0a*"),"0a",IF(COUNTIF(C$3,"*a*"),"a")))</f>
        <v>a</v>
      </c>
      <c r="D402" s="40" t="str">
        <f t="shared" si="93"/>
        <v>a</v>
      </c>
      <c r="E402" s="40" t="str">
        <f t="shared" si="93"/>
        <v>a</v>
      </c>
      <c r="F402" s="40" t="str">
        <f t="shared" si="93"/>
        <v>a</v>
      </c>
      <c r="G402" s="40" t="str">
        <f t="shared" si="93"/>
        <v>a</v>
      </c>
      <c r="H402" s="40" t="str">
        <f t="shared" si="93"/>
        <v>a</v>
      </c>
      <c r="I402" s="40" t="str">
        <f t="shared" si="93"/>
        <v>a</v>
      </c>
      <c r="J402" s="40" t="str">
        <f t="shared" si="93"/>
        <v>a</v>
      </c>
      <c r="K402" s="40" t="str">
        <f t="shared" si="93"/>
        <v>0a</v>
      </c>
      <c r="L402" s="40" t="str">
        <f t="shared" si="93"/>
        <v>b</v>
      </c>
      <c r="M402" s="40" t="str">
        <f t="shared" si="93"/>
        <v>b</v>
      </c>
      <c r="N402" s="40" t="str">
        <f t="shared" si="93"/>
        <v>b</v>
      </c>
      <c r="O402" s="40" t="str">
        <f t="shared" si="93"/>
        <v>b</v>
      </c>
      <c r="P402" s="40" t="str">
        <f t="shared" si="93"/>
        <v>0a</v>
      </c>
      <c r="Q402" s="40" t="str">
        <f t="shared" si="93"/>
        <v>0a</v>
      </c>
      <c r="R402" s="40" t="str">
        <f t="shared" si="93"/>
        <v>0a</v>
      </c>
      <c r="S402" s="40" t="str">
        <f>IF(COUNTIF(S$3,"*b*"),"b",IF(COUNTIF(S$3,"0a*"),"0a",IF(COUNTIF(S$3,"*a*"),"a")))</f>
        <v>0a</v>
      </c>
      <c r="T402" s="40" t="str">
        <f t="shared" si="93"/>
        <v>0a</v>
      </c>
      <c r="U402" s="40" t="str">
        <f t="shared" si="93"/>
        <v>0a</v>
      </c>
      <c r="V402" s="40" t="str">
        <f t="shared" si="93"/>
        <v>0a</v>
      </c>
      <c r="W402" s="40" t="str">
        <f t="shared" si="93"/>
        <v>0a</v>
      </c>
      <c r="X402" s="40" t="str">
        <f t="shared" si="93"/>
        <v>0a</v>
      </c>
      <c r="Y402" s="40" t="str">
        <f t="shared" si="93"/>
        <v>0a</v>
      </c>
      <c r="Z402" s="40" t="str">
        <f t="shared" si="93"/>
        <v>0a</v>
      </c>
      <c r="AA402" s="40" t="str">
        <f t="shared" si="93"/>
        <v>0a</v>
      </c>
      <c r="AB402" s="40" t="str">
        <f t="shared" si="93"/>
        <v>0a</v>
      </c>
      <c r="AC402" s="40" t="str">
        <f t="shared" si="93"/>
        <v>0a</v>
      </c>
      <c r="AD402" s="40" t="str">
        <f t="shared" si="93"/>
        <v>0a</v>
      </c>
      <c r="AE402" s="40" t="str">
        <f t="shared" si="93"/>
        <v>0a</v>
      </c>
      <c r="AF402" s="40" t="str">
        <f t="shared" si="93"/>
        <v>0a</v>
      </c>
      <c r="AG402" s="40" t="str">
        <f t="shared" si="93"/>
        <v>0a</v>
      </c>
      <c r="AH402" s="40" t="str">
        <f t="shared" si="93"/>
        <v>0a</v>
      </c>
      <c r="AI402" s="40" t="str">
        <f t="shared" si="93"/>
        <v>0a</v>
      </c>
    </row>
    <row r="403" spans="1:63" x14ac:dyDescent="0.35">
      <c r="A403" s="1196"/>
      <c r="B403" s="22">
        <v>2</v>
      </c>
      <c r="C403" s="40" t="str">
        <f t="shared" si="93"/>
        <v>a</v>
      </c>
      <c r="D403" s="40" t="str">
        <f t="shared" si="93"/>
        <v>a</v>
      </c>
      <c r="E403" s="40" t="str">
        <f t="shared" si="93"/>
        <v>a</v>
      </c>
      <c r="F403" s="40" t="str">
        <f t="shared" si="93"/>
        <v>a</v>
      </c>
      <c r="G403" s="40" t="str">
        <f t="shared" si="93"/>
        <v>a</v>
      </c>
      <c r="H403" s="40" t="str">
        <f t="shared" si="93"/>
        <v>a</v>
      </c>
      <c r="I403" s="40" t="str">
        <f t="shared" si="93"/>
        <v>a</v>
      </c>
      <c r="J403" s="40" t="str">
        <f t="shared" si="93"/>
        <v>a</v>
      </c>
      <c r="K403" s="40" t="str">
        <f t="shared" si="93"/>
        <v>0a</v>
      </c>
      <c r="L403" s="40" t="str">
        <f t="shared" si="93"/>
        <v>b</v>
      </c>
      <c r="M403" s="40" t="str">
        <f t="shared" si="93"/>
        <v>b</v>
      </c>
      <c r="N403" s="40" t="str">
        <f t="shared" si="93"/>
        <v>b</v>
      </c>
      <c r="O403" s="40" t="str">
        <f t="shared" si="93"/>
        <v>b</v>
      </c>
      <c r="P403" s="40" t="str">
        <f t="shared" si="93"/>
        <v>0a</v>
      </c>
      <c r="Q403" s="40" t="str">
        <f t="shared" si="93"/>
        <v>0a</v>
      </c>
      <c r="R403" s="40" t="str">
        <f t="shared" si="93"/>
        <v>0a</v>
      </c>
      <c r="S403" s="40" t="str">
        <f t="shared" si="93"/>
        <v>0a</v>
      </c>
      <c r="T403" s="40" t="str">
        <f t="shared" si="93"/>
        <v>0a</v>
      </c>
      <c r="U403" s="40" t="str">
        <f t="shared" si="93"/>
        <v>0a</v>
      </c>
      <c r="V403" s="40" t="str">
        <f t="shared" si="93"/>
        <v>0a</v>
      </c>
      <c r="W403" s="40" t="str">
        <f t="shared" si="93"/>
        <v>0a</v>
      </c>
      <c r="X403" s="40" t="str">
        <f t="shared" si="93"/>
        <v>0a</v>
      </c>
      <c r="Y403" s="40" t="str">
        <f t="shared" si="93"/>
        <v>0a</v>
      </c>
      <c r="Z403" s="40" t="str">
        <f t="shared" si="93"/>
        <v>0a</v>
      </c>
      <c r="AA403" s="40" t="str">
        <f t="shared" si="93"/>
        <v>0a</v>
      </c>
      <c r="AB403" s="40" t="str">
        <f t="shared" si="93"/>
        <v>0a</v>
      </c>
      <c r="AC403" s="40" t="str">
        <f t="shared" si="93"/>
        <v>0a</v>
      </c>
      <c r="AD403" s="40" t="str">
        <f t="shared" si="93"/>
        <v>0a</v>
      </c>
      <c r="AE403" s="40" t="str">
        <f t="shared" si="93"/>
        <v>0a</v>
      </c>
      <c r="AF403" s="40" t="str">
        <f t="shared" si="93"/>
        <v>0a</v>
      </c>
      <c r="AG403" s="40" t="str">
        <f t="shared" si="93"/>
        <v>0a</v>
      </c>
      <c r="AH403" s="40" t="str">
        <f t="shared" si="93"/>
        <v>0a</v>
      </c>
      <c r="AI403" s="40" t="str">
        <f t="shared" si="93"/>
        <v>0a</v>
      </c>
    </row>
    <row r="404" spans="1:63" x14ac:dyDescent="0.35">
      <c r="A404" s="1196"/>
      <c r="B404" s="22">
        <v>3</v>
      </c>
      <c r="C404" s="40" t="str">
        <f t="shared" si="93"/>
        <v>a</v>
      </c>
      <c r="D404" s="40" t="str">
        <f t="shared" si="93"/>
        <v>a</v>
      </c>
      <c r="E404" s="40" t="str">
        <f t="shared" si="93"/>
        <v>a</v>
      </c>
      <c r="F404" s="40" t="str">
        <f t="shared" si="93"/>
        <v>a</v>
      </c>
      <c r="G404" s="40" t="str">
        <f t="shared" si="93"/>
        <v>a</v>
      </c>
      <c r="H404" s="40" t="str">
        <f t="shared" si="93"/>
        <v>a</v>
      </c>
      <c r="I404" s="40" t="str">
        <f t="shared" si="93"/>
        <v>a</v>
      </c>
      <c r="J404" s="40" t="str">
        <f t="shared" si="93"/>
        <v>a</v>
      </c>
      <c r="K404" s="40" t="str">
        <f t="shared" si="93"/>
        <v>0a</v>
      </c>
      <c r="L404" s="40" t="str">
        <f t="shared" si="93"/>
        <v>b</v>
      </c>
      <c r="M404" s="40" t="str">
        <f t="shared" si="93"/>
        <v>b</v>
      </c>
      <c r="N404" s="40" t="str">
        <f t="shared" si="93"/>
        <v>b</v>
      </c>
      <c r="O404" s="40" t="str">
        <f t="shared" si="93"/>
        <v>b</v>
      </c>
      <c r="P404" s="40" t="str">
        <f t="shared" si="93"/>
        <v>0a</v>
      </c>
      <c r="Q404" s="40" t="str">
        <f t="shared" si="93"/>
        <v>0a</v>
      </c>
      <c r="R404" s="40" t="str">
        <f t="shared" si="93"/>
        <v>0a</v>
      </c>
      <c r="S404" s="40" t="str">
        <f t="shared" si="93"/>
        <v>0a</v>
      </c>
      <c r="T404" s="40" t="str">
        <f t="shared" si="93"/>
        <v>0a</v>
      </c>
      <c r="U404" s="40" t="str">
        <f t="shared" si="93"/>
        <v>0a</v>
      </c>
      <c r="V404" s="40" t="str">
        <f t="shared" si="93"/>
        <v>0a</v>
      </c>
      <c r="W404" s="40" t="str">
        <f t="shared" si="93"/>
        <v>0a</v>
      </c>
      <c r="X404" s="40" t="str">
        <f t="shared" si="93"/>
        <v>0a</v>
      </c>
      <c r="Y404" s="40" t="str">
        <f t="shared" si="93"/>
        <v>0a</v>
      </c>
      <c r="Z404" s="40" t="str">
        <f t="shared" si="93"/>
        <v>0a</v>
      </c>
      <c r="AA404" s="40" t="str">
        <f t="shared" si="93"/>
        <v>0a</v>
      </c>
      <c r="AB404" s="40" t="str">
        <f t="shared" si="93"/>
        <v>0a</v>
      </c>
      <c r="AC404" s="40" t="str">
        <f t="shared" si="93"/>
        <v>0a</v>
      </c>
      <c r="AD404" s="40" t="str">
        <f t="shared" si="93"/>
        <v>0a</v>
      </c>
      <c r="AE404" s="40" t="str">
        <f t="shared" si="93"/>
        <v>0a</v>
      </c>
      <c r="AF404" s="40" t="str">
        <f t="shared" si="93"/>
        <v>0a</v>
      </c>
      <c r="AG404" s="40" t="str">
        <f t="shared" si="93"/>
        <v>0a</v>
      </c>
      <c r="AH404" s="40" t="str">
        <f t="shared" si="93"/>
        <v>0a</v>
      </c>
      <c r="AI404" s="40" t="str">
        <f t="shared" si="93"/>
        <v>0a</v>
      </c>
    </row>
    <row r="405" spans="1:63" x14ac:dyDescent="0.35">
      <c r="A405" s="1196"/>
      <c r="B405" s="22">
        <v>4</v>
      </c>
      <c r="C405" s="40" t="str">
        <f t="shared" si="93"/>
        <v>a</v>
      </c>
      <c r="D405" s="40" t="str">
        <f t="shared" si="93"/>
        <v>a</v>
      </c>
      <c r="E405" s="40" t="str">
        <f t="shared" si="93"/>
        <v>a</v>
      </c>
      <c r="F405" s="40" t="str">
        <f t="shared" si="93"/>
        <v>a</v>
      </c>
      <c r="G405" s="40" t="str">
        <f t="shared" si="93"/>
        <v>a</v>
      </c>
      <c r="H405" s="40" t="str">
        <f t="shared" si="93"/>
        <v>a</v>
      </c>
      <c r="I405" s="40" t="str">
        <f t="shared" si="93"/>
        <v>a</v>
      </c>
      <c r="J405" s="40" t="str">
        <f t="shared" si="93"/>
        <v>a</v>
      </c>
      <c r="K405" s="40" t="str">
        <f t="shared" si="93"/>
        <v>0a</v>
      </c>
      <c r="L405" s="40" t="str">
        <f t="shared" si="93"/>
        <v>b</v>
      </c>
      <c r="M405" s="40" t="str">
        <f t="shared" si="93"/>
        <v>b</v>
      </c>
      <c r="N405" s="40" t="str">
        <f t="shared" si="93"/>
        <v>b</v>
      </c>
      <c r="O405" s="40" t="str">
        <f t="shared" si="93"/>
        <v>b</v>
      </c>
      <c r="P405" s="40" t="str">
        <f t="shared" si="93"/>
        <v>0a</v>
      </c>
      <c r="Q405" s="40" t="str">
        <f t="shared" si="93"/>
        <v>0a</v>
      </c>
      <c r="R405" s="40" t="str">
        <f t="shared" si="93"/>
        <v>0a</v>
      </c>
      <c r="S405" s="40" t="str">
        <f t="shared" si="93"/>
        <v>0a</v>
      </c>
      <c r="T405" s="40" t="str">
        <f t="shared" si="93"/>
        <v>0a</v>
      </c>
      <c r="U405" s="40" t="str">
        <f t="shared" si="93"/>
        <v>0a</v>
      </c>
      <c r="V405" s="40" t="str">
        <f t="shared" si="93"/>
        <v>0a</v>
      </c>
      <c r="W405" s="40" t="str">
        <f t="shared" si="93"/>
        <v>0a</v>
      </c>
      <c r="X405" s="40" t="str">
        <f t="shared" si="93"/>
        <v>0a</v>
      </c>
      <c r="Y405" s="40" t="str">
        <f t="shared" si="93"/>
        <v>0a</v>
      </c>
      <c r="Z405" s="40" t="str">
        <f t="shared" si="93"/>
        <v>0a</v>
      </c>
      <c r="AA405" s="40" t="str">
        <f t="shared" si="93"/>
        <v>0a</v>
      </c>
      <c r="AB405" s="40" t="str">
        <f t="shared" si="93"/>
        <v>0a</v>
      </c>
      <c r="AC405" s="40" t="str">
        <f t="shared" si="93"/>
        <v>0a</v>
      </c>
      <c r="AD405" s="40" t="str">
        <f t="shared" si="93"/>
        <v>0a</v>
      </c>
      <c r="AE405" s="40" t="str">
        <f t="shared" si="93"/>
        <v>0a</v>
      </c>
      <c r="AF405" s="40" t="str">
        <f t="shared" si="93"/>
        <v>0a</v>
      </c>
      <c r="AG405" s="40" t="str">
        <f t="shared" si="93"/>
        <v>0a</v>
      </c>
      <c r="AH405" s="40" t="str">
        <f t="shared" si="93"/>
        <v>0a</v>
      </c>
      <c r="AI405" s="40" t="str">
        <f t="shared" si="93"/>
        <v>0a</v>
      </c>
    </row>
    <row r="406" spans="1:63" x14ac:dyDescent="0.35">
      <c r="A406" s="1196"/>
      <c r="B406" s="22">
        <v>5</v>
      </c>
      <c r="C406" s="40" t="str">
        <f t="shared" si="93"/>
        <v>a</v>
      </c>
      <c r="D406" s="40" t="str">
        <f t="shared" si="93"/>
        <v>a</v>
      </c>
      <c r="E406" s="40" t="str">
        <f t="shared" si="93"/>
        <v>a</v>
      </c>
      <c r="F406" s="40" t="str">
        <f t="shared" si="93"/>
        <v>a</v>
      </c>
      <c r="G406" s="40" t="str">
        <f t="shared" si="93"/>
        <v>a</v>
      </c>
      <c r="H406" s="40" t="str">
        <f t="shared" si="93"/>
        <v>a</v>
      </c>
      <c r="I406" s="40" t="str">
        <f t="shared" si="93"/>
        <v>a</v>
      </c>
      <c r="J406" s="40" t="str">
        <f t="shared" si="93"/>
        <v>a</v>
      </c>
      <c r="K406" s="40" t="str">
        <f t="shared" si="93"/>
        <v>0a</v>
      </c>
      <c r="L406" s="40" t="str">
        <f t="shared" si="93"/>
        <v>b</v>
      </c>
      <c r="M406" s="40" t="str">
        <f t="shared" si="93"/>
        <v>b</v>
      </c>
      <c r="N406" s="40" t="str">
        <f t="shared" si="93"/>
        <v>b</v>
      </c>
      <c r="O406" s="40" t="str">
        <f t="shared" si="93"/>
        <v>b</v>
      </c>
      <c r="P406" s="40" t="str">
        <f t="shared" si="93"/>
        <v>0a</v>
      </c>
      <c r="Q406" s="40" t="str">
        <f t="shared" si="93"/>
        <v>0a</v>
      </c>
      <c r="R406" s="40" t="str">
        <f t="shared" si="93"/>
        <v>0a</v>
      </c>
      <c r="S406" s="40" t="str">
        <f t="shared" si="93"/>
        <v>0a</v>
      </c>
      <c r="T406" s="40" t="str">
        <f t="shared" si="93"/>
        <v>0a</v>
      </c>
      <c r="U406" s="40" t="str">
        <f t="shared" si="93"/>
        <v>0a</v>
      </c>
      <c r="V406" s="40" t="str">
        <f t="shared" si="93"/>
        <v>0a</v>
      </c>
      <c r="W406" s="40" t="str">
        <f t="shared" si="93"/>
        <v>0a</v>
      </c>
      <c r="X406" s="40" t="str">
        <f t="shared" si="93"/>
        <v>0a</v>
      </c>
      <c r="Y406" s="40" t="str">
        <f t="shared" si="93"/>
        <v>0a</v>
      </c>
      <c r="Z406" s="40" t="str">
        <f t="shared" si="93"/>
        <v>0a</v>
      </c>
      <c r="AA406" s="40" t="str">
        <f t="shared" si="93"/>
        <v>0a</v>
      </c>
      <c r="AB406" s="40" t="str">
        <f t="shared" si="93"/>
        <v>0a</v>
      </c>
      <c r="AC406" s="40" t="str">
        <f t="shared" si="93"/>
        <v>0a</v>
      </c>
      <c r="AD406" s="40" t="str">
        <f t="shared" si="93"/>
        <v>0a</v>
      </c>
      <c r="AE406" s="40" t="str">
        <f t="shared" si="93"/>
        <v>0a</v>
      </c>
      <c r="AF406" s="40" t="str">
        <f t="shared" si="93"/>
        <v>0a</v>
      </c>
      <c r="AG406" s="40" t="str">
        <f t="shared" si="93"/>
        <v>0a</v>
      </c>
      <c r="AH406" s="40" t="str">
        <f t="shared" si="93"/>
        <v>0a</v>
      </c>
      <c r="AI406" s="40" t="str">
        <f t="shared" si="93"/>
        <v>0a</v>
      </c>
    </row>
    <row r="407" spans="1:63" x14ac:dyDescent="0.35">
      <c r="A407" s="1196"/>
      <c r="B407" s="22">
        <v>6</v>
      </c>
      <c r="C407" s="40" t="str">
        <f t="shared" si="93"/>
        <v>a</v>
      </c>
      <c r="D407" s="40" t="str">
        <f t="shared" si="93"/>
        <v>a</v>
      </c>
      <c r="E407" s="40" t="str">
        <f t="shared" si="93"/>
        <v>a</v>
      </c>
      <c r="F407" s="40" t="str">
        <f t="shared" si="93"/>
        <v>a</v>
      </c>
      <c r="G407" s="40" t="str">
        <f t="shared" si="93"/>
        <v>a</v>
      </c>
      <c r="H407" s="40" t="str">
        <f t="shared" si="93"/>
        <v>a</v>
      </c>
      <c r="I407" s="40" t="str">
        <f t="shared" si="93"/>
        <v>a</v>
      </c>
      <c r="J407" s="40" t="str">
        <f t="shared" si="93"/>
        <v>a</v>
      </c>
      <c r="K407" s="40" t="str">
        <f t="shared" si="93"/>
        <v>0a</v>
      </c>
      <c r="L407" s="40" t="str">
        <f t="shared" si="93"/>
        <v>b</v>
      </c>
      <c r="M407" s="40" t="str">
        <f t="shared" si="93"/>
        <v>b</v>
      </c>
      <c r="N407" s="40" t="str">
        <f t="shared" si="93"/>
        <v>b</v>
      </c>
      <c r="O407" s="40" t="str">
        <f t="shared" si="93"/>
        <v>b</v>
      </c>
      <c r="P407" s="40" t="str">
        <f t="shared" si="93"/>
        <v>0a</v>
      </c>
      <c r="Q407" s="40" t="str">
        <f t="shared" si="93"/>
        <v>0a</v>
      </c>
      <c r="R407" s="40" t="str">
        <f t="shared" si="93"/>
        <v>0a</v>
      </c>
      <c r="S407" s="40" t="str">
        <f t="shared" si="93"/>
        <v>0a</v>
      </c>
      <c r="T407" s="40" t="str">
        <f t="shared" si="93"/>
        <v>0a</v>
      </c>
      <c r="U407" s="40" t="str">
        <f t="shared" si="93"/>
        <v>0a</v>
      </c>
      <c r="V407" s="40" t="str">
        <f t="shared" si="93"/>
        <v>0a</v>
      </c>
      <c r="W407" s="40" t="str">
        <f t="shared" si="93"/>
        <v>0a</v>
      </c>
      <c r="X407" s="40" t="str">
        <f t="shared" si="93"/>
        <v>0a</v>
      </c>
      <c r="Y407" s="40" t="str">
        <f t="shared" si="93"/>
        <v>0a</v>
      </c>
      <c r="Z407" s="40" t="str">
        <f t="shared" si="93"/>
        <v>0a</v>
      </c>
      <c r="AA407" s="40" t="str">
        <f t="shared" si="93"/>
        <v>0a</v>
      </c>
      <c r="AB407" s="40" t="str">
        <f t="shared" si="93"/>
        <v>0a</v>
      </c>
      <c r="AC407" s="40" t="str">
        <f t="shared" si="93"/>
        <v>0a</v>
      </c>
      <c r="AD407" s="40" t="str">
        <f t="shared" si="93"/>
        <v>0a</v>
      </c>
      <c r="AE407" s="40" t="str">
        <f t="shared" si="93"/>
        <v>0a</v>
      </c>
      <c r="AF407" s="40" t="str">
        <f t="shared" si="93"/>
        <v>0a</v>
      </c>
      <c r="AG407" s="40" t="str">
        <f t="shared" si="93"/>
        <v>0a</v>
      </c>
      <c r="AH407" s="40" t="str">
        <f t="shared" si="93"/>
        <v>0a</v>
      </c>
      <c r="AI407" s="40" t="str">
        <f t="shared" si="93"/>
        <v>0a</v>
      </c>
    </row>
    <row r="408" spans="1:63" x14ac:dyDescent="0.35">
      <c r="A408" s="1196"/>
      <c r="B408" s="22">
        <v>7</v>
      </c>
      <c r="C408" s="40" t="str">
        <f t="shared" si="93"/>
        <v>a</v>
      </c>
      <c r="D408" s="40" t="str">
        <f t="shared" si="93"/>
        <v>a</v>
      </c>
      <c r="E408" s="40" t="str">
        <f t="shared" si="93"/>
        <v>a</v>
      </c>
      <c r="F408" s="40" t="str">
        <f t="shared" si="93"/>
        <v>a</v>
      </c>
      <c r="G408" s="40" t="str">
        <f t="shared" si="93"/>
        <v>a</v>
      </c>
      <c r="H408" s="40" t="str">
        <f t="shared" si="93"/>
        <v>a</v>
      </c>
      <c r="I408" s="40" t="str">
        <f t="shared" si="93"/>
        <v>a</v>
      </c>
      <c r="J408" s="40" t="str">
        <f t="shared" si="93"/>
        <v>a</v>
      </c>
      <c r="K408" s="40" t="str">
        <f t="shared" si="93"/>
        <v>0a</v>
      </c>
      <c r="L408" s="40" t="str">
        <f t="shared" si="93"/>
        <v>b</v>
      </c>
      <c r="M408" s="40" t="str">
        <f t="shared" si="93"/>
        <v>b</v>
      </c>
      <c r="N408" s="40" t="str">
        <f t="shared" si="93"/>
        <v>b</v>
      </c>
      <c r="O408" s="40" t="str">
        <f t="shared" si="93"/>
        <v>b</v>
      </c>
      <c r="P408" s="40" t="str">
        <f t="shared" si="93"/>
        <v>0a</v>
      </c>
      <c r="Q408" s="40" t="str">
        <f t="shared" si="93"/>
        <v>0a</v>
      </c>
      <c r="R408" s="40" t="str">
        <f t="shared" si="93"/>
        <v>0a</v>
      </c>
      <c r="S408" s="40" t="str">
        <f t="shared" si="93"/>
        <v>0a</v>
      </c>
      <c r="T408" s="40" t="str">
        <f t="shared" si="93"/>
        <v>0a</v>
      </c>
      <c r="U408" s="40" t="str">
        <f t="shared" si="93"/>
        <v>0a</v>
      </c>
      <c r="V408" s="40" t="str">
        <f t="shared" si="93"/>
        <v>0a</v>
      </c>
      <c r="W408" s="40" t="str">
        <f t="shared" si="93"/>
        <v>0a</v>
      </c>
      <c r="X408" s="40" t="str">
        <f t="shared" si="93"/>
        <v>0a</v>
      </c>
      <c r="Y408" s="40" t="str">
        <f t="shared" si="93"/>
        <v>0a</v>
      </c>
      <c r="Z408" s="40" t="str">
        <f t="shared" si="93"/>
        <v>0a</v>
      </c>
      <c r="AA408" s="40" t="str">
        <f t="shared" si="93"/>
        <v>0a</v>
      </c>
      <c r="AB408" s="40" t="str">
        <f t="shared" si="93"/>
        <v>0a</v>
      </c>
      <c r="AC408" s="40" t="str">
        <f t="shared" si="93"/>
        <v>0a</v>
      </c>
      <c r="AD408" s="40" t="str">
        <f t="shared" si="93"/>
        <v>0a</v>
      </c>
      <c r="AE408" s="40" t="str">
        <f t="shared" si="93"/>
        <v>0a</v>
      </c>
      <c r="AF408" s="40" t="str">
        <f t="shared" si="93"/>
        <v>0a</v>
      </c>
      <c r="AG408" s="40" t="str">
        <f t="shared" si="93"/>
        <v>0a</v>
      </c>
      <c r="AH408" s="40" t="str">
        <f t="shared" si="93"/>
        <v>0a</v>
      </c>
      <c r="AI408" s="40" t="str">
        <f t="shared" si="93"/>
        <v>0a</v>
      </c>
    </row>
    <row r="409" spans="1:63" x14ac:dyDescent="0.35">
      <c r="A409" s="1196"/>
      <c r="B409" s="22">
        <v>8</v>
      </c>
      <c r="C409" s="40" t="str">
        <f t="shared" si="93"/>
        <v>a</v>
      </c>
      <c r="D409" s="40" t="str">
        <f t="shared" si="93"/>
        <v>a</v>
      </c>
      <c r="E409" s="40" t="str">
        <f t="shared" si="93"/>
        <v>a</v>
      </c>
      <c r="F409" s="40" t="str">
        <f t="shared" si="93"/>
        <v>a</v>
      </c>
      <c r="G409" s="40" t="str">
        <f t="shared" si="93"/>
        <v>a</v>
      </c>
      <c r="H409" s="40" t="str">
        <f t="shared" si="93"/>
        <v>a</v>
      </c>
      <c r="I409" s="40" t="str">
        <f t="shared" si="93"/>
        <v>a</v>
      </c>
      <c r="J409" s="40" t="str">
        <f t="shared" si="93"/>
        <v>a</v>
      </c>
      <c r="K409" s="40" t="str">
        <f t="shared" si="93"/>
        <v>0a</v>
      </c>
      <c r="L409" s="40" t="str">
        <f t="shared" si="93"/>
        <v>b</v>
      </c>
      <c r="M409" s="40" t="str">
        <f t="shared" si="93"/>
        <v>b</v>
      </c>
      <c r="N409" s="40" t="str">
        <f t="shared" si="93"/>
        <v>b</v>
      </c>
      <c r="O409" s="40" t="str">
        <f t="shared" si="93"/>
        <v>b</v>
      </c>
      <c r="P409" s="40" t="str">
        <f t="shared" si="93"/>
        <v>0a</v>
      </c>
      <c r="Q409" s="40" t="str">
        <f t="shared" si="93"/>
        <v>0a</v>
      </c>
      <c r="R409" s="40" t="str">
        <f t="shared" si="93"/>
        <v>0a</v>
      </c>
      <c r="S409" s="40" t="str">
        <f t="shared" si="93"/>
        <v>0a</v>
      </c>
      <c r="T409" s="40" t="str">
        <f t="shared" si="93"/>
        <v>0a</v>
      </c>
      <c r="U409" s="40" t="str">
        <f t="shared" si="93"/>
        <v>0a</v>
      </c>
      <c r="V409" s="40" t="str">
        <f t="shared" si="93"/>
        <v>0a</v>
      </c>
      <c r="W409" s="40" t="str">
        <f t="shared" si="93"/>
        <v>0a</v>
      </c>
      <c r="X409" s="40" t="str">
        <f t="shared" si="93"/>
        <v>0a</v>
      </c>
      <c r="Y409" s="40" t="str">
        <f t="shared" si="93"/>
        <v>0a</v>
      </c>
      <c r="Z409" s="40" t="str">
        <f t="shared" si="93"/>
        <v>0a</v>
      </c>
      <c r="AA409" s="40" t="str">
        <f t="shared" si="93"/>
        <v>0a</v>
      </c>
      <c r="AB409" s="40" t="str">
        <f t="shared" ref="AB409:AI409" si="94">IF(COUNTIF(AB$3,"*b*"),"b",IF(COUNTIF(AB$3,"0a*"),"0a",IF(COUNTIF(AB$3,"*a*"),"a")))</f>
        <v>0a</v>
      </c>
      <c r="AC409" s="40" t="str">
        <f t="shared" si="94"/>
        <v>0a</v>
      </c>
      <c r="AD409" s="40" t="str">
        <f t="shared" si="94"/>
        <v>0a</v>
      </c>
      <c r="AE409" s="40" t="str">
        <f t="shared" si="94"/>
        <v>0a</v>
      </c>
      <c r="AF409" s="40" t="str">
        <f t="shared" si="94"/>
        <v>0a</v>
      </c>
      <c r="AG409" s="40" t="str">
        <f t="shared" si="94"/>
        <v>0a</v>
      </c>
      <c r="AH409" s="40" t="str">
        <f t="shared" si="94"/>
        <v>0a</v>
      </c>
      <c r="AI409" s="40" t="str">
        <f t="shared" si="94"/>
        <v>0a</v>
      </c>
    </row>
    <row r="410" spans="1:63" x14ac:dyDescent="0.35">
      <c r="A410" s="1196"/>
      <c r="B410" s="22">
        <v>9</v>
      </c>
      <c r="C410" s="40" t="str">
        <f t="shared" ref="C410:R413" si="95">IF(COUNTIF(C$3,"*b*"),"b",IF(COUNTIF(C$3,"0a*"),"0a",IF(COUNTIF(C$3,"*a*"),"a")))</f>
        <v>a</v>
      </c>
      <c r="D410" s="40" t="str">
        <f t="shared" si="95"/>
        <v>a</v>
      </c>
      <c r="E410" s="40" t="str">
        <f t="shared" si="95"/>
        <v>a</v>
      </c>
      <c r="F410" s="40" t="str">
        <f t="shared" si="95"/>
        <v>a</v>
      </c>
      <c r="G410" s="40" t="str">
        <f t="shared" si="95"/>
        <v>a</v>
      </c>
      <c r="H410" s="40" t="str">
        <f t="shared" si="95"/>
        <v>a</v>
      </c>
      <c r="I410" s="40" t="str">
        <f t="shared" si="95"/>
        <v>a</v>
      </c>
      <c r="J410" s="40" t="str">
        <f t="shared" si="95"/>
        <v>a</v>
      </c>
      <c r="K410" s="40" t="str">
        <f t="shared" si="95"/>
        <v>0a</v>
      </c>
      <c r="L410" s="40" t="str">
        <f t="shared" si="95"/>
        <v>b</v>
      </c>
      <c r="M410" s="40" t="str">
        <f t="shared" si="95"/>
        <v>b</v>
      </c>
      <c r="N410" s="40" t="str">
        <f t="shared" si="95"/>
        <v>b</v>
      </c>
      <c r="O410" s="40" t="str">
        <f t="shared" si="95"/>
        <v>b</v>
      </c>
      <c r="P410" s="40" t="str">
        <f t="shared" si="95"/>
        <v>0a</v>
      </c>
      <c r="Q410" s="40" t="str">
        <f t="shared" si="95"/>
        <v>0a</v>
      </c>
      <c r="R410" s="40" t="str">
        <f t="shared" si="95"/>
        <v>0a</v>
      </c>
      <c r="S410" s="40" t="str">
        <f t="shared" ref="S410:AH413" si="96">IF(COUNTIF(S$3,"*b*"),"b",IF(COUNTIF(S$3,"0a*"),"0a",IF(COUNTIF(S$3,"*a*"),"a")))</f>
        <v>0a</v>
      </c>
      <c r="T410" s="40" t="str">
        <f t="shared" si="96"/>
        <v>0a</v>
      </c>
      <c r="U410" s="40" t="str">
        <f t="shared" si="96"/>
        <v>0a</v>
      </c>
      <c r="V410" s="40" t="str">
        <f t="shared" si="96"/>
        <v>0a</v>
      </c>
      <c r="W410" s="40" t="str">
        <f t="shared" si="96"/>
        <v>0a</v>
      </c>
      <c r="X410" s="40" t="str">
        <f t="shared" si="96"/>
        <v>0a</v>
      </c>
      <c r="Y410" s="40" t="str">
        <f t="shared" si="96"/>
        <v>0a</v>
      </c>
      <c r="Z410" s="40" t="str">
        <f t="shared" si="96"/>
        <v>0a</v>
      </c>
      <c r="AA410" s="40" t="str">
        <f t="shared" si="96"/>
        <v>0a</v>
      </c>
      <c r="AB410" s="40" t="str">
        <f t="shared" si="96"/>
        <v>0a</v>
      </c>
      <c r="AC410" s="40" t="str">
        <f t="shared" si="96"/>
        <v>0a</v>
      </c>
      <c r="AD410" s="40" t="str">
        <f t="shared" si="96"/>
        <v>0a</v>
      </c>
      <c r="AE410" s="40" t="str">
        <f t="shared" si="96"/>
        <v>0a</v>
      </c>
      <c r="AF410" s="40" t="str">
        <f t="shared" si="96"/>
        <v>0a</v>
      </c>
      <c r="AG410" s="40" t="str">
        <f t="shared" si="96"/>
        <v>0a</v>
      </c>
      <c r="AH410" s="40" t="str">
        <f t="shared" si="96"/>
        <v>0a</v>
      </c>
      <c r="AI410" s="40" t="str">
        <f>IF(COUNTIF(AI$3,"*b*"),"b",IF(COUNTIF(AI$3,"0a*"),"0a",IF(COUNTIF(AI$3,"*a*"),"a")))</f>
        <v>0a</v>
      </c>
      <c r="BK410" s="14"/>
    </row>
    <row r="411" spans="1:63" x14ac:dyDescent="0.35">
      <c r="A411" s="1196"/>
      <c r="B411" s="22">
        <v>10</v>
      </c>
      <c r="C411" s="40" t="str">
        <f t="shared" si="95"/>
        <v>a</v>
      </c>
      <c r="D411" s="40" t="str">
        <f t="shared" si="95"/>
        <v>a</v>
      </c>
      <c r="E411" s="40" t="str">
        <f t="shared" si="95"/>
        <v>a</v>
      </c>
      <c r="F411" s="40" t="str">
        <f t="shared" si="95"/>
        <v>a</v>
      </c>
      <c r="G411" s="40" t="str">
        <f t="shared" si="95"/>
        <v>a</v>
      </c>
      <c r="H411" s="40" t="str">
        <f t="shared" si="95"/>
        <v>a</v>
      </c>
      <c r="I411" s="40" t="str">
        <f t="shared" si="95"/>
        <v>a</v>
      </c>
      <c r="J411" s="40" t="str">
        <f t="shared" si="95"/>
        <v>a</v>
      </c>
      <c r="K411" s="40" t="str">
        <f t="shared" si="95"/>
        <v>0a</v>
      </c>
      <c r="L411" s="40" t="str">
        <f t="shared" si="95"/>
        <v>b</v>
      </c>
      <c r="M411" s="40" t="str">
        <f t="shared" si="95"/>
        <v>b</v>
      </c>
      <c r="N411" s="40" t="str">
        <f t="shared" si="95"/>
        <v>b</v>
      </c>
      <c r="O411" s="40" t="str">
        <f t="shared" si="95"/>
        <v>b</v>
      </c>
      <c r="P411" s="40" t="str">
        <f t="shared" si="95"/>
        <v>0a</v>
      </c>
      <c r="Q411" s="40" t="str">
        <f t="shared" si="95"/>
        <v>0a</v>
      </c>
      <c r="R411" s="40" t="str">
        <f t="shared" si="95"/>
        <v>0a</v>
      </c>
      <c r="S411" s="40" t="str">
        <f t="shared" si="96"/>
        <v>0a</v>
      </c>
      <c r="T411" s="40" t="str">
        <f t="shared" si="96"/>
        <v>0a</v>
      </c>
      <c r="U411" s="40" t="str">
        <f t="shared" si="96"/>
        <v>0a</v>
      </c>
      <c r="V411" s="40" t="str">
        <f t="shared" si="96"/>
        <v>0a</v>
      </c>
      <c r="W411" s="40" t="str">
        <f t="shared" si="96"/>
        <v>0a</v>
      </c>
      <c r="X411" s="40" t="str">
        <f t="shared" si="96"/>
        <v>0a</v>
      </c>
      <c r="Y411" s="40" t="str">
        <f t="shared" si="96"/>
        <v>0a</v>
      </c>
      <c r="Z411" s="40" t="str">
        <f t="shared" si="96"/>
        <v>0a</v>
      </c>
      <c r="AA411" s="40" t="str">
        <f t="shared" si="96"/>
        <v>0a</v>
      </c>
      <c r="AB411" s="40" t="str">
        <f t="shared" si="96"/>
        <v>0a</v>
      </c>
      <c r="AC411" s="40" t="str">
        <f t="shared" si="96"/>
        <v>0a</v>
      </c>
      <c r="AD411" s="40" t="str">
        <f t="shared" si="96"/>
        <v>0a</v>
      </c>
      <c r="AE411" s="40" t="str">
        <f t="shared" si="96"/>
        <v>0a</v>
      </c>
      <c r="AF411" s="40" t="str">
        <f t="shared" si="96"/>
        <v>0a</v>
      </c>
      <c r="AG411" s="40" t="str">
        <f t="shared" si="96"/>
        <v>0a</v>
      </c>
      <c r="AH411" s="40" t="str">
        <f t="shared" si="96"/>
        <v>0a</v>
      </c>
      <c r="AI411" s="40" t="str">
        <f>IF(COUNTIF(AI$3,"*b*"),"b",IF(COUNTIF(AI$3,"0a*"),"0a",IF(COUNTIF(AI$3,"*a*"),"a")))</f>
        <v>0a</v>
      </c>
    </row>
    <row r="412" spans="1:63" x14ac:dyDescent="0.35">
      <c r="A412" s="1196"/>
      <c r="B412" s="22">
        <v>11</v>
      </c>
      <c r="C412" s="40" t="str">
        <f t="shared" si="95"/>
        <v>a</v>
      </c>
      <c r="D412" s="40" t="str">
        <f t="shared" si="95"/>
        <v>a</v>
      </c>
      <c r="E412" s="40" t="str">
        <f t="shared" si="95"/>
        <v>a</v>
      </c>
      <c r="F412" s="40" t="str">
        <f t="shared" si="95"/>
        <v>a</v>
      </c>
      <c r="G412" s="40" t="str">
        <f t="shared" si="95"/>
        <v>a</v>
      </c>
      <c r="H412" s="40" t="str">
        <f t="shared" si="95"/>
        <v>a</v>
      </c>
      <c r="I412" s="40" t="str">
        <f t="shared" si="95"/>
        <v>a</v>
      </c>
      <c r="J412" s="40" t="str">
        <f t="shared" si="95"/>
        <v>a</v>
      </c>
      <c r="K412" s="40" t="str">
        <f t="shared" si="95"/>
        <v>0a</v>
      </c>
      <c r="L412" s="40" t="str">
        <f t="shared" si="95"/>
        <v>b</v>
      </c>
      <c r="M412" s="40" t="str">
        <f t="shared" si="95"/>
        <v>b</v>
      </c>
      <c r="N412" s="40" t="str">
        <f t="shared" si="95"/>
        <v>b</v>
      </c>
      <c r="O412" s="40" t="str">
        <f t="shared" si="95"/>
        <v>b</v>
      </c>
      <c r="P412" s="40" t="str">
        <f t="shared" si="95"/>
        <v>0a</v>
      </c>
      <c r="Q412" s="40" t="str">
        <f t="shared" si="95"/>
        <v>0a</v>
      </c>
      <c r="R412" s="40" t="str">
        <f t="shared" si="95"/>
        <v>0a</v>
      </c>
      <c r="S412" s="40" t="str">
        <f t="shared" si="96"/>
        <v>0a</v>
      </c>
      <c r="T412" s="40" t="str">
        <f t="shared" si="96"/>
        <v>0a</v>
      </c>
      <c r="U412" s="40" t="str">
        <f t="shared" si="96"/>
        <v>0a</v>
      </c>
      <c r="V412" s="40" t="str">
        <f t="shared" si="96"/>
        <v>0a</v>
      </c>
      <c r="W412" s="40" t="str">
        <f t="shared" si="96"/>
        <v>0a</v>
      </c>
      <c r="X412" s="40" t="str">
        <f t="shared" si="96"/>
        <v>0a</v>
      </c>
      <c r="Y412" s="40" t="str">
        <f t="shared" si="96"/>
        <v>0a</v>
      </c>
      <c r="Z412" s="40" t="str">
        <f t="shared" si="96"/>
        <v>0a</v>
      </c>
      <c r="AA412" s="40" t="str">
        <f t="shared" si="96"/>
        <v>0a</v>
      </c>
      <c r="AB412" s="40" t="str">
        <f t="shared" si="96"/>
        <v>0a</v>
      </c>
      <c r="AC412" s="40" t="str">
        <f t="shared" si="96"/>
        <v>0a</v>
      </c>
      <c r="AD412" s="40" t="str">
        <f t="shared" si="96"/>
        <v>0a</v>
      </c>
      <c r="AE412" s="40" t="str">
        <f t="shared" si="96"/>
        <v>0a</v>
      </c>
      <c r="AF412" s="40" t="str">
        <f t="shared" si="96"/>
        <v>0a</v>
      </c>
      <c r="AG412" s="40" t="str">
        <f t="shared" si="96"/>
        <v>0a</v>
      </c>
      <c r="AH412" s="40" t="str">
        <f t="shared" si="96"/>
        <v>0a</v>
      </c>
      <c r="AI412" s="40" t="str">
        <f>IF(COUNTIF(AI$3,"*b*"),"b",IF(COUNTIF(AI$3,"0a*"),"0a",IF(COUNTIF(AI$3,"*a*"),"a")))</f>
        <v>0a</v>
      </c>
    </row>
    <row r="413" spans="1:63" ht="15" thickBot="1" x14ac:dyDescent="0.4">
      <c r="A413" s="1197"/>
      <c r="B413" s="23">
        <v>12</v>
      </c>
      <c r="C413" s="40" t="str">
        <f t="shared" si="95"/>
        <v>a</v>
      </c>
      <c r="D413" s="40" t="str">
        <f t="shared" si="95"/>
        <v>a</v>
      </c>
      <c r="E413" s="40" t="str">
        <f t="shared" si="95"/>
        <v>a</v>
      </c>
      <c r="F413" s="40" t="str">
        <f t="shared" si="95"/>
        <v>a</v>
      </c>
      <c r="G413" s="40" t="str">
        <f t="shared" si="95"/>
        <v>a</v>
      </c>
      <c r="H413" s="40" t="str">
        <f t="shared" si="95"/>
        <v>a</v>
      </c>
      <c r="I413" s="40" t="str">
        <f t="shared" si="95"/>
        <v>a</v>
      </c>
      <c r="J413" s="40" t="str">
        <f t="shared" si="95"/>
        <v>a</v>
      </c>
      <c r="K413" s="40" t="str">
        <f t="shared" si="95"/>
        <v>0a</v>
      </c>
      <c r="L413" s="40" t="str">
        <f t="shared" si="95"/>
        <v>b</v>
      </c>
      <c r="M413" s="40" t="str">
        <f t="shared" si="95"/>
        <v>b</v>
      </c>
      <c r="N413" s="40" t="str">
        <f t="shared" si="95"/>
        <v>b</v>
      </c>
      <c r="O413" s="40" t="str">
        <f t="shared" si="95"/>
        <v>b</v>
      </c>
      <c r="P413" s="40" t="str">
        <f t="shared" si="95"/>
        <v>0a</v>
      </c>
      <c r="Q413" s="40" t="str">
        <f t="shared" si="95"/>
        <v>0a</v>
      </c>
      <c r="R413" s="40" t="str">
        <f t="shared" si="95"/>
        <v>0a</v>
      </c>
      <c r="S413" s="40" t="str">
        <f t="shared" si="96"/>
        <v>0a</v>
      </c>
      <c r="T413" s="40" t="str">
        <f t="shared" si="96"/>
        <v>0a</v>
      </c>
      <c r="U413" s="40" t="str">
        <f t="shared" si="96"/>
        <v>0a</v>
      </c>
      <c r="V413" s="40" t="str">
        <f t="shared" si="96"/>
        <v>0a</v>
      </c>
      <c r="W413" s="40" t="str">
        <f t="shared" si="96"/>
        <v>0a</v>
      </c>
      <c r="X413" s="40" t="str">
        <f t="shared" si="96"/>
        <v>0a</v>
      </c>
      <c r="Y413" s="40" t="str">
        <f t="shared" si="96"/>
        <v>0a</v>
      </c>
      <c r="Z413" s="40" t="str">
        <f t="shared" si="96"/>
        <v>0a</v>
      </c>
      <c r="AA413" s="40" t="str">
        <f t="shared" si="96"/>
        <v>0a</v>
      </c>
      <c r="AB413" s="40" t="str">
        <f t="shared" si="96"/>
        <v>0a</v>
      </c>
      <c r="AC413" s="40" t="str">
        <f t="shared" si="96"/>
        <v>0a</v>
      </c>
      <c r="AD413" s="40" t="str">
        <f t="shared" si="96"/>
        <v>0a</v>
      </c>
      <c r="AE413" s="40" t="str">
        <f t="shared" si="96"/>
        <v>0a</v>
      </c>
      <c r="AF413" s="40" t="str">
        <f t="shared" si="96"/>
        <v>0a</v>
      </c>
      <c r="AG413" s="40" t="str">
        <f t="shared" si="96"/>
        <v>0a</v>
      </c>
      <c r="AH413" s="40" t="str">
        <f t="shared" si="96"/>
        <v>0a</v>
      </c>
      <c r="AI413" s="40" t="str">
        <f>IF(COUNTIF(AI$3,"*b*"),"b",IF(COUNTIF(AI$3,"0a*"),"0a",IF(COUNTIF(AI$3,"*a*"),"a")))</f>
        <v>0a</v>
      </c>
    </row>
    <row r="415" spans="1:63" ht="15" thickBot="1" x14ac:dyDescent="0.4"/>
    <row r="416" spans="1:63" x14ac:dyDescent="0.35">
      <c r="A416" s="1202"/>
      <c r="B416" s="1203"/>
      <c r="C416" s="1207" t="s">
        <v>17</v>
      </c>
      <c r="D416" s="1207"/>
      <c r="E416" s="1207"/>
      <c r="F416" s="1207"/>
      <c r="G416" s="1207"/>
      <c r="H416" s="1207"/>
      <c r="I416" s="1207"/>
      <c r="J416" s="1207"/>
      <c r="K416" s="1207"/>
      <c r="L416" s="1207"/>
      <c r="M416" s="1207"/>
      <c r="N416" s="1207"/>
      <c r="O416" s="1207"/>
      <c r="P416" s="1207"/>
      <c r="Q416" s="1207"/>
      <c r="R416" s="1207"/>
      <c r="S416" s="1207"/>
      <c r="T416" s="1207"/>
      <c r="U416" s="1207"/>
      <c r="V416" s="1208"/>
      <c r="W416" s="6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8"/>
    </row>
    <row r="417" spans="1:35" ht="15" thickBot="1" x14ac:dyDescent="0.4">
      <c r="A417" s="1204"/>
      <c r="B417" s="1205"/>
      <c r="C417" s="16">
        <v>1</v>
      </c>
      <c r="D417" s="17">
        <v>2</v>
      </c>
      <c r="E417" s="17">
        <v>3</v>
      </c>
      <c r="F417" s="17">
        <v>4</v>
      </c>
      <c r="G417" s="17">
        <v>5</v>
      </c>
      <c r="H417" s="17">
        <v>6</v>
      </c>
      <c r="I417" s="17">
        <v>7</v>
      </c>
      <c r="J417" s="17">
        <v>8</v>
      </c>
      <c r="K417" s="17">
        <v>9</v>
      </c>
      <c r="L417" s="17">
        <v>10</v>
      </c>
      <c r="M417" s="17">
        <v>11</v>
      </c>
      <c r="N417" s="17">
        <v>12</v>
      </c>
      <c r="O417" s="17">
        <v>13</v>
      </c>
      <c r="P417" s="17">
        <v>14</v>
      </c>
      <c r="Q417" s="17">
        <v>15</v>
      </c>
      <c r="R417" s="17">
        <v>16</v>
      </c>
      <c r="S417" s="17">
        <v>17</v>
      </c>
      <c r="T417" s="17">
        <v>18</v>
      </c>
      <c r="U417" s="17">
        <v>19</v>
      </c>
      <c r="V417" s="18">
        <v>20</v>
      </c>
      <c r="W417" s="17">
        <v>21</v>
      </c>
      <c r="X417" s="18">
        <v>22</v>
      </c>
      <c r="Y417" s="17">
        <v>23</v>
      </c>
      <c r="Z417" s="18">
        <v>24</v>
      </c>
      <c r="AA417" s="17">
        <v>25</v>
      </c>
      <c r="AB417" s="18">
        <v>26</v>
      </c>
      <c r="AC417" s="17">
        <v>27</v>
      </c>
      <c r="AD417" s="18">
        <v>28</v>
      </c>
      <c r="AE417" s="17">
        <v>29</v>
      </c>
      <c r="AF417" s="18">
        <v>30</v>
      </c>
      <c r="AG417" s="17">
        <v>31</v>
      </c>
      <c r="AH417" s="18">
        <v>32</v>
      </c>
      <c r="AI417" s="17">
        <v>33</v>
      </c>
    </row>
    <row r="418" spans="1:35" x14ac:dyDescent="0.35">
      <c r="A418" s="1196" t="s">
        <v>18</v>
      </c>
      <c r="B418" s="21">
        <v>1</v>
      </c>
      <c r="C418" s="40">
        <f>IFERROR(INDEX(Data!$BI$46:$BJ$56,MATCH(Data!BR46,Data!$BI$46:$BI$56,0),2),"")</f>
        <v>1039060</v>
      </c>
      <c r="D418" s="40">
        <f>IFERROR(INDEX(Data!$BI$46:$BJ$56,MATCH(Data!BS46,Data!$BI$46:$BI$56,0),2),"")</f>
        <v>1039060</v>
      </c>
      <c r="E418" s="40">
        <f>IFERROR(INDEX(Data!$BI$46:$BJ$56,MATCH(Data!BT46,Data!$BI$46:$BI$56,0),2),"")</f>
        <v>1039060</v>
      </c>
      <c r="F418" s="40">
        <f>IFERROR(INDEX(Data!$BI$46:$BJ$56,MATCH(Data!BU46,Data!$BI$46:$BI$56,0),2),"")</f>
        <v>1039060</v>
      </c>
      <c r="G418" s="40">
        <f>IFERROR(INDEX(Data!$BI$46:$BJ$56,MATCH(Data!BV46,Data!$BI$46:$BI$56,0),2),"")</f>
        <v>1039060</v>
      </c>
      <c r="H418" s="40">
        <f>IFERROR(INDEX(Data!$BI$46:$BJ$56,MATCH(Data!BW46,Data!$BI$46:$BI$56,0),2),"")</f>
        <v>1039060</v>
      </c>
      <c r="I418" s="40">
        <f>IFERROR(INDEX(Data!$BI$46:$BJ$56,MATCH(Data!BX46,Data!$BI$46:$BI$56,0),2),"")</f>
        <v>1039060</v>
      </c>
      <c r="J418" s="40">
        <f>IFERROR(INDEX(Data!$BI$46:$BJ$56,MATCH(Data!BY46,Data!$BI$46:$BI$56,0),2),"")</f>
        <v>418525</v>
      </c>
      <c r="K418" s="40">
        <f>IFERROR(INDEX(Data!$BI$46:$BJ$56,MATCH(Data!BZ46,Data!$BI$46:$BI$56,0),2),"")</f>
        <v>0</v>
      </c>
      <c r="L418" s="40">
        <f>IFERROR(INDEX(Data!$BI$46:$BJ$56,MATCH(Data!CA46,Data!$BI$46:$BI$56,0),2),"")</f>
        <v>1130197</v>
      </c>
      <c r="M418" s="40">
        <f>IFERROR(INDEX(Data!$BI$46:$BJ$56,MATCH(Data!CB46,Data!$BI$46:$BI$56,0),2),"")</f>
        <v>1130197</v>
      </c>
      <c r="N418" s="40">
        <f>IFERROR(INDEX(Data!$BI$46:$BJ$56,MATCH(Data!CC46,Data!$BI$46:$BI$56,0),2),"")</f>
        <v>1130197</v>
      </c>
      <c r="O418" s="40">
        <f>IFERROR(INDEX(Data!$BI$46:$BJ$56,MATCH(Data!CD46,Data!$BI$46:$BI$56,0),2),"")</f>
        <v>1130197</v>
      </c>
      <c r="P418" s="40">
        <f>IFERROR(INDEX(Data!$BI$46:$BJ$56,MATCH(Data!CE46,Data!$BI$46:$BI$56,0),2),"")</f>
        <v>0</v>
      </c>
      <c r="Q418" s="40">
        <f>IFERROR(INDEX(Data!$BI$46:$BJ$56,MATCH(Data!CF46,Data!$BI$46:$BI$56,0),2),"")</f>
        <v>0</v>
      </c>
      <c r="R418" s="40">
        <f>IFERROR(INDEX(Data!$BI$46:$BJ$56,MATCH(Data!CG46,Data!$BI$46:$BI$56,0),2),"")</f>
        <v>0</v>
      </c>
      <c r="S418" s="40">
        <f>IFERROR(INDEX(Data!$BI$46:$BJ$56,MATCH(Data!CH46,Data!$BI$46:$BI$56,0),2),"")</f>
        <v>0</v>
      </c>
      <c r="T418" s="40">
        <f>IFERROR(INDEX(Data!$BI$46:$BJ$56,MATCH(Data!CI46,Data!$BI$46:$BI$56,0),2),"")</f>
        <v>0</v>
      </c>
      <c r="U418" s="40">
        <f>IFERROR(INDEX(Data!$BI$46:$BJ$56,MATCH(Data!CJ46,Data!$BI$46:$BI$56,0),2),"")</f>
        <v>0</v>
      </c>
      <c r="V418" s="40">
        <f>IFERROR(INDEX(Data!$BI$46:$BJ$56,MATCH(Data!CK46,Data!$BI$46:$BI$56,0),2),"")</f>
        <v>0</v>
      </c>
      <c r="W418" s="40">
        <f>IFERROR(INDEX(Data!$BI$46:$BJ$56,MATCH(Data!CL46,Data!$BI$46:$BI$56,0),2),"")</f>
        <v>0</v>
      </c>
      <c r="X418" s="40">
        <f>IFERROR(INDEX(Data!$BI$46:$BJ$56,MATCH(Data!CM46,Data!$BI$46:$BI$56,0),2),"")</f>
        <v>0</v>
      </c>
      <c r="Y418" s="40">
        <f>IFERROR(INDEX(Data!$BI$46:$BJ$56,MATCH(Data!CN46,Data!$BI$46:$BI$56,0),2),"")</f>
        <v>0</v>
      </c>
      <c r="Z418" s="40">
        <f>IFERROR(INDEX(Data!$BI$46:$BJ$56,MATCH(Data!CO46,Data!$BI$46:$BI$56,0),2),"")</f>
        <v>0</v>
      </c>
      <c r="AA418" s="40">
        <f>IFERROR(INDEX(Data!$BI$46:$BJ$56,MATCH(Data!CP46,Data!$BI$46:$BI$56,0),2),"")</f>
        <v>0</v>
      </c>
      <c r="AB418" s="40">
        <f>IFERROR(INDEX(Data!$BI$46:$BJ$56,MATCH(Data!CQ46,Data!$BI$46:$BI$56,0),2),"")</f>
        <v>0</v>
      </c>
      <c r="AC418" s="40">
        <f>IFERROR(INDEX(Data!$BI$46:$BJ$56,MATCH(Data!CR46,Data!$BI$46:$BI$56,0),2),"")</f>
        <v>0</v>
      </c>
      <c r="AD418" s="40">
        <f>IFERROR(INDEX(Data!$BI$46:$BJ$56,MATCH(Data!CS46,Data!$BI$46:$BI$56,0),2),"")</f>
        <v>0</v>
      </c>
      <c r="AE418" s="40">
        <f>IFERROR(INDEX(Data!$BI$46:$BJ$56,MATCH(Data!CT46,Data!$BI$46:$BI$56,0),2),"")</f>
        <v>0</v>
      </c>
      <c r="AF418" s="40">
        <f>IFERROR(INDEX(Data!$BI$46:$BJ$56,MATCH(Data!CU46,Data!$BI$46:$BI$56,0),2),"")</f>
        <v>0</v>
      </c>
      <c r="AG418" s="40">
        <f>IFERROR(INDEX(Data!$BI$46:$BJ$56,MATCH(Data!CV46,Data!$BI$46:$BI$56,0),2),"")</f>
        <v>0</v>
      </c>
      <c r="AH418" s="40">
        <f>IFERROR(INDEX(Data!$BI$46:$BJ$56,MATCH(Data!CW46,Data!$BI$46:$BI$56,0),2),"")</f>
        <v>0</v>
      </c>
      <c r="AI418" s="40">
        <f>IFERROR(INDEX(Data!$BI$46:$BJ$56,MATCH(Data!CX46,Data!$BI$46:$BI$56,0),2),"")</f>
        <v>0</v>
      </c>
    </row>
    <row r="419" spans="1:35" x14ac:dyDescent="0.35">
      <c r="A419" s="1196"/>
      <c r="B419" s="22">
        <v>2</v>
      </c>
      <c r="C419" s="40">
        <f>IFERROR(INDEX(Data!$BI$46:$BJ$56,MATCH(Data!BR47,Data!$BI$46:$BI$56,0),2),"")</f>
        <v>1039060</v>
      </c>
      <c r="D419" s="40">
        <f>IFERROR(INDEX(Data!$BI$46:$BJ$56,MATCH(Data!BS47,Data!$BI$46:$BI$56,0),2),"")</f>
        <v>1039060</v>
      </c>
      <c r="E419" s="40">
        <f>IFERROR(INDEX(Data!$BI$46:$BJ$56,MATCH(Data!BT47,Data!$BI$46:$BI$56,0),2),"")</f>
        <v>1039060</v>
      </c>
      <c r="F419" s="40">
        <f>IFERROR(INDEX(Data!$BI$46:$BJ$56,MATCH(Data!BU47,Data!$BI$46:$BI$56,0),2),"")</f>
        <v>1039060</v>
      </c>
      <c r="G419" s="40">
        <f>IFERROR(INDEX(Data!$BI$46:$BJ$56,MATCH(Data!BV47,Data!$BI$46:$BI$56,0),2),"")</f>
        <v>418525</v>
      </c>
      <c r="H419" s="40">
        <f>IFERROR(INDEX(Data!$BI$46:$BJ$56,MATCH(Data!BW47,Data!$BI$46:$BI$56,0),2),"")</f>
        <v>0</v>
      </c>
      <c r="I419" s="40">
        <f>IFERROR(INDEX(Data!$BI$46:$BJ$56,MATCH(Data!BX47,Data!$BI$46:$BI$56,0),2),"")</f>
        <v>0</v>
      </c>
      <c r="J419" s="40">
        <f>IFERROR(INDEX(Data!$BI$46:$BJ$56,MATCH(Data!BY47,Data!$BI$46:$BI$56,0),2),"")</f>
        <v>0</v>
      </c>
      <c r="K419" s="40">
        <f>IFERROR(INDEX(Data!$BI$46:$BJ$56,MATCH(Data!BZ47,Data!$BI$46:$BI$56,0),2),"")</f>
        <v>0</v>
      </c>
      <c r="L419" s="40">
        <f>IFERROR(INDEX(Data!$BI$46:$BJ$56,MATCH(Data!CA47,Data!$BI$46:$BI$56,0),2),"")</f>
        <v>1130197</v>
      </c>
      <c r="M419" s="40">
        <f>IFERROR(INDEX(Data!$BI$46:$BJ$56,MATCH(Data!CB47,Data!$BI$46:$BI$56,0),2),"")</f>
        <v>1130197</v>
      </c>
      <c r="N419" s="40">
        <f>IFERROR(INDEX(Data!$BI$46:$BJ$56,MATCH(Data!CC47,Data!$BI$46:$BI$56,0),2),"")</f>
        <v>1130197</v>
      </c>
      <c r="O419" s="40">
        <f>IFERROR(INDEX(Data!$BI$46:$BJ$56,MATCH(Data!CD47,Data!$BI$46:$BI$56,0),2),"")</f>
        <v>1130197</v>
      </c>
      <c r="P419" s="40">
        <f>IFERROR(INDEX(Data!$BI$46:$BJ$56,MATCH(Data!CE47,Data!$BI$46:$BI$56,0),2),"")</f>
        <v>0</v>
      </c>
      <c r="Q419" s="40">
        <f>IFERROR(INDEX(Data!$BI$46:$BJ$56,MATCH(Data!CF47,Data!$BI$46:$BI$56,0),2),"")</f>
        <v>0</v>
      </c>
      <c r="R419" s="40">
        <f>IFERROR(INDEX(Data!$BI$46:$BJ$56,MATCH(Data!CG47,Data!$BI$46:$BI$56,0),2),"")</f>
        <v>0</v>
      </c>
      <c r="S419" s="40">
        <f>IFERROR(INDEX(Data!$BI$46:$BJ$56,MATCH(Data!CH47,Data!$BI$46:$BI$56,0),2),"")</f>
        <v>0</v>
      </c>
      <c r="T419" s="40">
        <f>IFERROR(INDEX(Data!$BI$46:$BJ$56,MATCH(Data!CI47,Data!$BI$46:$BI$56,0),2),"")</f>
        <v>0</v>
      </c>
      <c r="U419" s="40">
        <f>IFERROR(INDEX(Data!$BI$46:$BJ$56,MATCH(Data!CJ47,Data!$BI$46:$BI$56,0),2),"")</f>
        <v>0</v>
      </c>
      <c r="V419" s="40">
        <f>IFERROR(INDEX(Data!$BI$46:$BJ$56,MATCH(Data!CK47,Data!$BI$46:$BI$56,0),2),"")</f>
        <v>0</v>
      </c>
      <c r="W419" s="40">
        <f>IFERROR(INDEX(Data!$BI$46:$BJ$56,MATCH(Data!CL47,Data!$BI$46:$BI$56,0),2),"")</f>
        <v>0</v>
      </c>
      <c r="X419" s="40">
        <f>IFERROR(INDEX(Data!$BI$46:$BJ$56,MATCH(Data!CM47,Data!$BI$46:$BI$56,0),2),"")</f>
        <v>0</v>
      </c>
      <c r="Y419" s="40">
        <f>IFERROR(INDEX(Data!$BI$46:$BJ$56,MATCH(Data!CN47,Data!$BI$46:$BI$56,0),2),"")</f>
        <v>0</v>
      </c>
      <c r="Z419" s="40">
        <f>IFERROR(INDEX(Data!$BI$46:$BJ$56,MATCH(Data!CO47,Data!$BI$46:$BI$56,0),2),"")</f>
        <v>0</v>
      </c>
      <c r="AA419" s="40">
        <f>IFERROR(INDEX(Data!$BI$46:$BJ$56,MATCH(Data!CP47,Data!$BI$46:$BI$56,0),2),"")</f>
        <v>0</v>
      </c>
      <c r="AB419" s="40">
        <f>IFERROR(INDEX(Data!$BI$46:$BJ$56,MATCH(Data!CQ47,Data!$BI$46:$BI$56,0),2),"")</f>
        <v>0</v>
      </c>
      <c r="AC419" s="40">
        <f>IFERROR(INDEX(Data!$BI$46:$BJ$56,MATCH(Data!CR47,Data!$BI$46:$BI$56,0),2),"")</f>
        <v>0</v>
      </c>
      <c r="AD419" s="40">
        <f>IFERROR(INDEX(Data!$BI$46:$BJ$56,MATCH(Data!CS47,Data!$BI$46:$BI$56,0),2),"")</f>
        <v>0</v>
      </c>
      <c r="AE419" s="40">
        <f>IFERROR(INDEX(Data!$BI$46:$BJ$56,MATCH(Data!CT47,Data!$BI$46:$BI$56,0),2),"")</f>
        <v>0</v>
      </c>
      <c r="AF419" s="40">
        <f>IFERROR(INDEX(Data!$BI$46:$BJ$56,MATCH(Data!CU47,Data!$BI$46:$BI$56,0),2),"")</f>
        <v>0</v>
      </c>
      <c r="AG419" s="40">
        <f>IFERROR(INDEX(Data!$BI$46:$BJ$56,MATCH(Data!CV47,Data!$BI$46:$BI$56,0),2),"")</f>
        <v>0</v>
      </c>
      <c r="AH419" s="40">
        <f>IFERROR(INDEX(Data!$BI$46:$BJ$56,MATCH(Data!CW47,Data!$BI$46:$BI$56,0),2),"")</f>
        <v>0</v>
      </c>
      <c r="AI419" s="40">
        <f>IFERROR(INDEX(Data!$BI$46:$BJ$56,MATCH(Data!CX47,Data!$BI$46:$BI$56,0),2),"")</f>
        <v>0</v>
      </c>
    </row>
    <row r="420" spans="1:35" x14ac:dyDescent="0.35">
      <c r="A420" s="1196"/>
      <c r="B420" s="22">
        <v>3</v>
      </c>
      <c r="C420" s="40">
        <f>IFERROR(INDEX(Data!$BI$46:$BJ$56,MATCH(Data!BR48,Data!$BI$46:$BI$56,0),2),"")</f>
        <v>1039060</v>
      </c>
      <c r="D420" s="40">
        <f>IFERROR(INDEX(Data!$BI$46:$BJ$56,MATCH(Data!BS48,Data!$BI$46:$BI$56,0),2),"")</f>
        <v>1039060</v>
      </c>
      <c r="E420" s="40">
        <f>IFERROR(INDEX(Data!$BI$46:$BJ$56,MATCH(Data!BT48,Data!$BI$46:$BI$56,0),2),"")</f>
        <v>1039060</v>
      </c>
      <c r="F420" s="40">
        <f>IFERROR(INDEX(Data!$BI$46:$BJ$56,MATCH(Data!BU48,Data!$BI$46:$BI$56,0),2),"")</f>
        <v>1039060</v>
      </c>
      <c r="G420" s="40">
        <f>IFERROR(INDEX(Data!$BI$46:$BJ$56,MATCH(Data!BV48,Data!$BI$46:$BI$56,0),2),"")</f>
        <v>1039060</v>
      </c>
      <c r="H420" s="40">
        <f>IFERROR(INDEX(Data!$BI$46:$BJ$56,MATCH(Data!BW48,Data!$BI$46:$BI$56,0),2),"")</f>
        <v>1039060</v>
      </c>
      <c r="I420" s="40">
        <f>IFERROR(INDEX(Data!$BI$46:$BJ$56,MATCH(Data!BX48,Data!$BI$46:$BI$56,0),2),"")</f>
        <v>418525</v>
      </c>
      <c r="J420" s="40">
        <f>IFERROR(INDEX(Data!$BI$46:$BJ$56,MATCH(Data!BY48,Data!$BI$46:$BI$56,0),2),"")</f>
        <v>0</v>
      </c>
      <c r="K420" s="40">
        <f>IFERROR(INDEX(Data!$BI$46:$BJ$56,MATCH(Data!BZ48,Data!$BI$46:$BI$56,0),2),"")</f>
        <v>0</v>
      </c>
      <c r="L420" s="40">
        <f>IFERROR(INDEX(Data!$BI$46:$BJ$56,MATCH(Data!CA48,Data!$BI$46:$BI$56,0),2),"")</f>
        <v>1130197</v>
      </c>
      <c r="M420" s="40">
        <f>IFERROR(INDEX(Data!$BI$46:$BJ$56,MATCH(Data!CB48,Data!$BI$46:$BI$56,0),2),"")</f>
        <v>1130197</v>
      </c>
      <c r="N420" s="40">
        <f>IFERROR(INDEX(Data!$BI$46:$BJ$56,MATCH(Data!CC48,Data!$BI$46:$BI$56,0),2),"")</f>
        <v>1130197</v>
      </c>
      <c r="O420" s="40">
        <f>IFERROR(INDEX(Data!$BI$46:$BJ$56,MATCH(Data!CD48,Data!$BI$46:$BI$56,0),2),"")</f>
        <v>0</v>
      </c>
      <c r="P420" s="40">
        <f>IFERROR(INDEX(Data!$BI$46:$BJ$56,MATCH(Data!CE48,Data!$BI$46:$BI$56,0),2),"")</f>
        <v>0</v>
      </c>
      <c r="Q420" s="40">
        <f>IFERROR(INDEX(Data!$BI$46:$BJ$56,MATCH(Data!CF48,Data!$BI$46:$BI$56,0),2),"")</f>
        <v>0</v>
      </c>
      <c r="R420" s="40">
        <f>IFERROR(INDEX(Data!$BI$46:$BJ$56,MATCH(Data!CG48,Data!$BI$46:$BI$56,0),2),"")</f>
        <v>0</v>
      </c>
      <c r="S420" s="40">
        <f>IFERROR(INDEX(Data!$BI$46:$BJ$56,MATCH(Data!CH48,Data!$BI$46:$BI$56,0),2),"")</f>
        <v>0</v>
      </c>
      <c r="T420" s="40">
        <f>IFERROR(INDEX(Data!$BI$46:$BJ$56,MATCH(Data!CI48,Data!$BI$46:$BI$56,0),2),"")</f>
        <v>0</v>
      </c>
      <c r="U420" s="40">
        <f>IFERROR(INDEX(Data!$BI$46:$BJ$56,MATCH(Data!CJ48,Data!$BI$46:$BI$56,0),2),"")</f>
        <v>0</v>
      </c>
      <c r="V420" s="40">
        <f>IFERROR(INDEX(Data!$BI$46:$BJ$56,MATCH(Data!CK48,Data!$BI$46:$BI$56,0),2),"")</f>
        <v>0</v>
      </c>
      <c r="W420" s="40">
        <f>IFERROR(INDEX(Data!$BI$46:$BJ$56,MATCH(Data!CL48,Data!$BI$46:$BI$56,0),2),"")</f>
        <v>0</v>
      </c>
      <c r="X420" s="40">
        <f>IFERROR(INDEX(Data!$BI$46:$BJ$56,MATCH(Data!CM48,Data!$BI$46:$BI$56,0),2),"")</f>
        <v>0</v>
      </c>
      <c r="Y420" s="40">
        <f>IFERROR(INDEX(Data!$BI$46:$BJ$56,MATCH(Data!CN48,Data!$BI$46:$BI$56,0),2),"")</f>
        <v>0</v>
      </c>
      <c r="Z420" s="40">
        <f>IFERROR(INDEX(Data!$BI$46:$BJ$56,MATCH(Data!CO48,Data!$BI$46:$BI$56,0),2),"")</f>
        <v>0</v>
      </c>
      <c r="AA420" s="40">
        <f>IFERROR(INDEX(Data!$BI$46:$BJ$56,MATCH(Data!CP48,Data!$BI$46:$BI$56,0),2),"")</f>
        <v>0</v>
      </c>
      <c r="AB420" s="40">
        <f>IFERROR(INDEX(Data!$BI$46:$BJ$56,MATCH(Data!CQ48,Data!$BI$46:$BI$56,0),2),"")</f>
        <v>0</v>
      </c>
      <c r="AC420" s="40">
        <f>IFERROR(INDEX(Data!$BI$46:$BJ$56,MATCH(Data!CR48,Data!$BI$46:$BI$56,0),2),"")</f>
        <v>0</v>
      </c>
      <c r="AD420" s="40">
        <f>IFERROR(INDEX(Data!$BI$46:$BJ$56,MATCH(Data!CS48,Data!$BI$46:$BI$56,0),2),"")</f>
        <v>0</v>
      </c>
      <c r="AE420" s="40">
        <f>IFERROR(INDEX(Data!$BI$46:$BJ$56,MATCH(Data!CT48,Data!$BI$46:$BI$56,0),2),"")</f>
        <v>0</v>
      </c>
      <c r="AF420" s="40">
        <f>IFERROR(INDEX(Data!$BI$46:$BJ$56,MATCH(Data!CU48,Data!$BI$46:$BI$56,0),2),"")</f>
        <v>0</v>
      </c>
      <c r="AG420" s="40">
        <f>IFERROR(INDEX(Data!$BI$46:$BJ$56,MATCH(Data!CV48,Data!$BI$46:$BI$56,0),2),"")</f>
        <v>0</v>
      </c>
      <c r="AH420" s="40">
        <f>IFERROR(INDEX(Data!$BI$46:$BJ$56,MATCH(Data!CW48,Data!$BI$46:$BI$56,0),2),"")</f>
        <v>0</v>
      </c>
      <c r="AI420" s="40">
        <f>IFERROR(INDEX(Data!$BI$46:$BJ$56,MATCH(Data!CX48,Data!$BI$46:$BI$56,0),2),"")</f>
        <v>0</v>
      </c>
    </row>
    <row r="421" spans="1:35" x14ac:dyDescent="0.35">
      <c r="A421" s="1196"/>
      <c r="B421" s="22">
        <v>4</v>
      </c>
      <c r="C421" s="40">
        <f>IFERROR(INDEX(Data!$BI$46:$BJ$56,MATCH(Data!BR49,Data!$BI$46:$BI$56,0),2),"")</f>
        <v>1039060</v>
      </c>
      <c r="D421" s="40">
        <f>IFERROR(INDEX(Data!$BI$46:$BJ$56,MATCH(Data!BS49,Data!$BI$46:$BI$56,0),2),"")</f>
        <v>1039060</v>
      </c>
      <c r="E421" s="40">
        <f>IFERROR(INDEX(Data!$BI$46:$BJ$56,MATCH(Data!BT49,Data!$BI$46:$BI$56,0),2),"")</f>
        <v>1039060</v>
      </c>
      <c r="F421" s="40">
        <f>IFERROR(INDEX(Data!$BI$46:$BJ$56,MATCH(Data!BU49,Data!$BI$46:$BI$56,0),2),"")</f>
        <v>1039060</v>
      </c>
      <c r="G421" s="40">
        <f>IFERROR(INDEX(Data!$BI$46:$BJ$56,MATCH(Data!BV49,Data!$BI$46:$BI$56,0),2),"")</f>
        <v>1039060</v>
      </c>
      <c r="H421" s="40">
        <f>IFERROR(INDEX(Data!$BI$46:$BJ$56,MATCH(Data!BW49,Data!$BI$46:$BI$56,0),2),"")</f>
        <v>418525</v>
      </c>
      <c r="I421" s="40">
        <f>IFERROR(INDEX(Data!$BI$46:$BJ$56,MATCH(Data!BX49,Data!$BI$46:$BI$56,0),2),"")</f>
        <v>0</v>
      </c>
      <c r="J421" s="40">
        <f>IFERROR(INDEX(Data!$BI$46:$BJ$56,MATCH(Data!BY49,Data!$BI$46:$BI$56,0),2),"")</f>
        <v>0</v>
      </c>
      <c r="K421" s="40">
        <f>IFERROR(INDEX(Data!$BI$46:$BJ$56,MATCH(Data!BZ49,Data!$BI$46:$BI$56,0),2),"")</f>
        <v>0</v>
      </c>
      <c r="L421" s="40">
        <f>IFERROR(INDEX(Data!$BI$46:$BJ$56,MATCH(Data!CA49,Data!$BI$46:$BI$56,0),2),"")</f>
        <v>1130197</v>
      </c>
      <c r="M421" s="40">
        <f>IFERROR(INDEX(Data!$BI$46:$BJ$56,MATCH(Data!CB49,Data!$BI$46:$BI$56,0),2),"")</f>
        <v>1130197</v>
      </c>
      <c r="N421" s="40">
        <f>IFERROR(INDEX(Data!$BI$46:$BJ$56,MATCH(Data!CC49,Data!$BI$46:$BI$56,0),2),"")</f>
        <v>1130197</v>
      </c>
      <c r="O421" s="40">
        <f>IFERROR(INDEX(Data!$BI$46:$BJ$56,MATCH(Data!CD49,Data!$BI$46:$BI$56,0),2),"")</f>
        <v>1130197</v>
      </c>
      <c r="P421" s="40">
        <f>IFERROR(INDEX(Data!$BI$46:$BJ$56,MATCH(Data!CE49,Data!$BI$46:$BI$56,0),2),"")</f>
        <v>0</v>
      </c>
      <c r="Q421" s="40">
        <f>IFERROR(INDEX(Data!$BI$46:$BJ$56,MATCH(Data!CF49,Data!$BI$46:$BI$56,0),2),"")</f>
        <v>0</v>
      </c>
      <c r="R421" s="40">
        <f>IFERROR(INDEX(Data!$BI$46:$BJ$56,MATCH(Data!CG49,Data!$BI$46:$BI$56,0),2),"")</f>
        <v>0</v>
      </c>
      <c r="S421" s="40">
        <f>IFERROR(INDEX(Data!$BI$46:$BJ$56,MATCH(Data!CH49,Data!$BI$46:$BI$56,0),2),"")</f>
        <v>0</v>
      </c>
      <c r="T421" s="40">
        <f>IFERROR(INDEX(Data!$BI$46:$BJ$56,MATCH(Data!CI49,Data!$BI$46:$BI$56,0),2),"")</f>
        <v>0</v>
      </c>
      <c r="U421" s="40">
        <f>IFERROR(INDEX(Data!$BI$46:$BJ$56,MATCH(Data!CJ49,Data!$BI$46:$BI$56,0),2),"")</f>
        <v>0</v>
      </c>
      <c r="V421" s="40">
        <f>IFERROR(INDEX(Data!$BI$46:$BJ$56,MATCH(Data!CK49,Data!$BI$46:$BI$56,0),2),"")</f>
        <v>0</v>
      </c>
      <c r="W421" s="40">
        <f>IFERROR(INDEX(Data!$BI$46:$BJ$56,MATCH(Data!CL49,Data!$BI$46:$BI$56,0),2),"")</f>
        <v>0</v>
      </c>
      <c r="X421" s="40">
        <f>IFERROR(INDEX(Data!$BI$46:$BJ$56,MATCH(Data!CM49,Data!$BI$46:$BI$56,0),2),"")</f>
        <v>0</v>
      </c>
      <c r="Y421" s="40">
        <f>IFERROR(INDEX(Data!$BI$46:$BJ$56,MATCH(Data!CN49,Data!$BI$46:$BI$56,0),2),"")</f>
        <v>0</v>
      </c>
      <c r="Z421" s="40">
        <f>IFERROR(INDEX(Data!$BI$46:$BJ$56,MATCH(Data!CO49,Data!$BI$46:$BI$56,0),2),"")</f>
        <v>0</v>
      </c>
      <c r="AA421" s="40">
        <f>IFERROR(INDEX(Data!$BI$46:$BJ$56,MATCH(Data!CP49,Data!$BI$46:$BI$56,0),2),"")</f>
        <v>0</v>
      </c>
      <c r="AB421" s="40">
        <f>IFERROR(INDEX(Data!$BI$46:$BJ$56,MATCH(Data!CQ49,Data!$BI$46:$BI$56,0),2),"")</f>
        <v>0</v>
      </c>
      <c r="AC421" s="40">
        <f>IFERROR(INDEX(Data!$BI$46:$BJ$56,MATCH(Data!CR49,Data!$BI$46:$BI$56,0),2),"")</f>
        <v>0</v>
      </c>
      <c r="AD421" s="40">
        <f>IFERROR(INDEX(Data!$BI$46:$BJ$56,MATCH(Data!CS49,Data!$BI$46:$BI$56,0),2),"")</f>
        <v>0</v>
      </c>
      <c r="AE421" s="40">
        <f>IFERROR(INDEX(Data!$BI$46:$BJ$56,MATCH(Data!CT49,Data!$BI$46:$BI$56,0),2),"")</f>
        <v>0</v>
      </c>
      <c r="AF421" s="40">
        <f>IFERROR(INDEX(Data!$BI$46:$BJ$56,MATCH(Data!CU49,Data!$BI$46:$BI$56,0),2),"")</f>
        <v>0</v>
      </c>
      <c r="AG421" s="40">
        <f>IFERROR(INDEX(Data!$BI$46:$BJ$56,MATCH(Data!CV49,Data!$BI$46:$BI$56,0),2),"")</f>
        <v>0</v>
      </c>
      <c r="AH421" s="40">
        <f>IFERROR(INDEX(Data!$BI$46:$BJ$56,MATCH(Data!CW49,Data!$BI$46:$BI$56,0),2),"")</f>
        <v>0</v>
      </c>
      <c r="AI421" s="40">
        <f>IFERROR(INDEX(Data!$BI$46:$BJ$56,MATCH(Data!CX49,Data!$BI$46:$BI$56,0),2),"")</f>
        <v>0</v>
      </c>
    </row>
    <row r="422" spans="1:35" x14ac:dyDescent="0.35">
      <c r="A422" s="1196"/>
      <c r="B422" s="22">
        <v>5</v>
      </c>
      <c r="C422" s="40">
        <f>IFERROR(INDEX(Data!$BI$46:$BJ$56,MATCH(Data!BR50,Data!$BI$46:$BI$56,0),2),"")</f>
        <v>1039060</v>
      </c>
      <c r="D422" s="40">
        <f>IFERROR(INDEX(Data!$BI$46:$BJ$56,MATCH(Data!BS50,Data!$BI$46:$BI$56,0),2),"")</f>
        <v>1039060</v>
      </c>
      <c r="E422" s="40">
        <f>IFERROR(INDEX(Data!$BI$46:$BJ$56,MATCH(Data!BT50,Data!$BI$46:$BI$56,0),2),"")</f>
        <v>1039060</v>
      </c>
      <c r="F422" s="40">
        <f>IFERROR(INDEX(Data!$BI$46:$BJ$56,MATCH(Data!BU50,Data!$BI$46:$BI$56,0),2),"")</f>
        <v>1039060</v>
      </c>
      <c r="G422" s="40">
        <f>IFERROR(INDEX(Data!$BI$46:$BJ$56,MATCH(Data!BV50,Data!$BI$46:$BI$56,0),2),"")</f>
        <v>1039060</v>
      </c>
      <c r="H422" s="40">
        <f>IFERROR(INDEX(Data!$BI$46:$BJ$56,MATCH(Data!BW50,Data!$BI$46:$BI$56,0),2),"")</f>
        <v>1039060</v>
      </c>
      <c r="I422" s="40">
        <f>IFERROR(INDEX(Data!$BI$46:$BJ$56,MATCH(Data!BX50,Data!$BI$46:$BI$56,0),2),"")</f>
        <v>1039060</v>
      </c>
      <c r="J422" s="40">
        <f>IFERROR(INDEX(Data!$BI$46:$BJ$56,MATCH(Data!BY50,Data!$BI$46:$BI$56,0),2),"")</f>
        <v>418525</v>
      </c>
      <c r="K422" s="40">
        <f>IFERROR(INDEX(Data!$BI$46:$BJ$56,MATCH(Data!BZ50,Data!$BI$46:$BI$56,0),2),"")</f>
        <v>0</v>
      </c>
      <c r="L422" s="40">
        <f>IFERROR(INDEX(Data!$BI$46:$BJ$56,MATCH(Data!CA50,Data!$BI$46:$BI$56,0),2),"")</f>
        <v>1130197</v>
      </c>
      <c r="M422" s="40">
        <f>IFERROR(INDEX(Data!$BI$46:$BJ$56,MATCH(Data!CB50,Data!$BI$46:$BI$56,0),2),"")</f>
        <v>1130197</v>
      </c>
      <c r="N422" s="40">
        <f>IFERROR(INDEX(Data!$BI$46:$BJ$56,MATCH(Data!CC50,Data!$BI$46:$BI$56,0),2),"")</f>
        <v>1130197</v>
      </c>
      <c r="O422" s="40">
        <f>IFERROR(INDEX(Data!$BI$46:$BJ$56,MATCH(Data!CD50,Data!$BI$46:$BI$56,0),2),"")</f>
        <v>1130197</v>
      </c>
      <c r="P422" s="40">
        <f>IFERROR(INDEX(Data!$BI$46:$BJ$56,MATCH(Data!CE50,Data!$BI$46:$BI$56,0),2),"")</f>
        <v>0</v>
      </c>
      <c r="Q422" s="40">
        <f>IFERROR(INDEX(Data!$BI$46:$BJ$56,MATCH(Data!CF50,Data!$BI$46:$BI$56,0),2),"")</f>
        <v>0</v>
      </c>
      <c r="R422" s="40">
        <f>IFERROR(INDEX(Data!$BI$46:$BJ$56,MATCH(Data!CG50,Data!$BI$46:$BI$56,0),2),"")</f>
        <v>0</v>
      </c>
      <c r="S422" s="40">
        <f>IFERROR(INDEX(Data!$BI$46:$BJ$56,MATCH(Data!CH50,Data!$BI$46:$BI$56,0),2),"")</f>
        <v>0</v>
      </c>
      <c r="T422" s="40">
        <f>IFERROR(INDEX(Data!$BI$46:$BJ$56,MATCH(Data!CI50,Data!$BI$46:$BI$56,0),2),"")</f>
        <v>0</v>
      </c>
      <c r="U422" s="40">
        <f>IFERROR(INDEX(Data!$BI$46:$BJ$56,MATCH(Data!CJ50,Data!$BI$46:$BI$56,0),2),"")</f>
        <v>0</v>
      </c>
      <c r="V422" s="40">
        <f>IFERROR(INDEX(Data!$BI$46:$BJ$56,MATCH(Data!CK50,Data!$BI$46:$BI$56,0),2),"")</f>
        <v>0</v>
      </c>
      <c r="W422" s="40">
        <f>IFERROR(INDEX(Data!$BI$46:$BJ$56,MATCH(Data!CL50,Data!$BI$46:$BI$56,0),2),"")</f>
        <v>0</v>
      </c>
      <c r="X422" s="40">
        <f>IFERROR(INDEX(Data!$BI$46:$BJ$56,MATCH(Data!CM50,Data!$BI$46:$BI$56,0),2),"")</f>
        <v>0</v>
      </c>
      <c r="Y422" s="40">
        <f>IFERROR(INDEX(Data!$BI$46:$BJ$56,MATCH(Data!CN50,Data!$BI$46:$BI$56,0),2),"")</f>
        <v>0</v>
      </c>
      <c r="Z422" s="40">
        <f>IFERROR(INDEX(Data!$BI$46:$BJ$56,MATCH(Data!CO50,Data!$BI$46:$BI$56,0),2),"")</f>
        <v>0</v>
      </c>
      <c r="AA422" s="40">
        <f>IFERROR(INDEX(Data!$BI$46:$BJ$56,MATCH(Data!CP50,Data!$BI$46:$BI$56,0),2),"")</f>
        <v>0</v>
      </c>
      <c r="AB422" s="40">
        <f>IFERROR(INDEX(Data!$BI$46:$BJ$56,MATCH(Data!CQ50,Data!$BI$46:$BI$56,0),2),"")</f>
        <v>0</v>
      </c>
      <c r="AC422" s="40">
        <f>IFERROR(INDEX(Data!$BI$46:$BJ$56,MATCH(Data!CR50,Data!$BI$46:$BI$56,0),2),"")</f>
        <v>0</v>
      </c>
      <c r="AD422" s="40">
        <f>IFERROR(INDEX(Data!$BI$46:$BJ$56,MATCH(Data!CS50,Data!$BI$46:$BI$56,0),2),"")</f>
        <v>0</v>
      </c>
      <c r="AE422" s="40">
        <f>IFERROR(INDEX(Data!$BI$46:$BJ$56,MATCH(Data!CT50,Data!$BI$46:$BI$56,0),2),"")</f>
        <v>0</v>
      </c>
      <c r="AF422" s="40">
        <f>IFERROR(INDEX(Data!$BI$46:$BJ$56,MATCH(Data!CU50,Data!$BI$46:$BI$56,0),2),"")</f>
        <v>0</v>
      </c>
      <c r="AG422" s="40">
        <f>IFERROR(INDEX(Data!$BI$46:$BJ$56,MATCH(Data!CV50,Data!$BI$46:$BI$56,0),2),"")</f>
        <v>0</v>
      </c>
      <c r="AH422" s="40">
        <f>IFERROR(INDEX(Data!$BI$46:$BJ$56,MATCH(Data!CW50,Data!$BI$46:$BI$56,0),2),"")</f>
        <v>0</v>
      </c>
      <c r="AI422" s="40">
        <f>IFERROR(INDEX(Data!$BI$46:$BJ$56,MATCH(Data!CX50,Data!$BI$46:$BI$56,0),2),"")</f>
        <v>0</v>
      </c>
    </row>
    <row r="423" spans="1:35" x14ac:dyDescent="0.35">
      <c r="A423" s="1196"/>
      <c r="B423" s="22">
        <v>6</v>
      </c>
      <c r="C423" s="40">
        <f>IFERROR(INDEX(Data!$BI$46:$BJ$56,MATCH(Data!BR51,Data!$BI$46:$BI$56,0),2),"")</f>
        <v>1039060</v>
      </c>
      <c r="D423" s="40">
        <f>IFERROR(INDEX(Data!$BI$46:$BJ$56,MATCH(Data!BS51,Data!$BI$46:$BI$56,0),2),"")</f>
        <v>1039060</v>
      </c>
      <c r="E423" s="40">
        <f>IFERROR(INDEX(Data!$BI$46:$BJ$56,MATCH(Data!BT51,Data!$BI$46:$BI$56,0),2),"")</f>
        <v>1039060</v>
      </c>
      <c r="F423" s="40">
        <f>IFERROR(INDEX(Data!$BI$46:$BJ$56,MATCH(Data!BU51,Data!$BI$46:$BI$56,0),2),"")</f>
        <v>1039060</v>
      </c>
      <c r="G423" s="40">
        <f>IFERROR(INDEX(Data!$BI$46:$BJ$56,MATCH(Data!BV51,Data!$BI$46:$BI$56,0),2),"")</f>
        <v>418525</v>
      </c>
      <c r="H423" s="40">
        <f>IFERROR(INDEX(Data!$BI$46:$BJ$56,MATCH(Data!BW51,Data!$BI$46:$BI$56,0),2),"")</f>
        <v>0</v>
      </c>
      <c r="I423" s="40">
        <f>IFERROR(INDEX(Data!$BI$46:$BJ$56,MATCH(Data!BX51,Data!$BI$46:$BI$56,0),2),"")</f>
        <v>0</v>
      </c>
      <c r="J423" s="40">
        <f>IFERROR(INDEX(Data!$BI$46:$BJ$56,MATCH(Data!BY51,Data!$BI$46:$BI$56,0),2),"")</f>
        <v>0</v>
      </c>
      <c r="K423" s="40">
        <f>IFERROR(INDEX(Data!$BI$46:$BJ$56,MATCH(Data!BZ51,Data!$BI$46:$BI$56,0),2),"")</f>
        <v>0</v>
      </c>
      <c r="L423" s="40">
        <f>IFERROR(INDEX(Data!$BI$46:$BJ$56,MATCH(Data!CA51,Data!$BI$46:$BI$56,0),2),"")</f>
        <v>1130197</v>
      </c>
      <c r="M423" s="40">
        <f>IFERROR(INDEX(Data!$BI$46:$BJ$56,MATCH(Data!CB51,Data!$BI$46:$BI$56,0),2),"")</f>
        <v>1130197</v>
      </c>
      <c r="N423" s="40">
        <f>IFERROR(INDEX(Data!$BI$46:$BJ$56,MATCH(Data!CC51,Data!$BI$46:$BI$56,0),2),"")</f>
        <v>1130197</v>
      </c>
      <c r="O423" s="40">
        <f>IFERROR(INDEX(Data!$BI$46:$BJ$56,MATCH(Data!CD51,Data!$BI$46:$BI$56,0),2),"")</f>
        <v>1130197</v>
      </c>
      <c r="P423" s="40">
        <f>IFERROR(INDEX(Data!$BI$46:$BJ$56,MATCH(Data!CE51,Data!$BI$46:$BI$56,0),2),"")</f>
        <v>0</v>
      </c>
      <c r="Q423" s="40">
        <f>IFERROR(INDEX(Data!$BI$46:$BJ$56,MATCH(Data!CF51,Data!$BI$46:$BI$56,0),2),"")</f>
        <v>0</v>
      </c>
      <c r="R423" s="40">
        <f>IFERROR(INDEX(Data!$BI$46:$BJ$56,MATCH(Data!CG51,Data!$BI$46:$BI$56,0),2),"")</f>
        <v>0</v>
      </c>
      <c r="S423" s="40">
        <f>IFERROR(INDEX(Data!$BI$46:$BJ$56,MATCH(Data!CH51,Data!$BI$46:$BI$56,0),2),"")</f>
        <v>0</v>
      </c>
      <c r="T423" s="40">
        <f>IFERROR(INDEX(Data!$BI$46:$BJ$56,MATCH(Data!CI51,Data!$BI$46:$BI$56,0),2),"")</f>
        <v>0</v>
      </c>
      <c r="U423" s="40">
        <f>IFERROR(INDEX(Data!$BI$46:$BJ$56,MATCH(Data!CJ51,Data!$BI$46:$BI$56,0),2),"")</f>
        <v>0</v>
      </c>
      <c r="V423" s="40">
        <f>IFERROR(INDEX(Data!$BI$46:$BJ$56,MATCH(Data!CK51,Data!$BI$46:$BI$56,0),2),"")</f>
        <v>0</v>
      </c>
      <c r="W423" s="40">
        <f>IFERROR(INDEX(Data!$BI$46:$BJ$56,MATCH(Data!CL51,Data!$BI$46:$BI$56,0),2),"")</f>
        <v>0</v>
      </c>
      <c r="X423" s="40">
        <f>IFERROR(INDEX(Data!$BI$46:$BJ$56,MATCH(Data!CM51,Data!$BI$46:$BI$56,0),2),"")</f>
        <v>0</v>
      </c>
      <c r="Y423" s="40">
        <f>IFERROR(INDEX(Data!$BI$46:$BJ$56,MATCH(Data!CN51,Data!$BI$46:$BI$56,0),2),"")</f>
        <v>0</v>
      </c>
      <c r="Z423" s="40">
        <f>IFERROR(INDEX(Data!$BI$46:$BJ$56,MATCH(Data!CO51,Data!$BI$46:$BI$56,0),2),"")</f>
        <v>0</v>
      </c>
      <c r="AA423" s="40">
        <f>IFERROR(INDEX(Data!$BI$46:$BJ$56,MATCH(Data!CP51,Data!$BI$46:$BI$56,0),2),"")</f>
        <v>0</v>
      </c>
      <c r="AB423" s="40">
        <f>IFERROR(INDEX(Data!$BI$46:$BJ$56,MATCH(Data!CQ51,Data!$BI$46:$BI$56,0),2),"")</f>
        <v>0</v>
      </c>
      <c r="AC423" s="40">
        <f>IFERROR(INDEX(Data!$BI$46:$BJ$56,MATCH(Data!CR51,Data!$BI$46:$BI$56,0),2),"")</f>
        <v>0</v>
      </c>
      <c r="AD423" s="40">
        <f>IFERROR(INDEX(Data!$BI$46:$BJ$56,MATCH(Data!CS51,Data!$BI$46:$BI$56,0),2),"")</f>
        <v>0</v>
      </c>
      <c r="AE423" s="40">
        <f>IFERROR(INDEX(Data!$BI$46:$BJ$56,MATCH(Data!CT51,Data!$BI$46:$BI$56,0),2),"")</f>
        <v>0</v>
      </c>
      <c r="AF423" s="40">
        <f>IFERROR(INDEX(Data!$BI$46:$BJ$56,MATCH(Data!CU51,Data!$BI$46:$BI$56,0),2),"")</f>
        <v>0</v>
      </c>
      <c r="AG423" s="40">
        <f>IFERROR(INDEX(Data!$BI$46:$BJ$56,MATCH(Data!CV51,Data!$BI$46:$BI$56,0),2),"")</f>
        <v>0</v>
      </c>
      <c r="AH423" s="40">
        <f>IFERROR(INDEX(Data!$BI$46:$BJ$56,MATCH(Data!CW51,Data!$BI$46:$BI$56,0),2),"")</f>
        <v>0</v>
      </c>
      <c r="AI423" s="40">
        <f>IFERROR(INDEX(Data!$BI$46:$BJ$56,MATCH(Data!CX51,Data!$BI$46:$BI$56,0),2),"")</f>
        <v>0</v>
      </c>
    </row>
    <row r="424" spans="1:35" x14ac:dyDescent="0.35">
      <c r="A424" s="1196"/>
      <c r="B424" s="22">
        <v>7</v>
      </c>
      <c r="C424" s="40" t="str">
        <f>IFERROR(INDEX(Data!$BI$46:$BJ$56,MATCH(Data!BR52,Data!$BI$46:$BI$56,0),2),"")</f>
        <v/>
      </c>
      <c r="D424" s="40" t="str">
        <f>IFERROR(INDEX(Data!$BI$46:$BJ$56,MATCH(Data!BS52,Data!$BI$46:$BI$56,0),2),"")</f>
        <v/>
      </c>
      <c r="E424" s="40" t="str">
        <f>IFERROR(INDEX(Data!$BI$46:$BJ$56,MATCH(Data!BT52,Data!$BI$46:$BI$56,0),2),"")</f>
        <v/>
      </c>
      <c r="F424" s="40" t="str">
        <f>IFERROR(INDEX(Data!$BI$46:$BJ$56,MATCH(Data!BU52,Data!$BI$46:$BI$56,0),2),"")</f>
        <v/>
      </c>
      <c r="G424" s="40" t="str">
        <f>IFERROR(INDEX(Data!$BI$46:$BJ$56,MATCH(Data!BV52,Data!$BI$46:$BI$56,0),2),"")</f>
        <v/>
      </c>
      <c r="H424" s="40" t="str">
        <f>IFERROR(INDEX(Data!$BI$46:$BJ$56,MATCH(Data!BW52,Data!$BI$46:$BI$56,0),2),"")</f>
        <v/>
      </c>
      <c r="I424" s="40" t="str">
        <f>IFERROR(INDEX(Data!$BI$46:$BJ$56,MATCH(Data!BX52,Data!$BI$46:$BI$56,0),2),"")</f>
        <v/>
      </c>
      <c r="J424" s="40" t="str">
        <f>IFERROR(INDEX(Data!$BI$46:$BJ$56,MATCH(Data!BY52,Data!$BI$46:$BI$56,0),2),"")</f>
        <v/>
      </c>
      <c r="K424" s="40" t="str">
        <f>IFERROR(INDEX(Data!$BI$46:$BJ$56,MATCH(Data!BZ52,Data!$BI$46:$BI$56,0),2),"")</f>
        <v/>
      </c>
      <c r="L424" s="40" t="str">
        <f>IFERROR(INDEX(Data!$BI$46:$BJ$56,MATCH(Data!CA52,Data!$BI$46:$BI$56,0),2),"")</f>
        <v/>
      </c>
      <c r="M424" s="40" t="str">
        <f>IFERROR(INDEX(Data!$BI$46:$BJ$56,MATCH(Data!CB52,Data!$BI$46:$BI$56,0),2),"")</f>
        <v/>
      </c>
      <c r="N424" s="40" t="str">
        <f>IFERROR(INDEX(Data!$BI$46:$BJ$56,MATCH(Data!CC52,Data!$BI$46:$BI$56,0),2),"")</f>
        <v/>
      </c>
      <c r="O424" s="40" t="str">
        <f>IFERROR(INDEX(Data!$BI$46:$BJ$56,MATCH(Data!CD52,Data!$BI$46:$BI$56,0),2),"")</f>
        <v/>
      </c>
      <c r="P424" s="40" t="str">
        <f>IFERROR(INDEX(Data!$BI$46:$BJ$56,MATCH(Data!CE52,Data!$BI$46:$BI$56,0),2),"")</f>
        <v/>
      </c>
      <c r="Q424" s="40" t="str">
        <f>IFERROR(INDEX(Data!$BI$46:$BJ$56,MATCH(Data!CF52,Data!$BI$46:$BI$56,0),2),"")</f>
        <v/>
      </c>
      <c r="R424" s="40" t="str">
        <f>IFERROR(INDEX(Data!$BI$46:$BJ$56,MATCH(Data!CG52,Data!$BI$46:$BI$56,0),2),"")</f>
        <v/>
      </c>
      <c r="S424" s="40" t="str">
        <f>IFERROR(INDEX(Data!$BI$46:$BJ$56,MATCH(Data!CH52,Data!$BI$46:$BI$56,0),2),"")</f>
        <v/>
      </c>
      <c r="T424" s="40" t="str">
        <f>IFERROR(INDEX(Data!$BI$46:$BJ$56,MATCH(Data!CI52,Data!$BI$46:$BI$56,0),2),"")</f>
        <v/>
      </c>
      <c r="U424" s="40" t="str">
        <f>IFERROR(INDEX(Data!$BI$46:$BJ$56,MATCH(Data!CJ52,Data!$BI$46:$BI$56,0),2),"")</f>
        <v/>
      </c>
      <c r="V424" s="40" t="str">
        <f>IFERROR(INDEX(Data!$BI$46:$BJ$56,MATCH(Data!CK52,Data!$BI$46:$BI$56,0),2),"")</f>
        <v/>
      </c>
      <c r="W424" s="40" t="str">
        <f>IFERROR(INDEX(Data!$BI$46:$BJ$56,MATCH(Data!CL52,Data!$BI$46:$BI$56,0),2),"")</f>
        <v/>
      </c>
      <c r="X424" s="40" t="str">
        <f>IFERROR(INDEX(Data!$BI$46:$BJ$56,MATCH(Data!CM52,Data!$BI$46:$BI$56,0),2),"")</f>
        <v/>
      </c>
      <c r="Y424" s="40" t="str">
        <f>IFERROR(INDEX(Data!$BI$46:$BJ$56,MATCH(Data!CN52,Data!$BI$46:$BI$56,0),2),"")</f>
        <v/>
      </c>
      <c r="Z424" s="40" t="str">
        <f>IFERROR(INDEX(Data!$BI$46:$BJ$56,MATCH(Data!CO52,Data!$BI$46:$BI$56,0),2),"")</f>
        <v/>
      </c>
      <c r="AA424" s="40" t="str">
        <f>IFERROR(INDEX(Data!$BI$46:$BJ$56,MATCH(Data!CP52,Data!$BI$46:$BI$56,0),2),"")</f>
        <v/>
      </c>
      <c r="AB424" s="40" t="str">
        <f>IFERROR(INDEX(Data!$BI$46:$BJ$56,MATCH(Data!CQ52,Data!$BI$46:$BI$56,0),2),"")</f>
        <v/>
      </c>
      <c r="AC424" s="40" t="str">
        <f>IFERROR(INDEX(Data!$BI$46:$BJ$56,MATCH(Data!CR52,Data!$BI$46:$BI$56,0),2),"")</f>
        <v/>
      </c>
      <c r="AD424" s="40" t="str">
        <f>IFERROR(INDEX(Data!$BI$46:$BJ$56,MATCH(Data!CS52,Data!$BI$46:$BI$56,0),2),"")</f>
        <v/>
      </c>
      <c r="AE424" s="40" t="str">
        <f>IFERROR(INDEX(Data!$BI$46:$BJ$56,MATCH(Data!CT52,Data!$BI$46:$BI$56,0),2),"")</f>
        <v/>
      </c>
      <c r="AF424" s="40" t="str">
        <f>IFERROR(INDEX(Data!$BI$46:$BJ$56,MATCH(Data!CU52,Data!$BI$46:$BI$56,0),2),"")</f>
        <v/>
      </c>
      <c r="AG424" s="40" t="str">
        <f>IFERROR(INDEX(Data!$BI$46:$BJ$56,MATCH(Data!CV52,Data!$BI$46:$BI$56,0),2),"")</f>
        <v/>
      </c>
      <c r="AH424" s="40" t="str">
        <f>IFERROR(INDEX(Data!$BI$46:$BJ$56,MATCH(Data!CW52,Data!$BI$46:$BI$56,0),2),"")</f>
        <v/>
      </c>
      <c r="AI424" s="40" t="str">
        <f>IFERROR(INDEX(Data!$BI$46:$BJ$56,MATCH(Data!CX52,Data!$BI$46:$BI$56,0),2),"")</f>
        <v/>
      </c>
    </row>
    <row r="425" spans="1:35" x14ac:dyDescent="0.35">
      <c r="A425" s="1196"/>
      <c r="B425" s="22">
        <v>8</v>
      </c>
      <c r="C425" s="40" t="str">
        <f>IFERROR(INDEX(Data!$BI$46:$BJ$56,MATCH(Data!BR53,Data!$BI$46:$BI$56,0),2),"")</f>
        <v/>
      </c>
      <c r="D425" s="40" t="str">
        <f>IFERROR(INDEX(Data!$BI$46:$BJ$56,MATCH(Data!BS53,Data!$BI$46:$BI$56,0),2),"")</f>
        <v/>
      </c>
      <c r="E425" s="40" t="str">
        <f>IFERROR(INDEX(Data!$BI$46:$BJ$56,MATCH(Data!BT53,Data!$BI$46:$BI$56,0),2),"")</f>
        <v/>
      </c>
      <c r="F425" s="40" t="str">
        <f>IFERROR(INDEX(Data!$BI$46:$BJ$56,MATCH(Data!BU53,Data!$BI$46:$BI$56,0),2),"")</f>
        <v/>
      </c>
      <c r="G425" s="40" t="str">
        <f>IFERROR(INDEX(Data!$BI$46:$BJ$56,MATCH(Data!BV53,Data!$BI$46:$BI$56,0),2),"")</f>
        <v/>
      </c>
      <c r="H425" s="40" t="str">
        <f>IFERROR(INDEX(Data!$BI$46:$BJ$56,MATCH(Data!BW53,Data!$BI$46:$BI$56,0),2),"")</f>
        <v/>
      </c>
      <c r="I425" s="40" t="str">
        <f>IFERROR(INDEX(Data!$BI$46:$BJ$56,MATCH(Data!BX53,Data!$BI$46:$BI$56,0),2),"")</f>
        <v/>
      </c>
      <c r="J425" s="40" t="str">
        <f>IFERROR(INDEX(Data!$BI$46:$BJ$56,MATCH(Data!BY53,Data!$BI$46:$BI$56,0),2),"")</f>
        <v/>
      </c>
      <c r="K425" s="40" t="str">
        <f>IFERROR(INDEX(Data!$BI$46:$BJ$56,MATCH(Data!BZ53,Data!$BI$46:$BI$56,0),2),"")</f>
        <v/>
      </c>
      <c r="L425" s="40" t="str">
        <f>IFERROR(INDEX(Data!$BI$46:$BJ$56,MATCH(Data!CA53,Data!$BI$46:$BI$56,0),2),"")</f>
        <v/>
      </c>
      <c r="M425" s="40" t="str">
        <f>IFERROR(INDEX(Data!$BI$46:$BJ$56,MATCH(Data!CB53,Data!$BI$46:$BI$56,0),2),"")</f>
        <v/>
      </c>
      <c r="N425" s="40" t="str">
        <f>IFERROR(INDEX(Data!$BI$46:$BJ$56,MATCH(Data!CC53,Data!$BI$46:$BI$56,0),2),"")</f>
        <v/>
      </c>
      <c r="O425" s="40" t="str">
        <f>IFERROR(INDEX(Data!$BI$46:$BJ$56,MATCH(Data!CD53,Data!$BI$46:$BI$56,0),2),"")</f>
        <v/>
      </c>
      <c r="P425" s="40" t="str">
        <f>IFERROR(INDEX(Data!$BI$46:$BJ$56,MATCH(Data!CE53,Data!$BI$46:$BI$56,0),2),"")</f>
        <v/>
      </c>
      <c r="Q425" s="40" t="str">
        <f>IFERROR(INDEX(Data!$BI$46:$BJ$56,MATCH(Data!CF53,Data!$BI$46:$BI$56,0),2),"")</f>
        <v/>
      </c>
      <c r="R425" s="40" t="str">
        <f>IFERROR(INDEX(Data!$BI$46:$BJ$56,MATCH(Data!CG53,Data!$BI$46:$BI$56,0),2),"")</f>
        <v/>
      </c>
      <c r="S425" s="40" t="str">
        <f>IFERROR(INDEX(Data!$BI$46:$BJ$56,MATCH(Data!CH53,Data!$BI$46:$BI$56,0),2),"")</f>
        <v/>
      </c>
      <c r="T425" s="40" t="str">
        <f>IFERROR(INDEX(Data!$BI$46:$BJ$56,MATCH(Data!CI53,Data!$BI$46:$BI$56,0),2),"")</f>
        <v/>
      </c>
      <c r="U425" s="40" t="str">
        <f>IFERROR(INDEX(Data!$BI$46:$BJ$56,MATCH(Data!CJ53,Data!$BI$46:$BI$56,0),2),"")</f>
        <v/>
      </c>
      <c r="V425" s="40" t="str">
        <f>IFERROR(INDEX(Data!$BI$46:$BJ$56,MATCH(Data!CK53,Data!$BI$46:$BI$56,0),2),"")</f>
        <v/>
      </c>
      <c r="W425" s="40" t="str">
        <f>IFERROR(INDEX(Data!$BI$46:$BJ$56,MATCH(Data!CL53,Data!$BI$46:$BI$56,0),2),"")</f>
        <v/>
      </c>
      <c r="X425" s="40" t="str">
        <f>IFERROR(INDEX(Data!$BI$46:$BJ$56,MATCH(Data!CM53,Data!$BI$46:$BI$56,0),2),"")</f>
        <v/>
      </c>
      <c r="Y425" s="40" t="str">
        <f>IFERROR(INDEX(Data!$BI$46:$BJ$56,MATCH(Data!CN53,Data!$BI$46:$BI$56,0),2),"")</f>
        <v/>
      </c>
      <c r="Z425" s="40" t="str">
        <f>IFERROR(INDEX(Data!$BI$46:$BJ$56,MATCH(Data!CO53,Data!$BI$46:$BI$56,0),2),"")</f>
        <v/>
      </c>
      <c r="AA425" s="40" t="str">
        <f>IFERROR(INDEX(Data!$BI$46:$BJ$56,MATCH(Data!CP53,Data!$BI$46:$BI$56,0),2),"")</f>
        <v/>
      </c>
      <c r="AB425" s="40" t="str">
        <f>IFERROR(INDEX(Data!$BI$46:$BJ$56,MATCH(Data!CQ53,Data!$BI$46:$BI$56,0),2),"")</f>
        <v/>
      </c>
      <c r="AC425" s="40" t="str">
        <f>IFERROR(INDEX(Data!$BI$46:$BJ$56,MATCH(Data!CR53,Data!$BI$46:$BI$56,0),2),"")</f>
        <v/>
      </c>
      <c r="AD425" s="40" t="str">
        <f>IFERROR(INDEX(Data!$BI$46:$BJ$56,MATCH(Data!CS53,Data!$BI$46:$BI$56,0),2),"")</f>
        <v/>
      </c>
      <c r="AE425" s="40" t="str">
        <f>IFERROR(INDEX(Data!$BI$46:$BJ$56,MATCH(Data!CT53,Data!$BI$46:$BI$56,0),2),"")</f>
        <v/>
      </c>
      <c r="AF425" s="40" t="str">
        <f>IFERROR(INDEX(Data!$BI$46:$BJ$56,MATCH(Data!CU53,Data!$BI$46:$BI$56,0),2),"")</f>
        <v/>
      </c>
      <c r="AG425" s="40" t="str">
        <f>IFERROR(INDEX(Data!$BI$46:$BJ$56,MATCH(Data!CV53,Data!$BI$46:$BI$56,0),2),"")</f>
        <v/>
      </c>
      <c r="AH425" s="40" t="str">
        <f>IFERROR(INDEX(Data!$BI$46:$BJ$56,MATCH(Data!CW53,Data!$BI$46:$BI$56,0),2),"")</f>
        <v/>
      </c>
      <c r="AI425" s="40" t="str">
        <f>IFERROR(INDEX(Data!$BI$46:$BJ$56,MATCH(Data!CX53,Data!$BI$46:$BI$56,0),2),"")</f>
        <v/>
      </c>
    </row>
    <row r="426" spans="1:35" x14ac:dyDescent="0.35">
      <c r="A426" s="1196"/>
      <c r="B426" s="22">
        <v>9</v>
      </c>
      <c r="C426" s="40" t="str">
        <f>IFERROR(INDEX(Data!$BI$46:$BJ$56,MATCH(Data!BR54,Data!$BI$46:$BI$56,0),2),"")</f>
        <v/>
      </c>
      <c r="D426" s="40" t="str">
        <f>IFERROR(INDEX(Data!$BI$46:$BJ$56,MATCH(Data!BS54,Data!$BI$46:$BI$56,0),2),"")</f>
        <v/>
      </c>
      <c r="E426" s="40" t="str">
        <f>IFERROR(INDEX(Data!$BI$46:$BJ$56,MATCH(Data!BT54,Data!$BI$46:$BI$56,0),2),"")</f>
        <v/>
      </c>
      <c r="F426" s="40" t="str">
        <f>IFERROR(INDEX(Data!$BI$46:$BJ$56,MATCH(Data!BU54,Data!$BI$46:$BI$56,0),2),"")</f>
        <v/>
      </c>
      <c r="G426" s="40" t="str">
        <f>IFERROR(INDEX(Data!$BI$46:$BJ$56,MATCH(Data!BV54,Data!$BI$46:$BI$56,0),2),"")</f>
        <v/>
      </c>
      <c r="H426" s="40" t="str">
        <f>IFERROR(INDEX(Data!$BI$46:$BJ$56,MATCH(Data!BW54,Data!$BI$46:$BI$56,0),2),"")</f>
        <v/>
      </c>
      <c r="I426" s="40" t="str">
        <f>IFERROR(INDEX(Data!$BI$46:$BJ$56,MATCH(Data!BX54,Data!$BI$46:$BI$56,0),2),"")</f>
        <v/>
      </c>
      <c r="J426" s="40" t="str">
        <f>IFERROR(INDEX(Data!$BI$46:$BJ$56,MATCH(Data!BY54,Data!$BI$46:$BI$56,0),2),"")</f>
        <v/>
      </c>
      <c r="K426" s="40" t="str">
        <f>IFERROR(INDEX(Data!$BI$46:$BJ$56,MATCH(Data!BZ54,Data!$BI$46:$BI$56,0),2),"")</f>
        <v/>
      </c>
      <c r="L426" s="40" t="str">
        <f>IFERROR(INDEX(Data!$BI$46:$BJ$56,MATCH(Data!CA54,Data!$BI$46:$BI$56,0),2),"")</f>
        <v/>
      </c>
      <c r="M426" s="40" t="str">
        <f>IFERROR(INDEX(Data!$BI$46:$BJ$56,MATCH(Data!CB54,Data!$BI$46:$BI$56,0),2),"")</f>
        <v/>
      </c>
      <c r="N426" s="40" t="str">
        <f>IFERROR(INDEX(Data!$BI$46:$BJ$56,MATCH(Data!CC54,Data!$BI$46:$BI$56,0),2),"")</f>
        <v/>
      </c>
      <c r="O426" s="40" t="str">
        <f>IFERROR(INDEX(Data!$BI$46:$BJ$56,MATCH(Data!CD54,Data!$BI$46:$BI$56,0),2),"")</f>
        <v/>
      </c>
      <c r="P426" s="40" t="str">
        <f>IFERROR(INDEX(Data!$BI$46:$BJ$56,MATCH(Data!CE54,Data!$BI$46:$BI$56,0),2),"")</f>
        <v/>
      </c>
      <c r="Q426" s="40" t="str">
        <f>IFERROR(INDEX(Data!$BI$46:$BJ$56,MATCH(Data!CF54,Data!$BI$46:$BI$56,0),2),"")</f>
        <v/>
      </c>
      <c r="R426" s="40" t="str">
        <f>IFERROR(INDEX(Data!$BI$46:$BJ$56,MATCH(Data!CG54,Data!$BI$46:$BI$56,0),2),"")</f>
        <v/>
      </c>
      <c r="S426" s="40" t="str">
        <f>IFERROR(INDEX(Data!$BI$46:$BJ$56,MATCH(Data!CH54,Data!$BI$46:$BI$56,0),2),"")</f>
        <v/>
      </c>
      <c r="T426" s="40" t="str">
        <f>IFERROR(INDEX(Data!$BI$46:$BJ$56,MATCH(Data!CI54,Data!$BI$46:$BI$56,0),2),"")</f>
        <v/>
      </c>
      <c r="U426" s="40" t="str">
        <f>IFERROR(INDEX(Data!$BI$46:$BJ$56,MATCH(Data!CJ54,Data!$BI$46:$BI$56,0),2),"")</f>
        <v/>
      </c>
      <c r="V426" s="40" t="str">
        <f>IFERROR(INDEX(Data!$BI$46:$BJ$56,MATCH(Data!CK54,Data!$BI$46:$BI$56,0),2),"")</f>
        <v/>
      </c>
      <c r="W426" s="40" t="str">
        <f>IFERROR(INDEX(Data!$BI$46:$BJ$56,MATCH(Data!CL54,Data!$BI$46:$BI$56,0),2),"")</f>
        <v/>
      </c>
      <c r="X426" s="40" t="str">
        <f>IFERROR(INDEX(Data!$BI$46:$BJ$56,MATCH(Data!CM54,Data!$BI$46:$BI$56,0),2),"")</f>
        <v/>
      </c>
      <c r="Y426" s="40" t="str">
        <f>IFERROR(INDEX(Data!$BI$46:$BJ$56,MATCH(Data!CN54,Data!$BI$46:$BI$56,0),2),"")</f>
        <v/>
      </c>
      <c r="Z426" s="40" t="str">
        <f>IFERROR(INDEX(Data!$BI$46:$BJ$56,MATCH(Data!CO54,Data!$BI$46:$BI$56,0),2),"")</f>
        <v/>
      </c>
      <c r="AA426" s="40" t="str">
        <f>IFERROR(INDEX(Data!$BI$46:$BJ$56,MATCH(Data!CP54,Data!$BI$46:$BI$56,0),2),"")</f>
        <v/>
      </c>
      <c r="AB426" s="40" t="str">
        <f>IFERROR(INDEX(Data!$BI$46:$BJ$56,MATCH(Data!CQ54,Data!$BI$46:$BI$56,0),2),"")</f>
        <v/>
      </c>
      <c r="AC426" s="40" t="str">
        <f>IFERROR(INDEX(Data!$BI$46:$BJ$56,MATCH(Data!CR54,Data!$BI$46:$BI$56,0),2),"")</f>
        <v/>
      </c>
      <c r="AD426" s="40" t="str">
        <f>IFERROR(INDEX(Data!$BI$46:$BJ$56,MATCH(Data!CS54,Data!$BI$46:$BI$56,0),2),"")</f>
        <v/>
      </c>
      <c r="AE426" s="40" t="str">
        <f>IFERROR(INDEX(Data!$BI$46:$BJ$56,MATCH(Data!CT54,Data!$BI$46:$BI$56,0),2),"")</f>
        <v/>
      </c>
      <c r="AF426" s="40" t="str">
        <f>IFERROR(INDEX(Data!$BI$46:$BJ$56,MATCH(Data!CU54,Data!$BI$46:$BI$56,0),2),"")</f>
        <v/>
      </c>
      <c r="AG426" s="40" t="str">
        <f>IFERROR(INDEX(Data!$BI$46:$BJ$56,MATCH(Data!CV54,Data!$BI$46:$BI$56,0),2),"")</f>
        <v/>
      </c>
      <c r="AH426" s="40" t="str">
        <f>IFERROR(INDEX(Data!$BI$46:$BJ$56,MATCH(Data!CW54,Data!$BI$46:$BI$56,0),2),"")</f>
        <v/>
      </c>
      <c r="AI426" s="40" t="str">
        <f>IFERROR(INDEX(Data!$BI$46:$BJ$56,MATCH(Data!CX54,Data!$BI$46:$BI$56,0),2),"")</f>
        <v/>
      </c>
    </row>
    <row r="427" spans="1:35" x14ac:dyDescent="0.35">
      <c r="A427" s="1196"/>
      <c r="B427" s="22">
        <v>10</v>
      </c>
      <c r="C427" s="40" t="str">
        <f>IFERROR(INDEX(Data!$BI$46:$BJ$56,MATCH(Data!BR55,Data!$BI$46:$BI$56,0),2),"")</f>
        <v/>
      </c>
      <c r="D427" s="40" t="str">
        <f>IFERROR(INDEX(Data!$BI$46:$BJ$56,MATCH(Data!BS55,Data!$BI$46:$BI$56,0),2),"")</f>
        <v/>
      </c>
      <c r="E427" s="40" t="str">
        <f>IFERROR(INDEX(Data!$BI$46:$BJ$56,MATCH(Data!BT55,Data!$BI$46:$BI$56,0),2),"")</f>
        <v/>
      </c>
      <c r="F427" s="40" t="str">
        <f>IFERROR(INDEX(Data!$BI$46:$BJ$56,MATCH(Data!BU55,Data!$BI$46:$BI$56,0),2),"")</f>
        <v/>
      </c>
      <c r="G427" s="40" t="str">
        <f>IFERROR(INDEX(Data!$BI$46:$BJ$56,MATCH(Data!BV55,Data!$BI$46:$BI$56,0),2),"")</f>
        <v/>
      </c>
      <c r="H427" s="40" t="str">
        <f>IFERROR(INDEX(Data!$BI$46:$BJ$56,MATCH(Data!BW55,Data!$BI$46:$BI$56,0),2),"")</f>
        <v/>
      </c>
      <c r="I427" s="40" t="str">
        <f>IFERROR(INDEX(Data!$BI$46:$BJ$56,MATCH(Data!BX55,Data!$BI$46:$BI$56,0),2),"")</f>
        <v/>
      </c>
      <c r="J427" s="40" t="str">
        <f>IFERROR(INDEX(Data!$BI$46:$BJ$56,MATCH(Data!BY55,Data!$BI$46:$BI$56,0),2),"")</f>
        <v/>
      </c>
      <c r="K427" s="40" t="str">
        <f>IFERROR(INDEX(Data!$BI$46:$BJ$56,MATCH(Data!BZ55,Data!$BI$46:$BI$56,0),2),"")</f>
        <v/>
      </c>
      <c r="L427" s="40" t="str">
        <f>IFERROR(INDEX(Data!$BI$46:$BJ$56,MATCH(Data!CA55,Data!$BI$46:$BI$56,0),2),"")</f>
        <v/>
      </c>
      <c r="M427" s="40" t="str">
        <f>IFERROR(INDEX(Data!$BI$46:$BJ$56,MATCH(Data!CB55,Data!$BI$46:$BI$56,0),2),"")</f>
        <v/>
      </c>
      <c r="N427" s="40" t="str">
        <f>IFERROR(INDEX(Data!$BI$46:$BJ$56,MATCH(Data!CC55,Data!$BI$46:$BI$56,0),2),"")</f>
        <v/>
      </c>
      <c r="O427" s="40" t="str">
        <f>IFERROR(INDEX(Data!$BI$46:$BJ$56,MATCH(Data!CD55,Data!$BI$46:$BI$56,0),2),"")</f>
        <v/>
      </c>
      <c r="P427" s="40" t="str">
        <f>IFERROR(INDEX(Data!$BI$46:$BJ$56,MATCH(Data!CE55,Data!$BI$46:$BI$56,0),2),"")</f>
        <v/>
      </c>
      <c r="Q427" s="40" t="str">
        <f>IFERROR(INDEX(Data!$BI$46:$BJ$56,MATCH(Data!CF55,Data!$BI$46:$BI$56,0),2),"")</f>
        <v/>
      </c>
      <c r="R427" s="40" t="str">
        <f>IFERROR(INDEX(Data!$BI$46:$BJ$56,MATCH(Data!CG55,Data!$BI$46:$BI$56,0),2),"")</f>
        <v/>
      </c>
      <c r="S427" s="40" t="str">
        <f>IFERROR(INDEX(Data!$BI$46:$BJ$56,MATCH(Data!CH55,Data!$BI$46:$BI$56,0),2),"")</f>
        <v/>
      </c>
      <c r="T427" s="40" t="str">
        <f>IFERROR(INDEX(Data!$BI$46:$BJ$56,MATCH(Data!CI55,Data!$BI$46:$BI$56,0),2),"")</f>
        <v/>
      </c>
      <c r="U427" s="40" t="str">
        <f>IFERROR(INDEX(Data!$BI$46:$BJ$56,MATCH(Data!CJ55,Data!$BI$46:$BI$56,0),2),"")</f>
        <v/>
      </c>
      <c r="V427" s="40" t="str">
        <f>IFERROR(INDEX(Data!$BI$46:$BJ$56,MATCH(Data!CK55,Data!$BI$46:$BI$56,0),2),"")</f>
        <v/>
      </c>
      <c r="W427" s="40" t="str">
        <f>IFERROR(INDEX(Data!$BI$46:$BJ$56,MATCH(Data!CL55,Data!$BI$46:$BI$56,0),2),"")</f>
        <v/>
      </c>
      <c r="X427" s="40" t="str">
        <f>IFERROR(INDEX(Data!$BI$46:$BJ$56,MATCH(Data!CM55,Data!$BI$46:$BI$56,0),2),"")</f>
        <v/>
      </c>
      <c r="Y427" s="40" t="str">
        <f>IFERROR(INDEX(Data!$BI$46:$BJ$56,MATCH(Data!CN55,Data!$BI$46:$BI$56,0),2),"")</f>
        <v/>
      </c>
      <c r="Z427" s="40" t="str">
        <f>IFERROR(INDEX(Data!$BI$46:$BJ$56,MATCH(Data!CO55,Data!$BI$46:$BI$56,0),2),"")</f>
        <v/>
      </c>
      <c r="AA427" s="40" t="str">
        <f>IFERROR(INDEX(Data!$BI$46:$BJ$56,MATCH(Data!CP55,Data!$BI$46:$BI$56,0),2),"")</f>
        <v/>
      </c>
      <c r="AB427" s="40" t="str">
        <f>IFERROR(INDEX(Data!$BI$46:$BJ$56,MATCH(Data!CQ55,Data!$BI$46:$BI$56,0),2),"")</f>
        <v/>
      </c>
      <c r="AC427" s="40" t="str">
        <f>IFERROR(INDEX(Data!$BI$46:$BJ$56,MATCH(Data!CR55,Data!$BI$46:$BI$56,0),2),"")</f>
        <v/>
      </c>
      <c r="AD427" s="40" t="str">
        <f>IFERROR(INDEX(Data!$BI$46:$BJ$56,MATCH(Data!CS55,Data!$BI$46:$BI$56,0),2),"")</f>
        <v/>
      </c>
      <c r="AE427" s="40" t="str">
        <f>IFERROR(INDEX(Data!$BI$46:$BJ$56,MATCH(Data!CT55,Data!$BI$46:$BI$56,0),2),"")</f>
        <v/>
      </c>
      <c r="AF427" s="40" t="str">
        <f>IFERROR(INDEX(Data!$BI$46:$BJ$56,MATCH(Data!CU55,Data!$BI$46:$BI$56,0),2),"")</f>
        <v/>
      </c>
      <c r="AG427" s="40" t="str">
        <f>IFERROR(INDEX(Data!$BI$46:$BJ$56,MATCH(Data!CV55,Data!$BI$46:$BI$56,0),2),"")</f>
        <v/>
      </c>
      <c r="AH427" s="40" t="str">
        <f>IFERROR(INDEX(Data!$BI$46:$BJ$56,MATCH(Data!CW55,Data!$BI$46:$BI$56,0),2),"")</f>
        <v/>
      </c>
      <c r="AI427" s="40" t="str">
        <f>IFERROR(INDEX(Data!$BI$46:$BJ$56,MATCH(Data!CX55,Data!$BI$46:$BI$56,0),2),"")</f>
        <v/>
      </c>
    </row>
    <row r="428" spans="1:35" x14ac:dyDescent="0.35">
      <c r="A428" s="1196"/>
      <c r="B428" s="22">
        <v>11</v>
      </c>
      <c r="C428" s="40" t="str">
        <f>IFERROR(INDEX(Data!$BI$46:$BJ$56,MATCH(Data!BR56,Data!$BI$46:$BI$56,0),2),"")</f>
        <v/>
      </c>
      <c r="D428" s="40" t="str">
        <f>IFERROR(INDEX(Data!$BI$46:$BJ$56,MATCH(Data!BS56,Data!$BI$46:$BI$56,0),2),"")</f>
        <v/>
      </c>
      <c r="E428" s="40" t="str">
        <f>IFERROR(INDEX(Data!$BI$46:$BJ$56,MATCH(Data!BT56,Data!$BI$46:$BI$56,0),2),"")</f>
        <v/>
      </c>
      <c r="F428" s="40" t="str">
        <f>IFERROR(INDEX(Data!$BI$46:$BJ$56,MATCH(Data!BU56,Data!$BI$46:$BI$56,0),2),"")</f>
        <v/>
      </c>
      <c r="G428" s="40" t="str">
        <f>IFERROR(INDEX(Data!$BI$46:$BJ$56,MATCH(Data!BV56,Data!$BI$46:$BI$56,0),2),"")</f>
        <v/>
      </c>
      <c r="H428" s="40" t="str">
        <f>IFERROR(INDEX(Data!$BI$46:$BJ$56,MATCH(Data!BW56,Data!$BI$46:$BI$56,0),2),"")</f>
        <v/>
      </c>
      <c r="I428" s="40" t="str">
        <f>IFERROR(INDEX(Data!$BI$46:$BJ$56,MATCH(Data!BX56,Data!$BI$46:$BI$56,0),2),"")</f>
        <v/>
      </c>
      <c r="J428" s="40" t="str">
        <f>IFERROR(INDEX(Data!$BI$46:$BJ$56,MATCH(Data!BY56,Data!$BI$46:$BI$56,0),2),"")</f>
        <v/>
      </c>
      <c r="K428" s="40" t="str">
        <f>IFERROR(INDEX(Data!$BI$46:$BJ$56,MATCH(Data!BZ56,Data!$BI$46:$BI$56,0),2),"")</f>
        <v/>
      </c>
      <c r="L428" s="40" t="str">
        <f>IFERROR(INDEX(Data!$BI$46:$BJ$56,MATCH(Data!CA56,Data!$BI$46:$BI$56,0),2),"")</f>
        <v/>
      </c>
      <c r="M428" s="40" t="str">
        <f>IFERROR(INDEX(Data!$BI$46:$BJ$56,MATCH(Data!CB56,Data!$BI$46:$BI$56,0),2),"")</f>
        <v/>
      </c>
      <c r="N428" s="40" t="str">
        <f>IFERROR(INDEX(Data!$BI$46:$BJ$56,MATCH(Data!CC56,Data!$BI$46:$BI$56,0),2),"")</f>
        <v/>
      </c>
      <c r="O428" s="40" t="str">
        <f>IFERROR(INDEX(Data!$BI$46:$BJ$56,MATCH(Data!CD56,Data!$BI$46:$BI$56,0),2),"")</f>
        <v/>
      </c>
      <c r="P428" s="40" t="str">
        <f>IFERROR(INDEX(Data!$BI$46:$BJ$56,MATCH(Data!CE56,Data!$BI$46:$BI$56,0),2),"")</f>
        <v/>
      </c>
      <c r="Q428" s="40" t="str">
        <f>IFERROR(INDEX(Data!$BI$46:$BJ$56,MATCH(Data!CF56,Data!$BI$46:$BI$56,0),2),"")</f>
        <v/>
      </c>
      <c r="R428" s="40" t="str">
        <f>IFERROR(INDEX(Data!$BI$46:$BJ$56,MATCH(Data!CG56,Data!$BI$46:$BI$56,0),2),"")</f>
        <v/>
      </c>
      <c r="S428" s="40" t="str">
        <f>IFERROR(INDEX(Data!$BI$46:$BJ$56,MATCH(Data!CH56,Data!$BI$46:$BI$56,0),2),"")</f>
        <v/>
      </c>
      <c r="T428" s="40" t="str">
        <f>IFERROR(INDEX(Data!$BI$46:$BJ$56,MATCH(Data!CI56,Data!$BI$46:$BI$56,0),2),"")</f>
        <v/>
      </c>
      <c r="U428" s="40" t="str">
        <f>IFERROR(INDEX(Data!$BI$46:$BJ$56,MATCH(Data!CJ56,Data!$BI$46:$BI$56,0),2),"")</f>
        <v/>
      </c>
      <c r="V428" s="40" t="str">
        <f>IFERROR(INDEX(Data!$BI$46:$BJ$56,MATCH(Data!CK56,Data!$BI$46:$BI$56,0),2),"")</f>
        <v/>
      </c>
      <c r="W428" s="40" t="str">
        <f>IFERROR(INDEX(Data!$BI$46:$BJ$56,MATCH(Data!CL56,Data!$BI$46:$BI$56,0),2),"")</f>
        <v/>
      </c>
      <c r="X428" s="40" t="str">
        <f>IFERROR(INDEX(Data!$BI$46:$BJ$56,MATCH(Data!CM56,Data!$BI$46:$BI$56,0),2),"")</f>
        <v/>
      </c>
      <c r="Y428" s="40" t="str">
        <f>IFERROR(INDEX(Data!$BI$46:$BJ$56,MATCH(Data!CN56,Data!$BI$46:$BI$56,0),2),"")</f>
        <v/>
      </c>
      <c r="Z428" s="40" t="str">
        <f>IFERROR(INDEX(Data!$BI$46:$BJ$56,MATCH(Data!CO56,Data!$BI$46:$BI$56,0),2),"")</f>
        <v/>
      </c>
      <c r="AA428" s="40" t="str">
        <f>IFERROR(INDEX(Data!$BI$46:$BJ$56,MATCH(Data!CP56,Data!$BI$46:$BI$56,0),2),"")</f>
        <v/>
      </c>
      <c r="AB428" s="40" t="str">
        <f>IFERROR(INDEX(Data!$BI$46:$BJ$56,MATCH(Data!CQ56,Data!$BI$46:$BI$56,0),2),"")</f>
        <v/>
      </c>
      <c r="AC428" s="40" t="str">
        <f>IFERROR(INDEX(Data!$BI$46:$BJ$56,MATCH(Data!CR56,Data!$BI$46:$BI$56,0),2),"")</f>
        <v/>
      </c>
      <c r="AD428" s="40" t="str">
        <f>IFERROR(INDEX(Data!$BI$46:$BJ$56,MATCH(Data!CS56,Data!$BI$46:$BI$56,0),2),"")</f>
        <v/>
      </c>
      <c r="AE428" s="40" t="str">
        <f>IFERROR(INDEX(Data!$BI$46:$BJ$56,MATCH(Data!CT56,Data!$BI$46:$BI$56,0),2),"")</f>
        <v/>
      </c>
      <c r="AF428" s="40" t="str">
        <f>IFERROR(INDEX(Data!$BI$46:$BJ$56,MATCH(Data!CU56,Data!$BI$46:$BI$56,0),2),"")</f>
        <v/>
      </c>
      <c r="AG428" s="40" t="str">
        <f>IFERROR(INDEX(Data!$BI$46:$BJ$56,MATCH(Data!CV56,Data!$BI$46:$BI$56,0),2),"")</f>
        <v/>
      </c>
      <c r="AH428" s="40" t="str">
        <f>IFERROR(INDEX(Data!$BI$46:$BJ$56,MATCH(Data!CW56,Data!$BI$46:$BI$56,0),2),"")</f>
        <v/>
      </c>
      <c r="AI428" s="40" t="str">
        <f>IFERROR(INDEX(Data!$BI$46:$BJ$56,MATCH(Data!CX56,Data!$BI$46:$BI$56,0),2),"")</f>
        <v/>
      </c>
    </row>
    <row r="429" spans="1:35" ht="15" thickBot="1" x14ac:dyDescent="0.4">
      <c r="A429" s="1197"/>
      <c r="B429" s="23">
        <v>12</v>
      </c>
      <c r="C429" s="40" t="str">
        <f>IFERROR(INDEX(Data!$BI$46:$BJ$56,MATCH(Data!BR57,Data!$BI$46:$BI$56,0),2),"")</f>
        <v/>
      </c>
      <c r="D429" s="40" t="str">
        <f>IFERROR(INDEX(Data!$BI$46:$BJ$56,MATCH(Data!BS57,Data!$BI$46:$BI$56,0),2),"")</f>
        <v/>
      </c>
      <c r="E429" s="40" t="str">
        <f>IFERROR(INDEX(Data!$BI$46:$BJ$56,MATCH(Data!BT57,Data!$BI$46:$BI$56,0),2),"")</f>
        <v/>
      </c>
      <c r="F429" s="40" t="str">
        <f>IFERROR(INDEX(Data!$BI$46:$BJ$56,MATCH(Data!BU57,Data!$BI$46:$BI$56,0),2),"")</f>
        <v/>
      </c>
      <c r="G429" s="40" t="str">
        <f>IFERROR(INDEX(Data!$BI$46:$BJ$56,MATCH(Data!BV57,Data!$BI$46:$BI$56,0),2),"")</f>
        <v/>
      </c>
      <c r="H429" s="40" t="str">
        <f>IFERROR(INDEX(Data!$BI$46:$BJ$56,MATCH(Data!BW57,Data!$BI$46:$BI$56,0),2),"")</f>
        <v/>
      </c>
      <c r="I429" s="40" t="str">
        <f>IFERROR(INDEX(Data!$BI$46:$BJ$56,MATCH(Data!BX57,Data!$BI$46:$BI$56,0),2),"")</f>
        <v/>
      </c>
      <c r="J429" s="40" t="str">
        <f>IFERROR(INDEX(Data!$BI$46:$BJ$56,MATCH(Data!BY57,Data!$BI$46:$BI$56,0),2),"")</f>
        <v/>
      </c>
      <c r="K429" s="40" t="str">
        <f>IFERROR(INDEX(Data!$BI$46:$BJ$56,MATCH(Data!BZ57,Data!$BI$46:$BI$56,0),2),"")</f>
        <v/>
      </c>
      <c r="L429" s="40" t="str">
        <f>IFERROR(INDEX(Data!$BI$46:$BJ$56,MATCH(Data!CA57,Data!$BI$46:$BI$56,0),2),"")</f>
        <v/>
      </c>
      <c r="M429" s="40" t="str">
        <f>IFERROR(INDEX(Data!$BI$46:$BJ$56,MATCH(Data!CB57,Data!$BI$46:$BI$56,0),2),"")</f>
        <v/>
      </c>
      <c r="N429" s="40" t="str">
        <f>IFERROR(INDEX(Data!$BI$46:$BJ$56,MATCH(Data!CC57,Data!$BI$46:$BI$56,0),2),"")</f>
        <v/>
      </c>
      <c r="O429" s="40" t="str">
        <f>IFERROR(INDEX(Data!$BI$46:$BJ$56,MATCH(Data!CD57,Data!$BI$46:$BI$56,0),2),"")</f>
        <v/>
      </c>
      <c r="P429" s="40" t="str">
        <f>IFERROR(INDEX(Data!$BI$46:$BJ$56,MATCH(Data!CE57,Data!$BI$46:$BI$56,0),2),"")</f>
        <v/>
      </c>
      <c r="Q429" s="40" t="str">
        <f>IFERROR(INDEX(Data!$BI$46:$BJ$56,MATCH(Data!CF57,Data!$BI$46:$BI$56,0),2),"")</f>
        <v/>
      </c>
      <c r="R429" s="40" t="str">
        <f>IFERROR(INDEX(Data!$BI$46:$BJ$56,MATCH(Data!CG57,Data!$BI$46:$BI$56,0),2),"")</f>
        <v/>
      </c>
      <c r="S429" s="40" t="str">
        <f>IFERROR(INDEX(Data!$BI$46:$BJ$56,MATCH(Data!CH57,Data!$BI$46:$BI$56,0),2),"")</f>
        <v/>
      </c>
      <c r="T429" s="40" t="str">
        <f>IFERROR(INDEX(Data!$BI$46:$BJ$56,MATCH(Data!CI57,Data!$BI$46:$BI$56,0),2),"")</f>
        <v/>
      </c>
      <c r="U429" s="40" t="str">
        <f>IFERROR(INDEX(Data!$BI$46:$BJ$56,MATCH(Data!CJ57,Data!$BI$46:$BI$56,0),2),"")</f>
        <v/>
      </c>
      <c r="V429" s="40" t="str">
        <f>IFERROR(INDEX(Data!$BI$46:$BJ$56,MATCH(Data!CK57,Data!$BI$46:$BI$56,0),2),"")</f>
        <v/>
      </c>
      <c r="W429" s="40" t="str">
        <f>IFERROR(INDEX(Data!$BI$46:$BJ$56,MATCH(Data!CL57,Data!$BI$46:$BI$56,0),2),"")</f>
        <v/>
      </c>
      <c r="X429" s="40" t="str">
        <f>IFERROR(INDEX(Data!$BI$46:$BJ$56,MATCH(Data!CM57,Data!$BI$46:$BI$56,0),2),"")</f>
        <v/>
      </c>
      <c r="Y429" s="40" t="str">
        <f>IFERROR(INDEX(Data!$BI$46:$BJ$56,MATCH(Data!CN57,Data!$BI$46:$BI$56,0),2),"")</f>
        <v/>
      </c>
      <c r="Z429" s="40" t="str">
        <f>IFERROR(INDEX(Data!$BI$46:$BJ$56,MATCH(Data!CO57,Data!$BI$46:$BI$56,0),2),"")</f>
        <v/>
      </c>
      <c r="AA429" s="40" t="str">
        <f>IFERROR(INDEX(Data!$BI$46:$BJ$56,MATCH(Data!CP57,Data!$BI$46:$BI$56,0),2),"")</f>
        <v/>
      </c>
      <c r="AB429" s="40" t="str">
        <f>IFERROR(INDEX(Data!$BI$46:$BJ$56,MATCH(Data!CQ57,Data!$BI$46:$BI$56,0),2),"")</f>
        <v/>
      </c>
      <c r="AC429" s="40" t="str">
        <f>IFERROR(INDEX(Data!$BI$46:$BJ$56,MATCH(Data!CR57,Data!$BI$46:$BI$56,0),2),"")</f>
        <v/>
      </c>
      <c r="AD429" s="40" t="str">
        <f>IFERROR(INDEX(Data!$BI$46:$BJ$56,MATCH(Data!CS57,Data!$BI$46:$BI$56,0),2),"")</f>
        <v/>
      </c>
      <c r="AE429" s="40" t="str">
        <f>IFERROR(INDEX(Data!$BI$46:$BJ$56,MATCH(Data!CT57,Data!$BI$46:$BI$56,0),2),"")</f>
        <v/>
      </c>
      <c r="AF429" s="40" t="str">
        <f>IFERROR(INDEX(Data!$BI$46:$BJ$56,MATCH(Data!CU57,Data!$BI$46:$BI$56,0),2),"")</f>
        <v/>
      </c>
      <c r="AG429" s="40" t="str">
        <f>IFERROR(INDEX(Data!$BI$46:$BJ$56,MATCH(Data!CV57,Data!$BI$46:$BI$56,0),2),"")</f>
        <v/>
      </c>
      <c r="AH429" s="40" t="str">
        <f>IFERROR(INDEX(Data!$BI$46:$BJ$56,MATCH(Data!CW57,Data!$BI$46:$BI$56,0),2),"")</f>
        <v/>
      </c>
      <c r="AI429" s="40" t="str">
        <f>IFERROR(INDEX(Data!$BI$46:$BJ$56,MATCH(Data!CX57,Data!$BI$46:$BI$56,0),2),"")</f>
        <v/>
      </c>
    </row>
    <row r="431" spans="1:35" ht="15" thickBot="1" x14ac:dyDescent="0.4"/>
    <row r="432" spans="1:35" x14ac:dyDescent="0.35">
      <c r="A432" s="1202"/>
      <c r="B432" s="1203"/>
      <c r="C432" s="1207" t="s">
        <v>17</v>
      </c>
      <c r="D432" s="1207"/>
      <c r="E432" s="1207"/>
      <c r="F432" s="1207"/>
      <c r="G432" s="1207"/>
      <c r="H432" s="1207"/>
      <c r="I432" s="1207"/>
      <c r="J432" s="1207"/>
      <c r="K432" s="1207"/>
      <c r="L432" s="1207"/>
      <c r="M432" s="1207"/>
      <c r="N432" s="1207"/>
      <c r="O432" s="1207"/>
      <c r="P432" s="1207"/>
      <c r="Q432" s="1207"/>
      <c r="R432" s="1207"/>
      <c r="S432" s="1207"/>
      <c r="T432" s="1207"/>
      <c r="U432" s="1207"/>
      <c r="V432" s="1208"/>
      <c r="W432" s="6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8"/>
    </row>
    <row r="433" spans="1:35" ht="15" thickBot="1" x14ac:dyDescent="0.4">
      <c r="A433" s="1204"/>
      <c r="B433" s="1205"/>
      <c r="C433" s="16">
        <v>1</v>
      </c>
      <c r="D433" s="17">
        <v>2</v>
      </c>
      <c r="E433" s="17">
        <v>3</v>
      </c>
      <c r="F433" s="17">
        <v>4</v>
      </c>
      <c r="G433" s="17">
        <v>5</v>
      </c>
      <c r="H433" s="17">
        <v>6</v>
      </c>
      <c r="I433" s="17">
        <v>7</v>
      </c>
      <c r="J433" s="17">
        <v>8</v>
      </c>
      <c r="K433" s="17">
        <v>9</v>
      </c>
      <c r="L433" s="17">
        <v>10</v>
      </c>
      <c r="M433" s="17">
        <v>11</v>
      </c>
      <c r="N433" s="17">
        <v>12</v>
      </c>
      <c r="O433" s="17">
        <v>13</v>
      </c>
      <c r="P433" s="17">
        <v>14</v>
      </c>
      <c r="Q433" s="17">
        <v>15</v>
      </c>
      <c r="R433" s="17">
        <v>16</v>
      </c>
      <c r="S433" s="17">
        <v>17</v>
      </c>
      <c r="T433" s="17">
        <v>18</v>
      </c>
      <c r="U433" s="17">
        <v>19</v>
      </c>
      <c r="V433" s="18">
        <v>20</v>
      </c>
      <c r="W433" s="17">
        <v>21</v>
      </c>
      <c r="X433" s="18">
        <v>22</v>
      </c>
      <c r="Y433" s="17">
        <v>23</v>
      </c>
      <c r="Z433" s="18">
        <v>24</v>
      </c>
      <c r="AA433" s="17">
        <v>25</v>
      </c>
      <c r="AB433" s="18">
        <v>26</v>
      </c>
      <c r="AC433" s="17">
        <v>27</v>
      </c>
      <c r="AD433" s="18">
        <v>28</v>
      </c>
      <c r="AE433" s="17">
        <v>29</v>
      </c>
      <c r="AF433" s="18">
        <v>30</v>
      </c>
      <c r="AG433" s="17">
        <v>31</v>
      </c>
      <c r="AH433" s="18">
        <v>32</v>
      </c>
      <c r="AI433" s="17">
        <v>33</v>
      </c>
    </row>
    <row r="434" spans="1:35" x14ac:dyDescent="0.35">
      <c r="A434" s="1196" t="s">
        <v>18</v>
      </c>
      <c r="B434" s="21">
        <v>1</v>
      </c>
      <c r="C434" s="40">
        <f>COUNTIF(C418,418525)</f>
        <v>0</v>
      </c>
      <c r="D434" s="40" t="b">
        <f>OR(COUNTIF(C418,418525),COUNTIF(D418,418525))</f>
        <v>0</v>
      </c>
      <c r="E434" s="40" t="b">
        <f t="shared" ref="E434:K434" si="97">OR(COUNTIF(E418,418525),COUNTIF(D418,418525),COUNTIF(C418,418525))</f>
        <v>0</v>
      </c>
      <c r="F434" s="40" t="b">
        <f t="shared" si="97"/>
        <v>0</v>
      </c>
      <c r="G434" s="40" t="b">
        <f t="shared" si="97"/>
        <v>0</v>
      </c>
      <c r="H434" s="40" t="b">
        <f t="shared" si="97"/>
        <v>0</v>
      </c>
      <c r="I434" s="40" t="b">
        <f t="shared" si="97"/>
        <v>0</v>
      </c>
      <c r="J434" s="40" t="b">
        <f t="shared" si="97"/>
        <v>1</v>
      </c>
      <c r="K434" s="40" t="b">
        <f t="shared" si="97"/>
        <v>1</v>
      </c>
      <c r="L434" s="40" t="b">
        <f>OR(COUNTIF(L418,418525),COUNTIF(K418,418525),COUNTIF(J418,418525))</f>
        <v>1</v>
      </c>
      <c r="M434" s="40" t="b">
        <f t="shared" ref="M434:AI434" si="98">OR(COUNTIF(M418,418525),COUNTIF(L418,418525),COUNTIF(K418,418525))</f>
        <v>0</v>
      </c>
      <c r="N434" s="40" t="b">
        <f t="shared" si="98"/>
        <v>0</v>
      </c>
      <c r="O434" s="40" t="b">
        <f t="shared" si="98"/>
        <v>0</v>
      </c>
      <c r="P434" s="40" t="b">
        <f t="shared" si="98"/>
        <v>0</v>
      </c>
      <c r="Q434" s="40" t="b">
        <f t="shared" si="98"/>
        <v>0</v>
      </c>
      <c r="R434" s="40" t="b">
        <f t="shared" si="98"/>
        <v>0</v>
      </c>
      <c r="S434" s="40" t="b">
        <f>OR(COUNTIF(S418,418525),COUNTIF(R418,418525),COUNTIF(Q418,418525))</f>
        <v>0</v>
      </c>
      <c r="T434" s="40" t="b">
        <f t="shared" si="98"/>
        <v>0</v>
      </c>
      <c r="U434" s="40" t="b">
        <f t="shared" si="98"/>
        <v>0</v>
      </c>
      <c r="V434" s="40" t="b">
        <f t="shared" si="98"/>
        <v>0</v>
      </c>
      <c r="W434" s="40" t="b">
        <f t="shared" si="98"/>
        <v>0</v>
      </c>
      <c r="X434" s="40" t="b">
        <f t="shared" si="98"/>
        <v>0</v>
      </c>
      <c r="Y434" s="40" t="b">
        <f t="shared" si="98"/>
        <v>0</v>
      </c>
      <c r="Z434" s="40" t="b">
        <f t="shared" si="98"/>
        <v>0</v>
      </c>
      <c r="AA434" s="40" t="b">
        <f t="shared" si="98"/>
        <v>0</v>
      </c>
      <c r="AB434" s="40" t="b">
        <f t="shared" si="98"/>
        <v>0</v>
      </c>
      <c r="AC434" s="40" t="b">
        <f t="shared" si="98"/>
        <v>0</v>
      </c>
      <c r="AD434" s="40" t="b">
        <f t="shared" si="98"/>
        <v>0</v>
      </c>
      <c r="AE434" s="40" t="b">
        <f t="shared" si="98"/>
        <v>0</v>
      </c>
      <c r="AF434" s="40" t="b">
        <f t="shared" si="98"/>
        <v>0</v>
      </c>
      <c r="AG434" s="40" t="b">
        <f t="shared" si="98"/>
        <v>0</v>
      </c>
      <c r="AH434" s="40" t="b">
        <f t="shared" si="98"/>
        <v>0</v>
      </c>
      <c r="AI434" s="40" t="b">
        <f t="shared" si="98"/>
        <v>0</v>
      </c>
    </row>
    <row r="435" spans="1:35" x14ac:dyDescent="0.35">
      <c r="A435" s="1196"/>
      <c r="B435" s="22">
        <v>2</v>
      </c>
      <c r="C435" s="40">
        <f t="shared" ref="C435:C445" si="99">COUNTIF(C419,418525)</f>
        <v>0</v>
      </c>
      <c r="D435" s="40" t="b">
        <f t="shared" ref="D435:D445" si="100">OR(COUNTIF(C419,418525),COUNTIF(D419,418525))</f>
        <v>0</v>
      </c>
      <c r="E435" s="40" t="b">
        <f t="shared" ref="E435:E445" si="101">OR(COUNTIF(E419,418525),COUNTIF(D419,418525),COUNTIF(C419,418525))</f>
        <v>0</v>
      </c>
      <c r="F435" s="40" t="b">
        <f t="shared" ref="F435:F445" si="102">OR(COUNTIF(F419,418525),COUNTIF(E419,418525),COUNTIF(D419,418525))</f>
        <v>0</v>
      </c>
      <c r="G435" s="40" t="b">
        <f t="shared" ref="G435:G445" si="103">OR(COUNTIF(G419,418525),COUNTIF(F419,418525),COUNTIF(E419,418525))</f>
        <v>1</v>
      </c>
      <c r="H435" s="40" t="b">
        <f t="shared" ref="H435:H445" si="104">OR(COUNTIF(H419,418525),COUNTIF(G419,418525),COUNTIF(F419,418525))</f>
        <v>1</v>
      </c>
      <c r="I435" s="40" t="b">
        <f t="shared" ref="I435:I445" si="105">OR(COUNTIF(I419,418525),COUNTIF(H419,418525),COUNTIF(G419,418525))</f>
        <v>1</v>
      </c>
      <c r="J435" s="40" t="b">
        <f t="shared" ref="J435:J445" si="106">OR(COUNTIF(J419,418525),COUNTIF(I419,418525),COUNTIF(H419,418525))</f>
        <v>0</v>
      </c>
      <c r="K435" s="40" t="b">
        <f t="shared" ref="K435:L445" si="107">OR(COUNTIF(K419,418525),COUNTIF(J419,418525),COUNTIF(I419,418525))</f>
        <v>0</v>
      </c>
      <c r="L435" s="40" t="b">
        <f t="shared" si="107"/>
        <v>0</v>
      </c>
      <c r="M435" s="40" t="b">
        <f t="shared" ref="M435:M445" si="108">OR(COUNTIF(M419,418525),COUNTIF(L419,418525),COUNTIF(K419,418525))</f>
        <v>0</v>
      </c>
      <c r="N435" s="40" t="b">
        <f t="shared" ref="N435:N445" si="109">OR(COUNTIF(N419,418525),COUNTIF(M419,418525),COUNTIF(L419,418525))</f>
        <v>0</v>
      </c>
      <c r="O435" s="40" t="b">
        <f t="shared" ref="O435:O445" si="110">OR(COUNTIF(O419,418525),COUNTIF(N419,418525),COUNTIF(M419,418525))</f>
        <v>0</v>
      </c>
      <c r="P435" s="40" t="b">
        <f t="shared" ref="P435:P445" si="111">OR(COUNTIF(P419,418525),COUNTIF(O419,418525),COUNTIF(N419,418525))</f>
        <v>0</v>
      </c>
      <c r="Q435" s="40" t="b">
        <f t="shared" ref="Q435:Q445" si="112">OR(COUNTIF(Q419,418525),COUNTIF(P419,418525),COUNTIF(O419,418525))</f>
        <v>0</v>
      </c>
      <c r="R435" s="40" t="b">
        <f t="shared" ref="R435:S445" si="113">OR(COUNTIF(R419,418525),COUNTIF(Q419,418525),COUNTIF(P419,418525))</f>
        <v>0</v>
      </c>
      <c r="S435" s="40" t="b">
        <f t="shared" si="113"/>
        <v>0</v>
      </c>
      <c r="T435" s="40" t="b">
        <f t="shared" ref="T435:T445" si="114">OR(COUNTIF(T419,418525),COUNTIF(S419,418525),COUNTIF(R419,418525))</f>
        <v>0</v>
      </c>
      <c r="U435" s="40" t="b">
        <f t="shared" ref="U435:U445" si="115">OR(COUNTIF(U419,418525),COUNTIF(T419,418525),COUNTIF(S419,418525))</f>
        <v>0</v>
      </c>
      <c r="V435" s="40" t="b">
        <f t="shared" ref="V435:V445" si="116">OR(COUNTIF(V419,418525),COUNTIF(U419,418525),COUNTIF(T419,418525))</f>
        <v>0</v>
      </c>
      <c r="W435" s="40" t="b">
        <f t="shared" ref="W435:W445" si="117">OR(COUNTIF(W419,418525),COUNTIF(V419,418525),COUNTIF(U419,418525))</f>
        <v>0</v>
      </c>
      <c r="X435" s="40" t="b">
        <f t="shared" ref="X435:X445" si="118">OR(COUNTIF(X419,418525),COUNTIF(W419,418525),COUNTIF(V419,418525))</f>
        <v>0</v>
      </c>
      <c r="Y435" s="40" t="b">
        <f t="shared" ref="Y435:Y445" si="119">OR(COUNTIF(Y419,418525),COUNTIF(X419,418525),COUNTIF(W419,418525))</f>
        <v>0</v>
      </c>
      <c r="Z435" s="40" t="b">
        <f t="shared" ref="Z435:Z445" si="120">OR(COUNTIF(Z419,418525),COUNTIF(Y419,418525),COUNTIF(X419,418525))</f>
        <v>0</v>
      </c>
      <c r="AA435" s="40" t="b">
        <f t="shared" ref="AA435:AA445" si="121">OR(COUNTIF(AA419,418525),COUNTIF(Z419,418525),COUNTIF(Y419,418525))</f>
        <v>0</v>
      </c>
      <c r="AB435" s="40" t="b">
        <f t="shared" ref="AB435:AB445" si="122">OR(COUNTIF(AB419,418525),COUNTIF(AA419,418525),COUNTIF(Z419,418525))</f>
        <v>0</v>
      </c>
      <c r="AC435" s="40" t="b">
        <f t="shared" ref="AC435:AC445" si="123">OR(COUNTIF(AC419,418525),COUNTIF(AB419,418525),COUNTIF(AA419,418525))</f>
        <v>0</v>
      </c>
      <c r="AD435" s="40" t="b">
        <f t="shared" ref="AD435:AD445" si="124">OR(COUNTIF(AD419,418525),COUNTIF(AC419,418525),COUNTIF(AB419,418525))</f>
        <v>0</v>
      </c>
      <c r="AE435" s="40" t="b">
        <f t="shared" ref="AE435:AE445" si="125">OR(COUNTIF(AE419,418525),COUNTIF(AD419,418525),COUNTIF(AC419,418525))</f>
        <v>0</v>
      </c>
      <c r="AF435" s="40" t="b">
        <f t="shared" ref="AF435:AF445" si="126">OR(COUNTIF(AF419,418525),COUNTIF(AE419,418525),COUNTIF(AD419,418525))</f>
        <v>0</v>
      </c>
      <c r="AG435" s="40" t="b">
        <f t="shared" ref="AG435:AG445" si="127">OR(COUNTIF(AG419,418525),COUNTIF(AF419,418525),COUNTIF(AE419,418525))</f>
        <v>0</v>
      </c>
      <c r="AH435" s="40" t="b">
        <f t="shared" ref="AH435:AH445" si="128">OR(COUNTIF(AH419,418525),COUNTIF(AG419,418525),COUNTIF(AF419,418525))</f>
        <v>0</v>
      </c>
      <c r="AI435" s="40" t="b">
        <f t="shared" ref="AI435:AI445" si="129">OR(COUNTIF(AI419,418525),COUNTIF(AH419,418525),COUNTIF(AG419,418525))</f>
        <v>0</v>
      </c>
    </row>
    <row r="436" spans="1:35" x14ac:dyDescent="0.35">
      <c r="A436" s="1196"/>
      <c r="B436" s="22">
        <v>3</v>
      </c>
      <c r="C436" s="40">
        <f t="shared" si="99"/>
        <v>0</v>
      </c>
      <c r="D436" s="40" t="b">
        <f t="shared" si="100"/>
        <v>0</v>
      </c>
      <c r="E436" s="40" t="b">
        <f t="shared" si="101"/>
        <v>0</v>
      </c>
      <c r="F436" s="40" t="b">
        <f t="shared" si="102"/>
        <v>0</v>
      </c>
      <c r="G436" s="40" t="b">
        <f t="shared" si="103"/>
        <v>0</v>
      </c>
      <c r="H436" s="40" t="b">
        <f t="shared" si="104"/>
        <v>0</v>
      </c>
      <c r="I436" s="40" t="b">
        <f t="shared" si="105"/>
        <v>1</v>
      </c>
      <c r="J436" s="40" t="b">
        <f t="shared" si="106"/>
        <v>1</v>
      </c>
      <c r="K436" s="40" t="b">
        <f t="shared" si="107"/>
        <v>1</v>
      </c>
      <c r="L436" s="40" t="b">
        <f t="shared" ref="L436:L445" si="130">OR(COUNTIF(L420,418525),COUNTIF(K420,418525),COUNTIF(J420,418525))</f>
        <v>0</v>
      </c>
      <c r="M436" s="40" t="b">
        <f t="shared" si="108"/>
        <v>0</v>
      </c>
      <c r="N436" s="40" t="b">
        <f t="shared" si="109"/>
        <v>0</v>
      </c>
      <c r="O436" s="40" t="b">
        <f t="shared" si="110"/>
        <v>0</v>
      </c>
      <c r="P436" s="40" t="b">
        <f t="shared" si="111"/>
        <v>0</v>
      </c>
      <c r="Q436" s="40" t="b">
        <f t="shared" si="112"/>
        <v>0</v>
      </c>
      <c r="R436" s="40" t="b">
        <f t="shared" si="113"/>
        <v>0</v>
      </c>
      <c r="S436" s="40" t="b">
        <f t="shared" ref="S436:S445" si="131">OR(COUNTIF(S420,418525),COUNTIF(R420,418525),COUNTIF(Q420,418525))</f>
        <v>0</v>
      </c>
      <c r="T436" s="40" t="b">
        <f t="shared" si="114"/>
        <v>0</v>
      </c>
      <c r="U436" s="40" t="b">
        <f t="shared" si="115"/>
        <v>0</v>
      </c>
      <c r="V436" s="40" t="b">
        <f t="shared" si="116"/>
        <v>0</v>
      </c>
      <c r="W436" s="40" t="b">
        <f t="shared" si="117"/>
        <v>0</v>
      </c>
      <c r="X436" s="40" t="b">
        <f t="shared" si="118"/>
        <v>0</v>
      </c>
      <c r="Y436" s="40" t="b">
        <f t="shared" si="119"/>
        <v>0</v>
      </c>
      <c r="Z436" s="40" t="b">
        <f t="shared" si="120"/>
        <v>0</v>
      </c>
      <c r="AA436" s="40" t="b">
        <f t="shared" si="121"/>
        <v>0</v>
      </c>
      <c r="AB436" s="40" t="b">
        <f t="shared" si="122"/>
        <v>0</v>
      </c>
      <c r="AC436" s="40" t="b">
        <f t="shared" si="123"/>
        <v>0</v>
      </c>
      <c r="AD436" s="40" t="b">
        <f t="shared" si="124"/>
        <v>0</v>
      </c>
      <c r="AE436" s="40" t="b">
        <f t="shared" si="125"/>
        <v>0</v>
      </c>
      <c r="AF436" s="40" t="b">
        <f t="shared" si="126"/>
        <v>0</v>
      </c>
      <c r="AG436" s="40" t="b">
        <f t="shared" si="127"/>
        <v>0</v>
      </c>
      <c r="AH436" s="40" t="b">
        <f t="shared" si="128"/>
        <v>0</v>
      </c>
      <c r="AI436" s="40" t="b">
        <f t="shared" si="129"/>
        <v>0</v>
      </c>
    </row>
    <row r="437" spans="1:35" x14ac:dyDescent="0.35">
      <c r="A437" s="1196"/>
      <c r="B437" s="22">
        <v>4</v>
      </c>
      <c r="C437" s="40">
        <f t="shared" si="99"/>
        <v>0</v>
      </c>
      <c r="D437" s="40" t="b">
        <f t="shared" si="100"/>
        <v>0</v>
      </c>
      <c r="E437" s="40" t="b">
        <f t="shared" si="101"/>
        <v>0</v>
      </c>
      <c r="F437" s="40" t="b">
        <f t="shared" si="102"/>
        <v>0</v>
      </c>
      <c r="G437" s="40" t="b">
        <f t="shared" si="103"/>
        <v>0</v>
      </c>
      <c r="H437" s="40" t="b">
        <f t="shared" si="104"/>
        <v>1</v>
      </c>
      <c r="I437" s="40" t="b">
        <f t="shared" si="105"/>
        <v>1</v>
      </c>
      <c r="J437" s="40" t="b">
        <f t="shared" si="106"/>
        <v>1</v>
      </c>
      <c r="K437" s="40" t="b">
        <f t="shared" si="107"/>
        <v>0</v>
      </c>
      <c r="L437" s="40" t="b">
        <f t="shared" si="130"/>
        <v>0</v>
      </c>
      <c r="M437" s="40" t="b">
        <f t="shared" si="108"/>
        <v>0</v>
      </c>
      <c r="N437" s="40" t="b">
        <f t="shared" si="109"/>
        <v>0</v>
      </c>
      <c r="O437" s="40" t="b">
        <f t="shared" si="110"/>
        <v>0</v>
      </c>
      <c r="P437" s="40" t="b">
        <f t="shared" si="111"/>
        <v>0</v>
      </c>
      <c r="Q437" s="40" t="b">
        <f t="shared" si="112"/>
        <v>0</v>
      </c>
      <c r="R437" s="40" t="b">
        <f t="shared" si="113"/>
        <v>0</v>
      </c>
      <c r="S437" s="40" t="b">
        <f t="shared" si="131"/>
        <v>0</v>
      </c>
      <c r="T437" s="40" t="b">
        <f t="shared" si="114"/>
        <v>0</v>
      </c>
      <c r="U437" s="40" t="b">
        <f t="shared" si="115"/>
        <v>0</v>
      </c>
      <c r="V437" s="40" t="b">
        <f t="shared" si="116"/>
        <v>0</v>
      </c>
      <c r="W437" s="40" t="b">
        <f t="shared" si="117"/>
        <v>0</v>
      </c>
      <c r="X437" s="40" t="b">
        <f t="shared" si="118"/>
        <v>0</v>
      </c>
      <c r="Y437" s="40" t="b">
        <f t="shared" si="119"/>
        <v>0</v>
      </c>
      <c r="Z437" s="40" t="b">
        <f t="shared" si="120"/>
        <v>0</v>
      </c>
      <c r="AA437" s="40" t="b">
        <f t="shared" si="121"/>
        <v>0</v>
      </c>
      <c r="AB437" s="40" t="b">
        <f t="shared" si="122"/>
        <v>0</v>
      </c>
      <c r="AC437" s="40" t="b">
        <f t="shared" si="123"/>
        <v>0</v>
      </c>
      <c r="AD437" s="40" t="b">
        <f t="shared" si="124"/>
        <v>0</v>
      </c>
      <c r="AE437" s="40" t="b">
        <f t="shared" si="125"/>
        <v>0</v>
      </c>
      <c r="AF437" s="40" t="b">
        <f t="shared" si="126"/>
        <v>0</v>
      </c>
      <c r="AG437" s="40" t="b">
        <f t="shared" si="127"/>
        <v>0</v>
      </c>
      <c r="AH437" s="40" t="b">
        <f t="shared" si="128"/>
        <v>0</v>
      </c>
      <c r="AI437" s="40" t="b">
        <f t="shared" si="129"/>
        <v>0</v>
      </c>
    </row>
    <row r="438" spans="1:35" x14ac:dyDescent="0.35">
      <c r="A438" s="1196"/>
      <c r="B438" s="22">
        <v>5</v>
      </c>
      <c r="C438" s="40">
        <f t="shared" si="99"/>
        <v>0</v>
      </c>
      <c r="D438" s="40" t="b">
        <f t="shared" si="100"/>
        <v>0</v>
      </c>
      <c r="E438" s="40" t="b">
        <f t="shared" si="101"/>
        <v>0</v>
      </c>
      <c r="F438" s="40" t="b">
        <f t="shared" si="102"/>
        <v>0</v>
      </c>
      <c r="G438" s="40" t="b">
        <f t="shared" si="103"/>
        <v>0</v>
      </c>
      <c r="H438" s="40" t="b">
        <f t="shared" si="104"/>
        <v>0</v>
      </c>
      <c r="I438" s="40" t="b">
        <f t="shared" si="105"/>
        <v>0</v>
      </c>
      <c r="J438" s="40" t="b">
        <f t="shared" si="106"/>
        <v>1</v>
      </c>
      <c r="K438" s="40" t="b">
        <f t="shared" si="107"/>
        <v>1</v>
      </c>
      <c r="L438" s="40" t="b">
        <f t="shared" si="130"/>
        <v>1</v>
      </c>
      <c r="M438" s="40" t="b">
        <f t="shared" si="108"/>
        <v>0</v>
      </c>
      <c r="N438" s="40" t="b">
        <f t="shared" si="109"/>
        <v>0</v>
      </c>
      <c r="O438" s="40" t="b">
        <f t="shared" si="110"/>
        <v>0</v>
      </c>
      <c r="P438" s="40" t="b">
        <f t="shared" si="111"/>
        <v>0</v>
      </c>
      <c r="Q438" s="40" t="b">
        <f t="shared" si="112"/>
        <v>0</v>
      </c>
      <c r="R438" s="40" t="b">
        <f t="shared" si="113"/>
        <v>0</v>
      </c>
      <c r="S438" s="40" t="b">
        <f t="shared" si="131"/>
        <v>0</v>
      </c>
      <c r="T438" s="40" t="b">
        <f t="shared" si="114"/>
        <v>0</v>
      </c>
      <c r="U438" s="40" t="b">
        <f t="shared" si="115"/>
        <v>0</v>
      </c>
      <c r="V438" s="40" t="b">
        <f t="shared" si="116"/>
        <v>0</v>
      </c>
      <c r="W438" s="40" t="b">
        <f t="shared" si="117"/>
        <v>0</v>
      </c>
      <c r="X438" s="40" t="b">
        <f t="shared" si="118"/>
        <v>0</v>
      </c>
      <c r="Y438" s="40" t="b">
        <f t="shared" si="119"/>
        <v>0</v>
      </c>
      <c r="Z438" s="40" t="b">
        <f t="shared" si="120"/>
        <v>0</v>
      </c>
      <c r="AA438" s="40" t="b">
        <f t="shared" si="121"/>
        <v>0</v>
      </c>
      <c r="AB438" s="40" t="b">
        <f t="shared" si="122"/>
        <v>0</v>
      </c>
      <c r="AC438" s="40" t="b">
        <f t="shared" si="123"/>
        <v>0</v>
      </c>
      <c r="AD438" s="40" t="b">
        <f t="shared" si="124"/>
        <v>0</v>
      </c>
      <c r="AE438" s="40" t="b">
        <f t="shared" si="125"/>
        <v>0</v>
      </c>
      <c r="AF438" s="40" t="b">
        <f t="shared" si="126"/>
        <v>0</v>
      </c>
      <c r="AG438" s="40" t="b">
        <f t="shared" si="127"/>
        <v>0</v>
      </c>
      <c r="AH438" s="40" t="b">
        <f t="shared" si="128"/>
        <v>0</v>
      </c>
      <c r="AI438" s="40" t="b">
        <f t="shared" si="129"/>
        <v>0</v>
      </c>
    </row>
    <row r="439" spans="1:35" x14ac:dyDescent="0.35">
      <c r="A439" s="1196"/>
      <c r="B439" s="22">
        <v>6</v>
      </c>
      <c r="C439" s="40">
        <f t="shared" si="99"/>
        <v>0</v>
      </c>
      <c r="D439" s="40" t="b">
        <f t="shared" si="100"/>
        <v>0</v>
      </c>
      <c r="E439" s="40" t="b">
        <f t="shared" si="101"/>
        <v>0</v>
      </c>
      <c r="F439" s="40" t="b">
        <f t="shared" si="102"/>
        <v>0</v>
      </c>
      <c r="G439" s="40" t="b">
        <f t="shared" si="103"/>
        <v>1</v>
      </c>
      <c r="H439" s="40" t="b">
        <f t="shared" si="104"/>
        <v>1</v>
      </c>
      <c r="I439" s="40" t="b">
        <f t="shared" si="105"/>
        <v>1</v>
      </c>
      <c r="J439" s="40" t="b">
        <f t="shared" si="106"/>
        <v>0</v>
      </c>
      <c r="K439" s="40" t="b">
        <f t="shared" si="107"/>
        <v>0</v>
      </c>
      <c r="L439" s="40" t="b">
        <f t="shared" si="130"/>
        <v>0</v>
      </c>
      <c r="M439" s="40" t="b">
        <f t="shared" si="108"/>
        <v>0</v>
      </c>
      <c r="N439" s="40" t="b">
        <f t="shared" si="109"/>
        <v>0</v>
      </c>
      <c r="O439" s="40" t="b">
        <f t="shared" si="110"/>
        <v>0</v>
      </c>
      <c r="P439" s="40" t="b">
        <f t="shared" si="111"/>
        <v>0</v>
      </c>
      <c r="Q439" s="40" t="b">
        <f t="shared" si="112"/>
        <v>0</v>
      </c>
      <c r="R439" s="40" t="b">
        <f t="shared" si="113"/>
        <v>0</v>
      </c>
      <c r="S439" s="40" t="b">
        <f t="shared" si="131"/>
        <v>0</v>
      </c>
      <c r="T439" s="40" t="b">
        <f t="shared" si="114"/>
        <v>0</v>
      </c>
      <c r="U439" s="40" t="b">
        <f t="shared" si="115"/>
        <v>0</v>
      </c>
      <c r="V439" s="40" t="b">
        <f t="shared" si="116"/>
        <v>0</v>
      </c>
      <c r="W439" s="40" t="b">
        <f t="shared" si="117"/>
        <v>0</v>
      </c>
      <c r="X439" s="40" t="b">
        <f t="shared" si="118"/>
        <v>0</v>
      </c>
      <c r="Y439" s="40" t="b">
        <f t="shared" si="119"/>
        <v>0</v>
      </c>
      <c r="Z439" s="40" t="b">
        <f t="shared" si="120"/>
        <v>0</v>
      </c>
      <c r="AA439" s="40" t="b">
        <f t="shared" si="121"/>
        <v>0</v>
      </c>
      <c r="AB439" s="40" t="b">
        <f t="shared" si="122"/>
        <v>0</v>
      </c>
      <c r="AC439" s="40" t="b">
        <f t="shared" si="123"/>
        <v>0</v>
      </c>
      <c r="AD439" s="40" t="b">
        <f t="shared" si="124"/>
        <v>0</v>
      </c>
      <c r="AE439" s="40" t="b">
        <f t="shared" si="125"/>
        <v>0</v>
      </c>
      <c r="AF439" s="40" t="b">
        <f t="shared" si="126"/>
        <v>0</v>
      </c>
      <c r="AG439" s="40" t="b">
        <f t="shared" si="127"/>
        <v>0</v>
      </c>
      <c r="AH439" s="40" t="b">
        <f t="shared" si="128"/>
        <v>0</v>
      </c>
      <c r="AI439" s="40" t="b">
        <f t="shared" si="129"/>
        <v>0</v>
      </c>
    </row>
    <row r="440" spans="1:35" x14ac:dyDescent="0.35">
      <c r="A440" s="1196"/>
      <c r="B440" s="22">
        <v>7</v>
      </c>
      <c r="C440" s="40">
        <f t="shared" si="99"/>
        <v>0</v>
      </c>
      <c r="D440" s="40" t="b">
        <f t="shared" si="100"/>
        <v>0</v>
      </c>
      <c r="E440" s="40" t="b">
        <f t="shared" si="101"/>
        <v>0</v>
      </c>
      <c r="F440" s="40" t="b">
        <f t="shared" si="102"/>
        <v>0</v>
      </c>
      <c r="G440" s="40" t="b">
        <f t="shared" si="103"/>
        <v>0</v>
      </c>
      <c r="H440" s="40" t="b">
        <f t="shared" si="104"/>
        <v>0</v>
      </c>
      <c r="I440" s="40" t="b">
        <f t="shared" si="105"/>
        <v>0</v>
      </c>
      <c r="J440" s="40" t="b">
        <f t="shared" si="106"/>
        <v>0</v>
      </c>
      <c r="K440" s="40" t="b">
        <f t="shared" si="107"/>
        <v>0</v>
      </c>
      <c r="L440" s="40" t="b">
        <f t="shared" si="130"/>
        <v>0</v>
      </c>
      <c r="M440" s="40" t="b">
        <f t="shared" si="108"/>
        <v>0</v>
      </c>
      <c r="N440" s="40" t="b">
        <f t="shared" si="109"/>
        <v>0</v>
      </c>
      <c r="O440" s="40" t="b">
        <f t="shared" si="110"/>
        <v>0</v>
      </c>
      <c r="P440" s="40" t="b">
        <f t="shared" si="111"/>
        <v>0</v>
      </c>
      <c r="Q440" s="40" t="b">
        <f t="shared" si="112"/>
        <v>0</v>
      </c>
      <c r="R440" s="40" t="b">
        <f t="shared" si="113"/>
        <v>0</v>
      </c>
      <c r="S440" s="40" t="b">
        <f t="shared" si="131"/>
        <v>0</v>
      </c>
      <c r="T440" s="40" t="b">
        <f t="shared" si="114"/>
        <v>0</v>
      </c>
      <c r="U440" s="40" t="b">
        <f t="shared" si="115"/>
        <v>0</v>
      </c>
      <c r="V440" s="40" t="b">
        <f t="shared" si="116"/>
        <v>0</v>
      </c>
      <c r="W440" s="40" t="b">
        <f t="shared" si="117"/>
        <v>0</v>
      </c>
      <c r="X440" s="40" t="b">
        <f t="shared" si="118"/>
        <v>0</v>
      </c>
      <c r="Y440" s="40" t="b">
        <f t="shared" si="119"/>
        <v>0</v>
      </c>
      <c r="Z440" s="40" t="b">
        <f t="shared" si="120"/>
        <v>0</v>
      </c>
      <c r="AA440" s="40" t="b">
        <f t="shared" si="121"/>
        <v>0</v>
      </c>
      <c r="AB440" s="40" t="b">
        <f t="shared" si="122"/>
        <v>0</v>
      </c>
      <c r="AC440" s="40" t="b">
        <f t="shared" si="123"/>
        <v>0</v>
      </c>
      <c r="AD440" s="40" t="b">
        <f t="shared" si="124"/>
        <v>0</v>
      </c>
      <c r="AE440" s="40" t="b">
        <f t="shared" si="125"/>
        <v>0</v>
      </c>
      <c r="AF440" s="40" t="b">
        <f t="shared" si="126"/>
        <v>0</v>
      </c>
      <c r="AG440" s="40" t="b">
        <f t="shared" si="127"/>
        <v>0</v>
      </c>
      <c r="AH440" s="40" t="b">
        <f t="shared" si="128"/>
        <v>0</v>
      </c>
      <c r="AI440" s="40" t="b">
        <f t="shared" si="129"/>
        <v>0</v>
      </c>
    </row>
    <row r="441" spans="1:35" x14ac:dyDescent="0.35">
      <c r="A441" s="1196"/>
      <c r="B441" s="22">
        <v>8</v>
      </c>
      <c r="C441" s="40">
        <f t="shared" si="99"/>
        <v>0</v>
      </c>
      <c r="D441" s="40" t="b">
        <f t="shared" si="100"/>
        <v>0</v>
      </c>
      <c r="E441" s="40" t="b">
        <f t="shared" si="101"/>
        <v>0</v>
      </c>
      <c r="F441" s="40" t="b">
        <f t="shared" si="102"/>
        <v>0</v>
      </c>
      <c r="G441" s="40" t="b">
        <f t="shared" si="103"/>
        <v>0</v>
      </c>
      <c r="H441" s="40" t="b">
        <f t="shared" si="104"/>
        <v>0</v>
      </c>
      <c r="I441" s="40" t="b">
        <f t="shared" si="105"/>
        <v>0</v>
      </c>
      <c r="J441" s="40" t="b">
        <f t="shared" si="106"/>
        <v>0</v>
      </c>
      <c r="K441" s="40" t="b">
        <f t="shared" si="107"/>
        <v>0</v>
      </c>
      <c r="L441" s="40" t="b">
        <f t="shared" si="130"/>
        <v>0</v>
      </c>
      <c r="M441" s="40" t="b">
        <f t="shared" si="108"/>
        <v>0</v>
      </c>
      <c r="N441" s="40" t="b">
        <f t="shared" si="109"/>
        <v>0</v>
      </c>
      <c r="O441" s="40" t="b">
        <f t="shared" si="110"/>
        <v>0</v>
      </c>
      <c r="P441" s="40" t="b">
        <f t="shared" si="111"/>
        <v>0</v>
      </c>
      <c r="Q441" s="40" t="b">
        <f t="shared" si="112"/>
        <v>0</v>
      </c>
      <c r="R441" s="40" t="b">
        <f t="shared" si="113"/>
        <v>0</v>
      </c>
      <c r="S441" s="40" t="b">
        <f t="shared" si="131"/>
        <v>0</v>
      </c>
      <c r="T441" s="40" t="b">
        <f t="shared" si="114"/>
        <v>0</v>
      </c>
      <c r="U441" s="40" t="b">
        <f t="shared" si="115"/>
        <v>0</v>
      </c>
      <c r="V441" s="40" t="b">
        <f t="shared" si="116"/>
        <v>0</v>
      </c>
      <c r="W441" s="40" t="b">
        <f t="shared" si="117"/>
        <v>0</v>
      </c>
      <c r="X441" s="40" t="b">
        <f t="shared" si="118"/>
        <v>0</v>
      </c>
      <c r="Y441" s="40" t="b">
        <f t="shared" si="119"/>
        <v>0</v>
      </c>
      <c r="Z441" s="40" t="b">
        <f t="shared" si="120"/>
        <v>0</v>
      </c>
      <c r="AA441" s="40" t="b">
        <f t="shared" si="121"/>
        <v>0</v>
      </c>
      <c r="AB441" s="40" t="b">
        <f t="shared" si="122"/>
        <v>0</v>
      </c>
      <c r="AC441" s="40" t="b">
        <f t="shared" si="123"/>
        <v>0</v>
      </c>
      <c r="AD441" s="40" t="b">
        <f t="shared" si="124"/>
        <v>0</v>
      </c>
      <c r="AE441" s="40" t="b">
        <f t="shared" si="125"/>
        <v>0</v>
      </c>
      <c r="AF441" s="40" t="b">
        <f t="shared" si="126"/>
        <v>0</v>
      </c>
      <c r="AG441" s="40" t="b">
        <f t="shared" si="127"/>
        <v>0</v>
      </c>
      <c r="AH441" s="40" t="b">
        <f t="shared" si="128"/>
        <v>0</v>
      </c>
      <c r="AI441" s="40" t="b">
        <f t="shared" si="129"/>
        <v>0</v>
      </c>
    </row>
    <row r="442" spans="1:35" x14ac:dyDescent="0.35">
      <c r="A442" s="1196"/>
      <c r="B442" s="22">
        <v>9</v>
      </c>
      <c r="C442" s="40">
        <f t="shared" si="99"/>
        <v>0</v>
      </c>
      <c r="D442" s="40" t="b">
        <f t="shared" si="100"/>
        <v>0</v>
      </c>
      <c r="E442" s="40" t="b">
        <f t="shared" si="101"/>
        <v>0</v>
      </c>
      <c r="F442" s="40" t="b">
        <f t="shared" si="102"/>
        <v>0</v>
      </c>
      <c r="G442" s="40" t="b">
        <f t="shared" si="103"/>
        <v>0</v>
      </c>
      <c r="H442" s="40" t="b">
        <f t="shared" si="104"/>
        <v>0</v>
      </c>
      <c r="I442" s="40" t="b">
        <f t="shared" si="105"/>
        <v>0</v>
      </c>
      <c r="J442" s="40" t="b">
        <f t="shared" si="106"/>
        <v>0</v>
      </c>
      <c r="K442" s="40" t="b">
        <f t="shared" si="107"/>
        <v>0</v>
      </c>
      <c r="L442" s="40" t="b">
        <f t="shared" si="130"/>
        <v>0</v>
      </c>
      <c r="M442" s="40" t="b">
        <f t="shared" si="108"/>
        <v>0</v>
      </c>
      <c r="N442" s="40" t="b">
        <f t="shared" si="109"/>
        <v>0</v>
      </c>
      <c r="O442" s="40" t="b">
        <f t="shared" si="110"/>
        <v>0</v>
      </c>
      <c r="P442" s="40" t="b">
        <f t="shared" si="111"/>
        <v>0</v>
      </c>
      <c r="Q442" s="40" t="b">
        <f t="shared" si="112"/>
        <v>0</v>
      </c>
      <c r="R442" s="40" t="b">
        <f t="shared" si="113"/>
        <v>0</v>
      </c>
      <c r="S442" s="40" t="b">
        <f t="shared" si="131"/>
        <v>0</v>
      </c>
      <c r="T442" s="40" t="b">
        <f t="shared" si="114"/>
        <v>0</v>
      </c>
      <c r="U442" s="40" t="b">
        <f t="shared" si="115"/>
        <v>0</v>
      </c>
      <c r="V442" s="40" t="b">
        <f t="shared" si="116"/>
        <v>0</v>
      </c>
      <c r="W442" s="40" t="b">
        <f t="shared" si="117"/>
        <v>0</v>
      </c>
      <c r="X442" s="40" t="b">
        <f t="shared" si="118"/>
        <v>0</v>
      </c>
      <c r="Y442" s="40" t="b">
        <f t="shared" si="119"/>
        <v>0</v>
      </c>
      <c r="Z442" s="40" t="b">
        <f t="shared" si="120"/>
        <v>0</v>
      </c>
      <c r="AA442" s="40" t="b">
        <f t="shared" si="121"/>
        <v>0</v>
      </c>
      <c r="AB442" s="40" t="b">
        <f t="shared" si="122"/>
        <v>0</v>
      </c>
      <c r="AC442" s="40" t="b">
        <f t="shared" si="123"/>
        <v>0</v>
      </c>
      <c r="AD442" s="40" t="b">
        <f t="shared" si="124"/>
        <v>0</v>
      </c>
      <c r="AE442" s="40" t="b">
        <f t="shared" si="125"/>
        <v>0</v>
      </c>
      <c r="AF442" s="40" t="b">
        <f t="shared" si="126"/>
        <v>0</v>
      </c>
      <c r="AG442" s="40" t="b">
        <f t="shared" si="127"/>
        <v>0</v>
      </c>
      <c r="AH442" s="40" t="b">
        <f t="shared" si="128"/>
        <v>0</v>
      </c>
      <c r="AI442" s="40" t="b">
        <f t="shared" si="129"/>
        <v>0</v>
      </c>
    </row>
    <row r="443" spans="1:35" x14ac:dyDescent="0.35">
      <c r="A443" s="1196"/>
      <c r="B443" s="22">
        <v>10</v>
      </c>
      <c r="C443" s="40">
        <f t="shared" si="99"/>
        <v>0</v>
      </c>
      <c r="D443" s="40" t="b">
        <f t="shared" si="100"/>
        <v>0</v>
      </c>
      <c r="E443" s="40" t="b">
        <f t="shared" si="101"/>
        <v>0</v>
      </c>
      <c r="F443" s="40" t="b">
        <f t="shared" si="102"/>
        <v>0</v>
      </c>
      <c r="G443" s="40" t="b">
        <f t="shared" si="103"/>
        <v>0</v>
      </c>
      <c r="H443" s="40" t="b">
        <f t="shared" si="104"/>
        <v>0</v>
      </c>
      <c r="I443" s="40" t="b">
        <f t="shared" si="105"/>
        <v>0</v>
      </c>
      <c r="J443" s="40" t="b">
        <f t="shared" si="106"/>
        <v>0</v>
      </c>
      <c r="K443" s="40" t="b">
        <f t="shared" si="107"/>
        <v>0</v>
      </c>
      <c r="L443" s="40" t="b">
        <f t="shared" si="130"/>
        <v>0</v>
      </c>
      <c r="M443" s="40" t="b">
        <f t="shared" si="108"/>
        <v>0</v>
      </c>
      <c r="N443" s="40" t="b">
        <f t="shared" si="109"/>
        <v>0</v>
      </c>
      <c r="O443" s="40" t="b">
        <f t="shared" si="110"/>
        <v>0</v>
      </c>
      <c r="P443" s="40" t="b">
        <f t="shared" si="111"/>
        <v>0</v>
      </c>
      <c r="Q443" s="40" t="b">
        <f t="shared" si="112"/>
        <v>0</v>
      </c>
      <c r="R443" s="40" t="b">
        <f t="shared" si="113"/>
        <v>0</v>
      </c>
      <c r="S443" s="40" t="b">
        <f t="shared" si="131"/>
        <v>0</v>
      </c>
      <c r="T443" s="40" t="b">
        <f t="shared" si="114"/>
        <v>0</v>
      </c>
      <c r="U443" s="40" t="b">
        <f t="shared" si="115"/>
        <v>0</v>
      </c>
      <c r="V443" s="40" t="b">
        <f t="shared" si="116"/>
        <v>0</v>
      </c>
      <c r="W443" s="40" t="b">
        <f t="shared" si="117"/>
        <v>0</v>
      </c>
      <c r="X443" s="40" t="b">
        <f t="shared" si="118"/>
        <v>0</v>
      </c>
      <c r="Y443" s="40" t="b">
        <f t="shared" si="119"/>
        <v>0</v>
      </c>
      <c r="Z443" s="40" t="b">
        <f t="shared" si="120"/>
        <v>0</v>
      </c>
      <c r="AA443" s="40" t="b">
        <f t="shared" si="121"/>
        <v>0</v>
      </c>
      <c r="AB443" s="40" t="b">
        <f t="shared" si="122"/>
        <v>0</v>
      </c>
      <c r="AC443" s="40" t="b">
        <f t="shared" si="123"/>
        <v>0</v>
      </c>
      <c r="AD443" s="40" t="b">
        <f t="shared" si="124"/>
        <v>0</v>
      </c>
      <c r="AE443" s="40" t="b">
        <f t="shared" si="125"/>
        <v>0</v>
      </c>
      <c r="AF443" s="40" t="b">
        <f t="shared" si="126"/>
        <v>0</v>
      </c>
      <c r="AG443" s="40" t="b">
        <f t="shared" si="127"/>
        <v>0</v>
      </c>
      <c r="AH443" s="40" t="b">
        <f t="shared" si="128"/>
        <v>0</v>
      </c>
      <c r="AI443" s="40" t="b">
        <f t="shared" si="129"/>
        <v>0</v>
      </c>
    </row>
    <row r="444" spans="1:35" x14ac:dyDescent="0.35">
      <c r="A444" s="1196"/>
      <c r="B444" s="22">
        <v>11</v>
      </c>
      <c r="C444" s="40">
        <f t="shared" si="99"/>
        <v>0</v>
      </c>
      <c r="D444" s="40" t="b">
        <f t="shared" si="100"/>
        <v>0</v>
      </c>
      <c r="E444" s="40" t="b">
        <f t="shared" si="101"/>
        <v>0</v>
      </c>
      <c r="F444" s="40" t="b">
        <f t="shared" si="102"/>
        <v>0</v>
      </c>
      <c r="G444" s="40" t="b">
        <f t="shared" si="103"/>
        <v>0</v>
      </c>
      <c r="H444" s="40" t="b">
        <f t="shared" si="104"/>
        <v>0</v>
      </c>
      <c r="I444" s="40" t="b">
        <f t="shared" si="105"/>
        <v>0</v>
      </c>
      <c r="J444" s="40" t="b">
        <f t="shared" si="106"/>
        <v>0</v>
      </c>
      <c r="K444" s="40" t="b">
        <f t="shared" si="107"/>
        <v>0</v>
      </c>
      <c r="L444" s="40" t="b">
        <f t="shared" si="130"/>
        <v>0</v>
      </c>
      <c r="M444" s="40" t="b">
        <f t="shared" si="108"/>
        <v>0</v>
      </c>
      <c r="N444" s="40" t="b">
        <f t="shared" si="109"/>
        <v>0</v>
      </c>
      <c r="O444" s="40" t="b">
        <f t="shared" si="110"/>
        <v>0</v>
      </c>
      <c r="P444" s="40" t="b">
        <f t="shared" si="111"/>
        <v>0</v>
      </c>
      <c r="Q444" s="40" t="b">
        <f t="shared" si="112"/>
        <v>0</v>
      </c>
      <c r="R444" s="40" t="b">
        <f t="shared" si="113"/>
        <v>0</v>
      </c>
      <c r="S444" s="40" t="b">
        <f t="shared" si="131"/>
        <v>0</v>
      </c>
      <c r="T444" s="40" t="b">
        <f t="shared" si="114"/>
        <v>0</v>
      </c>
      <c r="U444" s="40" t="b">
        <f t="shared" si="115"/>
        <v>0</v>
      </c>
      <c r="V444" s="40" t="b">
        <f t="shared" si="116"/>
        <v>0</v>
      </c>
      <c r="W444" s="40" t="b">
        <f t="shared" si="117"/>
        <v>0</v>
      </c>
      <c r="X444" s="40" t="b">
        <f t="shared" si="118"/>
        <v>0</v>
      </c>
      <c r="Y444" s="40" t="b">
        <f t="shared" si="119"/>
        <v>0</v>
      </c>
      <c r="Z444" s="40" t="b">
        <f t="shared" si="120"/>
        <v>0</v>
      </c>
      <c r="AA444" s="40" t="b">
        <f t="shared" si="121"/>
        <v>0</v>
      </c>
      <c r="AB444" s="40" t="b">
        <f t="shared" si="122"/>
        <v>0</v>
      </c>
      <c r="AC444" s="40" t="b">
        <f t="shared" si="123"/>
        <v>0</v>
      </c>
      <c r="AD444" s="40" t="b">
        <f t="shared" si="124"/>
        <v>0</v>
      </c>
      <c r="AE444" s="40" t="b">
        <f t="shared" si="125"/>
        <v>0</v>
      </c>
      <c r="AF444" s="40" t="b">
        <f t="shared" si="126"/>
        <v>0</v>
      </c>
      <c r="AG444" s="40" t="b">
        <f t="shared" si="127"/>
        <v>0</v>
      </c>
      <c r="AH444" s="40" t="b">
        <f t="shared" si="128"/>
        <v>0</v>
      </c>
      <c r="AI444" s="40" t="b">
        <f t="shared" si="129"/>
        <v>0</v>
      </c>
    </row>
    <row r="445" spans="1:35" ht="15" thickBot="1" x14ac:dyDescent="0.4">
      <c r="A445" s="1197"/>
      <c r="B445" s="23">
        <v>12</v>
      </c>
      <c r="C445" s="40">
        <f t="shared" si="99"/>
        <v>0</v>
      </c>
      <c r="D445" s="40" t="b">
        <f t="shared" si="100"/>
        <v>0</v>
      </c>
      <c r="E445" s="40" t="b">
        <f t="shared" si="101"/>
        <v>0</v>
      </c>
      <c r="F445" s="40" t="b">
        <f t="shared" si="102"/>
        <v>0</v>
      </c>
      <c r="G445" s="40" t="b">
        <f t="shared" si="103"/>
        <v>0</v>
      </c>
      <c r="H445" s="40" t="b">
        <f t="shared" si="104"/>
        <v>0</v>
      </c>
      <c r="I445" s="40" t="b">
        <f t="shared" si="105"/>
        <v>0</v>
      </c>
      <c r="J445" s="40" t="b">
        <f t="shared" si="106"/>
        <v>0</v>
      </c>
      <c r="K445" s="40" t="b">
        <f t="shared" si="107"/>
        <v>0</v>
      </c>
      <c r="L445" s="40" t="b">
        <f t="shared" si="130"/>
        <v>0</v>
      </c>
      <c r="M445" s="40" t="b">
        <f t="shared" si="108"/>
        <v>0</v>
      </c>
      <c r="N445" s="40" t="b">
        <f t="shared" si="109"/>
        <v>0</v>
      </c>
      <c r="O445" s="40" t="b">
        <f t="shared" si="110"/>
        <v>0</v>
      </c>
      <c r="P445" s="40" t="b">
        <f t="shared" si="111"/>
        <v>0</v>
      </c>
      <c r="Q445" s="40" t="b">
        <f t="shared" si="112"/>
        <v>0</v>
      </c>
      <c r="R445" s="40" t="b">
        <f t="shared" si="113"/>
        <v>0</v>
      </c>
      <c r="S445" s="40" t="b">
        <f t="shared" si="131"/>
        <v>0</v>
      </c>
      <c r="T445" s="40" t="b">
        <f t="shared" si="114"/>
        <v>0</v>
      </c>
      <c r="U445" s="40" t="b">
        <f t="shared" si="115"/>
        <v>0</v>
      </c>
      <c r="V445" s="40" t="b">
        <f t="shared" si="116"/>
        <v>0</v>
      </c>
      <c r="W445" s="40" t="b">
        <f t="shared" si="117"/>
        <v>0</v>
      </c>
      <c r="X445" s="40" t="b">
        <f t="shared" si="118"/>
        <v>0</v>
      </c>
      <c r="Y445" s="40" t="b">
        <f t="shared" si="119"/>
        <v>0</v>
      </c>
      <c r="Z445" s="40" t="b">
        <f t="shared" si="120"/>
        <v>0</v>
      </c>
      <c r="AA445" s="40" t="b">
        <f t="shared" si="121"/>
        <v>0</v>
      </c>
      <c r="AB445" s="40" t="b">
        <f t="shared" si="122"/>
        <v>0</v>
      </c>
      <c r="AC445" s="40" t="b">
        <f t="shared" si="123"/>
        <v>0</v>
      </c>
      <c r="AD445" s="40" t="b">
        <f t="shared" si="124"/>
        <v>0</v>
      </c>
      <c r="AE445" s="40" t="b">
        <f t="shared" si="125"/>
        <v>0</v>
      </c>
      <c r="AF445" s="40" t="b">
        <f t="shared" si="126"/>
        <v>0</v>
      </c>
      <c r="AG445" s="40" t="b">
        <f t="shared" si="127"/>
        <v>0</v>
      </c>
      <c r="AH445" s="40" t="b">
        <f t="shared" si="128"/>
        <v>0</v>
      </c>
      <c r="AI445" s="40" t="b">
        <f t="shared" si="129"/>
        <v>0</v>
      </c>
    </row>
    <row r="448" spans="1:35" ht="15" thickBot="1" x14ac:dyDescent="0.4"/>
    <row r="449" spans="1:35" x14ac:dyDescent="0.35">
      <c r="A449" s="1202"/>
      <c r="B449" s="1203"/>
      <c r="C449" s="1207" t="s">
        <v>17</v>
      </c>
      <c r="D449" s="1207"/>
      <c r="E449" s="1207"/>
      <c r="F449" s="1207"/>
      <c r="G449" s="1207"/>
      <c r="H449" s="1207"/>
      <c r="I449" s="1207"/>
      <c r="J449" s="1207"/>
      <c r="K449" s="1207"/>
      <c r="L449" s="1207"/>
      <c r="M449" s="1207"/>
      <c r="N449" s="1207"/>
      <c r="O449" s="1207"/>
      <c r="P449" s="1207"/>
      <c r="Q449" s="1207"/>
      <c r="R449" s="1207"/>
      <c r="S449" s="1207"/>
      <c r="T449" s="1207"/>
      <c r="U449" s="1207"/>
      <c r="V449" s="1208"/>
      <c r="W449" s="6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8"/>
    </row>
    <row r="450" spans="1:35" ht="15" thickBot="1" x14ac:dyDescent="0.4">
      <c r="A450" s="1204"/>
      <c r="B450" s="1205"/>
      <c r="C450" s="16">
        <v>1</v>
      </c>
      <c r="D450" s="17">
        <v>2</v>
      </c>
      <c r="E450" s="17">
        <v>3</v>
      </c>
      <c r="F450" s="17">
        <v>4</v>
      </c>
      <c r="G450" s="17">
        <v>5</v>
      </c>
      <c r="H450" s="17">
        <v>6</v>
      </c>
      <c r="I450" s="17">
        <v>7</v>
      </c>
      <c r="J450" s="17">
        <v>8</v>
      </c>
      <c r="K450" s="17">
        <v>9</v>
      </c>
      <c r="L450" s="17">
        <v>10</v>
      </c>
      <c r="M450" s="17">
        <v>11</v>
      </c>
      <c r="N450" s="17">
        <v>12</v>
      </c>
      <c r="O450" s="17">
        <v>13</v>
      </c>
      <c r="P450" s="17">
        <v>14</v>
      </c>
      <c r="Q450" s="17">
        <v>15</v>
      </c>
      <c r="R450" s="17">
        <v>16</v>
      </c>
      <c r="S450" s="17">
        <v>17</v>
      </c>
      <c r="T450" s="17">
        <v>18</v>
      </c>
      <c r="U450" s="17">
        <v>19</v>
      </c>
      <c r="V450" s="18">
        <v>20</v>
      </c>
      <c r="W450" s="17">
        <v>21</v>
      </c>
      <c r="X450" s="18">
        <v>22</v>
      </c>
      <c r="Y450" s="17">
        <v>23</v>
      </c>
      <c r="Z450" s="18">
        <v>24</v>
      </c>
      <c r="AA450" s="17">
        <v>25</v>
      </c>
      <c r="AB450" s="18">
        <v>26</v>
      </c>
      <c r="AC450" s="17">
        <v>27</v>
      </c>
      <c r="AD450" s="18">
        <v>28</v>
      </c>
      <c r="AE450" s="17">
        <v>29</v>
      </c>
      <c r="AF450" s="18">
        <v>30</v>
      </c>
      <c r="AG450" s="17">
        <v>31</v>
      </c>
      <c r="AH450" s="18">
        <v>32</v>
      </c>
      <c r="AI450" s="17">
        <v>33</v>
      </c>
    </row>
    <row r="451" spans="1:35" x14ac:dyDescent="0.35">
      <c r="A451" s="1196" t="s">
        <v>18</v>
      </c>
      <c r="B451" s="21">
        <v>1</v>
      </c>
      <c r="C451" s="40" t="str">
        <f t="shared" ref="C451:P451" si="132">IF(AND(COUNTIF(C434,"TRUE"),COUNTIF(C402,"a")),"BR",IF(COUNTIF(C402,"a"),"Prim",IF(COUNTIF(C402,"b"),"BU","")))</f>
        <v>Prim</v>
      </c>
      <c r="D451" s="40" t="str">
        <f t="shared" si="132"/>
        <v>Prim</v>
      </c>
      <c r="E451" s="40" t="str">
        <f t="shared" si="132"/>
        <v>Prim</v>
      </c>
      <c r="F451" s="40" t="str">
        <f t="shared" si="132"/>
        <v>Prim</v>
      </c>
      <c r="G451" s="40" t="str">
        <f t="shared" si="132"/>
        <v>Prim</v>
      </c>
      <c r="H451" s="40" t="str">
        <f t="shared" si="132"/>
        <v>Prim</v>
      </c>
      <c r="I451" s="40" t="str">
        <f t="shared" si="132"/>
        <v>Prim</v>
      </c>
      <c r="J451" s="40" t="str">
        <f t="shared" si="132"/>
        <v>BR</v>
      </c>
      <c r="K451" s="40" t="str">
        <f t="shared" si="132"/>
        <v/>
      </c>
      <c r="L451" s="40" t="str">
        <f t="shared" si="132"/>
        <v>BU</v>
      </c>
      <c r="M451" s="40" t="str">
        <f t="shared" si="132"/>
        <v>BU</v>
      </c>
      <c r="N451" s="40" t="str">
        <f t="shared" si="132"/>
        <v>BU</v>
      </c>
      <c r="O451" s="40" t="str">
        <f t="shared" si="132"/>
        <v>BU</v>
      </c>
      <c r="P451" s="40" t="str">
        <f t="shared" si="132"/>
        <v/>
      </c>
      <c r="Q451" s="40" t="str">
        <f>IF(AND(COUNTIF(Q434,"TRUE"),COUNTIF(Q402,"a")),"BR",IF(COUNTIF(Q402,"a"),"Prim",IF(COUNTIF(Q402,"b"),"BU","")))</f>
        <v/>
      </c>
      <c r="R451" s="40" t="str">
        <f t="shared" ref="R451:AI451" si="133">IF(AND(COUNTIF(R434,"TRUE"),COUNTIF(R402,"a")),"BR",IF(COUNTIF(R402,"a"),"Prim",IF(COUNTIF(R402,"b"),"BU","")))</f>
        <v/>
      </c>
      <c r="S451" s="40" t="str">
        <f t="shared" si="133"/>
        <v/>
      </c>
      <c r="T451" s="40" t="str">
        <f t="shared" si="133"/>
        <v/>
      </c>
      <c r="U451" s="40" t="str">
        <f t="shared" si="133"/>
        <v/>
      </c>
      <c r="V451" s="40" t="str">
        <f t="shared" si="133"/>
        <v/>
      </c>
      <c r="W451" s="40" t="str">
        <f t="shared" si="133"/>
        <v/>
      </c>
      <c r="X451" s="40" t="str">
        <f t="shared" si="133"/>
        <v/>
      </c>
      <c r="Y451" s="40" t="str">
        <f t="shared" si="133"/>
        <v/>
      </c>
      <c r="Z451" s="40" t="str">
        <f t="shared" si="133"/>
        <v/>
      </c>
      <c r="AA451" s="40" t="str">
        <f t="shared" si="133"/>
        <v/>
      </c>
      <c r="AB451" s="40" t="str">
        <f t="shared" si="133"/>
        <v/>
      </c>
      <c r="AC451" s="40" t="str">
        <f t="shared" si="133"/>
        <v/>
      </c>
      <c r="AD451" s="40" t="str">
        <f t="shared" si="133"/>
        <v/>
      </c>
      <c r="AE451" s="40" t="str">
        <f t="shared" si="133"/>
        <v/>
      </c>
      <c r="AF451" s="40" t="str">
        <f t="shared" si="133"/>
        <v/>
      </c>
      <c r="AG451" s="40" t="str">
        <f t="shared" si="133"/>
        <v/>
      </c>
      <c r="AH451" s="40" t="str">
        <f t="shared" si="133"/>
        <v/>
      </c>
      <c r="AI451" s="40" t="str">
        <f t="shared" si="133"/>
        <v/>
      </c>
    </row>
    <row r="452" spans="1:35" x14ac:dyDescent="0.35">
      <c r="A452" s="1196"/>
      <c r="B452" s="22">
        <v>2</v>
      </c>
      <c r="C452" s="40" t="str">
        <f t="shared" ref="C452:AI452" si="134">IF(AND(COUNTIF(C435,"TRUE"),COUNTIF(C403,"a")),"BR",IF(COUNTIF(C403,"a"),"Prim",IF(COUNTIF(C403,"b"),"BU","")))</f>
        <v>Prim</v>
      </c>
      <c r="D452" s="40" t="str">
        <f t="shared" si="134"/>
        <v>Prim</v>
      </c>
      <c r="E452" s="40" t="str">
        <f t="shared" si="134"/>
        <v>Prim</v>
      </c>
      <c r="F452" s="40" t="str">
        <f t="shared" si="134"/>
        <v>Prim</v>
      </c>
      <c r="G452" s="40" t="str">
        <f t="shared" si="134"/>
        <v>BR</v>
      </c>
      <c r="H452" s="40" t="str">
        <f t="shared" si="134"/>
        <v>BR</v>
      </c>
      <c r="I452" s="40" t="str">
        <f t="shared" si="134"/>
        <v>BR</v>
      </c>
      <c r="J452" s="40" t="str">
        <f t="shared" si="134"/>
        <v>Prim</v>
      </c>
      <c r="K452" s="40" t="str">
        <f t="shared" si="134"/>
        <v/>
      </c>
      <c r="L452" s="40" t="str">
        <f t="shared" si="134"/>
        <v>BU</v>
      </c>
      <c r="M452" s="40" t="str">
        <f t="shared" si="134"/>
        <v>BU</v>
      </c>
      <c r="N452" s="40" t="str">
        <f t="shared" si="134"/>
        <v>BU</v>
      </c>
      <c r="O452" s="40" t="str">
        <f t="shared" si="134"/>
        <v>BU</v>
      </c>
      <c r="P452" s="40" t="str">
        <f t="shared" si="134"/>
        <v/>
      </c>
      <c r="Q452" s="40" t="str">
        <f t="shared" si="134"/>
        <v/>
      </c>
      <c r="R452" s="40" t="str">
        <f t="shared" si="134"/>
        <v/>
      </c>
      <c r="S452" s="40" t="str">
        <f t="shared" si="134"/>
        <v/>
      </c>
      <c r="T452" s="40" t="str">
        <f t="shared" si="134"/>
        <v/>
      </c>
      <c r="U452" s="40" t="str">
        <f t="shared" si="134"/>
        <v/>
      </c>
      <c r="V452" s="40" t="str">
        <f t="shared" si="134"/>
        <v/>
      </c>
      <c r="W452" s="40" t="str">
        <f t="shared" si="134"/>
        <v/>
      </c>
      <c r="X452" s="40" t="str">
        <f t="shared" si="134"/>
        <v/>
      </c>
      <c r="Y452" s="40" t="str">
        <f t="shared" si="134"/>
        <v/>
      </c>
      <c r="Z452" s="40" t="str">
        <f t="shared" si="134"/>
        <v/>
      </c>
      <c r="AA452" s="40" t="str">
        <f t="shared" si="134"/>
        <v/>
      </c>
      <c r="AB452" s="40" t="str">
        <f t="shared" si="134"/>
        <v/>
      </c>
      <c r="AC452" s="40" t="str">
        <f t="shared" si="134"/>
        <v/>
      </c>
      <c r="AD452" s="40" t="str">
        <f t="shared" si="134"/>
        <v/>
      </c>
      <c r="AE452" s="40" t="str">
        <f t="shared" si="134"/>
        <v/>
      </c>
      <c r="AF452" s="40" t="str">
        <f t="shared" si="134"/>
        <v/>
      </c>
      <c r="AG452" s="40" t="str">
        <f t="shared" si="134"/>
        <v/>
      </c>
      <c r="AH452" s="40" t="str">
        <f t="shared" si="134"/>
        <v/>
      </c>
      <c r="AI452" s="40" t="str">
        <f t="shared" si="134"/>
        <v/>
      </c>
    </row>
    <row r="453" spans="1:35" x14ac:dyDescent="0.35">
      <c r="A453" s="1196"/>
      <c r="B453" s="22">
        <v>3</v>
      </c>
      <c r="C453" s="40" t="str">
        <f t="shared" ref="C453:AI453" si="135">IF(AND(COUNTIF(C436,"TRUE"),COUNTIF(C404,"a")),"BR",IF(COUNTIF(C404,"a"),"Prim",IF(COUNTIF(C404,"b"),"BU","")))</f>
        <v>Prim</v>
      </c>
      <c r="D453" s="40" t="str">
        <f t="shared" si="135"/>
        <v>Prim</v>
      </c>
      <c r="E453" s="40" t="str">
        <f t="shared" si="135"/>
        <v>Prim</v>
      </c>
      <c r="F453" s="40" t="str">
        <f t="shared" si="135"/>
        <v>Prim</v>
      </c>
      <c r="G453" s="40" t="str">
        <f t="shared" si="135"/>
        <v>Prim</v>
      </c>
      <c r="H453" s="40" t="str">
        <f t="shared" si="135"/>
        <v>Prim</v>
      </c>
      <c r="I453" s="40" t="str">
        <f t="shared" si="135"/>
        <v>BR</v>
      </c>
      <c r="J453" s="40" t="str">
        <f t="shared" si="135"/>
        <v>BR</v>
      </c>
      <c r="K453" s="40" t="str">
        <f t="shared" si="135"/>
        <v/>
      </c>
      <c r="L453" s="40" t="str">
        <f t="shared" si="135"/>
        <v>BU</v>
      </c>
      <c r="M453" s="40" t="str">
        <f t="shared" si="135"/>
        <v>BU</v>
      </c>
      <c r="N453" s="40" t="str">
        <f t="shared" si="135"/>
        <v>BU</v>
      </c>
      <c r="O453" s="40" t="str">
        <f t="shared" si="135"/>
        <v>BU</v>
      </c>
      <c r="P453" s="40" t="str">
        <f t="shared" si="135"/>
        <v/>
      </c>
      <c r="Q453" s="40" t="str">
        <f t="shared" si="135"/>
        <v/>
      </c>
      <c r="R453" s="40" t="str">
        <f t="shared" si="135"/>
        <v/>
      </c>
      <c r="S453" s="40" t="str">
        <f t="shared" si="135"/>
        <v/>
      </c>
      <c r="T453" s="40" t="str">
        <f t="shared" si="135"/>
        <v/>
      </c>
      <c r="U453" s="40" t="str">
        <f t="shared" si="135"/>
        <v/>
      </c>
      <c r="V453" s="40" t="str">
        <f t="shared" si="135"/>
        <v/>
      </c>
      <c r="W453" s="40" t="str">
        <f t="shared" si="135"/>
        <v/>
      </c>
      <c r="X453" s="40" t="str">
        <f t="shared" si="135"/>
        <v/>
      </c>
      <c r="Y453" s="40" t="str">
        <f t="shared" si="135"/>
        <v/>
      </c>
      <c r="Z453" s="40" t="str">
        <f t="shared" si="135"/>
        <v/>
      </c>
      <c r="AA453" s="40" t="str">
        <f t="shared" si="135"/>
        <v/>
      </c>
      <c r="AB453" s="40" t="str">
        <f t="shared" si="135"/>
        <v/>
      </c>
      <c r="AC453" s="40" t="str">
        <f t="shared" si="135"/>
        <v/>
      </c>
      <c r="AD453" s="40" t="str">
        <f t="shared" si="135"/>
        <v/>
      </c>
      <c r="AE453" s="40" t="str">
        <f t="shared" si="135"/>
        <v/>
      </c>
      <c r="AF453" s="40" t="str">
        <f t="shared" si="135"/>
        <v/>
      </c>
      <c r="AG453" s="40" t="str">
        <f t="shared" si="135"/>
        <v/>
      </c>
      <c r="AH453" s="40" t="str">
        <f t="shared" si="135"/>
        <v/>
      </c>
      <c r="AI453" s="40" t="str">
        <f t="shared" si="135"/>
        <v/>
      </c>
    </row>
    <row r="454" spans="1:35" x14ac:dyDescent="0.35">
      <c r="A454" s="1196"/>
      <c r="B454" s="22">
        <v>4</v>
      </c>
      <c r="C454" s="40" t="str">
        <f t="shared" ref="C454:AI454" si="136">IF(AND(COUNTIF(C437,"TRUE"),COUNTIF(C405,"a")),"BR",IF(COUNTIF(C405,"a"),"Prim",IF(COUNTIF(C405,"b"),"BU","")))</f>
        <v>Prim</v>
      </c>
      <c r="D454" s="40" t="str">
        <f t="shared" si="136"/>
        <v>Prim</v>
      </c>
      <c r="E454" s="40" t="str">
        <f t="shared" si="136"/>
        <v>Prim</v>
      </c>
      <c r="F454" s="40" t="str">
        <f t="shared" si="136"/>
        <v>Prim</v>
      </c>
      <c r="G454" s="40" t="str">
        <f t="shared" si="136"/>
        <v>Prim</v>
      </c>
      <c r="H454" s="40" t="str">
        <f t="shared" si="136"/>
        <v>BR</v>
      </c>
      <c r="I454" s="40" t="str">
        <f t="shared" si="136"/>
        <v>BR</v>
      </c>
      <c r="J454" s="40" t="str">
        <f t="shared" si="136"/>
        <v>BR</v>
      </c>
      <c r="K454" s="40" t="str">
        <f t="shared" si="136"/>
        <v/>
      </c>
      <c r="L454" s="40" t="str">
        <f t="shared" si="136"/>
        <v>BU</v>
      </c>
      <c r="M454" s="40" t="str">
        <f t="shared" si="136"/>
        <v>BU</v>
      </c>
      <c r="N454" s="40" t="str">
        <f t="shared" si="136"/>
        <v>BU</v>
      </c>
      <c r="O454" s="40" t="str">
        <f t="shared" si="136"/>
        <v>BU</v>
      </c>
      <c r="P454" s="40" t="str">
        <f t="shared" si="136"/>
        <v/>
      </c>
      <c r="Q454" s="40" t="str">
        <f t="shared" si="136"/>
        <v/>
      </c>
      <c r="R454" s="40" t="str">
        <f t="shared" si="136"/>
        <v/>
      </c>
      <c r="S454" s="40" t="str">
        <f t="shared" si="136"/>
        <v/>
      </c>
      <c r="T454" s="40" t="str">
        <f t="shared" si="136"/>
        <v/>
      </c>
      <c r="U454" s="40" t="str">
        <f t="shared" si="136"/>
        <v/>
      </c>
      <c r="V454" s="40" t="str">
        <f t="shared" si="136"/>
        <v/>
      </c>
      <c r="W454" s="40" t="str">
        <f t="shared" si="136"/>
        <v/>
      </c>
      <c r="X454" s="40" t="str">
        <f t="shared" si="136"/>
        <v/>
      </c>
      <c r="Y454" s="40" t="str">
        <f t="shared" si="136"/>
        <v/>
      </c>
      <c r="Z454" s="40" t="str">
        <f t="shared" si="136"/>
        <v/>
      </c>
      <c r="AA454" s="40" t="str">
        <f t="shared" si="136"/>
        <v/>
      </c>
      <c r="AB454" s="40" t="str">
        <f t="shared" si="136"/>
        <v/>
      </c>
      <c r="AC454" s="40" t="str">
        <f t="shared" si="136"/>
        <v/>
      </c>
      <c r="AD454" s="40" t="str">
        <f t="shared" si="136"/>
        <v/>
      </c>
      <c r="AE454" s="40" t="str">
        <f t="shared" si="136"/>
        <v/>
      </c>
      <c r="AF454" s="40" t="str">
        <f t="shared" si="136"/>
        <v/>
      </c>
      <c r="AG454" s="40" t="str">
        <f t="shared" si="136"/>
        <v/>
      </c>
      <c r="AH454" s="40" t="str">
        <f t="shared" si="136"/>
        <v/>
      </c>
      <c r="AI454" s="40" t="str">
        <f t="shared" si="136"/>
        <v/>
      </c>
    </row>
    <row r="455" spans="1:35" x14ac:dyDescent="0.35">
      <c r="A455" s="1196"/>
      <c r="B455" s="22">
        <v>5</v>
      </c>
      <c r="C455" s="40" t="str">
        <f t="shared" ref="C455:AI455" si="137">IF(AND(COUNTIF(C438,"TRUE"),COUNTIF(C406,"a")),"BR",IF(COUNTIF(C406,"a"),"Prim",IF(COUNTIF(C406,"b"),"BU","")))</f>
        <v>Prim</v>
      </c>
      <c r="D455" s="40" t="str">
        <f t="shared" si="137"/>
        <v>Prim</v>
      </c>
      <c r="E455" s="40" t="str">
        <f t="shared" si="137"/>
        <v>Prim</v>
      </c>
      <c r="F455" s="40" t="str">
        <f t="shared" si="137"/>
        <v>Prim</v>
      </c>
      <c r="G455" s="40" t="str">
        <f t="shared" si="137"/>
        <v>Prim</v>
      </c>
      <c r="H455" s="40" t="str">
        <f t="shared" si="137"/>
        <v>Prim</v>
      </c>
      <c r="I455" s="40" t="str">
        <f t="shared" si="137"/>
        <v>Prim</v>
      </c>
      <c r="J455" s="40" t="str">
        <f t="shared" si="137"/>
        <v>BR</v>
      </c>
      <c r="K455" s="40" t="str">
        <f t="shared" si="137"/>
        <v/>
      </c>
      <c r="L455" s="40" t="str">
        <f t="shared" si="137"/>
        <v>BU</v>
      </c>
      <c r="M455" s="40" t="str">
        <f t="shared" si="137"/>
        <v>BU</v>
      </c>
      <c r="N455" s="40" t="str">
        <f t="shared" si="137"/>
        <v>BU</v>
      </c>
      <c r="O455" s="40" t="str">
        <f t="shared" si="137"/>
        <v>BU</v>
      </c>
      <c r="P455" s="40" t="str">
        <f t="shared" si="137"/>
        <v/>
      </c>
      <c r="Q455" s="40" t="str">
        <f t="shared" si="137"/>
        <v/>
      </c>
      <c r="R455" s="40" t="str">
        <f t="shared" si="137"/>
        <v/>
      </c>
      <c r="S455" s="40" t="str">
        <f t="shared" si="137"/>
        <v/>
      </c>
      <c r="T455" s="40" t="str">
        <f t="shared" si="137"/>
        <v/>
      </c>
      <c r="U455" s="40" t="str">
        <f t="shared" si="137"/>
        <v/>
      </c>
      <c r="V455" s="40" t="str">
        <f t="shared" si="137"/>
        <v/>
      </c>
      <c r="W455" s="40" t="str">
        <f t="shared" si="137"/>
        <v/>
      </c>
      <c r="X455" s="40" t="str">
        <f t="shared" si="137"/>
        <v/>
      </c>
      <c r="Y455" s="40" t="str">
        <f t="shared" si="137"/>
        <v/>
      </c>
      <c r="Z455" s="40" t="str">
        <f t="shared" si="137"/>
        <v/>
      </c>
      <c r="AA455" s="40" t="str">
        <f t="shared" si="137"/>
        <v/>
      </c>
      <c r="AB455" s="40" t="str">
        <f t="shared" si="137"/>
        <v/>
      </c>
      <c r="AC455" s="40" t="str">
        <f t="shared" si="137"/>
        <v/>
      </c>
      <c r="AD455" s="40" t="str">
        <f t="shared" si="137"/>
        <v/>
      </c>
      <c r="AE455" s="40" t="str">
        <f t="shared" si="137"/>
        <v/>
      </c>
      <c r="AF455" s="40" t="str">
        <f t="shared" si="137"/>
        <v/>
      </c>
      <c r="AG455" s="40" t="str">
        <f t="shared" si="137"/>
        <v/>
      </c>
      <c r="AH455" s="40" t="str">
        <f t="shared" si="137"/>
        <v/>
      </c>
      <c r="AI455" s="40" t="str">
        <f t="shared" si="137"/>
        <v/>
      </c>
    </row>
    <row r="456" spans="1:35" x14ac:dyDescent="0.35">
      <c r="A456" s="1196"/>
      <c r="B456" s="22">
        <v>6</v>
      </c>
      <c r="C456" s="40" t="str">
        <f t="shared" ref="C456:AI456" si="138">IF(AND(COUNTIF(C439,"TRUE"),COUNTIF(C407,"a")),"BR",IF(COUNTIF(C407,"a"),"Prim",IF(COUNTIF(C407,"b"),"BU","")))</f>
        <v>Prim</v>
      </c>
      <c r="D456" s="40" t="str">
        <f t="shared" si="138"/>
        <v>Prim</v>
      </c>
      <c r="E456" s="40" t="str">
        <f t="shared" si="138"/>
        <v>Prim</v>
      </c>
      <c r="F456" s="40" t="str">
        <f t="shared" si="138"/>
        <v>Prim</v>
      </c>
      <c r="G456" s="40" t="str">
        <f t="shared" si="138"/>
        <v>BR</v>
      </c>
      <c r="H456" s="40" t="str">
        <f t="shared" si="138"/>
        <v>BR</v>
      </c>
      <c r="I456" s="40" t="str">
        <f t="shared" si="138"/>
        <v>BR</v>
      </c>
      <c r="J456" s="40" t="str">
        <f t="shared" si="138"/>
        <v>Prim</v>
      </c>
      <c r="K456" s="40" t="str">
        <f t="shared" si="138"/>
        <v/>
      </c>
      <c r="L456" s="40" t="str">
        <f t="shared" si="138"/>
        <v>BU</v>
      </c>
      <c r="M456" s="40" t="str">
        <f t="shared" si="138"/>
        <v>BU</v>
      </c>
      <c r="N456" s="40" t="str">
        <f t="shared" si="138"/>
        <v>BU</v>
      </c>
      <c r="O456" s="40" t="str">
        <f t="shared" si="138"/>
        <v>BU</v>
      </c>
      <c r="P456" s="40" t="str">
        <f t="shared" si="138"/>
        <v/>
      </c>
      <c r="Q456" s="40" t="str">
        <f t="shared" si="138"/>
        <v/>
      </c>
      <c r="R456" s="40" t="str">
        <f t="shared" si="138"/>
        <v/>
      </c>
      <c r="S456" s="40" t="str">
        <f t="shared" si="138"/>
        <v/>
      </c>
      <c r="T456" s="40" t="str">
        <f t="shared" si="138"/>
        <v/>
      </c>
      <c r="U456" s="40" t="str">
        <f t="shared" si="138"/>
        <v/>
      </c>
      <c r="V456" s="40" t="str">
        <f t="shared" si="138"/>
        <v/>
      </c>
      <c r="W456" s="40" t="str">
        <f t="shared" si="138"/>
        <v/>
      </c>
      <c r="X456" s="40" t="str">
        <f t="shared" si="138"/>
        <v/>
      </c>
      <c r="Y456" s="40" t="str">
        <f t="shared" si="138"/>
        <v/>
      </c>
      <c r="Z456" s="40" t="str">
        <f t="shared" si="138"/>
        <v/>
      </c>
      <c r="AA456" s="40" t="str">
        <f t="shared" si="138"/>
        <v/>
      </c>
      <c r="AB456" s="40" t="str">
        <f t="shared" si="138"/>
        <v/>
      </c>
      <c r="AC456" s="40" t="str">
        <f t="shared" si="138"/>
        <v/>
      </c>
      <c r="AD456" s="40" t="str">
        <f t="shared" si="138"/>
        <v/>
      </c>
      <c r="AE456" s="40" t="str">
        <f t="shared" si="138"/>
        <v/>
      </c>
      <c r="AF456" s="40" t="str">
        <f t="shared" si="138"/>
        <v/>
      </c>
      <c r="AG456" s="40" t="str">
        <f t="shared" si="138"/>
        <v/>
      </c>
      <c r="AH456" s="40" t="str">
        <f t="shared" si="138"/>
        <v/>
      </c>
      <c r="AI456" s="40" t="str">
        <f t="shared" si="138"/>
        <v/>
      </c>
    </row>
    <row r="457" spans="1:35" x14ac:dyDescent="0.35">
      <c r="A457" s="1196"/>
      <c r="B457" s="22">
        <v>7</v>
      </c>
      <c r="C457" s="40" t="str">
        <f t="shared" ref="C457:AI457" si="139">IF(AND(COUNTIF(C440,"TRUE"),COUNTIF(C408,"a")),"BR",IF(COUNTIF(C408,"a"),"Prim",IF(COUNTIF(C408,"b"),"BU","")))</f>
        <v>Prim</v>
      </c>
      <c r="D457" s="40" t="str">
        <f t="shared" si="139"/>
        <v>Prim</v>
      </c>
      <c r="E457" s="40" t="str">
        <f t="shared" si="139"/>
        <v>Prim</v>
      </c>
      <c r="F457" s="40" t="str">
        <f t="shared" si="139"/>
        <v>Prim</v>
      </c>
      <c r="G457" s="40" t="str">
        <f t="shared" si="139"/>
        <v>Prim</v>
      </c>
      <c r="H457" s="40" t="str">
        <f t="shared" si="139"/>
        <v>Prim</v>
      </c>
      <c r="I457" s="40" t="str">
        <f t="shared" si="139"/>
        <v>Prim</v>
      </c>
      <c r="J457" s="40" t="str">
        <f t="shared" si="139"/>
        <v>Prim</v>
      </c>
      <c r="K457" s="40" t="str">
        <f t="shared" si="139"/>
        <v/>
      </c>
      <c r="L457" s="40" t="str">
        <f t="shared" si="139"/>
        <v>BU</v>
      </c>
      <c r="M457" s="40" t="str">
        <f t="shared" si="139"/>
        <v>BU</v>
      </c>
      <c r="N457" s="40" t="str">
        <f t="shared" si="139"/>
        <v>BU</v>
      </c>
      <c r="O457" s="40" t="str">
        <f t="shared" si="139"/>
        <v>BU</v>
      </c>
      <c r="P457" s="40" t="str">
        <f t="shared" si="139"/>
        <v/>
      </c>
      <c r="Q457" s="40" t="str">
        <f t="shared" si="139"/>
        <v/>
      </c>
      <c r="R457" s="40" t="str">
        <f t="shared" si="139"/>
        <v/>
      </c>
      <c r="S457" s="40" t="str">
        <f t="shared" si="139"/>
        <v/>
      </c>
      <c r="T457" s="40" t="str">
        <f t="shared" si="139"/>
        <v/>
      </c>
      <c r="U457" s="40" t="str">
        <f t="shared" si="139"/>
        <v/>
      </c>
      <c r="V457" s="40" t="str">
        <f t="shared" si="139"/>
        <v/>
      </c>
      <c r="W457" s="40" t="str">
        <f t="shared" si="139"/>
        <v/>
      </c>
      <c r="X457" s="40" t="str">
        <f t="shared" si="139"/>
        <v/>
      </c>
      <c r="Y457" s="40" t="str">
        <f t="shared" si="139"/>
        <v/>
      </c>
      <c r="Z457" s="40" t="str">
        <f t="shared" si="139"/>
        <v/>
      </c>
      <c r="AA457" s="40" t="str">
        <f t="shared" si="139"/>
        <v/>
      </c>
      <c r="AB457" s="40" t="str">
        <f t="shared" si="139"/>
        <v/>
      </c>
      <c r="AC457" s="40" t="str">
        <f t="shared" si="139"/>
        <v/>
      </c>
      <c r="AD457" s="40" t="str">
        <f t="shared" si="139"/>
        <v/>
      </c>
      <c r="AE457" s="40" t="str">
        <f t="shared" si="139"/>
        <v/>
      </c>
      <c r="AF457" s="40" t="str">
        <f t="shared" si="139"/>
        <v/>
      </c>
      <c r="AG457" s="40" t="str">
        <f t="shared" si="139"/>
        <v/>
      </c>
      <c r="AH457" s="40" t="str">
        <f t="shared" si="139"/>
        <v/>
      </c>
      <c r="AI457" s="40" t="str">
        <f t="shared" si="139"/>
        <v/>
      </c>
    </row>
    <row r="458" spans="1:35" x14ac:dyDescent="0.35">
      <c r="A458" s="1196"/>
      <c r="B458" s="22">
        <v>8</v>
      </c>
      <c r="C458" s="40" t="str">
        <f t="shared" ref="C458:AI458" si="140">IF(AND(COUNTIF(C441,"TRUE"),COUNTIF(C409,"a")),"BR",IF(COUNTIF(C409,"a"),"Prim",IF(COUNTIF(C409,"b"),"BU","")))</f>
        <v>Prim</v>
      </c>
      <c r="D458" s="40" t="str">
        <f t="shared" si="140"/>
        <v>Prim</v>
      </c>
      <c r="E458" s="40" t="str">
        <f t="shared" si="140"/>
        <v>Prim</v>
      </c>
      <c r="F458" s="40" t="str">
        <f t="shared" si="140"/>
        <v>Prim</v>
      </c>
      <c r="G458" s="40" t="str">
        <f t="shared" si="140"/>
        <v>Prim</v>
      </c>
      <c r="H458" s="40" t="str">
        <f t="shared" si="140"/>
        <v>Prim</v>
      </c>
      <c r="I458" s="40" t="str">
        <f t="shared" si="140"/>
        <v>Prim</v>
      </c>
      <c r="J458" s="40" t="str">
        <f t="shared" si="140"/>
        <v>Prim</v>
      </c>
      <c r="K458" s="40" t="str">
        <f t="shared" si="140"/>
        <v/>
      </c>
      <c r="L458" s="40" t="str">
        <f t="shared" si="140"/>
        <v>BU</v>
      </c>
      <c r="M458" s="40" t="str">
        <f t="shared" si="140"/>
        <v>BU</v>
      </c>
      <c r="N458" s="40" t="str">
        <f t="shared" si="140"/>
        <v>BU</v>
      </c>
      <c r="O458" s="40" t="str">
        <f t="shared" si="140"/>
        <v>BU</v>
      </c>
      <c r="P458" s="40" t="str">
        <f t="shared" si="140"/>
        <v/>
      </c>
      <c r="Q458" s="40" t="str">
        <f t="shared" si="140"/>
        <v/>
      </c>
      <c r="R458" s="40" t="str">
        <f t="shared" si="140"/>
        <v/>
      </c>
      <c r="S458" s="40" t="str">
        <f t="shared" si="140"/>
        <v/>
      </c>
      <c r="T458" s="40" t="str">
        <f t="shared" si="140"/>
        <v/>
      </c>
      <c r="U458" s="40" t="str">
        <f t="shared" si="140"/>
        <v/>
      </c>
      <c r="V458" s="40" t="str">
        <f t="shared" si="140"/>
        <v/>
      </c>
      <c r="W458" s="40" t="str">
        <f t="shared" si="140"/>
        <v/>
      </c>
      <c r="X458" s="40" t="str">
        <f t="shared" si="140"/>
        <v/>
      </c>
      <c r="Y458" s="40" t="str">
        <f t="shared" si="140"/>
        <v/>
      </c>
      <c r="Z458" s="40" t="str">
        <f t="shared" si="140"/>
        <v/>
      </c>
      <c r="AA458" s="40" t="str">
        <f t="shared" si="140"/>
        <v/>
      </c>
      <c r="AB458" s="40" t="str">
        <f t="shared" si="140"/>
        <v/>
      </c>
      <c r="AC458" s="40" t="str">
        <f t="shared" si="140"/>
        <v/>
      </c>
      <c r="AD458" s="40" t="str">
        <f t="shared" si="140"/>
        <v/>
      </c>
      <c r="AE458" s="40" t="str">
        <f t="shared" si="140"/>
        <v/>
      </c>
      <c r="AF458" s="40" t="str">
        <f t="shared" si="140"/>
        <v/>
      </c>
      <c r="AG458" s="40" t="str">
        <f t="shared" si="140"/>
        <v/>
      </c>
      <c r="AH458" s="40" t="str">
        <f t="shared" si="140"/>
        <v/>
      </c>
      <c r="AI458" s="40" t="str">
        <f t="shared" si="140"/>
        <v/>
      </c>
    </row>
    <row r="459" spans="1:35" x14ac:dyDescent="0.35">
      <c r="A459" s="1196"/>
      <c r="B459" s="22">
        <v>9</v>
      </c>
      <c r="C459" s="40" t="str">
        <f t="shared" ref="C459:AI459" si="141">IF(AND(COUNTIF(C442,"TRUE"),COUNTIF(C410,"a")),"BR",IF(COUNTIF(C410,"a"),"Prim",IF(COUNTIF(C410,"b"),"BU","")))</f>
        <v>Prim</v>
      </c>
      <c r="D459" s="40" t="str">
        <f t="shared" si="141"/>
        <v>Prim</v>
      </c>
      <c r="E459" s="40" t="str">
        <f t="shared" si="141"/>
        <v>Prim</v>
      </c>
      <c r="F459" s="40" t="str">
        <f t="shared" si="141"/>
        <v>Prim</v>
      </c>
      <c r="G459" s="40" t="str">
        <f t="shared" si="141"/>
        <v>Prim</v>
      </c>
      <c r="H459" s="40" t="str">
        <f t="shared" si="141"/>
        <v>Prim</v>
      </c>
      <c r="I459" s="40" t="str">
        <f t="shared" si="141"/>
        <v>Prim</v>
      </c>
      <c r="J459" s="40" t="str">
        <f t="shared" si="141"/>
        <v>Prim</v>
      </c>
      <c r="K459" s="40" t="str">
        <f t="shared" si="141"/>
        <v/>
      </c>
      <c r="L459" s="40" t="str">
        <f t="shared" si="141"/>
        <v>BU</v>
      </c>
      <c r="M459" s="40" t="str">
        <f t="shared" si="141"/>
        <v>BU</v>
      </c>
      <c r="N459" s="40" t="str">
        <f t="shared" si="141"/>
        <v>BU</v>
      </c>
      <c r="O459" s="40" t="str">
        <f t="shared" si="141"/>
        <v>BU</v>
      </c>
      <c r="P459" s="40" t="str">
        <f t="shared" si="141"/>
        <v/>
      </c>
      <c r="Q459" s="40" t="str">
        <f t="shared" si="141"/>
        <v/>
      </c>
      <c r="R459" s="40" t="str">
        <f t="shared" si="141"/>
        <v/>
      </c>
      <c r="S459" s="40" t="str">
        <f t="shared" si="141"/>
        <v/>
      </c>
      <c r="T459" s="40" t="str">
        <f t="shared" si="141"/>
        <v/>
      </c>
      <c r="U459" s="40" t="str">
        <f t="shared" si="141"/>
        <v/>
      </c>
      <c r="V459" s="40" t="str">
        <f t="shared" si="141"/>
        <v/>
      </c>
      <c r="W459" s="40" t="str">
        <f t="shared" si="141"/>
        <v/>
      </c>
      <c r="X459" s="40" t="str">
        <f t="shared" si="141"/>
        <v/>
      </c>
      <c r="Y459" s="40" t="str">
        <f t="shared" si="141"/>
        <v/>
      </c>
      <c r="Z459" s="40" t="str">
        <f t="shared" si="141"/>
        <v/>
      </c>
      <c r="AA459" s="40" t="str">
        <f t="shared" si="141"/>
        <v/>
      </c>
      <c r="AB459" s="40" t="str">
        <f t="shared" si="141"/>
        <v/>
      </c>
      <c r="AC459" s="40" t="str">
        <f t="shared" si="141"/>
        <v/>
      </c>
      <c r="AD459" s="40" t="str">
        <f t="shared" si="141"/>
        <v/>
      </c>
      <c r="AE459" s="40" t="str">
        <f t="shared" si="141"/>
        <v/>
      </c>
      <c r="AF459" s="40" t="str">
        <f t="shared" si="141"/>
        <v/>
      </c>
      <c r="AG459" s="40" t="str">
        <f t="shared" si="141"/>
        <v/>
      </c>
      <c r="AH459" s="40" t="str">
        <f t="shared" si="141"/>
        <v/>
      </c>
      <c r="AI459" s="40" t="str">
        <f t="shared" si="141"/>
        <v/>
      </c>
    </row>
    <row r="460" spans="1:35" x14ac:dyDescent="0.35">
      <c r="A460" s="1196"/>
      <c r="B460" s="22">
        <v>10</v>
      </c>
      <c r="C460" s="40" t="str">
        <f t="shared" ref="C460:AI460" si="142">IF(AND(COUNTIF(C443,"TRUE"),COUNTIF(C411,"a")),"BR",IF(COUNTIF(C411,"a"),"Prim",IF(COUNTIF(C411,"b"),"BU","")))</f>
        <v>Prim</v>
      </c>
      <c r="D460" s="40" t="str">
        <f t="shared" si="142"/>
        <v>Prim</v>
      </c>
      <c r="E460" s="40" t="str">
        <f t="shared" si="142"/>
        <v>Prim</v>
      </c>
      <c r="F460" s="40" t="str">
        <f t="shared" si="142"/>
        <v>Prim</v>
      </c>
      <c r="G460" s="40" t="str">
        <f t="shared" si="142"/>
        <v>Prim</v>
      </c>
      <c r="H460" s="40" t="str">
        <f t="shared" si="142"/>
        <v>Prim</v>
      </c>
      <c r="I460" s="40" t="str">
        <f t="shared" si="142"/>
        <v>Prim</v>
      </c>
      <c r="J460" s="40" t="str">
        <f t="shared" si="142"/>
        <v>Prim</v>
      </c>
      <c r="K460" s="40" t="str">
        <f t="shared" si="142"/>
        <v/>
      </c>
      <c r="L460" s="40" t="str">
        <f t="shared" si="142"/>
        <v>BU</v>
      </c>
      <c r="M460" s="40" t="str">
        <f t="shared" si="142"/>
        <v>BU</v>
      </c>
      <c r="N460" s="40" t="str">
        <f t="shared" si="142"/>
        <v>BU</v>
      </c>
      <c r="O460" s="40" t="str">
        <f t="shared" si="142"/>
        <v>BU</v>
      </c>
      <c r="P460" s="40" t="str">
        <f t="shared" si="142"/>
        <v/>
      </c>
      <c r="Q460" s="40" t="str">
        <f t="shared" si="142"/>
        <v/>
      </c>
      <c r="R460" s="40" t="str">
        <f t="shared" si="142"/>
        <v/>
      </c>
      <c r="S460" s="40" t="str">
        <f t="shared" si="142"/>
        <v/>
      </c>
      <c r="T460" s="40" t="str">
        <f t="shared" si="142"/>
        <v/>
      </c>
      <c r="U460" s="40" t="str">
        <f t="shared" si="142"/>
        <v/>
      </c>
      <c r="V460" s="40" t="str">
        <f t="shared" si="142"/>
        <v/>
      </c>
      <c r="W460" s="40" t="str">
        <f t="shared" si="142"/>
        <v/>
      </c>
      <c r="X460" s="40" t="str">
        <f t="shared" si="142"/>
        <v/>
      </c>
      <c r="Y460" s="40" t="str">
        <f t="shared" si="142"/>
        <v/>
      </c>
      <c r="Z460" s="40" t="str">
        <f t="shared" si="142"/>
        <v/>
      </c>
      <c r="AA460" s="40" t="str">
        <f t="shared" si="142"/>
        <v/>
      </c>
      <c r="AB460" s="40" t="str">
        <f t="shared" si="142"/>
        <v/>
      </c>
      <c r="AC460" s="40" t="str">
        <f t="shared" si="142"/>
        <v/>
      </c>
      <c r="AD460" s="40" t="str">
        <f t="shared" si="142"/>
        <v/>
      </c>
      <c r="AE460" s="40" t="str">
        <f t="shared" si="142"/>
        <v/>
      </c>
      <c r="AF460" s="40" t="str">
        <f t="shared" si="142"/>
        <v/>
      </c>
      <c r="AG460" s="40" t="str">
        <f t="shared" si="142"/>
        <v/>
      </c>
      <c r="AH460" s="40" t="str">
        <f t="shared" si="142"/>
        <v/>
      </c>
      <c r="AI460" s="40" t="str">
        <f t="shared" si="142"/>
        <v/>
      </c>
    </row>
    <row r="461" spans="1:35" x14ac:dyDescent="0.35">
      <c r="A461" s="1196"/>
      <c r="B461" s="22">
        <v>11</v>
      </c>
      <c r="C461" s="40" t="str">
        <f t="shared" ref="C461:AI461" si="143">IF(AND(COUNTIF(C444,"TRUE"),COUNTIF(C412,"a")),"BR",IF(COUNTIF(C412,"a"),"Prim",IF(COUNTIF(C412,"b"),"BU","")))</f>
        <v>Prim</v>
      </c>
      <c r="D461" s="40" t="str">
        <f t="shared" si="143"/>
        <v>Prim</v>
      </c>
      <c r="E461" s="40" t="str">
        <f t="shared" si="143"/>
        <v>Prim</v>
      </c>
      <c r="F461" s="40" t="str">
        <f t="shared" si="143"/>
        <v>Prim</v>
      </c>
      <c r="G461" s="40" t="str">
        <f t="shared" si="143"/>
        <v>Prim</v>
      </c>
      <c r="H461" s="40" t="str">
        <f t="shared" si="143"/>
        <v>Prim</v>
      </c>
      <c r="I461" s="40" t="str">
        <f t="shared" si="143"/>
        <v>Prim</v>
      </c>
      <c r="J461" s="40" t="str">
        <f t="shared" si="143"/>
        <v>Prim</v>
      </c>
      <c r="K461" s="40" t="str">
        <f t="shared" si="143"/>
        <v/>
      </c>
      <c r="L461" s="40" t="str">
        <f t="shared" si="143"/>
        <v>BU</v>
      </c>
      <c r="M461" s="40" t="str">
        <f t="shared" si="143"/>
        <v>BU</v>
      </c>
      <c r="N461" s="40" t="str">
        <f t="shared" si="143"/>
        <v>BU</v>
      </c>
      <c r="O461" s="40" t="str">
        <f t="shared" si="143"/>
        <v>BU</v>
      </c>
      <c r="P461" s="40" t="str">
        <f t="shared" si="143"/>
        <v/>
      </c>
      <c r="Q461" s="40" t="str">
        <f t="shared" si="143"/>
        <v/>
      </c>
      <c r="R461" s="40" t="str">
        <f t="shared" si="143"/>
        <v/>
      </c>
      <c r="S461" s="40" t="str">
        <f t="shared" si="143"/>
        <v/>
      </c>
      <c r="T461" s="40" t="str">
        <f t="shared" si="143"/>
        <v/>
      </c>
      <c r="U461" s="40" t="str">
        <f t="shared" si="143"/>
        <v/>
      </c>
      <c r="V461" s="40" t="str">
        <f t="shared" si="143"/>
        <v/>
      </c>
      <c r="W461" s="40" t="str">
        <f t="shared" si="143"/>
        <v/>
      </c>
      <c r="X461" s="40" t="str">
        <f t="shared" si="143"/>
        <v/>
      </c>
      <c r="Y461" s="40" t="str">
        <f t="shared" si="143"/>
        <v/>
      </c>
      <c r="Z461" s="40" t="str">
        <f t="shared" si="143"/>
        <v/>
      </c>
      <c r="AA461" s="40" t="str">
        <f t="shared" si="143"/>
        <v/>
      </c>
      <c r="AB461" s="40" t="str">
        <f t="shared" si="143"/>
        <v/>
      </c>
      <c r="AC461" s="40" t="str">
        <f t="shared" si="143"/>
        <v/>
      </c>
      <c r="AD461" s="40" t="str">
        <f t="shared" si="143"/>
        <v/>
      </c>
      <c r="AE461" s="40" t="str">
        <f t="shared" si="143"/>
        <v/>
      </c>
      <c r="AF461" s="40" t="str">
        <f t="shared" si="143"/>
        <v/>
      </c>
      <c r="AG461" s="40" t="str">
        <f t="shared" si="143"/>
        <v/>
      </c>
      <c r="AH461" s="40" t="str">
        <f t="shared" si="143"/>
        <v/>
      </c>
      <c r="AI461" s="40" t="str">
        <f t="shared" si="143"/>
        <v/>
      </c>
    </row>
    <row r="462" spans="1:35" ht="15" thickBot="1" x14ac:dyDescent="0.4">
      <c r="A462" s="1197"/>
      <c r="B462" s="23">
        <v>12</v>
      </c>
      <c r="C462" s="40" t="str">
        <f t="shared" ref="C462:AI462" si="144">IF(AND(COUNTIF(C445,"TRUE"),COUNTIF(C413,"a")),"BR",IF(COUNTIF(C413,"a"),"Prim",IF(COUNTIF(C413,"b"),"BU","")))</f>
        <v>Prim</v>
      </c>
      <c r="D462" s="40" t="str">
        <f t="shared" si="144"/>
        <v>Prim</v>
      </c>
      <c r="E462" s="40" t="str">
        <f t="shared" si="144"/>
        <v>Prim</v>
      </c>
      <c r="F462" s="40" t="str">
        <f t="shared" si="144"/>
        <v>Prim</v>
      </c>
      <c r="G462" s="40" t="str">
        <f t="shared" si="144"/>
        <v>Prim</v>
      </c>
      <c r="H462" s="40" t="str">
        <f t="shared" si="144"/>
        <v>Prim</v>
      </c>
      <c r="I462" s="40" t="str">
        <f t="shared" si="144"/>
        <v>Prim</v>
      </c>
      <c r="J462" s="40" t="str">
        <f t="shared" si="144"/>
        <v>Prim</v>
      </c>
      <c r="K462" s="40" t="str">
        <f t="shared" si="144"/>
        <v/>
      </c>
      <c r="L462" s="40" t="str">
        <f t="shared" si="144"/>
        <v>BU</v>
      </c>
      <c r="M462" s="40" t="str">
        <f t="shared" si="144"/>
        <v>BU</v>
      </c>
      <c r="N462" s="40" t="str">
        <f t="shared" si="144"/>
        <v>BU</v>
      </c>
      <c r="O462" s="40" t="str">
        <f t="shared" si="144"/>
        <v>BU</v>
      </c>
      <c r="P462" s="40" t="str">
        <f t="shared" si="144"/>
        <v/>
      </c>
      <c r="Q462" s="40" t="str">
        <f t="shared" si="144"/>
        <v/>
      </c>
      <c r="R462" s="40" t="str">
        <f t="shared" si="144"/>
        <v/>
      </c>
      <c r="S462" s="40" t="str">
        <f t="shared" si="144"/>
        <v/>
      </c>
      <c r="T462" s="40" t="str">
        <f t="shared" si="144"/>
        <v/>
      </c>
      <c r="U462" s="40" t="str">
        <f t="shared" si="144"/>
        <v/>
      </c>
      <c r="V462" s="40" t="str">
        <f t="shared" si="144"/>
        <v/>
      </c>
      <c r="W462" s="40" t="str">
        <f t="shared" si="144"/>
        <v/>
      </c>
      <c r="X462" s="40" t="str">
        <f t="shared" si="144"/>
        <v/>
      </c>
      <c r="Y462" s="40" t="str">
        <f t="shared" si="144"/>
        <v/>
      </c>
      <c r="Z462" s="40" t="str">
        <f t="shared" si="144"/>
        <v/>
      </c>
      <c r="AA462" s="40" t="str">
        <f t="shared" si="144"/>
        <v/>
      </c>
      <c r="AB462" s="40" t="str">
        <f t="shared" si="144"/>
        <v/>
      </c>
      <c r="AC462" s="40" t="str">
        <f t="shared" si="144"/>
        <v/>
      </c>
      <c r="AD462" s="40" t="str">
        <f t="shared" si="144"/>
        <v/>
      </c>
      <c r="AE462" s="40" t="str">
        <f t="shared" si="144"/>
        <v/>
      </c>
      <c r="AF462" s="40" t="str">
        <f t="shared" si="144"/>
        <v/>
      </c>
      <c r="AG462" s="40" t="str">
        <f t="shared" si="144"/>
        <v/>
      </c>
      <c r="AH462" s="40" t="str">
        <f t="shared" si="144"/>
        <v/>
      </c>
      <c r="AI462" s="40" t="str">
        <f t="shared" si="144"/>
        <v/>
      </c>
    </row>
    <row r="465" spans="1:43" ht="15" thickBot="1" x14ac:dyDescent="0.4"/>
    <row r="466" spans="1:43" ht="15" thickBot="1" x14ac:dyDescent="0.4">
      <c r="A466" s="1202"/>
      <c r="B466" s="1203"/>
      <c r="C466" s="1207" t="s">
        <v>17</v>
      </c>
      <c r="D466" s="1207"/>
      <c r="E466" s="1207"/>
      <c r="F466" s="1207"/>
      <c r="G466" s="1207"/>
      <c r="H466" s="1207"/>
      <c r="I466" s="1207"/>
      <c r="J466" s="1207"/>
      <c r="K466" s="1207"/>
      <c r="L466" s="1207"/>
      <c r="M466" s="1207"/>
      <c r="N466" s="1207"/>
      <c r="O466" s="1207"/>
      <c r="P466" s="1207"/>
      <c r="Q466" s="1207"/>
      <c r="R466" s="1207"/>
      <c r="S466" s="1207"/>
      <c r="T466" s="1207"/>
      <c r="U466" s="1207"/>
      <c r="V466" s="1208"/>
      <c r="W466" s="6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8"/>
    </row>
    <row r="467" spans="1:43" ht="15" thickBot="1" x14ac:dyDescent="0.4">
      <c r="A467" s="1204"/>
      <c r="B467" s="1205"/>
      <c r="C467" s="16">
        <v>1</v>
      </c>
      <c r="D467" s="17">
        <v>2</v>
      </c>
      <c r="E467" s="17">
        <v>3</v>
      </c>
      <c r="F467" s="17">
        <v>4</v>
      </c>
      <c r="G467" s="17">
        <v>5</v>
      </c>
      <c r="H467" s="17">
        <v>6</v>
      </c>
      <c r="I467" s="17">
        <v>7</v>
      </c>
      <c r="J467" s="17">
        <v>8</v>
      </c>
      <c r="K467" s="17">
        <v>9</v>
      </c>
      <c r="L467" s="17">
        <v>10</v>
      </c>
      <c r="M467" s="17">
        <v>11</v>
      </c>
      <c r="N467" s="17">
        <v>12</v>
      </c>
      <c r="O467" s="17">
        <v>13</v>
      </c>
      <c r="P467" s="17">
        <v>14</v>
      </c>
      <c r="Q467" s="17">
        <v>15</v>
      </c>
      <c r="R467" s="17">
        <v>16</v>
      </c>
      <c r="S467" s="17">
        <v>17</v>
      </c>
      <c r="T467" s="17">
        <v>18</v>
      </c>
      <c r="U467" s="17">
        <v>19</v>
      </c>
      <c r="V467" s="18">
        <v>20</v>
      </c>
      <c r="W467" s="17">
        <v>21</v>
      </c>
      <c r="X467" s="18">
        <v>22</v>
      </c>
      <c r="Y467" s="17">
        <v>23</v>
      </c>
      <c r="Z467" s="18">
        <v>24</v>
      </c>
      <c r="AA467" s="17">
        <v>25</v>
      </c>
      <c r="AB467" s="18">
        <v>26</v>
      </c>
      <c r="AC467" s="17">
        <v>27</v>
      </c>
      <c r="AD467" s="18">
        <v>28</v>
      </c>
      <c r="AE467" s="17">
        <v>29</v>
      </c>
      <c r="AF467" s="18">
        <v>30</v>
      </c>
      <c r="AG467" s="17">
        <v>31</v>
      </c>
      <c r="AH467" s="18">
        <v>32</v>
      </c>
      <c r="AI467" s="17">
        <v>33</v>
      </c>
      <c r="AK467" s="939" t="s">
        <v>1953</v>
      </c>
      <c r="AL467" s="935" t="s">
        <v>1954</v>
      </c>
      <c r="AM467" s="935" t="s">
        <v>1955</v>
      </c>
      <c r="AN467" s="935" t="s">
        <v>1956</v>
      </c>
      <c r="AO467" s="935" t="s">
        <v>1957</v>
      </c>
      <c r="AP467" s="936" t="s">
        <v>1958</v>
      </c>
      <c r="AQ467" s="13" t="s">
        <v>21</v>
      </c>
    </row>
    <row r="468" spans="1:43" ht="15" thickBot="1" x14ac:dyDescent="0.4">
      <c r="A468" s="1196" t="s">
        <v>18</v>
      </c>
      <c r="B468" s="21">
        <v>1</v>
      </c>
      <c r="C468" s="40" t="str">
        <f>IF(COUNTIFS(C451,"Prim",'Eval-LSTK (2)'!C12,"*X*"),"XPRIM",IF(COUNTIFS(C451,"Prim",'Eval-LSTK (2)'!C12,"*R*"),"RPRIM",      IF(COUNTIFS(C451,"BU",'Eval-LSTK (2)'!C12,"*X*"),"XBU",IF(COUNTIFS(C451,"BU",'Eval-LSTK (2)'!C12,"*R*"),"RBU",    IF(COUNTIFS(C451,"BR",'Eval-LSTK (2)'!C12,"*X*"),"XBR",IF(COUNTIFS(C451,"BR",'Eval-LSTK (2)'!C12,"*R*"),"RBR")  )   ))))</f>
        <v>RPRIM</v>
      </c>
      <c r="D468" s="40" t="str">
        <f>IF(COUNTIFS(D451,"Prim",'Eval-LSTK (2)'!D12,"*X*"),"XPRIM",IF(COUNTIFS(D451,"Prim",'Eval-LSTK (2)'!D12,"*R*"),"RPRIM",      IF(COUNTIFS(D451,"BU",'Eval-LSTK (2)'!D12,"*X*"),"XBU",IF(COUNTIFS(D451,"BU",'Eval-LSTK (2)'!D12,"*R*"),"RBU",    IF(COUNTIFS(D451,"BR",'Eval-LSTK (2)'!D12,"*X*"),"XBR",IF(COUNTIFS(D451,"BR",'Eval-LSTK (2)'!D12,"*R*"),"RBR")  )   ))))</f>
        <v>RPRIM</v>
      </c>
      <c r="E468" s="40" t="str">
        <f>IF(COUNTIFS(E451,"Prim",'Eval-LSTK (2)'!E12,"*X*"),"XPRIM",IF(COUNTIFS(E451,"Prim",'Eval-LSTK (2)'!E12,"*R*"),"RPRIM",      IF(COUNTIFS(E451,"BU",'Eval-LSTK (2)'!E12,"*X*"),"XBU",IF(COUNTIFS(E451,"BU",'Eval-LSTK (2)'!E12,"*R*"),"RBU",    IF(COUNTIFS(E451,"BR",'Eval-LSTK (2)'!E12,"*X*"),"XBR",IF(COUNTIFS(E451,"BR",'Eval-LSTK (2)'!E12,"*R*"),"RBR")  )   ))))</f>
        <v>XPRIM</v>
      </c>
      <c r="F468" s="40" t="str">
        <f>IF(COUNTIFS(F451,"Prim",'Eval-LSTK (2)'!F12,"*X*"),"XPRIM",IF(COUNTIFS(F451,"Prim",'Eval-LSTK (2)'!F12,"*R*"),"RPRIM",      IF(COUNTIFS(F451,"BU",'Eval-LSTK (2)'!F12,"*X*"),"XBU",IF(COUNTIFS(F451,"BU",'Eval-LSTK (2)'!F12,"*R*"),"RBU",    IF(COUNTIFS(F451,"BR",'Eval-LSTK (2)'!F12,"*X*"),"XBR",IF(COUNTIFS(F451,"BR",'Eval-LSTK (2)'!F12,"*R*"),"RBR")  )   ))))</f>
        <v>XPRIM</v>
      </c>
      <c r="G468" s="40" t="str">
        <f>IF(COUNTIFS(G451,"Prim",'Eval-LSTK (2)'!G12,"*X*"),"XPRIM",IF(COUNTIFS(G451,"Prim",'Eval-LSTK (2)'!G12,"*R*"),"RPRIM",      IF(COUNTIFS(G451,"BU",'Eval-LSTK (2)'!G12,"*X*"),"XBU",IF(COUNTIFS(G451,"BU",'Eval-LSTK (2)'!G12,"*R*"),"RBU",    IF(COUNTIFS(G451,"BR",'Eval-LSTK (2)'!G12,"*X*"),"XBR",IF(COUNTIFS(G451,"BR",'Eval-LSTK (2)'!G12,"*R*"),"RBR")  )   ))))</f>
        <v>XPRIM</v>
      </c>
      <c r="H468" s="40" t="str">
        <f>IF(COUNTIFS(H451,"Prim",'Eval-LSTK (2)'!H12,"*X*"),"XPRIM",IF(COUNTIFS(H451,"Prim",'Eval-LSTK (2)'!H12,"*R*"),"RPRIM",      IF(COUNTIFS(H451,"BU",'Eval-LSTK (2)'!H12,"*X*"),"XBU",IF(COUNTIFS(H451,"BU",'Eval-LSTK (2)'!H12,"*R*"),"RBU",    IF(COUNTIFS(H451,"BR",'Eval-LSTK (2)'!H12,"*X*"),"XBR",IF(COUNTIFS(H451,"BR",'Eval-LSTK (2)'!H12,"*R*"),"RBR")  )   ))))</f>
        <v>XPRIM</v>
      </c>
      <c r="I468" s="40" t="str">
        <f>IF(COUNTIFS(I451,"Prim",'Eval-LSTK (2)'!I12,"*X*"),"XPRIM",IF(COUNTIFS(I451,"Prim",'Eval-LSTK (2)'!I12,"*R*"),"RPRIM",      IF(COUNTIFS(I451,"BU",'Eval-LSTK (2)'!I12,"*X*"),"XBU",IF(COUNTIFS(I451,"BU",'Eval-LSTK (2)'!I12,"*R*"),"RBU",    IF(COUNTIFS(I451,"BR",'Eval-LSTK (2)'!I12,"*X*"),"XBR",IF(COUNTIFS(I451,"BR",'Eval-LSTK (2)'!I12,"*R*"),"RBR")  )   ))))</f>
        <v>RPRIM</v>
      </c>
      <c r="J468" s="40" t="str">
        <f>IF(COUNTIFS(J451,"Prim",'Eval-LSTK (2)'!J12,"*X*"),"XPRIM",IF(COUNTIFS(J451,"Prim",'Eval-LSTK (2)'!J12,"*R*"),"RPRIM",      IF(COUNTIFS(J451,"BU",'Eval-LSTK (2)'!J12,"*X*"),"XBU",IF(COUNTIFS(J451,"BU",'Eval-LSTK (2)'!J12,"*R*"),"RBU",    IF(COUNTIFS(J451,"BR",'Eval-LSTK (2)'!J12,"*X*"),"XBR",IF(COUNTIFS(J451,"BR",'Eval-LSTK (2)'!J12,"*R*"),"RBR")  )   ))))</f>
        <v>XBR</v>
      </c>
      <c r="K468" s="40" t="b">
        <f>IF(COUNTIFS(K451,"Prim",'Eval-LSTK (2)'!K12,"*X*"),"XPRIM",IF(COUNTIFS(K451,"Prim",'Eval-LSTK (2)'!K12,"*R*"),"RPRIM",      IF(COUNTIFS(K451,"BU",'Eval-LSTK (2)'!K12,"*X*"),"XBU",IF(COUNTIFS(K451,"BU",'Eval-LSTK (2)'!K12,"*R*"),"RBU",    IF(COUNTIFS(K451,"BR",'Eval-LSTK (2)'!K12,"*X*"),"XBR",IF(COUNTIFS(K451,"BR",'Eval-LSTK (2)'!K12,"*R*"),"RBR")  )   ))))</f>
        <v>0</v>
      </c>
      <c r="L468" s="40" t="b">
        <f>IF(COUNTIFS(L451,"Prim",'Eval-LSTK (2)'!L12,"*X*"),"XPRIM",IF(COUNTIFS(L451,"Prim",'Eval-LSTK (2)'!L12,"*R*"),"RPRIM",      IF(COUNTIFS(L451,"BU",'Eval-LSTK (2)'!L12,"*X*"),"XBU",IF(COUNTIFS(L451,"BU",'Eval-LSTK (2)'!L12,"*R*"),"RBU",    IF(COUNTIFS(L451,"BR",'Eval-LSTK (2)'!L12,"*X*"),"XBR",IF(COUNTIFS(L451,"BR",'Eval-LSTK (2)'!L12,"*R*"),"RBR")  )   ))))</f>
        <v>0</v>
      </c>
      <c r="M468" s="40" t="str">
        <f>IF(COUNTIFS(M451,"Prim",'Eval-LSTK (2)'!M12,"*X*"),"XPRIM",IF(COUNTIFS(M451,"Prim",'Eval-LSTK (2)'!M12,"*R*"),"RPRIM",      IF(COUNTIFS(M451,"BU",'Eval-LSTK (2)'!M12,"*X*"),"XBU",IF(COUNTIFS(M451,"BU",'Eval-LSTK (2)'!M12,"*R*"),"RBU",    IF(COUNTIFS(M451,"BR",'Eval-LSTK (2)'!M12,"*X*"),"XBR",IF(COUNTIFS(M451,"BR",'Eval-LSTK (2)'!M12,"*R*"),"RBR")  )   ))))</f>
        <v>XBU</v>
      </c>
      <c r="N468" s="40" t="str">
        <f>IF(COUNTIFS(N451,"Prim",'Eval-LSTK (2)'!N12,"*X*"),"XPRIM",IF(COUNTIFS(N451,"Prim",'Eval-LSTK (2)'!N12,"*R*"),"RPRIM",      IF(COUNTIFS(N451,"BU",'Eval-LSTK (2)'!N12,"*X*"),"XBU",IF(COUNTIFS(N451,"BU",'Eval-LSTK (2)'!N12,"*R*"),"RBU",    IF(COUNTIFS(N451,"BR",'Eval-LSTK (2)'!N12,"*X*"),"XBR",IF(COUNTIFS(N451,"BR",'Eval-LSTK (2)'!N12,"*R*"),"RBR")  )   ))))</f>
        <v>XBU</v>
      </c>
      <c r="O468" s="40" t="str">
        <f>IF(COUNTIFS(O451,"Prim",'Eval-LSTK (2)'!O12,"*X*"),"XPRIM",IF(COUNTIFS(O451,"Prim",'Eval-LSTK (2)'!O12,"*R*"),"RPRIM",      IF(COUNTIFS(O451,"BU",'Eval-LSTK (2)'!O12,"*X*"),"XBU",IF(COUNTIFS(O451,"BU",'Eval-LSTK (2)'!O12,"*R*"),"RBU",    IF(COUNTIFS(O451,"BR",'Eval-LSTK (2)'!O12,"*X*"),"XBR",IF(COUNTIFS(O451,"BR",'Eval-LSTK (2)'!O12,"*R*"),"RBR")  )   ))))</f>
        <v>RBU</v>
      </c>
      <c r="P468" s="40" t="b">
        <f>IF(COUNTIFS(P451,"Prim",'Eval-LSTK (2)'!P12,"*X*"),"XPRIM",IF(COUNTIFS(P451,"Prim",'Eval-LSTK (2)'!P12,"*R*"),"RPRIM",      IF(COUNTIFS(P451,"BU",'Eval-LSTK (2)'!P12,"*X*"),"XBU",IF(COUNTIFS(P451,"BU",'Eval-LSTK (2)'!P12,"*R*"),"RBU",    IF(COUNTIFS(P451,"BR",'Eval-LSTK (2)'!P12,"*X*"),"XBR",IF(COUNTIFS(P451,"BR",'Eval-LSTK (2)'!P12,"*R*"),"RBR")  )   ))))</f>
        <v>0</v>
      </c>
      <c r="Q468" s="40" t="b">
        <f>IF(COUNTIFS(Q451,"Prim",'Eval-LSTK (2)'!Q12,"*X*"),"XPRIM",IF(COUNTIFS(Q451,"Prim",'Eval-LSTK (2)'!Q12,"*R*"),"RPRIM",      IF(COUNTIFS(Q451,"BU",'Eval-LSTK (2)'!Q12,"*X*"),"XBU",IF(COUNTIFS(Q451,"BU",'Eval-LSTK (2)'!Q12,"*R*"),"RBU",    IF(COUNTIFS(Q451,"BR",'Eval-LSTK (2)'!Q12,"*X*"),"XBR",IF(COUNTIFS(Q451,"BR",'Eval-LSTK (2)'!Q12,"*R*"),"RBR")  )   ))))</f>
        <v>0</v>
      </c>
      <c r="R468" s="40" t="b">
        <f>IF(COUNTIFS(R451,"Prim",'Eval-LSTK (2)'!R12,"*X*"),"XPRIM",IF(COUNTIFS(R451,"Prim",'Eval-LSTK (2)'!R12,"*R*"),"RPRIM",      IF(COUNTIFS(R451,"BU",'Eval-LSTK (2)'!R12,"*X*"),"XBU",IF(COUNTIFS(R451,"BU",'Eval-LSTK (2)'!R12,"*R*"),"RBU",    IF(COUNTIFS(R451,"BR",'Eval-LSTK (2)'!R12,"*X*"),"XBR",IF(COUNTIFS(R451,"BR",'Eval-LSTK (2)'!R12,"*R*"),"RBR")  )   ))))</f>
        <v>0</v>
      </c>
      <c r="S468" s="40" t="b">
        <f>IF(COUNTIFS(S451,"Prim",'Eval-LSTK (2)'!S12,"*X*"),"XPRIM",IF(COUNTIFS(S451,"Prim",'Eval-LSTK (2)'!S12,"*R*"),"RPRIM",      IF(COUNTIFS(S451,"BU",'Eval-LSTK (2)'!S12,"*X*"),"XBU",IF(COUNTIFS(S451,"BU",'Eval-LSTK (2)'!S12,"*R*"),"RBU",    IF(COUNTIFS(S451,"BR",'Eval-LSTK (2)'!S12,"*X*"),"XBR",IF(COUNTIFS(S451,"BR",'Eval-LSTK (2)'!S12,"*R*"),"RBR")  )   ))))</f>
        <v>0</v>
      </c>
      <c r="T468" s="40" t="b">
        <f>IF(COUNTIFS(T451,"Prim",'Eval-LSTK (2)'!T12,"*X*"),"XPRIM",IF(COUNTIFS(T451,"Prim",'Eval-LSTK (2)'!T12,"*R*"),"RPRIM",      IF(COUNTIFS(T451,"BU",'Eval-LSTK (2)'!T12,"*X*"),"XBU",IF(COUNTIFS(T451,"BU",'Eval-LSTK (2)'!T12,"*R*"),"RBU",    IF(COUNTIFS(T451,"BR",'Eval-LSTK (2)'!T12,"*X*"),"XBR",IF(COUNTIFS(T451,"BR",'Eval-LSTK (2)'!T12,"*R*"),"RBR")  )   ))))</f>
        <v>0</v>
      </c>
      <c r="U468" s="40" t="b">
        <f>IF(COUNTIFS(U451,"Prim",'Eval-LSTK (2)'!U12,"*X*"),"XPRIM",IF(COUNTIFS(U451,"Prim",'Eval-LSTK (2)'!U12,"*R*"),"RPRIM",      IF(COUNTIFS(U451,"BU",'Eval-LSTK (2)'!U12,"*X*"),"XBU",IF(COUNTIFS(U451,"BU",'Eval-LSTK (2)'!U12,"*R*"),"RBU",    IF(COUNTIFS(U451,"BR",'Eval-LSTK (2)'!U12,"*X*"),"XBR",IF(COUNTIFS(U451,"BR",'Eval-LSTK (2)'!U12,"*R*"),"RBR")  )   ))))</f>
        <v>0</v>
      </c>
      <c r="V468" s="40" t="b">
        <f>IF(COUNTIFS(V451,"Prim",'Eval-LSTK (2)'!V12,"*X*"),"XPRIM",IF(COUNTIFS(V451,"Prim",'Eval-LSTK (2)'!V12,"*R*"),"RPRIM",      IF(COUNTIFS(V451,"BU",'Eval-LSTK (2)'!V12,"*X*"),"XBU",IF(COUNTIFS(V451,"BU",'Eval-LSTK (2)'!V12,"*R*"),"RBU",    IF(COUNTIFS(V451,"BR",'Eval-LSTK (2)'!V12,"*X*"),"XBR",IF(COUNTIFS(V451,"BR",'Eval-LSTK (2)'!V12,"*R*"),"RBR")  )   ))))</f>
        <v>0</v>
      </c>
      <c r="W468" s="40" t="b">
        <f>IF(COUNTIFS(W451,"Prim",'Eval-LSTK (2)'!W12,"*X*"),"XPRIM",IF(COUNTIFS(W451,"Prim",'Eval-LSTK (2)'!W12,"*R*"),"RPRIM",      IF(COUNTIFS(W451,"BU",'Eval-LSTK (2)'!W12,"*X*"),"XBU",IF(COUNTIFS(W451,"BU",'Eval-LSTK (2)'!W12,"*R*"),"RBU",    IF(COUNTIFS(W451,"BR",'Eval-LSTK (2)'!W12,"*X*"),"XBR",IF(COUNTIFS(W451,"BR",'Eval-LSTK (2)'!W12,"*R*"),"RBR")  )   ))))</f>
        <v>0</v>
      </c>
      <c r="X468" s="40" t="b">
        <f>IF(COUNTIFS(X451,"Prim",'Eval-LSTK (2)'!X12,"*X*"),"XPRIM",IF(COUNTIFS(X451,"Prim",'Eval-LSTK (2)'!X12,"*R*"),"RPRIM",      IF(COUNTIFS(X451,"BU",'Eval-LSTK (2)'!X12,"*X*"),"XBU",IF(COUNTIFS(X451,"BU",'Eval-LSTK (2)'!X12,"*R*"),"RBU",    IF(COUNTIFS(X451,"BR",'Eval-LSTK (2)'!X12,"*X*"),"XBR",IF(COUNTIFS(X451,"BR",'Eval-LSTK (2)'!X12,"*R*"),"RBR")  )   ))))</f>
        <v>0</v>
      </c>
      <c r="Y468" s="40" t="b">
        <f>IF(COUNTIFS(Y451,"Prim",'Eval-LSTK (2)'!Y12,"*X*"),"XPRIM",IF(COUNTIFS(Y451,"Prim",'Eval-LSTK (2)'!Y12,"*R*"),"RPRIM",      IF(COUNTIFS(Y451,"BU",'Eval-LSTK (2)'!Y12,"*X*"),"XBU",IF(COUNTIFS(Y451,"BU",'Eval-LSTK (2)'!Y12,"*R*"),"RBU",    IF(COUNTIFS(Y451,"BR",'Eval-LSTK (2)'!Y12,"*X*"),"XBR",IF(COUNTIFS(Y451,"BR",'Eval-LSTK (2)'!Y12,"*R*"),"RBR")  )   ))))</f>
        <v>0</v>
      </c>
      <c r="Z468" s="40" t="b">
        <f>IF(COUNTIFS(Z451,"Prim",'Eval-LSTK (2)'!Z12,"*X*"),"XPRIM",IF(COUNTIFS(Z451,"Prim",'Eval-LSTK (2)'!Z12,"*R*"),"RPRIM",      IF(COUNTIFS(Z451,"BU",'Eval-LSTK (2)'!Z12,"*X*"),"XBU",IF(COUNTIFS(Z451,"BU",'Eval-LSTK (2)'!Z12,"*R*"),"RBU",    IF(COUNTIFS(Z451,"BR",'Eval-LSTK (2)'!Z12,"*X*"),"XBR",IF(COUNTIFS(Z451,"BR",'Eval-LSTK (2)'!Z12,"*R*"),"RBR")  )   ))))</f>
        <v>0</v>
      </c>
      <c r="AA468" s="40" t="b">
        <f>IF(COUNTIFS(AA451,"Prim",'Eval-LSTK (2)'!AA12,"*X*"),"XPRIM",IF(COUNTIFS(AA451,"Prim",'Eval-LSTK (2)'!AA12,"*R*"),"RPRIM",      IF(COUNTIFS(AA451,"BU",'Eval-LSTK (2)'!AA12,"*X*"),"XBU",IF(COUNTIFS(AA451,"BU",'Eval-LSTK (2)'!AA12,"*R*"),"RBU",    IF(COUNTIFS(AA451,"BR",'Eval-LSTK (2)'!AA12,"*X*"),"XBR",IF(COUNTIFS(AA451,"BR",'Eval-LSTK (2)'!AA12,"*R*"),"RBR")  )   ))))</f>
        <v>0</v>
      </c>
      <c r="AB468" s="40" t="b">
        <f>IF(COUNTIFS(AB451,"Prim",'Eval-LSTK (2)'!AB12,"*X*"),"XPRIM",IF(COUNTIFS(AB451,"Prim",'Eval-LSTK (2)'!AB12,"*R*"),"RPRIM",      IF(COUNTIFS(AB451,"BU",'Eval-LSTK (2)'!AB12,"*X*"),"XBU",IF(COUNTIFS(AB451,"BU",'Eval-LSTK (2)'!AB12,"*R*"),"RBU",    IF(COUNTIFS(AB451,"BR",'Eval-LSTK (2)'!AB12,"*X*"),"XBR",IF(COUNTIFS(AB451,"BR",'Eval-LSTK (2)'!AB12,"*R*"),"RBR")  )   ))))</f>
        <v>0</v>
      </c>
      <c r="AC468" s="40" t="b">
        <f>IF(COUNTIFS(AC451,"Prim",'Eval-LSTK (2)'!AC12,"*X*"),"XPRIM",IF(COUNTIFS(AC451,"Prim",'Eval-LSTK (2)'!AC12,"*R*"),"RPRIM",      IF(COUNTIFS(AC451,"BU",'Eval-LSTK (2)'!AC12,"*X*"),"XBU",IF(COUNTIFS(AC451,"BU",'Eval-LSTK (2)'!AC12,"*R*"),"RBU",    IF(COUNTIFS(AC451,"BR",'Eval-LSTK (2)'!AC12,"*X*"),"XBR",IF(COUNTIFS(AC451,"BR",'Eval-LSTK (2)'!AC12,"*R*"),"RBR")  )   ))))</f>
        <v>0</v>
      </c>
      <c r="AD468" s="40" t="b">
        <f>IF(COUNTIFS(AD451,"Prim",'Eval-LSTK (2)'!AD12,"*X*"),"XPRIM",IF(COUNTIFS(AD451,"Prim",'Eval-LSTK (2)'!AD12,"*R*"),"RPRIM",      IF(COUNTIFS(AD451,"BU",'Eval-LSTK (2)'!AD12,"*X*"),"XBU",IF(COUNTIFS(AD451,"BU",'Eval-LSTK (2)'!AD12,"*R*"),"RBU",    IF(COUNTIFS(AD451,"BR",'Eval-LSTK (2)'!AD12,"*X*"),"XBR",IF(COUNTIFS(AD451,"BR",'Eval-LSTK (2)'!AD12,"*R*"),"RBR")  )   ))))</f>
        <v>0</v>
      </c>
      <c r="AE468" s="40" t="b">
        <f>IF(COUNTIFS(AE451,"Prim",'Eval-LSTK (2)'!AE12,"*X*"),"XPRIM",IF(COUNTIFS(AE451,"Prim",'Eval-LSTK (2)'!AE12,"*R*"),"RPRIM",      IF(COUNTIFS(AE451,"BU",'Eval-LSTK (2)'!AE12,"*X*"),"XBU",IF(COUNTIFS(AE451,"BU",'Eval-LSTK (2)'!AE12,"*R*"),"RBU",    IF(COUNTIFS(AE451,"BR",'Eval-LSTK (2)'!AE12,"*X*"),"XBR",IF(COUNTIFS(AE451,"BR",'Eval-LSTK (2)'!AE12,"*R*"),"RBR")  )   ))))</f>
        <v>0</v>
      </c>
      <c r="AF468" s="40" t="b">
        <f>IF(COUNTIFS(AF451,"Prim",'Eval-LSTK (2)'!AF12,"*X*"),"XPRIM",IF(COUNTIFS(AF451,"Prim",'Eval-LSTK (2)'!AF12,"*R*"),"RPRIM",      IF(COUNTIFS(AF451,"BU",'Eval-LSTK (2)'!AF12,"*X*"),"XBU",IF(COUNTIFS(AF451,"BU",'Eval-LSTK (2)'!AF12,"*R*"),"RBU",    IF(COUNTIFS(AF451,"BR",'Eval-LSTK (2)'!AF12,"*X*"),"XBR",IF(COUNTIFS(AF451,"BR",'Eval-LSTK (2)'!AF12,"*R*"),"RBR")  )   ))))</f>
        <v>0</v>
      </c>
      <c r="AG468" s="40" t="b">
        <f>IF(COUNTIFS(AG451,"Prim",'Eval-LSTK (2)'!AG12,"*X*"),"XPRIM",IF(COUNTIFS(AG451,"Prim",'Eval-LSTK (2)'!AG12,"*R*"),"RPRIM",      IF(COUNTIFS(AG451,"BU",'Eval-LSTK (2)'!AG12,"*X*"),"XBU",IF(COUNTIFS(AG451,"BU",'Eval-LSTK (2)'!AG12,"*R*"),"RBU",    IF(COUNTIFS(AG451,"BR",'Eval-LSTK (2)'!AG12,"*X*"),"XBR",IF(COUNTIFS(AG451,"BR",'Eval-LSTK (2)'!AG12,"*R*"),"RBR")  )   ))))</f>
        <v>0</v>
      </c>
      <c r="AH468" s="40" t="b">
        <f>IF(COUNTIFS(AH451,"Prim",'Eval-LSTK (2)'!AH12,"*X*"),"XPRIM",IF(COUNTIFS(AH451,"Prim",'Eval-LSTK (2)'!AH12,"*R*"),"RPRIM",      IF(COUNTIFS(AH451,"BU",'Eval-LSTK (2)'!AH12,"*X*"),"XBU",IF(COUNTIFS(AH451,"BU",'Eval-LSTK (2)'!AH12,"*R*"),"RBU",    IF(COUNTIFS(AH451,"BR",'Eval-LSTK (2)'!AH12,"*X*"),"XBR",IF(COUNTIFS(AH451,"BR",'Eval-LSTK (2)'!AH12,"*R*"),"RBR")  )   ))))</f>
        <v>0</v>
      </c>
      <c r="AI468" s="40" t="b">
        <f>IF(COUNTIFS(AI451,"Prim",'Eval-LSTK (2)'!AI12,"*X*"),"XPRIM",IF(COUNTIFS(AI451,"Prim",'Eval-LSTK (2)'!AI12,"*R*"),"RPRIM",      IF(COUNTIFS(AI451,"BU",'Eval-LSTK (2)'!AI12,"*X*"),"XBU",IF(COUNTIFS(AI451,"BU",'Eval-LSTK (2)'!AI12,"*R*"),"RBU",    IF(COUNTIFS(AI451,"BR",'Eval-LSTK (2)'!AI12,"*X*"),"XBR",IF(COUNTIFS(AI451,"BR",'Eval-LSTK (2)'!AI12,"*R*"),"RBR")  )   ))))</f>
        <v>0</v>
      </c>
      <c r="AK468" s="599">
        <f>COUNTIF($C$468:$AI$479,"XPRIM")</f>
        <v>21</v>
      </c>
      <c r="AL468" s="937">
        <f>COUNTIF($C$468:$AI$479,"RPRIM")</f>
        <v>12</v>
      </c>
      <c r="AM468" s="937">
        <f>COUNTIF($C$468:$AI$479,"XBU")</f>
        <v>6</v>
      </c>
      <c r="AN468" s="937">
        <f>COUNTIF($C$468:$AI$479,"RBU")</f>
        <v>13</v>
      </c>
      <c r="AO468" s="937">
        <f>COUNTIF($C$468:$AI$479,"XBR")</f>
        <v>6</v>
      </c>
      <c r="AP468" s="938">
        <f>COUNTIF($C$468:$AI$479,"RBR")</f>
        <v>0</v>
      </c>
      <c r="AQ468" s="13">
        <f>SUM(AK468:AP468)</f>
        <v>58</v>
      </c>
    </row>
    <row r="469" spans="1:43" x14ac:dyDescent="0.35">
      <c r="A469" s="1196"/>
      <c r="B469" s="22">
        <v>2</v>
      </c>
      <c r="C469" s="40" t="str">
        <f>IF(COUNTIFS(C452,"Prim",'Eval-LSTK (2)'!C13,"*X*"),"XPRIM",IF(COUNTIFS(C452,"Prim",'Eval-LSTK (2)'!C13,"*R*"),"RPRIM",      IF(COUNTIFS(C452,"BU",'Eval-LSTK (2)'!C13,"*X*"),"XBU",IF(COUNTIFS(C452,"BU",'Eval-LSTK (2)'!C13,"*R*"),"RBU",    IF(COUNTIFS(C452,"BR",'Eval-LSTK (2)'!C13,"*X*"),"XBR",IF(COUNTIFS(C452,"BR",'Eval-LSTK (2)'!C13,"*R*"),"RBR")  )   ))))</f>
        <v>XPRIM</v>
      </c>
      <c r="D469" s="40" t="str">
        <f>IF(COUNTIFS(D452,"Prim",'Eval-LSTK (2)'!D13,"*X*"),"XPRIM",IF(COUNTIFS(D452,"Prim",'Eval-LSTK (2)'!D13,"*R*"),"RPRIM",      IF(COUNTIFS(D452,"BU",'Eval-LSTK (2)'!D13,"*X*"),"XBU",IF(COUNTIFS(D452,"BU",'Eval-LSTK (2)'!D13,"*R*"),"RBU",    IF(COUNTIFS(D452,"BR",'Eval-LSTK (2)'!D13,"*X*"),"XBR",IF(COUNTIFS(D452,"BR",'Eval-LSTK (2)'!D13,"*R*"),"RBR")  )   ))))</f>
        <v>XPRIM</v>
      </c>
      <c r="E469" s="40" t="str">
        <f>IF(COUNTIFS(E452,"Prim",'Eval-LSTK (2)'!E13,"*X*"),"XPRIM",IF(COUNTIFS(E452,"Prim",'Eval-LSTK (2)'!E13,"*R*"),"RPRIM",      IF(COUNTIFS(E452,"BU",'Eval-LSTK (2)'!E13,"*X*"),"XBU",IF(COUNTIFS(E452,"BU",'Eval-LSTK (2)'!E13,"*R*"),"RBU",    IF(COUNTIFS(E452,"BR",'Eval-LSTK (2)'!E13,"*X*"),"XBR",IF(COUNTIFS(E452,"BR",'Eval-LSTK (2)'!E13,"*R*"),"RBR")  )   ))))</f>
        <v>XPRIM</v>
      </c>
      <c r="F469" s="40" t="str">
        <f>IF(COUNTIFS(F452,"Prim",'Eval-LSTK (2)'!F13,"*X*"),"XPRIM",IF(COUNTIFS(F452,"Prim",'Eval-LSTK (2)'!F13,"*R*"),"RPRIM",      IF(COUNTIFS(F452,"BU",'Eval-LSTK (2)'!F13,"*X*"),"XBU",IF(COUNTIFS(F452,"BU",'Eval-LSTK (2)'!F13,"*R*"),"RBU",    IF(COUNTIFS(F452,"BR",'Eval-LSTK (2)'!F13,"*X*"),"XBR",IF(COUNTIFS(F452,"BR",'Eval-LSTK (2)'!F13,"*R*"),"RBR")  )   ))))</f>
        <v>RPRIM</v>
      </c>
      <c r="G469" s="40" t="str">
        <f>IF(COUNTIFS(G452,"Prim",'Eval-LSTK (2)'!G13,"*X*"),"XPRIM",IF(COUNTIFS(G452,"Prim",'Eval-LSTK (2)'!G13,"*R*"),"RPRIM",      IF(COUNTIFS(G452,"BU",'Eval-LSTK (2)'!G13,"*X*"),"XBU",IF(COUNTIFS(G452,"BU",'Eval-LSTK (2)'!G13,"*R*"),"RBU",    IF(COUNTIFS(G452,"BR",'Eval-LSTK (2)'!G13,"*X*"),"XBR",IF(COUNTIFS(G452,"BR",'Eval-LSTK (2)'!G13,"*R*"),"RBR")  )   ))))</f>
        <v>XBR</v>
      </c>
      <c r="H469" s="40" t="b">
        <f>IF(COUNTIFS(H452,"Prim",'Eval-LSTK (2)'!H13,"*X*"),"XPRIM",IF(COUNTIFS(H452,"Prim",'Eval-LSTK (2)'!H13,"*R*"),"RPRIM",      IF(COUNTIFS(H452,"BU",'Eval-LSTK (2)'!H13,"*X*"),"XBU",IF(COUNTIFS(H452,"BU",'Eval-LSTK (2)'!H13,"*R*"),"RBU",    IF(COUNTIFS(H452,"BR",'Eval-LSTK (2)'!H13,"*X*"),"XBR",IF(COUNTIFS(H452,"BR",'Eval-LSTK (2)'!H13,"*R*"),"RBR")  )   ))))</f>
        <v>0</v>
      </c>
      <c r="I469" s="40" t="b">
        <f>IF(COUNTIFS(I452,"Prim",'Eval-LSTK (2)'!I13,"*X*"),"XPRIM",IF(COUNTIFS(I452,"Prim",'Eval-LSTK (2)'!I13,"*R*"),"RPRIM",      IF(COUNTIFS(I452,"BU",'Eval-LSTK (2)'!I13,"*X*"),"XBU",IF(COUNTIFS(I452,"BU",'Eval-LSTK (2)'!I13,"*R*"),"RBU",    IF(COUNTIFS(I452,"BR",'Eval-LSTK (2)'!I13,"*X*"),"XBR",IF(COUNTIFS(I452,"BR",'Eval-LSTK (2)'!I13,"*R*"),"RBR")  )   ))))</f>
        <v>0</v>
      </c>
      <c r="J469" s="40" t="b">
        <f>IF(COUNTIFS(J452,"Prim",'Eval-LSTK (2)'!J13,"*X*"),"XPRIM",IF(COUNTIFS(J452,"Prim",'Eval-LSTK (2)'!J13,"*R*"),"RPRIM",      IF(COUNTIFS(J452,"BU",'Eval-LSTK (2)'!J13,"*X*"),"XBU",IF(COUNTIFS(J452,"BU",'Eval-LSTK (2)'!J13,"*R*"),"RBU",    IF(COUNTIFS(J452,"BR",'Eval-LSTK (2)'!J13,"*X*"),"XBR",IF(COUNTIFS(J452,"BR",'Eval-LSTK (2)'!J13,"*R*"),"RBR")  )   ))))</f>
        <v>0</v>
      </c>
      <c r="K469" s="40" t="b">
        <f>IF(COUNTIFS(K452,"Prim",'Eval-LSTK (2)'!K13,"*X*"),"XPRIM",IF(COUNTIFS(K452,"Prim",'Eval-LSTK (2)'!K13,"*R*"),"RPRIM",      IF(COUNTIFS(K452,"BU",'Eval-LSTK (2)'!K13,"*X*"),"XBU",IF(COUNTIFS(K452,"BU",'Eval-LSTK (2)'!K13,"*R*"),"RBU",    IF(COUNTIFS(K452,"BR",'Eval-LSTK (2)'!K13,"*X*"),"XBR",IF(COUNTIFS(K452,"BR",'Eval-LSTK (2)'!K13,"*R*"),"RBR")  )   ))))</f>
        <v>0</v>
      </c>
      <c r="L469" s="40" t="b">
        <f>IF(COUNTIFS(L452,"Prim",'Eval-LSTK (2)'!L13,"*X*"),"XPRIM",IF(COUNTIFS(L452,"Prim",'Eval-LSTK (2)'!L13,"*R*"),"RPRIM",      IF(COUNTIFS(L452,"BU",'Eval-LSTK (2)'!L13,"*X*"),"XBU",IF(COUNTIFS(L452,"BU",'Eval-LSTK (2)'!L13,"*R*"),"RBU",    IF(COUNTIFS(L452,"BR",'Eval-LSTK (2)'!L13,"*X*"),"XBR",IF(COUNTIFS(L452,"BR",'Eval-LSTK (2)'!L13,"*R*"),"RBR")  )   ))))</f>
        <v>0</v>
      </c>
      <c r="M469" s="40" t="str">
        <f>IF(COUNTIFS(M452,"Prim",'Eval-LSTK (2)'!M13,"*X*"),"XPRIM",IF(COUNTIFS(M452,"Prim",'Eval-LSTK (2)'!M13,"*R*"),"RPRIM",      IF(COUNTIFS(M452,"BU",'Eval-LSTK (2)'!M13,"*X*"),"XBU",IF(COUNTIFS(M452,"BU",'Eval-LSTK (2)'!M13,"*R*"),"RBU",    IF(COUNTIFS(M452,"BR",'Eval-LSTK (2)'!M13,"*X*"),"XBR",IF(COUNTIFS(M452,"BR",'Eval-LSTK (2)'!M13,"*R*"),"RBR")  )   ))))</f>
        <v>RBU</v>
      </c>
      <c r="N469" s="40" t="str">
        <f>IF(COUNTIFS(N452,"Prim",'Eval-LSTK (2)'!N13,"*X*"),"XPRIM",IF(COUNTIFS(N452,"Prim",'Eval-LSTK (2)'!N13,"*R*"),"RPRIM",      IF(COUNTIFS(N452,"BU",'Eval-LSTK (2)'!N13,"*X*"),"XBU",IF(COUNTIFS(N452,"BU",'Eval-LSTK (2)'!N13,"*R*"),"RBU",    IF(COUNTIFS(N452,"BR",'Eval-LSTK (2)'!N13,"*X*"),"XBR",IF(COUNTIFS(N452,"BR",'Eval-LSTK (2)'!N13,"*R*"),"RBR")  )   ))))</f>
        <v>XBU</v>
      </c>
      <c r="O469" s="40" t="str">
        <f>IF(COUNTIFS(O452,"Prim",'Eval-LSTK (2)'!O13,"*X*"),"XPRIM",IF(COUNTIFS(O452,"Prim",'Eval-LSTK (2)'!O13,"*R*"),"RPRIM",      IF(COUNTIFS(O452,"BU",'Eval-LSTK (2)'!O13,"*X*"),"XBU",IF(COUNTIFS(O452,"BU",'Eval-LSTK (2)'!O13,"*R*"),"RBU",    IF(COUNTIFS(O452,"BR",'Eval-LSTK (2)'!O13,"*X*"),"XBR",IF(COUNTIFS(O452,"BR",'Eval-LSTK (2)'!O13,"*R*"),"RBR")  )   ))))</f>
        <v>RBU</v>
      </c>
      <c r="P469" s="40" t="b">
        <f>IF(COUNTIFS(P452,"Prim",'Eval-LSTK (2)'!P13,"*X*"),"XPRIM",IF(COUNTIFS(P452,"Prim",'Eval-LSTK (2)'!P13,"*R*"),"RPRIM",      IF(COUNTIFS(P452,"BU",'Eval-LSTK (2)'!P13,"*X*"),"XBU",IF(COUNTIFS(P452,"BU",'Eval-LSTK (2)'!P13,"*R*"),"RBU",    IF(COUNTIFS(P452,"BR",'Eval-LSTK (2)'!P13,"*X*"),"XBR",IF(COUNTIFS(P452,"BR",'Eval-LSTK (2)'!P13,"*R*"),"RBR")  )   ))))</f>
        <v>0</v>
      </c>
      <c r="Q469" s="40" t="b">
        <f>IF(COUNTIFS(Q452,"Prim",'Eval-LSTK (2)'!Q13,"*X*"),"XPRIM",IF(COUNTIFS(Q452,"Prim",'Eval-LSTK (2)'!Q13,"*R*"),"RPRIM",      IF(COUNTIFS(Q452,"BU",'Eval-LSTK (2)'!Q13,"*X*"),"XBU",IF(COUNTIFS(Q452,"BU",'Eval-LSTK (2)'!Q13,"*R*"),"RBU",    IF(COUNTIFS(Q452,"BR",'Eval-LSTK (2)'!Q13,"*X*"),"XBR",IF(COUNTIFS(Q452,"BR",'Eval-LSTK (2)'!Q13,"*R*"),"RBR")  )   ))))</f>
        <v>0</v>
      </c>
      <c r="R469" s="40" t="b">
        <f>IF(COUNTIFS(R452,"Prim",'Eval-LSTK (2)'!R13,"*X*"),"XPRIM",IF(COUNTIFS(R452,"Prim",'Eval-LSTK (2)'!R13,"*R*"),"RPRIM",      IF(COUNTIFS(R452,"BU",'Eval-LSTK (2)'!R13,"*X*"),"XBU",IF(COUNTIFS(R452,"BU",'Eval-LSTK (2)'!R13,"*R*"),"RBU",    IF(COUNTIFS(R452,"BR",'Eval-LSTK (2)'!R13,"*X*"),"XBR",IF(COUNTIFS(R452,"BR",'Eval-LSTK (2)'!R13,"*R*"),"RBR")  )   ))))</f>
        <v>0</v>
      </c>
      <c r="S469" s="40" t="b">
        <f>IF(COUNTIFS(S452,"Prim",'Eval-LSTK (2)'!S13,"*X*"),"XPRIM",IF(COUNTIFS(S452,"Prim",'Eval-LSTK (2)'!S13,"*R*"),"RPRIM",      IF(COUNTIFS(S452,"BU",'Eval-LSTK (2)'!S13,"*X*"),"XBU",IF(COUNTIFS(S452,"BU",'Eval-LSTK (2)'!S13,"*R*"),"RBU",    IF(COUNTIFS(S452,"BR",'Eval-LSTK (2)'!S13,"*X*"),"XBR",IF(COUNTIFS(S452,"BR",'Eval-LSTK (2)'!S13,"*R*"),"RBR")  )   ))))</f>
        <v>0</v>
      </c>
      <c r="T469" s="40" t="b">
        <f>IF(COUNTIFS(T452,"Prim",'Eval-LSTK (2)'!T13,"*X*"),"XPRIM",IF(COUNTIFS(T452,"Prim",'Eval-LSTK (2)'!T13,"*R*"),"RPRIM",      IF(COUNTIFS(T452,"BU",'Eval-LSTK (2)'!T13,"*X*"),"XBU",IF(COUNTIFS(T452,"BU",'Eval-LSTK (2)'!T13,"*R*"),"RBU",    IF(COUNTIFS(T452,"BR",'Eval-LSTK (2)'!T13,"*X*"),"XBR",IF(COUNTIFS(T452,"BR",'Eval-LSTK (2)'!T13,"*R*"),"RBR")  )   ))))</f>
        <v>0</v>
      </c>
      <c r="U469" s="40" t="b">
        <f>IF(COUNTIFS(U452,"Prim",'Eval-LSTK (2)'!U13,"*X*"),"XPRIM",IF(COUNTIFS(U452,"Prim",'Eval-LSTK (2)'!U13,"*R*"),"RPRIM",      IF(COUNTIFS(U452,"BU",'Eval-LSTK (2)'!U13,"*X*"),"XBU",IF(COUNTIFS(U452,"BU",'Eval-LSTK (2)'!U13,"*R*"),"RBU",    IF(COUNTIFS(U452,"BR",'Eval-LSTK (2)'!U13,"*X*"),"XBR",IF(COUNTIFS(U452,"BR",'Eval-LSTK (2)'!U13,"*R*"),"RBR")  )   ))))</f>
        <v>0</v>
      </c>
      <c r="V469" s="40" t="b">
        <f>IF(COUNTIFS(V452,"Prim",'Eval-LSTK (2)'!V13,"*X*"),"XPRIM",IF(COUNTIFS(V452,"Prim",'Eval-LSTK (2)'!V13,"*R*"),"RPRIM",      IF(COUNTIFS(V452,"BU",'Eval-LSTK (2)'!V13,"*X*"),"XBU",IF(COUNTIFS(V452,"BU",'Eval-LSTK (2)'!V13,"*R*"),"RBU",    IF(COUNTIFS(V452,"BR",'Eval-LSTK (2)'!V13,"*X*"),"XBR",IF(COUNTIFS(V452,"BR",'Eval-LSTK (2)'!V13,"*R*"),"RBR")  )   ))))</f>
        <v>0</v>
      </c>
      <c r="W469" s="40" t="b">
        <f>IF(COUNTIFS(W452,"Prim",'Eval-LSTK (2)'!W13,"*X*"),"XPRIM",IF(COUNTIFS(W452,"Prim",'Eval-LSTK (2)'!W13,"*R*"),"RPRIM",      IF(COUNTIFS(W452,"BU",'Eval-LSTK (2)'!W13,"*X*"),"XBU",IF(COUNTIFS(W452,"BU",'Eval-LSTK (2)'!W13,"*R*"),"RBU",    IF(COUNTIFS(W452,"BR",'Eval-LSTK (2)'!W13,"*X*"),"XBR",IF(COUNTIFS(W452,"BR",'Eval-LSTK (2)'!W13,"*R*"),"RBR")  )   ))))</f>
        <v>0</v>
      </c>
      <c r="X469" s="40" t="b">
        <f>IF(COUNTIFS(X452,"Prim",'Eval-LSTK (2)'!X13,"*X*"),"XPRIM",IF(COUNTIFS(X452,"Prim",'Eval-LSTK (2)'!X13,"*R*"),"RPRIM",      IF(COUNTIFS(X452,"BU",'Eval-LSTK (2)'!X13,"*X*"),"XBU",IF(COUNTIFS(X452,"BU",'Eval-LSTK (2)'!X13,"*R*"),"RBU",    IF(COUNTIFS(X452,"BR",'Eval-LSTK (2)'!X13,"*X*"),"XBR",IF(COUNTIFS(X452,"BR",'Eval-LSTK (2)'!X13,"*R*"),"RBR")  )   ))))</f>
        <v>0</v>
      </c>
      <c r="Y469" s="40" t="b">
        <f>IF(COUNTIFS(Y452,"Prim",'Eval-LSTK (2)'!Y13,"*X*"),"XPRIM",IF(COUNTIFS(Y452,"Prim",'Eval-LSTK (2)'!Y13,"*R*"),"RPRIM",      IF(COUNTIFS(Y452,"BU",'Eval-LSTK (2)'!Y13,"*X*"),"XBU",IF(COUNTIFS(Y452,"BU",'Eval-LSTK (2)'!Y13,"*R*"),"RBU",    IF(COUNTIFS(Y452,"BR",'Eval-LSTK (2)'!Y13,"*X*"),"XBR",IF(COUNTIFS(Y452,"BR",'Eval-LSTK (2)'!Y13,"*R*"),"RBR")  )   ))))</f>
        <v>0</v>
      </c>
      <c r="Z469" s="40" t="b">
        <f>IF(COUNTIFS(Z452,"Prim",'Eval-LSTK (2)'!Z13,"*X*"),"XPRIM",IF(COUNTIFS(Z452,"Prim",'Eval-LSTK (2)'!Z13,"*R*"),"RPRIM",      IF(COUNTIFS(Z452,"BU",'Eval-LSTK (2)'!Z13,"*X*"),"XBU",IF(COUNTIFS(Z452,"BU",'Eval-LSTK (2)'!Z13,"*R*"),"RBU",    IF(COUNTIFS(Z452,"BR",'Eval-LSTK (2)'!Z13,"*X*"),"XBR",IF(COUNTIFS(Z452,"BR",'Eval-LSTK (2)'!Z13,"*R*"),"RBR")  )   ))))</f>
        <v>0</v>
      </c>
      <c r="AA469" s="40" t="b">
        <f>IF(COUNTIFS(AA452,"Prim",'Eval-LSTK (2)'!AA13,"*X*"),"XPRIM",IF(COUNTIFS(AA452,"Prim",'Eval-LSTK (2)'!AA13,"*R*"),"RPRIM",      IF(COUNTIFS(AA452,"BU",'Eval-LSTK (2)'!AA13,"*X*"),"XBU",IF(COUNTIFS(AA452,"BU",'Eval-LSTK (2)'!AA13,"*R*"),"RBU",    IF(COUNTIFS(AA452,"BR",'Eval-LSTK (2)'!AA13,"*X*"),"XBR",IF(COUNTIFS(AA452,"BR",'Eval-LSTK (2)'!AA13,"*R*"),"RBR")  )   ))))</f>
        <v>0</v>
      </c>
      <c r="AB469" s="40" t="b">
        <f>IF(COUNTIFS(AB452,"Prim",'Eval-LSTK (2)'!AB13,"*X*"),"XPRIM",IF(COUNTIFS(AB452,"Prim",'Eval-LSTK (2)'!AB13,"*R*"),"RPRIM",      IF(COUNTIFS(AB452,"BU",'Eval-LSTK (2)'!AB13,"*X*"),"XBU",IF(COUNTIFS(AB452,"BU",'Eval-LSTK (2)'!AB13,"*R*"),"RBU",    IF(COUNTIFS(AB452,"BR",'Eval-LSTK (2)'!AB13,"*X*"),"XBR",IF(COUNTIFS(AB452,"BR",'Eval-LSTK (2)'!AB13,"*R*"),"RBR")  )   ))))</f>
        <v>0</v>
      </c>
      <c r="AC469" s="40" t="b">
        <f>IF(COUNTIFS(AC452,"Prim",'Eval-LSTK (2)'!AC13,"*X*"),"XPRIM",IF(COUNTIFS(AC452,"Prim",'Eval-LSTK (2)'!AC13,"*R*"),"RPRIM",      IF(COUNTIFS(AC452,"BU",'Eval-LSTK (2)'!AC13,"*X*"),"XBU",IF(COUNTIFS(AC452,"BU",'Eval-LSTK (2)'!AC13,"*R*"),"RBU",    IF(COUNTIFS(AC452,"BR",'Eval-LSTK (2)'!AC13,"*X*"),"XBR",IF(COUNTIFS(AC452,"BR",'Eval-LSTK (2)'!AC13,"*R*"),"RBR")  )   ))))</f>
        <v>0</v>
      </c>
      <c r="AD469" s="40" t="b">
        <f>IF(COUNTIFS(AD452,"Prim",'Eval-LSTK (2)'!AD13,"*X*"),"XPRIM",IF(COUNTIFS(AD452,"Prim",'Eval-LSTK (2)'!AD13,"*R*"),"RPRIM",      IF(COUNTIFS(AD452,"BU",'Eval-LSTK (2)'!AD13,"*X*"),"XBU",IF(COUNTIFS(AD452,"BU",'Eval-LSTK (2)'!AD13,"*R*"),"RBU",    IF(COUNTIFS(AD452,"BR",'Eval-LSTK (2)'!AD13,"*X*"),"XBR",IF(COUNTIFS(AD452,"BR",'Eval-LSTK (2)'!AD13,"*R*"),"RBR")  )   ))))</f>
        <v>0</v>
      </c>
      <c r="AE469" s="40" t="b">
        <f>IF(COUNTIFS(AE452,"Prim",'Eval-LSTK (2)'!AE13,"*X*"),"XPRIM",IF(COUNTIFS(AE452,"Prim",'Eval-LSTK (2)'!AE13,"*R*"),"RPRIM",      IF(COUNTIFS(AE452,"BU",'Eval-LSTK (2)'!AE13,"*X*"),"XBU",IF(COUNTIFS(AE452,"BU",'Eval-LSTK (2)'!AE13,"*R*"),"RBU",    IF(COUNTIFS(AE452,"BR",'Eval-LSTK (2)'!AE13,"*X*"),"XBR",IF(COUNTIFS(AE452,"BR",'Eval-LSTK (2)'!AE13,"*R*"),"RBR")  )   ))))</f>
        <v>0</v>
      </c>
      <c r="AF469" s="40" t="b">
        <f>IF(COUNTIFS(AF452,"Prim",'Eval-LSTK (2)'!AF13,"*X*"),"XPRIM",IF(COUNTIFS(AF452,"Prim",'Eval-LSTK (2)'!AF13,"*R*"),"RPRIM",      IF(COUNTIFS(AF452,"BU",'Eval-LSTK (2)'!AF13,"*X*"),"XBU",IF(COUNTIFS(AF452,"BU",'Eval-LSTK (2)'!AF13,"*R*"),"RBU",    IF(COUNTIFS(AF452,"BR",'Eval-LSTK (2)'!AF13,"*X*"),"XBR",IF(COUNTIFS(AF452,"BR",'Eval-LSTK (2)'!AF13,"*R*"),"RBR")  )   ))))</f>
        <v>0</v>
      </c>
      <c r="AG469" s="40" t="b">
        <f>IF(COUNTIFS(AG452,"Prim",'Eval-LSTK (2)'!AG13,"*X*"),"XPRIM",IF(COUNTIFS(AG452,"Prim",'Eval-LSTK (2)'!AG13,"*R*"),"RPRIM",      IF(COUNTIFS(AG452,"BU",'Eval-LSTK (2)'!AG13,"*X*"),"XBU",IF(COUNTIFS(AG452,"BU",'Eval-LSTK (2)'!AG13,"*R*"),"RBU",    IF(COUNTIFS(AG452,"BR",'Eval-LSTK (2)'!AG13,"*X*"),"XBR",IF(COUNTIFS(AG452,"BR",'Eval-LSTK (2)'!AG13,"*R*"),"RBR")  )   ))))</f>
        <v>0</v>
      </c>
      <c r="AH469" s="40" t="b">
        <f>IF(COUNTIFS(AH452,"Prim",'Eval-LSTK (2)'!AH13,"*X*"),"XPRIM",IF(COUNTIFS(AH452,"Prim",'Eval-LSTK (2)'!AH13,"*R*"),"RPRIM",      IF(COUNTIFS(AH452,"BU",'Eval-LSTK (2)'!AH13,"*X*"),"XBU",IF(COUNTIFS(AH452,"BU",'Eval-LSTK (2)'!AH13,"*R*"),"RBU",    IF(COUNTIFS(AH452,"BR",'Eval-LSTK (2)'!AH13,"*X*"),"XBR",IF(COUNTIFS(AH452,"BR",'Eval-LSTK (2)'!AH13,"*R*"),"RBR")  )   ))))</f>
        <v>0</v>
      </c>
      <c r="AI469" s="40" t="b">
        <f>IF(COUNTIFS(AI452,"Prim",'Eval-LSTK (2)'!AI13,"*X*"),"XPRIM",IF(COUNTIFS(AI452,"Prim",'Eval-LSTK (2)'!AI13,"*R*"),"RPRIM",      IF(COUNTIFS(AI452,"BU",'Eval-LSTK (2)'!AI13,"*X*"),"XBU",IF(COUNTIFS(AI452,"BU",'Eval-LSTK (2)'!AI13,"*R*"),"RBU",    IF(COUNTIFS(AI452,"BR",'Eval-LSTK (2)'!AI13,"*X*"),"XBR",IF(COUNTIFS(AI452,"BR",'Eval-LSTK (2)'!AI13,"*R*"),"RBR")  )   ))))</f>
        <v>0</v>
      </c>
    </row>
    <row r="470" spans="1:43" x14ac:dyDescent="0.35">
      <c r="A470" s="1196"/>
      <c r="B470" s="22">
        <v>3</v>
      </c>
      <c r="C470" s="40" t="str">
        <f>IF(COUNTIFS(C453,"Prim",'Eval-LSTK (2)'!C14,"*X*"),"XPRIM",IF(COUNTIFS(C453,"Prim",'Eval-LSTK (2)'!C14,"*R*"),"RPRIM",      IF(COUNTIFS(C453,"BU",'Eval-LSTK (2)'!C14,"*X*"),"XBU",IF(COUNTIFS(C453,"BU",'Eval-LSTK (2)'!C14,"*R*"),"RBU",    IF(COUNTIFS(C453,"BR",'Eval-LSTK (2)'!C14,"*X*"),"XBR",IF(COUNTIFS(C453,"BR",'Eval-LSTK (2)'!C14,"*R*"),"RBR")  )   ))))</f>
        <v>RPRIM</v>
      </c>
      <c r="D470" s="40" t="str">
        <f>IF(COUNTIFS(D453,"Prim",'Eval-LSTK (2)'!D14,"*X*"),"XPRIM",IF(COUNTIFS(D453,"Prim",'Eval-LSTK (2)'!D14,"*R*"),"RPRIM",      IF(COUNTIFS(D453,"BU",'Eval-LSTK (2)'!D14,"*X*"),"XBU",IF(COUNTIFS(D453,"BU",'Eval-LSTK (2)'!D14,"*R*"),"RBU",    IF(COUNTIFS(D453,"BR",'Eval-LSTK (2)'!D14,"*X*"),"XBR",IF(COUNTIFS(D453,"BR",'Eval-LSTK (2)'!D14,"*R*"),"RBR")  )   ))))</f>
        <v>RPRIM</v>
      </c>
      <c r="E470" s="40" t="str">
        <f>IF(COUNTIFS(E453,"Prim",'Eval-LSTK (2)'!E14,"*X*"),"XPRIM",IF(COUNTIFS(E453,"Prim",'Eval-LSTK (2)'!E14,"*R*"),"RPRIM",      IF(COUNTIFS(E453,"BU",'Eval-LSTK (2)'!E14,"*X*"),"XBU",IF(COUNTIFS(E453,"BU",'Eval-LSTK (2)'!E14,"*R*"),"RBU",    IF(COUNTIFS(E453,"BR",'Eval-LSTK (2)'!E14,"*X*"),"XBR",IF(COUNTIFS(E453,"BR",'Eval-LSTK (2)'!E14,"*R*"),"RBR")  )   ))))</f>
        <v>RPRIM</v>
      </c>
      <c r="F470" s="40" t="str">
        <f>IF(COUNTIFS(F453,"Prim",'Eval-LSTK (2)'!F14,"*X*"),"XPRIM",IF(COUNTIFS(F453,"Prim",'Eval-LSTK (2)'!F14,"*R*"),"RPRIM",      IF(COUNTIFS(F453,"BU",'Eval-LSTK (2)'!F14,"*X*"),"XBU",IF(COUNTIFS(F453,"BU",'Eval-LSTK (2)'!F14,"*R*"),"RBU",    IF(COUNTIFS(F453,"BR",'Eval-LSTK (2)'!F14,"*X*"),"XBR",IF(COUNTIFS(F453,"BR",'Eval-LSTK (2)'!F14,"*R*"),"RBR")  )   ))))</f>
        <v>XPRIM</v>
      </c>
      <c r="G470" s="40" t="str">
        <f>IF(COUNTIFS(G453,"Prim",'Eval-LSTK (2)'!G14,"*X*"),"XPRIM",IF(COUNTIFS(G453,"Prim",'Eval-LSTK (2)'!G14,"*R*"),"RPRIM",      IF(COUNTIFS(G453,"BU",'Eval-LSTK (2)'!G14,"*X*"),"XBU",IF(COUNTIFS(G453,"BU",'Eval-LSTK (2)'!G14,"*R*"),"RBU",    IF(COUNTIFS(G453,"BR",'Eval-LSTK (2)'!G14,"*X*"),"XBR",IF(COUNTIFS(G453,"BR",'Eval-LSTK (2)'!G14,"*R*"),"RBR")  )   ))))</f>
        <v>XPRIM</v>
      </c>
      <c r="H470" s="40" t="str">
        <f>IF(COUNTIFS(H453,"Prim",'Eval-LSTK (2)'!H14,"*X*"),"XPRIM",IF(COUNTIFS(H453,"Prim",'Eval-LSTK (2)'!H14,"*R*"),"RPRIM",      IF(COUNTIFS(H453,"BU",'Eval-LSTK (2)'!H14,"*X*"),"XBU",IF(COUNTIFS(H453,"BU",'Eval-LSTK (2)'!H14,"*R*"),"RBU",    IF(COUNTIFS(H453,"BR",'Eval-LSTK (2)'!H14,"*X*"),"XBR",IF(COUNTIFS(H453,"BR",'Eval-LSTK (2)'!H14,"*R*"),"RBR")  )   ))))</f>
        <v>XPRIM</v>
      </c>
      <c r="I470" s="40" t="str">
        <f>IF(COUNTIFS(I453,"Prim",'Eval-LSTK (2)'!I14,"*X*"),"XPRIM",IF(COUNTIFS(I453,"Prim",'Eval-LSTK (2)'!I14,"*R*"),"RPRIM",      IF(COUNTIFS(I453,"BU",'Eval-LSTK (2)'!I14,"*X*"),"XBU",IF(COUNTIFS(I453,"BU",'Eval-LSTK (2)'!I14,"*R*"),"RBU",    IF(COUNTIFS(I453,"BR",'Eval-LSTK (2)'!I14,"*X*"),"XBR",IF(COUNTIFS(I453,"BR",'Eval-LSTK (2)'!I14,"*R*"),"RBR")  )   ))))</f>
        <v>XBR</v>
      </c>
      <c r="J470" s="40" t="b">
        <f>IF(COUNTIFS(J453,"Prim",'Eval-LSTK (2)'!J14,"*X*"),"XPRIM",IF(COUNTIFS(J453,"Prim",'Eval-LSTK (2)'!J14,"*R*"),"RPRIM",      IF(COUNTIFS(J453,"BU",'Eval-LSTK (2)'!J14,"*X*"),"XBU",IF(COUNTIFS(J453,"BU",'Eval-LSTK (2)'!J14,"*R*"),"RBU",    IF(COUNTIFS(J453,"BR",'Eval-LSTK (2)'!J14,"*X*"),"XBR",IF(COUNTIFS(J453,"BR",'Eval-LSTK (2)'!J14,"*R*"),"RBR")  )   ))))</f>
        <v>0</v>
      </c>
      <c r="K470" s="40" t="b">
        <f>IF(COUNTIFS(K453,"Prim",'Eval-LSTK (2)'!K14,"*X*"),"XPRIM",IF(COUNTIFS(K453,"Prim",'Eval-LSTK (2)'!K14,"*R*"),"RPRIM",      IF(COUNTIFS(K453,"BU",'Eval-LSTK (2)'!K14,"*X*"),"XBU",IF(COUNTIFS(K453,"BU",'Eval-LSTK (2)'!K14,"*R*"),"RBU",    IF(COUNTIFS(K453,"BR",'Eval-LSTK (2)'!K14,"*X*"),"XBR",IF(COUNTIFS(K453,"BR",'Eval-LSTK (2)'!K14,"*R*"),"RBR")  )   ))))</f>
        <v>0</v>
      </c>
      <c r="L470" s="40" t="str">
        <f>IF(COUNTIFS(L453,"Prim",'Eval-LSTK (2)'!L14,"*X*"),"XPRIM",IF(COUNTIFS(L453,"Prim",'Eval-LSTK (2)'!L14,"*R*"),"RPRIM",      IF(COUNTIFS(L453,"BU",'Eval-LSTK (2)'!L14,"*X*"),"XBU",IF(COUNTIFS(L453,"BU",'Eval-LSTK (2)'!L14,"*R*"),"RBU",    IF(COUNTIFS(L453,"BR",'Eval-LSTK (2)'!L14,"*X*"),"XBR",IF(COUNTIFS(L453,"BR",'Eval-LSTK (2)'!L14,"*R*"),"RBR")  )   ))))</f>
        <v>RBU</v>
      </c>
      <c r="M470" s="40" t="str">
        <f>IF(COUNTIFS(M453,"Prim",'Eval-LSTK (2)'!M14,"*X*"),"XPRIM",IF(COUNTIFS(M453,"Prim",'Eval-LSTK (2)'!M14,"*R*"),"RPRIM",      IF(COUNTIFS(M453,"BU",'Eval-LSTK (2)'!M14,"*X*"),"XBU",IF(COUNTIFS(M453,"BU",'Eval-LSTK (2)'!M14,"*R*"),"RBU",    IF(COUNTIFS(M453,"BR",'Eval-LSTK (2)'!M14,"*X*"),"XBR",IF(COUNTIFS(M453,"BR",'Eval-LSTK (2)'!M14,"*R*"),"RBR")  )   ))))</f>
        <v>XBU</v>
      </c>
      <c r="N470" s="40" t="str">
        <f>IF(COUNTIFS(N453,"Prim",'Eval-LSTK (2)'!N14,"*X*"),"XPRIM",IF(COUNTIFS(N453,"Prim",'Eval-LSTK (2)'!N14,"*R*"),"RPRIM",      IF(COUNTIFS(N453,"BU",'Eval-LSTK (2)'!N14,"*X*"),"XBU",IF(COUNTIFS(N453,"BU",'Eval-LSTK (2)'!N14,"*R*"),"RBU",    IF(COUNTIFS(N453,"BR",'Eval-LSTK (2)'!N14,"*X*"),"XBR",IF(COUNTIFS(N453,"BR",'Eval-LSTK (2)'!N14,"*R*"),"RBR")  )   ))))</f>
        <v>XBU</v>
      </c>
      <c r="O470" s="40" t="b">
        <f>IF(COUNTIFS(O453,"Prim",'Eval-LSTK (2)'!O14,"*X*"),"XPRIM",IF(COUNTIFS(O453,"Prim",'Eval-LSTK (2)'!O14,"*R*"),"RPRIM",      IF(COUNTIFS(O453,"BU",'Eval-LSTK (2)'!O14,"*X*"),"XBU",IF(COUNTIFS(O453,"BU",'Eval-LSTK (2)'!O14,"*R*"),"RBU",    IF(COUNTIFS(O453,"BR",'Eval-LSTK (2)'!O14,"*X*"),"XBR",IF(COUNTIFS(O453,"BR",'Eval-LSTK (2)'!O14,"*R*"),"RBR")  )   ))))</f>
        <v>0</v>
      </c>
      <c r="P470" s="40" t="b">
        <f>IF(COUNTIFS(P453,"Prim",'Eval-LSTK (2)'!P14,"*X*"),"XPRIM",IF(COUNTIFS(P453,"Prim",'Eval-LSTK (2)'!P14,"*R*"),"RPRIM",      IF(COUNTIFS(P453,"BU",'Eval-LSTK (2)'!P14,"*X*"),"XBU",IF(COUNTIFS(P453,"BU",'Eval-LSTK (2)'!P14,"*R*"),"RBU",    IF(COUNTIFS(P453,"BR",'Eval-LSTK (2)'!P14,"*X*"),"XBR",IF(COUNTIFS(P453,"BR",'Eval-LSTK (2)'!P14,"*R*"),"RBR")  )   ))))</f>
        <v>0</v>
      </c>
      <c r="Q470" s="40" t="b">
        <f>IF(COUNTIFS(Q453,"Prim",'Eval-LSTK (2)'!Q14,"*X*"),"XPRIM",IF(COUNTIFS(Q453,"Prim",'Eval-LSTK (2)'!Q14,"*R*"),"RPRIM",      IF(COUNTIFS(Q453,"BU",'Eval-LSTK (2)'!Q14,"*X*"),"XBU",IF(COUNTIFS(Q453,"BU",'Eval-LSTK (2)'!Q14,"*R*"),"RBU",    IF(COUNTIFS(Q453,"BR",'Eval-LSTK (2)'!Q14,"*X*"),"XBR",IF(COUNTIFS(Q453,"BR",'Eval-LSTK (2)'!Q14,"*R*"),"RBR")  )   ))))</f>
        <v>0</v>
      </c>
      <c r="R470" s="40" t="b">
        <f>IF(COUNTIFS(R453,"Prim",'Eval-LSTK (2)'!R14,"*X*"),"XPRIM",IF(COUNTIFS(R453,"Prim",'Eval-LSTK (2)'!R14,"*R*"),"RPRIM",      IF(COUNTIFS(R453,"BU",'Eval-LSTK (2)'!R14,"*X*"),"XBU",IF(COUNTIFS(R453,"BU",'Eval-LSTK (2)'!R14,"*R*"),"RBU",    IF(COUNTIFS(R453,"BR",'Eval-LSTK (2)'!R14,"*X*"),"XBR",IF(COUNTIFS(R453,"BR",'Eval-LSTK (2)'!R14,"*R*"),"RBR")  )   ))))</f>
        <v>0</v>
      </c>
      <c r="S470" s="40" t="b">
        <f>IF(COUNTIFS(S453,"Prim",'Eval-LSTK (2)'!S14,"*X*"),"XPRIM",IF(COUNTIFS(S453,"Prim",'Eval-LSTK (2)'!S14,"*R*"),"RPRIM",      IF(COUNTIFS(S453,"BU",'Eval-LSTK (2)'!S14,"*X*"),"XBU",IF(COUNTIFS(S453,"BU",'Eval-LSTK (2)'!S14,"*R*"),"RBU",    IF(COUNTIFS(S453,"BR",'Eval-LSTK (2)'!S14,"*X*"),"XBR",IF(COUNTIFS(S453,"BR",'Eval-LSTK (2)'!S14,"*R*"),"RBR")  )   ))))</f>
        <v>0</v>
      </c>
      <c r="T470" s="40" t="b">
        <f>IF(COUNTIFS(T453,"Prim",'Eval-LSTK (2)'!T14,"*X*"),"XPRIM",IF(COUNTIFS(T453,"Prim",'Eval-LSTK (2)'!T14,"*R*"),"RPRIM",      IF(COUNTIFS(T453,"BU",'Eval-LSTK (2)'!T14,"*X*"),"XBU",IF(COUNTIFS(T453,"BU",'Eval-LSTK (2)'!T14,"*R*"),"RBU",    IF(COUNTIFS(T453,"BR",'Eval-LSTK (2)'!T14,"*X*"),"XBR",IF(COUNTIFS(T453,"BR",'Eval-LSTK (2)'!T14,"*R*"),"RBR")  )   ))))</f>
        <v>0</v>
      </c>
      <c r="U470" s="40" t="b">
        <f>IF(COUNTIFS(U453,"Prim",'Eval-LSTK (2)'!U14,"*X*"),"XPRIM",IF(COUNTIFS(U453,"Prim",'Eval-LSTK (2)'!U14,"*R*"),"RPRIM",      IF(COUNTIFS(U453,"BU",'Eval-LSTK (2)'!U14,"*X*"),"XBU",IF(COUNTIFS(U453,"BU",'Eval-LSTK (2)'!U14,"*R*"),"RBU",    IF(COUNTIFS(U453,"BR",'Eval-LSTK (2)'!U14,"*X*"),"XBR",IF(COUNTIFS(U453,"BR",'Eval-LSTK (2)'!U14,"*R*"),"RBR")  )   ))))</f>
        <v>0</v>
      </c>
      <c r="V470" s="40" t="b">
        <f>IF(COUNTIFS(V453,"Prim",'Eval-LSTK (2)'!V14,"*X*"),"XPRIM",IF(COUNTIFS(V453,"Prim",'Eval-LSTK (2)'!V14,"*R*"),"RPRIM",      IF(COUNTIFS(V453,"BU",'Eval-LSTK (2)'!V14,"*X*"),"XBU",IF(COUNTIFS(V453,"BU",'Eval-LSTK (2)'!V14,"*R*"),"RBU",    IF(COUNTIFS(V453,"BR",'Eval-LSTK (2)'!V14,"*X*"),"XBR",IF(COUNTIFS(V453,"BR",'Eval-LSTK (2)'!V14,"*R*"),"RBR")  )   ))))</f>
        <v>0</v>
      </c>
      <c r="W470" s="40" t="b">
        <f>IF(COUNTIFS(W453,"Prim",'Eval-LSTK (2)'!W14,"*X*"),"XPRIM",IF(COUNTIFS(W453,"Prim",'Eval-LSTK (2)'!W14,"*R*"),"RPRIM",      IF(COUNTIFS(W453,"BU",'Eval-LSTK (2)'!W14,"*X*"),"XBU",IF(COUNTIFS(W453,"BU",'Eval-LSTK (2)'!W14,"*R*"),"RBU",    IF(COUNTIFS(W453,"BR",'Eval-LSTK (2)'!W14,"*X*"),"XBR",IF(COUNTIFS(W453,"BR",'Eval-LSTK (2)'!W14,"*R*"),"RBR")  )   ))))</f>
        <v>0</v>
      </c>
      <c r="X470" s="40" t="b">
        <f>IF(COUNTIFS(X453,"Prim",'Eval-LSTK (2)'!X14,"*X*"),"XPRIM",IF(COUNTIFS(X453,"Prim",'Eval-LSTK (2)'!X14,"*R*"),"RPRIM",      IF(COUNTIFS(X453,"BU",'Eval-LSTK (2)'!X14,"*X*"),"XBU",IF(COUNTIFS(X453,"BU",'Eval-LSTK (2)'!X14,"*R*"),"RBU",    IF(COUNTIFS(X453,"BR",'Eval-LSTK (2)'!X14,"*X*"),"XBR",IF(COUNTIFS(X453,"BR",'Eval-LSTK (2)'!X14,"*R*"),"RBR")  )   ))))</f>
        <v>0</v>
      </c>
      <c r="Y470" s="40" t="b">
        <f>IF(COUNTIFS(Y453,"Prim",'Eval-LSTK (2)'!Y14,"*X*"),"XPRIM",IF(COUNTIFS(Y453,"Prim",'Eval-LSTK (2)'!Y14,"*R*"),"RPRIM",      IF(COUNTIFS(Y453,"BU",'Eval-LSTK (2)'!Y14,"*X*"),"XBU",IF(COUNTIFS(Y453,"BU",'Eval-LSTK (2)'!Y14,"*R*"),"RBU",    IF(COUNTIFS(Y453,"BR",'Eval-LSTK (2)'!Y14,"*X*"),"XBR",IF(COUNTIFS(Y453,"BR",'Eval-LSTK (2)'!Y14,"*R*"),"RBR")  )   ))))</f>
        <v>0</v>
      </c>
      <c r="Z470" s="40" t="b">
        <f>IF(COUNTIFS(Z453,"Prim",'Eval-LSTK (2)'!Z14,"*X*"),"XPRIM",IF(COUNTIFS(Z453,"Prim",'Eval-LSTK (2)'!Z14,"*R*"),"RPRIM",      IF(COUNTIFS(Z453,"BU",'Eval-LSTK (2)'!Z14,"*X*"),"XBU",IF(COUNTIFS(Z453,"BU",'Eval-LSTK (2)'!Z14,"*R*"),"RBU",    IF(COUNTIFS(Z453,"BR",'Eval-LSTK (2)'!Z14,"*X*"),"XBR",IF(COUNTIFS(Z453,"BR",'Eval-LSTK (2)'!Z14,"*R*"),"RBR")  )   ))))</f>
        <v>0</v>
      </c>
      <c r="AA470" s="40" t="b">
        <f>IF(COUNTIFS(AA453,"Prim",'Eval-LSTK (2)'!AA14,"*X*"),"XPRIM",IF(COUNTIFS(AA453,"Prim",'Eval-LSTK (2)'!AA14,"*R*"),"RPRIM",      IF(COUNTIFS(AA453,"BU",'Eval-LSTK (2)'!AA14,"*X*"),"XBU",IF(COUNTIFS(AA453,"BU",'Eval-LSTK (2)'!AA14,"*R*"),"RBU",    IF(COUNTIFS(AA453,"BR",'Eval-LSTK (2)'!AA14,"*X*"),"XBR",IF(COUNTIFS(AA453,"BR",'Eval-LSTK (2)'!AA14,"*R*"),"RBR")  )   ))))</f>
        <v>0</v>
      </c>
      <c r="AB470" s="40" t="b">
        <f>IF(COUNTIFS(AB453,"Prim",'Eval-LSTK (2)'!AB14,"*X*"),"XPRIM",IF(COUNTIFS(AB453,"Prim",'Eval-LSTK (2)'!AB14,"*R*"),"RPRIM",      IF(COUNTIFS(AB453,"BU",'Eval-LSTK (2)'!AB14,"*X*"),"XBU",IF(COUNTIFS(AB453,"BU",'Eval-LSTK (2)'!AB14,"*R*"),"RBU",    IF(COUNTIFS(AB453,"BR",'Eval-LSTK (2)'!AB14,"*X*"),"XBR",IF(COUNTIFS(AB453,"BR",'Eval-LSTK (2)'!AB14,"*R*"),"RBR")  )   ))))</f>
        <v>0</v>
      </c>
      <c r="AC470" s="40" t="b">
        <f>IF(COUNTIFS(AC453,"Prim",'Eval-LSTK (2)'!AC14,"*X*"),"XPRIM",IF(COUNTIFS(AC453,"Prim",'Eval-LSTK (2)'!AC14,"*R*"),"RPRIM",      IF(COUNTIFS(AC453,"BU",'Eval-LSTK (2)'!AC14,"*X*"),"XBU",IF(COUNTIFS(AC453,"BU",'Eval-LSTK (2)'!AC14,"*R*"),"RBU",    IF(COUNTIFS(AC453,"BR",'Eval-LSTK (2)'!AC14,"*X*"),"XBR",IF(COUNTIFS(AC453,"BR",'Eval-LSTK (2)'!AC14,"*R*"),"RBR")  )   ))))</f>
        <v>0</v>
      </c>
      <c r="AD470" s="40" t="b">
        <f>IF(COUNTIFS(AD453,"Prim",'Eval-LSTK (2)'!AD14,"*X*"),"XPRIM",IF(COUNTIFS(AD453,"Prim",'Eval-LSTK (2)'!AD14,"*R*"),"RPRIM",      IF(COUNTIFS(AD453,"BU",'Eval-LSTK (2)'!AD14,"*X*"),"XBU",IF(COUNTIFS(AD453,"BU",'Eval-LSTK (2)'!AD14,"*R*"),"RBU",    IF(COUNTIFS(AD453,"BR",'Eval-LSTK (2)'!AD14,"*X*"),"XBR",IF(COUNTIFS(AD453,"BR",'Eval-LSTK (2)'!AD14,"*R*"),"RBR")  )   ))))</f>
        <v>0</v>
      </c>
      <c r="AE470" s="40" t="b">
        <f>IF(COUNTIFS(AE453,"Prim",'Eval-LSTK (2)'!AE14,"*X*"),"XPRIM",IF(COUNTIFS(AE453,"Prim",'Eval-LSTK (2)'!AE14,"*R*"),"RPRIM",      IF(COUNTIFS(AE453,"BU",'Eval-LSTK (2)'!AE14,"*X*"),"XBU",IF(COUNTIFS(AE453,"BU",'Eval-LSTK (2)'!AE14,"*R*"),"RBU",    IF(COUNTIFS(AE453,"BR",'Eval-LSTK (2)'!AE14,"*X*"),"XBR",IF(COUNTIFS(AE453,"BR",'Eval-LSTK (2)'!AE14,"*R*"),"RBR")  )   ))))</f>
        <v>0</v>
      </c>
      <c r="AF470" s="40" t="b">
        <f>IF(COUNTIFS(AF453,"Prim",'Eval-LSTK (2)'!AF14,"*X*"),"XPRIM",IF(COUNTIFS(AF453,"Prim",'Eval-LSTK (2)'!AF14,"*R*"),"RPRIM",      IF(COUNTIFS(AF453,"BU",'Eval-LSTK (2)'!AF14,"*X*"),"XBU",IF(COUNTIFS(AF453,"BU",'Eval-LSTK (2)'!AF14,"*R*"),"RBU",    IF(COUNTIFS(AF453,"BR",'Eval-LSTK (2)'!AF14,"*X*"),"XBR",IF(COUNTIFS(AF453,"BR",'Eval-LSTK (2)'!AF14,"*R*"),"RBR")  )   ))))</f>
        <v>0</v>
      </c>
      <c r="AG470" s="40" t="b">
        <f>IF(COUNTIFS(AG453,"Prim",'Eval-LSTK (2)'!AG14,"*X*"),"XPRIM",IF(COUNTIFS(AG453,"Prim",'Eval-LSTK (2)'!AG14,"*R*"),"RPRIM",      IF(COUNTIFS(AG453,"BU",'Eval-LSTK (2)'!AG14,"*X*"),"XBU",IF(COUNTIFS(AG453,"BU",'Eval-LSTK (2)'!AG14,"*R*"),"RBU",    IF(COUNTIFS(AG453,"BR",'Eval-LSTK (2)'!AG14,"*X*"),"XBR",IF(COUNTIFS(AG453,"BR",'Eval-LSTK (2)'!AG14,"*R*"),"RBR")  )   ))))</f>
        <v>0</v>
      </c>
      <c r="AH470" s="40" t="b">
        <f>IF(COUNTIFS(AH453,"Prim",'Eval-LSTK (2)'!AH14,"*X*"),"XPRIM",IF(COUNTIFS(AH453,"Prim",'Eval-LSTK (2)'!AH14,"*R*"),"RPRIM",      IF(COUNTIFS(AH453,"BU",'Eval-LSTK (2)'!AH14,"*X*"),"XBU",IF(COUNTIFS(AH453,"BU",'Eval-LSTK (2)'!AH14,"*R*"),"RBU",    IF(COUNTIFS(AH453,"BR",'Eval-LSTK (2)'!AH14,"*X*"),"XBR",IF(COUNTIFS(AH453,"BR",'Eval-LSTK (2)'!AH14,"*R*"),"RBR")  )   ))))</f>
        <v>0</v>
      </c>
      <c r="AI470" s="40" t="b">
        <f>IF(COUNTIFS(AI453,"Prim",'Eval-LSTK (2)'!AI14,"*X*"),"XPRIM",IF(COUNTIFS(AI453,"Prim",'Eval-LSTK (2)'!AI14,"*R*"),"RPRIM",      IF(COUNTIFS(AI453,"BU",'Eval-LSTK (2)'!AI14,"*X*"),"XBU",IF(COUNTIFS(AI453,"BU",'Eval-LSTK (2)'!AI14,"*R*"),"RBU",    IF(COUNTIFS(AI453,"BR",'Eval-LSTK (2)'!AI14,"*X*"),"XBR",IF(COUNTIFS(AI453,"BR",'Eval-LSTK (2)'!AI14,"*R*"),"RBR")  )   ))))</f>
        <v>0</v>
      </c>
    </row>
    <row r="471" spans="1:43" x14ac:dyDescent="0.35">
      <c r="A471" s="1196"/>
      <c r="B471" s="22">
        <v>4</v>
      </c>
      <c r="C471" s="40" t="str">
        <f>IF(COUNTIFS(C454,"Prim",'Eval-LSTK (2)'!C15,"*X*"),"XPRIM",IF(COUNTIFS(C454,"Prim",'Eval-LSTK (2)'!C15,"*R*"),"RPRIM",      IF(COUNTIFS(C454,"BU",'Eval-LSTK (2)'!C15,"*X*"),"XBU",IF(COUNTIFS(C454,"BU",'Eval-LSTK (2)'!C15,"*R*"),"RBU",    IF(COUNTIFS(C454,"BR",'Eval-LSTK (2)'!C15,"*X*"),"XBR",IF(COUNTIFS(C454,"BR",'Eval-LSTK (2)'!C15,"*R*"),"RBR")  )   ))))</f>
        <v>XPRIM</v>
      </c>
      <c r="D471" s="40" t="str">
        <f>IF(COUNTIFS(D454,"Prim",'Eval-LSTK (2)'!D15,"*X*"),"XPRIM",IF(COUNTIFS(D454,"Prim",'Eval-LSTK (2)'!D15,"*R*"),"RPRIM",      IF(COUNTIFS(D454,"BU",'Eval-LSTK (2)'!D15,"*X*"),"XBU",IF(COUNTIFS(D454,"BU",'Eval-LSTK (2)'!D15,"*R*"),"RBU",    IF(COUNTIFS(D454,"BR",'Eval-LSTK (2)'!D15,"*X*"),"XBR",IF(COUNTIFS(D454,"BR",'Eval-LSTK (2)'!D15,"*R*"),"RBR")  )   ))))</f>
        <v>XPRIM</v>
      </c>
      <c r="E471" s="40" t="str">
        <f>IF(COUNTIFS(E454,"Prim",'Eval-LSTK (2)'!E15,"*X*"),"XPRIM",IF(COUNTIFS(E454,"Prim",'Eval-LSTK (2)'!E15,"*R*"),"RPRIM",      IF(COUNTIFS(E454,"BU",'Eval-LSTK (2)'!E15,"*X*"),"XBU",IF(COUNTIFS(E454,"BU",'Eval-LSTK (2)'!E15,"*R*"),"RBU",    IF(COUNTIFS(E454,"BR",'Eval-LSTK (2)'!E15,"*X*"),"XBR",IF(COUNTIFS(E454,"BR",'Eval-LSTK (2)'!E15,"*R*"),"RBR")  )   ))))</f>
        <v>XPRIM</v>
      </c>
      <c r="F471" s="40" t="str">
        <f>IF(COUNTIFS(F454,"Prim",'Eval-LSTK (2)'!F15,"*X*"),"XPRIM",IF(COUNTIFS(F454,"Prim",'Eval-LSTK (2)'!F15,"*R*"),"RPRIM",      IF(COUNTIFS(F454,"BU",'Eval-LSTK (2)'!F15,"*X*"),"XBU",IF(COUNTIFS(F454,"BU",'Eval-LSTK (2)'!F15,"*R*"),"RBU",    IF(COUNTIFS(F454,"BR",'Eval-LSTK (2)'!F15,"*X*"),"XBR",IF(COUNTIFS(F454,"BR",'Eval-LSTK (2)'!F15,"*R*"),"RBR")  )   ))))</f>
        <v>XPRIM</v>
      </c>
      <c r="G471" s="40" t="str">
        <f>IF(COUNTIFS(G454,"Prim",'Eval-LSTK (2)'!G15,"*X*"),"XPRIM",IF(COUNTIFS(G454,"Prim",'Eval-LSTK (2)'!G15,"*R*"),"RPRIM",      IF(COUNTIFS(G454,"BU",'Eval-LSTK (2)'!G15,"*X*"),"XBU",IF(COUNTIFS(G454,"BU",'Eval-LSTK (2)'!G15,"*R*"),"RBU",    IF(COUNTIFS(G454,"BR",'Eval-LSTK (2)'!G15,"*X*"),"XBR",IF(COUNTIFS(G454,"BR",'Eval-LSTK (2)'!G15,"*R*"),"RBR")  )   ))))</f>
        <v>RPRIM</v>
      </c>
      <c r="H471" s="40" t="str">
        <f>IF(COUNTIFS(H454,"Prim",'Eval-LSTK (2)'!H15,"*X*"),"XPRIM",IF(COUNTIFS(H454,"Prim",'Eval-LSTK (2)'!H15,"*R*"),"RPRIM",      IF(COUNTIFS(H454,"BU",'Eval-LSTK (2)'!H15,"*X*"),"XBU",IF(COUNTIFS(H454,"BU",'Eval-LSTK (2)'!H15,"*R*"),"RBU",    IF(COUNTIFS(H454,"BR",'Eval-LSTK (2)'!H15,"*X*"),"XBR",IF(COUNTIFS(H454,"BR",'Eval-LSTK (2)'!H15,"*R*"),"RBR")  )   ))))</f>
        <v>XBR</v>
      </c>
      <c r="I471" s="40" t="b">
        <f>IF(COUNTIFS(I454,"Prim",'Eval-LSTK (2)'!I15,"*X*"),"XPRIM",IF(COUNTIFS(I454,"Prim",'Eval-LSTK (2)'!I15,"*R*"),"RPRIM",      IF(COUNTIFS(I454,"BU",'Eval-LSTK (2)'!I15,"*X*"),"XBU",IF(COUNTIFS(I454,"BU",'Eval-LSTK (2)'!I15,"*R*"),"RBU",    IF(COUNTIFS(I454,"BR",'Eval-LSTK (2)'!I15,"*X*"),"XBR",IF(COUNTIFS(I454,"BR",'Eval-LSTK (2)'!I15,"*R*"),"RBR")  )   ))))</f>
        <v>0</v>
      </c>
      <c r="J471" s="40" t="b">
        <f>IF(COUNTIFS(J454,"Prim",'Eval-LSTK (2)'!J15,"*X*"),"XPRIM",IF(COUNTIFS(J454,"Prim",'Eval-LSTK (2)'!J15,"*R*"),"RPRIM",      IF(COUNTIFS(J454,"BU",'Eval-LSTK (2)'!J15,"*X*"),"XBU",IF(COUNTIFS(J454,"BU",'Eval-LSTK (2)'!J15,"*R*"),"RBU",    IF(COUNTIFS(J454,"BR",'Eval-LSTK (2)'!J15,"*X*"),"XBR",IF(COUNTIFS(J454,"BR",'Eval-LSTK (2)'!J15,"*R*"),"RBR")  )   ))))</f>
        <v>0</v>
      </c>
      <c r="K471" s="40" t="b">
        <f>IF(COUNTIFS(K454,"Prim",'Eval-LSTK (2)'!K15,"*X*"),"XPRIM",IF(COUNTIFS(K454,"Prim",'Eval-LSTK (2)'!K15,"*R*"),"RPRIM",      IF(COUNTIFS(K454,"BU",'Eval-LSTK (2)'!K15,"*X*"),"XBU",IF(COUNTIFS(K454,"BU",'Eval-LSTK (2)'!K15,"*R*"),"RBU",    IF(COUNTIFS(K454,"BR",'Eval-LSTK (2)'!K15,"*X*"),"XBR",IF(COUNTIFS(K454,"BR",'Eval-LSTK (2)'!K15,"*R*"),"RBR")  )   ))))</f>
        <v>0</v>
      </c>
      <c r="L471" s="40" t="str">
        <f>IF(COUNTIFS(L454,"Prim",'Eval-LSTK (2)'!L15,"*X*"),"XPRIM",IF(COUNTIFS(L454,"Prim",'Eval-LSTK (2)'!L15,"*R*"),"RPRIM",      IF(COUNTIFS(L454,"BU",'Eval-LSTK (2)'!L15,"*X*"),"XBU",IF(COUNTIFS(L454,"BU",'Eval-LSTK (2)'!L15,"*R*"),"RBU",    IF(COUNTIFS(L454,"BR",'Eval-LSTK (2)'!L15,"*X*"),"XBR",IF(COUNTIFS(L454,"BR",'Eval-LSTK (2)'!L15,"*R*"),"RBR")  )   ))))</f>
        <v>RBU</v>
      </c>
      <c r="M471" s="40" t="str">
        <f>IF(COUNTIFS(M454,"Prim",'Eval-LSTK (2)'!M15,"*X*"),"XPRIM",IF(COUNTIFS(M454,"Prim",'Eval-LSTK (2)'!M15,"*R*"),"RPRIM",      IF(COUNTIFS(M454,"BU",'Eval-LSTK (2)'!M15,"*X*"),"XBU",IF(COUNTIFS(M454,"BU",'Eval-LSTK (2)'!M15,"*R*"),"RBU",    IF(COUNTIFS(M454,"BR",'Eval-LSTK (2)'!M15,"*X*"),"XBR",IF(COUNTIFS(M454,"BR",'Eval-LSTK (2)'!M15,"*R*"),"RBR")  )   ))))</f>
        <v>RBU</v>
      </c>
      <c r="N471" s="40" t="str">
        <f>IF(COUNTIFS(N454,"Prim",'Eval-LSTK (2)'!N15,"*X*"),"XPRIM",IF(COUNTIFS(N454,"Prim",'Eval-LSTK (2)'!N15,"*R*"),"RPRIM",      IF(COUNTIFS(N454,"BU",'Eval-LSTK (2)'!N15,"*X*"),"XBU",IF(COUNTIFS(N454,"BU",'Eval-LSTK (2)'!N15,"*R*"),"RBU",    IF(COUNTIFS(N454,"BR",'Eval-LSTK (2)'!N15,"*X*"),"XBR",IF(COUNTIFS(N454,"BR",'Eval-LSTK (2)'!N15,"*R*"),"RBR")  )   ))))</f>
        <v>RBU</v>
      </c>
      <c r="O471" s="40" t="b">
        <f>IF(COUNTIFS(O454,"Prim",'Eval-LSTK (2)'!O15,"*X*"),"XPRIM",IF(COUNTIFS(O454,"Prim",'Eval-LSTK (2)'!O15,"*R*"),"RPRIM",      IF(COUNTIFS(O454,"BU",'Eval-LSTK (2)'!O15,"*X*"),"XBU",IF(COUNTIFS(O454,"BU",'Eval-LSTK (2)'!O15,"*R*"),"RBU",    IF(COUNTIFS(O454,"BR",'Eval-LSTK (2)'!O15,"*X*"),"XBR",IF(COUNTIFS(O454,"BR",'Eval-LSTK (2)'!O15,"*R*"),"RBR")  )   ))))</f>
        <v>0</v>
      </c>
      <c r="P471" s="40" t="b">
        <f>IF(COUNTIFS(P454,"Prim",'Eval-LSTK (2)'!P15,"*X*"),"XPRIM",IF(COUNTIFS(P454,"Prim",'Eval-LSTK (2)'!P15,"*R*"),"RPRIM",      IF(COUNTIFS(P454,"BU",'Eval-LSTK (2)'!P15,"*X*"),"XBU",IF(COUNTIFS(P454,"BU",'Eval-LSTK (2)'!P15,"*R*"),"RBU",    IF(COUNTIFS(P454,"BR",'Eval-LSTK (2)'!P15,"*X*"),"XBR",IF(COUNTIFS(P454,"BR",'Eval-LSTK (2)'!P15,"*R*"),"RBR")  )   ))))</f>
        <v>0</v>
      </c>
      <c r="Q471" s="40" t="b">
        <f>IF(COUNTIFS(Q454,"Prim",'Eval-LSTK (2)'!Q15,"*X*"),"XPRIM",IF(COUNTIFS(Q454,"Prim",'Eval-LSTK (2)'!Q15,"*R*"),"RPRIM",      IF(COUNTIFS(Q454,"BU",'Eval-LSTK (2)'!Q15,"*X*"),"XBU",IF(COUNTIFS(Q454,"BU",'Eval-LSTK (2)'!Q15,"*R*"),"RBU",    IF(COUNTIFS(Q454,"BR",'Eval-LSTK (2)'!Q15,"*X*"),"XBR",IF(COUNTIFS(Q454,"BR",'Eval-LSTK (2)'!Q15,"*R*"),"RBR")  )   ))))</f>
        <v>0</v>
      </c>
      <c r="R471" s="40" t="b">
        <f>IF(COUNTIFS(R454,"Prim",'Eval-LSTK (2)'!R15,"*X*"),"XPRIM",IF(COUNTIFS(R454,"Prim",'Eval-LSTK (2)'!R15,"*R*"),"RPRIM",      IF(COUNTIFS(R454,"BU",'Eval-LSTK (2)'!R15,"*X*"),"XBU",IF(COUNTIFS(R454,"BU",'Eval-LSTK (2)'!R15,"*R*"),"RBU",    IF(COUNTIFS(R454,"BR",'Eval-LSTK (2)'!R15,"*X*"),"XBR",IF(COUNTIFS(R454,"BR",'Eval-LSTK (2)'!R15,"*R*"),"RBR")  )   ))))</f>
        <v>0</v>
      </c>
      <c r="S471" s="40" t="b">
        <f>IF(COUNTIFS(S454,"Prim",'Eval-LSTK (2)'!S15,"*X*"),"XPRIM",IF(COUNTIFS(S454,"Prim",'Eval-LSTK (2)'!S15,"*R*"),"RPRIM",      IF(COUNTIFS(S454,"BU",'Eval-LSTK (2)'!S15,"*X*"),"XBU",IF(COUNTIFS(S454,"BU",'Eval-LSTK (2)'!S15,"*R*"),"RBU",    IF(COUNTIFS(S454,"BR",'Eval-LSTK (2)'!S15,"*X*"),"XBR",IF(COUNTIFS(S454,"BR",'Eval-LSTK (2)'!S15,"*R*"),"RBR")  )   ))))</f>
        <v>0</v>
      </c>
      <c r="T471" s="40" t="b">
        <f>IF(COUNTIFS(T454,"Prim",'Eval-LSTK (2)'!T15,"*X*"),"XPRIM",IF(COUNTIFS(T454,"Prim",'Eval-LSTK (2)'!T15,"*R*"),"RPRIM",      IF(COUNTIFS(T454,"BU",'Eval-LSTK (2)'!T15,"*X*"),"XBU",IF(COUNTIFS(T454,"BU",'Eval-LSTK (2)'!T15,"*R*"),"RBU",    IF(COUNTIFS(T454,"BR",'Eval-LSTK (2)'!T15,"*X*"),"XBR",IF(COUNTIFS(T454,"BR",'Eval-LSTK (2)'!T15,"*R*"),"RBR")  )   ))))</f>
        <v>0</v>
      </c>
      <c r="U471" s="40" t="b">
        <f>IF(COUNTIFS(U454,"Prim",'Eval-LSTK (2)'!U15,"*X*"),"XPRIM",IF(COUNTIFS(U454,"Prim",'Eval-LSTK (2)'!U15,"*R*"),"RPRIM",      IF(COUNTIFS(U454,"BU",'Eval-LSTK (2)'!U15,"*X*"),"XBU",IF(COUNTIFS(U454,"BU",'Eval-LSTK (2)'!U15,"*R*"),"RBU",    IF(COUNTIFS(U454,"BR",'Eval-LSTK (2)'!U15,"*X*"),"XBR",IF(COUNTIFS(U454,"BR",'Eval-LSTK (2)'!U15,"*R*"),"RBR")  )   ))))</f>
        <v>0</v>
      </c>
      <c r="V471" s="40" t="b">
        <f>IF(COUNTIFS(V454,"Prim",'Eval-LSTK (2)'!V15,"*X*"),"XPRIM",IF(COUNTIFS(V454,"Prim",'Eval-LSTK (2)'!V15,"*R*"),"RPRIM",      IF(COUNTIFS(V454,"BU",'Eval-LSTK (2)'!V15,"*X*"),"XBU",IF(COUNTIFS(V454,"BU",'Eval-LSTK (2)'!V15,"*R*"),"RBU",    IF(COUNTIFS(V454,"BR",'Eval-LSTK (2)'!V15,"*X*"),"XBR",IF(COUNTIFS(V454,"BR",'Eval-LSTK (2)'!V15,"*R*"),"RBR")  )   ))))</f>
        <v>0</v>
      </c>
      <c r="W471" s="40" t="b">
        <f>IF(COUNTIFS(W454,"Prim",'Eval-LSTK (2)'!W15,"*X*"),"XPRIM",IF(COUNTIFS(W454,"Prim",'Eval-LSTK (2)'!W15,"*R*"),"RPRIM",      IF(COUNTIFS(W454,"BU",'Eval-LSTK (2)'!W15,"*X*"),"XBU",IF(COUNTIFS(W454,"BU",'Eval-LSTK (2)'!W15,"*R*"),"RBU",    IF(COUNTIFS(W454,"BR",'Eval-LSTK (2)'!W15,"*X*"),"XBR",IF(COUNTIFS(W454,"BR",'Eval-LSTK (2)'!W15,"*R*"),"RBR")  )   ))))</f>
        <v>0</v>
      </c>
      <c r="X471" s="40" t="b">
        <f>IF(COUNTIFS(X454,"Prim",'Eval-LSTK (2)'!X15,"*X*"),"XPRIM",IF(COUNTIFS(X454,"Prim",'Eval-LSTK (2)'!X15,"*R*"),"RPRIM",      IF(COUNTIFS(X454,"BU",'Eval-LSTK (2)'!X15,"*X*"),"XBU",IF(COUNTIFS(X454,"BU",'Eval-LSTK (2)'!X15,"*R*"),"RBU",    IF(COUNTIFS(X454,"BR",'Eval-LSTK (2)'!X15,"*X*"),"XBR",IF(COUNTIFS(X454,"BR",'Eval-LSTK (2)'!X15,"*R*"),"RBR")  )   ))))</f>
        <v>0</v>
      </c>
      <c r="Y471" s="40" t="b">
        <f>IF(COUNTIFS(Y454,"Prim",'Eval-LSTK (2)'!Y15,"*X*"),"XPRIM",IF(COUNTIFS(Y454,"Prim",'Eval-LSTK (2)'!Y15,"*R*"),"RPRIM",      IF(COUNTIFS(Y454,"BU",'Eval-LSTK (2)'!Y15,"*X*"),"XBU",IF(COUNTIFS(Y454,"BU",'Eval-LSTK (2)'!Y15,"*R*"),"RBU",    IF(COUNTIFS(Y454,"BR",'Eval-LSTK (2)'!Y15,"*X*"),"XBR",IF(COUNTIFS(Y454,"BR",'Eval-LSTK (2)'!Y15,"*R*"),"RBR")  )   ))))</f>
        <v>0</v>
      </c>
      <c r="Z471" s="40" t="b">
        <f>IF(COUNTIFS(Z454,"Prim",'Eval-LSTK (2)'!Z15,"*X*"),"XPRIM",IF(COUNTIFS(Z454,"Prim",'Eval-LSTK (2)'!Z15,"*R*"),"RPRIM",      IF(COUNTIFS(Z454,"BU",'Eval-LSTK (2)'!Z15,"*X*"),"XBU",IF(COUNTIFS(Z454,"BU",'Eval-LSTK (2)'!Z15,"*R*"),"RBU",    IF(COUNTIFS(Z454,"BR",'Eval-LSTK (2)'!Z15,"*X*"),"XBR",IF(COUNTIFS(Z454,"BR",'Eval-LSTK (2)'!Z15,"*R*"),"RBR")  )   ))))</f>
        <v>0</v>
      </c>
      <c r="AA471" s="40" t="b">
        <f>IF(COUNTIFS(AA454,"Prim",'Eval-LSTK (2)'!AA15,"*X*"),"XPRIM",IF(COUNTIFS(AA454,"Prim",'Eval-LSTK (2)'!AA15,"*R*"),"RPRIM",      IF(COUNTIFS(AA454,"BU",'Eval-LSTK (2)'!AA15,"*X*"),"XBU",IF(COUNTIFS(AA454,"BU",'Eval-LSTK (2)'!AA15,"*R*"),"RBU",    IF(COUNTIFS(AA454,"BR",'Eval-LSTK (2)'!AA15,"*X*"),"XBR",IF(COUNTIFS(AA454,"BR",'Eval-LSTK (2)'!AA15,"*R*"),"RBR")  )   ))))</f>
        <v>0</v>
      </c>
      <c r="AB471" s="40" t="b">
        <f>IF(COUNTIFS(AB454,"Prim",'Eval-LSTK (2)'!AB15,"*X*"),"XPRIM",IF(COUNTIFS(AB454,"Prim",'Eval-LSTK (2)'!AB15,"*R*"),"RPRIM",      IF(COUNTIFS(AB454,"BU",'Eval-LSTK (2)'!AB15,"*X*"),"XBU",IF(COUNTIFS(AB454,"BU",'Eval-LSTK (2)'!AB15,"*R*"),"RBU",    IF(COUNTIFS(AB454,"BR",'Eval-LSTK (2)'!AB15,"*X*"),"XBR",IF(COUNTIFS(AB454,"BR",'Eval-LSTK (2)'!AB15,"*R*"),"RBR")  )   ))))</f>
        <v>0</v>
      </c>
      <c r="AC471" s="40" t="b">
        <f>IF(COUNTIFS(AC454,"Prim",'Eval-LSTK (2)'!AC15,"*X*"),"XPRIM",IF(COUNTIFS(AC454,"Prim",'Eval-LSTK (2)'!AC15,"*R*"),"RPRIM",      IF(COUNTIFS(AC454,"BU",'Eval-LSTK (2)'!AC15,"*X*"),"XBU",IF(COUNTIFS(AC454,"BU",'Eval-LSTK (2)'!AC15,"*R*"),"RBU",    IF(COUNTIFS(AC454,"BR",'Eval-LSTK (2)'!AC15,"*X*"),"XBR",IF(COUNTIFS(AC454,"BR",'Eval-LSTK (2)'!AC15,"*R*"),"RBR")  )   ))))</f>
        <v>0</v>
      </c>
      <c r="AD471" s="40" t="b">
        <f>IF(COUNTIFS(AD454,"Prim",'Eval-LSTK (2)'!AD15,"*X*"),"XPRIM",IF(COUNTIFS(AD454,"Prim",'Eval-LSTK (2)'!AD15,"*R*"),"RPRIM",      IF(COUNTIFS(AD454,"BU",'Eval-LSTK (2)'!AD15,"*X*"),"XBU",IF(COUNTIFS(AD454,"BU",'Eval-LSTK (2)'!AD15,"*R*"),"RBU",    IF(COUNTIFS(AD454,"BR",'Eval-LSTK (2)'!AD15,"*X*"),"XBR",IF(COUNTIFS(AD454,"BR",'Eval-LSTK (2)'!AD15,"*R*"),"RBR")  )   ))))</f>
        <v>0</v>
      </c>
      <c r="AE471" s="40" t="b">
        <f>IF(COUNTIFS(AE454,"Prim",'Eval-LSTK (2)'!AE15,"*X*"),"XPRIM",IF(COUNTIFS(AE454,"Prim",'Eval-LSTK (2)'!AE15,"*R*"),"RPRIM",      IF(COUNTIFS(AE454,"BU",'Eval-LSTK (2)'!AE15,"*X*"),"XBU",IF(COUNTIFS(AE454,"BU",'Eval-LSTK (2)'!AE15,"*R*"),"RBU",    IF(COUNTIFS(AE454,"BR",'Eval-LSTK (2)'!AE15,"*X*"),"XBR",IF(COUNTIFS(AE454,"BR",'Eval-LSTK (2)'!AE15,"*R*"),"RBR")  )   ))))</f>
        <v>0</v>
      </c>
      <c r="AF471" s="40" t="b">
        <f>IF(COUNTIFS(AF454,"Prim",'Eval-LSTK (2)'!AF15,"*X*"),"XPRIM",IF(COUNTIFS(AF454,"Prim",'Eval-LSTK (2)'!AF15,"*R*"),"RPRIM",      IF(COUNTIFS(AF454,"BU",'Eval-LSTK (2)'!AF15,"*X*"),"XBU",IF(COUNTIFS(AF454,"BU",'Eval-LSTK (2)'!AF15,"*R*"),"RBU",    IF(COUNTIFS(AF454,"BR",'Eval-LSTK (2)'!AF15,"*X*"),"XBR",IF(COUNTIFS(AF454,"BR",'Eval-LSTK (2)'!AF15,"*R*"),"RBR")  )   ))))</f>
        <v>0</v>
      </c>
      <c r="AG471" s="40" t="b">
        <f>IF(COUNTIFS(AG454,"Prim",'Eval-LSTK (2)'!AG15,"*X*"),"XPRIM",IF(COUNTIFS(AG454,"Prim",'Eval-LSTK (2)'!AG15,"*R*"),"RPRIM",      IF(COUNTIFS(AG454,"BU",'Eval-LSTK (2)'!AG15,"*X*"),"XBU",IF(COUNTIFS(AG454,"BU",'Eval-LSTK (2)'!AG15,"*R*"),"RBU",    IF(COUNTIFS(AG454,"BR",'Eval-LSTK (2)'!AG15,"*X*"),"XBR",IF(COUNTIFS(AG454,"BR",'Eval-LSTK (2)'!AG15,"*R*"),"RBR")  )   ))))</f>
        <v>0</v>
      </c>
      <c r="AH471" s="40" t="b">
        <f>IF(COUNTIFS(AH454,"Prim",'Eval-LSTK (2)'!AH15,"*X*"),"XPRIM",IF(COUNTIFS(AH454,"Prim",'Eval-LSTK (2)'!AH15,"*R*"),"RPRIM",      IF(COUNTIFS(AH454,"BU",'Eval-LSTK (2)'!AH15,"*X*"),"XBU",IF(COUNTIFS(AH454,"BU",'Eval-LSTK (2)'!AH15,"*R*"),"RBU",    IF(COUNTIFS(AH454,"BR",'Eval-LSTK (2)'!AH15,"*X*"),"XBR",IF(COUNTIFS(AH454,"BR",'Eval-LSTK (2)'!AH15,"*R*"),"RBR")  )   ))))</f>
        <v>0</v>
      </c>
      <c r="AI471" s="40" t="b">
        <f>IF(COUNTIFS(AI454,"Prim",'Eval-LSTK (2)'!AI15,"*X*"),"XPRIM",IF(COUNTIFS(AI454,"Prim",'Eval-LSTK (2)'!AI15,"*R*"),"RPRIM",      IF(COUNTIFS(AI454,"BU",'Eval-LSTK (2)'!AI15,"*X*"),"XBU",IF(COUNTIFS(AI454,"BU",'Eval-LSTK (2)'!AI15,"*R*"),"RBU",    IF(COUNTIFS(AI454,"BR",'Eval-LSTK (2)'!AI15,"*X*"),"XBR",IF(COUNTIFS(AI454,"BR",'Eval-LSTK (2)'!AI15,"*R*"),"RBR")  )   ))))</f>
        <v>0</v>
      </c>
    </row>
    <row r="472" spans="1:43" x14ac:dyDescent="0.35">
      <c r="A472" s="1196"/>
      <c r="B472" s="22">
        <v>5</v>
      </c>
      <c r="C472" s="40" t="str">
        <f>IF(COUNTIFS(C455,"Prim",'Eval-LSTK (2)'!C16,"*X*"),"XPRIM",IF(COUNTIFS(C455,"Prim",'Eval-LSTK (2)'!C16,"*R*"),"RPRIM",      IF(COUNTIFS(C455,"BU",'Eval-LSTK (2)'!C16,"*X*"),"XBU",IF(COUNTIFS(C455,"BU",'Eval-LSTK (2)'!C16,"*R*"),"RBU",    IF(COUNTIFS(C455,"BR",'Eval-LSTK (2)'!C16,"*X*"),"XBR",IF(COUNTIFS(C455,"BR",'Eval-LSTK (2)'!C16,"*R*"),"RBR")  )   ))))</f>
        <v>RPRIM</v>
      </c>
      <c r="D472" s="40" t="str">
        <f>IF(COUNTIFS(D455,"Prim",'Eval-LSTK (2)'!D16,"*X*"),"XPRIM",IF(COUNTIFS(D455,"Prim",'Eval-LSTK (2)'!D16,"*R*"),"RPRIM",      IF(COUNTIFS(D455,"BU",'Eval-LSTK (2)'!D16,"*X*"),"XBU",IF(COUNTIFS(D455,"BU",'Eval-LSTK (2)'!D16,"*R*"),"RBU",    IF(COUNTIFS(D455,"BR",'Eval-LSTK (2)'!D16,"*X*"),"XBR",IF(COUNTIFS(D455,"BR",'Eval-LSTK (2)'!D16,"*R*"),"RBR")  )   ))))</f>
        <v>RPRIM</v>
      </c>
      <c r="E472" s="40" t="str">
        <f>IF(COUNTIFS(E455,"Prim",'Eval-LSTK (2)'!E16,"*X*"),"XPRIM",IF(COUNTIFS(E455,"Prim",'Eval-LSTK (2)'!E16,"*R*"),"RPRIM",      IF(COUNTIFS(E455,"BU",'Eval-LSTK (2)'!E16,"*X*"),"XBU",IF(COUNTIFS(E455,"BU",'Eval-LSTK (2)'!E16,"*R*"),"RBU",    IF(COUNTIFS(E455,"BR",'Eval-LSTK (2)'!E16,"*X*"),"XBR",IF(COUNTIFS(E455,"BR",'Eval-LSTK (2)'!E16,"*R*"),"RBR")  )   ))))</f>
        <v>XPRIM</v>
      </c>
      <c r="F472" s="40" t="str">
        <f>IF(COUNTIFS(F455,"Prim",'Eval-LSTK (2)'!F16,"*X*"),"XPRIM",IF(COUNTIFS(F455,"Prim",'Eval-LSTK (2)'!F16,"*R*"),"RPRIM",      IF(COUNTIFS(F455,"BU",'Eval-LSTK (2)'!F16,"*X*"),"XBU",IF(COUNTIFS(F455,"BU",'Eval-LSTK (2)'!F16,"*R*"),"RBU",    IF(COUNTIFS(F455,"BR",'Eval-LSTK (2)'!F16,"*X*"),"XBR",IF(COUNTIFS(F455,"BR",'Eval-LSTK (2)'!F16,"*R*"),"RBR")  )   ))))</f>
        <v>XPRIM</v>
      </c>
      <c r="G472" s="40" t="str">
        <f>IF(COUNTIFS(G455,"Prim",'Eval-LSTK (2)'!G16,"*X*"),"XPRIM",IF(COUNTIFS(G455,"Prim",'Eval-LSTK (2)'!G16,"*R*"),"RPRIM",      IF(COUNTIFS(G455,"BU",'Eval-LSTK (2)'!G16,"*X*"),"XBU",IF(COUNTIFS(G455,"BU",'Eval-LSTK (2)'!G16,"*R*"),"RBU",    IF(COUNTIFS(G455,"BR",'Eval-LSTK (2)'!G16,"*X*"),"XBR",IF(COUNTIFS(G455,"BR",'Eval-LSTK (2)'!G16,"*R*"),"RBR")  )   ))))</f>
        <v>XPRIM</v>
      </c>
      <c r="H472" s="40" t="str">
        <f>IF(COUNTIFS(H455,"Prim",'Eval-LSTK (2)'!H16,"*X*"),"XPRIM",IF(COUNTIFS(H455,"Prim",'Eval-LSTK (2)'!H16,"*R*"),"RPRIM",      IF(COUNTIFS(H455,"BU",'Eval-LSTK (2)'!H16,"*X*"),"XBU",IF(COUNTIFS(H455,"BU",'Eval-LSTK (2)'!H16,"*R*"),"RBU",    IF(COUNTIFS(H455,"BR",'Eval-LSTK (2)'!H16,"*X*"),"XBR",IF(COUNTIFS(H455,"BR",'Eval-LSTK (2)'!H16,"*R*"),"RBR")  )   ))))</f>
        <v>XPRIM</v>
      </c>
      <c r="I472" s="40" t="str">
        <f>IF(COUNTIFS(I455,"Prim",'Eval-LSTK (2)'!I16,"*X*"),"XPRIM",IF(COUNTIFS(I455,"Prim",'Eval-LSTK (2)'!I16,"*R*"),"RPRIM",      IF(COUNTIFS(I455,"BU",'Eval-LSTK (2)'!I16,"*X*"),"XBU",IF(COUNTIFS(I455,"BU",'Eval-LSTK (2)'!I16,"*R*"),"RBU",    IF(COUNTIFS(I455,"BR",'Eval-LSTK (2)'!I16,"*X*"),"XBR",IF(COUNTIFS(I455,"BR",'Eval-LSTK (2)'!I16,"*R*"),"RBR")  )   ))))</f>
        <v>RPRIM</v>
      </c>
      <c r="J472" s="40" t="str">
        <f>IF(COUNTIFS(J455,"Prim",'Eval-LSTK (2)'!J16,"*X*"),"XPRIM",IF(COUNTIFS(J455,"Prim",'Eval-LSTK (2)'!J16,"*R*"),"RPRIM",      IF(COUNTIFS(J455,"BU",'Eval-LSTK (2)'!J16,"*X*"),"XBU",IF(COUNTIFS(J455,"BU",'Eval-LSTK (2)'!J16,"*R*"),"RBU",    IF(COUNTIFS(J455,"BR",'Eval-LSTK (2)'!J16,"*X*"),"XBR",IF(COUNTIFS(J455,"BR",'Eval-LSTK (2)'!J16,"*R*"),"RBR")  )   ))))</f>
        <v>XBR</v>
      </c>
      <c r="K472" s="40" t="b">
        <f>IF(COUNTIFS(K455,"Prim",'Eval-LSTK (2)'!K16,"*X*"),"XPRIM",IF(COUNTIFS(K455,"Prim",'Eval-LSTK (2)'!K16,"*R*"),"RPRIM",      IF(COUNTIFS(K455,"BU",'Eval-LSTK (2)'!K16,"*X*"),"XBU",IF(COUNTIFS(K455,"BU",'Eval-LSTK (2)'!K16,"*R*"),"RBU",    IF(COUNTIFS(K455,"BR",'Eval-LSTK (2)'!K16,"*X*"),"XBR",IF(COUNTIFS(K455,"BR",'Eval-LSTK (2)'!K16,"*R*"),"RBR")  )   ))))</f>
        <v>0</v>
      </c>
      <c r="L472" s="40" t="str">
        <f>IF(COUNTIFS(L455,"Prim",'Eval-LSTK (2)'!L16,"*X*"),"XPRIM",IF(COUNTIFS(L455,"Prim",'Eval-LSTK (2)'!L16,"*R*"),"RPRIM",      IF(COUNTIFS(L455,"BU",'Eval-LSTK (2)'!L16,"*X*"),"XBU",IF(COUNTIFS(L455,"BU",'Eval-LSTK (2)'!L16,"*R*"),"RBU",    IF(COUNTIFS(L455,"BR",'Eval-LSTK (2)'!L16,"*X*"),"XBR",IF(COUNTIFS(L455,"BR",'Eval-LSTK (2)'!L16,"*R*"),"RBR")  )   ))))</f>
        <v>RBU</v>
      </c>
      <c r="M472" s="40" t="str">
        <f>IF(COUNTIFS(M455,"Prim",'Eval-LSTK (2)'!M16,"*X*"),"XPRIM",IF(COUNTIFS(M455,"Prim",'Eval-LSTK (2)'!M16,"*R*"),"RPRIM",      IF(COUNTIFS(M455,"BU",'Eval-LSTK (2)'!M16,"*X*"),"XBU",IF(COUNTIFS(M455,"BU",'Eval-LSTK (2)'!M16,"*R*"),"RBU",    IF(COUNTIFS(M455,"BR",'Eval-LSTK (2)'!M16,"*X*"),"XBR",IF(COUNTIFS(M455,"BR",'Eval-LSTK (2)'!M16,"*R*"),"RBR")  )   ))))</f>
        <v>XBU</v>
      </c>
      <c r="N472" s="40" t="str">
        <f>IF(COUNTIFS(N455,"Prim",'Eval-LSTK (2)'!N16,"*X*"),"XPRIM",IF(COUNTIFS(N455,"Prim",'Eval-LSTK (2)'!N16,"*R*"),"RPRIM",      IF(COUNTIFS(N455,"BU",'Eval-LSTK (2)'!N16,"*X*"),"XBU",IF(COUNTIFS(N455,"BU",'Eval-LSTK (2)'!N16,"*R*"),"RBU",    IF(COUNTIFS(N455,"BR",'Eval-LSTK (2)'!N16,"*X*"),"XBR",IF(COUNTIFS(N455,"BR",'Eval-LSTK (2)'!N16,"*R*"),"RBR")  )   ))))</f>
        <v>RBU</v>
      </c>
      <c r="O472" s="40" t="str">
        <f>IF(COUNTIFS(O455,"Prim",'Eval-LSTK (2)'!O16,"*X*"),"XPRIM",IF(COUNTIFS(O455,"Prim",'Eval-LSTK (2)'!O16,"*R*"),"RPRIM",      IF(COUNTIFS(O455,"BU",'Eval-LSTK (2)'!O16,"*X*"),"XBU",IF(COUNTIFS(O455,"BU",'Eval-LSTK (2)'!O16,"*R*"),"RBU",    IF(COUNTIFS(O455,"BR",'Eval-LSTK (2)'!O16,"*X*"),"XBR",IF(COUNTIFS(O455,"BR",'Eval-LSTK (2)'!O16,"*R*"),"RBR")  )   ))))</f>
        <v>RBU</v>
      </c>
      <c r="P472" s="40" t="b">
        <f>IF(COUNTIFS(P455,"Prim",'Eval-LSTK (2)'!P16,"*X*"),"XPRIM",IF(COUNTIFS(P455,"Prim",'Eval-LSTK (2)'!P16,"*R*"),"RPRIM",      IF(COUNTIFS(P455,"BU",'Eval-LSTK (2)'!P16,"*X*"),"XBU",IF(COUNTIFS(P455,"BU",'Eval-LSTK (2)'!P16,"*R*"),"RBU",    IF(COUNTIFS(P455,"BR",'Eval-LSTK (2)'!P16,"*X*"),"XBR",IF(COUNTIFS(P455,"BR",'Eval-LSTK (2)'!P16,"*R*"),"RBR")  )   ))))</f>
        <v>0</v>
      </c>
      <c r="Q472" s="40" t="b">
        <f>IF(COUNTIFS(Q455,"Prim",'Eval-LSTK (2)'!Q16,"*X*"),"XPRIM",IF(COUNTIFS(Q455,"Prim",'Eval-LSTK (2)'!Q16,"*R*"),"RPRIM",      IF(COUNTIFS(Q455,"BU",'Eval-LSTK (2)'!Q16,"*X*"),"XBU",IF(COUNTIFS(Q455,"BU",'Eval-LSTK (2)'!Q16,"*R*"),"RBU",    IF(COUNTIFS(Q455,"BR",'Eval-LSTK (2)'!Q16,"*X*"),"XBR",IF(COUNTIFS(Q455,"BR",'Eval-LSTK (2)'!Q16,"*R*"),"RBR")  )   ))))</f>
        <v>0</v>
      </c>
      <c r="R472" s="40" t="b">
        <f>IF(COUNTIFS(R455,"Prim",'Eval-LSTK (2)'!R16,"*X*"),"XPRIM",IF(COUNTIFS(R455,"Prim",'Eval-LSTK (2)'!R16,"*R*"),"RPRIM",      IF(COUNTIFS(R455,"BU",'Eval-LSTK (2)'!R16,"*X*"),"XBU",IF(COUNTIFS(R455,"BU",'Eval-LSTK (2)'!R16,"*R*"),"RBU",    IF(COUNTIFS(R455,"BR",'Eval-LSTK (2)'!R16,"*X*"),"XBR",IF(COUNTIFS(R455,"BR",'Eval-LSTK (2)'!R16,"*R*"),"RBR")  )   ))))</f>
        <v>0</v>
      </c>
      <c r="S472" s="40" t="b">
        <f>IF(COUNTIFS(S455,"Prim",'Eval-LSTK (2)'!S16,"*X*"),"XPRIM",IF(COUNTIFS(S455,"Prim",'Eval-LSTK (2)'!S16,"*R*"),"RPRIM",      IF(COUNTIFS(S455,"BU",'Eval-LSTK (2)'!S16,"*X*"),"XBU",IF(COUNTIFS(S455,"BU",'Eval-LSTK (2)'!S16,"*R*"),"RBU",    IF(COUNTIFS(S455,"BR",'Eval-LSTK (2)'!S16,"*X*"),"XBR",IF(COUNTIFS(S455,"BR",'Eval-LSTK (2)'!S16,"*R*"),"RBR")  )   ))))</f>
        <v>0</v>
      </c>
      <c r="T472" s="40" t="b">
        <f>IF(COUNTIFS(T455,"Prim",'Eval-LSTK (2)'!T16,"*X*"),"XPRIM",IF(COUNTIFS(T455,"Prim",'Eval-LSTK (2)'!T16,"*R*"),"RPRIM",      IF(COUNTIFS(T455,"BU",'Eval-LSTK (2)'!T16,"*X*"),"XBU",IF(COUNTIFS(T455,"BU",'Eval-LSTK (2)'!T16,"*R*"),"RBU",    IF(COUNTIFS(T455,"BR",'Eval-LSTK (2)'!T16,"*X*"),"XBR",IF(COUNTIFS(T455,"BR",'Eval-LSTK (2)'!T16,"*R*"),"RBR")  )   ))))</f>
        <v>0</v>
      </c>
      <c r="U472" s="40" t="b">
        <f>IF(COUNTIFS(U455,"Prim",'Eval-LSTK (2)'!U16,"*X*"),"XPRIM",IF(COUNTIFS(U455,"Prim",'Eval-LSTK (2)'!U16,"*R*"),"RPRIM",      IF(COUNTIFS(U455,"BU",'Eval-LSTK (2)'!U16,"*X*"),"XBU",IF(COUNTIFS(U455,"BU",'Eval-LSTK (2)'!U16,"*R*"),"RBU",    IF(COUNTIFS(U455,"BR",'Eval-LSTK (2)'!U16,"*X*"),"XBR",IF(COUNTIFS(U455,"BR",'Eval-LSTK (2)'!U16,"*R*"),"RBR")  )   ))))</f>
        <v>0</v>
      </c>
      <c r="V472" s="40" t="b">
        <f>IF(COUNTIFS(V455,"Prim",'Eval-LSTK (2)'!V16,"*X*"),"XPRIM",IF(COUNTIFS(V455,"Prim",'Eval-LSTK (2)'!V16,"*R*"),"RPRIM",      IF(COUNTIFS(V455,"BU",'Eval-LSTK (2)'!V16,"*X*"),"XBU",IF(COUNTIFS(V455,"BU",'Eval-LSTK (2)'!V16,"*R*"),"RBU",    IF(COUNTIFS(V455,"BR",'Eval-LSTK (2)'!V16,"*X*"),"XBR",IF(COUNTIFS(V455,"BR",'Eval-LSTK (2)'!V16,"*R*"),"RBR")  )   ))))</f>
        <v>0</v>
      </c>
      <c r="W472" s="40" t="b">
        <f>IF(COUNTIFS(W455,"Prim",'Eval-LSTK (2)'!W16,"*X*"),"XPRIM",IF(COUNTIFS(W455,"Prim",'Eval-LSTK (2)'!W16,"*R*"),"RPRIM",      IF(COUNTIFS(W455,"BU",'Eval-LSTK (2)'!W16,"*X*"),"XBU",IF(COUNTIFS(W455,"BU",'Eval-LSTK (2)'!W16,"*R*"),"RBU",    IF(COUNTIFS(W455,"BR",'Eval-LSTK (2)'!W16,"*X*"),"XBR",IF(COUNTIFS(W455,"BR",'Eval-LSTK (2)'!W16,"*R*"),"RBR")  )   ))))</f>
        <v>0</v>
      </c>
      <c r="X472" s="40" t="b">
        <f>IF(COUNTIFS(X455,"Prim",'Eval-LSTK (2)'!X16,"*X*"),"XPRIM",IF(COUNTIFS(X455,"Prim",'Eval-LSTK (2)'!X16,"*R*"),"RPRIM",      IF(COUNTIFS(X455,"BU",'Eval-LSTK (2)'!X16,"*X*"),"XBU",IF(COUNTIFS(X455,"BU",'Eval-LSTK (2)'!X16,"*R*"),"RBU",    IF(COUNTIFS(X455,"BR",'Eval-LSTK (2)'!X16,"*X*"),"XBR",IF(COUNTIFS(X455,"BR",'Eval-LSTK (2)'!X16,"*R*"),"RBR")  )   ))))</f>
        <v>0</v>
      </c>
      <c r="Y472" s="40" t="b">
        <f>IF(COUNTIFS(Y455,"Prim",'Eval-LSTK (2)'!Y16,"*X*"),"XPRIM",IF(COUNTIFS(Y455,"Prim",'Eval-LSTK (2)'!Y16,"*R*"),"RPRIM",      IF(COUNTIFS(Y455,"BU",'Eval-LSTK (2)'!Y16,"*X*"),"XBU",IF(COUNTIFS(Y455,"BU",'Eval-LSTK (2)'!Y16,"*R*"),"RBU",    IF(COUNTIFS(Y455,"BR",'Eval-LSTK (2)'!Y16,"*X*"),"XBR",IF(COUNTIFS(Y455,"BR",'Eval-LSTK (2)'!Y16,"*R*"),"RBR")  )   ))))</f>
        <v>0</v>
      </c>
      <c r="Z472" s="40" t="b">
        <f>IF(COUNTIFS(Z455,"Prim",'Eval-LSTK (2)'!Z16,"*X*"),"XPRIM",IF(COUNTIFS(Z455,"Prim",'Eval-LSTK (2)'!Z16,"*R*"),"RPRIM",      IF(COUNTIFS(Z455,"BU",'Eval-LSTK (2)'!Z16,"*X*"),"XBU",IF(COUNTIFS(Z455,"BU",'Eval-LSTK (2)'!Z16,"*R*"),"RBU",    IF(COUNTIFS(Z455,"BR",'Eval-LSTK (2)'!Z16,"*X*"),"XBR",IF(COUNTIFS(Z455,"BR",'Eval-LSTK (2)'!Z16,"*R*"),"RBR")  )   ))))</f>
        <v>0</v>
      </c>
      <c r="AA472" s="40" t="b">
        <f>IF(COUNTIFS(AA455,"Prim",'Eval-LSTK (2)'!AA16,"*X*"),"XPRIM",IF(COUNTIFS(AA455,"Prim",'Eval-LSTK (2)'!AA16,"*R*"),"RPRIM",      IF(COUNTIFS(AA455,"BU",'Eval-LSTK (2)'!AA16,"*X*"),"XBU",IF(COUNTIFS(AA455,"BU",'Eval-LSTK (2)'!AA16,"*R*"),"RBU",    IF(COUNTIFS(AA455,"BR",'Eval-LSTK (2)'!AA16,"*X*"),"XBR",IF(COUNTIFS(AA455,"BR",'Eval-LSTK (2)'!AA16,"*R*"),"RBR")  )   ))))</f>
        <v>0</v>
      </c>
      <c r="AB472" s="40" t="b">
        <f>IF(COUNTIFS(AB455,"Prim",'Eval-LSTK (2)'!AB16,"*X*"),"XPRIM",IF(COUNTIFS(AB455,"Prim",'Eval-LSTK (2)'!AB16,"*R*"),"RPRIM",      IF(COUNTIFS(AB455,"BU",'Eval-LSTK (2)'!AB16,"*X*"),"XBU",IF(COUNTIFS(AB455,"BU",'Eval-LSTK (2)'!AB16,"*R*"),"RBU",    IF(COUNTIFS(AB455,"BR",'Eval-LSTK (2)'!AB16,"*X*"),"XBR",IF(COUNTIFS(AB455,"BR",'Eval-LSTK (2)'!AB16,"*R*"),"RBR")  )   ))))</f>
        <v>0</v>
      </c>
      <c r="AC472" s="40" t="b">
        <f>IF(COUNTIFS(AC455,"Prim",'Eval-LSTK (2)'!AC16,"*X*"),"XPRIM",IF(COUNTIFS(AC455,"Prim",'Eval-LSTK (2)'!AC16,"*R*"),"RPRIM",      IF(COUNTIFS(AC455,"BU",'Eval-LSTK (2)'!AC16,"*X*"),"XBU",IF(COUNTIFS(AC455,"BU",'Eval-LSTK (2)'!AC16,"*R*"),"RBU",    IF(COUNTIFS(AC455,"BR",'Eval-LSTK (2)'!AC16,"*X*"),"XBR",IF(COUNTIFS(AC455,"BR",'Eval-LSTK (2)'!AC16,"*R*"),"RBR")  )   ))))</f>
        <v>0</v>
      </c>
      <c r="AD472" s="40" t="b">
        <f>IF(COUNTIFS(AD455,"Prim",'Eval-LSTK (2)'!AD16,"*X*"),"XPRIM",IF(COUNTIFS(AD455,"Prim",'Eval-LSTK (2)'!AD16,"*R*"),"RPRIM",      IF(COUNTIFS(AD455,"BU",'Eval-LSTK (2)'!AD16,"*X*"),"XBU",IF(COUNTIFS(AD455,"BU",'Eval-LSTK (2)'!AD16,"*R*"),"RBU",    IF(COUNTIFS(AD455,"BR",'Eval-LSTK (2)'!AD16,"*X*"),"XBR",IF(COUNTIFS(AD455,"BR",'Eval-LSTK (2)'!AD16,"*R*"),"RBR")  )   ))))</f>
        <v>0</v>
      </c>
      <c r="AE472" s="40" t="b">
        <f>IF(COUNTIFS(AE455,"Prim",'Eval-LSTK (2)'!AE16,"*X*"),"XPRIM",IF(COUNTIFS(AE455,"Prim",'Eval-LSTK (2)'!AE16,"*R*"),"RPRIM",      IF(COUNTIFS(AE455,"BU",'Eval-LSTK (2)'!AE16,"*X*"),"XBU",IF(COUNTIFS(AE455,"BU",'Eval-LSTK (2)'!AE16,"*R*"),"RBU",    IF(COUNTIFS(AE455,"BR",'Eval-LSTK (2)'!AE16,"*X*"),"XBR",IF(COUNTIFS(AE455,"BR",'Eval-LSTK (2)'!AE16,"*R*"),"RBR")  )   ))))</f>
        <v>0</v>
      </c>
      <c r="AF472" s="40" t="b">
        <f>IF(COUNTIFS(AF455,"Prim",'Eval-LSTK (2)'!AF16,"*X*"),"XPRIM",IF(COUNTIFS(AF455,"Prim",'Eval-LSTK (2)'!AF16,"*R*"),"RPRIM",      IF(COUNTIFS(AF455,"BU",'Eval-LSTK (2)'!AF16,"*X*"),"XBU",IF(COUNTIFS(AF455,"BU",'Eval-LSTK (2)'!AF16,"*R*"),"RBU",    IF(COUNTIFS(AF455,"BR",'Eval-LSTK (2)'!AF16,"*X*"),"XBR",IF(COUNTIFS(AF455,"BR",'Eval-LSTK (2)'!AF16,"*R*"),"RBR")  )   ))))</f>
        <v>0</v>
      </c>
      <c r="AG472" s="40" t="b">
        <f>IF(COUNTIFS(AG455,"Prim",'Eval-LSTK (2)'!AG16,"*X*"),"XPRIM",IF(COUNTIFS(AG455,"Prim",'Eval-LSTK (2)'!AG16,"*R*"),"RPRIM",      IF(COUNTIFS(AG455,"BU",'Eval-LSTK (2)'!AG16,"*X*"),"XBU",IF(COUNTIFS(AG455,"BU",'Eval-LSTK (2)'!AG16,"*R*"),"RBU",    IF(COUNTIFS(AG455,"BR",'Eval-LSTK (2)'!AG16,"*X*"),"XBR",IF(COUNTIFS(AG455,"BR",'Eval-LSTK (2)'!AG16,"*R*"),"RBR")  )   ))))</f>
        <v>0</v>
      </c>
      <c r="AH472" s="40" t="b">
        <f>IF(COUNTIFS(AH455,"Prim",'Eval-LSTK (2)'!AH16,"*X*"),"XPRIM",IF(COUNTIFS(AH455,"Prim",'Eval-LSTK (2)'!AH16,"*R*"),"RPRIM",      IF(COUNTIFS(AH455,"BU",'Eval-LSTK (2)'!AH16,"*X*"),"XBU",IF(COUNTIFS(AH455,"BU",'Eval-LSTK (2)'!AH16,"*R*"),"RBU",    IF(COUNTIFS(AH455,"BR",'Eval-LSTK (2)'!AH16,"*X*"),"XBR",IF(COUNTIFS(AH455,"BR",'Eval-LSTK (2)'!AH16,"*R*"),"RBR")  )   ))))</f>
        <v>0</v>
      </c>
      <c r="AI472" s="40" t="b">
        <f>IF(COUNTIFS(AI455,"Prim",'Eval-LSTK (2)'!AI16,"*X*"),"XPRIM",IF(COUNTIFS(AI455,"Prim",'Eval-LSTK (2)'!AI16,"*R*"),"RPRIM",      IF(COUNTIFS(AI455,"BU",'Eval-LSTK (2)'!AI16,"*X*"),"XBU",IF(COUNTIFS(AI455,"BU",'Eval-LSTK (2)'!AI16,"*R*"),"RBU",    IF(COUNTIFS(AI455,"BR",'Eval-LSTK (2)'!AI16,"*X*"),"XBR",IF(COUNTIFS(AI455,"BR",'Eval-LSTK (2)'!AI16,"*R*"),"RBR")  )   ))))</f>
        <v>0</v>
      </c>
    </row>
    <row r="473" spans="1:43" x14ac:dyDescent="0.35">
      <c r="A473" s="1196"/>
      <c r="B473" s="22">
        <v>6</v>
      </c>
      <c r="C473" s="40" t="str">
        <f>IF(COUNTIFS(C456,"Prim",'Eval-LSTK (2)'!C17,"*X*"),"XPRIM",IF(COUNTIFS(C456,"Prim",'Eval-LSTK (2)'!C17,"*R*"),"RPRIM",      IF(COUNTIFS(C456,"BU",'Eval-LSTK (2)'!C17,"*X*"),"XBU",IF(COUNTIFS(C456,"BU",'Eval-LSTK (2)'!C17,"*R*"),"RBU",    IF(COUNTIFS(C456,"BR",'Eval-LSTK (2)'!C17,"*X*"),"XBR",IF(COUNTIFS(C456,"BR",'Eval-LSTK (2)'!C17,"*R*"),"RBR")  )   ))))</f>
        <v>XPRIM</v>
      </c>
      <c r="D473" s="40" t="str">
        <f>IF(COUNTIFS(D456,"Prim",'Eval-LSTK (2)'!D17,"*X*"),"XPRIM",IF(COUNTIFS(D456,"Prim",'Eval-LSTK (2)'!D17,"*R*"),"RPRIM",      IF(COUNTIFS(D456,"BU",'Eval-LSTK (2)'!D17,"*X*"),"XBU",IF(COUNTIFS(D456,"BU",'Eval-LSTK (2)'!D17,"*R*"),"RBU",    IF(COUNTIFS(D456,"BR",'Eval-LSTK (2)'!D17,"*X*"),"XBR",IF(COUNTIFS(D456,"BR",'Eval-LSTK (2)'!D17,"*R*"),"RBR")  )   ))))</f>
        <v>XPRIM</v>
      </c>
      <c r="E473" s="40" t="str">
        <f>IF(COUNTIFS(E456,"Prim",'Eval-LSTK (2)'!E17,"*X*"),"XPRIM",IF(COUNTIFS(E456,"Prim",'Eval-LSTK (2)'!E17,"*R*"),"RPRIM",      IF(COUNTIFS(E456,"BU",'Eval-LSTK (2)'!E17,"*X*"),"XBU",IF(COUNTIFS(E456,"BU",'Eval-LSTK (2)'!E17,"*R*"),"RBU",    IF(COUNTIFS(E456,"BR",'Eval-LSTK (2)'!E17,"*X*"),"XBR",IF(COUNTIFS(E456,"BR",'Eval-LSTK (2)'!E17,"*R*"),"RBR")  )   ))))</f>
        <v>XPRIM</v>
      </c>
      <c r="F473" s="40" t="str">
        <f>IF(COUNTIFS(F456,"Prim",'Eval-LSTK (2)'!F17,"*X*"),"XPRIM",IF(COUNTIFS(F456,"Prim",'Eval-LSTK (2)'!F17,"*R*"),"RPRIM",      IF(COUNTIFS(F456,"BU",'Eval-LSTK (2)'!F17,"*X*"),"XBU",IF(COUNTIFS(F456,"BU",'Eval-LSTK (2)'!F17,"*R*"),"RBU",    IF(COUNTIFS(F456,"BR",'Eval-LSTK (2)'!F17,"*X*"),"XBR",IF(COUNTIFS(F456,"BR",'Eval-LSTK (2)'!F17,"*R*"),"RBR")  )   ))))</f>
        <v>RPRIM</v>
      </c>
      <c r="G473" s="40" t="str">
        <f>IF(COUNTIFS(G456,"Prim",'Eval-LSTK (2)'!G17,"*X*"),"XPRIM",IF(COUNTIFS(G456,"Prim",'Eval-LSTK (2)'!G17,"*R*"),"RPRIM",      IF(COUNTIFS(G456,"BU",'Eval-LSTK (2)'!G17,"*X*"),"XBU",IF(COUNTIFS(G456,"BU",'Eval-LSTK (2)'!G17,"*R*"),"RBU",    IF(COUNTIFS(G456,"BR",'Eval-LSTK (2)'!G17,"*X*"),"XBR",IF(COUNTIFS(G456,"BR",'Eval-LSTK (2)'!G17,"*R*"),"RBR")  )   ))))</f>
        <v>XBR</v>
      </c>
      <c r="H473" s="40" t="b">
        <f>IF(COUNTIFS(H456,"Prim",'Eval-LSTK (2)'!H17,"*X*"),"XPRIM",IF(COUNTIFS(H456,"Prim",'Eval-LSTK (2)'!H17,"*R*"),"RPRIM",      IF(COUNTIFS(H456,"BU",'Eval-LSTK (2)'!H17,"*X*"),"XBU",IF(COUNTIFS(H456,"BU",'Eval-LSTK (2)'!H17,"*R*"),"RBU",    IF(COUNTIFS(H456,"BR",'Eval-LSTK (2)'!H17,"*X*"),"XBR",IF(COUNTIFS(H456,"BR",'Eval-LSTK (2)'!H17,"*R*"),"RBR")  )   ))))</f>
        <v>0</v>
      </c>
      <c r="I473" s="40" t="b">
        <f>IF(COUNTIFS(I456,"Prim",'Eval-LSTK (2)'!I17,"*X*"),"XPRIM",IF(COUNTIFS(I456,"Prim",'Eval-LSTK (2)'!I17,"*R*"),"RPRIM",      IF(COUNTIFS(I456,"BU",'Eval-LSTK (2)'!I17,"*X*"),"XBU",IF(COUNTIFS(I456,"BU",'Eval-LSTK (2)'!I17,"*R*"),"RBU",    IF(COUNTIFS(I456,"BR",'Eval-LSTK (2)'!I17,"*X*"),"XBR",IF(COUNTIFS(I456,"BR",'Eval-LSTK (2)'!I17,"*R*"),"RBR")  )   ))))</f>
        <v>0</v>
      </c>
      <c r="J473" s="40" t="b">
        <f>IF(COUNTIFS(J456,"Prim",'Eval-LSTK (2)'!J17,"*X*"),"XPRIM",IF(COUNTIFS(J456,"Prim",'Eval-LSTK (2)'!J17,"*R*"),"RPRIM",      IF(COUNTIFS(J456,"BU",'Eval-LSTK (2)'!J17,"*X*"),"XBU",IF(COUNTIFS(J456,"BU",'Eval-LSTK (2)'!J17,"*R*"),"RBU",    IF(COUNTIFS(J456,"BR",'Eval-LSTK (2)'!J17,"*X*"),"XBR",IF(COUNTIFS(J456,"BR",'Eval-LSTK (2)'!J17,"*R*"),"RBR")  )   ))))</f>
        <v>0</v>
      </c>
      <c r="K473" s="40" t="b">
        <f>IF(COUNTIFS(K456,"Prim",'Eval-LSTK (2)'!K17,"*X*"),"XPRIM",IF(COUNTIFS(K456,"Prim",'Eval-LSTK (2)'!K17,"*R*"),"RPRIM",      IF(COUNTIFS(K456,"BU",'Eval-LSTK (2)'!K17,"*X*"),"XBU",IF(COUNTIFS(K456,"BU",'Eval-LSTK (2)'!K17,"*R*"),"RBU",    IF(COUNTIFS(K456,"BR",'Eval-LSTK (2)'!K17,"*X*"),"XBR",IF(COUNTIFS(K456,"BR",'Eval-LSTK (2)'!K17,"*R*"),"RBR")  )   ))))</f>
        <v>0</v>
      </c>
      <c r="L473" s="40" t="b">
        <f>IF(COUNTIFS(L456,"Prim",'Eval-LSTK (2)'!L17,"*X*"),"XPRIM",IF(COUNTIFS(L456,"Prim",'Eval-LSTK (2)'!L17,"*R*"),"RPRIM",      IF(COUNTIFS(L456,"BU",'Eval-LSTK (2)'!L17,"*X*"),"XBU",IF(COUNTIFS(L456,"BU",'Eval-LSTK (2)'!L17,"*R*"),"RBU",    IF(COUNTIFS(L456,"BR",'Eval-LSTK (2)'!L17,"*X*"),"XBR",IF(COUNTIFS(L456,"BR",'Eval-LSTK (2)'!L17,"*R*"),"RBR")  )   ))))</f>
        <v>0</v>
      </c>
      <c r="M473" s="40" t="str">
        <f>IF(COUNTIFS(M456,"Prim",'Eval-LSTK (2)'!M17,"*X*"),"XPRIM",IF(COUNTIFS(M456,"Prim",'Eval-LSTK (2)'!M17,"*R*"),"RPRIM",      IF(COUNTIFS(M456,"BU",'Eval-LSTK (2)'!M17,"*X*"),"XBU",IF(COUNTIFS(M456,"BU",'Eval-LSTK (2)'!M17,"*R*"),"RBU",    IF(COUNTIFS(M456,"BR",'Eval-LSTK (2)'!M17,"*X*"),"XBR",IF(COUNTIFS(M456,"BR",'Eval-LSTK (2)'!M17,"*R*"),"RBR")  )   ))))</f>
        <v>RBU</v>
      </c>
      <c r="N473" s="40" t="str">
        <f>IF(COUNTIFS(N456,"Prim",'Eval-LSTK (2)'!N17,"*X*"),"XPRIM",IF(COUNTIFS(N456,"Prim",'Eval-LSTK (2)'!N17,"*R*"),"RPRIM",      IF(COUNTIFS(N456,"BU",'Eval-LSTK (2)'!N17,"*X*"),"XBU",IF(COUNTIFS(N456,"BU",'Eval-LSTK (2)'!N17,"*R*"),"RBU",    IF(COUNTIFS(N456,"BR",'Eval-LSTK (2)'!N17,"*X*"),"XBR",IF(COUNTIFS(N456,"BR",'Eval-LSTK (2)'!N17,"*R*"),"RBR")  )   ))))</f>
        <v>RBU</v>
      </c>
      <c r="O473" s="40" t="str">
        <f>IF(COUNTIFS(O456,"Prim",'Eval-LSTK (2)'!O17,"*X*"),"XPRIM",IF(COUNTIFS(O456,"Prim",'Eval-LSTK (2)'!O17,"*R*"),"RPRIM",      IF(COUNTIFS(O456,"BU",'Eval-LSTK (2)'!O17,"*X*"),"XBU",IF(COUNTIFS(O456,"BU",'Eval-LSTK (2)'!O17,"*R*"),"RBU",    IF(COUNTIFS(O456,"BR",'Eval-LSTK (2)'!O17,"*X*"),"XBR",IF(COUNTIFS(O456,"BR",'Eval-LSTK (2)'!O17,"*R*"),"RBR")  )   ))))</f>
        <v>RBU</v>
      </c>
      <c r="P473" s="40" t="b">
        <f>IF(COUNTIFS(P456,"Prim",'Eval-LSTK (2)'!P17,"*X*"),"XPRIM",IF(COUNTIFS(P456,"Prim",'Eval-LSTK (2)'!P17,"*R*"),"RPRIM",      IF(COUNTIFS(P456,"BU",'Eval-LSTK (2)'!P17,"*X*"),"XBU",IF(COUNTIFS(P456,"BU",'Eval-LSTK (2)'!P17,"*R*"),"RBU",    IF(COUNTIFS(P456,"BR",'Eval-LSTK (2)'!P17,"*X*"),"XBR",IF(COUNTIFS(P456,"BR",'Eval-LSTK (2)'!P17,"*R*"),"RBR")  )   ))))</f>
        <v>0</v>
      </c>
      <c r="Q473" s="40" t="b">
        <f>IF(COUNTIFS(Q456,"Prim",'Eval-LSTK (2)'!Q17,"*X*"),"XPRIM",IF(COUNTIFS(Q456,"Prim",'Eval-LSTK (2)'!Q17,"*R*"),"RPRIM",      IF(COUNTIFS(Q456,"BU",'Eval-LSTK (2)'!Q17,"*X*"),"XBU",IF(COUNTIFS(Q456,"BU",'Eval-LSTK (2)'!Q17,"*R*"),"RBU",    IF(COUNTIFS(Q456,"BR",'Eval-LSTK (2)'!Q17,"*X*"),"XBR",IF(COUNTIFS(Q456,"BR",'Eval-LSTK (2)'!Q17,"*R*"),"RBR")  )   ))))</f>
        <v>0</v>
      </c>
      <c r="R473" s="40" t="b">
        <f>IF(COUNTIFS(R456,"Prim",'Eval-LSTK (2)'!R17,"*X*"),"XPRIM",IF(COUNTIFS(R456,"Prim",'Eval-LSTK (2)'!R17,"*R*"),"RPRIM",      IF(COUNTIFS(R456,"BU",'Eval-LSTK (2)'!R17,"*X*"),"XBU",IF(COUNTIFS(R456,"BU",'Eval-LSTK (2)'!R17,"*R*"),"RBU",    IF(COUNTIFS(R456,"BR",'Eval-LSTK (2)'!R17,"*X*"),"XBR",IF(COUNTIFS(R456,"BR",'Eval-LSTK (2)'!R17,"*R*"),"RBR")  )   ))))</f>
        <v>0</v>
      </c>
      <c r="S473" s="40" t="b">
        <f>IF(COUNTIFS(S456,"Prim",'Eval-LSTK (2)'!S17,"*X*"),"XPRIM",IF(COUNTIFS(S456,"Prim",'Eval-LSTK (2)'!S17,"*R*"),"RPRIM",      IF(COUNTIFS(S456,"BU",'Eval-LSTK (2)'!S17,"*X*"),"XBU",IF(COUNTIFS(S456,"BU",'Eval-LSTK (2)'!S17,"*R*"),"RBU",    IF(COUNTIFS(S456,"BR",'Eval-LSTK (2)'!S17,"*X*"),"XBR",IF(COUNTIFS(S456,"BR",'Eval-LSTK (2)'!S17,"*R*"),"RBR")  )   ))))</f>
        <v>0</v>
      </c>
      <c r="T473" s="40" t="b">
        <f>IF(COUNTIFS(T456,"Prim",'Eval-LSTK (2)'!T17,"*X*"),"XPRIM",IF(COUNTIFS(T456,"Prim",'Eval-LSTK (2)'!T17,"*R*"),"RPRIM",      IF(COUNTIFS(T456,"BU",'Eval-LSTK (2)'!T17,"*X*"),"XBU",IF(COUNTIFS(T456,"BU",'Eval-LSTK (2)'!T17,"*R*"),"RBU",    IF(COUNTIFS(T456,"BR",'Eval-LSTK (2)'!T17,"*X*"),"XBR",IF(COUNTIFS(T456,"BR",'Eval-LSTK (2)'!T17,"*R*"),"RBR")  )   ))))</f>
        <v>0</v>
      </c>
      <c r="U473" s="40" t="b">
        <f>IF(COUNTIFS(U456,"Prim",'Eval-LSTK (2)'!U17,"*X*"),"XPRIM",IF(COUNTIFS(U456,"Prim",'Eval-LSTK (2)'!U17,"*R*"),"RPRIM",      IF(COUNTIFS(U456,"BU",'Eval-LSTK (2)'!U17,"*X*"),"XBU",IF(COUNTIFS(U456,"BU",'Eval-LSTK (2)'!U17,"*R*"),"RBU",    IF(COUNTIFS(U456,"BR",'Eval-LSTK (2)'!U17,"*X*"),"XBR",IF(COUNTIFS(U456,"BR",'Eval-LSTK (2)'!U17,"*R*"),"RBR")  )   ))))</f>
        <v>0</v>
      </c>
      <c r="V473" s="40" t="b">
        <f>IF(COUNTIFS(V456,"Prim",'Eval-LSTK (2)'!V17,"*X*"),"XPRIM",IF(COUNTIFS(V456,"Prim",'Eval-LSTK (2)'!V17,"*R*"),"RPRIM",      IF(COUNTIFS(V456,"BU",'Eval-LSTK (2)'!V17,"*X*"),"XBU",IF(COUNTIFS(V456,"BU",'Eval-LSTK (2)'!V17,"*R*"),"RBU",    IF(COUNTIFS(V456,"BR",'Eval-LSTK (2)'!V17,"*X*"),"XBR",IF(COUNTIFS(V456,"BR",'Eval-LSTK (2)'!V17,"*R*"),"RBR")  )   ))))</f>
        <v>0</v>
      </c>
      <c r="W473" s="40" t="b">
        <f>IF(COUNTIFS(W456,"Prim",'Eval-LSTK (2)'!W17,"*X*"),"XPRIM",IF(COUNTIFS(W456,"Prim",'Eval-LSTK (2)'!W17,"*R*"),"RPRIM",      IF(COUNTIFS(W456,"BU",'Eval-LSTK (2)'!W17,"*X*"),"XBU",IF(COUNTIFS(W456,"BU",'Eval-LSTK (2)'!W17,"*R*"),"RBU",    IF(COUNTIFS(W456,"BR",'Eval-LSTK (2)'!W17,"*X*"),"XBR",IF(COUNTIFS(W456,"BR",'Eval-LSTK (2)'!W17,"*R*"),"RBR")  )   ))))</f>
        <v>0</v>
      </c>
      <c r="X473" s="40" t="b">
        <f>IF(COUNTIFS(X456,"Prim",'Eval-LSTK (2)'!X17,"*X*"),"XPRIM",IF(COUNTIFS(X456,"Prim",'Eval-LSTK (2)'!X17,"*R*"),"RPRIM",      IF(COUNTIFS(X456,"BU",'Eval-LSTK (2)'!X17,"*X*"),"XBU",IF(COUNTIFS(X456,"BU",'Eval-LSTK (2)'!X17,"*R*"),"RBU",    IF(COUNTIFS(X456,"BR",'Eval-LSTK (2)'!X17,"*X*"),"XBR",IF(COUNTIFS(X456,"BR",'Eval-LSTK (2)'!X17,"*R*"),"RBR")  )   ))))</f>
        <v>0</v>
      </c>
      <c r="Y473" s="40" t="b">
        <f>IF(COUNTIFS(Y456,"Prim",'Eval-LSTK (2)'!Y17,"*X*"),"XPRIM",IF(COUNTIFS(Y456,"Prim",'Eval-LSTK (2)'!Y17,"*R*"),"RPRIM",      IF(COUNTIFS(Y456,"BU",'Eval-LSTK (2)'!Y17,"*X*"),"XBU",IF(COUNTIFS(Y456,"BU",'Eval-LSTK (2)'!Y17,"*R*"),"RBU",    IF(COUNTIFS(Y456,"BR",'Eval-LSTK (2)'!Y17,"*X*"),"XBR",IF(COUNTIFS(Y456,"BR",'Eval-LSTK (2)'!Y17,"*R*"),"RBR")  )   ))))</f>
        <v>0</v>
      </c>
      <c r="Z473" s="40" t="b">
        <f>IF(COUNTIFS(Z456,"Prim",'Eval-LSTK (2)'!Z17,"*X*"),"XPRIM",IF(COUNTIFS(Z456,"Prim",'Eval-LSTK (2)'!Z17,"*R*"),"RPRIM",      IF(COUNTIFS(Z456,"BU",'Eval-LSTK (2)'!Z17,"*X*"),"XBU",IF(COUNTIFS(Z456,"BU",'Eval-LSTK (2)'!Z17,"*R*"),"RBU",    IF(COUNTIFS(Z456,"BR",'Eval-LSTK (2)'!Z17,"*X*"),"XBR",IF(COUNTIFS(Z456,"BR",'Eval-LSTK (2)'!Z17,"*R*"),"RBR")  )   ))))</f>
        <v>0</v>
      </c>
      <c r="AA473" s="40" t="b">
        <f>IF(COUNTIFS(AA456,"Prim",'Eval-LSTK (2)'!AA17,"*X*"),"XPRIM",IF(COUNTIFS(AA456,"Prim",'Eval-LSTK (2)'!AA17,"*R*"),"RPRIM",      IF(COUNTIFS(AA456,"BU",'Eval-LSTK (2)'!AA17,"*X*"),"XBU",IF(COUNTIFS(AA456,"BU",'Eval-LSTK (2)'!AA17,"*R*"),"RBU",    IF(COUNTIFS(AA456,"BR",'Eval-LSTK (2)'!AA17,"*X*"),"XBR",IF(COUNTIFS(AA456,"BR",'Eval-LSTK (2)'!AA17,"*R*"),"RBR")  )   ))))</f>
        <v>0</v>
      </c>
      <c r="AB473" s="40" t="b">
        <f>IF(COUNTIFS(AB456,"Prim",'Eval-LSTK (2)'!AB17,"*X*"),"XPRIM",IF(COUNTIFS(AB456,"Prim",'Eval-LSTK (2)'!AB17,"*R*"),"RPRIM",      IF(COUNTIFS(AB456,"BU",'Eval-LSTK (2)'!AB17,"*X*"),"XBU",IF(COUNTIFS(AB456,"BU",'Eval-LSTK (2)'!AB17,"*R*"),"RBU",    IF(COUNTIFS(AB456,"BR",'Eval-LSTK (2)'!AB17,"*X*"),"XBR",IF(COUNTIFS(AB456,"BR",'Eval-LSTK (2)'!AB17,"*R*"),"RBR")  )   ))))</f>
        <v>0</v>
      </c>
      <c r="AC473" s="40" t="b">
        <f>IF(COUNTIFS(AC456,"Prim",'Eval-LSTK (2)'!AC17,"*X*"),"XPRIM",IF(COUNTIFS(AC456,"Prim",'Eval-LSTK (2)'!AC17,"*R*"),"RPRIM",      IF(COUNTIFS(AC456,"BU",'Eval-LSTK (2)'!AC17,"*X*"),"XBU",IF(COUNTIFS(AC456,"BU",'Eval-LSTK (2)'!AC17,"*R*"),"RBU",    IF(COUNTIFS(AC456,"BR",'Eval-LSTK (2)'!AC17,"*X*"),"XBR",IF(COUNTIFS(AC456,"BR",'Eval-LSTK (2)'!AC17,"*R*"),"RBR")  )   ))))</f>
        <v>0</v>
      </c>
      <c r="AD473" s="40" t="b">
        <f>IF(COUNTIFS(AD456,"Prim",'Eval-LSTK (2)'!AD17,"*X*"),"XPRIM",IF(COUNTIFS(AD456,"Prim",'Eval-LSTK (2)'!AD17,"*R*"),"RPRIM",      IF(COUNTIFS(AD456,"BU",'Eval-LSTK (2)'!AD17,"*X*"),"XBU",IF(COUNTIFS(AD456,"BU",'Eval-LSTK (2)'!AD17,"*R*"),"RBU",    IF(COUNTIFS(AD456,"BR",'Eval-LSTK (2)'!AD17,"*X*"),"XBR",IF(COUNTIFS(AD456,"BR",'Eval-LSTK (2)'!AD17,"*R*"),"RBR")  )   ))))</f>
        <v>0</v>
      </c>
      <c r="AE473" s="40" t="b">
        <f>IF(COUNTIFS(AE456,"Prim",'Eval-LSTK (2)'!AE17,"*X*"),"XPRIM",IF(COUNTIFS(AE456,"Prim",'Eval-LSTK (2)'!AE17,"*R*"),"RPRIM",      IF(COUNTIFS(AE456,"BU",'Eval-LSTK (2)'!AE17,"*X*"),"XBU",IF(COUNTIFS(AE456,"BU",'Eval-LSTK (2)'!AE17,"*R*"),"RBU",    IF(COUNTIFS(AE456,"BR",'Eval-LSTK (2)'!AE17,"*X*"),"XBR",IF(COUNTIFS(AE456,"BR",'Eval-LSTK (2)'!AE17,"*R*"),"RBR")  )   ))))</f>
        <v>0</v>
      </c>
      <c r="AF473" s="40" t="b">
        <f>IF(COUNTIFS(AF456,"Prim",'Eval-LSTK (2)'!AF17,"*X*"),"XPRIM",IF(COUNTIFS(AF456,"Prim",'Eval-LSTK (2)'!AF17,"*R*"),"RPRIM",      IF(COUNTIFS(AF456,"BU",'Eval-LSTK (2)'!AF17,"*X*"),"XBU",IF(COUNTIFS(AF456,"BU",'Eval-LSTK (2)'!AF17,"*R*"),"RBU",    IF(COUNTIFS(AF456,"BR",'Eval-LSTK (2)'!AF17,"*X*"),"XBR",IF(COUNTIFS(AF456,"BR",'Eval-LSTK (2)'!AF17,"*R*"),"RBR")  )   ))))</f>
        <v>0</v>
      </c>
      <c r="AG473" s="40" t="b">
        <f>IF(COUNTIFS(AG456,"Prim",'Eval-LSTK (2)'!AG17,"*X*"),"XPRIM",IF(COUNTIFS(AG456,"Prim",'Eval-LSTK (2)'!AG17,"*R*"),"RPRIM",      IF(COUNTIFS(AG456,"BU",'Eval-LSTK (2)'!AG17,"*X*"),"XBU",IF(COUNTIFS(AG456,"BU",'Eval-LSTK (2)'!AG17,"*R*"),"RBU",    IF(COUNTIFS(AG456,"BR",'Eval-LSTK (2)'!AG17,"*X*"),"XBR",IF(COUNTIFS(AG456,"BR",'Eval-LSTK (2)'!AG17,"*R*"),"RBR")  )   ))))</f>
        <v>0</v>
      </c>
      <c r="AH473" s="40" t="b">
        <f>IF(COUNTIFS(AH456,"Prim",'Eval-LSTK (2)'!AH17,"*X*"),"XPRIM",IF(COUNTIFS(AH456,"Prim",'Eval-LSTK (2)'!AH17,"*R*"),"RPRIM",      IF(COUNTIFS(AH456,"BU",'Eval-LSTK (2)'!AH17,"*X*"),"XBU",IF(COUNTIFS(AH456,"BU",'Eval-LSTK (2)'!AH17,"*R*"),"RBU",    IF(COUNTIFS(AH456,"BR",'Eval-LSTK (2)'!AH17,"*X*"),"XBR",IF(COUNTIFS(AH456,"BR",'Eval-LSTK (2)'!AH17,"*R*"),"RBR")  )   ))))</f>
        <v>0</v>
      </c>
      <c r="AI473" s="40" t="b">
        <f>IF(COUNTIFS(AI456,"Prim",'Eval-LSTK (2)'!AI17,"*X*"),"XPRIM",IF(COUNTIFS(AI456,"Prim",'Eval-LSTK (2)'!AI17,"*R*"),"RPRIM",      IF(COUNTIFS(AI456,"BU",'Eval-LSTK (2)'!AI17,"*X*"),"XBU",IF(COUNTIFS(AI456,"BU",'Eval-LSTK (2)'!AI17,"*R*"),"RBU",    IF(COUNTIFS(AI456,"BR",'Eval-LSTK (2)'!AI17,"*X*"),"XBR",IF(COUNTIFS(AI456,"BR",'Eval-LSTK (2)'!AI17,"*R*"),"RBR")  )   ))))</f>
        <v>0</v>
      </c>
    </row>
    <row r="474" spans="1:43" x14ac:dyDescent="0.35">
      <c r="A474" s="1196"/>
      <c r="B474" s="22">
        <v>7</v>
      </c>
      <c r="C474" s="40" t="b">
        <f>IF(COUNTIFS(C457,"Prim",'Eval-LSTK (2)'!C18,"*X*"),"XPRIM",IF(COUNTIFS(C457,"Prim",'Eval-LSTK (2)'!C18,"*R*"),"RPRIM",      IF(COUNTIFS(C457,"BU",'Eval-LSTK (2)'!C18,"*X*"),"XBU",IF(COUNTIFS(C457,"BU",'Eval-LSTK (2)'!C18,"*R*"),"RBU",    IF(COUNTIFS(C457,"BR",'Eval-LSTK (2)'!C18,"*X*"),"XBR",IF(COUNTIFS(C457,"BR",'Eval-LSTK (2)'!C18,"*R*"),"RBR")  )   ))))</f>
        <v>0</v>
      </c>
      <c r="D474" s="40" t="b">
        <f>IF(COUNTIFS(D457,"Prim",'Eval-LSTK (2)'!D18,"*X*"),"XPRIM",IF(COUNTIFS(D457,"Prim",'Eval-LSTK (2)'!D18,"*R*"),"RPRIM",      IF(COUNTIFS(D457,"BU",'Eval-LSTK (2)'!D18,"*X*"),"XBU",IF(COUNTIFS(D457,"BU",'Eval-LSTK (2)'!D18,"*R*"),"RBU",    IF(COUNTIFS(D457,"BR",'Eval-LSTK (2)'!D18,"*X*"),"XBR",IF(COUNTIFS(D457,"BR",'Eval-LSTK (2)'!D18,"*R*"),"RBR")  )   ))))</f>
        <v>0</v>
      </c>
      <c r="E474" s="40" t="b">
        <f>IF(COUNTIFS(E457,"Prim",'Eval-LSTK (2)'!E18,"*X*"),"XPRIM",IF(COUNTIFS(E457,"Prim",'Eval-LSTK (2)'!E18,"*R*"),"RPRIM",      IF(COUNTIFS(E457,"BU",'Eval-LSTK (2)'!E18,"*X*"),"XBU",IF(COUNTIFS(E457,"BU",'Eval-LSTK (2)'!E18,"*R*"),"RBU",    IF(COUNTIFS(E457,"BR",'Eval-LSTK (2)'!E18,"*X*"),"XBR",IF(COUNTIFS(E457,"BR",'Eval-LSTK (2)'!E18,"*R*"),"RBR")  )   ))))</f>
        <v>0</v>
      </c>
      <c r="F474" s="40" t="b">
        <f>IF(COUNTIFS(F457,"Prim",'Eval-LSTK (2)'!F18,"*X*"),"XPRIM",IF(COUNTIFS(F457,"Prim",'Eval-LSTK (2)'!F18,"*R*"),"RPRIM",      IF(COUNTIFS(F457,"BU",'Eval-LSTK (2)'!F18,"*X*"),"XBU",IF(COUNTIFS(F457,"BU",'Eval-LSTK (2)'!F18,"*R*"),"RBU",    IF(COUNTIFS(F457,"BR",'Eval-LSTK (2)'!F18,"*X*"),"XBR",IF(COUNTIFS(F457,"BR",'Eval-LSTK (2)'!F18,"*R*"),"RBR")  )   ))))</f>
        <v>0</v>
      </c>
      <c r="G474" s="40" t="b">
        <f>IF(COUNTIFS(G457,"Prim",'Eval-LSTK (2)'!G18,"*X*"),"XPRIM",IF(COUNTIFS(G457,"Prim",'Eval-LSTK (2)'!G18,"*R*"),"RPRIM",      IF(COUNTIFS(G457,"BU",'Eval-LSTK (2)'!G18,"*X*"),"XBU",IF(COUNTIFS(G457,"BU",'Eval-LSTK (2)'!G18,"*R*"),"RBU",    IF(COUNTIFS(G457,"BR",'Eval-LSTK (2)'!G18,"*X*"),"XBR",IF(COUNTIFS(G457,"BR",'Eval-LSTK (2)'!G18,"*R*"),"RBR")  )   ))))</f>
        <v>0</v>
      </c>
      <c r="H474" s="40" t="b">
        <f>IF(COUNTIFS(H457,"Prim",'Eval-LSTK (2)'!H18,"*X*"),"XPRIM",IF(COUNTIFS(H457,"Prim",'Eval-LSTK (2)'!H18,"*R*"),"RPRIM",      IF(COUNTIFS(H457,"BU",'Eval-LSTK (2)'!H18,"*X*"),"XBU",IF(COUNTIFS(H457,"BU",'Eval-LSTK (2)'!H18,"*R*"),"RBU",    IF(COUNTIFS(H457,"BR",'Eval-LSTK (2)'!H18,"*X*"),"XBR",IF(COUNTIFS(H457,"BR",'Eval-LSTK (2)'!H18,"*R*"),"RBR")  )   ))))</f>
        <v>0</v>
      </c>
      <c r="I474" s="40" t="b">
        <f>IF(COUNTIFS(I457,"Prim",'Eval-LSTK (2)'!I18,"*X*"),"XPRIM",IF(COUNTIFS(I457,"Prim",'Eval-LSTK (2)'!I18,"*R*"),"RPRIM",      IF(COUNTIFS(I457,"BU",'Eval-LSTK (2)'!I18,"*X*"),"XBU",IF(COUNTIFS(I457,"BU",'Eval-LSTK (2)'!I18,"*R*"),"RBU",    IF(COUNTIFS(I457,"BR",'Eval-LSTK (2)'!I18,"*X*"),"XBR",IF(COUNTIFS(I457,"BR",'Eval-LSTK (2)'!I18,"*R*"),"RBR")  )   ))))</f>
        <v>0</v>
      </c>
      <c r="J474" s="40" t="b">
        <f>IF(COUNTIFS(J457,"Prim",'Eval-LSTK (2)'!J18,"*X*"),"XPRIM",IF(COUNTIFS(J457,"Prim",'Eval-LSTK (2)'!J18,"*R*"),"RPRIM",      IF(COUNTIFS(J457,"BU",'Eval-LSTK (2)'!J18,"*X*"),"XBU",IF(COUNTIFS(J457,"BU",'Eval-LSTK (2)'!J18,"*R*"),"RBU",    IF(COUNTIFS(J457,"BR",'Eval-LSTK (2)'!J18,"*X*"),"XBR",IF(COUNTIFS(J457,"BR",'Eval-LSTK (2)'!J18,"*R*"),"RBR")  )   ))))</f>
        <v>0</v>
      </c>
      <c r="K474" s="40" t="b">
        <f>IF(COUNTIFS(K457,"Prim",'Eval-LSTK (2)'!K18,"*X*"),"XPRIM",IF(COUNTIFS(K457,"Prim",'Eval-LSTK (2)'!K18,"*R*"),"RPRIM",      IF(COUNTIFS(K457,"BU",'Eval-LSTK (2)'!K18,"*X*"),"XBU",IF(COUNTIFS(K457,"BU",'Eval-LSTK (2)'!K18,"*R*"),"RBU",    IF(COUNTIFS(K457,"BR",'Eval-LSTK (2)'!K18,"*X*"),"XBR",IF(COUNTIFS(K457,"BR",'Eval-LSTK (2)'!K18,"*R*"),"RBR")  )   ))))</f>
        <v>0</v>
      </c>
      <c r="L474" s="40" t="b">
        <f>IF(COUNTIFS(L457,"Prim",'Eval-LSTK (2)'!L18,"*X*"),"XPRIM",IF(COUNTIFS(L457,"Prim",'Eval-LSTK (2)'!L18,"*R*"),"RPRIM",      IF(COUNTIFS(L457,"BU",'Eval-LSTK (2)'!L18,"*X*"),"XBU",IF(COUNTIFS(L457,"BU",'Eval-LSTK (2)'!L18,"*R*"),"RBU",    IF(COUNTIFS(L457,"BR",'Eval-LSTK (2)'!L18,"*X*"),"XBR",IF(COUNTIFS(L457,"BR",'Eval-LSTK (2)'!L18,"*R*"),"RBR")  )   ))))</f>
        <v>0</v>
      </c>
      <c r="M474" s="40" t="b">
        <f>IF(COUNTIFS(M457,"Prim",'Eval-LSTK (2)'!M18,"*X*"),"XPRIM",IF(COUNTIFS(M457,"Prim",'Eval-LSTK (2)'!M18,"*R*"),"RPRIM",      IF(COUNTIFS(M457,"BU",'Eval-LSTK (2)'!M18,"*X*"),"XBU",IF(COUNTIFS(M457,"BU",'Eval-LSTK (2)'!M18,"*R*"),"RBU",    IF(COUNTIFS(M457,"BR",'Eval-LSTK (2)'!M18,"*X*"),"XBR",IF(COUNTIFS(M457,"BR",'Eval-LSTK (2)'!M18,"*R*"),"RBR")  )   ))))</f>
        <v>0</v>
      </c>
      <c r="N474" s="40" t="b">
        <f>IF(COUNTIFS(N457,"Prim",'Eval-LSTK (2)'!N18,"*X*"),"XPRIM",IF(COUNTIFS(N457,"Prim",'Eval-LSTK (2)'!N18,"*R*"),"RPRIM",      IF(COUNTIFS(N457,"BU",'Eval-LSTK (2)'!N18,"*X*"),"XBU",IF(COUNTIFS(N457,"BU",'Eval-LSTK (2)'!N18,"*R*"),"RBU",    IF(COUNTIFS(N457,"BR",'Eval-LSTK (2)'!N18,"*X*"),"XBR",IF(COUNTIFS(N457,"BR",'Eval-LSTK (2)'!N18,"*R*"),"RBR")  )   ))))</f>
        <v>0</v>
      </c>
      <c r="O474" s="40" t="b">
        <f>IF(COUNTIFS(O457,"Prim",'Eval-LSTK (2)'!O18,"*X*"),"XPRIM",IF(COUNTIFS(O457,"Prim",'Eval-LSTK (2)'!O18,"*R*"),"RPRIM",      IF(COUNTIFS(O457,"BU",'Eval-LSTK (2)'!O18,"*X*"),"XBU",IF(COUNTIFS(O457,"BU",'Eval-LSTK (2)'!O18,"*R*"),"RBU",    IF(COUNTIFS(O457,"BR",'Eval-LSTK (2)'!O18,"*X*"),"XBR",IF(COUNTIFS(O457,"BR",'Eval-LSTK (2)'!O18,"*R*"),"RBR")  )   ))))</f>
        <v>0</v>
      </c>
      <c r="P474" s="40" t="b">
        <f>IF(COUNTIFS(P457,"Prim",'Eval-LSTK (2)'!P18,"*X*"),"XPRIM",IF(COUNTIFS(P457,"Prim",'Eval-LSTK (2)'!P18,"*R*"),"RPRIM",      IF(COUNTIFS(P457,"BU",'Eval-LSTK (2)'!P18,"*X*"),"XBU",IF(COUNTIFS(P457,"BU",'Eval-LSTK (2)'!P18,"*R*"),"RBU",    IF(COUNTIFS(P457,"BR",'Eval-LSTK (2)'!P18,"*X*"),"XBR",IF(COUNTIFS(P457,"BR",'Eval-LSTK (2)'!P18,"*R*"),"RBR")  )   ))))</f>
        <v>0</v>
      </c>
      <c r="Q474" s="40" t="b">
        <f>IF(COUNTIFS(Q457,"Prim",'Eval-LSTK (2)'!Q18,"*X*"),"XPRIM",IF(COUNTIFS(Q457,"Prim",'Eval-LSTK (2)'!Q18,"*R*"),"RPRIM",      IF(COUNTIFS(Q457,"BU",'Eval-LSTK (2)'!Q18,"*X*"),"XBU",IF(COUNTIFS(Q457,"BU",'Eval-LSTK (2)'!Q18,"*R*"),"RBU",    IF(COUNTIFS(Q457,"BR",'Eval-LSTK (2)'!Q18,"*X*"),"XBR",IF(COUNTIFS(Q457,"BR",'Eval-LSTK (2)'!Q18,"*R*"),"RBR")  )   ))))</f>
        <v>0</v>
      </c>
      <c r="R474" s="40" t="b">
        <f>IF(COUNTIFS(R457,"Prim",'Eval-LSTK (2)'!R18,"*X*"),"XPRIM",IF(COUNTIFS(R457,"Prim",'Eval-LSTK (2)'!R18,"*R*"),"RPRIM",      IF(COUNTIFS(R457,"BU",'Eval-LSTK (2)'!R18,"*X*"),"XBU",IF(COUNTIFS(R457,"BU",'Eval-LSTK (2)'!R18,"*R*"),"RBU",    IF(COUNTIFS(R457,"BR",'Eval-LSTK (2)'!R18,"*X*"),"XBR",IF(COUNTIFS(R457,"BR",'Eval-LSTK (2)'!R18,"*R*"),"RBR")  )   ))))</f>
        <v>0</v>
      </c>
      <c r="S474" s="40" t="b">
        <f>IF(COUNTIFS(S457,"Prim",'Eval-LSTK (2)'!S18,"*X*"),"XPRIM",IF(COUNTIFS(S457,"Prim",'Eval-LSTK (2)'!S18,"*R*"),"RPRIM",      IF(COUNTIFS(S457,"BU",'Eval-LSTK (2)'!S18,"*X*"),"XBU",IF(COUNTIFS(S457,"BU",'Eval-LSTK (2)'!S18,"*R*"),"RBU",    IF(COUNTIFS(S457,"BR",'Eval-LSTK (2)'!S18,"*X*"),"XBR",IF(COUNTIFS(S457,"BR",'Eval-LSTK (2)'!S18,"*R*"),"RBR")  )   ))))</f>
        <v>0</v>
      </c>
      <c r="T474" s="40" t="b">
        <f>IF(COUNTIFS(T457,"Prim",'Eval-LSTK (2)'!T18,"*X*"),"XPRIM",IF(COUNTIFS(T457,"Prim",'Eval-LSTK (2)'!T18,"*R*"),"RPRIM",      IF(COUNTIFS(T457,"BU",'Eval-LSTK (2)'!T18,"*X*"),"XBU",IF(COUNTIFS(T457,"BU",'Eval-LSTK (2)'!T18,"*R*"),"RBU",    IF(COUNTIFS(T457,"BR",'Eval-LSTK (2)'!T18,"*X*"),"XBR",IF(COUNTIFS(T457,"BR",'Eval-LSTK (2)'!T18,"*R*"),"RBR")  )   ))))</f>
        <v>0</v>
      </c>
      <c r="U474" s="40" t="b">
        <f>IF(COUNTIFS(U457,"Prim",'Eval-LSTK (2)'!U18,"*X*"),"XPRIM",IF(COUNTIFS(U457,"Prim",'Eval-LSTK (2)'!U18,"*R*"),"RPRIM",      IF(COUNTIFS(U457,"BU",'Eval-LSTK (2)'!U18,"*X*"),"XBU",IF(COUNTIFS(U457,"BU",'Eval-LSTK (2)'!U18,"*R*"),"RBU",    IF(COUNTIFS(U457,"BR",'Eval-LSTK (2)'!U18,"*X*"),"XBR",IF(COUNTIFS(U457,"BR",'Eval-LSTK (2)'!U18,"*R*"),"RBR")  )   ))))</f>
        <v>0</v>
      </c>
      <c r="V474" s="40" t="b">
        <f>IF(COUNTIFS(V457,"Prim",'Eval-LSTK (2)'!V18,"*X*"),"XPRIM",IF(COUNTIFS(V457,"Prim",'Eval-LSTK (2)'!V18,"*R*"),"RPRIM",      IF(COUNTIFS(V457,"BU",'Eval-LSTK (2)'!V18,"*X*"),"XBU",IF(COUNTIFS(V457,"BU",'Eval-LSTK (2)'!V18,"*R*"),"RBU",    IF(COUNTIFS(V457,"BR",'Eval-LSTK (2)'!V18,"*X*"),"XBR",IF(COUNTIFS(V457,"BR",'Eval-LSTK (2)'!V18,"*R*"),"RBR")  )   ))))</f>
        <v>0</v>
      </c>
      <c r="W474" s="40" t="b">
        <f>IF(COUNTIFS(W457,"Prim",'Eval-LSTK (2)'!W18,"*X*"),"XPRIM",IF(COUNTIFS(W457,"Prim",'Eval-LSTK (2)'!W18,"*R*"),"RPRIM",      IF(COUNTIFS(W457,"BU",'Eval-LSTK (2)'!W18,"*X*"),"XBU",IF(COUNTIFS(W457,"BU",'Eval-LSTK (2)'!W18,"*R*"),"RBU",    IF(COUNTIFS(W457,"BR",'Eval-LSTK (2)'!W18,"*X*"),"XBR",IF(COUNTIFS(W457,"BR",'Eval-LSTK (2)'!W18,"*R*"),"RBR")  )   ))))</f>
        <v>0</v>
      </c>
      <c r="X474" s="40" t="b">
        <f>IF(COUNTIFS(X457,"Prim",'Eval-LSTK (2)'!X18,"*X*"),"XPRIM",IF(COUNTIFS(X457,"Prim",'Eval-LSTK (2)'!X18,"*R*"),"RPRIM",      IF(COUNTIFS(X457,"BU",'Eval-LSTK (2)'!X18,"*X*"),"XBU",IF(COUNTIFS(X457,"BU",'Eval-LSTK (2)'!X18,"*R*"),"RBU",    IF(COUNTIFS(X457,"BR",'Eval-LSTK (2)'!X18,"*X*"),"XBR",IF(COUNTIFS(X457,"BR",'Eval-LSTK (2)'!X18,"*R*"),"RBR")  )   ))))</f>
        <v>0</v>
      </c>
      <c r="Y474" s="40" t="b">
        <f>IF(COUNTIFS(Y457,"Prim",'Eval-LSTK (2)'!Y18,"*X*"),"XPRIM",IF(COUNTIFS(Y457,"Prim",'Eval-LSTK (2)'!Y18,"*R*"),"RPRIM",      IF(COUNTIFS(Y457,"BU",'Eval-LSTK (2)'!Y18,"*X*"),"XBU",IF(COUNTIFS(Y457,"BU",'Eval-LSTK (2)'!Y18,"*R*"),"RBU",    IF(COUNTIFS(Y457,"BR",'Eval-LSTK (2)'!Y18,"*X*"),"XBR",IF(COUNTIFS(Y457,"BR",'Eval-LSTK (2)'!Y18,"*R*"),"RBR")  )   ))))</f>
        <v>0</v>
      </c>
      <c r="Z474" s="40" t="b">
        <f>IF(COUNTIFS(Z457,"Prim",'Eval-LSTK (2)'!Z18,"*X*"),"XPRIM",IF(COUNTIFS(Z457,"Prim",'Eval-LSTK (2)'!Z18,"*R*"),"RPRIM",      IF(COUNTIFS(Z457,"BU",'Eval-LSTK (2)'!Z18,"*X*"),"XBU",IF(COUNTIFS(Z457,"BU",'Eval-LSTK (2)'!Z18,"*R*"),"RBU",    IF(COUNTIFS(Z457,"BR",'Eval-LSTK (2)'!Z18,"*X*"),"XBR",IF(COUNTIFS(Z457,"BR",'Eval-LSTK (2)'!Z18,"*R*"),"RBR")  )   ))))</f>
        <v>0</v>
      </c>
      <c r="AA474" s="40" t="b">
        <f>IF(COUNTIFS(AA457,"Prim",'Eval-LSTK (2)'!AA18,"*X*"),"XPRIM",IF(COUNTIFS(AA457,"Prim",'Eval-LSTK (2)'!AA18,"*R*"),"RPRIM",      IF(COUNTIFS(AA457,"BU",'Eval-LSTK (2)'!AA18,"*X*"),"XBU",IF(COUNTIFS(AA457,"BU",'Eval-LSTK (2)'!AA18,"*R*"),"RBU",    IF(COUNTIFS(AA457,"BR",'Eval-LSTK (2)'!AA18,"*X*"),"XBR",IF(COUNTIFS(AA457,"BR",'Eval-LSTK (2)'!AA18,"*R*"),"RBR")  )   ))))</f>
        <v>0</v>
      </c>
      <c r="AB474" s="40" t="b">
        <f>IF(COUNTIFS(AB457,"Prim",'Eval-LSTK (2)'!AB18,"*X*"),"XPRIM",IF(COUNTIFS(AB457,"Prim",'Eval-LSTK (2)'!AB18,"*R*"),"RPRIM",      IF(COUNTIFS(AB457,"BU",'Eval-LSTK (2)'!AB18,"*X*"),"XBU",IF(COUNTIFS(AB457,"BU",'Eval-LSTK (2)'!AB18,"*R*"),"RBU",    IF(COUNTIFS(AB457,"BR",'Eval-LSTK (2)'!AB18,"*X*"),"XBR",IF(COUNTIFS(AB457,"BR",'Eval-LSTK (2)'!AB18,"*R*"),"RBR")  )   ))))</f>
        <v>0</v>
      </c>
      <c r="AC474" s="40" t="b">
        <f>IF(COUNTIFS(AC457,"Prim",'Eval-LSTK (2)'!AC18,"*X*"),"XPRIM",IF(COUNTIFS(AC457,"Prim",'Eval-LSTK (2)'!AC18,"*R*"),"RPRIM",      IF(COUNTIFS(AC457,"BU",'Eval-LSTK (2)'!AC18,"*X*"),"XBU",IF(COUNTIFS(AC457,"BU",'Eval-LSTK (2)'!AC18,"*R*"),"RBU",    IF(COUNTIFS(AC457,"BR",'Eval-LSTK (2)'!AC18,"*X*"),"XBR",IF(COUNTIFS(AC457,"BR",'Eval-LSTK (2)'!AC18,"*R*"),"RBR")  )   ))))</f>
        <v>0</v>
      </c>
      <c r="AD474" s="40" t="b">
        <f>IF(COUNTIFS(AD457,"Prim",'Eval-LSTK (2)'!AD18,"*X*"),"XPRIM",IF(COUNTIFS(AD457,"Prim",'Eval-LSTK (2)'!AD18,"*R*"),"RPRIM",      IF(COUNTIFS(AD457,"BU",'Eval-LSTK (2)'!AD18,"*X*"),"XBU",IF(COUNTIFS(AD457,"BU",'Eval-LSTK (2)'!AD18,"*R*"),"RBU",    IF(COUNTIFS(AD457,"BR",'Eval-LSTK (2)'!AD18,"*X*"),"XBR",IF(COUNTIFS(AD457,"BR",'Eval-LSTK (2)'!AD18,"*R*"),"RBR")  )   ))))</f>
        <v>0</v>
      </c>
      <c r="AE474" s="40" t="b">
        <f>IF(COUNTIFS(AE457,"Prim",'Eval-LSTK (2)'!AE18,"*X*"),"XPRIM",IF(COUNTIFS(AE457,"Prim",'Eval-LSTK (2)'!AE18,"*R*"),"RPRIM",      IF(COUNTIFS(AE457,"BU",'Eval-LSTK (2)'!AE18,"*X*"),"XBU",IF(COUNTIFS(AE457,"BU",'Eval-LSTK (2)'!AE18,"*R*"),"RBU",    IF(COUNTIFS(AE457,"BR",'Eval-LSTK (2)'!AE18,"*X*"),"XBR",IF(COUNTIFS(AE457,"BR",'Eval-LSTK (2)'!AE18,"*R*"),"RBR")  )   ))))</f>
        <v>0</v>
      </c>
      <c r="AF474" s="40" t="b">
        <f>IF(COUNTIFS(AF457,"Prim",'Eval-LSTK (2)'!AF18,"*X*"),"XPRIM",IF(COUNTIFS(AF457,"Prim",'Eval-LSTK (2)'!AF18,"*R*"),"RPRIM",      IF(COUNTIFS(AF457,"BU",'Eval-LSTK (2)'!AF18,"*X*"),"XBU",IF(COUNTIFS(AF457,"BU",'Eval-LSTK (2)'!AF18,"*R*"),"RBU",    IF(COUNTIFS(AF457,"BR",'Eval-LSTK (2)'!AF18,"*X*"),"XBR",IF(COUNTIFS(AF457,"BR",'Eval-LSTK (2)'!AF18,"*R*"),"RBR")  )   ))))</f>
        <v>0</v>
      </c>
      <c r="AG474" s="40" t="b">
        <f>IF(COUNTIFS(AG457,"Prim",'Eval-LSTK (2)'!AG18,"*X*"),"XPRIM",IF(COUNTIFS(AG457,"Prim",'Eval-LSTK (2)'!AG18,"*R*"),"RPRIM",      IF(COUNTIFS(AG457,"BU",'Eval-LSTK (2)'!AG18,"*X*"),"XBU",IF(COUNTIFS(AG457,"BU",'Eval-LSTK (2)'!AG18,"*R*"),"RBU",    IF(COUNTIFS(AG457,"BR",'Eval-LSTK (2)'!AG18,"*X*"),"XBR",IF(COUNTIFS(AG457,"BR",'Eval-LSTK (2)'!AG18,"*R*"),"RBR")  )   ))))</f>
        <v>0</v>
      </c>
      <c r="AH474" s="40" t="b">
        <f>IF(COUNTIFS(AH457,"Prim",'Eval-LSTK (2)'!AH18,"*X*"),"XPRIM",IF(COUNTIFS(AH457,"Prim",'Eval-LSTK (2)'!AH18,"*R*"),"RPRIM",      IF(COUNTIFS(AH457,"BU",'Eval-LSTK (2)'!AH18,"*X*"),"XBU",IF(COUNTIFS(AH457,"BU",'Eval-LSTK (2)'!AH18,"*R*"),"RBU",    IF(COUNTIFS(AH457,"BR",'Eval-LSTK (2)'!AH18,"*X*"),"XBR",IF(COUNTIFS(AH457,"BR",'Eval-LSTK (2)'!AH18,"*R*"),"RBR")  )   ))))</f>
        <v>0</v>
      </c>
      <c r="AI474" s="40" t="b">
        <f>IF(COUNTIFS(AI457,"Prim",'Eval-LSTK (2)'!AI18,"*X*"),"XPRIM",IF(COUNTIFS(AI457,"Prim",'Eval-LSTK (2)'!AI18,"*R*"),"RPRIM",      IF(COUNTIFS(AI457,"BU",'Eval-LSTK (2)'!AI18,"*X*"),"XBU",IF(COUNTIFS(AI457,"BU",'Eval-LSTK (2)'!AI18,"*R*"),"RBU",    IF(COUNTIFS(AI457,"BR",'Eval-LSTK (2)'!AI18,"*X*"),"XBR",IF(COUNTIFS(AI457,"BR",'Eval-LSTK (2)'!AI18,"*R*"),"RBR")  )   ))))</f>
        <v>0</v>
      </c>
    </row>
    <row r="475" spans="1:43" x14ac:dyDescent="0.35">
      <c r="A475" s="1196"/>
      <c r="B475" s="22">
        <v>8</v>
      </c>
      <c r="C475" s="40" t="b">
        <f>IF(COUNTIFS(C458,"Prim",'Eval-LSTK (2)'!C19,"*X*"),"XPRIM",IF(COUNTIFS(C458,"Prim",'Eval-LSTK (2)'!C19,"*R*"),"RPRIM",      IF(COUNTIFS(C458,"BU",'Eval-LSTK (2)'!C19,"*X*"),"XBU",IF(COUNTIFS(C458,"BU",'Eval-LSTK (2)'!C19,"*R*"),"RBU",    IF(COUNTIFS(C458,"BR",'Eval-LSTK (2)'!C19,"*X*"),"XBR",IF(COUNTIFS(C458,"BR",'Eval-LSTK (2)'!C19,"*R*"),"RBR")  )   ))))</f>
        <v>0</v>
      </c>
      <c r="D475" s="40" t="b">
        <f>IF(COUNTIFS(D458,"Prim",'Eval-LSTK (2)'!D19,"*X*"),"XPRIM",IF(COUNTIFS(D458,"Prim",'Eval-LSTK (2)'!D19,"*R*"),"RPRIM",      IF(COUNTIFS(D458,"BU",'Eval-LSTK (2)'!D19,"*X*"),"XBU",IF(COUNTIFS(D458,"BU",'Eval-LSTK (2)'!D19,"*R*"),"RBU",    IF(COUNTIFS(D458,"BR",'Eval-LSTK (2)'!D19,"*X*"),"XBR",IF(COUNTIFS(D458,"BR",'Eval-LSTK (2)'!D19,"*R*"),"RBR")  )   ))))</f>
        <v>0</v>
      </c>
      <c r="E475" s="40" t="b">
        <f>IF(COUNTIFS(E458,"Prim",'Eval-LSTK (2)'!E19,"*X*"),"XPRIM",IF(COUNTIFS(E458,"Prim",'Eval-LSTK (2)'!E19,"*R*"),"RPRIM",      IF(COUNTIFS(E458,"BU",'Eval-LSTK (2)'!E19,"*X*"),"XBU",IF(COUNTIFS(E458,"BU",'Eval-LSTK (2)'!E19,"*R*"),"RBU",    IF(COUNTIFS(E458,"BR",'Eval-LSTK (2)'!E19,"*X*"),"XBR",IF(COUNTIFS(E458,"BR",'Eval-LSTK (2)'!E19,"*R*"),"RBR")  )   ))))</f>
        <v>0</v>
      </c>
      <c r="F475" s="40" t="b">
        <f>IF(COUNTIFS(F458,"Prim",'Eval-LSTK (2)'!F19,"*X*"),"XPRIM",IF(COUNTIFS(F458,"Prim",'Eval-LSTK (2)'!F19,"*R*"),"RPRIM",      IF(COUNTIFS(F458,"BU",'Eval-LSTK (2)'!F19,"*X*"),"XBU",IF(COUNTIFS(F458,"BU",'Eval-LSTK (2)'!F19,"*R*"),"RBU",    IF(COUNTIFS(F458,"BR",'Eval-LSTK (2)'!F19,"*X*"),"XBR",IF(COUNTIFS(F458,"BR",'Eval-LSTK (2)'!F19,"*R*"),"RBR")  )   ))))</f>
        <v>0</v>
      </c>
      <c r="G475" s="40" t="b">
        <f>IF(COUNTIFS(G458,"Prim",'Eval-LSTK (2)'!G19,"*X*"),"XPRIM",IF(COUNTIFS(G458,"Prim",'Eval-LSTK (2)'!G19,"*R*"),"RPRIM",      IF(COUNTIFS(G458,"BU",'Eval-LSTK (2)'!G19,"*X*"),"XBU",IF(COUNTIFS(G458,"BU",'Eval-LSTK (2)'!G19,"*R*"),"RBU",    IF(COUNTIFS(G458,"BR",'Eval-LSTK (2)'!G19,"*X*"),"XBR",IF(COUNTIFS(G458,"BR",'Eval-LSTK (2)'!G19,"*R*"),"RBR")  )   ))))</f>
        <v>0</v>
      </c>
      <c r="H475" s="40" t="b">
        <f>IF(COUNTIFS(H458,"Prim",'Eval-LSTK (2)'!H19,"*X*"),"XPRIM",IF(COUNTIFS(H458,"Prim",'Eval-LSTK (2)'!H19,"*R*"),"RPRIM",      IF(COUNTIFS(H458,"BU",'Eval-LSTK (2)'!H19,"*X*"),"XBU",IF(COUNTIFS(H458,"BU",'Eval-LSTK (2)'!H19,"*R*"),"RBU",    IF(COUNTIFS(H458,"BR",'Eval-LSTK (2)'!H19,"*X*"),"XBR",IF(COUNTIFS(H458,"BR",'Eval-LSTK (2)'!H19,"*R*"),"RBR")  )   ))))</f>
        <v>0</v>
      </c>
      <c r="I475" s="40" t="b">
        <f>IF(COUNTIFS(I458,"Prim",'Eval-LSTK (2)'!I19,"*X*"),"XPRIM",IF(COUNTIFS(I458,"Prim",'Eval-LSTK (2)'!I19,"*R*"),"RPRIM",      IF(COUNTIFS(I458,"BU",'Eval-LSTK (2)'!I19,"*X*"),"XBU",IF(COUNTIFS(I458,"BU",'Eval-LSTK (2)'!I19,"*R*"),"RBU",    IF(COUNTIFS(I458,"BR",'Eval-LSTK (2)'!I19,"*X*"),"XBR",IF(COUNTIFS(I458,"BR",'Eval-LSTK (2)'!I19,"*R*"),"RBR")  )   ))))</f>
        <v>0</v>
      </c>
      <c r="J475" s="40" t="b">
        <f>IF(COUNTIFS(J458,"Prim",'Eval-LSTK (2)'!J19,"*X*"),"XPRIM",IF(COUNTIFS(J458,"Prim",'Eval-LSTK (2)'!J19,"*R*"),"RPRIM",      IF(COUNTIFS(J458,"BU",'Eval-LSTK (2)'!J19,"*X*"),"XBU",IF(COUNTIFS(J458,"BU",'Eval-LSTK (2)'!J19,"*R*"),"RBU",    IF(COUNTIFS(J458,"BR",'Eval-LSTK (2)'!J19,"*X*"),"XBR",IF(COUNTIFS(J458,"BR",'Eval-LSTK (2)'!J19,"*R*"),"RBR")  )   ))))</f>
        <v>0</v>
      </c>
      <c r="K475" s="40" t="b">
        <f>IF(COUNTIFS(K458,"Prim",'Eval-LSTK (2)'!K19,"*X*"),"XPRIM",IF(COUNTIFS(K458,"Prim",'Eval-LSTK (2)'!K19,"*R*"),"RPRIM",      IF(COUNTIFS(K458,"BU",'Eval-LSTK (2)'!K19,"*X*"),"XBU",IF(COUNTIFS(K458,"BU",'Eval-LSTK (2)'!K19,"*R*"),"RBU",    IF(COUNTIFS(K458,"BR",'Eval-LSTK (2)'!K19,"*X*"),"XBR",IF(COUNTIFS(K458,"BR",'Eval-LSTK (2)'!K19,"*R*"),"RBR")  )   ))))</f>
        <v>0</v>
      </c>
      <c r="L475" s="40" t="b">
        <f>IF(COUNTIFS(L458,"Prim",'Eval-LSTK (2)'!L19,"*X*"),"XPRIM",IF(COUNTIFS(L458,"Prim",'Eval-LSTK (2)'!L19,"*R*"),"RPRIM",      IF(COUNTIFS(L458,"BU",'Eval-LSTK (2)'!L19,"*X*"),"XBU",IF(COUNTIFS(L458,"BU",'Eval-LSTK (2)'!L19,"*R*"),"RBU",    IF(COUNTIFS(L458,"BR",'Eval-LSTK (2)'!L19,"*X*"),"XBR",IF(COUNTIFS(L458,"BR",'Eval-LSTK (2)'!L19,"*R*"),"RBR")  )   ))))</f>
        <v>0</v>
      </c>
      <c r="M475" s="40" t="b">
        <f>IF(COUNTIFS(M458,"Prim",'Eval-LSTK (2)'!M19,"*X*"),"XPRIM",IF(COUNTIFS(M458,"Prim",'Eval-LSTK (2)'!M19,"*R*"),"RPRIM",      IF(COUNTIFS(M458,"BU",'Eval-LSTK (2)'!M19,"*X*"),"XBU",IF(COUNTIFS(M458,"BU",'Eval-LSTK (2)'!M19,"*R*"),"RBU",    IF(COUNTIFS(M458,"BR",'Eval-LSTK (2)'!M19,"*X*"),"XBR",IF(COUNTIFS(M458,"BR",'Eval-LSTK (2)'!M19,"*R*"),"RBR")  )   ))))</f>
        <v>0</v>
      </c>
      <c r="N475" s="40" t="b">
        <f>IF(COUNTIFS(N458,"Prim",'Eval-LSTK (2)'!N19,"*X*"),"XPRIM",IF(COUNTIFS(N458,"Prim",'Eval-LSTK (2)'!N19,"*R*"),"RPRIM",      IF(COUNTIFS(N458,"BU",'Eval-LSTK (2)'!N19,"*X*"),"XBU",IF(COUNTIFS(N458,"BU",'Eval-LSTK (2)'!N19,"*R*"),"RBU",    IF(COUNTIFS(N458,"BR",'Eval-LSTK (2)'!N19,"*X*"),"XBR",IF(COUNTIFS(N458,"BR",'Eval-LSTK (2)'!N19,"*R*"),"RBR")  )   ))))</f>
        <v>0</v>
      </c>
      <c r="O475" s="40" t="b">
        <f>IF(COUNTIFS(O458,"Prim",'Eval-LSTK (2)'!O19,"*X*"),"XPRIM",IF(COUNTIFS(O458,"Prim",'Eval-LSTK (2)'!O19,"*R*"),"RPRIM",      IF(COUNTIFS(O458,"BU",'Eval-LSTK (2)'!O19,"*X*"),"XBU",IF(COUNTIFS(O458,"BU",'Eval-LSTK (2)'!O19,"*R*"),"RBU",    IF(COUNTIFS(O458,"BR",'Eval-LSTK (2)'!O19,"*X*"),"XBR",IF(COUNTIFS(O458,"BR",'Eval-LSTK (2)'!O19,"*R*"),"RBR")  )   ))))</f>
        <v>0</v>
      </c>
      <c r="P475" s="40" t="b">
        <f>IF(COUNTIFS(P458,"Prim",'Eval-LSTK (2)'!P19,"*X*"),"XPRIM",IF(COUNTIFS(P458,"Prim",'Eval-LSTK (2)'!P19,"*R*"),"RPRIM",      IF(COUNTIFS(P458,"BU",'Eval-LSTK (2)'!P19,"*X*"),"XBU",IF(COUNTIFS(P458,"BU",'Eval-LSTK (2)'!P19,"*R*"),"RBU",    IF(COUNTIFS(P458,"BR",'Eval-LSTK (2)'!P19,"*X*"),"XBR",IF(COUNTIFS(P458,"BR",'Eval-LSTK (2)'!P19,"*R*"),"RBR")  )   ))))</f>
        <v>0</v>
      </c>
      <c r="Q475" s="40" t="b">
        <f>IF(COUNTIFS(Q458,"Prim",'Eval-LSTK (2)'!Q19,"*X*"),"XPRIM",IF(COUNTIFS(Q458,"Prim",'Eval-LSTK (2)'!Q19,"*R*"),"RPRIM",      IF(COUNTIFS(Q458,"BU",'Eval-LSTK (2)'!Q19,"*X*"),"XBU",IF(COUNTIFS(Q458,"BU",'Eval-LSTK (2)'!Q19,"*R*"),"RBU",    IF(COUNTIFS(Q458,"BR",'Eval-LSTK (2)'!Q19,"*X*"),"XBR",IF(COUNTIFS(Q458,"BR",'Eval-LSTK (2)'!Q19,"*R*"),"RBR")  )   ))))</f>
        <v>0</v>
      </c>
      <c r="R475" s="40" t="b">
        <f>IF(COUNTIFS(R458,"Prim",'Eval-LSTK (2)'!R19,"*X*"),"XPRIM",IF(COUNTIFS(R458,"Prim",'Eval-LSTK (2)'!R19,"*R*"),"RPRIM",      IF(COUNTIFS(R458,"BU",'Eval-LSTK (2)'!R19,"*X*"),"XBU",IF(COUNTIFS(R458,"BU",'Eval-LSTK (2)'!R19,"*R*"),"RBU",    IF(COUNTIFS(R458,"BR",'Eval-LSTK (2)'!R19,"*X*"),"XBR",IF(COUNTIFS(R458,"BR",'Eval-LSTK (2)'!R19,"*R*"),"RBR")  )   ))))</f>
        <v>0</v>
      </c>
      <c r="S475" s="40" t="b">
        <f>IF(COUNTIFS(S458,"Prim",'Eval-LSTK (2)'!S19,"*X*"),"XPRIM",IF(COUNTIFS(S458,"Prim",'Eval-LSTK (2)'!S19,"*R*"),"RPRIM",      IF(COUNTIFS(S458,"BU",'Eval-LSTK (2)'!S19,"*X*"),"XBU",IF(COUNTIFS(S458,"BU",'Eval-LSTK (2)'!S19,"*R*"),"RBU",    IF(COUNTIFS(S458,"BR",'Eval-LSTK (2)'!S19,"*X*"),"XBR",IF(COUNTIFS(S458,"BR",'Eval-LSTK (2)'!S19,"*R*"),"RBR")  )   ))))</f>
        <v>0</v>
      </c>
      <c r="T475" s="40" t="b">
        <f>IF(COUNTIFS(T458,"Prim",'Eval-LSTK (2)'!T19,"*X*"),"XPRIM",IF(COUNTIFS(T458,"Prim",'Eval-LSTK (2)'!T19,"*R*"),"RPRIM",      IF(COUNTIFS(T458,"BU",'Eval-LSTK (2)'!T19,"*X*"),"XBU",IF(COUNTIFS(T458,"BU",'Eval-LSTK (2)'!T19,"*R*"),"RBU",    IF(COUNTIFS(T458,"BR",'Eval-LSTK (2)'!T19,"*X*"),"XBR",IF(COUNTIFS(T458,"BR",'Eval-LSTK (2)'!T19,"*R*"),"RBR")  )   ))))</f>
        <v>0</v>
      </c>
      <c r="U475" s="40" t="b">
        <f>IF(COUNTIFS(U458,"Prim",'Eval-LSTK (2)'!U19,"*X*"),"XPRIM",IF(COUNTIFS(U458,"Prim",'Eval-LSTK (2)'!U19,"*R*"),"RPRIM",      IF(COUNTIFS(U458,"BU",'Eval-LSTK (2)'!U19,"*X*"),"XBU",IF(COUNTIFS(U458,"BU",'Eval-LSTK (2)'!U19,"*R*"),"RBU",    IF(COUNTIFS(U458,"BR",'Eval-LSTK (2)'!U19,"*X*"),"XBR",IF(COUNTIFS(U458,"BR",'Eval-LSTK (2)'!U19,"*R*"),"RBR")  )   ))))</f>
        <v>0</v>
      </c>
      <c r="V475" s="40" t="b">
        <f>IF(COUNTIFS(V458,"Prim",'Eval-LSTK (2)'!V19,"*X*"),"XPRIM",IF(COUNTIFS(V458,"Prim",'Eval-LSTK (2)'!V19,"*R*"),"RPRIM",      IF(COUNTIFS(V458,"BU",'Eval-LSTK (2)'!V19,"*X*"),"XBU",IF(COUNTIFS(V458,"BU",'Eval-LSTK (2)'!V19,"*R*"),"RBU",    IF(COUNTIFS(V458,"BR",'Eval-LSTK (2)'!V19,"*X*"),"XBR",IF(COUNTIFS(V458,"BR",'Eval-LSTK (2)'!V19,"*R*"),"RBR")  )   ))))</f>
        <v>0</v>
      </c>
      <c r="W475" s="40" t="b">
        <f>IF(COUNTIFS(W458,"Prim",'Eval-LSTK (2)'!W19,"*X*"),"XPRIM",IF(COUNTIFS(W458,"Prim",'Eval-LSTK (2)'!W19,"*R*"),"RPRIM",      IF(COUNTIFS(W458,"BU",'Eval-LSTK (2)'!W19,"*X*"),"XBU",IF(COUNTIFS(W458,"BU",'Eval-LSTK (2)'!W19,"*R*"),"RBU",    IF(COUNTIFS(W458,"BR",'Eval-LSTK (2)'!W19,"*X*"),"XBR",IF(COUNTIFS(W458,"BR",'Eval-LSTK (2)'!W19,"*R*"),"RBR")  )   ))))</f>
        <v>0</v>
      </c>
      <c r="X475" s="40" t="b">
        <f>IF(COUNTIFS(X458,"Prim",'Eval-LSTK (2)'!X19,"*X*"),"XPRIM",IF(COUNTIFS(X458,"Prim",'Eval-LSTK (2)'!X19,"*R*"),"RPRIM",      IF(COUNTIFS(X458,"BU",'Eval-LSTK (2)'!X19,"*X*"),"XBU",IF(COUNTIFS(X458,"BU",'Eval-LSTK (2)'!X19,"*R*"),"RBU",    IF(COUNTIFS(X458,"BR",'Eval-LSTK (2)'!X19,"*X*"),"XBR",IF(COUNTIFS(X458,"BR",'Eval-LSTK (2)'!X19,"*R*"),"RBR")  )   ))))</f>
        <v>0</v>
      </c>
      <c r="Y475" s="40" t="b">
        <f>IF(COUNTIFS(Y458,"Prim",'Eval-LSTK (2)'!Y19,"*X*"),"XPRIM",IF(COUNTIFS(Y458,"Prim",'Eval-LSTK (2)'!Y19,"*R*"),"RPRIM",      IF(COUNTIFS(Y458,"BU",'Eval-LSTK (2)'!Y19,"*X*"),"XBU",IF(COUNTIFS(Y458,"BU",'Eval-LSTK (2)'!Y19,"*R*"),"RBU",    IF(COUNTIFS(Y458,"BR",'Eval-LSTK (2)'!Y19,"*X*"),"XBR",IF(COUNTIFS(Y458,"BR",'Eval-LSTK (2)'!Y19,"*R*"),"RBR")  )   ))))</f>
        <v>0</v>
      </c>
      <c r="Z475" s="40" t="b">
        <f>IF(COUNTIFS(Z458,"Prim",'Eval-LSTK (2)'!Z19,"*X*"),"XPRIM",IF(COUNTIFS(Z458,"Prim",'Eval-LSTK (2)'!Z19,"*R*"),"RPRIM",      IF(COUNTIFS(Z458,"BU",'Eval-LSTK (2)'!Z19,"*X*"),"XBU",IF(COUNTIFS(Z458,"BU",'Eval-LSTK (2)'!Z19,"*R*"),"RBU",    IF(COUNTIFS(Z458,"BR",'Eval-LSTK (2)'!Z19,"*X*"),"XBR",IF(COUNTIFS(Z458,"BR",'Eval-LSTK (2)'!Z19,"*R*"),"RBR")  )   ))))</f>
        <v>0</v>
      </c>
      <c r="AA475" s="40" t="b">
        <f>IF(COUNTIFS(AA458,"Prim",'Eval-LSTK (2)'!AA19,"*X*"),"XPRIM",IF(COUNTIFS(AA458,"Prim",'Eval-LSTK (2)'!AA19,"*R*"),"RPRIM",      IF(COUNTIFS(AA458,"BU",'Eval-LSTK (2)'!AA19,"*X*"),"XBU",IF(COUNTIFS(AA458,"BU",'Eval-LSTK (2)'!AA19,"*R*"),"RBU",    IF(COUNTIFS(AA458,"BR",'Eval-LSTK (2)'!AA19,"*X*"),"XBR",IF(COUNTIFS(AA458,"BR",'Eval-LSTK (2)'!AA19,"*R*"),"RBR")  )   ))))</f>
        <v>0</v>
      </c>
      <c r="AB475" s="40" t="b">
        <f>IF(COUNTIFS(AB458,"Prim",'Eval-LSTK (2)'!AB19,"*X*"),"XPRIM",IF(COUNTIFS(AB458,"Prim",'Eval-LSTK (2)'!AB19,"*R*"),"RPRIM",      IF(COUNTIFS(AB458,"BU",'Eval-LSTK (2)'!AB19,"*X*"),"XBU",IF(COUNTIFS(AB458,"BU",'Eval-LSTK (2)'!AB19,"*R*"),"RBU",    IF(COUNTIFS(AB458,"BR",'Eval-LSTK (2)'!AB19,"*X*"),"XBR",IF(COUNTIFS(AB458,"BR",'Eval-LSTK (2)'!AB19,"*R*"),"RBR")  )   ))))</f>
        <v>0</v>
      </c>
      <c r="AC475" s="40" t="b">
        <f>IF(COUNTIFS(AC458,"Prim",'Eval-LSTK (2)'!AC19,"*X*"),"XPRIM",IF(COUNTIFS(AC458,"Prim",'Eval-LSTK (2)'!AC19,"*R*"),"RPRIM",      IF(COUNTIFS(AC458,"BU",'Eval-LSTK (2)'!AC19,"*X*"),"XBU",IF(COUNTIFS(AC458,"BU",'Eval-LSTK (2)'!AC19,"*R*"),"RBU",    IF(COUNTIFS(AC458,"BR",'Eval-LSTK (2)'!AC19,"*X*"),"XBR",IF(COUNTIFS(AC458,"BR",'Eval-LSTK (2)'!AC19,"*R*"),"RBR")  )   ))))</f>
        <v>0</v>
      </c>
      <c r="AD475" s="40" t="b">
        <f>IF(COUNTIFS(AD458,"Prim",'Eval-LSTK (2)'!AD19,"*X*"),"XPRIM",IF(COUNTIFS(AD458,"Prim",'Eval-LSTK (2)'!AD19,"*R*"),"RPRIM",      IF(COUNTIFS(AD458,"BU",'Eval-LSTK (2)'!AD19,"*X*"),"XBU",IF(COUNTIFS(AD458,"BU",'Eval-LSTK (2)'!AD19,"*R*"),"RBU",    IF(COUNTIFS(AD458,"BR",'Eval-LSTK (2)'!AD19,"*X*"),"XBR",IF(COUNTIFS(AD458,"BR",'Eval-LSTK (2)'!AD19,"*R*"),"RBR")  )   ))))</f>
        <v>0</v>
      </c>
      <c r="AE475" s="40" t="b">
        <f>IF(COUNTIFS(AE458,"Prim",'Eval-LSTK (2)'!AE19,"*X*"),"XPRIM",IF(COUNTIFS(AE458,"Prim",'Eval-LSTK (2)'!AE19,"*R*"),"RPRIM",      IF(COUNTIFS(AE458,"BU",'Eval-LSTK (2)'!AE19,"*X*"),"XBU",IF(COUNTIFS(AE458,"BU",'Eval-LSTK (2)'!AE19,"*R*"),"RBU",    IF(COUNTIFS(AE458,"BR",'Eval-LSTK (2)'!AE19,"*X*"),"XBR",IF(COUNTIFS(AE458,"BR",'Eval-LSTK (2)'!AE19,"*R*"),"RBR")  )   ))))</f>
        <v>0</v>
      </c>
      <c r="AF475" s="40" t="b">
        <f>IF(COUNTIFS(AF458,"Prim",'Eval-LSTK (2)'!AF19,"*X*"),"XPRIM",IF(COUNTIFS(AF458,"Prim",'Eval-LSTK (2)'!AF19,"*R*"),"RPRIM",      IF(COUNTIFS(AF458,"BU",'Eval-LSTK (2)'!AF19,"*X*"),"XBU",IF(COUNTIFS(AF458,"BU",'Eval-LSTK (2)'!AF19,"*R*"),"RBU",    IF(COUNTIFS(AF458,"BR",'Eval-LSTK (2)'!AF19,"*X*"),"XBR",IF(COUNTIFS(AF458,"BR",'Eval-LSTK (2)'!AF19,"*R*"),"RBR")  )   ))))</f>
        <v>0</v>
      </c>
      <c r="AG475" s="40" t="b">
        <f>IF(COUNTIFS(AG458,"Prim",'Eval-LSTK (2)'!AG19,"*X*"),"XPRIM",IF(COUNTIFS(AG458,"Prim",'Eval-LSTK (2)'!AG19,"*R*"),"RPRIM",      IF(COUNTIFS(AG458,"BU",'Eval-LSTK (2)'!AG19,"*X*"),"XBU",IF(COUNTIFS(AG458,"BU",'Eval-LSTK (2)'!AG19,"*R*"),"RBU",    IF(COUNTIFS(AG458,"BR",'Eval-LSTK (2)'!AG19,"*X*"),"XBR",IF(COUNTIFS(AG458,"BR",'Eval-LSTK (2)'!AG19,"*R*"),"RBR")  )   ))))</f>
        <v>0</v>
      </c>
      <c r="AH475" s="40" t="b">
        <f>IF(COUNTIFS(AH458,"Prim",'Eval-LSTK (2)'!AH19,"*X*"),"XPRIM",IF(COUNTIFS(AH458,"Prim",'Eval-LSTK (2)'!AH19,"*R*"),"RPRIM",      IF(COUNTIFS(AH458,"BU",'Eval-LSTK (2)'!AH19,"*X*"),"XBU",IF(COUNTIFS(AH458,"BU",'Eval-LSTK (2)'!AH19,"*R*"),"RBU",    IF(COUNTIFS(AH458,"BR",'Eval-LSTK (2)'!AH19,"*X*"),"XBR",IF(COUNTIFS(AH458,"BR",'Eval-LSTK (2)'!AH19,"*R*"),"RBR")  )   ))))</f>
        <v>0</v>
      </c>
      <c r="AI475" s="40" t="b">
        <f>IF(COUNTIFS(AI458,"Prim",'Eval-LSTK (2)'!AI19,"*X*"),"XPRIM",IF(COUNTIFS(AI458,"Prim",'Eval-LSTK (2)'!AI19,"*R*"),"RPRIM",      IF(COUNTIFS(AI458,"BU",'Eval-LSTK (2)'!AI19,"*X*"),"XBU",IF(COUNTIFS(AI458,"BU",'Eval-LSTK (2)'!AI19,"*R*"),"RBU",    IF(COUNTIFS(AI458,"BR",'Eval-LSTK (2)'!AI19,"*X*"),"XBR",IF(COUNTIFS(AI458,"BR",'Eval-LSTK (2)'!AI19,"*R*"),"RBR")  )   ))))</f>
        <v>0</v>
      </c>
    </row>
    <row r="476" spans="1:43" x14ac:dyDescent="0.35">
      <c r="A476" s="1196"/>
      <c r="B476" s="22">
        <v>9</v>
      </c>
      <c r="C476" s="40" t="b">
        <f>IF(COUNTIFS(C459,"Prim",'Eval-LSTK (2)'!C20,"*X*"),"XPRIM",IF(COUNTIFS(C459,"Prim",'Eval-LSTK (2)'!C20,"*R*"),"RPRIM",      IF(COUNTIFS(C459,"BU",'Eval-LSTK (2)'!C20,"*X*"),"XBU",IF(COUNTIFS(C459,"BU",'Eval-LSTK (2)'!C20,"*R*"),"RBU",    IF(COUNTIFS(C459,"BR",'Eval-LSTK (2)'!C20,"*X*"),"XBR",IF(COUNTIFS(C459,"BR",'Eval-LSTK (2)'!C20,"*R*"),"RBR")  )   ))))</f>
        <v>0</v>
      </c>
      <c r="D476" s="40" t="b">
        <f>IF(COUNTIFS(D459,"Prim",'Eval-LSTK (2)'!D20,"*X*"),"XPRIM",IF(COUNTIFS(D459,"Prim",'Eval-LSTK (2)'!D20,"*R*"),"RPRIM",      IF(COUNTIFS(D459,"BU",'Eval-LSTK (2)'!D20,"*X*"),"XBU",IF(COUNTIFS(D459,"BU",'Eval-LSTK (2)'!D20,"*R*"),"RBU",    IF(COUNTIFS(D459,"BR",'Eval-LSTK (2)'!D20,"*X*"),"XBR",IF(COUNTIFS(D459,"BR",'Eval-LSTK (2)'!D20,"*R*"),"RBR")  )   ))))</f>
        <v>0</v>
      </c>
      <c r="E476" s="40" t="b">
        <f>IF(COUNTIFS(E459,"Prim",'Eval-LSTK (2)'!E20,"*X*"),"XPRIM",IF(COUNTIFS(E459,"Prim",'Eval-LSTK (2)'!E20,"*R*"),"RPRIM",      IF(COUNTIFS(E459,"BU",'Eval-LSTK (2)'!E20,"*X*"),"XBU",IF(COUNTIFS(E459,"BU",'Eval-LSTK (2)'!E20,"*R*"),"RBU",    IF(COUNTIFS(E459,"BR",'Eval-LSTK (2)'!E20,"*X*"),"XBR",IF(COUNTIFS(E459,"BR",'Eval-LSTK (2)'!E20,"*R*"),"RBR")  )   ))))</f>
        <v>0</v>
      </c>
      <c r="F476" s="40" t="b">
        <f>IF(COUNTIFS(F459,"Prim",'Eval-LSTK (2)'!F20,"*X*"),"XPRIM",IF(COUNTIFS(F459,"Prim",'Eval-LSTK (2)'!F20,"*R*"),"RPRIM",      IF(COUNTIFS(F459,"BU",'Eval-LSTK (2)'!F20,"*X*"),"XBU",IF(COUNTIFS(F459,"BU",'Eval-LSTK (2)'!F20,"*R*"),"RBU",    IF(COUNTIFS(F459,"BR",'Eval-LSTK (2)'!F20,"*X*"),"XBR",IF(COUNTIFS(F459,"BR",'Eval-LSTK (2)'!F20,"*R*"),"RBR")  )   ))))</f>
        <v>0</v>
      </c>
      <c r="G476" s="40" t="b">
        <f>IF(COUNTIFS(G459,"Prim",'Eval-LSTK (2)'!G20,"*X*"),"XPRIM",IF(COUNTIFS(G459,"Prim",'Eval-LSTK (2)'!G20,"*R*"),"RPRIM",      IF(COUNTIFS(G459,"BU",'Eval-LSTK (2)'!G20,"*X*"),"XBU",IF(COUNTIFS(G459,"BU",'Eval-LSTK (2)'!G20,"*R*"),"RBU",    IF(COUNTIFS(G459,"BR",'Eval-LSTK (2)'!G20,"*X*"),"XBR",IF(COUNTIFS(G459,"BR",'Eval-LSTK (2)'!G20,"*R*"),"RBR")  )   ))))</f>
        <v>0</v>
      </c>
      <c r="H476" s="40" t="b">
        <f>IF(COUNTIFS(H459,"Prim",'Eval-LSTK (2)'!H20,"*X*"),"XPRIM",IF(COUNTIFS(H459,"Prim",'Eval-LSTK (2)'!H20,"*R*"),"RPRIM",      IF(COUNTIFS(H459,"BU",'Eval-LSTK (2)'!H20,"*X*"),"XBU",IF(COUNTIFS(H459,"BU",'Eval-LSTK (2)'!H20,"*R*"),"RBU",    IF(COUNTIFS(H459,"BR",'Eval-LSTK (2)'!H20,"*X*"),"XBR",IF(COUNTIFS(H459,"BR",'Eval-LSTK (2)'!H20,"*R*"),"RBR")  )   ))))</f>
        <v>0</v>
      </c>
      <c r="I476" s="40" t="b">
        <f>IF(COUNTIFS(I459,"Prim",'Eval-LSTK (2)'!I20,"*X*"),"XPRIM",IF(COUNTIFS(I459,"Prim",'Eval-LSTK (2)'!I20,"*R*"),"RPRIM",      IF(COUNTIFS(I459,"BU",'Eval-LSTK (2)'!I20,"*X*"),"XBU",IF(COUNTIFS(I459,"BU",'Eval-LSTK (2)'!I20,"*R*"),"RBU",    IF(COUNTIFS(I459,"BR",'Eval-LSTK (2)'!I20,"*X*"),"XBR",IF(COUNTIFS(I459,"BR",'Eval-LSTK (2)'!I20,"*R*"),"RBR")  )   ))))</f>
        <v>0</v>
      </c>
      <c r="J476" s="40" t="b">
        <f>IF(COUNTIFS(J459,"Prim",'Eval-LSTK (2)'!J20,"*X*"),"XPRIM",IF(COUNTIFS(J459,"Prim",'Eval-LSTK (2)'!J20,"*R*"),"RPRIM",      IF(COUNTIFS(J459,"BU",'Eval-LSTK (2)'!J20,"*X*"),"XBU",IF(COUNTIFS(J459,"BU",'Eval-LSTK (2)'!J20,"*R*"),"RBU",    IF(COUNTIFS(J459,"BR",'Eval-LSTK (2)'!J20,"*X*"),"XBR",IF(COUNTIFS(J459,"BR",'Eval-LSTK (2)'!J20,"*R*"),"RBR")  )   ))))</f>
        <v>0</v>
      </c>
      <c r="K476" s="40" t="b">
        <f>IF(COUNTIFS(K459,"Prim",'Eval-LSTK (2)'!K20,"*X*"),"XPRIM",IF(COUNTIFS(K459,"Prim",'Eval-LSTK (2)'!K20,"*R*"),"RPRIM",      IF(COUNTIFS(K459,"BU",'Eval-LSTK (2)'!K20,"*X*"),"XBU",IF(COUNTIFS(K459,"BU",'Eval-LSTK (2)'!K20,"*R*"),"RBU",    IF(COUNTIFS(K459,"BR",'Eval-LSTK (2)'!K20,"*X*"),"XBR",IF(COUNTIFS(K459,"BR",'Eval-LSTK (2)'!K20,"*R*"),"RBR")  )   ))))</f>
        <v>0</v>
      </c>
      <c r="L476" s="40" t="b">
        <f>IF(COUNTIFS(L459,"Prim",'Eval-LSTK (2)'!L20,"*X*"),"XPRIM",IF(COUNTIFS(L459,"Prim",'Eval-LSTK (2)'!L20,"*R*"),"RPRIM",      IF(COUNTIFS(L459,"BU",'Eval-LSTK (2)'!L20,"*X*"),"XBU",IF(COUNTIFS(L459,"BU",'Eval-LSTK (2)'!L20,"*R*"),"RBU",    IF(COUNTIFS(L459,"BR",'Eval-LSTK (2)'!L20,"*X*"),"XBR",IF(COUNTIFS(L459,"BR",'Eval-LSTK (2)'!L20,"*R*"),"RBR")  )   ))))</f>
        <v>0</v>
      </c>
      <c r="M476" s="40" t="b">
        <f>IF(COUNTIFS(M459,"Prim",'Eval-LSTK (2)'!M20,"*X*"),"XPRIM",IF(COUNTIFS(M459,"Prim",'Eval-LSTK (2)'!M20,"*R*"),"RPRIM",      IF(COUNTIFS(M459,"BU",'Eval-LSTK (2)'!M20,"*X*"),"XBU",IF(COUNTIFS(M459,"BU",'Eval-LSTK (2)'!M20,"*R*"),"RBU",    IF(COUNTIFS(M459,"BR",'Eval-LSTK (2)'!M20,"*X*"),"XBR",IF(COUNTIFS(M459,"BR",'Eval-LSTK (2)'!M20,"*R*"),"RBR")  )   ))))</f>
        <v>0</v>
      </c>
      <c r="N476" s="40" t="b">
        <f>IF(COUNTIFS(N459,"Prim",'Eval-LSTK (2)'!N20,"*X*"),"XPRIM",IF(COUNTIFS(N459,"Prim",'Eval-LSTK (2)'!N20,"*R*"),"RPRIM",      IF(COUNTIFS(N459,"BU",'Eval-LSTK (2)'!N20,"*X*"),"XBU",IF(COUNTIFS(N459,"BU",'Eval-LSTK (2)'!N20,"*R*"),"RBU",    IF(COUNTIFS(N459,"BR",'Eval-LSTK (2)'!N20,"*X*"),"XBR",IF(COUNTIFS(N459,"BR",'Eval-LSTK (2)'!N20,"*R*"),"RBR")  )   ))))</f>
        <v>0</v>
      </c>
      <c r="O476" s="40" t="b">
        <f>IF(COUNTIFS(O459,"Prim",'Eval-LSTK (2)'!O20,"*X*"),"XPRIM",IF(COUNTIFS(O459,"Prim",'Eval-LSTK (2)'!O20,"*R*"),"RPRIM",      IF(COUNTIFS(O459,"BU",'Eval-LSTK (2)'!O20,"*X*"),"XBU",IF(COUNTIFS(O459,"BU",'Eval-LSTK (2)'!O20,"*R*"),"RBU",    IF(COUNTIFS(O459,"BR",'Eval-LSTK (2)'!O20,"*X*"),"XBR",IF(COUNTIFS(O459,"BR",'Eval-LSTK (2)'!O20,"*R*"),"RBR")  )   ))))</f>
        <v>0</v>
      </c>
      <c r="P476" s="40" t="b">
        <f>IF(COUNTIFS(P459,"Prim",'Eval-LSTK (2)'!P20,"*X*"),"XPRIM",IF(COUNTIFS(P459,"Prim",'Eval-LSTK (2)'!P20,"*R*"),"RPRIM",      IF(COUNTIFS(P459,"BU",'Eval-LSTK (2)'!P20,"*X*"),"XBU",IF(COUNTIFS(P459,"BU",'Eval-LSTK (2)'!P20,"*R*"),"RBU",    IF(COUNTIFS(P459,"BR",'Eval-LSTK (2)'!P20,"*X*"),"XBR",IF(COUNTIFS(P459,"BR",'Eval-LSTK (2)'!P20,"*R*"),"RBR")  )   ))))</f>
        <v>0</v>
      </c>
      <c r="Q476" s="40" t="b">
        <f>IF(COUNTIFS(Q459,"Prim",'Eval-LSTK (2)'!Q20,"*X*"),"XPRIM",IF(COUNTIFS(Q459,"Prim",'Eval-LSTK (2)'!Q20,"*R*"),"RPRIM",      IF(COUNTIFS(Q459,"BU",'Eval-LSTK (2)'!Q20,"*X*"),"XBU",IF(COUNTIFS(Q459,"BU",'Eval-LSTK (2)'!Q20,"*R*"),"RBU",    IF(COUNTIFS(Q459,"BR",'Eval-LSTK (2)'!Q20,"*X*"),"XBR",IF(COUNTIFS(Q459,"BR",'Eval-LSTK (2)'!Q20,"*R*"),"RBR")  )   ))))</f>
        <v>0</v>
      </c>
      <c r="R476" s="40" t="b">
        <f>IF(COUNTIFS(R459,"Prim",'Eval-LSTK (2)'!R20,"*X*"),"XPRIM",IF(COUNTIFS(R459,"Prim",'Eval-LSTK (2)'!R20,"*R*"),"RPRIM",      IF(COUNTIFS(R459,"BU",'Eval-LSTK (2)'!R20,"*X*"),"XBU",IF(COUNTIFS(R459,"BU",'Eval-LSTK (2)'!R20,"*R*"),"RBU",    IF(COUNTIFS(R459,"BR",'Eval-LSTK (2)'!R20,"*X*"),"XBR",IF(COUNTIFS(R459,"BR",'Eval-LSTK (2)'!R20,"*R*"),"RBR")  )   ))))</f>
        <v>0</v>
      </c>
      <c r="S476" s="40" t="b">
        <f>IF(COUNTIFS(S459,"Prim",'Eval-LSTK (2)'!S20,"*X*"),"XPRIM",IF(COUNTIFS(S459,"Prim",'Eval-LSTK (2)'!S20,"*R*"),"RPRIM",      IF(COUNTIFS(S459,"BU",'Eval-LSTK (2)'!S20,"*X*"),"XBU",IF(COUNTIFS(S459,"BU",'Eval-LSTK (2)'!S20,"*R*"),"RBU",    IF(COUNTIFS(S459,"BR",'Eval-LSTK (2)'!S20,"*X*"),"XBR",IF(COUNTIFS(S459,"BR",'Eval-LSTK (2)'!S20,"*R*"),"RBR")  )   ))))</f>
        <v>0</v>
      </c>
      <c r="T476" s="40" t="b">
        <f>IF(COUNTIFS(T459,"Prim",'Eval-LSTK (2)'!T20,"*X*"),"XPRIM",IF(COUNTIFS(T459,"Prim",'Eval-LSTK (2)'!T20,"*R*"),"RPRIM",      IF(COUNTIFS(T459,"BU",'Eval-LSTK (2)'!T20,"*X*"),"XBU",IF(COUNTIFS(T459,"BU",'Eval-LSTK (2)'!T20,"*R*"),"RBU",    IF(COUNTIFS(T459,"BR",'Eval-LSTK (2)'!T20,"*X*"),"XBR",IF(COUNTIFS(T459,"BR",'Eval-LSTK (2)'!T20,"*R*"),"RBR")  )   ))))</f>
        <v>0</v>
      </c>
      <c r="U476" s="40" t="b">
        <f>IF(COUNTIFS(U459,"Prim",'Eval-LSTK (2)'!U20,"*X*"),"XPRIM",IF(COUNTIFS(U459,"Prim",'Eval-LSTK (2)'!U20,"*R*"),"RPRIM",      IF(COUNTIFS(U459,"BU",'Eval-LSTK (2)'!U20,"*X*"),"XBU",IF(COUNTIFS(U459,"BU",'Eval-LSTK (2)'!U20,"*R*"),"RBU",    IF(COUNTIFS(U459,"BR",'Eval-LSTK (2)'!U20,"*X*"),"XBR",IF(COUNTIFS(U459,"BR",'Eval-LSTK (2)'!U20,"*R*"),"RBR")  )   ))))</f>
        <v>0</v>
      </c>
      <c r="V476" s="40" t="b">
        <f>IF(COUNTIFS(V459,"Prim",'Eval-LSTK (2)'!V20,"*X*"),"XPRIM",IF(COUNTIFS(V459,"Prim",'Eval-LSTK (2)'!V20,"*R*"),"RPRIM",      IF(COUNTIFS(V459,"BU",'Eval-LSTK (2)'!V20,"*X*"),"XBU",IF(COUNTIFS(V459,"BU",'Eval-LSTK (2)'!V20,"*R*"),"RBU",    IF(COUNTIFS(V459,"BR",'Eval-LSTK (2)'!V20,"*X*"),"XBR",IF(COUNTIFS(V459,"BR",'Eval-LSTK (2)'!V20,"*R*"),"RBR")  )   ))))</f>
        <v>0</v>
      </c>
      <c r="W476" s="40" t="b">
        <f>IF(COUNTIFS(W459,"Prim",'Eval-LSTK (2)'!W20,"*X*"),"XPRIM",IF(COUNTIFS(W459,"Prim",'Eval-LSTK (2)'!W20,"*R*"),"RPRIM",      IF(COUNTIFS(W459,"BU",'Eval-LSTK (2)'!W20,"*X*"),"XBU",IF(COUNTIFS(W459,"BU",'Eval-LSTK (2)'!W20,"*R*"),"RBU",    IF(COUNTIFS(W459,"BR",'Eval-LSTK (2)'!W20,"*X*"),"XBR",IF(COUNTIFS(W459,"BR",'Eval-LSTK (2)'!W20,"*R*"),"RBR")  )   ))))</f>
        <v>0</v>
      </c>
      <c r="X476" s="40" t="b">
        <f>IF(COUNTIFS(X459,"Prim",'Eval-LSTK (2)'!X20,"*X*"),"XPRIM",IF(COUNTIFS(X459,"Prim",'Eval-LSTK (2)'!X20,"*R*"),"RPRIM",      IF(COUNTIFS(X459,"BU",'Eval-LSTK (2)'!X20,"*X*"),"XBU",IF(COUNTIFS(X459,"BU",'Eval-LSTK (2)'!X20,"*R*"),"RBU",    IF(COUNTIFS(X459,"BR",'Eval-LSTK (2)'!X20,"*X*"),"XBR",IF(COUNTIFS(X459,"BR",'Eval-LSTK (2)'!X20,"*R*"),"RBR")  )   ))))</f>
        <v>0</v>
      </c>
      <c r="Y476" s="40" t="b">
        <f>IF(COUNTIFS(Y459,"Prim",'Eval-LSTK (2)'!Y20,"*X*"),"XPRIM",IF(COUNTIFS(Y459,"Prim",'Eval-LSTK (2)'!Y20,"*R*"),"RPRIM",      IF(COUNTIFS(Y459,"BU",'Eval-LSTK (2)'!Y20,"*X*"),"XBU",IF(COUNTIFS(Y459,"BU",'Eval-LSTK (2)'!Y20,"*R*"),"RBU",    IF(COUNTIFS(Y459,"BR",'Eval-LSTK (2)'!Y20,"*X*"),"XBR",IF(COUNTIFS(Y459,"BR",'Eval-LSTK (2)'!Y20,"*R*"),"RBR")  )   ))))</f>
        <v>0</v>
      </c>
      <c r="Z476" s="40" t="b">
        <f>IF(COUNTIFS(Z459,"Prim",'Eval-LSTK (2)'!Z20,"*X*"),"XPRIM",IF(COUNTIFS(Z459,"Prim",'Eval-LSTK (2)'!Z20,"*R*"),"RPRIM",      IF(COUNTIFS(Z459,"BU",'Eval-LSTK (2)'!Z20,"*X*"),"XBU",IF(COUNTIFS(Z459,"BU",'Eval-LSTK (2)'!Z20,"*R*"),"RBU",    IF(COUNTIFS(Z459,"BR",'Eval-LSTK (2)'!Z20,"*X*"),"XBR",IF(COUNTIFS(Z459,"BR",'Eval-LSTK (2)'!Z20,"*R*"),"RBR")  )   ))))</f>
        <v>0</v>
      </c>
      <c r="AA476" s="40" t="b">
        <f>IF(COUNTIFS(AA459,"Prim",'Eval-LSTK (2)'!AA20,"*X*"),"XPRIM",IF(COUNTIFS(AA459,"Prim",'Eval-LSTK (2)'!AA20,"*R*"),"RPRIM",      IF(COUNTIFS(AA459,"BU",'Eval-LSTK (2)'!AA20,"*X*"),"XBU",IF(COUNTIFS(AA459,"BU",'Eval-LSTK (2)'!AA20,"*R*"),"RBU",    IF(COUNTIFS(AA459,"BR",'Eval-LSTK (2)'!AA20,"*X*"),"XBR",IF(COUNTIFS(AA459,"BR",'Eval-LSTK (2)'!AA20,"*R*"),"RBR")  )   ))))</f>
        <v>0</v>
      </c>
      <c r="AB476" s="40" t="b">
        <f>IF(COUNTIFS(AB459,"Prim",'Eval-LSTK (2)'!AB20,"*X*"),"XPRIM",IF(COUNTIFS(AB459,"Prim",'Eval-LSTK (2)'!AB20,"*R*"),"RPRIM",      IF(COUNTIFS(AB459,"BU",'Eval-LSTK (2)'!AB20,"*X*"),"XBU",IF(COUNTIFS(AB459,"BU",'Eval-LSTK (2)'!AB20,"*R*"),"RBU",    IF(COUNTIFS(AB459,"BR",'Eval-LSTK (2)'!AB20,"*X*"),"XBR",IF(COUNTIFS(AB459,"BR",'Eval-LSTK (2)'!AB20,"*R*"),"RBR")  )   ))))</f>
        <v>0</v>
      </c>
      <c r="AC476" s="40" t="b">
        <f>IF(COUNTIFS(AC459,"Prim",'Eval-LSTK (2)'!AC20,"*X*"),"XPRIM",IF(COUNTIFS(AC459,"Prim",'Eval-LSTK (2)'!AC20,"*R*"),"RPRIM",      IF(COUNTIFS(AC459,"BU",'Eval-LSTK (2)'!AC20,"*X*"),"XBU",IF(COUNTIFS(AC459,"BU",'Eval-LSTK (2)'!AC20,"*R*"),"RBU",    IF(COUNTIFS(AC459,"BR",'Eval-LSTK (2)'!AC20,"*X*"),"XBR",IF(COUNTIFS(AC459,"BR",'Eval-LSTK (2)'!AC20,"*R*"),"RBR")  )   ))))</f>
        <v>0</v>
      </c>
      <c r="AD476" s="40" t="b">
        <f>IF(COUNTIFS(AD459,"Prim",'Eval-LSTK (2)'!AD20,"*X*"),"XPRIM",IF(COUNTIFS(AD459,"Prim",'Eval-LSTK (2)'!AD20,"*R*"),"RPRIM",      IF(COUNTIFS(AD459,"BU",'Eval-LSTK (2)'!AD20,"*X*"),"XBU",IF(COUNTIFS(AD459,"BU",'Eval-LSTK (2)'!AD20,"*R*"),"RBU",    IF(COUNTIFS(AD459,"BR",'Eval-LSTK (2)'!AD20,"*X*"),"XBR",IF(COUNTIFS(AD459,"BR",'Eval-LSTK (2)'!AD20,"*R*"),"RBR")  )   ))))</f>
        <v>0</v>
      </c>
      <c r="AE476" s="40" t="b">
        <f>IF(COUNTIFS(AE459,"Prim",'Eval-LSTK (2)'!AE20,"*X*"),"XPRIM",IF(COUNTIFS(AE459,"Prim",'Eval-LSTK (2)'!AE20,"*R*"),"RPRIM",      IF(COUNTIFS(AE459,"BU",'Eval-LSTK (2)'!AE20,"*X*"),"XBU",IF(COUNTIFS(AE459,"BU",'Eval-LSTK (2)'!AE20,"*R*"),"RBU",    IF(COUNTIFS(AE459,"BR",'Eval-LSTK (2)'!AE20,"*X*"),"XBR",IF(COUNTIFS(AE459,"BR",'Eval-LSTK (2)'!AE20,"*R*"),"RBR")  )   ))))</f>
        <v>0</v>
      </c>
      <c r="AF476" s="40" t="b">
        <f>IF(COUNTIFS(AF459,"Prim",'Eval-LSTK (2)'!AF20,"*X*"),"XPRIM",IF(COUNTIFS(AF459,"Prim",'Eval-LSTK (2)'!AF20,"*R*"),"RPRIM",      IF(COUNTIFS(AF459,"BU",'Eval-LSTK (2)'!AF20,"*X*"),"XBU",IF(COUNTIFS(AF459,"BU",'Eval-LSTK (2)'!AF20,"*R*"),"RBU",    IF(COUNTIFS(AF459,"BR",'Eval-LSTK (2)'!AF20,"*X*"),"XBR",IF(COUNTIFS(AF459,"BR",'Eval-LSTK (2)'!AF20,"*R*"),"RBR")  )   ))))</f>
        <v>0</v>
      </c>
      <c r="AG476" s="40" t="b">
        <f>IF(COUNTIFS(AG459,"Prim",'Eval-LSTK (2)'!AG20,"*X*"),"XPRIM",IF(COUNTIFS(AG459,"Prim",'Eval-LSTK (2)'!AG20,"*R*"),"RPRIM",      IF(COUNTIFS(AG459,"BU",'Eval-LSTK (2)'!AG20,"*X*"),"XBU",IF(COUNTIFS(AG459,"BU",'Eval-LSTK (2)'!AG20,"*R*"),"RBU",    IF(COUNTIFS(AG459,"BR",'Eval-LSTK (2)'!AG20,"*X*"),"XBR",IF(COUNTIFS(AG459,"BR",'Eval-LSTK (2)'!AG20,"*R*"),"RBR")  )   ))))</f>
        <v>0</v>
      </c>
      <c r="AH476" s="40" t="b">
        <f>IF(COUNTIFS(AH459,"Prim",'Eval-LSTK (2)'!AH20,"*X*"),"XPRIM",IF(COUNTIFS(AH459,"Prim",'Eval-LSTK (2)'!AH20,"*R*"),"RPRIM",      IF(COUNTIFS(AH459,"BU",'Eval-LSTK (2)'!AH20,"*X*"),"XBU",IF(COUNTIFS(AH459,"BU",'Eval-LSTK (2)'!AH20,"*R*"),"RBU",    IF(COUNTIFS(AH459,"BR",'Eval-LSTK (2)'!AH20,"*X*"),"XBR",IF(COUNTIFS(AH459,"BR",'Eval-LSTK (2)'!AH20,"*R*"),"RBR")  )   ))))</f>
        <v>0</v>
      </c>
      <c r="AI476" s="40" t="b">
        <f>IF(COUNTIFS(AI459,"Prim",'Eval-LSTK (2)'!AI20,"*X*"),"XPRIM",IF(COUNTIFS(AI459,"Prim",'Eval-LSTK (2)'!AI20,"*R*"),"RPRIM",      IF(COUNTIFS(AI459,"BU",'Eval-LSTK (2)'!AI20,"*X*"),"XBU",IF(COUNTIFS(AI459,"BU",'Eval-LSTK (2)'!AI20,"*R*"),"RBU",    IF(COUNTIFS(AI459,"BR",'Eval-LSTK (2)'!AI20,"*X*"),"XBR",IF(COUNTIFS(AI459,"BR",'Eval-LSTK (2)'!AI20,"*R*"),"RBR")  )   ))))</f>
        <v>0</v>
      </c>
    </row>
    <row r="477" spans="1:43" x14ac:dyDescent="0.35">
      <c r="A477" s="1196"/>
      <c r="B477" s="22">
        <v>10</v>
      </c>
      <c r="C477" s="40" t="b">
        <f>IF(COUNTIFS(C460,"Prim",'Eval-LSTK (2)'!C21,"*X*"),"XPRIM",IF(COUNTIFS(C460,"Prim",'Eval-LSTK (2)'!C21,"*R*"),"RPRIM",      IF(COUNTIFS(C460,"BU",'Eval-LSTK (2)'!C21,"*X*"),"XBU",IF(COUNTIFS(C460,"BU",'Eval-LSTK (2)'!C21,"*R*"),"RBU",    IF(COUNTIFS(C460,"BR",'Eval-LSTK (2)'!C21,"*X*"),"XBR",IF(COUNTIFS(C460,"BR",'Eval-LSTK (2)'!C21,"*R*"),"RBR")  )   ))))</f>
        <v>0</v>
      </c>
      <c r="D477" s="40" t="b">
        <f>IF(COUNTIFS(D460,"Prim",'Eval-LSTK (2)'!D21,"*X*"),"XPRIM",IF(COUNTIFS(D460,"Prim",'Eval-LSTK (2)'!D21,"*R*"),"RPRIM",      IF(COUNTIFS(D460,"BU",'Eval-LSTK (2)'!D21,"*X*"),"XBU",IF(COUNTIFS(D460,"BU",'Eval-LSTK (2)'!D21,"*R*"),"RBU",    IF(COUNTIFS(D460,"BR",'Eval-LSTK (2)'!D21,"*X*"),"XBR",IF(COUNTIFS(D460,"BR",'Eval-LSTK (2)'!D21,"*R*"),"RBR")  )   ))))</f>
        <v>0</v>
      </c>
      <c r="E477" s="40" t="b">
        <f>IF(COUNTIFS(E460,"Prim",'Eval-LSTK (2)'!E21,"*X*"),"XPRIM",IF(COUNTIFS(E460,"Prim",'Eval-LSTK (2)'!E21,"*R*"),"RPRIM",      IF(COUNTIFS(E460,"BU",'Eval-LSTK (2)'!E21,"*X*"),"XBU",IF(COUNTIFS(E460,"BU",'Eval-LSTK (2)'!E21,"*R*"),"RBU",    IF(COUNTIFS(E460,"BR",'Eval-LSTK (2)'!E21,"*X*"),"XBR",IF(COUNTIFS(E460,"BR",'Eval-LSTK (2)'!E21,"*R*"),"RBR")  )   ))))</f>
        <v>0</v>
      </c>
      <c r="F477" s="40" t="b">
        <f>IF(COUNTIFS(F460,"Prim",'Eval-LSTK (2)'!F21,"*X*"),"XPRIM",IF(COUNTIFS(F460,"Prim",'Eval-LSTK (2)'!F21,"*R*"),"RPRIM",      IF(COUNTIFS(F460,"BU",'Eval-LSTK (2)'!F21,"*X*"),"XBU",IF(COUNTIFS(F460,"BU",'Eval-LSTK (2)'!F21,"*R*"),"RBU",    IF(COUNTIFS(F460,"BR",'Eval-LSTK (2)'!F21,"*X*"),"XBR",IF(COUNTIFS(F460,"BR",'Eval-LSTK (2)'!F21,"*R*"),"RBR")  )   ))))</f>
        <v>0</v>
      </c>
      <c r="G477" s="40" t="b">
        <f>IF(COUNTIFS(G460,"Prim",'Eval-LSTK (2)'!G21,"*X*"),"XPRIM",IF(COUNTIFS(G460,"Prim",'Eval-LSTK (2)'!G21,"*R*"),"RPRIM",      IF(COUNTIFS(G460,"BU",'Eval-LSTK (2)'!G21,"*X*"),"XBU",IF(COUNTIFS(G460,"BU",'Eval-LSTK (2)'!G21,"*R*"),"RBU",    IF(COUNTIFS(G460,"BR",'Eval-LSTK (2)'!G21,"*X*"),"XBR",IF(COUNTIFS(G460,"BR",'Eval-LSTK (2)'!G21,"*R*"),"RBR")  )   ))))</f>
        <v>0</v>
      </c>
      <c r="H477" s="40" t="b">
        <f>IF(COUNTIFS(H460,"Prim",'Eval-LSTK (2)'!H21,"*X*"),"XPRIM",IF(COUNTIFS(H460,"Prim",'Eval-LSTK (2)'!H21,"*R*"),"RPRIM",      IF(COUNTIFS(H460,"BU",'Eval-LSTK (2)'!H21,"*X*"),"XBU",IF(COUNTIFS(H460,"BU",'Eval-LSTK (2)'!H21,"*R*"),"RBU",    IF(COUNTIFS(H460,"BR",'Eval-LSTK (2)'!H21,"*X*"),"XBR",IF(COUNTIFS(H460,"BR",'Eval-LSTK (2)'!H21,"*R*"),"RBR")  )   ))))</f>
        <v>0</v>
      </c>
      <c r="I477" s="40" t="b">
        <f>IF(COUNTIFS(I460,"Prim",'Eval-LSTK (2)'!I21,"*X*"),"XPRIM",IF(COUNTIFS(I460,"Prim",'Eval-LSTK (2)'!I21,"*R*"),"RPRIM",      IF(COUNTIFS(I460,"BU",'Eval-LSTK (2)'!I21,"*X*"),"XBU",IF(COUNTIFS(I460,"BU",'Eval-LSTK (2)'!I21,"*R*"),"RBU",    IF(COUNTIFS(I460,"BR",'Eval-LSTK (2)'!I21,"*X*"),"XBR",IF(COUNTIFS(I460,"BR",'Eval-LSTK (2)'!I21,"*R*"),"RBR")  )   ))))</f>
        <v>0</v>
      </c>
      <c r="J477" s="40" t="b">
        <f>IF(COUNTIFS(J460,"Prim",'Eval-LSTK (2)'!J21,"*X*"),"XPRIM",IF(COUNTIFS(J460,"Prim",'Eval-LSTK (2)'!J21,"*R*"),"RPRIM",      IF(COUNTIFS(J460,"BU",'Eval-LSTK (2)'!J21,"*X*"),"XBU",IF(COUNTIFS(J460,"BU",'Eval-LSTK (2)'!J21,"*R*"),"RBU",    IF(COUNTIFS(J460,"BR",'Eval-LSTK (2)'!J21,"*X*"),"XBR",IF(COUNTIFS(J460,"BR",'Eval-LSTK (2)'!J21,"*R*"),"RBR")  )   ))))</f>
        <v>0</v>
      </c>
      <c r="K477" s="40" t="b">
        <f>IF(COUNTIFS(K460,"Prim",'Eval-LSTK (2)'!K21,"*X*"),"XPRIM",IF(COUNTIFS(K460,"Prim",'Eval-LSTK (2)'!K21,"*R*"),"RPRIM",      IF(COUNTIFS(K460,"BU",'Eval-LSTK (2)'!K21,"*X*"),"XBU",IF(COUNTIFS(K460,"BU",'Eval-LSTK (2)'!K21,"*R*"),"RBU",    IF(COUNTIFS(K460,"BR",'Eval-LSTK (2)'!K21,"*X*"),"XBR",IF(COUNTIFS(K460,"BR",'Eval-LSTK (2)'!K21,"*R*"),"RBR")  )   ))))</f>
        <v>0</v>
      </c>
      <c r="L477" s="40" t="b">
        <f>IF(COUNTIFS(L460,"Prim",'Eval-LSTK (2)'!L21,"*X*"),"XPRIM",IF(COUNTIFS(L460,"Prim",'Eval-LSTK (2)'!L21,"*R*"),"RPRIM",      IF(COUNTIFS(L460,"BU",'Eval-LSTK (2)'!L21,"*X*"),"XBU",IF(COUNTIFS(L460,"BU",'Eval-LSTK (2)'!L21,"*R*"),"RBU",    IF(COUNTIFS(L460,"BR",'Eval-LSTK (2)'!L21,"*X*"),"XBR",IF(COUNTIFS(L460,"BR",'Eval-LSTK (2)'!L21,"*R*"),"RBR")  )   ))))</f>
        <v>0</v>
      </c>
      <c r="M477" s="40" t="b">
        <f>IF(COUNTIFS(M460,"Prim",'Eval-LSTK (2)'!M21,"*X*"),"XPRIM",IF(COUNTIFS(M460,"Prim",'Eval-LSTK (2)'!M21,"*R*"),"RPRIM",      IF(COUNTIFS(M460,"BU",'Eval-LSTK (2)'!M21,"*X*"),"XBU",IF(COUNTIFS(M460,"BU",'Eval-LSTK (2)'!M21,"*R*"),"RBU",    IF(COUNTIFS(M460,"BR",'Eval-LSTK (2)'!M21,"*X*"),"XBR",IF(COUNTIFS(M460,"BR",'Eval-LSTK (2)'!M21,"*R*"),"RBR")  )   ))))</f>
        <v>0</v>
      </c>
      <c r="N477" s="40" t="b">
        <f>IF(COUNTIFS(N460,"Prim",'Eval-LSTK (2)'!N21,"*X*"),"XPRIM",IF(COUNTIFS(N460,"Prim",'Eval-LSTK (2)'!N21,"*R*"),"RPRIM",      IF(COUNTIFS(N460,"BU",'Eval-LSTK (2)'!N21,"*X*"),"XBU",IF(COUNTIFS(N460,"BU",'Eval-LSTK (2)'!N21,"*R*"),"RBU",    IF(COUNTIFS(N460,"BR",'Eval-LSTK (2)'!N21,"*X*"),"XBR",IF(COUNTIFS(N460,"BR",'Eval-LSTK (2)'!N21,"*R*"),"RBR")  )   ))))</f>
        <v>0</v>
      </c>
      <c r="O477" s="40" t="b">
        <f>IF(COUNTIFS(O460,"Prim",'Eval-LSTK (2)'!O21,"*X*"),"XPRIM",IF(COUNTIFS(O460,"Prim",'Eval-LSTK (2)'!O21,"*R*"),"RPRIM",      IF(COUNTIFS(O460,"BU",'Eval-LSTK (2)'!O21,"*X*"),"XBU",IF(COUNTIFS(O460,"BU",'Eval-LSTK (2)'!O21,"*R*"),"RBU",    IF(COUNTIFS(O460,"BR",'Eval-LSTK (2)'!O21,"*X*"),"XBR",IF(COUNTIFS(O460,"BR",'Eval-LSTK (2)'!O21,"*R*"),"RBR")  )   ))))</f>
        <v>0</v>
      </c>
      <c r="P477" s="40" t="b">
        <f>IF(COUNTIFS(P460,"Prim",'Eval-LSTK (2)'!P21,"*X*"),"XPRIM",IF(COUNTIFS(P460,"Prim",'Eval-LSTK (2)'!P21,"*R*"),"RPRIM",      IF(COUNTIFS(P460,"BU",'Eval-LSTK (2)'!P21,"*X*"),"XBU",IF(COUNTIFS(P460,"BU",'Eval-LSTK (2)'!P21,"*R*"),"RBU",    IF(COUNTIFS(P460,"BR",'Eval-LSTK (2)'!P21,"*X*"),"XBR",IF(COUNTIFS(P460,"BR",'Eval-LSTK (2)'!P21,"*R*"),"RBR")  )   ))))</f>
        <v>0</v>
      </c>
      <c r="Q477" s="40" t="b">
        <f>IF(COUNTIFS(Q460,"Prim",'Eval-LSTK (2)'!Q21,"*X*"),"XPRIM",IF(COUNTIFS(Q460,"Prim",'Eval-LSTK (2)'!Q21,"*R*"),"RPRIM",      IF(COUNTIFS(Q460,"BU",'Eval-LSTK (2)'!Q21,"*X*"),"XBU",IF(COUNTIFS(Q460,"BU",'Eval-LSTK (2)'!Q21,"*R*"),"RBU",    IF(COUNTIFS(Q460,"BR",'Eval-LSTK (2)'!Q21,"*X*"),"XBR",IF(COUNTIFS(Q460,"BR",'Eval-LSTK (2)'!Q21,"*R*"),"RBR")  )   ))))</f>
        <v>0</v>
      </c>
      <c r="R477" s="40" t="b">
        <f>IF(COUNTIFS(R460,"Prim",'Eval-LSTK (2)'!R21,"*X*"),"XPRIM",IF(COUNTIFS(R460,"Prim",'Eval-LSTK (2)'!R21,"*R*"),"RPRIM",      IF(COUNTIFS(R460,"BU",'Eval-LSTK (2)'!R21,"*X*"),"XBU",IF(COUNTIFS(R460,"BU",'Eval-LSTK (2)'!R21,"*R*"),"RBU",    IF(COUNTIFS(R460,"BR",'Eval-LSTK (2)'!R21,"*X*"),"XBR",IF(COUNTIFS(R460,"BR",'Eval-LSTK (2)'!R21,"*R*"),"RBR")  )   ))))</f>
        <v>0</v>
      </c>
      <c r="S477" s="40" t="b">
        <f>IF(COUNTIFS(S460,"Prim",'Eval-LSTK (2)'!S21,"*X*"),"XPRIM",IF(COUNTIFS(S460,"Prim",'Eval-LSTK (2)'!S21,"*R*"),"RPRIM",      IF(COUNTIFS(S460,"BU",'Eval-LSTK (2)'!S21,"*X*"),"XBU",IF(COUNTIFS(S460,"BU",'Eval-LSTK (2)'!S21,"*R*"),"RBU",    IF(COUNTIFS(S460,"BR",'Eval-LSTK (2)'!S21,"*X*"),"XBR",IF(COUNTIFS(S460,"BR",'Eval-LSTK (2)'!S21,"*R*"),"RBR")  )   ))))</f>
        <v>0</v>
      </c>
      <c r="T477" s="40" t="b">
        <f>IF(COUNTIFS(T460,"Prim",'Eval-LSTK (2)'!T21,"*X*"),"XPRIM",IF(COUNTIFS(T460,"Prim",'Eval-LSTK (2)'!T21,"*R*"),"RPRIM",      IF(COUNTIFS(T460,"BU",'Eval-LSTK (2)'!T21,"*X*"),"XBU",IF(COUNTIFS(T460,"BU",'Eval-LSTK (2)'!T21,"*R*"),"RBU",    IF(COUNTIFS(T460,"BR",'Eval-LSTK (2)'!T21,"*X*"),"XBR",IF(COUNTIFS(T460,"BR",'Eval-LSTK (2)'!T21,"*R*"),"RBR")  )   ))))</f>
        <v>0</v>
      </c>
      <c r="U477" s="40" t="b">
        <f>IF(COUNTIFS(U460,"Prim",'Eval-LSTK (2)'!U21,"*X*"),"XPRIM",IF(COUNTIFS(U460,"Prim",'Eval-LSTK (2)'!U21,"*R*"),"RPRIM",      IF(COUNTIFS(U460,"BU",'Eval-LSTK (2)'!U21,"*X*"),"XBU",IF(COUNTIFS(U460,"BU",'Eval-LSTK (2)'!U21,"*R*"),"RBU",    IF(COUNTIFS(U460,"BR",'Eval-LSTK (2)'!U21,"*X*"),"XBR",IF(COUNTIFS(U460,"BR",'Eval-LSTK (2)'!U21,"*R*"),"RBR")  )   ))))</f>
        <v>0</v>
      </c>
      <c r="V477" s="40" t="b">
        <f>IF(COUNTIFS(V460,"Prim",'Eval-LSTK (2)'!V21,"*X*"),"XPRIM",IF(COUNTIFS(V460,"Prim",'Eval-LSTK (2)'!V21,"*R*"),"RPRIM",      IF(COUNTIFS(V460,"BU",'Eval-LSTK (2)'!V21,"*X*"),"XBU",IF(COUNTIFS(V460,"BU",'Eval-LSTK (2)'!V21,"*R*"),"RBU",    IF(COUNTIFS(V460,"BR",'Eval-LSTK (2)'!V21,"*X*"),"XBR",IF(COUNTIFS(V460,"BR",'Eval-LSTK (2)'!V21,"*R*"),"RBR")  )   ))))</f>
        <v>0</v>
      </c>
      <c r="W477" s="40" t="b">
        <f>IF(COUNTIFS(W460,"Prim",'Eval-LSTK (2)'!W21,"*X*"),"XPRIM",IF(COUNTIFS(W460,"Prim",'Eval-LSTK (2)'!W21,"*R*"),"RPRIM",      IF(COUNTIFS(W460,"BU",'Eval-LSTK (2)'!W21,"*X*"),"XBU",IF(COUNTIFS(W460,"BU",'Eval-LSTK (2)'!W21,"*R*"),"RBU",    IF(COUNTIFS(W460,"BR",'Eval-LSTK (2)'!W21,"*X*"),"XBR",IF(COUNTIFS(W460,"BR",'Eval-LSTK (2)'!W21,"*R*"),"RBR")  )   ))))</f>
        <v>0</v>
      </c>
      <c r="X477" s="40" t="b">
        <f>IF(COUNTIFS(X460,"Prim",'Eval-LSTK (2)'!X21,"*X*"),"XPRIM",IF(COUNTIFS(X460,"Prim",'Eval-LSTK (2)'!X21,"*R*"),"RPRIM",      IF(COUNTIFS(X460,"BU",'Eval-LSTK (2)'!X21,"*X*"),"XBU",IF(COUNTIFS(X460,"BU",'Eval-LSTK (2)'!X21,"*R*"),"RBU",    IF(COUNTIFS(X460,"BR",'Eval-LSTK (2)'!X21,"*X*"),"XBR",IF(COUNTIFS(X460,"BR",'Eval-LSTK (2)'!X21,"*R*"),"RBR")  )   ))))</f>
        <v>0</v>
      </c>
      <c r="Y477" s="40" t="b">
        <f>IF(COUNTIFS(Y460,"Prim",'Eval-LSTK (2)'!Y21,"*X*"),"XPRIM",IF(COUNTIFS(Y460,"Prim",'Eval-LSTK (2)'!Y21,"*R*"),"RPRIM",      IF(COUNTIFS(Y460,"BU",'Eval-LSTK (2)'!Y21,"*X*"),"XBU",IF(COUNTIFS(Y460,"BU",'Eval-LSTK (2)'!Y21,"*R*"),"RBU",    IF(COUNTIFS(Y460,"BR",'Eval-LSTK (2)'!Y21,"*X*"),"XBR",IF(COUNTIFS(Y460,"BR",'Eval-LSTK (2)'!Y21,"*R*"),"RBR")  )   ))))</f>
        <v>0</v>
      </c>
      <c r="Z477" s="40" t="b">
        <f>IF(COUNTIFS(Z460,"Prim",'Eval-LSTK (2)'!Z21,"*X*"),"XPRIM",IF(COUNTIFS(Z460,"Prim",'Eval-LSTK (2)'!Z21,"*R*"),"RPRIM",      IF(COUNTIFS(Z460,"BU",'Eval-LSTK (2)'!Z21,"*X*"),"XBU",IF(COUNTIFS(Z460,"BU",'Eval-LSTK (2)'!Z21,"*R*"),"RBU",    IF(COUNTIFS(Z460,"BR",'Eval-LSTK (2)'!Z21,"*X*"),"XBR",IF(COUNTIFS(Z460,"BR",'Eval-LSTK (2)'!Z21,"*R*"),"RBR")  )   ))))</f>
        <v>0</v>
      </c>
      <c r="AA477" s="40" t="b">
        <f>IF(COUNTIFS(AA460,"Prim",'Eval-LSTK (2)'!AA21,"*X*"),"XPRIM",IF(COUNTIFS(AA460,"Prim",'Eval-LSTK (2)'!AA21,"*R*"),"RPRIM",      IF(COUNTIFS(AA460,"BU",'Eval-LSTK (2)'!AA21,"*X*"),"XBU",IF(COUNTIFS(AA460,"BU",'Eval-LSTK (2)'!AA21,"*R*"),"RBU",    IF(COUNTIFS(AA460,"BR",'Eval-LSTK (2)'!AA21,"*X*"),"XBR",IF(COUNTIFS(AA460,"BR",'Eval-LSTK (2)'!AA21,"*R*"),"RBR")  )   ))))</f>
        <v>0</v>
      </c>
      <c r="AB477" s="40" t="b">
        <f>IF(COUNTIFS(AB460,"Prim",'Eval-LSTK (2)'!AB21,"*X*"),"XPRIM",IF(COUNTIFS(AB460,"Prim",'Eval-LSTK (2)'!AB21,"*R*"),"RPRIM",      IF(COUNTIFS(AB460,"BU",'Eval-LSTK (2)'!AB21,"*X*"),"XBU",IF(COUNTIFS(AB460,"BU",'Eval-LSTK (2)'!AB21,"*R*"),"RBU",    IF(COUNTIFS(AB460,"BR",'Eval-LSTK (2)'!AB21,"*X*"),"XBR",IF(COUNTIFS(AB460,"BR",'Eval-LSTK (2)'!AB21,"*R*"),"RBR")  )   ))))</f>
        <v>0</v>
      </c>
      <c r="AC477" s="40" t="b">
        <f>IF(COUNTIFS(AC460,"Prim",'Eval-LSTK (2)'!AC21,"*X*"),"XPRIM",IF(COUNTIFS(AC460,"Prim",'Eval-LSTK (2)'!AC21,"*R*"),"RPRIM",      IF(COUNTIFS(AC460,"BU",'Eval-LSTK (2)'!AC21,"*X*"),"XBU",IF(COUNTIFS(AC460,"BU",'Eval-LSTK (2)'!AC21,"*R*"),"RBU",    IF(COUNTIFS(AC460,"BR",'Eval-LSTK (2)'!AC21,"*X*"),"XBR",IF(COUNTIFS(AC460,"BR",'Eval-LSTK (2)'!AC21,"*R*"),"RBR")  )   ))))</f>
        <v>0</v>
      </c>
      <c r="AD477" s="40" t="b">
        <f>IF(COUNTIFS(AD460,"Prim",'Eval-LSTK (2)'!AD21,"*X*"),"XPRIM",IF(COUNTIFS(AD460,"Prim",'Eval-LSTK (2)'!AD21,"*R*"),"RPRIM",      IF(COUNTIFS(AD460,"BU",'Eval-LSTK (2)'!AD21,"*X*"),"XBU",IF(COUNTIFS(AD460,"BU",'Eval-LSTK (2)'!AD21,"*R*"),"RBU",    IF(COUNTIFS(AD460,"BR",'Eval-LSTK (2)'!AD21,"*X*"),"XBR",IF(COUNTIFS(AD460,"BR",'Eval-LSTK (2)'!AD21,"*R*"),"RBR")  )   ))))</f>
        <v>0</v>
      </c>
      <c r="AE477" s="40" t="b">
        <f>IF(COUNTIFS(AE460,"Prim",'Eval-LSTK (2)'!AE21,"*X*"),"XPRIM",IF(COUNTIFS(AE460,"Prim",'Eval-LSTK (2)'!AE21,"*R*"),"RPRIM",      IF(COUNTIFS(AE460,"BU",'Eval-LSTK (2)'!AE21,"*X*"),"XBU",IF(COUNTIFS(AE460,"BU",'Eval-LSTK (2)'!AE21,"*R*"),"RBU",    IF(COUNTIFS(AE460,"BR",'Eval-LSTK (2)'!AE21,"*X*"),"XBR",IF(COUNTIFS(AE460,"BR",'Eval-LSTK (2)'!AE21,"*R*"),"RBR")  )   ))))</f>
        <v>0</v>
      </c>
      <c r="AF477" s="40" t="b">
        <f>IF(COUNTIFS(AF460,"Prim",'Eval-LSTK (2)'!AF21,"*X*"),"XPRIM",IF(COUNTIFS(AF460,"Prim",'Eval-LSTK (2)'!AF21,"*R*"),"RPRIM",      IF(COUNTIFS(AF460,"BU",'Eval-LSTK (2)'!AF21,"*X*"),"XBU",IF(COUNTIFS(AF460,"BU",'Eval-LSTK (2)'!AF21,"*R*"),"RBU",    IF(COUNTIFS(AF460,"BR",'Eval-LSTK (2)'!AF21,"*X*"),"XBR",IF(COUNTIFS(AF460,"BR",'Eval-LSTK (2)'!AF21,"*R*"),"RBR")  )   ))))</f>
        <v>0</v>
      </c>
      <c r="AG477" s="40" t="b">
        <f>IF(COUNTIFS(AG460,"Prim",'Eval-LSTK (2)'!AG21,"*X*"),"XPRIM",IF(COUNTIFS(AG460,"Prim",'Eval-LSTK (2)'!AG21,"*R*"),"RPRIM",      IF(COUNTIFS(AG460,"BU",'Eval-LSTK (2)'!AG21,"*X*"),"XBU",IF(COUNTIFS(AG460,"BU",'Eval-LSTK (2)'!AG21,"*R*"),"RBU",    IF(COUNTIFS(AG460,"BR",'Eval-LSTK (2)'!AG21,"*X*"),"XBR",IF(COUNTIFS(AG460,"BR",'Eval-LSTK (2)'!AG21,"*R*"),"RBR")  )   ))))</f>
        <v>0</v>
      </c>
      <c r="AH477" s="40" t="b">
        <f>IF(COUNTIFS(AH460,"Prim",'Eval-LSTK (2)'!AH21,"*X*"),"XPRIM",IF(COUNTIFS(AH460,"Prim",'Eval-LSTK (2)'!AH21,"*R*"),"RPRIM",      IF(COUNTIFS(AH460,"BU",'Eval-LSTK (2)'!AH21,"*X*"),"XBU",IF(COUNTIFS(AH460,"BU",'Eval-LSTK (2)'!AH21,"*R*"),"RBU",    IF(COUNTIFS(AH460,"BR",'Eval-LSTK (2)'!AH21,"*X*"),"XBR",IF(COUNTIFS(AH460,"BR",'Eval-LSTK (2)'!AH21,"*R*"),"RBR")  )   ))))</f>
        <v>0</v>
      </c>
      <c r="AI477" s="40" t="b">
        <f>IF(COUNTIFS(AI460,"Prim",'Eval-LSTK (2)'!AI21,"*X*"),"XPRIM",IF(COUNTIFS(AI460,"Prim",'Eval-LSTK (2)'!AI21,"*R*"),"RPRIM",      IF(COUNTIFS(AI460,"BU",'Eval-LSTK (2)'!AI21,"*X*"),"XBU",IF(COUNTIFS(AI460,"BU",'Eval-LSTK (2)'!AI21,"*R*"),"RBU",    IF(COUNTIFS(AI460,"BR",'Eval-LSTK (2)'!AI21,"*X*"),"XBR",IF(COUNTIFS(AI460,"BR",'Eval-LSTK (2)'!AI21,"*R*"),"RBR")  )   ))))</f>
        <v>0</v>
      </c>
    </row>
    <row r="478" spans="1:43" x14ac:dyDescent="0.35">
      <c r="A478" s="1196"/>
      <c r="B478" s="22">
        <v>11</v>
      </c>
      <c r="C478" s="40" t="b">
        <f>IF(COUNTIFS(C461,"Prim",'Eval-LSTK (2)'!C22,"*X*"),"XPRIM",IF(COUNTIFS(C461,"Prim",'Eval-LSTK (2)'!C22,"*R*"),"RPRIM",      IF(COUNTIFS(C461,"BU",'Eval-LSTK (2)'!C22,"*X*"),"XBU",IF(COUNTIFS(C461,"BU",'Eval-LSTK (2)'!C22,"*R*"),"RBU",    IF(COUNTIFS(C461,"BR",'Eval-LSTK (2)'!C22,"*X*"),"XBR",IF(COUNTIFS(C461,"BR",'Eval-LSTK (2)'!C22,"*R*"),"RBR")  )   ))))</f>
        <v>0</v>
      </c>
      <c r="D478" s="40" t="b">
        <f>IF(COUNTIFS(D461,"Prim",'Eval-LSTK (2)'!D22,"*X*"),"XPRIM",IF(COUNTIFS(D461,"Prim",'Eval-LSTK (2)'!D22,"*R*"),"RPRIM",      IF(COUNTIFS(D461,"BU",'Eval-LSTK (2)'!D22,"*X*"),"XBU",IF(COUNTIFS(D461,"BU",'Eval-LSTK (2)'!D22,"*R*"),"RBU",    IF(COUNTIFS(D461,"BR",'Eval-LSTK (2)'!D22,"*X*"),"XBR",IF(COUNTIFS(D461,"BR",'Eval-LSTK (2)'!D22,"*R*"),"RBR")  )   ))))</f>
        <v>0</v>
      </c>
      <c r="E478" s="40" t="b">
        <f>IF(COUNTIFS(E461,"Prim",'Eval-LSTK (2)'!E22,"*X*"),"XPRIM",IF(COUNTIFS(E461,"Prim",'Eval-LSTK (2)'!E22,"*R*"),"RPRIM",      IF(COUNTIFS(E461,"BU",'Eval-LSTK (2)'!E22,"*X*"),"XBU",IF(COUNTIFS(E461,"BU",'Eval-LSTK (2)'!E22,"*R*"),"RBU",    IF(COUNTIFS(E461,"BR",'Eval-LSTK (2)'!E22,"*X*"),"XBR",IF(COUNTIFS(E461,"BR",'Eval-LSTK (2)'!E22,"*R*"),"RBR")  )   ))))</f>
        <v>0</v>
      </c>
      <c r="F478" s="40" t="b">
        <f>IF(COUNTIFS(F461,"Prim",'Eval-LSTK (2)'!F22,"*X*"),"XPRIM",IF(COUNTIFS(F461,"Prim",'Eval-LSTK (2)'!F22,"*R*"),"RPRIM",      IF(COUNTIFS(F461,"BU",'Eval-LSTK (2)'!F22,"*X*"),"XBU",IF(COUNTIFS(F461,"BU",'Eval-LSTK (2)'!F22,"*R*"),"RBU",    IF(COUNTIFS(F461,"BR",'Eval-LSTK (2)'!F22,"*X*"),"XBR",IF(COUNTIFS(F461,"BR",'Eval-LSTK (2)'!F22,"*R*"),"RBR")  )   ))))</f>
        <v>0</v>
      </c>
      <c r="G478" s="40" t="b">
        <f>IF(COUNTIFS(G461,"Prim",'Eval-LSTK (2)'!G22,"*X*"),"XPRIM",IF(COUNTIFS(G461,"Prim",'Eval-LSTK (2)'!G22,"*R*"),"RPRIM",      IF(COUNTIFS(G461,"BU",'Eval-LSTK (2)'!G22,"*X*"),"XBU",IF(COUNTIFS(G461,"BU",'Eval-LSTK (2)'!G22,"*R*"),"RBU",    IF(COUNTIFS(G461,"BR",'Eval-LSTK (2)'!G22,"*X*"),"XBR",IF(COUNTIFS(G461,"BR",'Eval-LSTK (2)'!G22,"*R*"),"RBR")  )   ))))</f>
        <v>0</v>
      </c>
      <c r="H478" s="40" t="b">
        <f>IF(COUNTIFS(H461,"Prim",'Eval-LSTK (2)'!H22,"*X*"),"XPRIM",IF(COUNTIFS(H461,"Prim",'Eval-LSTK (2)'!H22,"*R*"),"RPRIM",      IF(COUNTIFS(H461,"BU",'Eval-LSTK (2)'!H22,"*X*"),"XBU",IF(COUNTIFS(H461,"BU",'Eval-LSTK (2)'!H22,"*R*"),"RBU",    IF(COUNTIFS(H461,"BR",'Eval-LSTK (2)'!H22,"*X*"),"XBR",IF(COUNTIFS(H461,"BR",'Eval-LSTK (2)'!H22,"*R*"),"RBR")  )   ))))</f>
        <v>0</v>
      </c>
      <c r="I478" s="40" t="b">
        <f>IF(COUNTIFS(I461,"Prim",'Eval-LSTK (2)'!I22,"*X*"),"XPRIM",IF(COUNTIFS(I461,"Prim",'Eval-LSTK (2)'!I22,"*R*"),"RPRIM",      IF(COUNTIFS(I461,"BU",'Eval-LSTK (2)'!I22,"*X*"),"XBU",IF(COUNTIFS(I461,"BU",'Eval-LSTK (2)'!I22,"*R*"),"RBU",    IF(COUNTIFS(I461,"BR",'Eval-LSTK (2)'!I22,"*X*"),"XBR",IF(COUNTIFS(I461,"BR",'Eval-LSTK (2)'!I22,"*R*"),"RBR")  )   ))))</f>
        <v>0</v>
      </c>
      <c r="J478" s="40" t="b">
        <f>IF(COUNTIFS(J461,"Prim",'Eval-LSTK (2)'!J22,"*X*"),"XPRIM",IF(COUNTIFS(J461,"Prim",'Eval-LSTK (2)'!J22,"*R*"),"RPRIM",      IF(COUNTIFS(J461,"BU",'Eval-LSTK (2)'!J22,"*X*"),"XBU",IF(COUNTIFS(J461,"BU",'Eval-LSTK (2)'!J22,"*R*"),"RBU",    IF(COUNTIFS(J461,"BR",'Eval-LSTK (2)'!J22,"*X*"),"XBR",IF(COUNTIFS(J461,"BR",'Eval-LSTK (2)'!J22,"*R*"),"RBR")  )   ))))</f>
        <v>0</v>
      </c>
      <c r="K478" s="40" t="b">
        <f>IF(COUNTIFS(K461,"Prim",'Eval-LSTK (2)'!K22,"*X*"),"XPRIM",IF(COUNTIFS(K461,"Prim",'Eval-LSTK (2)'!K22,"*R*"),"RPRIM",      IF(COUNTIFS(K461,"BU",'Eval-LSTK (2)'!K22,"*X*"),"XBU",IF(COUNTIFS(K461,"BU",'Eval-LSTK (2)'!K22,"*R*"),"RBU",    IF(COUNTIFS(K461,"BR",'Eval-LSTK (2)'!K22,"*X*"),"XBR",IF(COUNTIFS(K461,"BR",'Eval-LSTK (2)'!K22,"*R*"),"RBR")  )   ))))</f>
        <v>0</v>
      </c>
      <c r="L478" s="40" t="b">
        <f>IF(COUNTIFS(L461,"Prim",'Eval-LSTK (2)'!L22,"*X*"),"XPRIM",IF(COUNTIFS(L461,"Prim",'Eval-LSTK (2)'!L22,"*R*"),"RPRIM",      IF(COUNTIFS(L461,"BU",'Eval-LSTK (2)'!L22,"*X*"),"XBU",IF(COUNTIFS(L461,"BU",'Eval-LSTK (2)'!L22,"*R*"),"RBU",    IF(COUNTIFS(L461,"BR",'Eval-LSTK (2)'!L22,"*X*"),"XBR",IF(COUNTIFS(L461,"BR",'Eval-LSTK (2)'!L22,"*R*"),"RBR")  )   ))))</f>
        <v>0</v>
      </c>
      <c r="M478" s="40" t="b">
        <f>IF(COUNTIFS(M461,"Prim",'Eval-LSTK (2)'!M22,"*X*"),"XPRIM",IF(COUNTIFS(M461,"Prim",'Eval-LSTK (2)'!M22,"*R*"),"RPRIM",      IF(COUNTIFS(M461,"BU",'Eval-LSTK (2)'!M22,"*X*"),"XBU",IF(COUNTIFS(M461,"BU",'Eval-LSTK (2)'!M22,"*R*"),"RBU",    IF(COUNTIFS(M461,"BR",'Eval-LSTK (2)'!M22,"*X*"),"XBR",IF(COUNTIFS(M461,"BR",'Eval-LSTK (2)'!M22,"*R*"),"RBR")  )   ))))</f>
        <v>0</v>
      </c>
      <c r="N478" s="40" t="b">
        <f>IF(COUNTIFS(N461,"Prim",'Eval-LSTK (2)'!N22,"*X*"),"XPRIM",IF(COUNTIFS(N461,"Prim",'Eval-LSTK (2)'!N22,"*R*"),"RPRIM",      IF(COUNTIFS(N461,"BU",'Eval-LSTK (2)'!N22,"*X*"),"XBU",IF(COUNTIFS(N461,"BU",'Eval-LSTK (2)'!N22,"*R*"),"RBU",    IF(COUNTIFS(N461,"BR",'Eval-LSTK (2)'!N22,"*X*"),"XBR",IF(COUNTIFS(N461,"BR",'Eval-LSTK (2)'!N22,"*R*"),"RBR")  )   ))))</f>
        <v>0</v>
      </c>
      <c r="O478" s="40" t="b">
        <f>IF(COUNTIFS(O461,"Prim",'Eval-LSTK (2)'!O22,"*X*"),"XPRIM",IF(COUNTIFS(O461,"Prim",'Eval-LSTK (2)'!O22,"*R*"),"RPRIM",      IF(COUNTIFS(O461,"BU",'Eval-LSTK (2)'!O22,"*X*"),"XBU",IF(COUNTIFS(O461,"BU",'Eval-LSTK (2)'!O22,"*R*"),"RBU",    IF(COUNTIFS(O461,"BR",'Eval-LSTK (2)'!O22,"*X*"),"XBR",IF(COUNTIFS(O461,"BR",'Eval-LSTK (2)'!O22,"*R*"),"RBR")  )   ))))</f>
        <v>0</v>
      </c>
      <c r="P478" s="40" t="b">
        <f>IF(COUNTIFS(P461,"Prim",'Eval-LSTK (2)'!P22,"*X*"),"XPRIM",IF(COUNTIFS(P461,"Prim",'Eval-LSTK (2)'!P22,"*R*"),"RPRIM",      IF(COUNTIFS(P461,"BU",'Eval-LSTK (2)'!P22,"*X*"),"XBU",IF(COUNTIFS(P461,"BU",'Eval-LSTK (2)'!P22,"*R*"),"RBU",    IF(COUNTIFS(P461,"BR",'Eval-LSTK (2)'!P22,"*X*"),"XBR",IF(COUNTIFS(P461,"BR",'Eval-LSTK (2)'!P22,"*R*"),"RBR")  )   ))))</f>
        <v>0</v>
      </c>
      <c r="Q478" s="40" t="b">
        <f>IF(COUNTIFS(Q461,"Prim",'Eval-LSTK (2)'!Q22,"*X*"),"XPRIM",IF(COUNTIFS(Q461,"Prim",'Eval-LSTK (2)'!Q22,"*R*"),"RPRIM",      IF(COUNTIFS(Q461,"BU",'Eval-LSTK (2)'!Q22,"*X*"),"XBU",IF(COUNTIFS(Q461,"BU",'Eval-LSTK (2)'!Q22,"*R*"),"RBU",    IF(COUNTIFS(Q461,"BR",'Eval-LSTK (2)'!Q22,"*X*"),"XBR",IF(COUNTIFS(Q461,"BR",'Eval-LSTK (2)'!Q22,"*R*"),"RBR")  )   ))))</f>
        <v>0</v>
      </c>
      <c r="R478" s="40" t="b">
        <f>IF(COUNTIFS(R461,"Prim",'Eval-LSTK (2)'!R22,"*X*"),"XPRIM",IF(COUNTIFS(R461,"Prim",'Eval-LSTK (2)'!R22,"*R*"),"RPRIM",      IF(COUNTIFS(R461,"BU",'Eval-LSTK (2)'!R22,"*X*"),"XBU",IF(COUNTIFS(R461,"BU",'Eval-LSTK (2)'!R22,"*R*"),"RBU",    IF(COUNTIFS(R461,"BR",'Eval-LSTK (2)'!R22,"*X*"),"XBR",IF(COUNTIFS(R461,"BR",'Eval-LSTK (2)'!R22,"*R*"),"RBR")  )   ))))</f>
        <v>0</v>
      </c>
      <c r="S478" s="40" t="b">
        <f>IF(COUNTIFS(S461,"Prim",'Eval-LSTK (2)'!S22,"*X*"),"XPRIM",IF(COUNTIFS(S461,"Prim",'Eval-LSTK (2)'!S22,"*R*"),"RPRIM",      IF(COUNTIFS(S461,"BU",'Eval-LSTK (2)'!S22,"*X*"),"XBU",IF(COUNTIFS(S461,"BU",'Eval-LSTK (2)'!S22,"*R*"),"RBU",    IF(COUNTIFS(S461,"BR",'Eval-LSTK (2)'!S22,"*X*"),"XBR",IF(COUNTIFS(S461,"BR",'Eval-LSTK (2)'!S22,"*R*"),"RBR")  )   ))))</f>
        <v>0</v>
      </c>
      <c r="T478" s="40" t="b">
        <f>IF(COUNTIFS(T461,"Prim",'Eval-LSTK (2)'!T22,"*X*"),"XPRIM",IF(COUNTIFS(T461,"Prim",'Eval-LSTK (2)'!T22,"*R*"),"RPRIM",      IF(COUNTIFS(T461,"BU",'Eval-LSTK (2)'!T22,"*X*"),"XBU",IF(COUNTIFS(T461,"BU",'Eval-LSTK (2)'!T22,"*R*"),"RBU",    IF(COUNTIFS(T461,"BR",'Eval-LSTK (2)'!T22,"*X*"),"XBR",IF(COUNTIFS(T461,"BR",'Eval-LSTK (2)'!T22,"*R*"),"RBR")  )   ))))</f>
        <v>0</v>
      </c>
      <c r="U478" s="40" t="b">
        <f>IF(COUNTIFS(U461,"Prim",'Eval-LSTK (2)'!U22,"*X*"),"XPRIM",IF(COUNTIFS(U461,"Prim",'Eval-LSTK (2)'!U22,"*R*"),"RPRIM",      IF(COUNTIFS(U461,"BU",'Eval-LSTK (2)'!U22,"*X*"),"XBU",IF(COUNTIFS(U461,"BU",'Eval-LSTK (2)'!U22,"*R*"),"RBU",    IF(COUNTIFS(U461,"BR",'Eval-LSTK (2)'!U22,"*X*"),"XBR",IF(COUNTIFS(U461,"BR",'Eval-LSTK (2)'!U22,"*R*"),"RBR")  )   ))))</f>
        <v>0</v>
      </c>
      <c r="V478" s="40" t="b">
        <f>IF(COUNTIFS(V461,"Prim",'Eval-LSTK (2)'!V22,"*X*"),"XPRIM",IF(COUNTIFS(V461,"Prim",'Eval-LSTK (2)'!V22,"*R*"),"RPRIM",      IF(COUNTIFS(V461,"BU",'Eval-LSTK (2)'!V22,"*X*"),"XBU",IF(COUNTIFS(V461,"BU",'Eval-LSTK (2)'!V22,"*R*"),"RBU",    IF(COUNTIFS(V461,"BR",'Eval-LSTK (2)'!V22,"*X*"),"XBR",IF(COUNTIFS(V461,"BR",'Eval-LSTK (2)'!V22,"*R*"),"RBR")  )   ))))</f>
        <v>0</v>
      </c>
      <c r="W478" s="40" t="b">
        <f>IF(COUNTIFS(W461,"Prim",'Eval-LSTK (2)'!W22,"*X*"),"XPRIM",IF(COUNTIFS(W461,"Prim",'Eval-LSTK (2)'!W22,"*R*"),"RPRIM",      IF(COUNTIFS(W461,"BU",'Eval-LSTK (2)'!W22,"*X*"),"XBU",IF(COUNTIFS(W461,"BU",'Eval-LSTK (2)'!W22,"*R*"),"RBU",    IF(COUNTIFS(W461,"BR",'Eval-LSTK (2)'!W22,"*X*"),"XBR",IF(COUNTIFS(W461,"BR",'Eval-LSTK (2)'!W22,"*R*"),"RBR")  )   ))))</f>
        <v>0</v>
      </c>
      <c r="X478" s="40" t="b">
        <f>IF(COUNTIFS(X461,"Prim",'Eval-LSTK (2)'!X22,"*X*"),"XPRIM",IF(COUNTIFS(X461,"Prim",'Eval-LSTK (2)'!X22,"*R*"),"RPRIM",      IF(COUNTIFS(X461,"BU",'Eval-LSTK (2)'!X22,"*X*"),"XBU",IF(COUNTIFS(X461,"BU",'Eval-LSTK (2)'!X22,"*R*"),"RBU",    IF(COUNTIFS(X461,"BR",'Eval-LSTK (2)'!X22,"*X*"),"XBR",IF(COUNTIFS(X461,"BR",'Eval-LSTK (2)'!X22,"*R*"),"RBR")  )   ))))</f>
        <v>0</v>
      </c>
      <c r="Y478" s="40" t="b">
        <f>IF(COUNTIFS(Y461,"Prim",'Eval-LSTK (2)'!Y22,"*X*"),"XPRIM",IF(COUNTIFS(Y461,"Prim",'Eval-LSTK (2)'!Y22,"*R*"),"RPRIM",      IF(COUNTIFS(Y461,"BU",'Eval-LSTK (2)'!Y22,"*X*"),"XBU",IF(COUNTIFS(Y461,"BU",'Eval-LSTK (2)'!Y22,"*R*"),"RBU",    IF(COUNTIFS(Y461,"BR",'Eval-LSTK (2)'!Y22,"*X*"),"XBR",IF(COUNTIFS(Y461,"BR",'Eval-LSTK (2)'!Y22,"*R*"),"RBR")  )   ))))</f>
        <v>0</v>
      </c>
      <c r="Z478" s="40" t="b">
        <f>IF(COUNTIFS(Z461,"Prim",'Eval-LSTK (2)'!Z22,"*X*"),"XPRIM",IF(COUNTIFS(Z461,"Prim",'Eval-LSTK (2)'!Z22,"*R*"),"RPRIM",      IF(COUNTIFS(Z461,"BU",'Eval-LSTK (2)'!Z22,"*X*"),"XBU",IF(COUNTIFS(Z461,"BU",'Eval-LSTK (2)'!Z22,"*R*"),"RBU",    IF(COUNTIFS(Z461,"BR",'Eval-LSTK (2)'!Z22,"*X*"),"XBR",IF(COUNTIFS(Z461,"BR",'Eval-LSTK (2)'!Z22,"*R*"),"RBR")  )   ))))</f>
        <v>0</v>
      </c>
      <c r="AA478" s="40" t="b">
        <f>IF(COUNTIFS(AA461,"Prim",'Eval-LSTK (2)'!AA22,"*X*"),"XPRIM",IF(COUNTIFS(AA461,"Prim",'Eval-LSTK (2)'!AA22,"*R*"),"RPRIM",      IF(COUNTIFS(AA461,"BU",'Eval-LSTK (2)'!AA22,"*X*"),"XBU",IF(COUNTIFS(AA461,"BU",'Eval-LSTK (2)'!AA22,"*R*"),"RBU",    IF(COUNTIFS(AA461,"BR",'Eval-LSTK (2)'!AA22,"*X*"),"XBR",IF(COUNTIFS(AA461,"BR",'Eval-LSTK (2)'!AA22,"*R*"),"RBR")  )   ))))</f>
        <v>0</v>
      </c>
      <c r="AB478" s="40" t="b">
        <f>IF(COUNTIFS(AB461,"Prim",'Eval-LSTK (2)'!AB22,"*X*"),"XPRIM",IF(COUNTIFS(AB461,"Prim",'Eval-LSTK (2)'!AB22,"*R*"),"RPRIM",      IF(COUNTIFS(AB461,"BU",'Eval-LSTK (2)'!AB22,"*X*"),"XBU",IF(COUNTIFS(AB461,"BU",'Eval-LSTK (2)'!AB22,"*R*"),"RBU",    IF(COUNTIFS(AB461,"BR",'Eval-LSTK (2)'!AB22,"*X*"),"XBR",IF(COUNTIFS(AB461,"BR",'Eval-LSTK (2)'!AB22,"*R*"),"RBR")  )   ))))</f>
        <v>0</v>
      </c>
      <c r="AC478" s="40" t="b">
        <f>IF(COUNTIFS(AC461,"Prim",'Eval-LSTK (2)'!AC22,"*X*"),"XPRIM",IF(COUNTIFS(AC461,"Prim",'Eval-LSTK (2)'!AC22,"*R*"),"RPRIM",      IF(COUNTIFS(AC461,"BU",'Eval-LSTK (2)'!AC22,"*X*"),"XBU",IF(COUNTIFS(AC461,"BU",'Eval-LSTK (2)'!AC22,"*R*"),"RBU",    IF(COUNTIFS(AC461,"BR",'Eval-LSTK (2)'!AC22,"*X*"),"XBR",IF(COUNTIFS(AC461,"BR",'Eval-LSTK (2)'!AC22,"*R*"),"RBR")  )   ))))</f>
        <v>0</v>
      </c>
      <c r="AD478" s="40" t="b">
        <f>IF(COUNTIFS(AD461,"Prim",'Eval-LSTK (2)'!AD22,"*X*"),"XPRIM",IF(COUNTIFS(AD461,"Prim",'Eval-LSTK (2)'!AD22,"*R*"),"RPRIM",      IF(COUNTIFS(AD461,"BU",'Eval-LSTK (2)'!AD22,"*X*"),"XBU",IF(COUNTIFS(AD461,"BU",'Eval-LSTK (2)'!AD22,"*R*"),"RBU",    IF(COUNTIFS(AD461,"BR",'Eval-LSTK (2)'!AD22,"*X*"),"XBR",IF(COUNTIFS(AD461,"BR",'Eval-LSTK (2)'!AD22,"*R*"),"RBR")  )   ))))</f>
        <v>0</v>
      </c>
      <c r="AE478" s="40" t="b">
        <f>IF(COUNTIFS(AE461,"Prim",'Eval-LSTK (2)'!AE22,"*X*"),"XPRIM",IF(COUNTIFS(AE461,"Prim",'Eval-LSTK (2)'!AE22,"*R*"),"RPRIM",      IF(COUNTIFS(AE461,"BU",'Eval-LSTK (2)'!AE22,"*X*"),"XBU",IF(COUNTIFS(AE461,"BU",'Eval-LSTK (2)'!AE22,"*R*"),"RBU",    IF(COUNTIFS(AE461,"BR",'Eval-LSTK (2)'!AE22,"*X*"),"XBR",IF(COUNTIFS(AE461,"BR",'Eval-LSTK (2)'!AE22,"*R*"),"RBR")  )   ))))</f>
        <v>0</v>
      </c>
      <c r="AF478" s="40" t="b">
        <f>IF(COUNTIFS(AF461,"Prim",'Eval-LSTK (2)'!AF22,"*X*"),"XPRIM",IF(COUNTIFS(AF461,"Prim",'Eval-LSTK (2)'!AF22,"*R*"),"RPRIM",      IF(COUNTIFS(AF461,"BU",'Eval-LSTK (2)'!AF22,"*X*"),"XBU",IF(COUNTIFS(AF461,"BU",'Eval-LSTK (2)'!AF22,"*R*"),"RBU",    IF(COUNTIFS(AF461,"BR",'Eval-LSTK (2)'!AF22,"*X*"),"XBR",IF(COUNTIFS(AF461,"BR",'Eval-LSTK (2)'!AF22,"*R*"),"RBR")  )   ))))</f>
        <v>0</v>
      </c>
      <c r="AG478" s="40" t="b">
        <f>IF(COUNTIFS(AG461,"Prim",'Eval-LSTK (2)'!AG22,"*X*"),"XPRIM",IF(COUNTIFS(AG461,"Prim",'Eval-LSTK (2)'!AG22,"*R*"),"RPRIM",      IF(COUNTIFS(AG461,"BU",'Eval-LSTK (2)'!AG22,"*X*"),"XBU",IF(COUNTIFS(AG461,"BU",'Eval-LSTK (2)'!AG22,"*R*"),"RBU",    IF(COUNTIFS(AG461,"BR",'Eval-LSTK (2)'!AG22,"*X*"),"XBR",IF(COUNTIFS(AG461,"BR",'Eval-LSTK (2)'!AG22,"*R*"),"RBR")  )   ))))</f>
        <v>0</v>
      </c>
      <c r="AH478" s="40" t="b">
        <f>IF(COUNTIFS(AH461,"Prim",'Eval-LSTK (2)'!AH22,"*X*"),"XPRIM",IF(COUNTIFS(AH461,"Prim",'Eval-LSTK (2)'!AH22,"*R*"),"RPRIM",      IF(COUNTIFS(AH461,"BU",'Eval-LSTK (2)'!AH22,"*X*"),"XBU",IF(COUNTIFS(AH461,"BU",'Eval-LSTK (2)'!AH22,"*R*"),"RBU",    IF(COUNTIFS(AH461,"BR",'Eval-LSTK (2)'!AH22,"*X*"),"XBR",IF(COUNTIFS(AH461,"BR",'Eval-LSTK (2)'!AH22,"*R*"),"RBR")  )   ))))</f>
        <v>0</v>
      </c>
      <c r="AI478" s="40" t="b">
        <f>IF(COUNTIFS(AI461,"Prim",'Eval-LSTK (2)'!AI22,"*X*"),"XPRIM",IF(COUNTIFS(AI461,"Prim",'Eval-LSTK (2)'!AI22,"*R*"),"RPRIM",      IF(COUNTIFS(AI461,"BU",'Eval-LSTK (2)'!AI22,"*X*"),"XBU",IF(COUNTIFS(AI461,"BU",'Eval-LSTK (2)'!AI22,"*R*"),"RBU",    IF(COUNTIFS(AI461,"BR",'Eval-LSTK (2)'!AI22,"*X*"),"XBR",IF(COUNTIFS(AI461,"BR",'Eval-LSTK (2)'!AI22,"*R*"),"RBR")  )   ))))</f>
        <v>0</v>
      </c>
    </row>
    <row r="479" spans="1:43" ht="15" thickBot="1" x14ac:dyDescent="0.4">
      <c r="A479" s="1197"/>
      <c r="B479" s="23">
        <v>12</v>
      </c>
      <c r="C479" s="40" t="b">
        <f>IF(COUNTIFS(C462,"Prim",'Eval-LSTK (2)'!C23,"*X*"),"XPRIM",IF(COUNTIFS(C462,"Prim",'Eval-LSTK (2)'!C23,"*R*"),"RPRIM",      IF(COUNTIFS(C462,"BU",'Eval-LSTK (2)'!C23,"*X*"),"XBU",IF(COUNTIFS(C462,"BU",'Eval-LSTK (2)'!C23,"*R*"),"RBU",    IF(COUNTIFS(C462,"BR",'Eval-LSTK (2)'!C23,"*X*"),"XBR",IF(COUNTIFS(C462,"BR",'Eval-LSTK (2)'!C23,"*R*"),"RBR")  )   ))))</f>
        <v>0</v>
      </c>
      <c r="D479" s="40" t="b">
        <f>IF(COUNTIFS(D462,"Prim",'Eval-LSTK (2)'!D23,"*X*"),"XPRIM",IF(COUNTIFS(D462,"Prim",'Eval-LSTK (2)'!D23,"*R*"),"RPRIM",      IF(COUNTIFS(D462,"BU",'Eval-LSTK (2)'!D23,"*X*"),"XBU",IF(COUNTIFS(D462,"BU",'Eval-LSTK (2)'!D23,"*R*"),"RBU",    IF(COUNTIFS(D462,"BR",'Eval-LSTK (2)'!D23,"*X*"),"XBR",IF(COUNTIFS(D462,"BR",'Eval-LSTK (2)'!D23,"*R*"),"RBR")  )   ))))</f>
        <v>0</v>
      </c>
      <c r="E479" s="40" t="b">
        <f>IF(COUNTIFS(E462,"Prim",'Eval-LSTK (2)'!E23,"*X*"),"XPRIM",IF(COUNTIFS(E462,"Prim",'Eval-LSTK (2)'!E23,"*R*"),"RPRIM",      IF(COUNTIFS(E462,"BU",'Eval-LSTK (2)'!E23,"*X*"),"XBU",IF(COUNTIFS(E462,"BU",'Eval-LSTK (2)'!E23,"*R*"),"RBU",    IF(COUNTIFS(E462,"BR",'Eval-LSTK (2)'!E23,"*X*"),"XBR",IF(COUNTIFS(E462,"BR",'Eval-LSTK (2)'!E23,"*R*"),"RBR")  )   ))))</f>
        <v>0</v>
      </c>
      <c r="F479" s="40" t="b">
        <f>IF(COUNTIFS(F462,"Prim",'Eval-LSTK (2)'!F23,"*X*"),"XPRIM",IF(COUNTIFS(F462,"Prim",'Eval-LSTK (2)'!F23,"*R*"),"RPRIM",      IF(COUNTIFS(F462,"BU",'Eval-LSTK (2)'!F23,"*X*"),"XBU",IF(COUNTIFS(F462,"BU",'Eval-LSTK (2)'!F23,"*R*"),"RBU",    IF(COUNTIFS(F462,"BR",'Eval-LSTK (2)'!F23,"*X*"),"XBR",IF(COUNTIFS(F462,"BR",'Eval-LSTK (2)'!F23,"*R*"),"RBR")  )   ))))</f>
        <v>0</v>
      </c>
      <c r="G479" s="40" t="b">
        <f>IF(COUNTIFS(G462,"Prim",'Eval-LSTK (2)'!G23,"*X*"),"XPRIM",IF(COUNTIFS(G462,"Prim",'Eval-LSTK (2)'!G23,"*R*"),"RPRIM",      IF(COUNTIFS(G462,"BU",'Eval-LSTK (2)'!G23,"*X*"),"XBU",IF(COUNTIFS(G462,"BU",'Eval-LSTK (2)'!G23,"*R*"),"RBU",    IF(COUNTIFS(G462,"BR",'Eval-LSTK (2)'!G23,"*X*"),"XBR",IF(COUNTIFS(G462,"BR",'Eval-LSTK (2)'!G23,"*R*"),"RBR")  )   ))))</f>
        <v>0</v>
      </c>
      <c r="H479" s="40" t="b">
        <f>IF(COUNTIFS(H462,"Prim",'Eval-LSTK (2)'!H23,"*X*"),"XPRIM",IF(COUNTIFS(H462,"Prim",'Eval-LSTK (2)'!H23,"*R*"),"RPRIM",      IF(COUNTIFS(H462,"BU",'Eval-LSTK (2)'!H23,"*X*"),"XBU",IF(COUNTIFS(H462,"BU",'Eval-LSTK (2)'!H23,"*R*"),"RBU",    IF(COUNTIFS(H462,"BR",'Eval-LSTK (2)'!H23,"*X*"),"XBR",IF(COUNTIFS(H462,"BR",'Eval-LSTK (2)'!H23,"*R*"),"RBR")  )   ))))</f>
        <v>0</v>
      </c>
      <c r="I479" s="40" t="b">
        <f>IF(COUNTIFS(I462,"Prim",'Eval-LSTK (2)'!I23,"*X*"),"XPRIM",IF(COUNTIFS(I462,"Prim",'Eval-LSTK (2)'!I23,"*R*"),"RPRIM",      IF(COUNTIFS(I462,"BU",'Eval-LSTK (2)'!I23,"*X*"),"XBU",IF(COUNTIFS(I462,"BU",'Eval-LSTK (2)'!I23,"*R*"),"RBU",    IF(COUNTIFS(I462,"BR",'Eval-LSTK (2)'!I23,"*X*"),"XBR",IF(COUNTIFS(I462,"BR",'Eval-LSTK (2)'!I23,"*R*"),"RBR")  )   ))))</f>
        <v>0</v>
      </c>
      <c r="J479" s="40" t="b">
        <f>IF(COUNTIFS(J462,"Prim",'Eval-LSTK (2)'!J23,"*X*"),"XPRIM",IF(COUNTIFS(J462,"Prim",'Eval-LSTK (2)'!J23,"*R*"),"RPRIM",      IF(COUNTIFS(J462,"BU",'Eval-LSTK (2)'!J23,"*X*"),"XBU",IF(COUNTIFS(J462,"BU",'Eval-LSTK (2)'!J23,"*R*"),"RBU",    IF(COUNTIFS(J462,"BR",'Eval-LSTK (2)'!J23,"*X*"),"XBR",IF(COUNTIFS(J462,"BR",'Eval-LSTK (2)'!J23,"*R*"),"RBR")  )   ))))</f>
        <v>0</v>
      </c>
      <c r="K479" s="40" t="b">
        <f>IF(COUNTIFS(K462,"Prim",'Eval-LSTK (2)'!K23,"*X*"),"XPRIM",IF(COUNTIFS(K462,"Prim",'Eval-LSTK (2)'!K23,"*R*"),"RPRIM",      IF(COUNTIFS(K462,"BU",'Eval-LSTK (2)'!K23,"*X*"),"XBU",IF(COUNTIFS(K462,"BU",'Eval-LSTK (2)'!K23,"*R*"),"RBU",    IF(COUNTIFS(K462,"BR",'Eval-LSTK (2)'!K23,"*X*"),"XBR",IF(COUNTIFS(K462,"BR",'Eval-LSTK (2)'!K23,"*R*"),"RBR")  )   ))))</f>
        <v>0</v>
      </c>
      <c r="L479" s="40" t="b">
        <f>IF(COUNTIFS(L462,"Prim",'Eval-LSTK (2)'!L23,"*X*"),"XPRIM",IF(COUNTIFS(L462,"Prim",'Eval-LSTK (2)'!L23,"*R*"),"RPRIM",      IF(COUNTIFS(L462,"BU",'Eval-LSTK (2)'!L23,"*X*"),"XBU",IF(COUNTIFS(L462,"BU",'Eval-LSTK (2)'!L23,"*R*"),"RBU",    IF(COUNTIFS(L462,"BR",'Eval-LSTK (2)'!L23,"*X*"),"XBR",IF(COUNTIFS(L462,"BR",'Eval-LSTK (2)'!L23,"*R*"),"RBR")  )   ))))</f>
        <v>0</v>
      </c>
      <c r="M479" s="40" t="b">
        <f>IF(COUNTIFS(M462,"Prim",'Eval-LSTK (2)'!M23,"*X*"),"XPRIM",IF(COUNTIFS(M462,"Prim",'Eval-LSTK (2)'!M23,"*R*"),"RPRIM",      IF(COUNTIFS(M462,"BU",'Eval-LSTK (2)'!M23,"*X*"),"XBU",IF(COUNTIFS(M462,"BU",'Eval-LSTK (2)'!M23,"*R*"),"RBU",    IF(COUNTIFS(M462,"BR",'Eval-LSTK (2)'!M23,"*X*"),"XBR",IF(COUNTIFS(M462,"BR",'Eval-LSTK (2)'!M23,"*R*"),"RBR")  )   ))))</f>
        <v>0</v>
      </c>
      <c r="N479" s="40" t="b">
        <f>IF(COUNTIFS(N462,"Prim",'Eval-LSTK (2)'!N23,"*X*"),"XPRIM",IF(COUNTIFS(N462,"Prim",'Eval-LSTK (2)'!N23,"*R*"),"RPRIM",      IF(COUNTIFS(N462,"BU",'Eval-LSTK (2)'!N23,"*X*"),"XBU",IF(COUNTIFS(N462,"BU",'Eval-LSTK (2)'!N23,"*R*"),"RBU",    IF(COUNTIFS(N462,"BR",'Eval-LSTK (2)'!N23,"*X*"),"XBR",IF(COUNTIFS(N462,"BR",'Eval-LSTK (2)'!N23,"*R*"),"RBR")  )   ))))</f>
        <v>0</v>
      </c>
      <c r="O479" s="40" t="b">
        <f>IF(COUNTIFS(O462,"Prim",'Eval-LSTK (2)'!O23,"*X*"),"XPRIM",IF(COUNTIFS(O462,"Prim",'Eval-LSTK (2)'!O23,"*R*"),"RPRIM",      IF(COUNTIFS(O462,"BU",'Eval-LSTK (2)'!O23,"*X*"),"XBU",IF(COUNTIFS(O462,"BU",'Eval-LSTK (2)'!O23,"*R*"),"RBU",    IF(COUNTIFS(O462,"BR",'Eval-LSTK (2)'!O23,"*X*"),"XBR",IF(COUNTIFS(O462,"BR",'Eval-LSTK (2)'!O23,"*R*"),"RBR")  )   ))))</f>
        <v>0</v>
      </c>
      <c r="P479" s="40" t="b">
        <f>IF(COUNTIFS(P462,"Prim",'Eval-LSTK (2)'!P23,"*X*"),"XPRIM",IF(COUNTIFS(P462,"Prim",'Eval-LSTK (2)'!P23,"*R*"),"RPRIM",      IF(COUNTIFS(P462,"BU",'Eval-LSTK (2)'!P23,"*X*"),"XBU",IF(COUNTIFS(P462,"BU",'Eval-LSTK (2)'!P23,"*R*"),"RBU",    IF(COUNTIFS(P462,"BR",'Eval-LSTK (2)'!P23,"*X*"),"XBR",IF(COUNTIFS(P462,"BR",'Eval-LSTK (2)'!P23,"*R*"),"RBR")  )   ))))</f>
        <v>0</v>
      </c>
      <c r="Q479" s="40" t="b">
        <f>IF(COUNTIFS(Q462,"Prim",'Eval-LSTK (2)'!Q23,"*X*"),"XPRIM",IF(COUNTIFS(Q462,"Prim",'Eval-LSTK (2)'!Q23,"*R*"),"RPRIM",      IF(COUNTIFS(Q462,"BU",'Eval-LSTK (2)'!Q23,"*X*"),"XBU",IF(COUNTIFS(Q462,"BU",'Eval-LSTK (2)'!Q23,"*R*"),"RBU",    IF(COUNTIFS(Q462,"BR",'Eval-LSTK (2)'!Q23,"*X*"),"XBR",IF(COUNTIFS(Q462,"BR",'Eval-LSTK (2)'!Q23,"*R*"),"RBR")  )   ))))</f>
        <v>0</v>
      </c>
      <c r="R479" s="40" t="b">
        <f>IF(COUNTIFS(R462,"Prim",'Eval-LSTK (2)'!R23,"*X*"),"XPRIM",IF(COUNTIFS(R462,"Prim",'Eval-LSTK (2)'!R23,"*R*"),"RPRIM",      IF(COUNTIFS(R462,"BU",'Eval-LSTK (2)'!R23,"*X*"),"XBU",IF(COUNTIFS(R462,"BU",'Eval-LSTK (2)'!R23,"*R*"),"RBU",    IF(COUNTIFS(R462,"BR",'Eval-LSTK (2)'!R23,"*X*"),"XBR",IF(COUNTIFS(R462,"BR",'Eval-LSTK (2)'!R23,"*R*"),"RBR")  )   ))))</f>
        <v>0</v>
      </c>
      <c r="S479" s="40" t="b">
        <f>IF(COUNTIFS(S462,"Prim",'Eval-LSTK (2)'!S23,"*X*"),"XPRIM",IF(COUNTIFS(S462,"Prim",'Eval-LSTK (2)'!S23,"*R*"),"RPRIM",      IF(COUNTIFS(S462,"BU",'Eval-LSTK (2)'!S23,"*X*"),"XBU",IF(COUNTIFS(S462,"BU",'Eval-LSTK (2)'!S23,"*R*"),"RBU",    IF(COUNTIFS(S462,"BR",'Eval-LSTK (2)'!S23,"*X*"),"XBR",IF(COUNTIFS(S462,"BR",'Eval-LSTK (2)'!S23,"*R*"),"RBR")  )   ))))</f>
        <v>0</v>
      </c>
      <c r="T479" s="40" t="b">
        <f>IF(COUNTIFS(T462,"Prim",'Eval-LSTK (2)'!T23,"*X*"),"XPRIM",IF(COUNTIFS(T462,"Prim",'Eval-LSTK (2)'!T23,"*R*"),"RPRIM",      IF(COUNTIFS(T462,"BU",'Eval-LSTK (2)'!T23,"*X*"),"XBU",IF(COUNTIFS(T462,"BU",'Eval-LSTK (2)'!T23,"*R*"),"RBU",    IF(COUNTIFS(T462,"BR",'Eval-LSTK (2)'!T23,"*X*"),"XBR",IF(COUNTIFS(T462,"BR",'Eval-LSTK (2)'!T23,"*R*"),"RBR")  )   ))))</f>
        <v>0</v>
      </c>
      <c r="U479" s="40" t="b">
        <f>IF(COUNTIFS(U462,"Prim",'Eval-LSTK (2)'!U23,"*X*"),"XPRIM",IF(COUNTIFS(U462,"Prim",'Eval-LSTK (2)'!U23,"*R*"),"RPRIM",      IF(COUNTIFS(U462,"BU",'Eval-LSTK (2)'!U23,"*X*"),"XBU",IF(COUNTIFS(U462,"BU",'Eval-LSTK (2)'!U23,"*R*"),"RBU",    IF(COUNTIFS(U462,"BR",'Eval-LSTK (2)'!U23,"*X*"),"XBR",IF(COUNTIFS(U462,"BR",'Eval-LSTK (2)'!U23,"*R*"),"RBR")  )   ))))</f>
        <v>0</v>
      </c>
      <c r="V479" s="40" t="b">
        <f>IF(COUNTIFS(V462,"Prim",'Eval-LSTK (2)'!V23,"*X*"),"XPRIM",IF(COUNTIFS(V462,"Prim",'Eval-LSTK (2)'!V23,"*R*"),"RPRIM",      IF(COUNTIFS(V462,"BU",'Eval-LSTK (2)'!V23,"*X*"),"XBU",IF(COUNTIFS(V462,"BU",'Eval-LSTK (2)'!V23,"*R*"),"RBU",    IF(COUNTIFS(V462,"BR",'Eval-LSTK (2)'!V23,"*X*"),"XBR",IF(COUNTIFS(V462,"BR",'Eval-LSTK (2)'!V23,"*R*"),"RBR")  )   ))))</f>
        <v>0</v>
      </c>
      <c r="W479" s="40" t="b">
        <f>IF(COUNTIFS(W462,"Prim",'Eval-LSTK (2)'!W23,"*X*"),"XPRIM",IF(COUNTIFS(W462,"Prim",'Eval-LSTK (2)'!W23,"*R*"),"RPRIM",      IF(COUNTIFS(W462,"BU",'Eval-LSTK (2)'!W23,"*X*"),"XBU",IF(COUNTIFS(W462,"BU",'Eval-LSTK (2)'!W23,"*R*"),"RBU",    IF(COUNTIFS(W462,"BR",'Eval-LSTK (2)'!W23,"*X*"),"XBR",IF(COUNTIFS(W462,"BR",'Eval-LSTK (2)'!W23,"*R*"),"RBR")  )   ))))</f>
        <v>0</v>
      </c>
      <c r="X479" s="40" t="b">
        <f>IF(COUNTIFS(X462,"Prim",'Eval-LSTK (2)'!X23,"*X*"),"XPRIM",IF(COUNTIFS(X462,"Prim",'Eval-LSTK (2)'!X23,"*R*"),"RPRIM",      IF(COUNTIFS(X462,"BU",'Eval-LSTK (2)'!X23,"*X*"),"XBU",IF(COUNTIFS(X462,"BU",'Eval-LSTK (2)'!X23,"*R*"),"RBU",    IF(COUNTIFS(X462,"BR",'Eval-LSTK (2)'!X23,"*X*"),"XBR",IF(COUNTIFS(X462,"BR",'Eval-LSTK (2)'!X23,"*R*"),"RBR")  )   ))))</f>
        <v>0</v>
      </c>
      <c r="Y479" s="40" t="b">
        <f>IF(COUNTIFS(Y462,"Prim",'Eval-LSTK (2)'!Y23,"*X*"),"XPRIM",IF(COUNTIFS(Y462,"Prim",'Eval-LSTK (2)'!Y23,"*R*"),"RPRIM",      IF(COUNTIFS(Y462,"BU",'Eval-LSTK (2)'!Y23,"*X*"),"XBU",IF(COUNTIFS(Y462,"BU",'Eval-LSTK (2)'!Y23,"*R*"),"RBU",    IF(COUNTIFS(Y462,"BR",'Eval-LSTK (2)'!Y23,"*X*"),"XBR",IF(COUNTIFS(Y462,"BR",'Eval-LSTK (2)'!Y23,"*R*"),"RBR")  )   ))))</f>
        <v>0</v>
      </c>
      <c r="Z479" s="40" t="b">
        <f>IF(COUNTIFS(Z462,"Prim",'Eval-LSTK (2)'!Z23,"*X*"),"XPRIM",IF(COUNTIFS(Z462,"Prim",'Eval-LSTK (2)'!Z23,"*R*"),"RPRIM",      IF(COUNTIFS(Z462,"BU",'Eval-LSTK (2)'!Z23,"*X*"),"XBU",IF(COUNTIFS(Z462,"BU",'Eval-LSTK (2)'!Z23,"*R*"),"RBU",    IF(COUNTIFS(Z462,"BR",'Eval-LSTK (2)'!Z23,"*X*"),"XBR",IF(COUNTIFS(Z462,"BR",'Eval-LSTK (2)'!Z23,"*R*"),"RBR")  )   ))))</f>
        <v>0</v>
      </c>
      <c r="AA479" s="40" t="b">
        <f>IF(COUNTIFS(AA462,"Prim",'Eval-LSTK (2)'!AA23,"*X*"),"XPRIM",IF(COUNTIFS(AA462,"Prim",'Eval-LSTK (2)'!AA23,"*R*"),"RPRIM",      IF(COUNTIFS(AA462,"BU",'Eval-LSTK (2)'!AA23,"*X*"),"XBU",IF(COUNTIFS(AA462,"BU",'Eval-LSTK (2)'!AA23,"*R*"),"RBU",    IF(COUNTIFS(AA462,"BR",'Eval-LSTK (2)'!AA23,"*X*"),"XBR",IF(COUNTIFS(AA462,"BR",'Eval-LSTK (2)'!AA23,"*R*"),"RBR")  )   ))))</f>
        <v>0</v>
      </c>
      <c r="AB479" s="40" t="b">
        <f>IF(COUNTIFS(AB462,"Prim",'Eval-LSTK (2)'!AB23,"*X*"),"XPRIM",IF(COUNTIFS(AB462,"Prim",'Eval-LSTK (2)'!AB23,"*R*"),"RPRIM",      IF(COUNTIFS(AB462,"BU",'Eval-LSTK (2)'!AB23,"*X*"),"XBU",IF(COUNTIFS(AB462,"BU",'Eval-LSTK (2)'!AB23,"*R*"),"RBU",    IF(COUNTIFS(AB462,"BR",'Eval-LSTK (2)'!AB23,"*X*"),"XBR",IF(COUNTIFS(AB462,"BR",'Eval-LSTK (2)'!AB23,"*R*"),"RBR")  )   ))))</f>
        <v>0</v>
      </c>
      <c r="AC479" s="40" t="b">
        <f>IF(COUNTIFS(AC462,"Prim",'Eval-LSTK (2)'!AC23,"*X*"),"XPRIM",IF(COUNTIFS(AC462,"Prim",'Eval-LSTK (2)'!AC23,"*R*"),"RPRIM",      IF(COUNTIFS(AC462,"BU",'Eval-LSTK (2)'!AC23,"*X*"),"XBU",IF(COUNTIFS(AC462,"BU",'Eval-LSTK (2)'!AC23,"*R*"),"RBU",    IF(COUNTIFS(AC462,"BR",'Eval-LSTK (2)'!AC23,"*X*"),"XBR",IF(COUNTIFS(AC462,"BR",'Eval-LSTK (2)'!AC23,"*R*"),"RBR")  )   ))))</f>
        <v>0</v>
      </c>
      <c r="AD479" s="40" t="b">
        <f>IF(COUNTIFS(AD462,"Prim",'Eval-LSTK (2)'!AD23,"*X*"),"XPRIM",IF(COUNTIFS(AD462,"Prim",'Eval-LSTK (2)'!AD23,"*R*"),"RPRIM",      IF(COUNTIFS(AD462,"BU",'Eval-LSTK (2)'!AD23,"*X*"),"XBU",IF(COUNTIFS(AD462,"BU",'Eval-LSTK (2)'!AD23,"*R*"),"RBU",    IF(COUNTIFS(AD462,"BR",'Eval-LSTK (2)'!AD23,"*X*"),"XBR",IF(COUNTIFS(AD462,"BR",'Eval-LSTK (2)'!AD23,"*R*"),"RBR")  )   ))))</f>
        <v>0</v>
      </c>
      <c r="AE479" s="40" t="b">
        <f>IF(COUNTIFS(AE462,"Prim",'Eval-LSTK (2)'!AE23,"*X*"),"XPRIM",IF(COUNTIFS(AE462,"Prim",'Eval-LSTK (2)'!AE23,"*R*"),"RPRIM",      IF(COUNTIFS(AE462,"BU",'Eval-LSTK (2)'!AE23,"*X*"),"XBU",IF(COUNTIFS(AE462,"BU",'Eval-LSTK (2)'!AE23,"*R*"),"RBU",    IF(COUNTIFS(AE462,"BR",'Eval-LSTK (2)'!AE23,"*X*"),"XBR",IF(COUNTIFS(AE462,"BR",'Eval-LSTK (2)'!AE23,"*R*"),"RBR")  )   ))))</f>
        <v>0</v>
      </c>
      <c r="AF479" s="40" t="b">
        <f>IF(COUNTIFS(AF462,"Prim",'Eval-LSTK (2)'!AF23,"*X*"),"XPRIM",IF(COUNTIFS(AF462,"Prim",'Eval-LSTK (2)'!AF23,"*R*"),"RPRIM",      IF(COUNTIFS(AF462,"BU",'Eval-LSTK (2)'!AF23,"*X*"),"XBU",IF(COUNTIFS(AF462,"BU",'Eval-LSTK (2)'!AF23,"*R*"),"RBU",    IF(COUNTIFS(AF462,"BR",'Eval-LSTK (2)'!AF23,"*X*"),"XBR",IF(COUNTIFS(AF462,"BR",'Eval-LSTK (2)'!AF23,"*R*"),"RBR")  )   ))))</f>
        <v>0</v>
      </c>
      <c r="AG479" s="40" t="b">
        <f>IF(COUNTIFS(AG462,"Prim",'Eval-LSTK (2)'!AG23,"*X*"),"XPRIM",IF(COUNTIFS(AG462,"Prim",'Eval-LSTK (2)'!AG23,"*R*"),"RPRIM",      IF(COUNTIFS(AG462,"BU",'Eval-LSTK (2)'!AG23,"*X*"),"XBU",IF(COUNTIFS(AG462,"BU",'Eval-LSTK (2)'!AG23,"*R*"),"RBU",    IF(COUNTIFS(AG462,"BR",'Eval-LSTK (2)'!AG23,"*X*"),"XBR",IF(COUNTIFS(AG462,"BR",'Eval-LSTK (2)'!AG23,"*R*"),"RBR")  )   ))))</f>
        <v>0</v>
      </c>
      <c r="AH479" s="40" t="b">
        <f>IF(COUNTIFS(AH462,"Prim",'Eval-LSTK (2)'!AH23,"*X*"),"XPRIM",IF(COUNTIFS(AH462,"Prim",'Eval-LSTK (2)'!AH23,"*R*"),"RPRIM",      IF(COUNTIFS(AH462,"BU",'Eval-LSTK (2)'!AH23,"*X*"),"XBU",IF(COUNTIFS(AH462,"BU",'Eval-LSTK (2)'!AH23,"*R*"),"RBU",    IF(COUNTIFS(AH462,"BR",'Eval-LSTK (2)'!AH23,"*X*"),"XBR",IF(COUNTIFS(AH462,"BR",'Eval-LSTK (2)'!AH23,"*R*"),"RBR")  )   ))))</f>
        <v>0</v>
      </c>
      <c r="AI479" s="40" t="b">
        <f>IF(COUNTIFS(AI462,"Prim",'Eval-LSTK (2)'!AI23,"*X*"),"XPRIM",IF(COUNTIFS(AI462,"Prim",'Eval-LSTK (2)'!AI23,"*R*"),"RPRIM",      IF(COUNTIFS(AI462,"BU",'Eval-LSTK (2)'!AI23,"*X*"),"XBU",IF(COUNTIFS(AI462,"BU",'Eval-LSTK (2)'!AI23,"*R*"),"RBU",    IF(COUNTIFS(AI462,"BR",'Eval-LSTK (2)'!AI23,"*X*"),"XBR",IF(COUNTIFS(AI462,"BR",'Eval-LSTK (2)'!AI23,"*R*"),"RBR")  )   ))))</f>
        <v>0</v>
      </c>
    </row>
  </sheetData>
  <sheetProtection formatCells="0" formatColumns="0" formatRows="0" insertColumns="0" insertRows="0" insertHyperlinks="0" deleteColumns="0" deleteRows="0" sort="0" autoFilter="0" pivotTables="0"/>
  <mergeCells count="120">
    <mergeCell ref="A451:A462"/>
    <mergeCell ref="A466:B467"/>
    <mergeCell ref="C466:V466"/>
    <mergeCell ref="A468:A479"/>
    <mergeCell ref="A418:A429"/>
    <mergeCell ref="A432:B433"/>
    <mergeCell ref="C432:V432"/>
    <mergeCell ref="A434:A445"/>
    <mergeCell ref="A449:B450"/>
    <mergeCell ref="C449:V449"/>
    <mergeCell ref="C400:V400"/>
    <mergeCell ref="A400:B401"/>
    <mergeCell ref="A402:A413"/>
    <mergeCell ref="A416:B417"/>
    <mergeCell ref="C416:V416"/>
    <mergeCell ref="A384:A395"/>
    <mergeCell ref="A367:B368"/>
    <mergeCell ref="C367:V367"/>
    <mergeCell ref="A369:A380"/>
    <mergeCell ref="A382:B383"/>
    <mergeCell ref="C382:V382"/>
    <mergeCell ref="AR110:AS110"/>
    <mergeCell ref="AV92:AW92"/>
    <mergeCell ref="AP92:AP93"/>
    <mergeCell ref="AQ92:AQ93"/>
    <mergeCell ref="AR92:AR93"/>
    <mergeCell ref="AS92:AS93"/>
    <mergeCell ref="AT92:AU93"/>
    <mergeCell ref="AR104:AU104"/>
    <mergeCell ref="A61:A72"/>
    <mergeCell ref="A109:B110"/>
    <mergeCell ref="A2:B3"/>
    <mergeCell ref="C2:V2"/>
    <mergeCell ref="M57:X57"/>
    <mergeCell ref="A94:A105"/>
    <mergeCell ref="A4:A15"/>
    <mergeCell ref="D17:AI17"/>
    <mergeCell ref="A17:C17"/>
    <mergeCell ref="A16:AI16"/>
    <mergeCell ref="C78:H78"/>
    <mergeCell ref="C73:H73"/>
    <mergeCell ref="D19:AI19"/>
    <mergeCell ref="A19:C19"/>
    <mergeCell ref="A21:C21"/>
    <mergeCell ref="D21:AI21"/>
    <mergeCell ref="A39:AI39"/>
    <mergeCell ref="A41:B42"/>
    <mergeCell ref="C41:V41"/>
    <mergeCell ref="A43:A54"/>
    <mergeCell ref="A59:B60"/>
    <mergeCell ref="C59:V59"/>
    <mergeCell ref="A23:AI23"/>
    <mergeCell ref="A24:B25"/>
    <mergeCell ref="C24:V24"/>
    <mergeCell ref="A26:A37"/>
    <mergeCell ref="A57:L57"/>
    <mergeCell ref="Z57:AI57"/>
    <mergeCell ref="C109:V109"/>
    <mergeCell ref="C74:AF74"/>
    <mergeCell ref="A91:AI91"/>
    <mergeCell ref="A92:B93"/>
    <mergeCell ref="C92:V92"/>
    <mergeCell ref="C79:AF79"/>
    <mergeCell ref="C83:AF83"/>
    <mergeCell ref="C82:AF82"/>
    <mergeCell ref="A107:AI107"/>
    <mergeCell ref="A111:A122"/>
    <mergeCell ref="A124:C124"/>
    <mergeCell ref="D124:AI124"/>
    <mergeCell ref="A146:B147"/>
    <mergeCell ref="C146:V146"/>
    <mergeCell ref="A225:B226"/>
    <mergeCell ref="A227:A238"/>
    <mergeCell ref="C161:AI161"/>
    <mergeCell ref="C182:AI182"/>
    <mergeCell ref="A183:B184"/>
    <mergeCell ref="C183:V183"/>
    <mergeCell ref="A185:A196"/>
    <mergeCell ref="C203:AI203"/>
    <mergeCell ref="A204:B205"/>
    <mergeCell ref="A206:A217"/>
    <mergeCell ref="D224:W224"/>
    <mergeCell ref="D225:W225"/>
    <mergeCell ref="C204:V204"/>
    <mergeCell ref="A126:AI126"/>
    <mergeCell ref="A128:B129"/>
    <mergeCell ref="C128:V128"/>
    <mergeCell ref="C266:AI266"/>
    <mergeCell ref="A267:B268"/>
    <mergeCell ref="C267:V267"/>
    <mergeCell ref="A269:A280"/>
    <mergeCell ref="C287:AI287"/>
    <mergeCell ref="A148:A159"/>
    <mergeCell ref="A162:B163"/>
    <mergeCell ref="C162:V162"/>
    <mergeCell ref="A164:A175"/>
    <mergeCell ref="AR129:AS129"/>
    <mergeCell ref="A130:A141"/>
    <mergeCell ref="A143:C143"/>
    <mergeCell ref="D143:AI143"/>
    <mergeCell ref="A1:AJ1"/>
    <mergeCell ref="A353:A364"/>
    <mergeCell ref="D245:W245"/>
    <mergeCell ref="D350:W350"/>
    <mergeCell ref="A246:B247"/>
    <mergeCell ref="D246:W246"/>
    <mergeCell ref="A248:A259"/>
    <mergeCell ref="A351:B352"/>
    <mergeCell ref="D351:W351"/>
    <mergeCell ref="A311:A322"/>
    <mergeCell ref="D329:W329"/>
    <mergeCell ref="A330:B331"/>
    <mergeCell ref="D330:W330"/>
    <mergeCell ref="A332:A343"/>
    <mergeCell ref="A288:B289"/>
    <mergeCell ref="C288:V288"/>
    <mergeCell ref="A290:A301"/>
    <mergeCell ref="C308:AI308"/>
    <mergeCell ref="A309:B310"/>
    <mergeCell ref="C309:V309"/>
  </mergeCells>
  <conditionalFormatting sqref="C3:AJ3">
    <cfRule type="expression" dxfId="550" priority="9059">
      <formula>COUNTIF(C3,"0a")</formula>
    </cfRule>
  </conditionalFormatting>
  <conditionalFormatting sqref="C4:AJ15">
    <cfRule type="expression" dxfId="549" priority="1">
      <formula>COUNTIF(C4,"*11*")</formula>
    </cfRule>
    <cfRule type="expression" dxfId="542" priority="8">
      <formula>COUNTIF(C4,"*10*")</formula>
    </cfRule>
    <cfRule type="expression" dxfId="541" priority="9">
      <formula>COUNTIF(C4,"*9*")</formula>
    </cfRule>
    <cfRule type="expression" dxfId="540" priority="10">
      <formula>COUNTIF(C4,"*8*")</formula>
    </cfRule>
    <cfRule type="expression" dxfId="539" priority="11">
      <formula>AND(COUNTIF(C4,"*V*"),AND(NOT(COUNTIF(B4,"*V*")),NOT(COUNTIF(D4,"*V*"))))</formula>
    </cfRule>
    <cfRule type="expression" dxfId="538" priority="12">
      <formula>COUNTIF(C4,"*7*")</formula>
    </cfRule>
    <cfRule type="expression" dxfId="537" priority="13">
      <formula>COUNTIF(C4,"*6*")</formula>
    </cfRule>
    <cfRule type="expression" dxfId="536" priority="14">
      <formula>COUNTIF(C4,"*5*")</formula>
    </cfRule>
    <cfRule type="expression" dxfId="535" priority="15">
      <formula>COUNTIF(C4,"*4*")</formula>
    </cfRule>
    <cfRule type="expression" dxfId="534" priority="16">
      <formula>COUNTIF(C4,"*3*")</formula>
    </cfRule>
    <cfRule type="expression" dxfId="533" priority="17">
      <formula>COUNTIF(C4,"*2*")</formula>
    </cfRule>
    <cfRule type="expression" dxfId="532" priority="18">
      <formula>COUNTIF(C4,"*1*")</formula>
    </cfRule>
  </conditionalFormatting>
  <pageMargins left="0.2" right="0" top="0.75" bottom="0.75" header="0.3" footer="0.25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647" id="{D0C7F869-B555-409F-93AA-6975B9AF5223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2" id="{1FD40942-D60C-44C0-85CB-E19DC00B706B}">
            <xm:f>COUNTIF(Data!BR46,"12")</xm:f>
            <x14:dxf>
              <fill>
                <patternFill>
                  <bgColor rgb="FFEA0688"/>
                </patternFill>
              </fill>
            </x14:dxf>
          </x14:cfRule>
          <x14:cfRule type="expression" priority="3" id="{66AC1A6F-D6A4-4BD4-80E4-D495603DA6C6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4" id="{2D3FE52C-9063-4382-A903-3607C6303180}">
            <xm:f>AND(COUNTIF(C4,"O"),'Die Check Entry'!C4&lt;&gt;"",'Die Check Entry'!$W$1=1)</xm:f>
            <x14:dxf>
              <fill>
                <patternFill>
                  <bgColor rgb="FF8000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expression" priority="5" id="{6BF2F05F-4245-4108-9FB3-5CF54FD5948A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6" id="{A23A395F-3ED1-499E-8525-78D6F6138C6A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7" id="{A26F1C80-DAE3-4F6B-89E9-6C37E86324A3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9" id="{2AE4D936-0D4B-4F2B-AE80-A5D91F9803B9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20" id="{B377C956-6F08-44BF-A07A-32C4DC5F4A2E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21" id="{75237258-C249-4AD5-87EB-D39F7D610F55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22" id="{129C9FD4-0ACA-4F56-AB07-02877E5E28EA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23" id="{4633F7A8-1031-4E13-B328-AAAB5C37C3E0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24" id="{234F4493-8606-4B14-B9C0-E6AD8CA5DE3D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5" id="{911EE617-3438-49B6-A1F1-16F9D6A6E895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C4:AJ15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B0F0"/>
  </sheetPr>
  <dimension ref="A1:BB39"/>
  <sheetViews>
    <sheetView zoomScale="70" zoomScaleNormal="70" workbookViewId="0">
      <selection activeCell="L22" sqref="L22"/>
    </sheetView>
  </sheetViews>
  <sheetFormatPr defaultRowHeight="14.5" x14ac:dyDescent="0.35"/>
  <cols>
    <col min="1" max="2" width="4.7265625" customWidth="1"/>
    <col min="3" max="27" width="6.453125" customWidth="1"/>
    <col min="28" max="36" width="7" customWidth="1"/>
    <col min="37" max="37" width="25.7265625" customWidth="1"/>
    <col min="38" max="38" width="7" customWidth="1"/>
  </cols>
  <sheetData>
    <row r="1" spans="1:38" ht="21" customHeight="1" thickBot="1" x14ac:dyDescent="0.4">
      <c r="A1" s="1247" t="s">
        <v>1109</v>
      </c>
      <c r="B1" s="1248"/>
      <c r="C1" s="1248"/>
      <c r="D1" s="1248"/>
      <c r="E1" s="1248"/>
      <c r="F1" s="1248"/>
      <c r="G1" s="1248"/>
      <c r="H1" s="1248"/>
      <c r="I1" s="1248"/>
      <c r="J1" s="1248"/>
      <c r="K1" s="1248"/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248"/>
      <c r="W1" s="1248"/>
      <c r="X1" s="1248"/>
      <c r="Y1" s="1248"/>
      <c r="Z1" s="1248"/>
      <c r="AA1" s="1248"/>
      <c r="AB1" s="1248"/>
      <c r="AC1" s="1248"/>
      <c r="AD1" s="1248"/>
      <c r="AE1" s="1248"/>
      <c r="AF1" s="1248"/>
      <c r="AG1" s="1248"/>
      <c r="AH1" s="1248"/>
      <c r="AI1" s="1248"/>
      <c r="AJ1" s="1249"/>
      <c r="AK1" s="365" t="s">
        <v>3</v>
      </c>
      <c r="AL1" s="366" t="s">
        <v>4</v>
      </c>
    </row>
    <row r="2" spans="1:38" ht="17.25" customHeight="1" thickBot="1" x14ac:dyDescent="0.4">
      <c r="A2" s="1255"/>
      <c r="B2" s="1256"/>
      <c r="C2" s="1259" t="s">
        <v>17</v>
      </c>
      <c r="D2" s="1259"/>
      <c r="E2" s="1259"/>
      <c r="F2" s="1259"/>
      <c r="G2" s="1259"/>
      <c r="H2" s="1259"/>
      <c r="I2" s="1259"/>
      <c r="J2" s="1259"/>
      <c r="K2" s="1259"/>
      <c r="L2" s="1259"/>
      <c r="M2" s="1259"/>
      <c r="N2" s="1259"/>
      <c r="O2" s="1259"/>
      <c r="P2" s="1259"/>
      <c r="Q2" s="1259"/>
      <c r="R2" s="1259"/>
      <c r="S2" s="1259"/>
      <c r="T2" s="1259"/>
      <c r="U2" s="1259"/>
      <c r="V2" s="1260"/>
      <c r="W2" s="831"/>
      <c r="X2" s="832"/>
      <c r="Y2" s="832"/>
      <c r="Z2" s="832"/>
      <c r="AA2" s="832"/>
      <c r="AB2" s="832"/>
      <c r="AC2" s="832"/>
      <c r="AD2" s="832"/>
      <c r="AE2" s="832"/>
      <c r="AF2" s="832"/>
      <c r="AG2" s="832"/>
      <c r="AH2" s="832"/>
      <c r="AI2" s="832"/>
      <c r="AJ2" s="833"/>
      <c r="AK2" s="336" t="s">
        <v>306</v>
      </c>
      <c r="AL2" s="337">
        <f>COUNTIF($C$94:$AI$105,"*P*")</f>
        <v>0</v>
      </c>
    </row>
    <row r="3" spans="1:38" ht="15.75" customHeight="1" thickBot="1" x14ac:dyDescent="0.4">
      <c r="A3" s="1257"/>
      <c r="B3" s="1258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6a</v>
      </c>
      <c r="I3" s="35" t="str">
        <f>IF(Data!BX42&lt;&gt;"",Data!BX42,"")</f>
        <v>7a</v>
      </c>
      <c r="J3" s="35" t="str">
        <f>IF(Data!BY42&lt;&gt;"",Data!BY42,"")</f>
        <v>8a</v>
      </c>
      <c r="K3" s="35" t="str">
        <f>IF(Data!BZ42&lt;&gt;"",Data!BZ42,"")</f>
        <v>0a</v>
      </c>
      <c r="L3" s="35" t="str">
        <f>IF(Data!CA42&lt;&gt;"",Data!CA42,"")</f>
        <v>1b</v>
      </c>
      <c r="M3" s="35" t="str">
        <f>IF(Data!CB42&lt;&gt;"",Data!CB42,"")</f>
        <v>2b</v>
      </c>
      <c r="N3" s="35" t="str">
        <f>IF(Data!CC42&lt;&gt;"",Data!CC42,"")</f>
        <v>3b</v>
      </c>
      <c r="O3" s="35" t="str">
        <f>IF(Data!CD42&lt;&gt;"",Data!CD42,"")</f>
        <v>4b</v>
      </c>
      <c r="P3" s="35" t="str">
        <f>IF(Data!CE42&lt;&gt;"",Data!CE42,"")</f>
        <v>0a</v>
      </c>
      <c r="Q3" s="35" t="str">
        <f>IF(Data!CF42&lt;&gt;"",Data!CF42,"")</f>
        <v>0a</v>
      </c>
      <c r="R3" s="35" t="str">
        <f>IF(Data!CG42&lt;&gt;"",Data!CG42,"")</f>
        <v>0a</v>
      </c>
      <c r="S3" s="35" t="str">
        <f>IF(Data!CH42&lt;&gt;"",Data!CH42,"")</f>
        <v>0a</v>
      </c>
      <c r="T3" s="35" t="str">
        <f>IF(Data!CI42&lt;&gt;"",Data!CI42,"")</f>
        <v>0a</v>
      </c>
      <c r="U3" s="35" t="str">
        <f>IF(Data!CJ42&lt;&gt;"",Data!CJ42,"")</f>
        <v>0a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  <c r="AK3" s="333" t="s">
        <v>307</v>
      </c>
      <c r="AL3" s="334">
        <f>COUNTIF($C$94:$AI$105,"*I*")</f>
        <v>0</v>
      </c>
    </row>
    <row r="4" spans="1:38" ht="23.25" customHeight="1" x14ac:dyDescent="0.35">
      <c r="A4" s="1261" t="s">
        <v>18</v>
      </c>
      <c r="B4" s="6">
        <v>1</v>
      </c>
      <c r="C4" s="344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6"/>
      <c r="AK4" s="829" t="s">
        <v>309</v>
      </c>
      <c r="AL4" s="334">
        <f>COUNTIF($C$89:$AI$100,"*V*")</f>
        <v>0</v>
      </c>
    </row>
    <row r="5" spans="1:38" ht="23.25" customHeight="1" thickBot="1" x14ac:dyDescent="0.4">
      <c r="A5" s="1262"/>
      <c r="B5" s="35">
        <v>2</v>
      </c>
      <c r="C5" s="347"/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8"/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8"/>
      <c r="AJ5" s="349"/>
      <c r="AK5" s="830" t="s">
        <v>308</v>
      </c>
      <c r="AL5" s="335">
        <f>COUNTIF($C$94:$AI$105,"*B*")</f>
        <v>0</v>
      </c>
    </row>
    <row r="6" spans="1:38" ht="23.25" customHeight="1" x14ac:dyDescent="0.35">
      <c r="A6" s="1262"/>
      <c r="B6" s="35">
        <v>3</v>
      </c>
      <c r="C6" s="347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  <c r="AK6" s="332"/>
    </row>
    <row r="7" spans="1:38" ht="23.25" customHeight="1" x14ac:dyDescent="0.35">
      <c r="A7" s="1262"/>
      <c r="B7" s="35">
        <v>4</v>
      </c>
      <c r="C7" s="347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  <c r="AK7" s="332"/>
    </row>
    <row r="8" spans="1:38" ht="23.25" customHeight="1" x14ac:dyDescent="0.35">
      <c r="A8" s="1262"/>
      <c r="B8" s="35">
        <v>5</v>
      </c>
      <c r="C8" s="347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</row>
    <row r="9" spans="1:38" ht="23.25" customHeight="1" x14ac:dyDescent="0.35">
      <c r="A9" s="1262"/>
      <c r="B9" s="35">
        <v>6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</row>
    <row r="10" spans="1:38" ht="23.25" customHeight="1" x14ac:dyDescent="0.35">
      <c r="A10" s="1262"/>
      <c r="B10" s="35">
        <v>7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</row>
    <row r="11" spans="1:38" ht="23.25" customHeight="1" x14ac:dyDescent="0.35">
      <c r="A11" s="1262"/>
      <c r="B11" s="35">
        <v>8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</row>
    <row r="12" spans="1:38" ht="23.25" customHeight="1" x14ac:dyDescent="0.35">
      <c r="A12" s="1262"/>
      <c r="B12" s="35">
        <v>9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</row>
    <row r="13" spans="1:38" ht="23.25" customHeight="1" x14ac:dyDescent="0.35">
      <c r="A13" s="1262"/>
      <c r="B13" s="35">
        <v>10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</row>
    <row r="14" spans="1:38" ht="23.25" customHeight="1" x14ac:dyDescent="0.35">
      <c r="A14" s="1262"/>
      <c r="B14" s="35">
        <v>11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</row>
    <row r="15" spans="1:38" ht="23.25" customHeight="1" thickBot="1" x14ac:dyDescent="0.4">
      <c r="A15" s="1263"/>
      <c r="B15" s="355">
        <v>12</v>
      </c>
      <c r="C15" s="350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2"/>
    </row>
    <row r="16" spans="1:38" ht="7.5" customHeight="1" thickBot="1" x14ac:dyDescent="0.4">
      <c r="A16" s="1201"/>
      <c r="B16" s="1201"/>
      <c r="C16" s="1201"/>
      <c r="D16" s="1201"/>
      <c r="E16" s="1201"/>
      <c r="F16" s="1201"/>
      <c r="G16" s="1201"/>
      <c r="H16" s="1201"/>
      <c r="I16" s="1201"/>
      <c r="J16" s="1201"/>
      <c r="K16" s="1201"/>
      <c r="L16" s="1201"/>
      <c r="M16" s="1201"/>
      <c r="N16" s="1201"/>
      <c r="O16" s="1201"/>
      <c r="P16" s="1201"/>
      <c r="Q16" s="1201"/>
      <c r="R16" s="1201"/>
      <c r="S16" s="1201"/>
      <c r="T16" s="1201"/>
      <c r="U16" s="1201"/>
      <c r="V16" s="1201"/>
      <c r="W16" s="1201"/>
      <c r="X16" s="1201"/>
      <c r="Y16" s="1201"/>
      <c r="Z16" s="1201"/>
      <c r="AA16" s="1201"/>
      <c r="AB16" s="1201"/>
      <c r="AC16" s="1201"/>
      <c r="AD16" s="1201"/>
      <c r="AE16" s="1201"/>
      <c r="AF16" s="1201"/>
      <c r="AG16" s="1201"/>
      <c r="AH16" s="1201"/>
      <c r="AI16" s="1201"/>
    </row>
    <row r="17" spans="1:54" ht="60.75" customHeight="1" thickBot="1" x14ac:dyDescent="0.4">
      <c r="A17" s="1250" t="s">
        <v>797</v>
      </c>
      <c r="B17" s="1251"/>
      <c r="C17" s="1251"/>
      <c r="D17" s="1252"/>
      <c r="E17" s="1253"/>
      <c r="F17" s="1253"/>
      <c r="G17" s="1253"/>
      <c r="H17" s="1253"/>
      <c r="I17" s="1253"/>
      <c r="J17" s="1253"/>
      <c r="K17" s="1253"/>
      <c r="L17" s="1253"/>
      <c r="M17" s="1253"/>
      <c r="N17" s="1253"/>
      <c r="O17" s="1253"/>
      <c r="P17" s="1253"/>
      <c r="Q17" s="1253"/>
      <c r="R17" s="1253"/>
      <c r="S17" s="1253"/>
      <c r="T17" s="1253"/>
      <c r="U17" s="1253"/>
      <c r="V17" s="1253"/>
      <c r="W17" s="1253"/>
      <c r="X17" s="1253"/>
      <c r="Y17" s="1253"/>
      <c r="Z17" s="1253"/>
      <c r="AA17" s="1253"/>
      <c r="AB17" s="1253"/>
      <c r="AC17" s="1253"/>
      <c r="AD17" s="1253"/>
      <c r="AE17" s="1253"/>
      <c r="AF17" s="1253"/>
      <c r="AG17" s="1253"/>
      <c r="AH17" s="1253"/>
      <c r="AI17" s="1254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</row>
    <row r="27" spans="1:54" x14ac:dyDescent="0.35">
      <c r="C27" s="151" t="b">
        <f>EXACT(C4,'ARDT Cutter Entry'!C4)</f>
        <v>0</v>
      </c>
      <c r="D27" s="152" t="b">
        <f>EXACT(D4,'ARDT Cutter Entry'!D4)</f>
        <v>0</v>
      </c>
      <c r="E27" s="152" t="b">
        <f>EXACT(E4,'ARDT Cutter Entry'!E4)</f>
        <v>0</v>
      </c>
      <c r="F27" s="152" t="b">
        <f>EXACT(F4,'ARDT Cutter Entry'!F4)</f>
        <v>0</v>
      </c>
      <c r="G27" s="152" t="b">
        <f>EXACT(G4,'ARDT Cutter Entry'!G4)</f>
        <v>0</v>
      </c>
      <c r="H27" s="152" t="b">
        <f>EXACT(H4,'ARDT Cutter Entry'!H4)</f>
        <v>0</v>
      </c>
      <c r="I27" s="152" t="b">
        <f>EXACT(I4,'ARDT Cutter Entry'!I4)</f>
        <v>0</v>
      </c>
      <c r="J27" s="152" t="b">
        <f>EXACT(J4,'ARDT Cutter Entry'!J4)</f>
        <v>0</v>
      </c>
      <c r="K27" s="152" t="b">
        <f>EXACT(K4,'ARDT Cutter Entry'!K4)</f>
        <v>1</v>
      </c>
      <c r="L27" s="152" t="b">
        <f>EXACT(L4,'ARDT Cutter Entry'!L4)</f>
        <v>0</v>
      </c>
      <c r="M27" s="152" t="b">
        <f>EXACT(M4,'ARDT Cutter Entry'!M4)</f>
        <v>0</v>
      </c>
      <c r="N27" s="152" t="b">
        <f>EXACT(N4,'ARDT Cutter Entry'!N4)</f>
        <v>0</v>
      </c>
      <c r="O27" s="152" t="b">
        <f>EXACT(O4,'ARDT Cutter Entry'!O4)</f>
        <v>0</v>
      </c>
      <c r="P27" s="152" t="b">
        <f>EXACT(P4,'ARDT Cutter Entry'!P4)</f>
        <v>1</v>
      </c>
      <c r="Q27" s="152" t="b">
        <f>EXACT(Q4,'ARDT Cutter Entry'!Q4)</f>
        <v>1</v>
      </c>
      <c r="R27" s="152" t="b">
        <f>EXACT(R4,'ARDT Cutter Entry'!R4)</f>
        <v>1</v>
      </c>
      <c r="S27" s="152" t="b">
        <f>EXACT(S4,'ARDT Cutter Entry'!S4)</f>
        <v>1</v>
      </c>
      <c r="T27" s="152" t="b">
        <f>EXACT(T4,'ARDT Cutter Entry'!T4)</f>
        <v>1</v>
      </c>
      <c r="U27" s="152" t="b">
        <f>EXACT(U4,'ARDT Cutter Entry'!U4)</f>
        <v>1</v>
      </c>
      <c r="V27" s="152" t="b">
        <f>EXACT(V4,'ARDT Cutter Entry'!V4)</f>
        <v>1</v>
      </c>
      <c r="W27" s="152" t="b">
        <f>EXACT(W4,'ARDT Cutter Entry'!W4)</f>
        <v>1</v>
      </c>
      <c r="X27" s="152" t="b">
        <f>EXACT(X4,'ARDT Cutter Entry'!X4)</f>
        <v>1</v>
      </c>
      <c r="Y27" s="152" t="b">
        <f>EXACT(Y4,'ARDT Cutter Entry'!Y4)</f>
        <v>1</v>
      </c>
      <c r="Z27" s="152" t="b">
        <f>EXACT(Z4,'ARDT Cutter Entry'!Z4)</f>
        <v>1</v>
      </c>
      <c r="AA27" s="152" t="b">
        <f>EXACT(AA4,'ARDT Cutter Entry'!AA4)</f>
        <v>1</v>
      </c>
      <c r="AB27" s="152" t="b">
        <f>EXACT(AB4,'ARDT Cutter Entry'!AB4)</f>
        <v>1</v>
      </c>
      <c r="AC27" s="152" t="b">
        <f>EXACT(AC4,'ARDT Cutter Entry'!AC4)</f>
        <v>1</v>
      </c>
      <c r="AD27" s="152" t="b">
        <f>EXACT(AD4,'ARDT Cutter Entry'!AD4)</f>
        <v>1</v>
      </c>
      <c r="AE27" s="152" t="b">
        <f>EXACT(AE4,'ARDT Cutter Entry'!AE4)</f>
        <v>1</v>
      </c>
      <c r="AF27" s="152" t="b">
        <f>EXACT(AF4,'ARDT Cutter Entry'!AF4)</f>
        <v>1</v>
      </c>
      <c r="AG27" s="152" t="b">
        <f>EXACT(AG4,'ARDT Cutter Entry'!AG4)</f>
        <v>1</v>
      </c>
      <c r="AH27" s="152" t="b">
        <f>EXACT(AH4,'ARDT Cutter Entry'!AH4)</f>
        <v>1</v>
      </c>
      <c r="AI27" s="153" t="b">
        <f>EXACT(AI4,'ARDT Cutter Entry'!AI4)</f>
        <v>1</v>
      </c>
      <c r="AJ27" s="153" t="b">
        <f>EXACT(AJ4,'ARDT Cutter Entry'!AJ4)</f>
        <v>1</v>
      </c>
    </row>
    <row r="28" spans="1:54" x14ac:dyDescent="0.35">
      <c r="C28" s="154" t="b">
        <f>EXACT(C5,'ARDT Cutter Entry'!C5)</f>
        <v>0</v>
      </c>
      <c r="D28" t="b">
        <f>EXACT(D5,'ARDT Cutter Entry'!D5)</f>
        <v>0</v>
      </c>
      <c r="E28" t="b">
        <f>EXACT(E5,'ARDT Cutter Entry'!E5)</f>
        <v>0</v>
      </c>
      <c r="F28" t="b">
        <f>EXACT(F5,'ARDT Cutter Entry'!F5)</f>
        <v>0</v>
      </c>
      <c r="G28" t="b">
        <f>EXACT(G5,'ARDT Cutter Entry'!G5)</f>
        <v>0</v>
      </c>
      <c r="H28" t="b">
        <f>EXACT(H5,'ARDT Cutter Entry'!H5)</f>
        <v>1</v>
      </c>
      <c r="I28" t="b">
        <f>EXACT(I5,'ARDT Cutter Entry'!I5)</f>
        <v>1</v>
      </c>
      <c r="J28" t="b">
        <f>EXACT(J5,'ARDT Cutter Entry'!J5)</f>
        <v>1</v>
      </c>
      <c r="K28" t="b">
        <f>EXACT(K5,'ARDT Cutter Entry'!K5)</f>
        <v>1</v>
      </c>
      <c r="L28" t="b">
        <f>EXACT(L5,'ARDT Cutter Entry'!L5)</f>
        <v>0</v>
      </c>
      <c r="M28" t="b">
        <f>EXACT(M5,'ARDT Cutter Entry'!M5)</f>
        <v>0</v>
      </c>
      <c r="N28" t="b">
        <f>EXACT(N5,'ARDT Cutter Entry'!N5)</f>
        <v>0</v>
      </c>
      <c r="O28" t="b">
        <f>EXACT(O5,'ARDT Cutter Entry'!O5)</f>
        <v>0</v>
      </c>
      <c r="P28" t="b">
        <f>EXACT(P5,'ARDT Cutter Entry'!P5)</f>
        <v>1</v>
      </c>
      <c r="Q28" t="b">
        <f>EXACT(Q5,'ARDT Cutter Entry'!Q5)</f>
        <v>1</v>
      </c>
      <c r="R28" t="b">
        <f>EXACT(R5,'ARDT Cutter Entry'!R5)</f>
        <v>1</v>
      </c>
      <c r="S28" t="b">
        <f>EXACT(S5,'ARDT Cutter Entry'!S5)</f>
        <v>1</v>
      </c>
      <c r="T28" t="b">
        <f>EXACT(T5,'ARDT Cutter Entry'!T5)</f>
        <v>1</v>
      </c>
      <c r="U28" t="b">
        <f>EXACT(U5,'ARDT Cutter Entry'!U5)</f>
        <v>1</v>
      </c>
      <c r="V28" t="b">
        <f>EXACT(V5,'ARDT Cutter Entry'!V5)</f>
        <v>1</v>
      </c>
      <c r="W28" t="b">
        <f>EXACT(W5,'ARDT Cutter Entry'!W5)</f>
        <v>1</v>
      </c>
      <c r="X28" t="b">
        <f>EXACT(X5,'ARDT Cutter Entry'!X5)</f>
        <v>1</v>
      </c>
      <c r="Y28" t="b">
        <f>EXACT(Y5,'ARDT Cutter Entry'!Y5)</f>
        <v>1</v>
      </c>
      <c r="Z28" t="b">
        <f>EXACT(Z5,'ARDT Cutter Entry'!Z5)</f>
        <v>1</v>
      </c>
      <c r="AA28" t="b">
        <f>EXACT(AA5,'ARDT Cutter Entry'!AA5)</f>
        <v>1</v>
      </c>
      <c r="AB28" t="b">
        <f>EXACT(AB5,'ARDT Cutter Entry'!AB5)</f>
        <v>1</v>
      </c>
      <c r="AC28" t="b">
        <f>EXACT(AC5,'ARDT Cutter Entry'!AC5)</f>
        <v>1</v>
      </c>
      <c r="AD28" t="b">
        <f>EXACT(AD5,'ARDT Cutter Entry'!AD5)</f>
        <v>1</v>
      </c>
      <c r="AE28" t="b">
        <f>EXACT(AE5,'ARDT Cutter Entry'!AE5)</f>
        <v>1</v>
      </c>
      <c r="AF28" t="b">
        <f>EXACT(AF5,'ARDT Cutter Entry'!AF5)</f>
        <v>1</v>
      </c>
      <c r="AG28" t="b">
        <f>EXACT(AG5,'ARDT Cutter Entry'!AG5)</f>
        <v>1</v>
      </c>
      <c r="AH28" t="b">
        <f>EXACT(AH5,'ARDT Cutter Entry'!AH5)</f>
        <v>1</v>
      </c>
      <c r="AI28" s="155" t="b">
        <f>EXACT(AI5,'ARDT Cutter Entry'!AI5)</f>
        <v>1</v>
      </c>
      <c r="AJ28" s="155" t="b">
        <f>EXACT(AJ5,'ARDT Cutter Entry'!AJ5)</f>
        <v>1</v>
      </c>
    </row>
    <row r="29" spans="1:54" x14ac:dyDescent="0.35">
      <c r="C29" s="154" t="b">
        <f>EXACT(C6,'ARDT Cutter Entry'!C6)</f>
        <v>0</v>
      </c>
      <c r="D29" t="b">
        <f>EXACT(D6,'ARDT Cutter Entry'!D6)</f>
        <v>0</v>
      </c>
      <c r="E29" t="b">
        <f>EXACT(E6,'ARDT Cutter Entry'!E6)</f>
        <v>0</v>
      </c>
      <c r="F29" t="b">
        <f>EXACT(F6,'ARDT Cutter Entry'!F6)</f>
        <v>0</v>
      </c>
      <c r="G29" t="b">
        <f>EXACT(G6,'ARDT Cutter Entry'!G6)</f>
        <v>0</v>
      </c>
      <c r="H29" t="b">
        <f>EXACT(H6,'ARDT Cutter Entry'!H6)</f>
        <v>0</v>
      </c>
      <c r="I29" t="b">
        <f>EXACT(I6,'ARDT Cutter Entry'!I6)</f>
        <v>0</v>
      </c>
      <c r="J29" t="b">
        <f>EXACT(J6,'ARDT Cutter Entry'!J6)</f>
        <v>1</v>
      </c>
      <c r="K29" t="b">
        <f>EXACT(K6,'ARDT Cutter Entry'!K6)</f>
        <v>1</v>
      </c>
      <c r="L29" t="b">
        <f>EXACT(L6,'ARDT Cutter Entry'!L6)</f>
        <v>0</v>
      </c>
      <c r="M29" t="b">
        <f>EXACT(M6,'ARDT Cutter Entry'!M6)</f>
        <v>0</v>
      </c>
      <c r="N29" t="b">
        <f>EXACT(N6,'ARDT Cutter Entry'!N6)</f>
        <v>0</v>
      </c>
      <c r="O29" t="b">
        <f>EXACT(O6,'ARDT Cutter Entry'!O6)</f>
        <v>1</v>
      </c>
      <c r="P29" t="b">
        <f>EXACT(P6,'ARDT Cutter Entry'!P6)</f>
        <v>1</v>
      </c>
      <c r="Q29" t="b">
        <f>EXACT(Q6,'ARDT Cutter Entry'!Q6)</f>
        <v>1</v>
      </c>
      <c r="R29" t="b">
        <f>EXACT(R6,'ARDT Cutter Entry'!R6)</f>
        <v>1</v>
      </c>
      <c r="S29" t="b">
        <f>EXACT(S6,'ARDT Cutter Entry'!S6)</f>
        <v>1</v>
      </c>
      <c r="T29" t="b">
        <f>EXACT(T6,'ARDT Cutter Entry'!T6)</f>
        <v>1</v>
      </c>
      <c r="U29" t="b">
        <f>EXACT(U6,'ARDT Cutter Entry'!U6)</f>
        <v>1</v>
      </c>
      <c r="V29" t="b">
        <f>EXACT(V6,'ARDT Cutter Entry'!V6)</f>
        <v>1</v>
      </c>
      <c r="W29" t="b">
        <f>EXACT(W6,'ARDT Cutter Entry'!W6)</f>
        <v>1</v>
      </c>
      <c r="X29" t="b">
        <f>EXACT(X6,'ARDT Cutter Entry'!X6)</f>
        <v>1</v>
      </c>
      <c r="Y29" t="b">
        <f>EXACT(Y6,'ARDT Cutter Entry'!Y6)</f>
        <v>1</v>
      </c>
      <c r="Z29" t="b">
        <f>EXACT(Z6,'ARDT Cutter Entry'!Z6)</f>
        <v>1</v>
      </c>
      <c r="AA29" t="b">
        <f>EXACT(AA6,'ARDT Cutter Entry'!AA6)</f>
        <v>1</v>
      </c>
      <c r="AB29" t="b">
        <f>EXACT(AB6,'ARDT Cutter Entry'!AB6)</f>
        <v>1</v>
      </c>
      <c r="AC29" t="b">
        <f>EXACT(AC6,'ARDT Cutter Entry'!AC6)</f>
        <v>1</v>
      </c>
      <c r="AD29" t="b">
        <f>EXACT(AD6,'ARDT Cutter Entry'!AD6)</f>
        <v>1</v>
      </c>
      <c r="AE29" t="b">
        <f>EXACT(AE6,'ARDT Cutter Entry'!AE6)</f>
        <v>1</v>
      </c>
      <c r="AF29" t="b">
        <f>EXACT(AF6,'ARDT Cutter Entry'!AF6)</f>
        <v>1</v>
      </c>
      <c r="AG29" t="b">
        <f>EXACT(AG6,'ARDT Cutter Entry'!AG6)</f>
        <v>1</v>
      </c>
      <c r="AH29" t="b">
        <f>EXACT(AH6,'ARDT Cutter Entry'!AH6)</f>
        <v>1</v>
      </c>
      <c r="AI29" s="155" t="b">
        <f>EXACT(AI6,'ARDT Cutter Entry'!AI6)</f>
        <v>1</v>
      </c>
      <c r="AJ29" s="155" t="b">
        <f>EXACT(AJ6,'ARDT Cutter Entry'!AJ6)</f>
        <v>1</v>
      </c>
    </row>
    <row r="30" spans="1:54" x14ac:dyDescent="0.35">
      <c r="C30" s="154" t="b">
        <f>EXACT(C7,'ARDT Cutter Entry'!C7)</f>
        <v>0</v>
      </c>
      <c r="D30" t="b">
        <f>EXACT(D7,'ARDT Cutter Entry'!D7)</f>
        <v>0</v>
      </c>
      <c r="E30" t="b">
        <f>EXACT(E7,'ARDT Cutter Entry'!E7)</f>
        <v>0</v>
      </c>
      <c r="F30" t="b">
        <f>EXACT(F7,'ARDT Cutter Entry'!F7)</f>
        <v>0</v>
      </c>
      <c r="G30" t="b">
        <f>EXACT(G7,'ARDT Cutter Entry'!G7)</f>
        <v>0</v>
      </c>
      <c r="H30" t="b">
        <f>EXACT(H7,'ARDT Cutter Entry'!H7)</f>
        <v>0</v>
      </c>
      <c r="I30" t="b">
        <f>EXACT(I7,'ARDT Cutter Entry'!I7)</f>
        <v>1</v>
      </c>
      <c r="J30" t="b">
        <f>EXACT(J7,'ARDT Cutter Entry'!J7)</f>
        <v>1</v>
      </c>
      <c r="K30" t="b">
        <f>EXACT(K7,'ARDT Cutter Entry'!K7)</f>
        <v>1</v>
      </c>
      <c r="L30" t="b">
        <f>EXACT(L7,'ARDT Cutter Entry'!L7)</f>
        <v>0</v>
      </c>
      <c r="M30" t="b">
        <f>EXACT(M7,'ARDT Cutter Entry'!M7)</f>
        <v>0</v>
      </c>
      <c r="N30" t="b">
        <f>EXACT(N7,'ARDT Cutter Entry'!N7)</f>
        <v>0</v>
      </c>
      <c r="O30" t="b">
        <f>EXACT(O7,'ARDT Cutter Entry'!O7)</f>
        <v>0</v>
      </c>
      <c r="P30" t="b">
        <f>EXACT(P7,'ARDT Cutter Entry'!P7)</f>
        <v>1</v>
      </c>
      <c r="Q30" t="b">
        <f>EXACT(Q7,'ARDT Cutter Entry'!Q7)</f>
        <v>1</v>
      </c>
      <c r="R30" t="b">
        <f>EXACT(R7,'ARDT Cutter Entry'!R7)</f>
        <v>1</v>
      </c>
      <c r="S30" t="b">
        <f>EXACT(S7,'ARDT Cutter Entry'!S7)</f>
        <v>1</v>
      </c>
      <c r="T30" t="b">
        <f>EXACT(T7,'ARDT Cutter Entry'!T7)</f>
        <v>1</v>
      </c>
      <c r="U30" t="b">
        <f>EXACT(U7,'ARDT Cutter Entry'!U7)</f>
        <v>1</v>
      </c>
      <c r="V30" t="b">
        <f>EXACT(V7,'ARDT Cutter Entry'!V7)</f>
        <v>1</v>
      </c>
      <c r="W30" t="b">
        <f>EXACT(W7,'ARDT Cutter Entry'!W7)</f>
        <v>1</v>
      </c>
      <c r="X30" t="b">
        <f>EXACT(X7,'ARDT Cutter Entry'!X7)</f>
        <v>1</v>
      </c>
      <c r="Y30" t="b">
        <f>EXACT(Y7,'ARDT Cutter Entry'!Y7)</f>
        <v>1</v>
      </c>
      <c r="Z30" t="b">
        <f>EXACT(Z7,'ARDT Cutter Entry'!Z7)</f>
        <v>1</v>
      </c>
      <c r="AA30" t="b">
        <f>EXACT(AA7,'ARDT Cutter Entry'!AA7)</f>
        <v>1</v>
      </c>
      <c r="AB30" t="b">
        <f>EXACT(AB7,'ARDT Cutter Entry'!AB7)</f>
        <v>1</v>
      </c>
      <c r="AC30" t="b">
        <f>EXACT(AC7,'ARDT Cutter Entry'!AC7)</f>
        <v>1</v>
      </c>
      <c r="AD30" t="b">
        <f>EXACT(AD7,'ARDT Cutter Entry'!AD7)</f>
        <v>1</v>
      </c>
      <c r="AE30" t="b">
        <f>EXACT(AE7,'ARDT Cutter Entry'!AE7)</f>
        <v>1</v>
      </c>
      <c r="AF30" t="b">
        <f>EXACT(AF7,'ARDT Cutter Entry'!AF7)</f>
        <v>1</v>
      </c>
      <c r="AG30" t="b">
        <f>EXACT(AG7,'ARDT Cutter Entry'!AG7)</f>
        <v>1</v>
      </c>
      <c r="AH30" t="b">
        <f>EXACT(AH7,'ARDT Cutter Entry'!AH7)</f>
        <v>1</v>
      </c>
      <c r="AI30" s="155" t="b">
        <f>EXACT(AI7,'ARDT Cutter Entry'!AI7)</f>
        <v>1</v>
      </c>
      <c r="AJ30" s="155" t="b">
        <f>EXACT(AJ7,'ARDT Cutter Entry'!AJ7)</f>
        <v>1</v>
      </c>
    </row>
    <row r="31" spans="1:54" x14ac:dyDescent="0.35">
      <c r="C31" s="154" t="b">
        <f>EXACT(C8,'ARDT Cutter Entry'!C8)</f>
        <v>0</v>
      </c>
      <c r="D31" t="b">
        <f>EXACT(D8,'ARDT Cutter Entry'!D8)</f>
        <v>0</v>
      </c>
      <c r="E31" t="b">
        <f>EXACT(E8,'ARDT Cutter Entry'!E8)</f>
        <v>0</v>
      </c>
      <c r="F31" t="b">
        <f>EXACT(F8,'ARDT Cutter Entry'!F8)</f>
        <v>0</v>
      </c>
      <c r="G31" t="b">
        <f>EXACT(G8,'ARDT Cutter Entry'!G8)</f>
        <v>0</v>
      </c>
      <c r="H31" t="b">
        <f>EXACT(H8,'ARDT Cutter Entry'!H8)</f>
        <v>0</v>
      </c>
      <c r="I31" t="b">
        <f>EXACT(I8,'ARDT Cutter Entry'!I8)</f>
        <v>0</v>
      </c>
      <c r="J31" t="b">
        <f>EXACT(J8,'ARDT Cutter Entry'!J8)</f>
        <v>0</v>
      </c>
      <c r="K31" t="b">
        <f>EXACT(K8,'ARDT Cutter Entry'!K8)</f>
        <v>1</v>
      </c>
      <c r="L31" t="b">
        <f>EXACT(L8,'ARDT Cutter Entry'!L8)</f>
        <v>0</v>
      </c>
      <c r="M31" t="b">
        <f>EXACT(M8,'ARDT Cutter Entry'!M8)</f>
        <v>0</v>
      </c>
      <c r="N31" t="b">
        <f>EXACT(N8,'ARDT Cutter Entry'!N8)</f>
        <v>0</v>
      </c>
      <c r="O31" t="b">
        <f>EXACT(O8,'ARDT Cutter Entry'!O8)</f>
        <v>0</v>
      </c>
      <c r="P31" t="b">
        <f>EXACT(P8,'ARDT Cutter Entry'!P8)</f>
        <v>1</v>
      </c>
      <c r="Q31" t="b">
        <f>EXACT(Q8,'ARDT Cutter Entry'!Q8)</f>
        <v>1</v>
      </c>
      <c r="R31" t="b">
        <f>EXACT(R8,'ARDT Cutter Entry'!R8)</f>
        <v>1</v>
      </c>
      <c r="S31" t="b">
        <f>EXACT(S8,'ARDT Cutter Entry'!S8)</f>
        <v>1</v>
      </c>
      <c r="T31" t="b">
        <f>EXACT(T8,'ARDT Cutter Entry'!T8)</f>
        <v>1</v>
      </c>
      <c r="U31" t="b">
        <f>EXACT(U8,'ARDT Cutter Entry'!U8)</f>
        <v>1</v>
      </c>
      <c r="V31" t="b">
        <f>EXACT(V8,'ARDT Cutter Entry'!V8)</f>
        <v>1</v>
      </c>
      <c r="W31" t="b">
        <f>EXACT(W8,'ARDT Cutter Entry'!W8)</f>
        <v>1</v>
      </c>
      <c r="X31" t="b">
        <f>EXACT(X8,'ARDT Cutter Entry'!X8)</f>
        <v>1</v>
      </c>
      <c r="Y31" t="b">
        <f>EXACT(Y8,'ARDT Cutter Entry'!Y8)</f>
        <v>1</v>
      </c>
      <c r="Z31" t="b">
        <f>EXACT(Z8,'ARDT Cutter Entry'!Z8)</f>
        <v>1</v>
      </c>
      <c r="AA31" t="b">
        <f>EXACT(AA8,'ARDT Cutter Entry'!AA8)</f>
        <v>1</v>
      </c>
      <c r="AB31" t="b">
        <f>EXACT(AB8,'ARDT Cutter Entry'!AB8)</f>
        <v>1</v>
      </c>
      <c r="AC31" t="b">
        <f>EXACT(AC8,'ARDT Cutter Entry'!AC8)</f>
        <v>1</v>
      </c>
      <c r="AD31" t="b">
        <f>EXACT(AD8,'ARDT Cutter Entry'!AD8)</f>
        <v>1</v>
      </c>
      <c r="AE31" t="b">
        <f>EXACT(AE8,'ARDT Cutter Entry'!AE8)</f>
        <v>1</v>
      </c>
      <c r="AF31" t="b">
        <f>EXACT(AF8,'ARDT Cutter Entry'!AF8)</f>
        <v>1</v>
      </c>
      <c r="AG31" t="b">
        <f>EXACT(AG8,'ARDT Cutter Entry'!AG8)</f>
        <v>1</v>
      </c>
      <c r="AH31" t="b">
        <f>EXACT(AH8,'ARDT Cutter Entry'!AH8)</f>
        <v>1</v>
      </c>
      <c r="AI31" s="155" t="b">
        <f>EXACT(AI8,'ARDT Cutter Entry'!AI8)</f>
        <v>1</v>
      </c>
      <c r="AJ31" s="155" t="b">
        <f>EXACT(AJ8,'ARDT Cutter Entry'!AJ8)</f>
        <v>1</v>
      </c>
    </row>
    <row r="32" spans="1:54" x14ac:dyDescent="0.35">
      <c r="C32" s="154" t="b">
        <f>EXACT(C9,'ARDT Cutter Entry'!C9)</f>
        <v>0</v>
      </c>
      <c r="D32" t="b">
        <f>EXACT(D9,'ARDT Cutter Entry'!D9)</f>
        <v>0</v>
      </c>
      <c r="E32" t="b">
        <f>EXACT(E9,'ARDT Cutter Entry'!E9)</f>
        <v>0</v>
      </c>
      <c r="F32" t="b">
        <f>EXACT(F9,'ARDT Cutter Entry'!F9)</f>
        <v>0</v>
      </c>
      <c r="G32" t="b">
        <f>EXACT(G9,'ARDT Cutter Entry'!G9)</f>
        <v>0</v>
      </c>
      <c r="H32" t="b">
        <f>EXACT(H9,'ARDT Cutter Entry'!H9)</f>
        <v>1</v>
      </c>
      <c r="I32" t="b">
        <f>EXACT(I9,'ARDT Cutter Entry'!I9)</f>
        <v>1</v>
      </c>
      <c r="J32" t="b">
        <f>EXACT(J9,'ARDT Cutter Entry'!J9)</f>
        <v>1</v>
      </c>
      <c r="K32" t="b">
        <f>EXACT(K9,'ARDT Cutter Entry'!K9)</f>
        <v>1</v>
      </c>
      <c r="L32" t="b">
        <f>EXACT(L9,'ARDT Cutter Entry'!L9)</f>
        <v>0</v>
      </c>
      <c r="M32" t="b">
        <f>EXACT(M9,'ARDT Cutter Entry'!M9)</f>
        <v>0</v>
      </c>
      <c r="N32" t="b">
        <f>EXACT(N9,'ARDT Cutter Entry'!N9)</f>
        <v>0</v>
      </c>
      <c r="O32" t="b">
        <f>EXACT(O9,'ARDT Cutter Entry'!O9)</f>
        <v>0</v>
      </c>
      <c r="P32" t="b">
        <f>EXACT(P9,'ARDT Cutter Entry'!P9)</f>
        <v>1</v>
      </c>
      <c r="Q32" t="b">
        <f>EXACT(Q9,'ARDT Cutter Entry'!Q9)</f>
        <v>1</v>
      </c>
      <c r="R32" t="b">
        <f>EXACT(R9,'ARDT Cutter Entry'!R9)</f>
        <v>1</v>
      </c>
      <c r="S32" t="b">
        <f>EXACT(S9,'ARDT Cutter Entry'!S9)</f>
        <v>1</v>
      </c>
      <c r="T32" t="b">
        <f>EXACT(T9,'ARDT Cutter Entry'!T9)</f>
        <v>1</v>
      </c>
      <c r="U32" t="b">
        <f>EXACT(U9,'ARDT Cutter Entry'!U9)</f>
        <v>1</v>
      </c>
      <c r="V32" t="b">
        <f>EXACT(V9,'ARDT Cutter Entry'!V9)</f>
        <v>1</v>
      </c>
      <c r="W32" t="b">
        <f>EXACT(W9,'ARDT Cutter Entry'!W9)</f>
        <v>1</v>
      </c>
      <c r="X32" t="b">
        <f>EXACT(X9,'ARDT Cutter Entry'!X9)</f>
        <v>1</v>
      </c>
      <c r="Y32" t="b">
        <f>EXACT(Y9,'ARDT Cutter Entry'!Y9)</f>
        <v>1</v>
      </c>
      <c r="Z32" t="b">
        <f>EXACT(Z9,'ARDT Cutter Entry'!Z9)</f>
        <v>1</v>
      </c>
      <c r="AA32" t="b">
        <f>EXACT(AA9,'ARDT Cutter Entry'!AA9)</f>
        <v>1</v>
      </c>
      <c r="AB32" t="b">
        <f>EXACT(AB9,'ARDT Cutter Entry'!AB9)</f>
        <v>1</v>
      </c>
      <c r="AC32" t="b">
        <f>EXACT(AC9,'ARDT Cutter Entry'!AC9)</f>
        <v>1</v>
      </c>
      <c r="AD32" t="b">
        <f>EXACT(AD9,'ARDT Cutter Entry'!AD9)</f>
        <v>1</v>
      </c>
      <c r="AE32" t="b">
        <f>EXACT(AE9,'ARDT Cutter Entry'!AE9)</f>
        <v>1</v>
      </c>
      <c r="AF32" t="b">
        <f>EXACT(AF9,'ARDT Cutter Entry'!AF9)</f>
        <v>1</v>
      </c>
      <c r="AG32" t="b">
        <f>EXACT(AG9,'ARDT Cutter Entry'!AG9)</f>
        <v>1</v>
      </c>
      <c r="AH32" t="b">
        <f>EXACT(AH9,'ARDT Cutter Entry'!AH9)</f>
        <v>1</v>
      </c>
      <c r="AI32" s="155" t="b">
        <f>EXACT(AI9,'ARDT Cutter Entry'!AI9)</f>
        <v>1</v>
      </c>
      <c r="AJ32" s="155" t="b">
        <f>EXACT(AJ9,'ARDT Cutter Entry'!AJ9)</f>
        <v>1</v>
      </c>
    </row>
    <row r="33" spans="3:36" x14ac:dyDescent="0.35">
      <c r="C33" s="154" t="b">
        <f>EXACT(C10,'ARDT Cutter Entry'!C10)</f>
        <v>1</v>
      </c>
      <c r="D33" t="b">
        <f>EXACT(D10,'ARDT Cutter Entry'!D10)</f>
        <v>1</v>
      </c>
      <c r="E33" t="b">
        <f>EXACT(E10,'ARDT Cutter Entry'!E10)</f>
        <v>1</v>
      </c>
      <c r="F33" t="b">
        <f>EXACT(F10,'ARDT Cutter Entry'!F10)</f>
        <v>1</v>
      </c>
      <c r="G33" t="b">
        <f>EXACT(G10,'ARDT Cutter Entry'!G10)</f>
        <v>1</v>
      </c>
      <c r="H33" t="b">
        <f>EXACT(H10,'ARDT Cutter Entry'!H10)</f>
        <v>1</v>
      </c>
      <c r="I33" t="b">
        <f>EXACT(I10,'ARDT Cutter Entry'!I10)</f>
        <v>1</v>
      </c>
      <c r="J33" t="b">
        <f>EXACT(J10,'ARDT Cutter Entry'!J10)</f>
        <v>1</v>
      </c>
      <c r="K33" t="b">
        <f>EXACT(K10,'ARDT Cutter Entry'!K10)</f>
        <v>1</v>
      </c>
      <c r="L33" t="b">
        <f>EXACT(L10,'ARDT Cutter Entry'!L10)</f>
        <v>1</v>
      </c>
      <c r="M33" t="b">
        <f>EXACT(M10,'ARDT Cutter Entry'!M10)</f>
        <v>1</v>
      </c>
      <c r="N33" t="b">
        <f>EXACT(N10,'ARDT Cutter Entry'!N10)</f>
        <v>1</v>
      </c>
      <c r="O33" t="b">
        <f>EXACT(O10,'ARDT Cutter Entry'!O10)</f>
        <v>1</v>
      </c>
      <c r="P33" t="b">
        <f>EXACT(P10,'ARDT Cutter Entry'!P10)</f>
        <v>1</v>
      </c>
      <c r="Q33" t="b">
        <f>EXACT(Q10,'ARDT Cutter Entry'!Q10)</f>
        <v>1</v>
      </c>
      <c r="R33" t="b">
        <f>EXACT(R10,'ARDT Cutter Entry'!R10)</f>
        <v>1</v>
      </c>
      <c r="S33" t="b">
        <f>EXACT(S10,'ARDT Cutter Entry'!S10)</f>
        <v>1</v>
      </c>
      <c r="T33" t="b">
        <f>EXACT(T10,'ARDT Cutter Entry'!T10)</f>
        <v>1</v>
      </c>
      <c r="U33" t="b">
        <f>EXACT(U10,'ARDT Cutter Entry'!U10)</f>
        <v>1</v>
      </c>
      <c r="V33" t="b">
        <f>EXACT(V10,'ARDT Cutter Entry'!V10)</f>
        <v>1</v>
      </c>
      <c r="W33" t="b">
        <f>EXACT(W10,'ARDT Cutter Entry'!W10)</f>
        <v>1</v>
      </c>
      <c r="X33" t="b">
        <f>EXACT(X10,'ARDT Cutter Entry'!X10)</f>
        <v>1</v>
      </c>
      <c r="Y33" t="b">
        <f>EXACT(Y10,'ARDT Cutter Entry'!Y10)</f>
        <v>1</v>
      </c>
      <c r="Z33" t="b">
        <f>EXACT(Z10,'ARDT Cutter Entry'!Z10)</f>
        <v>1</v>
      </c>
      <c r="AA33" t="b">
        <f>EXACT(AA10,'ARDT Cutter Entry'!AA10)</f>
        <v>1</v>
      </c>
      <c r="AB33" t="b">
        <f>EXACT(AB10,'ARDT Cutter Entry'!AB10)</f>
        <v>1</v>
      </c>
      <c r="AC33" t="b">
        <f>EXACT(AC10,'ARDT Cutter Entry'!AC10)</f>
        <v>1</v>
      </c>
      <c r="AD33" t="b">
        <f>EXACT(AD10,'ARDT Cutter Entry'!AD10)</f>
        <v>1</v>
      </c>
      <c r="AE33" t="b">
        <f>EXACT(AE10,'ARDT Cutter Entry'!AE10)</f>
        <v>1</v>
      </c>
      <c r="AF33" t="b">
        <f>EXACT(AF10,'ARDT Cutter Entry'!AF10)</f>
        <v>1</v>
      </c>
      <c r="AG33" t="b">
        <f>EXACT(AG10,'ARDT Cutter Entry'!AG10)</f>
        <v>1</v>
      </c>
      <c r="AH33" t="b">
        <f>EXACT(AH10,'ARDT Cutter Entry'!AH10)</f>
        <v>1</v>
      </c>
      <c r="AI33" s="155" t="b">
        <f>EXACT(AI10,'ARDT Cutter Entry'!AI10)</f>
        <v>1</v>
      </c>
      <c r="AJ33" s="155" t="b">
        <f>EXACT(AJ10,'ARDT Cutter Entry'!AJ10)</f>
        <v>1</v>
      </c>
    </row>
    <row r="34" spans="3:36" x14ac:dyDescent="0.35">
      <c r="C34" s="154" t="b">
        <f>EXACT(C11,'ARDT Cutter Entry'!C11)</f>
        <v>1</v>
      </c>
      <c r="D34" t="b">
        <f>EXACT(D11,'ARDT Cutter Entry'!D11)</f>
        <v>1</v>
      </c>
      <c r="E34" t="b">
        <f>EXACT(E11,'ARDT Cutter Entry'!E11)</f>
        <v>1</v>
      </c>
      <c r="F34" t="b">
        <f>EXACT(F11,'ARDT Cutter Entry'!F11)</f>
        <v>1</v>
      </c>
      <c r="G34" t="b">
        <f>EXACT(G11,'ARDT Cutter Entry'!G11)</f>
        <v>1</v>
      </c>
      <c r="H34" t="b">
        <f>EXACT(H11,'ARDT Cutter Entry'!H11)</f>
        <v>1</v>
      </c>
      <c r="I34" t="b">
        <f>EXACT(I11,'ARDT Cutter Entry'!I11)</f>
        <v>1</v>
      </c>
      <c r="J34" t="b">
        <f>EXACT(J11,'ARDT Cutter Entry'!J11)</f>
        <v>1</v>
      </c>
      <c r="K34" t="b">
        <f>EXACT(K11,'ARDT Cutter Entry'!K11)</f>
        <v>1</v>
      </c>
      <c r="L34" t="b">
        <f>EXACT(L11,'ARDT Cutter Entry'!L11)</f>
        <v>1</v>
      </c>
      <c r="M34" t="b">
        <f>EXACT(M11,'ARDT Cutter Entry'!M11)</f>
        <v>1</v>
      </c>
      <c r="N34" t="b">
        <f>EXACT(N11,'ARDT Cutter Entry'!N11)</f>
        <v>1</v>
      </c>
      <c r="O34" t="b">
        <f>EXACT(O11,'ARDT Cutter Entry'!O11)</f>
        <v>1</v>
      </c>
      <c r="P34" t="b">
        <f>EXACT(P11,'ARDT Cutter Entry'!P11)</f>
        <v>1</v>
      </c>
      <c r="Q34" t="b">
        <f>EXACT(Q11,'ARDT Cutter Entry'!Q11)</f>
        <v>1</v>
      </c>
      <c r="R34" t="b">
        <f>EXACT(R11,'ARDT Cutter Entry'!R11)</f>
        <v>1</v>
      </c>
      <c r="S34" t="b">
        <f>EXACT(S11,'ARDT Cutter Entry'!S11)</f>
        <v>1</v>
      </c>
      <c r="T34" t="b">
        <f>EXACT(T11,'ARDT Cutter Entry'!T11)</f>
        <v>1</v>
      </c>
      <c r="U34" t="b">
        <f>EXACT(U11,'ARDT Cutter Entry'!U11)</f>
        <v>1</v>
      </c>
      <c r="V34" t="b">
        <f>EXACT(V11,'ARDT Cutter Entry'!V11)</f>
        <v>1</v>
      </c>
      <c r="W34" t="b">
        <f>EXACT(W11,'ARDT Cutter Entry'!W11)</f>
        <v>1</v>
      </c>
      <c r="X34" t="b">
        <f>EXACT(X11,'ARDT Cutter Entry'!X11)</f>
        <v>1</v>
      </c>
      <c r="Y34" t="b">
        <f>EXACT(Y11,'ARDT Cutter Entry'!Y11)</f>
        <v>1</v>
      </c>
      <c r="Z34" t="b">
        <f>EXACT(Z11,'ARDT Cutter Entry'!Z11)</f>
        <v>1</v>
      </c>
      <c r="AA34" t="b">
        <f>EXACT(AA11,'ARDT Cutter Entry'!AA11)</f>
        <v>1</v>
      </c>
      <c r="AB34" t="b">
        <f>EXACT(AB11,'ARDT Cutter Entry'!AB11)</f>
        <v>1</v>
      </c>
      <c r="AC34" t="b">
        <f>EXACT(AC11,'ARDT Cutter Entry'!AC11)</f>
        <v>1</v>
      </c>
      <c r="AD34" t="b">
        <f>EXACT(AD11,'ARDT Cutter Entry'!AD11)</f>
        <v>1</v>
      </c>
      <c r="AE34" t="b">
        <f>EXACT(AE11,'ARDT Cutter Entry'!AE11)</f>
        <v>1</v>
      </c>
      <c r="AF34" t="b">
        <f>EXACT(AF11,'ARDT Cutter Entry'!AF11)</f>
        <v>1</v>
      </c>
      <c r="AG34" t="b">
        <f>EXACT(AG11,'ARDT Cutter Entry'!AG11)</f>
        <v>1</v>
      </c>
      <c r="AH34" t="b">
        <f>EXACT(AH11,'ARDT Cutter Entry'!AH11)</f>
        <v>1</v>
      </c>
      <c r="AI34" s="155" t="b">
        <f>EXACT(AI11,'ARDT Cutter Entry'!AI11)</f>
        <v>1</v>
      </c>
      <c r="AJ34" s="155" t="b">
        <f>EXACT(AJ11,'ARDT Cutter Entry'!AJ11)</f>
        <v>1</v>
      </c>
    </row>
    <row r="35" spans="3:36" x14ac:dyDescent="0.35">
      <c r="C35" s="154" t="b">
        <f>EXACT(C12,'ARDT Cutter Entry'!C12)</f>
        <v>1</v>
      </c>
      <c r="D35" t="b">
        <f>EXACT(D12,'ARDT Cutter Entry'!D12)</f>
        <v>1</v>
      </c>
      <c r="E35" t="b">
        <f>EXACT(E12,'ARDT Cutter Entry'!E12)</f>
        <v>1</v>
      </c>
      <c r="F35" t="b">
        <f>EXACT(F12,'ARDT Cutter Entry'!F12)</f>
        <v>1</v>
      </c>
      <c r="G35" t="b">
        <f>EXACT(G12,'ARDT Cutter Entry'!G12)</f>
        <v>1</v>
      </c>
      <c r="H35" t="b">
        <f>EXACT(H12,'ARDT Cutter Entry'!H12)</f>
        <v>1</v>
      </c>
      <c r="I35" t="b">
        <f>EXACT(I12,'ARDT Cutter Entry'!I12)</f>
        <v>1</v>
      </c>
      <c r="J35" t="b">
        <f>EXACT(J12,'ARDT Cutter Entry'!J12)</f>
        <v>1</v>
      </c>
      <c r="K35" t="b">
        <f>EXACT(K12,'ARDT Cutter Entry'!K12)</f>
        <v>1</v>
      </c>
      <c r="L35" t="b">
        <f>EXACT(L12,'ARDT Cutter Entry'!L12)</f>
        <v>1</v>
      </c>
      <c r="M35" t="b">
        <f>EXACT(M12,'ARDT Cutter Entry'!M12)</f>
        <v>1</v>
      </c>
      <c r="N35" t="b">
        <f>EXACT(N12,'ARDT Cutter Entry'!N12)</f>
        <v>1</v>
      </c>
      <c r="O35" t="b">
        <f>EXACT(O12,'ARDT Cutter Entry'!O12)</f>
        <v>1</v>
      </c>
      <c r="P35" t="b">
        <f>EXACT(P12,'ARDT Cutter Entry'!P12)</f>
        <v>1</v>
      </c>
      <c r="Q35" t="b">
        <f>EXACT(Q12,'ARDT Cutter Entry'!Q12)</f>
        <v>1</v>
      </c>
      <c r="R35" t="b">
        <f>EXACT(R12,'ARDT Cutter Entry'!R12)</f>
        <v>1</v>
      </c>
      <c r="S35" t="b">
        <f>EXACT(S12,'ARDT Cutter Entry'!S12)</f>
        <v>1</v>
      </c>
      <c r="T35" t="b">
        <f>EXACT(T12,'ARDT Cutter Entry'!T12)</f>
        <v>1</v>
      </c>
      <c r="U35" t="b">
        <f>EXACT(U12,'ARDT Cutter Entry'!U12)</f>
        <v>1</v>
      </c>
      <c r="V35" t="b">
        <f>EXACT(V12,'ARDT Cutter Entry'!V12)</f>
        <v>1</v>
      </c>
      <c r="W35" t="b">
        <f>EXACT(W12,'ARDT Cutter Entry'!W12)</f>
        <v>1</v>
      </c>
      <c r="X35" t="b">
        <f>EXACT(X12,'ARDT Cutter Entry'!X12)</f>
        <v>1</v>
      </c>
      <c r="Y35" t="b">
        <f>EXACT(Y12,'ARDT Cutter Entry'!Y12)</f>
        <v>1</v>
      </c>
      <c r="Z35" t="b">
        <f>EXACT(Z12,'ARDT Cutter Entry'!Z12)</f>
        <v>1</v>
      </c>
      <c r="AA35" t="b">
        <f>EXACT(AA12,'ARDT Cutter Entry'!AA12)</f>
        <v>1</v>
      </c>
      <c r="AB35" t="b">
        <f>EXACT(AB12,'ARDT Cutter Entry'!AB12)</f>
        <v>1</v>
      </c>
      <c r="AC35" t="b">
        <f>EXACT(AC12,'ARDT Cutter Entry'!AC12)</f>
        <v>1</v>
      </c>
      <c r="AD35" t="b">
        <f>EXACT(AD12,'ARDT Cutter Entry'!AD12)</f>
        <v>1</v>
      </c>
      <c r="AE35" t="b">
        <f>EXACT(AE12,'ARDT Cutter Entry'!AE12)</f>
        <v>1</v>
      </c>
      <c r="AF35" t="b">
        <f>EXACT(AF12,'ARDT Cutter Entry'!AF12)</f>
        <v>1</v>
      </c>
      <c r="AG35" t="b">
        <f>EXACT(AG12,'ARDT Cutter Entry'!AG12)</f>
        <v>1</v>
      </c>
      <c r="AH35" t="b">
        <f>EXACT(AH12,'ARDT Cutter Entry'!AH12)</f>
        <v>1</v>
      </c>
      <c r="AI35" s="155" t="b">
        <f>EXACT(AI12,'ARDT Cutter Entry'!AI12)</f>
        <v>1</v>
      </c>
      <c r="AJ35" s="155" t="b">
        <f>EXACT(AJ12,'ARDT Cutter Entry'!AJ12)</f>
        <v>1</v>
      </c>
    </row>
    <row r="36" spans="3:36" x14ac:dyDescent="0.35">
      <c r="C36" s="154" t="b">
        <f>EXACT(C13,'ARDT Cutter Entry'!C13)</f>
        <v>1</v>
      </c>
      <c r="D36" t="b">
        <f>EXACT(D13,'ARDT Cutter Entry'!D13)</f>
        <v>1</v>
      </c>
      <c r="E36" t="b">
        <f>EXACT(E13,'ARDT Cutter Entry'!E13)</f>
        <v>1</v>
      </c>
      <c r="F36" t="b">
        <f>EXACT(F13,'ARDT Cutter Entry'!F13)</f>
        <v>1</v>
      </c>
      <c r="G36" t="b">
        <f>EXACT(G13,'ARDT Cutter Entry'!G13)</f>
        <v>1</v>
      </c>
      <c r="H36" t="b">
        <f>EXACT(H13,'ARDT Cutter Entry'!H13)</f>
        <v>1</v>
      </c>
      <c r="I36" t="b">
        <f>EXACT(I13,'ARDT Cutter Entry'!I13)</f>
        <v>1</v>
      </c>
      <c r="J36" t="b">
        <f>EXACT(J13,'ARDT Cutter Entry'!J13)</f>
        <v>1</v>
      </c>
      <c r="K36" t="b">
        <f>EXACT(K13,'ARDT Cutter Entry'!K13)</f>
        <v>1</v>
      </c>
      <c r="L36" t="b">
        <f>EXACT(L13,'ARDT Cutter Entry'!L13)</f>
        <v>1</v>
      </c>
      <c r="M36" t="b">
        <f>EXACT(M13,'ARDT Cutter Entry'!M13)</f>
        <v>1</v>
      </c>
      <c r="N36" t="b">
        <f>EXACT(N13,'ARDT Cutter Entry'!N13)</f>
        <v>1</v>
      </c>
      <c r="O36" t="b">
        <f>EXACT(O13,'ARDT Cutter Entry'!O13)</f>
        <v>1</v>
      </c>
      <c r="P36" t="b">
        <f>EXACT(P13,'ARDT Cutter Entry'!P13)</f>
        <v>1</v>
      </c>
      <c r="Q36" t="b">
        <f>EXACT(Q13,'ARDT Cutter Entry'!Q13)</f>
        <v>1</v>
      </c>
      <c r="R36" t="b">
        <f>EXACT(R13,'ARDT Cutter Entry'!R13)</f>
        <v>1</v>
      </c>
      <c r="S36" t="b">
        <f>EXACT(S13,'ARDT Cutter Entry'!S13)</f>
        <v>1</v>
      </c>
      <c r="T36" t="b">
        <f>EXACT(T13,'ARDT Cutter Entry'!T13)</f>
        <v>1</v>
      </c>
      <c r="U36" t="b">
        <f>EXACT(U13,'ARDT Cutter Entry'!U13)</f>
        <v>1</v>
      </c>
      <c r="V36" t="b">
        <f>EXACT(V13,'ARDT Cutter Entry'!V13)</f>
        <v>1</v>
      </c>
      <c r="W36" t="b">
        <f>EXACT(W13,'ARDT Cutter Entry'!W13)</f>
        <v>1</v>
      </c>
      <c r="X36" t="b">
        <f>EXACT(X13,'ARDT Cutter Entry'!X13)</f>
        <v>1</v>
      </c>
      <c r="Y36" t="b">
        <f>EXACT(Y13,'ARDT Cutter Entry'!Y13)</f>
        <v>1</v>
      </c>
      <c r="Z36" t="b">
        <f>EXACT(Z13,'ARDT Cutter Entry'!Z13)</f>
        <v>1</v>
      </c>
      <c r="AA36" t="b">
        <f>EXACT(AA13,'ARDT Cutter Entry'!AA13)</f>
        <v>1</v>
      </c>
      <c r="AB36" t="b">
        <f>EXACT(AB13,'ARDT Cutter Entry'!AB13)</f>
        <v>1</v>
      </c>
      <c r="AC36" t="b">
        <f>EXACT(AC13,'ARDT Cutter Entry'!AC13)</f>
        <v>1</v>
      </c>
      <c r="AD36" t="b">
        <f>EXACT(AD13,'ARDT Cutter Entry'!AD13)</f>
        <v>1</v>
      </c>
      <c r="AE36" t="b">
        <f>EXACT(AE13,'ARDT Cutter Entry'!AE13)</f>
        <v>1</v>
      </c>
      <c r="AF36" t="b">
        <f>EXACT(AF13,'ARDT Cutter Entry'!AF13)</f>
        <v>1</v>
      </c>
      <c r="AG36" t="b">
        <f>EXACT(AG13,'ARDT Cutter Entry'!AG13)</f>
        <v>1</v>
      </c>
      <c r="AH36" t="b">
        <f>EXACT(AH13,'ARDT Cutter Entry'!AH13)</f>
        <v>1</v>
      </c>
      <c r="AI36" s="155" t="b">
        <f>EXACT(AI13,'ARDT Cutter Entry'!AI13)</f>
        <v>1</v>
      </c>
      <c r="AJ36" s="155" t="b">
        <f>EXACT(AJ13,'ARDT Cutter Entry'!AJ13)</f>
        <v>1</v>
      </c>
    </row>
    <row r="37" spans="3:36" x14ac:dyDescent="0.35">
      <c r="C37" s="154" t="b">
        <f>EXACT(C14,'ARDT Cutter Entry'!C14)</f>
        <v>1</v>
      </c>
      <c r="D37" t="b">
        <f>EXACT(D14,'ARDT Cutter Entry'!D14)</f>
        <v>1</v>
      </c>
      <c r="E37" t="b">
        <f>EXACT(E14,'ARDT Cutter Entry'!E14)</f>
        <v>1</v>
      </c>
      <c r="F37" t="b">
        <f>EXACT(F14,'ARDT Cutter Entry'!F14)</f>
        <v>1</v>
      </c>
      <c r="G37" t="b">
        <f>EXACT(G14,'ARDT Cutter Entry'!G14)</f>
        <v>1</v>
      </c>
      <c r="H37" t="b">
        <f>EXACT(H14,'ARDT Cutter Entry'!H14)</f>
        <v>1</v>
      </c>
      <c r="I37" t="b">
        <f>EXACT(I14,'ARDT Cutter Entry'!I14)</f>
        <v>1</v>
      </c>
      <c r="J37" t="b">
        <f>EXACT(J14,'ARDT Cutter Entry'!J14)</f>
        <v>1</v>
      </c>
      <c r="K37" t="b">
        <f>EXACT(K14,'ARDT Cutter Entry'!K14)</f>
        <v>1</v>
      </c>
      <c r="L37" t="b">
        <f>EXACT(L14,'ARDT Cutter Entry'!L14)</f>
        <v>1</v>
      </c>
      <c r="M37" t="b">
        <f>EXACT(M14,'ARDT Cutter Entry'!M14)</f>
        <v>1</v>
      </c>
      <c r="N37" t="b">
        <f>EXACT(N14,'ARDT Cutter Entry'!N14)</f>
        <v>1</v>
      </c>
      <c r="O37" t="b">
        <f>EXACT(O14,'ARDT Cutter Entry'!O14)</f>
        <v>1</v>
      </c>
      <c r="P37" t="b">
        <f>EXACT(P14,'ARDT Cutter Entry'!P14)</f>
        <v>1</v>
      </c>
      <c r="Q37" t="b">
        <f>EXACT(Q14,'ARDT Cutter Entry'!Q14)</f>
        <v>1</v>
      </c>
      <c r="R37" t="b">
        <f>EXACT(R14,'ARDT Cutter Entry'!R14)</f>
        <v>1</v>
      </c>
      <c r="S37" t="b">
        <f>EXACT(S14,'ARDT Cutter Entry'!S14)</f>
        <v>1</v>
      </c>
      <c r="T37" t="b">
        <f>EXACT(T14,'ARDT Cutter Entry'!T14)</f>
        <v>1</v>
      </c>
      <c r="U37" t="b">
        <f>EXACT(U14,'ARDT Cutter Entry'!U14)</f>
        <v>1</v>
      </c>
      <c r="V37" t="b">
        <f>EXACT(V14,'ARDT Cutter Entry'!V14)</f>
        <v>1</v>
      </c>
      <c r="W37" t="b">
        <f>EXACT(W14,'ARDT Cutter Entry'!W14)</f>
        <v>1</v>
      </c>
      <c r="X37" t="b">
        <f>EXACT(X14,'ARDT Cutter Entry'!X14)</f>
        <v>1</v>
      </c>
      <c r="Y37" t="b">
        <f>EXACT(Y14,'ARDT Cutter Entry'!Y14)</f>
        <v>1</v>
      </c>
      <c r="Z37" t="b">
        <f>EXACT(Z14,'ARDT Cutter Entry'!Z14)</f>
        <v>1</v>
      </c>
      <c r="AA37" t="b">
        <f>EXACT(AA14,'ARDT Cutter Entry'!AA14)</f>
        <v>1</v>
      </c>
      <c r="AB37" t="b">
        <f>EXACT(AB14,'ARDT Cutter Entry'!AB14)</f>
        <v>1</v>
      </c>
      <c r="AC37" t="b">
        <f>EXACT(AC14,'ARDT Cutter Entry'!AC14)</f>
        <v>1</v>
      </c>
      <c r="AD37" t="b">
        <f>EXACT(AD14,'ARDT Cutter Entry'!AD14)</f>
        <v>1</v>
      </c>
      <c r="AE37" t="b">
        <f>EXACT(AE14,'ARDT Cutter Entry'!AE14)</f>
        <v>1</v>
      </c>
      <c r="AF37" t="b">
        <f>EXACT(AF14,'ARDT Cutter Entry'!AF14)</f>
        <v>1</v>
      </c>
      <c r="AG37" t="b">
        <f>EXACT(AG14,'ARDT Cutter Entry'!AG14)</f>
        <v>1</v>
      </c>
      <c r="AH37" t="b">
        <f>EXACT(AH14,'ARDT Cutter Entry'!AH14)</f>
        <v>1</v>
      </c>
      <c r="AI37" s="155" t="b">
        <f>EXACT(AI14,'ARDT Cutter Entry'!AI14)</f>
        <v>1</v>
      </c>
      <c r="AJ37" s="155" t="b">
        <f>EXACT(AJ14,'ARDT Cutter Entry'!AJ14)</f>
        <v>1</v>
      </c>
    </row>
    <row r="38" spans="3:36" x14ac:dyDescent="0.35">
      <c r="C38" s="156" t="b">
        <f>EXACT(C15,'ARDT Cutter Entry'!C15)</f>
        <v>1</v>
      </c>
      <c r="D38" s="157" t="b">
        <f>EXACT(D15,'ARDT Cutter Entry'!D15)</f>
        <v>1</v>
      </c>
      <c r="E38" s="157" t="b">
        <f>EXACT(E15,'ARDT Cutter Entry'!E15)</f>
        <v>1</v>
      </c>
      <c r="F38" s="157" t="b">
        <f>EXACT(F15,'ARDT Cutter Entry'!F15)</f>
        <v>1</v>
      </c>
      <c r="G38" s="157" t="b">
        <f>EXACT(G15,'ARDT Cutter Entry'!G15)</f>
        <v>1</v>
      </c>
      <c r="H38" s="157" t="b">
        <f>EXACT(H15,'ARDT Cutter Entry'!H15)</f>
        <v>1</v>
      </c>
      <c r="I38" s="157" t="b">
        <f>EXACT(I15,'ARDT Cutter Entry'!I15)</f>
        <v>1</v>
      </c>
      <c r="J38" s="157" t="b">
        <f>EXACT(J15,'ARDT Cutter Entry'!J15)</f>
        <v>1</v>
      </c>
      <c r="K38" s="157" t="b">
        <f>EXACT(K15,'ARDT Cutter Entry'!K15)</f>
        <v>1</v>
      </c>
      <c r="L38" s="157" t="b">
        <f>EXACT(L15,'ARDT Cutter Entry'!L15)</f>
        <v>1</v>
      </c>
      <c r="M38" s="157" t="b">
        <f>EXACT(M15,'ARDT Cutter Entry'!M15)</f>
        <v>1</v>
      </c>
      <c r="N38" s="157" t="b">
        <f>EXACT(N15,'ARDT Cutter Entry'!N15)</f>
        <v>1</v>
      </c>
      <c r="O38" s="157" t="b">
        <f>EXACT(O15,'ARDT Cutter Entry'!O15)</f>
        <v>1</v>
      </c>
      <c r="P38" s="157" t="b">
        <f>EXACT(P15,'ARDT Cutter Entry'!P15)</f>
        <v>1</v>
      </c>
      <c r="Q38" s="157" t="b">
        <f>EXACT(Q15,'ARDT Cutter Entry'!Q15)</f>
        <v>1</v>
      </c>
      <c r="R38" s="157" t="b">
        <f>EXACT(R15,'ARDT Cutter Entry'!R15)</f>
        <v>1</v>
      </c>
      <c r="S38" s="157" t="b">
        <f>EXACT(S15,'ARDT Cutter Entry'!S15)</f>
        <v>1</v>
      </c>
      <c r="T38" s="157" t="b">
        <f>EXACT(T15,'ARDT Cutter Entry'!T15)</f>
        <v>1</v>
      </c>
      <c r="U38" s="157" t="b">
        <f>EXACT(U15,'ARDT Cutter Entry'!U15)</f>
        <v>1</v>
      </c>
      <c r="V38" s="157" t="b">
        <f>EXACT(V15,'ARDT Cutter Entry'!V15)</f>
        <v>1</v>
      </c>
      <c r="W38" s="157" t="b">
        <f>EXACT(W15,'ARDT Cutter Entry'!W15)</f>
        <v>1</v>
      </c>
      <c r="X38" s="157" t="b">
        <f>EXACT(X15,'ARDT Cutter Entry'!X15)</f>
        <v>1</v>
      </c>
      <c r="Y38" s="157" t="b">
        <f>EXACT(Y15,'ARDT Cutter Entry'!Y15)</f>
        <v>1</v>
      </c>
      <c r="Z38" s="157" t="b">
        <f>EXACT(Z15,'ARDT Cutter Entry'!Z15)</f>
        <v>1</v>
      </c>
      <c r="AA38" s="157" t="b">
        <f>EXACT(AA15,'ARDT Cutter Entry'!AA15)</f>
        <v>1</v>
      </c>
      <c r="AB38" s="157" t="b">
        <f>EXACT(AB15,'ARDT Cutter Entry'!AB15)</f>
        <v>1</v>
      </c>
      <c r="AC38" s="157" t="b">
        <f>EXACT(AC15,'ARDT Cutter Entry'!AC15)</f>
        <v>1</v>
      </c>
      <c r="AD38" s="157" t="b">
        <f>EXACT(AD15,'ARDT Cutter Entry'!AD15)</f>
        <v>1</v>
      </c>
      <c r="AE38" s="157" t="b">
        <f>EXACT(AE15,'ARDT Cutter Entry'!AE15)</f>
        <v>1</v>
      </c>
      <c r="AF38" s="157" t="b">
        <f>EXACT(AF15,'ARDT Cutter Entry'!AF15)</f>
        <v>1</v>
      </c>
      <c r="AG38" s="157" t="b">
        <f>EXACT(AG15,'ARDT Cutter Entry'!AG15)</f>
        <v>1</v>
      </c>
      <c r="AH38" s="157" t="b">
        <f>EXACT(AH15,'ARDT Cutter Entry'!AH15)</f>
        <v>1</v>
      </c>
      <c r="AI38" s="158" t="b">
        <f>EXACT(AI15,'ARDT Cutter Entry'!AI15)</f>
        <v>1</v>
      </c>
      <c r="AJ38" s="158" t="b">
        <f>EXACT(AJ15,'ARDT Cutter Entry'!AJ15)</f>
        <v>1</v>
      </c>
    </row>
    <row r="39" spans="3:36" x14ac:dyDescent="0.35">
      <c r="C39" s="36">
        <f>IF(C4&lt;&gt;"",COUNTIF(C27:AJ38,"FALSE"),0)</f>
        <v>0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A1:AJ1"/>
    <mergeCell ref="A17:C17"/>
    <mergeCell ref="D17:AI17"/>
    <mergeCell ref="A16:AI16"/>
    <mergeCell ref="A2:B3"/>
    <mergeCell ref="C2:V2"/>
    <mergeCell ref="A4:A15"/>
  </mergeCells>
  <conditionalFormatting sqref="C3:AJ3">
    <cfRule type="expression" dxfId="523" priority="9287">
      <formula>COUNTIF(C3,"0a")</formula>
    </cfRule>
  </conditionalFormatting>
  <conditionalFormatting sqref="C4:AJ15">
    <cfRule type="expression" dxfId="519" priority="4">
      <formula>COUNTIF(C4,"*10*")</formula>
    </cfRule>
    <cfRule type="expression" dxfId="518" priority="5">
      <formula>COUNTIF(C4,"*9*")</formula>
    </cfRule>
    <cfRule type="expression" dxfId="517" priority="6">
      <formula>COUNTIF(C4,"*8*")</formula>
    </cfRule>
    <cfRule type="expression" dxfId="516" priority="7">
      <formula>AND(COUNTIF(C4,"*V*"),AND(NOT(COUNTIF(B4,"*V*")),NOT(COUNTIF(D4,"*V*"))))</formula>
    </cfRule>
    <cfRule type="expression" dxfId="515" priority="8">
      <formula>COUNTIF(C4,"*7*")</formula>
    </cfRule>
    <cfRule type="expression" dxfId="514" priority="9">
      <formula>COUNTIF(C4,"*6*")</formula>
    </cfRule>
    <cfRule type="expression" dxfId="513" priority="10">
      <formula>COUNTIF(C4,"*5*")</formula>
    </cfRule>
    <cfRule type="expression" dxfId="512" priority="11">
      <formula>COUNTIF(C4,"*4*")</formula>
    </cfRule>
    <cfRule type="expression" dxfId="511" priority="12">
      <formula>COUNTIF(C4,"*3*")</formula>
    </cfRule>
    <cfRule type="expression" dxfId="510" priority="13">
      <formula>COUNTIF(C4,"*2*")</formula>
    </cfRule>
    <cfRule type="expression" dxfId="509" priority="14">
      <formula>COUNTIF(C4,"*1*")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939" id="{4BAB9B76-85C2-497A-A721-51783AA3855B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1" id="{135954CE-C4F2-401C-B385-5D702414C69B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2" id="{DE0B1D5F-B615-4C19-8135-C8A95560CE69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" id="{725B6F70-E072-460B-90A9-1B9D5DEF3A5B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5" id="{7D5D5664-B318-4577-BE1A-9688A91A5436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6" id="{43074D0D-F8AD-4B98-B216-A7AEF9D778EA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7" id="{E46C52D9-71C4-402E-88E3-19B82D272EF7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8" id="{137E9D25-BD64-48BE-B59C-3C528BF9A0F7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19" id="{591B42B5-34E6-4102-A3B2-00A16121C475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20" id="{8A2B18B0-FE7F-47FC-A54D-012AC6FFA409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1" id="{73D95C2A-091F-4CFA-B8B4-D81547BD0624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C4:AJ15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tabColor rgb="FF00B0F0"/>
  </sheetPr>
  <dimension ref="A1:BE70"/>
  <sheetViews>
    <sheetView view="pageBreakPreview" zoomScaleNormal="100" zoomScaleSheetLayoutView="100" workbookViewId="0">
      <selection activeCell="AQ44" sqref="AQ44"/>
    </sheetView>
  </sheetViews>
  <sheetFormatPr defaultColWidth="9.1796875" defaultRowHeight="14.5" x14ac:dyDescent="0.35"/>
  <cols>
    <col min="1" max="2" width="4.1796875" style="656" customWidth="1"/>
    <col min="3" max="36" width="2.54296875" style="656" customWidth="1"/>
    <col min="37" max="37" width="6.26953125" style="656" bestFit="1" customWidth="1"/>
    <col min="38" max="38" width="3" style="656" customWidth="1"/>
    <col min="39" max="39" width="3" style="656" hidden="1" customWidth="1"/>
    <col min="40" max="40" width="5.1796875" style="656" bestFit="1" customWidth="1"/>
    <col min="41" max="41" width="3" style="656" customWidth="1"/>
    <col min="42" max="48" width="8" style="656" customWidth="1"/>
    <col min="49" max="51" width="3" style="656" customWidth="1"/>
    <col min="52" max="59" width="3.1796875" style="656" customWidth="1"/>
    <col min="60" max="158" width="9.1796875" style="656"/>
    <col min="159" max="159" width="9.1796875" style="656" customWidth="1"/>
    <col min="160" max="16384" width="9.1796875" style="656"/>
  </cols>
  <sheetData>
    <row r="1" spans="1:37" ht="18" customHeight="1" thickBot="1" x14ac:dyDescent="0.4">
      <c r="A1" s="1281"/>
      <c r="B1" s="1282"/>
      <c r="C1" s="1283"/>
      <c r="D1" s="1272" t="s">
        <v>22</v>
      </c>
      <c r="E1" s="1273"/>
      <c r="F1" s="1273"/>
      <c r="G1" s="1273"/>
      <c r="H1" s="1273"/>
      <c r="I1" s="1273"/>
      <c r="J1" s="1273"/>
      <c r="K1" s="1273"/>
      <c r="L1" s="1273"/>
      <c r="M1" s="1273"/>
      <c r="N1" s="1273"/>
      <c r="O1" s="1273"/>
      <c r="P1" s="1273"/>
      <c r="Q1" s="1273"/>
      <c r="R1" s="1273"/>
      <c r="S1" s="1273"/>
      <c r="T1" s="1273"/>
      <c r="U1" s="1273"/>
      <c r="V1" s="1273"/>
      <c r="W1" s="1273"/>
      <c r="X1" s="1273"/>
      <c r="Y1" s="1273"/>
      <c r="Z1" s="1273"/>
      <c r="AA1" s="1273"/>
      <c r="AB1" s="1273"/>
      <c r="AC1" s="1273"/>
      <c r="AD1" s="1273"/>
      <c r="AE1" s="1273"/>
      <c r="AF1" s="1273"/>
      <c r="AG1" s="1273"/>
      <c r="AH1" s="1273"/>
      <c r="AI1" s="1273"/>
      <c r="AJ1" s="1274"/>
    </row>
    <row r="2" spans="1:37" ht="10.5" customHeight="1" thickBot="1" x14ac:dyDescent="0.4">
      <c r="A2" s="1284"/>
      <c r="B2" s="1285"/>
      <c r="C2" s="1286"/>
      <c r="D2" s="1384" t="s">
        <v>24</v>
      </c>
      <c r="E2" s="1385"/>
      <c r="F2" s="1385"/>
      <c r="G2" s="1385"/>
      <c r="H2" s="1385"/>
      <c r="I2" s="1385"/>
      <c r="J2" s="1385"/>
      <c r="K2" s="1385"/>
      <c r="L2" s="1385"/>
      <c r="M2" s="1386"/>
      <c r="N2" s="1387" t="s">
        <v>1912</v>
      </c>
      <c r="O2" s="1388"/>
      <c r="P2" s="1388"/>
      <c r="Q2" s="1388"/>
      <c r="R2" s="1388"/>
      <c r="S2" s="1388"/>
      <c r="T2" s="1388"/>
      <c r="U2" s="1388"/>
      <c r="V2" s="1388"/>
      <c r="W2" s="1388"/>
      <c r="X2" s="1388"/>
      <c r="Y2" s="1389"/>
      <c r="Z2" s="1384" t="s">
        <v>1911</v>
      </c>
      <c r="AA2" s="1385"/>
      <c r="AB2" s="1385"/>
      <c r="AC2" s="1385"/>
      <c r="AD2" s="1385"/>
      <c r="AE2" s="1385"/>
      <c r="AF2" s="1385"/>
      <c r="AG2" s="1385"/>
      <c r="AH2" s="1385"/>
      <c r="AI2" s="1385"/>
      <c r="AJ2" s="1386"/>
    </row>
    <row r="3" spans="1:37" ht="12.75" customHeight="1" thickBot="1" x14ac:dyDescent="0.4">
      <c r="A3" s="1284"/>
      <c r="B3" s="1285"/>
      <c r="C3" s="1286"/>
      <c r="D3" s="1275" t="s">
        <v>1067</v>
      </c>
      <c r="E3" s="1276"/>
      <c r="F3" s="1276"/>
      <c r="G3" s="1276"/>
      <c r="H3" s="1276"/>
      <c r="I3" s="1276"/>
      <c r="J3" s="1276"/>
      <c r="K3" s="1276"/>
      <c r="L3" s="1276"/>
      <c r="M3" s="1276"/>
      <c r="N3" s="1276"/>
      <c r="O3" s="1276"/>
      <c r="P3" s="1276"/>
      <c r="Q3" s="1276"/>
      <c r="R3" s="1276"/>
      <c r="S3" s="1276"/>
      <c r="T3" s="1276"/>
      <c r="U3" s="1276"/>
      <c r="V3" s="1276"/>
      <c r="W3" s="1276"/>
      <c r="X3" s="1276"/>
      <c r="Y3" s="1276"/>
      <c r="Z3" s="1276"/>
      <c r="AA3" s="1276"/>
      <c r="AB3" s="1276"/>
      <c r="AC3" s="1276"/>
      <c r="AD3" s="1276"/>
      <c r="AE3" s="1276"/>
      <c r="AF3" s="1276"/>
      <c r="AG3" s="1276"/>
      <c r="AH3" s="1276"/>
      <c r="AI3" s="1276"/>
      <c r="AJ3" s="1277"/>
    </row>
    <row r="4" spans="1:37" ht="12.75" customHeight="1" thickBot="1" x14ac:dyDescent="0.4">
      <c r="A4" s="1287"/>
      <c r="B4" s="1288"/>
      <c r="C4" s="1289"/>
      <c r="D4" s="1278" t="s">
        <v>1499</v>
      </c>
      <c r="E4" s="1279"/>
      <c r="F4" s="1279"/>
      <c r="G4" s="1279"/>
      <c r="H4" s="1279"/>
      <c r="I4" s="1279"/>
      <c r="J4" s="1279"/>
      <c r="K4" s="1279"/>
      <c r="L4" s="1279"/>
      <c r="M4" s="1279"/>
      <c r="N4" s="1279"/>
      <c r="O4" s="1279"/>
      <c r="P4" s="1279"/>
      <c r="Q4" s="1279"/>
      <c r="R4" s="1279"/>
      <c r="S4" s="1279"/>
      <c r="T4" s="1279"/>
      <c r="U4" s="1279"/>
      <c r="V4" s="1279"/>
      <c r="W4" s="1279"/>
      <c r="X4" s="1279"/>
      <c r="Y4" s="1279"/>
      <c r="Z4" s="1280"/>
      <c r="AA4" s="1297" t="s">
        <v>26</v>
      </c>
      <c r="AB4" s="1298"/>
      <c r="AC4" s="1298"/>
      <c r="AD4" s="1298"/>
      <c r="AE4" s="1298"/>
      <c r="AF4" s="1298"/>
      <c r="AG4" s="1298"/>
      <c r="AH4" s="1298"/>
      <c r="AI4" s="1298"/>
      <c r="AJ4" s="1299"/>
    </row>
    <row r="5" spans="1:37" ht="6.75" customHeight="1" thickBot="1" x14ac:dyDescent="0.4">
      <c r="A5" s="657"/>
      <c r="B5" s="657"/>
      <c r="C5" s="657"/>
      <c r="D5" s="657"/>
      <c r="E5" s="657"/>
      <c r="F5" s="657"/>
      <c r="G5" s="657"/>
      <c r="H5" s="657"/>
      <c r="I5" s="657"/>
      <c r="J5" s="657"/>
      <c r="K5" s="657"/>
      <c r="L5" s="657"/>
      <c r="M5" s="657"/>
      <c r="N5" s="657"/>
      <c r="O5" s="657"/>
      <c r="P5" s="658"/>
      <c r="Q5" s="657"/>
      <c r="R5" s="657"/>
      <c r="S5" s="657"/>
      <c r="T5" s="657"/>
      <c r="U5" s="657"/>
      <c r="V5" s="657"/>
      <c r="W5" s="657"/>
      <c r="X5" s="657"/>
      <c r="Y5" s="657"/>
      <c r="Z5" s="657"/>
      <c r="AA5" s="657"/>
      <c r="AB5" s="657"/>
      <c r="AC5" s="657"/>
      <c r="AD5" s="657"/>
      <c r="AE5" s="657"/>
      <c r="AF5" s="657"/>
      <c r="AG5" s="657"/>
      <c r="AH5" s="657"/>
      <c r="AI5" s="657"/>
    </row>
    <row r="6" spans="1:37" ht="13.5" customHeight="1" thickBot="1" x14ac:dyDescent="0.4">
      <c r="A6" s="1290" t="s">
        <v>27</v>
      </c>
      <c r="B6" s="1290"/>
      <c r="C6" s="1290"/>
      <c r="D6" s="1290"/>
      <c r="E6" s="1291"/>
      <c r="F6" s="1278" t="str">
        <f>IF(Data!B1&lt;&gt;"", Data!B1, " ")</f>
        <v>2025-AR-105</v>
      </c>
      <c r="G6" s="1279"/>
      <c r="H6" s="1279"/>
      <c r="I6" s="1279"/>
      <c r="J6" s="1279"/>
      <c r="K6" s="1279"/>
      <c r="L6" s="1280"/>
      <c r="M6" s="730"/>
      <c r="N6" s="1292" t="s">
        <v>28</v>
      </c>
      <c r="O6" s="1292"/>
      <c r="P6" s="1292"/>
      <c r="Q6" s="1278">
        <f>IF(Data!B2&lt;&gt;"", Data!B2, " ")</f>
        <v>13753277</v>
      </c>
      <c r="R6" s="1279"/>
      <c r="S6" s="1279"/>
      <c r="T6" s="1279"/>
      <c r="U6" s="1279"/>
      <c r="V6" s="1279"/>
      <c r="W6" s="1280"/>
      <c r="X6" s="730"/>
      <c r="Y6" s="1295" t="s">
        <v>1500</v>
      </c>
      <c r="Z6" s="1295"/>
      <c r="AA6" s="1295"/>
      <c r="AB6" s="1295"/>
      <c r="AC6" s="1296"/>
      <c r="AD6" s="1278" t="str">
        <f>IF(LEN(Q6)&gt;3,IF(COUNTIF(Q6,"*R1"),SUBSTITUTE(Q6,"R1","R2"),IF(AND(NOT(COUNTIF(Q6,"*R")),NOT(COUNTIF(Q6,"*R2"))),Q6&amp;"R",IF(COUNTIF(Q6,"*R"),Q6&amp;"2",IF(COUNTIF(Q6,"*R2"),SUBSTITUTE(Q6,"R2","R3"))))),"")</f>
        <v>13753277R</v>
      </c>
      <c r="AE6" s="1279"/>
      <c r="AF6" s="1279"/>
      <c r="AG6" s="1279"/>
      <c r="AH6" s="1279"/>
      <c r="AI6" s="1279"/>
      <c r="AJ6" s="1280"/>
    </row>
    <row r="7" spans="1:37" ht="6.75" customHeight="1" thickBot="1" x14ac:dyDescent="0.4">
      <c r="A7" s="730"/>
      <c r="B7" s="730"/>
      <c r="C7" s="730"/>
      <c r="D7" s="730"/>
      <c r="E7" s="730"/>
      <c r="F7" s="730"/>
      <c r="G7" s="730"/>
      <c r="H7" s="730"/>
      <c r="I7" s="730"/>
      <c r="J7" s="730"/>
      <c r="K7" s="730"/>
      <c r="L7" s="730"/>
      <c r="M7" s="730"/>
      <c r="N7" s="730"/>
      <c r="O7" s="730"/>
      <c r="P7" s="730"/>
      <c r="Q7" s="730"/>
      <c r="R7" s="730"/>
      <c r="S7" s="730"/>
      <c r="T7" s="730"/>
      <c r="U7" s="730"/>
      <c r="V7" s="730"/>
      <c r="W7" s="730"/>
      <c r="X7" s="730"/>
      <c r="Y7" s="730"/>
      <c r="Z7" s="730"/>
      <c r="AA7" s="730"/>
      <c r="AB7" s="730"/>
      <c r="AC7" s="730"/>
      <c r="AD7" s="730"/>
      <c r="AE7" s="730"/>
      <c r="AF7" s="730"/>
      <c r="AG7" s="730"/>
      <c r="AH7" s="730"/>
      <c r="AI7" s="730"/>
    </row>
    <row r="8" spans="1:37" ht="13.5" customHeight="1" thickBot="1" x14ac:dyDescent="0.4">
      <c r="D8" s="1290" t="s">
        <v>29</v>
      </c>
      <c r="E8" s="1291"/>
      <c r="F8" s="1278" t="str">
        <f>IF(LEN(Data!B3)&gt;3,IF(AND(Data!B43&lt;&gt;"",Data!B43&lt;&gt;"0 0/1"""),Data!B43,""),IF(Data!B3&lt;&gt;"",Data!B3&amp;"""",""))</f>
        <v>8 3/8"</v>
      </c>
      <c r="G8" s="1279"/>
      <c r="H8" s="1279"/>
      <c r="I8" s="1279"/>
      <c r="J8" s="1279"/>
      <c r="K8" s="1279"/>
      <c r="L8" s="1280"/>
      <c r="O8" s="1292" t="s">
        <v>32</v>
      </c>
      <c r="P8" s="1293"/>
      <c r="Q8" s="1278" t="str">
        <f>IF(Data!B7&lt;&gt;"",Data!B7, " ")</f>
        <v>SAUDI ARAMCO</v>
      </c>
      <c r="R8" s="1279"/>
      <c r="S8" s="1279"/>
      <c r="T8" s="1279"/>
      <c r="U8" s="1279"/>
      <c r="V8" s="1279"/>
      <c r="W8" s="1280"/>
      <c r="X8" s="659"/>
      <c r="Y8" s="1294" t="s">
        <v>1777</v>
      </c>
      <c r="Z8" s="1292"/>
      <c r="AA8" s="1292"/>
      <c r="AB8" s="1292"/>
      <c r="AC8" s="1292"/>
      <c r="AD8" s="1300">
        <f>IF(Data!B6&lt;&gt;"",Data!B6," ")</f>
        <v>46002</v>
      </c>
      <c r="AE8" s="1301"/>
      <c r="AF8" s="1301"/>
      <c r="AG8" s="1301"/>
      <c r="AH8" s="1301"/>
      <c r="AI8" s="1301"/>
      <c r="AJ8" s="1302"/>
    </row>
    <row r="9" spans="1:37" ht="6.75" customHeight="1" thickBot="1" x14ac:dyDescent="0.4">
      <c r="A9" s="730"/>
      <c r="B9" s="730"/>
      <c r="C9" s="730"/>
      <c r="D9" s="730"/>
      <c r="E9" s="730"/>
      <c r="F9" s="730"/>
      <c r="G9" s="730"/>
      <c r="H9" s="730"/>
      <c r="I9" s="730"/>
      <c r="J9" s="730"/>
      <c r="K9" s="730"/>
      <c r="L9" s="730"/>
      <c r="M9" s="730"/>
      <c r="P9" s="730"/>
      <c r="Q9" s="730"/>
      <c r="R9" s="730"/>
      <c r="S9" s="730"/>
      <c r="T9" s="730"/>
      <c r="U9" s="730"/>
      <c r="V9" s="730"/>
      <c r="W9" s="730"/>
      <c r="X9" s="730"/>
      <c r="Y9" s="1292"/>
      <c r="Z9" s="1292"/>
      <c r="AA9" s="1292"/>
      <c r="AB9" s="1292"/>
      <c r="AC9" s="1292"/>
      <c r="AD9" s="660"/>
      <c r="AE9" s="660"/>
      <c r="AF9" s="660"/>
      <c r="AG9" s="660"/>
      <c r="AH9" s="660"/>
      <c r="AI9" s="660"/>
    </row>
    <row r="10" spans="1:37" ht="13.5" customHeight="1" thickBot="1" x14ac:dyDescent="0.4">
      <c r="B10" s="1292" t="s">
        <v>2008</v>
      </c>
      <c r="C10" s="1292"/>
      <c r="D10" s="1292"/>
      <c r="E10" s="1293"/>
      <c r="F10" s="1278" t="str">
        <f>IF(Data!B4&lt;&gt;"",Data!B4," ")</f>
        <v>MM65DH</v>
      </c>
      <c r="G10" s="1279"/>
      <c r="H10" s="1279"/>
      <c r="I10" s="1279"/>
      <c r="J10" s="1279"/>
      <c r="K10" s="1279"/>
      <c r="L10" s="1280"/>
      <c r="M10" s="1295" t="s">
        <v>1501</v>
      </c>
      <c r="N10" s="1295"/>
      <c r="O10" s="1295"/>
      <c r="P10" s="1295"/>
      <c r="Q10" s="1278" t="str">
        <f>IF(Data!B22&lt;&gt;"",Data!B22, " ")</f>
        <v xml:space="preserve"> </v>
      </c>
      <c r="R10" s="1279"/>
      <c r="S10" s="1279"/>
      <c r="T10" s="1279"/>
      <c r="U10" s="1279"/>
      <c r="V10" s="1279"/>
      <c r="W10" s="1280"/>
      <c r="X10" s="730"/>
      <c r="Y10" s="1295" t="s">
        <v>33</v>
      </c>
      <c r="Z10" s="1295"/>
      <c r="AA10" s="1295"/>
      <c r="AB10" s="1295"/>
      <c r="AC10" s="1295"/>
      <c r="AD10" s="1278">
        <f>IF(Data!B24&lt;&gt;"",Data!B24,IFERROR(VLOOKUP(Data!$B$7,Data!F63:G70,2,FALSE),""))</f>
        <v>6600048646</v>
      </c>
      <c r="AE10" s="1279"/>
      <c r="AF10" s="1279"/>
      <c r="AG10" s="1279"/>
      <c r="AH10" s="1279"/>
      <c r="AI10" s="1279"/>
      <c r="AJ10" s="1280"/>
    </row>
    <row r="11" spans="1:37" ht="6.75" customHeight="1" thickBot="1" x14ac:dyDescent="0.4">
      <c r="A11" s="801"/>
      <c r="B11" s="801"/>
      <c r="C11" s="801"/>
      <c r="D11" s="801"/>
      <c r="E11" s="661"/>
      <c r="F11" s="661"/>
      <c r="G11" s="661"/>
      <c r="H11" s="661"/>
      <c r="I11" s="661"/>
      <c r="J11" s="661"/>
      <c r="K11" s="661"/>
      <c r="L11" s="730"/>
      <c r="M11" s="802"/>
      <c r="N11" s="802"/>
      <c r="O11" s="802"/>
      <c r="P11" s="802"/>
      <c r="Q11" s="730"/>
      <c r="R11" s="730"/>
      <c r="S11" s="730"/>
      <c r="T11" s="730"/>
      <c r="U11" s="730"/>
      <c r="V11" s="730"/>
      <c r="W11" s="730"/>
      <c r="X11" s="730"/>
      <c r="Y11" s="802"/>
      <c r="Z11" s="802"/>
      <c r="AA11" s="802"/>
      <c r="AB11" s="802"/>
      <c r="AC11" s="802"/>
      <c r="AD11" s="730"/>
      <c r="AE11" s="730"/>
      <c r="AF11" s="730"/>
      <c r="AG11" s="730"/>
      <c r="AH11" s="730"/>
      <c r="AI11" s="730"/>
    </row>
    <row r="12" spans="1:37" ht="13.5" customHeight="1" thickBot="1" x14ac:dyDescent="0.4">
      <c r="B12" s="1292" t="s">
        <v>1502</v>
      </c>
      <c r="C12" s="1292"/>
      <c r="D12" s="1292"/>
      <c r="E12" s="1293"/>
      <c r="F12" s="1278" t="str">
        <f>IF(Data!B10&lt;&gt;"", Data!B10, "")</f>
        <v>-</v>
      </c>
      <c r="G12" s="1279"/>
      <c r="H12" s="1279"/>
      <c r="I12" s="1279"/>
      <c r="J12" s="1279"/>
      <c r="K12" s="1279"/>
      <c r="L12" s="1280"/>
      <c r="M12" s="1295" t="s">
        <v>1503</v>
      </c>
      <c r="N12" s="1295"/>
      <c r="O12" s="1295"/>
      <c r="P12" s="1295"/>
      <c r="Q12" s="1278" t="str">
        <f>IF(Data!B23&lt;&gt;"",Data!B23, " ")</f>
        <v xml:space="preserve"> </v>
      </c>
      <c r="R12" s="1279"/>
      <c r="S12" s="1279"/>
      <c r="T12" s="1279"/>
      <c r="U12" s="1279"/>
      <c r="V12" s="1279"/>
      <c r="W12" s="1280"/>
      <c r="X12" s="730"/>
      <c r="Y12" s="1295" t="s">
        <v>1504</v>
      </c>
      <c r="Z12" s="1295"/>
      <c r="AA12" s="1295"/>
      <c r="AB12" s="1295"/>
      <c r="AC12" s="1295"/>
      <c r="AD12" s="1278">
        <f>IF(Data!B25&lt;&gt;"",Data!B25, " ")</f>
        <v>10012130</v>
      </c>
      <c r="AE12" s="1279"/>
      <c r="AF12" s="1279"/>
      <c r="AG12" s="1279"/>
      <c r="AH12" s="1279"/>
      <c r="AI12" s="1279"/>
      <c r="AJ12" s="1280"/>
    </row>
    <row r="13" spans="1:37" ht="15" thickBot="1" x14ac:dyDescent="0.4">
      <c r="A13" s="662" t="s">
        <v>1505</v>
      </c>
      <c r="B13" s="659"/>
      <c r="C13" s="659"/>
      <c r="D13" s="659"/>
      <c r="E13" s="659"/>
      <c r="F13" s="659"/>
      <c r="G13" s="659"/>
      <c r="H13" s="659"/>
      <c r="I13" s="659"/>
      <c r="J13" s="659"/>
      <c r="K13" s="659"/>
      <c r="L13" s="659"/>
      <c r="M13" s="659"/>
      <c r="N13" s="659"/>
      <c r="O13" s="659"/>
      <c r="P13" s="659"/>
      <c r="Q13" s="659"/>
      <c r="R13" s="659"/>
      <c r="S13" s="659"/>
      <c r="T13" s="659"/>
      <c r="U13" s="659"/>
      <c r="V13" s="659"/>
      <c r="W13" s="659"/>
      <c r="X13" s="659"/>
      <c r="Y13" s="659"/>
      <c r="Z13" s="659"/>
      <c r="AA13" s="659"/>
      <c r="AB13" s="659"/>
      <c r="AC13" s="659"/>
      <c r="AD13" s="659"/>
      <c r="AE13" s="659"/>
      <c r="AF13" s="659"/>
      <c r="AG13" s="659"/>
      <c r="AH13" s="659"/>
      <c r="AI13" s="659"/>
    </row>
    <row r="14" spans="1:37" ht="9" customHeight="1" x14ac:dyDescent="0.35">
      <c r="A14" s="1303"/>
      <c r="B14" s="1304"/>
      <c r="C14" s="1314" t="s">
        <v>17</v>
      </c>
      <c r="D14" s="1315"/>
      <c r="E14" s="1315"/>
      <c r="F14" s="1315"/>
      <c r="G14" s="1315"/>
      <c r="H14" s="1315"/>
      <c r="I14" s="1315"/>
      <c r="J14" s="1315"/>
      <c r="K14" s="1315"/>
      <c r="L14" s="1315"/>
      <c r="M14" s="1315"/>
      <c r="N14" s="1315"/>
      <c r="O14" s="1315"/>
      <c r="P14" s="1315"/>
      <c r="Q14" s="1315"/>
      <c r="R14" s="1315"/>
      <c r="S14" s="1315"/>
      <c r="T14" s="1315"/>
      <c r="U14" s="1315"/>
      <c r="V14" s="1315"/>
      <c r="W14" s="1315"/>
      <c r="X14" s="1315"/>
      <c r="Y14" s="1315"/>
      <c r="Z14" s="1315"/>
      <c r="AA14" s="1315"/>
      <c r="AB14" s="1315"/>
      <c r="AC14" s="1315"/>
      <c r="AD14" s="1315"/>
      <c r="AE14" s="1315"/>
      <c r="AF14" s="1315"/>
      <c r="AG14" s="1315"/>
      <c r="AH14" s="1315"/>
      <c r="AI14" s="1315"/>
      <c r="AJ14" s="1316"/>
      <c r="AK14" s="731">
        <f>COUNTBLANK(AK15:AK22)</f>
        <v>7</v>
      </c>
    </row>
    <row r="15" spans="1:37" ht="9" customHeight="1" thickBot="1" x14ac:dyDescent="0.4">
      <c r="A15" s="1305"/>
      <c r="B15" s="1306"/>
      <c r="C15" s="834">
        <f>IF(Data!$BQ$44&lt;&gt;0,1,0)</f>
        <v>1</v>
      </c>
      <c r="D15" s="835">
        <f>IF(Data!$BQ$44&lt;&gt;0,IF(AND(C15&lt;&gt;0,Data!$BQ$44&gt;C15),C15+1,0),0)</f>
        <v>2</v>
      </c>
      <c r="E15" s="835">
        <f>IF(Data!$BQ$44&lt;&gt;0,IF(AND(D15&lt;&gt;0,Data!$BQ$44&gt;D15),D15+1,0),0)</f>
        <v>3</v>
      </c>
      <c r="F15" s="835">
        <f>IF(Data!$BQ$44&lt;&gt;0,IF(AND(E15&lt;&gt;0,Data!$BQ$44&gt;E15),E15+1,0),0)</f>
        <v>4</v>
      </c>
      <c r="G15" s="835">
        <f>IF(Data!$BQ$44&lt;&gt;0,IF(AND(F15&lt;&gt;0,Data!$BQ$44&gt;F15),F15+1,0),0)</f>
        <v>5</v>
      </c>
      <c r="H15" s="835">
        <f>IF(Data!$BQ$44&lt;&gt;0,IF(AND(G15&lt;&gt;0,Data!$BQ$44&gt;G15),G15+1,0),0)</f>
        <v>6</v>
      </c>
      <c r="I15" s="835">
        <f>IF(Data!$BQ$44&lt;&gt;0,IF(AND(H15&lt;&gt;0,Data!$BQ$44&gt;H15),H15+1,0),0)</f>
        <v>7</v>
      </c>
      <c r="J15" s="835">
        <f>IF(Data!$BQ$44&lt;&gt;0,IF(AND(I15&lt;&gt;0,Data!$BQ$44&gt;I15),I15+1,0),0)</f>
        <v>8</v>
      </c>
      <c r="K15" s="835">
        <f>IF(Data!$BQ$44&lt;&gt;0,IF(AND(J15&lt;&gt;0,Data!$BQ$44&gt;J15),J15+1,0),0)</f>
        <v>9</v>
      </c>
      <c r="L15" s="835">
        <f>IF(Data!$BQ$44&lt;&gt;0,IF(AND(K15&lt;&gt;0,Data!$BQ$44&gt;K15),K15+1,0),0)</f>
        <v>10</v>
      </c>
      <c r="M15" s="835">
        <f>IF(Data!$BQ$44&lt;&gt;0,IF(AND(L15&lt;&gt;0,Data!$BQ$44&gt;L15),L15+1,0),0)</f>
        <v>11</v>
      </c>
      <c r="N15" s="835">
        <f>IF(Data!$BQ$44&lt;&gt;0,IF(AND(M15&lt;&gt;0,Data!$BQ$44&gt;M15),M15+1,0),0)</f>
        <v>12</v>
      </c>
      <c r="O15" s="835">
        <f>IF(Data!$BQ$44&lt;&gt;0,IF(AND(N15&lt;&gt;0,Data!$BQ$44&gt;N15),N15+1,0),0)</f>
        <v>0</v>
      </c>
      <c r="P15" s="835">
        <f>IF(Data!$BQ$44&lt;&gt;0,IF(AND(O15&lt;&gt;0,Data!$BQ$44&gt;O15),O15+1,0),0)</f>
        <v>0</v>
      </c>
      <c r="Q15" s="835">
        <f>IF(Data!$BQ$44&lt;&gt;0,IF(AND(P15&lt;&gt;0,Data!$BQ$44&gt;P15),P15+1,0),0)</f>
        <v>0</v>
      </c>
      <c r="R15" s="835">
        <f>IF(Data!$BQ$44&lt;&gt;0,IF(AND(Q15&lt;&gt;0,Data!$BQ$44&gt;Q15),Q15+1,0),0)</f>
        <v>0</v>
      </c>
      <c r="S15" s="835">
        <f>IF(Data!$BQ$44&lt;&gt;0,IF(AND(R15&lt;&gt;0,Data!$BQ$44&gt;R15),R15+1,0),0)</f>
        <v>0</v>
      </c>
      <c r="T15" s="835">
        <f>IF(Data!$BQ$44&lt;&gt;0,IF(AND(S15&lt;&gt;0,Data!$BQ$44&gt;S15),S15+1,0),0)</f>
        <v>0</v>
      </c>
      <c r="U15" s="835">
        <f>IF(Data!$BQ$44&lt;&gt;0,IF(AND(T15&lt;&gt;0,Data!$BQ$44&gt;T15),T15+1,0),0)</f>
        <v>0</v>
      </c>
      <c r="V15" s="835">
        <f>IF(Data!$BQ$44&lt;&gt;0,IF(AND(U15&lt;&gt;0,Data!$BQ$44&gt;U15),U15+1,0),0)</f>
        <v>0</v>
      </c>
      <c r="W15" s="835">
        <f>IF(Data!$BQ$44&lt;&gt;0,IF(AND(V15&lt;&gt;0,Data!$BQ$44&gt;V15),V15+1,0),0)</f>
        <v>0</v>
      </c>
      <c r="X15" s="835">
        <f>IF(Data!$BQ$44&lt;&gt;0,IF(AND(W15&lt;&gt;0,Data!$BQ$44&gt;W15),W15+1,0),0)</f>
        <v>0</v>
      </c>
      <c r="Y15" s="835">
        <f>IF(Data!$BQ$44&lt;&gt;0,IF(AND(X15&lt;&gt;0,Data!$BQ$44&gt;X15),X15+1,0),0)</f>
        <v>0</v>
      </c>
      <c r="Z15" s="835">
        <f>IF(Data!$BQ$44&lt;&gt;0,IF(AND(Y15&lt;&gt;0,Data!$BQ$44&gt;Y15),Y15+1,0),0)</f>
        <v>0</v>
      </c>
      <c r="AA15" s="835">
        <f>IF(Data!$BQ$44&lt;&gt;0,IF(AND(Z15&lt;&gt;0,Data!$BQ$44&gt;Z15),Z15+1,0),0)</f>
        <v>0</v>
      </c>
      <c r="AB15" s="835">
        <f>IF(Data!$BQ$44&lt;&gt;0,IF(AND(AA15&lt;&gt;0,Data!$BQ$44&gt;AA15),AA15+1,0),0)</f>
        <v>0</v>
      </c>
      <c r="AC15" s="835">
        <f>IF(Data!$BQ$44&lt;&gt;0,IF(AND(AB15&lt;&gt;0,Data!$BQ$44&gt;AB15),AB15+1,0),0)</f>
        <v>0</v>
      </c>
      <c r="AD15" s="835">
        <f>IF(Data!$BQ$44&lt;&gt;0,IF(AND(AC15&lt;&gt;0,Data!$BQ$44&gt;AC15),AC15+1,0),0)</f>
        <v>0</v>
      </c>
      <c r="AE15" s="835">
        <f>IF(Data!$BQ$44&lt;&gt;0,IF(AND(AD15&lt;&gt;0,Data!$BQ$44&gt;AD15),AD15+1,0),0)</f>
        <v>0</v>
      </c>
      <c r="AF15" s="835">
        <f>IF(Data!$BQ$44&lt;&gt;0,IF(AND(AE15&lt;&gt;0,Data!$BQ$44&gt;AE15),AE15+1,0),0)</f>
        <v>0</v>
      </c>
      <c r="AG15" s="835">
        <f>IF(Data!$BQ$44&lt;&gt;0,IF(AND(AF15&lt;&gt;0,Data!$BQ$44&gt;AF15),AF15+1,0),0)</f>
        <v>0</v>
      </c>
      <c r="AH15" s="835">
        <f>IF(Data!$BQ$44&lt;&gt;0,IF(AND(AG15&lt;&gt;0,Data!$BQ$44&gt;AG15),AG15+1,0),0)</f>
        <v>0</v>
      </c>
      <c r="AI15" s="835">
        <f>IF(Data!$BQ$44&lt;&gt;0,IF(AND(AH15&lt;&gt;0,Data!$BQ$44&gt;AH15),AH15+1,0),0)</f>
        <v>0</v>
      </c>
      <c r="AJ15" s="836">
        <f>IF(Data!$BQ$44&lt;&gt;0,IF(AND(AI15&lt;&gt;0,Data!$BQ$44&gt;AI15),AI15+1,0),0)</f>
        <v>0</v>
      </c>
      <c r="AK15" s="732" t="s">
        <v>304</v>
      </c>
    </row>
    <row r="16" spans="1:37" ht="12" customHeight="1" x14ac:dyDescent="0.35">
      <c r="A16" s="1307" t="s">
        <v>18</v>
      </c>
      <c r="B16" s="910">
        <v>1</v>
      </c>
      <c r="C16" s="816" t="str">
        <f>TRIM(IF(TRANSPOSE!C42&lt;&gt;"",TRANSPOSE!C42,""))</f>
        <v>R</v>
      </c>
      <c r="D16" s="817" t="str">
        <f>TRIM(IF(TRANSPOSE!D42&lt;&gt;"",TRANSPOSE!D42,""))</f>
        <v>R</v>
      </c>
      <c r="E16" s="817" t="str">
        <f>TRIM(IF(TRANSPOSE!E42&lt;&gt;"",TRANSPOSE!E42,""))</f>
        <v>X</v>
      </c>
      <c r="F16" s="817" t="str">
        <f>TRIM(IF(TRANSPOSE!F42&lt;&gt;"",TRANSPOSE!F42,""))</f>
        <v>X</v>
      </c>
      <c r="G16" s="817" t="str">
        <f>TRIM(IF(TRANSPOSE!G42&lt;&gt;"",TRANSPOSE!G42,""))</f>
        <v>X</v>
      </c>
      <c r="H16" s="817" t="str">
        <f>TRIM(IF(TRANSPOSE!H42&lt;&gt;"",TRANSPOSE!H42,""))</f>
        <v>X</v>
      </c>
      <c r="I16" s="817" t="str">
        <f>TRIM(IF(TRANSPOSE!I42&lt;&gt;"",TRANSPOSE!I42,""))</f>
        <v>R</v>
      </c>
      <c r="J16" s="817" t="str">
        <f>TRIM(IF(TRANSPOSE!J42&lt;&gt;"",TRANSPOSE!J42,""))</f>
        <v>X</v>
      </c>
      <c r="K16" s="817" t="str">
        <f>TRIM(IF(TRANSPOSE!K42&lt;&gt;"",TRANSPOSE!K42,""))</f>
        <v>O</v>
      </c>
      <c r="L16" s="817" t="str">
        <f>TRIM(IF(TRANSPOSE!L42&lt;&gt;"",TRANSPOSE!L42,""))</f>
        <v>X</v>
      </c>
      <c r="M16" s="817" t="str">
        <f>TRIM(IF(TRANSPOSE!M42&lt;&gt;"",TRANSPOSE!M42,""))</f>
        <v>X</v>
      </c>
      <c r="N16" s="817" t="str">
        <f>TRIM(IF(TRANSPOSE!N42&lt;&gt;"",TRANSPOSE!N42,""))</f>
        <v>R</v>
      </c>
      <c r="O16" s="817" t="str">
        <f>TRIM(IF(TRANSPOSE!O42&lt;&gt;"",TRANSPOSE!O42,""))</f>
        <v/>
      </c>
      <c r="P16" s="817" t="str">
        <f>TRIM(IF(TRANSPOSE!P42&lt;&gt;"",TRANSPOSE!P42,""))</f>
        <v/>
      </c>
      <c r="Q16" s="817" t="str">
        <f>TRIM(IF(TRANSPOSE!Q42&lt;&gt;"",TRANSPOSE!Q42,""))</f>
        <v/>
      </c>
      <c r="R16" s="817" t="str">
        <f>TRIM(IF(TRANSPOSE!R42&lt;&gt;"",TRANSPOSE!R42,""))</f>
        <v/>
      </c>
      <c r="S16" s="817" t="str">
        <f>TRIM(IF(TRANSPOSE!S42&lt;&gt;"",TRANSPOSE!S42,""))</f>
        <v/>
      </c>
      <c r="T16" s="817" t="str">
        <f>TRIM(IF(TRANSPOSE!T42&lt;&gt;"",TRANSPOSE!T42,""))</f>
        <v/>
      </c>
      <c r="U16" s="817" t="str">
        <f>TRIM(IF(TRANSPOSE!U42&lt;&gt;"",TRANSPOSE!U42,""))</f>
        <v/>
      </c>
      <c r="V16" s="817" t="str">
        <f>TRIM(IF(TRANSPOSE!V42&lt;&gt;"",TRANSPOSE!V42,""))</f>
        <v/>
      </c>
      <c r="W16" s="817" t="str">
        <f>TRIM(IF(TRANSPOSE!W42&lt;&gt;"",TRANSPOSE!W42,""))</f>
        <v/>
      </c>
      <c r="X16" s="817" t="str">
        <f>TRIM(IF(TRANSPOSE!X42&lt;&gt;"",TRANSPOSE!X42,""))</f>
        <v/>
      </c>
      <c r="Y16" s="817" t="str">
        <f>TRIM(IF(TRANSPOSE!Y42&lt;&gt;"",TRANSPOSE!Y42,""))</f>
        <v/>
      </c>
      <c r="Z16" s="817" t="str">
        <f>TRIM(IF(TRANSPOSE!Z42&lt;&gt;"",TRANSPOSE!Z42,""))</f>
        <v/>
      </c>
      <c r="AA16" s="817" t="str">
        <f>TRIM(IF(TRANSPOSE!AA42&lt;&gt;"",TRANSPOSE!AA42,""))</f>
        <v/>
      </c>
      <c r="AB16" s="817" t="str">
        <f>TRIM(IF(TRANSPOSE!AB42&lt;&gt;"",TRANSPOSE!AB42,""))</f>
        <v/>
      </c>
      <c r="AC16" s="817" t="str">
        <f>TRIM(IF(TRANSPOSE!AC42&lt;&gt;"",TRANSPOSE!AC42,""))</f>
        <v/>
      </c>
      <c r="AD16" s="817" t="str">
        <f>TRIM(IF(TRANSPOSE!AD42&lt;&gt;"",TRANSPOSE!AD42,""))</f>
        <v/>
      </c>
      <c r="AE16" s="817" t="str">
        <f>TRIM(IF(TRANSPOSE!AE42&lt;&gt;"",TRANSPOSE!AE42,""))</f>
        <v/>
      </c>
      <c r="AF16" s="817" t="str">
        <f>TRIM(IF(TRANSPOSE!AF42&lt;&gt;"",TRANSPOSE!AF42,""))</f>
        <v/>
      </c>
      <c r="AG16" s="817" t="str">
        <f>TRIM(IF(TRANSPOSE!AG42&lt;&gt;"",TRANSPOSE!AG42,""))</f>
        <v/>
      </c>
      <c r="AH16" s="817" t="str">
        <f>TRIM(IF(TRANSPOSE!AH42&lt;&gt;"",TRANSPOSE!AH42,""))</f>
        <v/>
      </c>
      <c r="AI16" s="817" t="str">
        <f>TRIM(IF(TRANSPOSE!AI42&lt;&gt;"",TRANSPOSE!AI42,""))</f>
        <v/>
      </c>
      <c r="AJ16" s="818" t="str">
        <f>TRIM(IF(TRANSPOSE!AJ42&lt;&gt;"",TRANSPOSE!AJ42,""))</f>
        <v/>
      </c>
    </row>
    <row r="17" spans="1:57" ht="12" customHeight="1" x14ac:dyDescent="0.35">
      <c r="A17" s="1308"/>
      <c r="B17" s="730">
        <v>2</v>
      </c>
      <c r="C17" s="907" t="str">
        <f>TRIM(IF(TRANSPOSE!C43&lt;&gt;"",TRANSPOSE!C43,""))</f>
        <v>X</v>
      </c>
      <c r="D17" s="908" t="str">
        <f>TRIM(IF(TRANSPOSE!D43&lt;&gt;"",TRANSPOSE!D43,""))</f>
        <v>X</v>
      </c>
      <c r="E17" s="908" t="str">
        <f>TRIM(IF(TRANSPOSE!E43&lt;&gt;"",TRANSPOSE!E43,""))</f>
        <v>X</v>
      </c>
      <c r="F17" s="908" t="str">
        <f>TRIM(IF(TRANSPOSE!F43&lt;&gt;"",TRANSPOSE!F43,""))</f>
        <v>R</v>
      </c>
      <c r="G17" s="908" t="str">
        <f>TRIM(IF(TRANSPOSE!G43&lt;&gt;"",TRANSPOSE!G43,""))</f>
        <v>X</v>
      </c>
      <c r="H17" s="908" t="str">
        <f>TRIM(IF(TRANSPOSE!H43&lt;&gt;"",TRANSPOSE!H43,""))</f>
        <v>O</v>
      </c>
      <c r="I17" s="908" t="str">
        <f>TRIM(IF(TRANSPOSE!I43&lt;&gt;"",TRANSPOSE!I43,""))</f>
        <v>R</v>
      </c>
      <c r="J17" s="908" t="str">
        <f>TRIM(IF(TRANSPOSE!J43&lt;&gt;"",TRANSPOSE!J43,""))</f>
        <v>X</v>
      </c>
      <c r="K17" s="908" t="str">
        <f>TRIM(IF(TRANSPOSE!K43&lt;&gt;"",TRANSPOSE!K43,""))</f>
        <v>R</v>
      </c>
      <c r="L17" s="908" t="str">
        <f>TRIM(IF(TRANSPOSE!L43&lt;&gt;"",TRANSPOSE!L43,""))</f>
        <v/>
      </c>
      <c r="M17" s="908" t="str">
        <f>TRIM(IF(TRANSPOSE!M43&lt;&gt;"",TRANSPOSE!M43,""))</f>
        <v/>
      </c>
      <c r="N17" s="908" t="str">
        <f>TRIM(IF(TRANSPOSE!N43&lt;&gt;"",TRANSPOSE!N43,""))</f>
        <v/>
      </c>
      <c r="O17" s="908" t="str">
        <f>TRIM(IF(TRANSPOSE!O43&lt;&gt;"",TRANSPOSE!O43,""))</f>
        <v/>
      </c>
      <c r="P17" s="908" t="str">
        <f>TRIM(IF(TRANSPOSE!P43&lt;&gt;"",TRANSPOSE!P43,""))</f>
        <v/>
      </c>
      <c r="Q17" s="908" t="str">
        <f>TRIM(IF(TRANSPOSE!Q43&lt;&gt;"",TRANSPOSE!Q43,""))</f>
        <v/>
      </c>
      <c r="R17" s="908" t="str">
        <f>TRIM(IF(TRANSPOSE!R43&lt;&gt;"",TRANSPOSE!R43,""))</f>
        <v/>
      </c>
      <c r="S17" s="908" t="str">
        <f>TRIM(IF(TRANSPOSE!S43&lt;&gt;"",TRANSPOSE!S43,""))</f>
        <v/>
      </c>
      <c r="T17" s="908" t="str">
        <f>TRIM(IF(TRANSPOSE!T43&lt;&gt;"",TRANSPOSE!T43,""))</f>
        <v/>
      </c>
      <c r="U17" s="908" t="str">
        <f>TRIM(IF(TRANSPOSE!U43&lt;&gt;"",TRANSPOSE!U43,""))</f>
        <v/>
      </c>
      <c r="V17" s="908" t="str">
        <f>TRIM(IF(TRANSPOSE!V43&lt;&gt;"",TRANSPOSE!V43,""))</f>
        <v/>
      </c>
      <c r="W17" s="908" t="str">
        <f>TRIM(IF(TRANSPOSE!W43&lt;&gt;"",TRANSPOSE!W43,""))</f>
        <v/>
      </c>
      <c r="X17" s="908" t="str">
        <f>TRIM(IF(TRANSPOSE!X43&lt;&gt;"",TRANSPOSE!X43,""))</f>
        <v/>
      </c>
      <c r="Y17" s="908" t="str">
        <f>TRIM(IF(TRANSPOSE!Y43&lt;&gt;"",TRANSPOSE!Y43,""))</f>
        <v/>
      </c>
      <c r="Z17" s="908" t="str">
        <f>TRIM(IF(TRANSPOSE!Z43&lt;&gt;"",TRANSPOSE!Z43,""))</f>
        <v/>
      </c>
      <c r="AA17" s="908" t="str">
        <f>TRIM(IF(TRANSPOSE!AA43&lt;&gt;"",TRANSPOSE!AA43,""))</f>
        <v/>
      </c>
      <c r="AB17" s="908" t="str">
        <f>TRIM(IF(TRANSPOSE!AB43&lt;&gt;"",TRANSPOSE!AB43,""))</f>
        <v/>
      </c>
      <c r="AC17" s="908" t="str">
        <f>TRIM(IF(TRANSPOSE!AC43&lt;&gt;"",TRANSPOSE!AC43,""))</f>
        <v/>
      </c>
      <c r="AD17" s="908" t="str">
        <f>TRIM(IF(TRANSPOSE!AD43&lt;&gt;"",TRANSPOSE!AD43,""))</f>
        <v/>
      </c>
      <c r="AE17" s="908" t="str">
        <f>TRIM(IF(TRANSPOSE!AE43&lt;&gt;"",TRANSPOSE!AE43,""))</f>
        <v/>
      </c>
      <c r="AF17" s="908" t="str">
        <f>TRIM(IF(TRANSPOSE!AF43&lt;&gt;"",TRANSPOSE!AF43,""))</f>
        <v/>
      </c>
      <c r="AG17" s="908" t="str">
        <f>TRIM(IF(TRANSPOSE!AG43&lt;&gt;"",TRANSPOSE!AG43,""))</f>
        <v/>
      </c>
      <c r="AH17" s="908" t="str">
        <f>TRIM(IF(TRANSPOSE!AH43&lt;&gt;"",TRANSPOSE!AH43,""))</f>
        <v/>
      </c>
      <c r="AI17" s="908" t="str">
        <f>TRIM(IF(TRANSPOSE!AI43&lt;&gt;"",TRANSPOSE!AI43,""))</f>
        <v/>
      </c>
      <c r="AJ17" s="909" t="str">
        <f>TRIM(IF(TRANSPOSE!AJ43&lt;&gt;"",TRANSPOSE!AJ43,""))</f>
        <v/>
      </c>
    </row>
    <row r="18" spans="1:57" ht="12" customHeight="1" x14ac:dyDescent="0.35">
      <c r="A18" s="1308"/>
      <c r="B18" s="730">
        <v>3</v>
      </c>
      <c r="C18" s="907" t="str">
        <f>TRIM(IF(TRANSPOSE!C44&lt;&gt;"",TRANSPOSE!C44,""))</f>
        <v>R</v>
      </c>
      <c r="D18" s="908" t="str">
        <f>TRIM(IF(TRANSPOSE!D44&lt;&gt;"",TRANSPOSE!D44,""))</f>
        <v>R</v>
      </c>
      <c r="E18" s="908" t="str">
        <f>TRIM(IF(TRANSPOSE!E44&lt;&gt;"",TRANSPOSE!E44,""))</f>
        <v>R</v>
      </c>
      <c r="F18" s="908" t="str">
        <f>TRIM(IF(TRANSPOSE!F44&lt;&gt;"",TRANSPOSE!F44,""))</f>
        <v>X</v>
      </c>
      <c r="G18" s="908" t="str">
        <f>TRIM(IF(TRANSPOSE!G44&lt;&gt;"",TRANSPOSE!G44,""))</f>
        <v>X</v>
      </c>
      <c r="H18" s="908" t="str">
        <f>TRIM(IF(TRANSPOSE!H44&lt;&gt;"",TRANSPOSE!H44,""))</f>
        <v>X</v>
      </c>
      <c r="I18" s="908" t="str">
        <f>TRIM(IF(TRANSPOSE!I44&lt;&gt;"",TRANSPOSE!I44,""))</f>
        <v>X</v>
      </c>
      <c r="J18" s="908" t="str">
        <f>TRIM(IF(TRANSPOSE!J44&lt;&gt;"",TRANSPOSE!J44,""))</f>
        <v>R</v>
      </c>
      <c r="K18" s="908" t="str">
        <f>TRIM(IF(TRANSPOSE!K44&lt;&gt;"",TRANSPOSE!K44,""))</f>
        <v>X</v>
      </c>
      <c r="L18" s="908" t="str">
        <f>TRIM(IF(TRANSPOSE!L44&lt;&gt;"",TRANSPOSE!L44,""))</f>
        <v>X</v>
      </c>
      <c r="M18" s="908" t="str">
        <f>TRIM(IF(TRANSPOSE!M44&lt;&gt;"",TRANSPOSE!M44,""))</f>
        <v/>
      </c>
      <c r="N18" s="908" t="str">
        <f>TRIM(IF(TRANSPOSE!N44&lt;&gt;"",TRANSPOSE!N44,""))</f>
        <v/>
      </c>
      <c r="O18" s="908" t="str">
        <f>TRIM(IF(TRANSPOSE!O44&lt;&gt;"",TRANSPOSE!O44,""))</f>
        <v/>
      </c>
      <c r="P18" s="908" t="str">
        <f>TRIM(IF(TRANSPOSE!P44&lt;&gt;"",TRANSPOSE!P44,""))</f>
        <v/>
      </c>
      <c r="Q18" s="908" t="str">
        <f>TRIM(IF(TRANSPOSE!Q44&lt;&gt;"",TRANSPOSE!Q44,""))</f>
        <v/>
      </c>
      <c r="R18" s="908" t="str">
        <f>TRIM(IF(TRANSPOSE!R44&lt;&gt;"",TRANSPOSE!R44,""))</f>
        <v/>
      </c>
      <c r="S18" s="908" t="str">
        <f>TRIM(IF(TRANSPOSE!S44&lt;&gt;"",TRANSPOSE!S44,""))</f>
        <v/>
      </c>
      <c r="T18" s="908" t="str">
        <f>TRIM(IF(TRANSPOSE!T44&lt;&gt;"",TRANSPOSE!T44,""))</f>
        <v/>
      </c>
      <c r="U18" s="908" t="str">
        <f>TRIM(IF(TRANSPOSE!U44&lt;&gt;"",TRANSPOSE!U44,""))</f>
        <v/>
      </c>
      <c r="V18" s="908" t="str">
        <f>TRIM(IF(TRANSPOSE!V44&lt;&gt;"",TRANSPOSE!V44,""))</f>
        <v/>
      </c>
      <c r="W18" s="908" t="str">
        <f>TRIM(IF(TRANSPOSE!W44&lt;&gt;"",TRANSPOSE!W44,""))</f>
        <v/>
      </c>
      <c r="X18" s="908" t="str">
        <f>TRIM(IF(TRANSPOSE!X44&lt;&gt;"",TRANSPOSE!X44,""))</f>
        <v/>
      </c>
      <c r="Y18" s="908" t="str">
        <f>TRIM(IF(TRANSPOSE!Y44&lt;&gt;"",TRANSPOSE!Y44,""))</f>
        <v/>
      </c>
      <c r="Z18" s="908" t="str">
        <f>TRIM(IF(TRANSPOSE!Z44&lt;&gt;"",TRANSPOSE!Z44,""))</f>
        <v/>
      </c>
      <c r="AA18" s="908" t="str">
        <f>TRIM(IF(TRANSPOSE!AA44&lt;&gt;"",TRANSPOSE!AA44,""))</f>
        <v/>
      </c>
      <c r="AB18" s="908" t="str">
        <f>TRIM(IF(TRANSPOSE!AB44&lt;&gt;"",TRANSPOSE!AB44,""))</f>
        <v/>
      </c>
      <c r="AC18" s="908" t="str">
        <f>TRIM(IF(TRANSPOSE!AC44&lt;&gt;"",TRANSPOSE!AC44,""))</f>
        <v/>
      </c>
      <c r="AD18" s="908" t="str">
        <f>TRIM(IF(TRANSPOSE!AD44&lt;&gt;"",TRANSPOSE!AD44,""))</f>
        <v/>
      </c>
      <c r="AE18" s="908" t="str">
        <f>TRIM(IF(TRANSPOSE!AE44&lt;&gt;"",TRANSPOSE!AE44,""))</f>
        <v/>
      </c>
      <c r="AF18" s="908" t="str">
        <f>TRIM(IF(TRANSPOSE!AF44&lt;&gt;"",TRANSPOSE!AF44,""))</f>
        <v/>
      </c>
      <c r="AG18" s="908" t="str">
        <f>TRIM(IF(TRANSPOSE!AG44&lt;&gt;"",TRANSPOSE!AG44,""))</f>
        <v/>
      </c>
      <c r="AH18" s="908" t="str">
        <f>TRIM(IF(TRANSPOSE!AH44&lt;&gt;"",TRANSPOSE!AH44,""))</f>
        <v/>
      </c>
      <c r="AI18" s="908" t="str">
        <f>TRIM(IF(TRANSPOSE!AI44&lt;&gt;"",TRANSPOSE!AI44,""))</f>
        <v/>
      </c>
      <c r="AJ18" s="909" t="str">
        <f>TRIM(IF(TRANSPOSE!AJ44&lt;&gt;"",TRANSPOSE!AJ44,""))</f>
        <v/>
      </c>
    </row>
    <row r="19" spans="1:57" ht="12" customHeight="1" x14ac:dyDescent="0.35">
      <c r="A19" s="1308"/>
      <c r="B19" s="730">
        <v>4</v>
      </c>
      <c r="C19" s="907" t="str">
        <f>TRIM(IF(TRANSPOSE!C45&lt;&gt;"",TRANSPOSE!C45,""))</f>
        <v>X</v>
      </c>
      <c r="D19" s="908" t="str">
        <f>TRIM(IF(TRANSPOSE!D45&lt;&gt;"",TRANSPOSE!D45,""))</f>
        <v>X</v>
      </c>
      <c r="E19" s="908" t="str">
        <f>TRIM(IF(TRANSPOSE!E45&lt;&gt;"",TRANSPOSE!E45,""))</f>
        <v>X</v>
      </c>
      <c r="F19" s="908" t="str">
        <f>TRIM(IF(TRANSPOSE!F45&lt;&gt;"",TRANSPOSE!F45,""))</f>
        <v>X</v>
      </c>
      <c r="G19" s="908" t="str">
        <f>TRIM(IF(TRANSPOSE!G45&lt;&gt;"",TRANSPOSE!G45,""))</f>
        <v>R</v>
      </c>
      <c r="H19" s="908" t="str">
        <f>TRIM(IF(TRANSPOSE!H45&lt;&gt;"",TRANSPOSE!H45,""))</f>
        <v>X</v>
      </c>
      <c r="I19" s="908" t="str">
        <f>TRIM(IF(TRANSPOSE!I45&lt;&gt;"",TRANSPOSE!I45,""))</f>
        <v>R</v>
      </c>
      <c r="J19" s="908" t="str">
        <f>TRIM(IF(TRANSPOSE!J45&lt;&gt;"",TRANSPOSE!J45,""))</f>
        <v>R</v>
      </c>
      <c r="K19" s="908" t="str">
        <f>TRIM(IF(TRANSPOSE!K45&lt;&gt;"",TRANSPOSE!K45,""))</f>
        <v>R</v>
      </c>
      <c r="L19" s="908" t="str">
        <f>TRIM(IF(TRANSPOSE!L45&lt;&gt;"",TRANSPOSE!L45,""))</f>
        <v>O</v>
      </c>
      <c r="M19" s="908" t="str">
        <f>TRIM(IF(TRANSPOSE!M45&lt;&gt;"",TRANSPOSE!M45,""))</f>
        <v/>
      </c>
      <c r="N19" s="908" t="str">
        <f>TRIM(IF(TRANSPOSE!N45&lt;&gt;"",TRANSPOSE!N45,""))</f>
        <v/>
      </c>
      <c r="O19" s="908" t="str">
        <f>TRIM(IF(TRANSPOSE!O45&lt;&gt;"",TRANSPOSE!O45,""))</f>
        <v/>
      </c>
      <c r="P19" s="908" t="str">
        <f>TRIM(IF(TRANSPOSE!P45&lt;&gt;"",TRANSPOSE!P45,""))</f>
        <v/>
      </c>
      <c r="Q19" s="908" t="str">
        <f>TRIM(IF(TRANSPOSE!Q45&lt;&gt;"",TRANSPOSE!Q45,""))</f>
        <v/>
      </c>
      <c r="R19" s="908" t="str">
        <f>TRIM(IF(TRANSPOSE!R45&lt;&gt;"",TRANSPOSE!R45,""))</f>
        <v/>
      </c>
      <c r="S19" s="908" t="str">
        <f>TRIM(IF(TRANSPOSE!S45&lt;&gt;"",TRANSPOSE!S45,""))</f>
        <v/>
      </c>
      <c r="T19" s="908" t="str">
        <f>TRIM(IF(TRANSPOSE!T45&lt;&gt;"",TRANSPOSE!T45,""))</f>
        <v/>
      </c>
      <c r="U19" s="908" t="str">
        <f>TRIM(IF(TRANSPOSE!U45&lt;&gt;"",TRANSPOSE!U45,""))</f>
        <v/>
      </c>
      <c r="V19" s="908" t="str">
        <f>TRIM(IF(TRANSPOSE!V45&lt;&gt;"",TRANSPOSE!V45,""))</f>
        <v/>
      </c>
      <c r="W19" s="908" t="str">
        <f>TRIM(IF(TRANSPOSE!W45&lt;&gt;"",TRANSPOSE!W45,""))</f>
        <v/>
      </c>
      <c r="X19" s="908" t="str">
        <f>TRIM(IF(TRANSPOSE!X45&lt;&gt;"",TRANSPOSE!X45,""))</f>
        <v/>
      </c>
      <c r="Y19" s="908" t="str">
        <f>TRIM(IF(TRANSPOSE!Y45&lt;&gt;"",TRANSPOSE!Y45,""))</f>
        <v/>
      </c>
      <c r="Z19" s="908" t="str">
        <f>TRIM(IF(TRANSPOSE!Z45&lt;&gt;"",TRANSPOSE!Z45,""))</f>
        <v/>
      </c>
      <c r="AA19" s="908" t="str">
        <f>TRIM(IF(TRANSPOSE!AA45&lt;&gt;"",TRANSPOSE!AA45,""))</f>
        <v/>
      </c>
      <c r="AB19" s="908" t="str">
        <f>TRIM(IF(TRANSPOSE!AB45&lt;&gt;"",TRANSPOSE!AB45,""))</f>
        <v/>
      </c>
      <c r="AC19" s="908" t="str">
        <f>TRIM(IF(TRANSPOSE!AC45&lt;&gt;"",TRANSPOSE!AC45,""))</f>
        <v/>
      </c>
      <c r="AD19" s="908" t="str">
        <f>TRIM(IF(TRANSPOSE!AD45&lt;&gt;"",TRANSPOSE!AD45,""))</f>
        <v/>
      </c>
      <c r="AE19" s="908" t="str">
        <f>TRIM(IF(TRANSPOSE!AE45&lt;&gt;"",TRANSPOSE!AE45,""))</f>
        <v/>
      </c>
      <c r="AF19" s="908" t="str">
        <f>TRIM(IF(TRANSPOSE!AF45&lt;&gt;"",TRANSPOSE!AF45,""))</f>
        <v/>
      </c>
      <c r="AG19" s="908" t="str">
        <f>TRIM(IF(TRANSPOSE!AG45&lt;&gt;"",TRANSPOSE!AG45,""))</f>
        <v/>
      </c>
      <c r="AH19" s="908" t="str">
        <f>TRIM(IF(TRANSPOSE!AH45&lt;&gt;"",TRANSPOSE!AH45,""))</f>
        <v/>
      </c>
      <c r="AI19" s="908" t="str">
        <f>TRIM(IF(TRANSPOSE!AI45&lt;&gt;"",TRANSPOSE!AI45,""))</f>
        <v/>
      </c>
      <c r="AJ19" s="909" t="str">
        <f>TRIM(IF(TRANSPOSE!AJ45&lt;&gt;"",TRANSPOSE!AJ45,""))</f>
        <v/>
      </c>
      <c r="AM19" s="656">
        <f>COUNTIF(C16:AI27, "R")</f>
        <v>25</v>
      </c>
    </row>
    <row r="20" spans="1:57" ht="12" customHeight="1" x14ac:dyDescent="0.35">
      <c r="A20" s="1308"/>
      <c r="B20" s="730">
        <v>5</v>
      </c>
      <c r="C20" s="907" t="str">
        <f>TRIM(IF(TRANSPOSE!C46&lt;&gt;"",TRANSPOSE!C46,""))</f>
        <v>R</v>
      </c>
      <c r="D20" s="908" t="str">
        <f>TRIM(IF(TRANSPOSE!D46&lt;&gt;"",TRANSPOSE!D46,""))</f>
        <v>R</v>
      </c>
      <c r="E20" s="908" t="str">
        <f>TRIM(IF(TRANSPOSE!E46&lt;&gt;"",TRANSPOSE!E46,""))</f>
        <v>X</v>
      </c>
      <c r="F20" s="908" t="str">
        <f>TRIM(IF(TRANSPOSE!F46&lt;&gt;"",TRANSPOSE!F46,""))</f>
        <v>X</v>
      </c>
      <c r="G20" s="908" t="str">
        <f>TRIM(IF(TRANSPOSE!G46&lt;&gt;"",TRANSPOSE!G46,""))</f>
        <v>X</v>
      </c>
      <c r="H20" s="908" t="str">
        <f>TRIM(IF(TRANSPOSE!H46&lt;&gt;"",TRANSPOSE!H46,""))</f>
        <v>X</v>
      </c>
      <c r="I20" s="908" t="str">
        <f>TRIM(IF(TRANSPOSE!I46&lt;&gt;"",TRANSPOSE!I46,""))</f>
        <v>R</v>
      </c>
      <c r="J20" s="908" t="str">
        <f>TRIM(IF(TRANSPOSE!J46&lt;&gt;"",TRANSPOSE!J46,""))</f>
        <v>X</v>
      </c>
      <c r="K20" s="908" t="str">
        <f>TRIM(IF(TRANSPOSE!K46&lt;&gt;"",TRANSPOSE!K46,""))</f>
        <v>R</v>
      </c>
      <c r="L20" s="908" t="str">
        <f>TRIM(IF(TRANSPOSE!L46&lt;&gt;"",TRANSPOSE!L46,""))</f>
        <v>X</v>
      </c>
      <c r="M20" s="908" t="str">
        <f>TRIM(IF(TRANSPOSE!M46&lt;&gt;"",TRANSPOSE!M46,""))</f>
        <v>R</v>
      </c>
      <c r="N20" s="908" t="str">
        <f>TRIM(IF(TRANSPOSE!N46&lt;&gt;"",TRANSPOSE!N46,""))</f>
        <v>R</v>
      </c>
      <c r="O20" s="908" t="str">
        <f>TRIM(IF(TRANSPOSE!O46&lt;&gt;"",TRANSPOSE!O46,""))</f>
        <v/>
      </c>
      <c r="P20" s="908" t="str">
        <f>TRIM(IF(TRANSPOSE!P46&lt;&gt;"",TRANSPOSE!P46,""))</f>
        <v/>
      </c>
      <c r="Q20" s="908" t="str">
        <f>TRIM(IF(TRANSPOSE!Q46&lt;&gt;"",TRANSPOSE!Q46,""))</f>
        <v/>
      </c>
      <c r="R20" s="908" t="str">
        <f>TRIM(IF(TRANSPOSE!R46&lt;&gt;"",TRANSPOSE!R46,""))</f>
        <v/>
      </c>
      <c r="S20" s="908" t="str">
        <f>TRIM(IF(TRANSPOSE!S46&lt;&gt;"",TRANSPOSE!S46,""))</f>
        <v/>
      </c>
      <c r="T20" s="908" t="str">
        <f>TRIM(IF(TRANSPOSE!T46&lt;&gt;"",TRANSPOSE!T46,""))</f>
        <v/>
      </c>
      <c r="U20" s="908" t="str">
        <f>TRIM(IF(TRANSPOSE!U46&lt;&gt;"",TRANSPOSE!U46,""))</f>
        <v/>
      </c>
      <c r="V20" s="908" t="str">
        <f>TRIM(IF(TRANSPOSE!V46&lt;&gt;"",TRANSPOSE!V46,""))</f>
        <v/>
      </c>
      <c r="W20" s="908" t="str">
        <f>TRIM(IF(TRANSPOSE!W46&lt;&gt;"",TRANSPOSE!W46,""))</f>
        <v/>
      </c>
      <c r="X20" s="908" t="str">
        <f>TRIM(IF(TRANSPOSE!X46&lt;&gt;"",TRANSPOSE!X46,""))</f>
        <v/>
      </c>
      <c r="Y20" s="908" t="str">
        <f>TRIM(IF(TRANSPOSE!Y46&lt;&gt;"",TRANSPOSE!Y46,""))</f>
        <v/>
      </c>
      <c r="Z20" s="908" t="str">
        <f>TRIM(IF(TRANSPOSE!Z46&lt;&gt;"",TRANSPOSE!Z46,""))</f>
        <v/>
      </c>
      <c r="AA20" s="908" t="str">
        <f>TRIM(IF(TRANSPOSE!AA46&lt;&gt;"",TRANSPOSE!AA46,""))</f>
        <v/>
      </c>
      <c r="AB20" s="908" t="str">
        <f>TRIM(IF(TRANSPOSE!AB46&lt;&gt;"",TRANSPOSE!AB46,""))</f>
        <v/>
      </c>
      <c r="AC20" s="908" t="str">
        <f>TRIM(IF(TRANSPOSE!AC46&lt;&gt;"",TRANSPOSE!AC46,""))</f>
        <v/>
      </c>
      <c r="AD20" s="908" t="str">
        <f>TRIM(IF(TRANSPOSE!AD46&lt;&gt;"",TRANSPOSE!AD46,""))</f>
        <v/>
      </c>
      <c r="AE20" s="908" t="str">
        <f>TRIM(IF(TRANSPOSE!AE46&lt;&gt;"",TRANSPOSE!AE46,""))</f>
        <v/>
      </c>
      <c r="AF20" s="908" t="str">
        <f>TRIM(IF(TRANSPOSE!AF46&lt;&gt;"",TRANSPOSE!AF46,""))</f>
        <v/>
      </c>
      <c r="AG20" s="908" t="str">
        <f>TRIM(IF(TRANSPOSE!AG46&lt;&gt;"",TRANSPOSE!AG46,""))</f>
        <v/>
      </c>
      <c r="AH20" s="908" t="str">
        <f>TRIM(IF(TRANSPOSE!AH46&lt;&gt;"",TRANSPOSE!AH46,""))</f>
        <v/>
      </c>
      <c r="AI20" s="908" t="str">
        <f>TRIM(IF(TRANSPOSE!AI46&lt;&gt;"",TRANSPOSE!AI46,""))</f>
        <v/>
      </c>
      <c r="AJ20" s="909" t="str">
        <f>TRIM(IF(TRANSPOSE!AJ46&lt;&gt;"",TRANSPOSE!AJ46,""))</f>
        <v/>
      </c>
      <c r="AM20" s="656">
        <f>COUNTIF(C16:AI27, "O")</f>
        <v>4</v>
      </c>
    </row>
    <row r="21" spans="1:57" ht="12" customHeight="1" x14ac:dyDescent="0.35">
      <c r="A21" s="1308"/>
      <c r="B21" s="730">
        <v>6</v>
      </c>
      <c r="C21" s="907" t="str">
        <f>TRIM(IF(TRANSPOSE!C47&lt;&gt;"",TRANSPOSE!C47,""))</f>
        <v>X</v>
      </c>
      <c r="D21" s="908" t="str">
        <f>TRIM(IF(TRANSPOSE!D47&lt;&gt;"",TRANSPOSE!D47,""))</f>
        <v>X</v>
      </c>
      <c r="E21" s="908" t="str">
        <f>TRIM(IF(TRANSPOSE!E47&lt;&gt;"",TRANSPOSE!E47,""))</f>
        <v>X</v>
      </c>
      <c r="F21" s="908" t="str">
        <f>TRIM(IF(TRANSPOSE!F47&lt;&gt;"",TRANSPOSE!F47,""))</f>
        <v>R</v>
      </c>
      <c r="G21" s="908" t="str">
        <f>TRIM(IF(TRANSPOSE!G47&lt;&gt;"",TRANSPOSE!G47,""))</f>
        <v>X</v>
      </c>
      <c r="H21" s="908" t="str">
        <f>TRIM(IF(TRANSPOSE!H47&lt;&gt;"",TRANSPOSE!H47,""))</f>
        <v>O</v>
      </c>
      <c r="I21" s="908" t="str">
        <f>TRIM(IF(TRANSPOSE!I47&lt;&gt;"",TRANSPOSE!I47,""))</f>
        <v>R</v>
      </c>
      <c r="J21" s="908" t="str">
        <f>TRIM(IF(TRANSPOSE!J47&lt;&gt;"",TRANSPOSE!J47,""))</f>
        <v>R</v>
      </c>
      <c r="K21" s="908" t="str">
        <f>TRIM(IF(TRANSPOSE!K47&lt;&gt;"",TRANSPOSE!K47,""))</f>
        <v>R</v>
      </c>
      <c r="L21" s="908" t="str">
        <f>TRIM(IF(TRANSPOSE!L47&lt;&gt;"",TRANSPOSE!L47,""))</f>
        <v/>
      </c>
      <c r="M21" s="908" t="str">
        <f>TRIM(IF(TRANSPOSE!M47&lt;&gt;"",TRANSPOSE!M47,""))</f>
        <v/>
      </c>
      <c r="N21" s="908" t="str">
        <f>TRIM(IF(TRANSPOSE!N47&lt;&gt;"",TRANSPOSE!N47,""))</f>
        <v/>
      </c>
      <c r="O21" s="908" t="str">
        <f>TRIM(IF(TRANSPOSE!O47&lt;&gt;"",TRANSPOSE!O47,""))</f>
        <v/>
      </c>
      <c r="P21" s="908" t="str">
        <f>TRIM(IF(TRANSPOSE!P47&lt;&gt;"",TRANSPOSE!P47,""))</f>
        <v/>
      </c>
      <c r="Q21" s="908" t="str">
        <f>TRIM(IF(TRANSPOSE!Q47&lt;&gt;"",TRANSPOSE!Q47,""))</f>
        <v/>
      </c>
      <c r="R21" s="908" t="str">
        <f>TRIM(IF(TRANSPOSE!R47&lt;&gt;"",TRANSPOSE!R47,""))</f>
        <v/>
      </c>
      <c r="S21" s="908" t="str">
        <f>TRIM(IF(TRANSPOSE!S47&lt;&gt;"",TRANSPOSE!S47,""))</f>
        <v/>
      </c>
      <c r="T21" s="908" t="str">
        <f>TRIM(IF(TRANSPOSE!T47&lt;&gt;"",TRANSPOSE!T47,""))</f>
        <v/>
      </c>
      <c r="U21" s="908" t="str">
        <f>TRIM(IF(TRANSPOSE!U47&lt;&gt;"",TRANSPOSE!U47,""))</f>
        <v/>
      </c>
      <c r="V21" s="908" t="str">
        <f>TRIM(IF(TRANSPOSE!V47&lt;&gt;"",TRANSPOSE!V47,""))</f>
        <v/>
      </c>
      <c r="W21" s="908" t="str">
        <f>TRIM(IF(TRANSPOSE!W47&lt;&gt;"",TRANSPOSE!W47,""))</f>
        <v/>
      </c>
      <c r="X21" s="908" t="str">
        <f>TRIM(IF(TRANSPOSE!X47&lt;&gt;"",TRANSPOSE!X47,""))</f>
        <v/>
      </c>
      <c r="Y21" s="908" t="str">
        <f>TRIM(IF(TRANSPOSE!Y47&lt;&gt;"",TRANSPOSE!Y47,""))</f>
        <v/>
      </c>
      <c r="Z21" s="908" t="str">
        <f>TRIM(IF(TRANSPOSE!Z47&lt;&gt;"",TRANSPOSE!Z47,""))</f>
        <v/>
      </c>
      <c r="AA21" s="908" t="str">
        <f>TRIM(IF(TRANSPOSE!AA47&lt;&gt;"",TRANSPOSE!AA47,""))</f>
        <v/>
      </c>
      <c r="AB21" s="908" t="str">
        <f>TRIM(IF(TRANSPOSE!AB47&lt;&gt;"",TRANSPOSE!AB47,""))</f>
        <v/>
      </c>
      <c r="AC21" s="908" t="str">
        <f>TRIM(IF(TRANSPOSE!AC47&lt;&gt;"",TRANSPOSE!AC47,""))</f>
        <v/>
      </c>
      <c r="AD21" s="908" t="str">
        <f>TRIM(IF(TRANSPOSE!AD47&lt;&gt;"",TRANSPOSE!AD47,""))</f>
        <v/>
      </c>
      <c r="AE21" s="908" t="str">
        <f>TRIM(IF(TRANSPOSE!AE47&lt;&gt;"",TRANSPOSE!AE47,""))</f>
        <v/>
      </c>
      <c r="AF21" s="908" t="str">
        <f>TRIM(IF(TRANSPOSE!AF47&lt;&gt;"",TRANSPOSE!AF47,""))</f>
        <v/>
      </c>
      <c r="AG21" s="908" t="str">
        <f>TRIM(IF(TRANSPOSE!AG47&lt;&gt;"",TRANSPOSE!AG47,""))</f>
        <v/>
      </c>
      <c r="AH21" s="908" t="str">
        <f>TRIM(IF(TRANSPOSE!AH47&lt;&gt;"",TRANSPOSE!AH47,""))</f>
        <v/>
      </c>
      <c r="AI21" s="908" t="str">
        <f>TRIM(IF(TRANSPOSE!AI47&lt;&gt;"",TRANSPOSE!AI47,""))</f>
        <v/>
      </c>
      <c r="AJ21" s="909" t="str">
        <f>TRIM(IF(TRANSPOSE!AJ47&lt;&gt;"",TRANSPOSE!AJ47,""))</f>
        <v/>
      </c>
      <c r="AM21" s="656">
        <f>COUNTIF(C16:AI27, "X")</f>
        <v>33</v>
      </c>
    </row>
    <row r="22" spans="1:57" ht="12" customHeight="1" x14ac:dyDescent="0.35">
      <c r="A22" s="1308"/>
      <c r="B22" s="730">
        <v>7</v>
      </c>
      <c r="C22" s="907" t="str">
        <f>TRIM(IF(TRANSPOSE!C48&lt;&gt;"",TRANSPOSE!C48,""))</f>
        <v/>
      </c>
      <c r="D22" s="908" t="str">
        <f>TRIM(IF(TRANSPOSE!D48&lt;&gt;"",TRANSPOSE!D48,""))</f>
        <v/>
      </c>
      <c r="E22" s="908" t="str">
        <f>TRIM(IF(TRANSPOSE!E48&lt;&gt;"",TRANSPOSE!E48,""))</f>
        <v/>
      </c>
      <c r="F22" s="908" t="str">
        <f>TRIM(IF(TRANSPOSE!F48&lt;&gt;"",TRANSPOSE!F48,""))</f>
        <v/>
      </c>
      <c r="G22" s="908" t="str">
        <f>TRIM(IF(TRANSPOSE!G48&lt;&gt;"",TRANSPOSE!G48,""))</f>
        <v/>
      </c>
      <c r="H22" s="908" t="str">
        <f>TRIM(IF(TRANSPOSE!H48&lt;&gt;"",TRANSPOSE!H48,""))</f>
        <v/>
      </c>
      <c r="I22" s="908" t="str">
        <f>TRIM(IF(TRANSPOSE!I48&lt;&gt;"",TRANSPOSE!I48,""))</f>
        <v/>
      </c>
      <c r="J22" s="908" t="str">
        <f>TRIM(IF(TRANSPOSE!J48&lt;&gt;"",TRANSPOSE!J48,""))</f>
        <v/>
      </c>
      <c r="K22" s="908" t="str">
        <f>TRIM(IF(TRANSPOSE!K48&lt;&gt;"",TRANSPOSE!K48,""))</f>
        <v/>
      </c>
      <c r="L22" s="908" t="str">
        <f>TRIM(IF(TRANSPOSE!L48&lt;&gt;"",TRANSPOSE!L48,""))</f>
        <v/>
      </c>
      <c r="M22" s="908" t="str">
        <f>TRIM(IF(TRANSPOSE!M48&lt;&gt;"",TRANSPOSE!M48,""))</f>
        <v/>
      </c>
      <c r="N22" s="908" t="str">
        <f>TRIM(IF(TRANSPOSE!N48&lt;&gt;"",TRANSPOSE!N48,""))</f>
        <v/>
      </c>
      <c r="O22" s="908" t="str">
        <f>TRIM(IF(TRANSPOSE!O48&lt;&gt;"",TRANSPOSE!O48,""))</f>
        <v/>
      </c>
      <c r="P22" s="908" t="str">
        <f>TRIM(IF(TRANSPOSE!P48&lt;&gt;"",TRANSPOSE!P48,""))</f>
        <v/>
      </c>
      <c r="Q22" s="908" t="str">
        <f>TRIM(IF(TRANSPOSE!Q48&lt;&gt;"",TRANSPOSE!Q48,""))</f>
        <v/>
      </c>
      <c r="R22" s="908" t="str">
        <f>TRIM(IF(TRANSPOSE!R48&lt;&gt;"",TRANSPOSE!R48,""))</f>
        <v/>
      </c>
      <c r="S22" s="908" t="str">
        <f>TRIM(IF(TRANSPOSE!S48&lt;&gt;"",TRANSPOSE!S48,""))</f>
        <v/>
      </c>
      <c r="T22" s="908" t="str">
        <f>TRIM(IF(TRANSPOSE!T48&lt;&gt;"",TRANSPOSE!T48,""))</f>
        <v/>
      </c>
      <c r="U22" s="908" t="str">
        <f>TRIM(IF(TRANSPOSE!U48&lt;&gt;"",TRANSPOSE!U48,""))</f>
        <v/>
      </c>
      <c r="V22" s="908" t="str">
        <f>TRIM(IF(TRANSPOSE!V48&lt;&gt;"",TRANSPOSE!V48,""))</f>
        <v/>
      </c>
      <c r="W22" s="908" t="str">
        <f>TRIM(IF(TRANSPOSE!W48&lt;&gt;"",TRANSPOSE!W48,""))</f>
        <v/>
      </c>
      <c r="X22" s="908" t="str">
        <f>TRIM(IF(TRANSPOSE!X48&lt;&gt;"",TRANSPOSE!X48,""))</f>
        <v/>
      </c>
      <c r="Y22" s="908" t="str">
        <f>TRIM(IF(TRANSPOSE!Y48&lt;&gt;"",TRANSPOSE!Y48,""))</f>
        <v/>
      </c>
      <c r="Z22" s="908" t="str">
        <f>TRIM(IF(TRANSPOSE!Z48&lt;&gt;"",TRANSPOSE!Z48,""))</f>
        <v/>
      </c>
      <c r="AA22" s="908" t="str">
        <f>TRIM(IF(TRANSPOSE!AA48&lt;&gt;"",TRANSPOSE!AA48,""))</f>
        <v/>
      </c>
      <c r="AB22" s="908" t="str">
        <f>TRIM(IF(TRANSPOSE!AB48&lt;&gt;"",TRANSPOSE!AB48,""))</f>
        <v/>
      </c>
      <c r="AC22" s="908" t="str">
        <f>TRIM(IF(TRANSPOSE!AC48&lt;&gt;"",TRANSPOSE!AC48,""))</f>
        <v/>
      </c>
      <c r="AD22" s="908" t="str">
        <f>TRIM(IF(TRANSPOSE!AD48&lt;&gt;"",TRANSPOSE!AD48,""))</f>
        <v/>
      </c>
      <c r="AE22" s="908" t="str">
        <f>TRIM(IF(TRANSPOSE!AE48&lt;&gt;"",TRANSPOSE!AE48,""))</f>
        <v/>
      </c>
      <c r="AF22" s="908" t="str">
        <f>TRIM(IF(TRANSPOSE!AF48&lt;&gt;"",TRANSPOSE!AF48,""))</f>
        <v/>
      </c>
      <c r="AG22" s="908" t="str">
        <f>TRIM(IF(TRANSPOSE!AG48&lt;&gt;"",TRANSPOSE!AG48,""))</f>
        <v/>
      </c>
      <c r="AH22" s="908" t="str">
        <f>TRIM(IF(TRANSPOSE!AH48&lt;&gt;"",TRANSPOSE!AH48,""))</f>
        <v/>
      </c>
      <c r="AI22" s="908" t="str">
        <f>TRIM(IF(TRANSPOSE!AI48&lt;&gt;"",TRANSPOSE!AI48,""))</f>
        <v/>
      </c>
      <c r="AJ22" s="909" t="str">
        <f>TRIM(IF(TRANSPOSE!AJ48&lt;&gt;"",TRANSPOSE!AJ48,""))</f>
        <v/>
      </c>
    </row>
    <row r="23" spans="1:57" ht="12" customHeight="1" x14ac:dyDescent="0.35">
      <c r="A23" s="1308"/>
      <c r="B23" s="730">
        <v>8</v>
      </c>
      <c r="C23" s="907" t="str">
        <f>TRIM(IF(TRANSPOSE!C49&lt;&gt;"",TRANSPOSE!C49,""))</f>
        <v/>
      </c>
      <c r="D23" s="908" t="str">
        <f>TRIM(IF(TRANSPOSE!D49&lt;&gt;"",TRANSPOSE!D49,""))</f>
        <v/>
      </c>
      <c r="E23" s="908" t="str">
        <f>TRIM(IF(TRANSPOSE!E49&lt;&gt;"",TRANSPOSE!E49,""))</f>
        <v/>
      </c>
      <c r="F23" s="908" t="str">
        <f>TRIM(IF(TRANSPOSE!F49&lt;&gt;"",TRANSPOSE!F49,""))</f>
        <v/>
      </c>
      <c r="G23" s="908" t="str">
        <f>TRIM(IF(TRANSPOSE!G49&lt;&gt;"",TRANSPOSE!G49,""))</f>
        <v/>
      </c>
      <c r="H23" s="908" t="str">
        <f>TRIM(IF(TRANSPOSE!H49&lt;&gt;"",TRANSPOSE!H49,""))</f>
        <v/>
      </c>
      <c r="I23" s="908" t="str">
        <f>TRIM(IF(TRANSPOSE!I49&lt;&gt;"",TRANSPOSE!I49,""))</f>
        <v/>
      </c>
      <c r="J23" s="908" t="str">
        <f>TRIM(IF(TRANSPOSE!J49&lt;&gt;"",TRANSPOSE!J49,""))</f>
        <v/>
      </c>
      <c r="K23" s="908" t="str">
        <f>TRIM(IF(TRANSPOSE!K49&lt;&gt;"",TRANSPOSE!K49,""))</f>
        <v/>
      </c>
      <c r="L23" s="908" t="str">
        <f>TRIM(IF(TRANSPOSE!L49&lt;&gt;"",TRANSPOSE!L49,""))</f>
        <v/>
      </c>
      <c r="M23" s="908" t="str">
        <f>TRIM(IF(TRANSPOSE!M49&lt;&gt;"",TRANSPOSE!M49,""))</f>
        <v/>
      </c>
      <c r="N23" s="908" t="str">
        <f>TRIM(IF(TRANSPOSE!N49&lt;&gt;"",TRANSPOSE!N49,""))</f>
        <v/>
      </c>
      <c r="O23" s="908" t="str">
        <f>TRIM(IF(TRANSPOSE!O49&lt;&gt;"",TRANSPOSE!O49,""))</f>
        <v/>
      </c>
      <c r="P23" s="908" t="str">
        <f>TRIM(IF(TRANSPOSE!P49&lt;&gt;"",TRANSPOSE!P49,""))</f>
        <v/>
      </c>
      <c r="Q23" s="908" t="str">
        <f>TRIM(IF(TRANSPOSE!Q49&lt;&gt;"",TRANSPOSE!Q49,""))</f>
        <v/>
      </c>
      <c r="R23" s="908" t="str">
        <f>TRIM(IF(TRANSPOSE!R49&lt;&gt;"",TRANSPOSE!R49,""))</f>
        <v/>
      </c>
      <c r="S23" s="908" t="str">
        <f>TRIM(IF(TRANSPOSE!S49&lt;&gt;"",TRANSPOSE!S49,""))</f>
        <v/>
      </c>
      <c r="T23" s="908" t="str">
        <f>TRIM(IF(TRANSPOSE!T49&lt;&gt;"",TRANSPOSE!T49,""))</f>
        <v/>
      </c>
      <c r="U23" s="908" t="str">
        <f>TRIM(IF(TRANSPOSE!U49&lt;&gt;"",TRANSPOSE!U49,""))</f>
        <v/>
      </c>
      <c r="V23" s="908" t="str">
        <f>TRIM(IF(TRANSPOSE!V49&lt;&gt;"",TRANSPOSE!V49,""))</f>
        <v/>
      </c>
      <c r="W23" s="908" t="str">
        <f>TRIM(IF(TRANSPOSE!W49&lt;&gt;"",TRANSPOSE!W49,""))</f>
        <v/>
      </c>
      <c r="X23" s="908" t="str">
        <f>TRIM(IF(TRANSPOSE!X49&lt;&gt;"",TRANSPOSE!X49,""))</f>
        <v/>
      </c>
      <c r="Y23" s="908" t="str">
        <f>TRIM(IF(TRANSPOSE!Y49&lt;&gt;"",TRANSPOSE!Y49,""))</f>
        <v/>
      </c>
      <c r="Z23" s="908" t="str">
        <f>TRIM(IF(TRANSPOSE!Z49&lt;&gt;"",TRANSPOSE!Z49,""))</f>
        <v/>
      </c>
      <c r="AA23" s="908" t="str">
        <f>TRIM(IF(TRANSPOSE!AA49&lt;&gt;"",TRANSPOSE!AA49,""))</f>
        <v/>
      </c>
      <c r="AB23" s="908" t="str">
        <f>TRIM(IF(TRANSPOSE!AB49&lt;&gt;"",TRANSPOSE!AB49,""))</f>
        <v/>
      </c>
      <c r="AC23" s="908" t="str">
        <f>TRIM(IF(TRANSPOSE!AC49&lt;&gt;"",TRANSPOSE!AC49,""))</f>
        <v/>
      </c>
      <c r="AD23" s="908" t="str">
        <f>TRIM(IF(TRANSPOSE!AD49&lt;&gt;"",TRANSPOSE!AD49,""))</f>
        <v/>
      </c>
      <c r="AE23" s="908" t="str">
        <f>TRIM(IF(TRANSPOSE!AE49&lt;&gt;"",TRANSPOSE!AE49,""))</f>
        <v/>
      </c>
      <c r="AF23" s="908" t="str">
        <f>TRIM(IF(TRANSPOSE!AF49&lt;&gt;"",TRANSPOSE!AF49,""))</f>
        <v/>
      </c>
      <c r="AG23" s="908" t="str">
        <f>TRIM(IF(TRANSPOSE!AG49&lt;&gt;"",TRANSPOSE!AG49,""))</f>
        <v/>
      </c>
      <c r="AH23" s="908" t="str">
        <f>TRIM(IF(TRANSPOSE!AH49&lt;&gt;"",TRANSPOSE!AH49,""))</f>
        <v/>
      </c>
      <c r="AI23" s="908" t="str">
        <f>TRIM(IF(TRANSPOSE!AI49&lt;&gt;"",TRANSPOSE!AI49,""))</f>
        <v/>
      </c>
      <c r="AJ23" s="909" t="str">
        <f>TRIM(IF(TRANSPOSE!AJ49&lt;&gt;"",TRANSPOSE!AJ49,""))</f>
        <v/>
      </c>
    </row>
    <row r="24" spans="1:57" ht="12" customHeight="1" x14ac:dyDescent="0.35">
      <c r="A24" s="1308"/>
      <c r="B24" s="730">
        <v>9</v>
      </c>
      <c r="C24" s="907" t="str">
        <f>TRIM(IF(TRANSPOSE!C50&lt;&gt;"",TRANSPOSE!C50,""))</f>
        <v/>
      </c>
      <c r="D24" s="908" t="str">
        <f>TRIM(IF(TRANSPOSE!D50&lt;&gt;"",TRANSPOSE!D50,""))</f>
        <v/>
      </c>
      <c r="E24" s="908" t="str">
        <f>TRIM(IF(TRANSPOSE!E50&lt;&gt;"",TRANSPOSE!E50,""))</f>
        <v/>
      </c>
      <c r="F24" s="908" t="str">
        <f>TRIM(IF(TRANSPOSE!F50&lt;&gt;"",TRANSPOSE!F50,""))</f>
        <v/>
      </c>
      <c r="G24" s="908" t="str">
        <f>TRIM(IF(TRANSPOSE!G50&lt;&gt;"",TRANSPOSE!G50,""))</f>
        <v/>
      </c>
      <c r="H24" s="908" t="str">
        <f>TRIM(IF(TRANSPOSE!H50&lt;&gt;"",TRANSPOSE!H50,""))</f>
        <v/>
      </c>
      <c r="I24" s="908" t="str">
        <f>TRIM(IF(TRANSPOSE!I50&lt;&gt;"",TRANSPOSE!I50,""))</f>
        <v/>
      </c>
      <c r="J24" s="908" t="str">
        <f>TRIM(IF(TRANSPOSE!J50&lt;&gt;"",TRANSPOSE!J50,""))</f>
        <v/>
      </c>
      <c r="K24" s="908" t="str">
        <f>TRIM(IF(TRANSPOSE!K50&lt;&gt;"",TRANSPOSE!K50,""))</f>
        <v/>
      </c>
      <c r="L24" s="908" t="str">
        <f>TRIM(IF(TRANSPOSE!L50&lt;&gt;"",TRANSPOSE!L50,""))</f>
        <v/>
      </c>
      <c r="M24" s="908" t="str">
        <f>TRIM(IF(TRANSPOSE!M50&lt;&gt;"",TRANSPOSE!M50,""))</f>
        <v/>
      </c>
      <c r="N24" s="908" t="str">
        <f>TRIM(IF(TRANSPOSE!N50&lt;&gt;"",TRANSPOSE!N50,""))</f>
        <v/>
      </c>
      <c r="O24" s="908" t="str">
        <f>TRIM(IF(TRANSPOSE!O50&lt;&gt;"",TRANSPOSE!O50,""))</f>
        <v/>
      </c>
      <c r="P24" s="908" t="str">
        <f>TRIM(IF(TRANSPOSE!P50&lt;&gt;"",TRANSPOSE!P50,""))</f>
        <v/>
      </c>
      <c r="Q24" s="908" t="str">
        <f>TRIM(IF(TRANSPOSE!Q50&lt;&gt;"",TRANSPOSE!Q50,""))</f>
        <v/>
      </c>
      <c r="R24" s="908" t="str">
        <f>TRIM(IF(TRANSPOSE!R50&lt;&gt;"",TRANSPOSE!R50,""))</f>
        <v/>
      </c>
      <c r="S24" s="908" t="str">
        <f>TRIM(IF(TRANSPOSE!S50&lt;&gt;"",TRANSPOSE!S50,""))</f>
        <v/>
      </c>
      <c r="T24" s="908" t="str">
        <f>TRIM(IF(TRANSPOSE!T50&lt;&gt;"",TRANSPOSE!T50,""))</f>
        <v/>
      </c>
      <c r="U24" s="908" t="str">
        <f>TRIM(IF(TRANSPOSE!U50&lt;&gt;"",TRANSPOSE!U50,""))</f>
        <v/>
      </c>
      <c r="V24" s="908" t="str">
        <f>TRIM(IF(TRANSPOSE!V50&lt;&gt;"",TRANSPOSE!V50,""))</f>
        <v/>
      </c>
      <c r="W24" s="908" t="str">
        <f>TRIM(IF(TRANSPOSE!W50&lt;&gt;"",TRANSPOSE!W50,""))</f>
        <v/>
      </c>
      <c r="X24" s="908" t="str">
        <f>TRIM(IF(TRANSPOSE!X50&lt;&gt;"",TRANSPOSE!X50,""))</f>
        <v/>
      </c>
      <c r="Y24" s="908" t="str">
        <f>TRIM(IF(TRANSPOSE!Y50&lt;&gt;"",TRANSPOSE!Y50,""))</f>
        <v/>
      </c>
      <c r="Z24" s="908" t="str">
        <f>TRIM(IF(TRANSPOSE!Z50&lt;&gt;"",TRANSPOSE!Z50,""))</f>
        <v/>
      </c>
      <c r="AA24" s="908" t="str">
        <f>TRIM(IF(TRANSPOSE!AA50&lt;&gt;"",TRANSPOSE!AA50,""))</f>
        <v/>
      </c>
      <c r="AB24" s="908" t="str">
        <f>TRIM(IF(TRANSPOSE!AB50&lt;&gt;"",TRANSPOSE!AB50,""))</f>
        <v/>
      </c>
      <c r="AC24" s="908" t="str">
        <f>TRIM(IF(TRANSPOSE!AC50&lt;&gt;"",TRANSPOSE!AC50,""))</f>
        <v/>
      </c>
      <c r="AD24" s="908" t="str">
        <f>TRIM(IF(TRANSPOSE!AD50&lt;&gt;"",TRANSPOSE!AD50,""))</f>
        <v/>
      </c>
      <c r="AE24" s="908" t="str">
        <f>TRIM(IF(TRANSPOSE!AE50&lt;&gt;"",TRANSPOSE!AE50,""))</f>
        <v/>
      </c>
      <c r="AF24" s="908" t="str">
        <f>TRIM(IF(TRANSPOSE!AF50&lt;&gt;"",TRANSPOSE!AF50,""))</f>
        <v/>
      </c>
      <c r="AG24" s="908" t="str">
        <f>TRIM(IF(TRANSPOSE!AG50&lt;&gt;"",TRANSPOSE!AG50,""))</f>
        <v/>
      </c>
      <c r="AH24" s="908" t="str">
        <f>TRIM(IF(TRANSPOSE!AH50&lt;&gt;"",TRANSPOSE!AH50,""))</f>
        <v/>
      </c>
      <c r="AI24" s="908" t="str">
        <f>TRIM(IF(TRANSPOSE!AI50&lt;&gt;"",TRANSPOSE!AI50,""))</f>
        <v/>
      </c>
      <c r="AJ24" s="909" t="str">
        <f>TRIM(IF(TRANSPOSE!AJ50&lt;&gt;"",TRANSPOSE!AJ50,""))</f>
        <v/>
      </c>
    </row>
    <row r="25" spans="1:57" ht="12" customHeight="1" x14ac:dyDescent="0.35">
      <c r="A25" s="1308"/>
      <c r="B25" s="730">
        <v>10</v>
      </c>
      <c r="C25" s="907" t="str">
        <f>TRIM(IF(TRANSPOSE!C51&lt;&gt;"",TRANSPOSE!C51,""))</f>
        <v/>
      </c>
      <c r="D25" s="908" t="str">
        <f>TRIM(IF(TRANSPOSE!D51&lt;&gt;"",TRANSPOSE!D51,""))</f>
        <v/>
      </c>
      <c r="E25" s="908" t="str">
        <f>TRIM(IF(TRANSPOSE!E51&lt;&gt;"",TRANSPOSE!E51,""))</f>
        <v/>
      </c>
      <c r="F25" s="908" t="str">
        <f>TRIM(IF(TRANSPOSE!F51&lt;&gt;"",TRANSPOSE!F51,""))</f>
        <v/>
      </c>
      <c r="G25" s="908" t="str">
        <f>TRIM(IF(TRANSPOSE!G51&lt;&gt;"",TRANSPOSE!G51,""))</f>
        <v/>
      </c>
      <c r="H25" s="908" t="str">
        <f>TRIM(IF(TRANSPOSE!H51&lt;&gt;"",TRANSPOSE!H51,""))</f>
        <v/>
      </c>
      <c r="I25" s="908" t="str">
        <f>TRIM(IF(TRANSPOSE!I51&lt;&gt;"",TRANSPOSE!I51,""))</f>
        <v/>
      </c>
      <c r="J25" s="908" t="str">
        <f>TRIM(IF(TRANSPOSE!J51&lt;&gt;"",TRANSPOSE!J51,""))</f>
        <v/>
      </c>
      <c r="K25" s="908" t="str">
        <f>TRIM(IF(TRANSPOSE!K51&lt;&gt;"",TRANSPOSE!K51,""))</f>
        <v/>
      </c>
      <c r="L25" s="908" t="str">
        <f>TRIM(IF(TRANSPOSE!L51&lt;&gt;"",TRANSPOSE!L51,""))</f>
        <v/>
      </c>
      <c r="M25" s="908" t="str">
        <f>TRIM(IF(TRANSPOSE!M51&lt;&gt;"",TRANSPOSE!M51,""))</f>
        <v/>
      </c>
      <c r="N25" s="908" t="str">
        <f>TRIM(IF(TRANSPOSE!N51&lt;&gt;"",TRANSPOSE!N51,""))</f>
        <v/>
      </c>
      <c r="O25" s="908" t="str">
        <f>TRIM(IF(TRANSPOSE!O51&lt;&gt;"",TRANSPOSE!O51,""))</f>
        <v/>
      </c>
      <c r="P25" s="908" t="str">
        <f>TRIM(IF(TRANSPOSE!P51&lt;&gt;"",TRANSPOSE!P51,""))</f>
        <v/>
      </c>
      <c r="Q25" s="908" t="str">
        <f>TRIM(IF(TRANSPOSE!Q51&lt;&gt;"",TRANSPOSE!Q51,""))</f>
        <v/>
      </c>
      <c r="R25" s="908" t="str">
        <f>TRIM(IF(TRANSPOSE!R51&lt;&gt;"",TRANSPOSE!R51,""))</f>
        <v/>
      </c>
      <c r="S25" s="908" t="str">
        <f>TRIM(IF(TRANSPOSE!S51&lt;&gt;"",TRANSPOSE!S51,""))</f>
        <v/>
      </c>
      <c r="T25" s="908" t="str">
        <f>TRIM(IF(TRANSPOSE!T51&lt;&gt;"",TRANSPOSE!T51,""))</f>
        <v/>
      </c>
      <c r="U25" s="908" t="str">
        <f>TRIM(IF(TRANSPOSE!U51&lt;&gt;"",TRANSPOSE!U51,""))</f>
        <v/>
      </c>
      <c r="V25" s="908" t="str">
        <f>TRIM(IF(TRANSPOSE!V51&lt;&gt;"",TRANSPOSE!V51,""))</f>
        <v/>
      </c>
      <c r="W25" s="908" t="str">
        <f>TRIM(IF(TRANSPOSE!W51&lt;&gt;"",TRANSPOSE!W51,""))</f>
        <v/>
      </c>
      <c r="X25" s="908" t="str">
        <f>TRIM(IF(TRANSPOSE!X51&lt;&gt;"",TRANSPOSE!X51,""))</f>
        <v/>
      </c>
      <c r="Y25" s="908" t="str">
        <f>TRIM(IF(TRANSPOSE!Y51&lt;&gt;"",TRANSPOSE!Y51,""))</f>
        <v/>
      </c>
      <c r="Z25" s="908" t="str">
        <f>TRIM(IF(TRANSPOSE!Z51&lt;&gt;"",TRANSPOSE!Z51,""))</f>
        <v/>
      </c>
      <c r="AA25" s="908" t="str">
        <f>TRIM(IF(TRANSPOSE!AA51&lt;&gt;"",TRANSPOSE!AA51,""))</f>
        <v/>
      </c>
      <c r="AB25" s="908" t="str">
        <f>TRIM(IF(TRANSPOSE!AB51&lt;&gt;"",TRANSPOSE!AB51,""))</f>
        <v/>
      </c>
      <c r="AC25" s="908" t="str">
        <f>TRIM(IF(TRANSPOSE!AC51&lt;&gt;"",TRANSPOSE!AC51,""))</f>
        <v/>
      </c>
      <c r="AD25" s="908" t="str">
        <f>TRIM(IF(TRANSPOSE!AD51&lt;&gt;"",TRANSPOSE!AD51,""))</f>
        <v/>
      </c>
      <c r="AE25" s="908" t="str">
        <f>TRIM(IF(TRANSPOSE!AE51&lt;&gt;"",TRANSPOSE!AE51,""))</f>
        <v/>
      </c>
      <c r="AF25" s="908" t="str">
        <f>TRIM(IF(TRANSPOSE!AF51&lt;&gt;"",TRANSPOSE!AF51,""))</f>
        <v/>
      </c>
      <c r="AG25" s="908" t="str">
        <f>TRIM(IF(TRANSPOSE!AG51&lt;&gt;"",TRANSPOSE!AG51,""))</f>
        <v/>
      </c>
      <c r="AH25" s="908" t="str">
        <f>TRIM(IF(TRANSPOSE!AH51&lt;&gt;"",TRANSPOSE!AH51,""))</f>
        <v/>
      </c>
      <c r="AI25" s="908" t="str">
        <f>TRIM(IF(TRANSPOSE!AI51&lt;&gt;"",TRANSPOSE!AI51,""))</f>
        <v/>
      </c>
      <c r="AJ25" s="909" t="str">
        <f>TRIM(IF(TRANSPOSE!AJ51&lt;&gt;"",TRANSPOSE!AJ51,""))</f>
        <v/>
      </c>
    </row>
    <row r="26" spans="1:57" ht="12" customHeight="1" thickBot="1" x14ac:dyDescent="0.4">
      <c r="A26" s="1308"/>
      <c r="B26" s="730">
        <v>11</v>
      </c>
      <c r="C26" s="907" t="str">
        <f>TRIM(IF(TRANSPOSE!C52&lt;&gt;"",TRANSPOSE!C52,""))</f>
        <v/>
      </c>
      <c r="D26" s="908" t="str">
        <f>TRIM(IF(TRANSPOSE!D52&lt;&gt;"",TRANSPOSE!D52,""))</f>
        <v/>
      </c>
      <c r="E26" s="908" t="str">
        <f>TRIM(IF(TRANSPOSE!E52&lt;&gt;"",TRANSPOSE!E52,""))</f>
        <v/>
      </c>
      <c r="F26" s="908" t="str">
        <f>TRIM(IF(TRANSPOSE!F52&lt;&gt;"",TRANSPOSE!F52,""))</f>
        <v/>
      </c>
      <c r="G26" s="908" t="str">
        <f>TRIM(IF(TRANSPOSE!G52&lt;&gt;"",TRANSPOSE!G52,""))</f>
        <v/>
      </c>
      <c r="H26" s="908" t="str">
        <f>TRIM(IF(TRANSPOSE!H52&lt;&gt;"",TRANSPOSE!H52,""))</f>
        <v/>
      </c>
      <c r="I26" s="908" t="str">
        <f>TRIM(IF(TRANSPOSE!I52&lt;&gt;"",TRANSPOSE!I52,""))</f>
        <v/>
      </c>
      <c r="J26" s="908" t="str">
        <f>TRIM(IF(TRANSPOSE!J52&lt;&gt;"",TRANSPOSE!J52,""))</f>
        <v/>
      </c>
      <c r="K26" s="908" t="str">
        <f>TRIM(IF(TRANSPOSE!K52&lt;&gt;"",TRANSPOSE!K52,""))</f>
        <v/>
      </c>
      <c r="L26" s="908" t="str">
        <f>TRIM(IF(TRANSPOSE!L52&lt;&gt;"",TRANSPOSE!L52,""))</f>
        <v/>
      </c>
      <c r="M26" s="908" t="str">
        <f>TRIM(IF(TRANSPOSE!M52&lt;&gt;"",TRANSPOSE!M52,""))</f>
        <v/>
      </c>
      <c r="N26" s="908" t="str">
        <f>TRIM(IF(TRANSPOSE!N52&lt;&gt;"",TRANSPOSE!N52,""))</f>
        <v/>
      </c>
      <c r="O26" s="908" t="str">
        <f>TRIM(IF(TRANSPOSE!O52&lt;&gt;"",TRANSPOSE!O52,""))</f>
        <v/>
      </c>
      <c r="P26" s="908" t="str">
        <f>TRIM(IF(TRANSPOSE!P52&lt;&gt;"",TRANSPOSE!P52,""))</f>
        <v/>
      </c>
      <c r="Q26" s="908" t="str">
        <f>TRIM(IF(TRANSPOSE!Q52&lt;&gt;"",TRANSPOSE!Q52,""))</f>
        <v/>
      </c>
      <c r="R26" s="908" t="str">
        <f>TRIM(IF(TRANSPOSE!R52&lt;&gt;"",TRANSPOSE!R52,""))</f>
        <v/>
      </c>
      <c r="S26" s="908" t="str">
        <f>TRIM(IF(TRANSPOSE!S52&lt;&gt;"",TRANSPOSE!S52,""))</f>
        <v/>
      </c>
      <c r="T26" s="908" t="str">
        <f>TRIM(IF(TRANSPOSE!T52&lt;&gt;"",TRANSPOSE!T52,""))</f>
        <v/>
      </c>
      <c r="U26" s="908" t="str">
        <f>TRIM(IF(TRANSPOSE!U52&lt;&gt;"",TRANSPOSE!U52,""))</f>
        <v/>
      </c>
      <c r="V26" s="908" t="str">
        <f>TRIM(IF(TRANSPOSE!V52&lt;&gt;"",TRANSPOSE!V52,""))</f>
        <v/>
      </c>
      <c r="W26" s="908" t="str">
        <f>TRIM(IF(TRANSPOSE!W52&lt;&gt;"",TRANSPOSE!W52,""))</f>
        <v/>
      </c>
      <c r="X26" s="908" t="str">
        <f>TRIM(IF(TRANSPOSE!X52&lt;&gt;"",TRANSPOSE!X52,""))</f>
        <v/>
      </c>
      <c r="Y26" s="908" t="str">
        <f>TRIM(IF(TRANSPOSE!Y52&lt;&gt;"",TRANSPOSE!Y52,""))</f>
        <v/>
      </c>
      <c r="Z26" s="908" t="str">
        <f>TRIM(IF(TRANSPOSE!Z52&lt;&gt;"",TRANSPOSE!Z52,""))</f>
        <v/>
      </c>
      <c r="AA26" s="908" t="str">
        <f>TRIM(IF(TRANSPOSE!AA52&lt;&gt;"",TRANSPOSE!AA52,""))</f>
        <v/>
      </c>
      <c r="AB26" s="908" t="str">
        <f>TRIM(IF(TRANSPOSE!AB52&lt;&gt;"",TRANSPOSE!AB52,""))</f>
        <v/>
      </c>
      <c r="AC26" s="908" t="str">
        <f>TRIM(IF(TRANSPOSE!AC52&lt;&gt;"",TRANSPOSE!AC52,""))</f>
        <v/>
      </c>
      <c r="AD26" s="908" t="str">
        <f>TRIM(IF(TRANSPOSE!AD52&lt;&gt;"",TRANSPOSE!AD52,""))</f>
        <v/>
      </c>
      <c r="AE26" s="908" t="str">
        <f>TRIM(IF(TRANSPOSE!AE52&lt;&gt;"",TRANSPOSE!AE52,""))</f>
        <v/>
      </c>
      <c r="AF26" s="908" t="str">
        <f>TRIM(IF(TRANSPOSE!AF52&lt;&gt;"",TRANSPOSE!AF52,""))</f>
        <v/>
      </c>
      <c r="AG26" s="908" t="str">
        <f>TRIM(IF(TRANSPOSE!AG52&lt;&gt;"",TRANSPOSE!AG52,""))</f>
        <v/>
      </c>
      <c r="AH26" s="908" t="str">
        <f>TRIM(IF(TRANSPOSE!AH52&lt;&gt;"",TRANSPOSE!AH52,""))</f>
        <v/>
      </c>
      <c r="AI26" s="908" t="str">
        <f>TRIM(IF(TRANSPOSE!AI52&lt;&gt;"",TRANSPOSE!AI52,""))</f>
        <v/>
      </c>
      <c r="AJ26" s="909" t="str">
        <f>TRIM(IF(TRANSPOSE!AJ52&lt;&gt;"",TRANSPOSE!AJ52,""))</f>
        <v/>
      </c>
    </row>
    <row r="27" spans="1:57" ht="12" customHeight="1" thickBot="1" x14ac:dyDescent="0.4">
      <c r="A27" s="1309"/>
      <c r="B27" s="906">
        <v>12</v>
      </c>
      <c r="C27" s="819" t="str">
        <f>TRIM(IF(TRANSPOSE!C53&lt;&gt;"",TRANSPOSE!C53,""))</f>
        <v/>
      </c>
      <c r="D27" s="820" t="str">
        <f>TRIM(IF(TRANSPOSE!D53&lt;&gt;"",TRANSPOSE!D53,""))</f>
        <v/>
      </c>
      <c r="E27" s="820" t="str">
        <f>TRIM(IF(TRANSPOSE!E53&lt;&gt;"",TRANSPOSE!E53,""))</f>
        <v/>
      </c>
      <c r="F27" s="820" t="str">
        <f>TRIM(IF(TRANSPOSE!F53&lt;&gt;"",TRANSPOSE!F53,""))</f>
        <v/>
      </c>
      <c r="G27" s="820" t="str">
        <f>TRIM(IF(TRANSPOSE!G53&lt;&gt;"",TRANSPOSE!G53,""))</f>
        <v/>
      </c>
      <c r="H27" s="820" t="str">
        <f>TRIM(IF(TRANSPOSE!H53&lt;&gt;"",TRANSPOSE!H53,""))</f>
        <v/>
      </c>
      <c r="I27" s="820" t="str">
        <f>TRIM(IF(TRANSPOSE!I53&lt;&gt;"",TRANSPOSE!I53,""))</f>
        <v/>
      </c>
      <c r="J27" s="820" t="str">
        <f>TRIM(IF(TRANSPOSE!J53&lt;&gt;"",TRANSPOSE!J53,""))</f>
        <v/>
      </c>
      <c r="K27" s="820" t="str">
        <f>TRIM(IF(TRANSPOSE!K53&lt;&gt;"",TRANSPOSE!K53,""))</f>
        <v/>
      </c>
      <c r="L27" s="820" t="str">
        <f>TRIM(IF(TRANSPOSE!L53&lt;&gt;"",TRANSPOSE!L53,""))</f>
        <v/>
      </c>
      <c r="M27" s="820" t="str">
        <f>TRIM(IF(TRANSPOSE!M53&lt;&gt;"",TRANSPOSE!M53,""))</f>
        <v/>
      </c>
      <c r="N27" s="820" t="str">
        <f>TRIM(IF(TRANSPOSE!N53&lt;&gt;"",TRANSPOSE!N53,""))</f>
        <v/>
      </c>
      <c r="O27" s="820" t="str">
        <f>TRIM(IF(TRANSPOSE!O53&lt;&gt;"",TRANSPOSE!O53,""))</f>
        <v/>
      </c>
      <c r="P27" s="820" t="str">
        <f>TRIM(IF(TRANSPOSE!P53&lt;&gt;"",TRANSPOSE!P53,""))</f>
        <v/>
      </c>
      <c r="Q27" s="820" t="str">
        <f>TRIM(IF(TRANSPOSE!Q53&lt;&gt;"",TRANSPOSE!Q53,""))</f>
        <v/>
      </c>
      <c r="R27" s="820" t="str">
        <f>TRIM(IF(TRANSPOSE!R53&lt;&gt;"",TRANSPOSE!R53,""))</f>
        <v/>
      </c>
      <c r="S27" s="820" t="str">
        <f>TRIM(IF(TRANSPOSE!S53&lt;&gt;"",TRANSPOSE!S53,""))</f>
        <v/>
      </c>
      <c r="T27" s="820" t="str">
        <f>TRIM(IF(TRANSPOSE!T53&lt;&gt;"",TRANSPOSE!T53,""))</f>
        <v/>
      </c>
      <c r="U27" s="820" t="str">
        <f>TRIM(IF(TRANSPOSE!U53&lt;&gt;"",TRANSPOSE!U53,""))</f>
        <v/>
      </c>
      <c r="V27" s="820" t="str">
        <f>TRIM(IF(TRANSPOSE!V53&lt;&gt;"",TRANSPOSE!V53,""))</f>
        <v/>
      </c>
      <c r="W27" s="820" t="str">
        <f>TRIM(IF(TRANSPOSE!W53&lt;&gt;"",TRANSPOSE!W53,""))</f>
        <v/>
      </c>
      <c r="X27" s="820" t="str">
        <f>TRIM(IF(TRANSPOSE!X53&lt;&gt;"",TRANSPOSE!X53,""))</f>
        <v/>
      </c>
      <c r="Y27" s="820" t="str">
        <f>TRIM(IF(TRANSPOSE!Y53&lt;&gt;"",TRANSPOSE!Y53,""))</f>
        <v/>
      </c>
      <c r="Z27" s="820" t="str">
        <f>TRIM(IF(TRANSPOSE!Z53&lt;&gt;"",TRANSPOSE!Z53,""))</f>
        <v/>
      </c>
      <c r="AA27" s="820" t="str">
        <f>TRIM(IF(TRANSPOSE!AA53&lt;&gt;"",TRANSPOSE!AA53,""))</f>
        <v/>
      </c>
      <c r="AB27" s="820" t="str">
        <f>TRIM(IF(TRANSPOSE!AB53&lt;&gt;"",TRANSPOSE!AB53,""))</f>
        <v/>
      </c>
      <c r="AC27" s="820" t="str">
        <f>TRIM(IF(TRANSPOSE!AC53&lt;&gt;"",TRANSPOSE!AC53,""))</f>
        <v/>
      </c>
      <c r="AD27" s="820" t="str">
        <f>TRIM(IF(TRANSPOSE!AD53&lt;&gt;"",TRANSPOSE!AD53,""))</f>
        <v/>
      </c>
      <c r="AE27" s="820" t="str">
        <f>TRIM(IF(TRANSPOSE!AE53&lt;&gt;"",TRANSPOSE!AE53,""))</f>
        <v/>
      </c>
      <c r="AF27" s="820" t="str">
        <f>TRIM(IF(TRANSPOSE!AF53&lt;&gt;"",TRANSPOSE!AF53,""))</f>
        <v/>
      </c>
      <c r="AG27" s="820" t="str">
        <f>TRIM(IF(TRANSPOSE!AG53&lt;&gt;"",TRANSPOSE!AG53,""))</f>
        <v/>
      </c>
      <c r="AH27" s="820" t="str">
        <f>TRIM(IF(TRANSPOSE!AH53&lt;&gt;"",TRANSPOSE!AH53,""))</f>
        <v/>
      </c>
      <c r="AI27" s="820" t="str">
        <f>TRIM(IF(TRANSPOSE!AI53&lt;&gt;"",TRANSPOSE!AI53,""))</f>
        <v/>
      </c>
      <c r="AJ27" s="821" t="str">
        <f>TRIM(IF(TRANSPOSE!AJ53&lt;&gt;"",TRANSPOSE!AJ53,""))</f>
        <v/>
      </c>
      <c r="AP27" s="1323" t="s">
        <v>1793</v>
      </c>
      <c r="AQ27" s="1324"/>
      <c r="AR27" s="1324"/>
      <c r="AS27" s="1324"/>
      <c r="AT27" s="1324"/>
      <c r="AU27" s="1324"/>
      <c r="AV27" s="1317" t="str">
        <f>IF(Data!B7="SAUDI ARAMCO",IF(Data!B14&lt;&gt;"",Data!B14,"")&amp;"  "&amp;IF(Data!B14&lt;&gt;"N/A",IF(Data!B15&lt;&gt;"",TEXT(Data!B15,"MM/DD/YYYY"),""),""),"")</f>
        <v xml:space="preserve">  </v>
      </c>
      <c r="AW27" s="1317"/>
      <c r="AX27" s="1317"/>
      <c r="AY27" s="1317"/>
      <c r="AZ27" s="1317"/>
      <c r="BA27" s="1317"/>
      <c r="BB27" s="1317"/>
      <c r="BC27" s="1317"/>
      <c r="BD27" s="1317"/>
      <c r="BE27" s="1318"/>
    </row>
    <row r="28" spans="1:57" ht="6" customHeight="1" thickBot="1" x14ac:dyDescent="0.4">
      <c r="A28" s="662"/>
      <c r="B28" s="662"/>
      <c r="C28" s="662"/>
      <c r="D28" s="662"/>
      <c r="E28" s="662"/>
      <c r="F28" s="662"/>
      <c r="G28" s="662"/>
      <c r="H28" s="662"/>
      <c r="I28" s="662"/>
      <c r="J28" s="662"/>
      <c r="K28" s="662"/>
      <c r="L28" s="662"/>
      <c r="M28" s="662"/>
      <c r="N28" s="662"/>
      <c r="O28" s="662"/>
      <c r="P28" s="662"/>
      <c r="Q28" s="662"/>
      <c r="R28" s="662"/>
      <c r="S28" s="662"/>
      <c r="T28" s="662"/>
      <c r="U28" s="662"/>
      <c r="V28" s="662"/>
      <c r="W28" s="662"/>
      <c r="X28" s="662"/>
      <c r="Y28" s="662"/>
      <c r="Z28" s="662"/>
      <c r="AA28" s="662"/>
      <c r="AB28" s="662"/>
      <c r="AC28" s="662"/>
      <c r="AD28" s="662"/>
      <c r="AE28" s="662"/>
      <c r="AF28" s="662"/>
      <c r="AG28" s="662"/>
      <c r="AH28" s="662"/>
      <c r="AI28" s="662"/>
      <c r="AJ28" s="662"/>
      <c r="AP28" s="1325"/>
      <c r="AQ28" s="1326"/>
      <c r="AR28" s="1326"/>
      <c r="AS28" s="1326"/>
      <c r="AT28" s="1326"/>
      <c r="AU28" s="1326"/>
      <c r="AV28" s="1319"/>
      <c r="AW28" s="1319"/>
      <c r="AX28" s="1319"/>
      <c r="AY28" s="1319"/>
      <c r="AZ28" s="1319"/>
      <c r="BA28" s="1319"/>
      <c r="BB28" s="1319"/>
      <c r="BC28" s="1319"/>
      <c r="BD28" s="1319"/>
      <c r="BE28" s="1320"/>
    </row>
    <row r="29" spans="1:57" ht="13.5" customHeight="1" x14ac:dyDescent="0.35">
      <c r="A29" s="1310" t="s">
        <v>795</v>
      </c>
      <c r="B29" s="1310"/>
      <c r="C29" s="1310"/>
      <c r="D29" s="1310"/>
      <c r="E29" s="1311" t="str">
        <f>IF(Data!B11&lt;&gt;"",Data!B11,"")</f>
        <v>Yakoob Alajawad</v>
      </c>
      <c r="F29" s="1311"/>
      <c r="G29" s="1311"/>
      <c r="H29" s="1311"/>
      <c r="I29" s="1311"/>
      <c r="J29" s="1311"/>
      <c r="K29" s="1310" t="s">
        <v>1506</v>
      </c>
      <c r="L29" s="1310"/>
      <c r="M29" s="1312" t="str">
        <f>IF(Data!B12&lt;&gt;"",Data!B12,"")</f>
        <v>Ali Alhammad</v>
      </c>
      <c r="N29" s="1312"/>
      <c r="O29" s="1312"/>
      <c r="P29" s="1312"/>
      <c r="Q29" s="1312"/>
      <c r="R29" s="1312"/>
      <c r="S29" s="1312"/>
      <c r="T29" s="1270" t="s">
        <v>36</v>
      </c>
      <c r="U29" s="1270"/>
      <c r="V29" s="1270"/>
      <c r="W29" s="1313">
        <f>IF(Data!B13&lt;&gt;"",Data!B13,"")</f>
        <v>46022</v>
      </c>
      <c r="X29" s="1313"/>
      <c r="Y29" s="1313"/>
      <c r="Z29" s="1313"/>
      <c r="AA29" s="1313"/>
      <c r="AB29" s="1313"/>
    </row>
    <row r="30" spans="1:57" ht="6" customHeight="1" thickBot="1" x14ac:dyDescent="0.4">
      <c r="A30" s="660"/>
      <c r="B30" s="660"/>
      <c r="C30" s="660"/>
      <c r="D30" s="660"/>
      <c r="E30" s="660"/>
      <c r="F30" s="660"/>
      <c r="G30" s="660"/>
      <c r="H30" s="660"/>
      <c r="I30" s="660"/>
      <c r="J30" s="660"/>
      <c r="K30" s="660"/>
      <c r="L30" s="660"/>
      <c r="M30" s="660"/>
      <c r="N30" s="660"/>
      <c r="O30" s="660"/>
      <c r="P30" s="660"/>
      <c r="Q30" s="660"/>
      <c r="R30" s="660"/>
      <c r="S30" s="660"/>
      <c r="T30" s="660"/>
      <c r="U30" s="660"/>
      <c r="V30" s="660"/>
      <c r="W30" s="660"/>
      <c r="X30" s="660"/>
      <c r="Y30" s="660"/>
      <c r="Z30" s="660"/>
      <c r="AA30" s="660"/>
      <c r="AB30" s="660"/>
      <c r="AC30" s="660"/>
      <c r="AD30" s="660"/>
      <c r="AE30" s="660"/>
      <c r="AF30" s="660"/>
      <c r="AG30" s="660"/>
      <c r="AH30" s="660"/>
      <c r="AI30" s="660"/>
      <c r="AJ30" s="660"/>
    </row>
    <row r="31" spans="1:57" ht="12.75" customHeight="1" thickBot="1" x14ac:dyDescent="0.4">
      <c r="A31" s="1278" t="s">
        <v>1507</v>
      </c>
      <c r="B31" s="1279"/>
      <c r="C31" s="1279"/>
      <c r="D31" s="1279"/>
      <c r="E31" s="1279"/>
      <c r="F31" s="1279"/>
      <c r="G31" s="1280"/>
      <c r="H31" s="1278" t="s">
        <v>1508</v>
      </c>
      <c r="I31" s="1279"/>
      <c r="J31" s="1279"/>
      <c r="K31" s="1280"/>
      <c r="L31" s="1278" t="s">
        <v>1509</v>
      </c>
      <c r="M31" s="1279"/>
      <c r="N31" s="1279"/>
      <c r="O31" s="1280"/>
      <c r="P31" s="1278" t="s">
        <v>1510</v>
      </c>
      <c r="Q31" s="1279"/>
      <c r="R31" s="1279"/>
      <c r="S31" s="1279"/>
      <c r="T31" s="1280"/>
    </row>
    <row r="32" spans="1:57" ht="12.75" customHeight="1" thickBot="1" x14ac:dyDescent="0.4">
      <c r="A32" s="1339">
        <f>COUNTIF($C$16:$AJ$27,"R")</f>
        <v>25</v>
      </c>
      <c r="B32" s="1340"/>
      <c r="C32" s="1340"/>
      <c r="D32" s="1340"/>
      <c r="E32" s="1340"/>
      <c r="F32" s="1340"/>
      <c r="G32" s="1341"/>
      <c r="H32" s="1339">
        <f>COUNTIF($C$16:$AJ$27,"O")</f>
        <v>4</v>
      </c>
      <c r="I32" s="1340"/>
      <c r="J32" s="1340"/>
      <c r="K32" s="1341"/>
      <c r="L32" s="1339">
        <f>COUNTIF($C$16:$AJ$27,"X")</f>
        <v>33</v>
      </c>
      <c r="M32" s="1340"/>
      <c r="N32" s="1340"/>
      <c r="O32" s="1341"/>
      <c r="P32" s="1342">
        <f>IF(Data!O29&lt;&gt;"",Data!O29,"")</f>
        <v>62</v>
      </c>
      <c r="Q32" s="1343"/>
      <c r="R32" s="1343"/>
      <c r="S32" s="1343"/>
      <c r="T32" s="1344"/>
    </row>
    <row r="33" spans="1:41" ht="12.75" customHeight="1" thickBot="1" x14ac:dyDescent="0.4">
      <c r="A33" s="1264" t="s">
        <v>1875</v>
      </c>
      <c r="B33" s="1265"/>
      <c r="C33" s="1265"/>
      <c r="D33" s="1265"/>
      <c r="E33" s="1265"/>
      <c r="F33" s="1265"/>
      <c r="G33" s="1265"/>
      <c r="H33" s="1265"/>
      <c r="I33" s="1265"/>
      <c r="J33" s="1265"/>
      <c r="K33" s="1265"/>
      <c r="L33" s="1265"/>
      <c r="M33" s="1265"/>
      <c r="N33" s="1265"/>
      <c r="O33" s="1265"/>
      <c r="P33" s="1265"/>
      <c r="Q33" s="1265"/>
      <c r="R33" s="1265"/>
      <c r="S33" s="1265"/>
      <c r="T33" s="1265"/>
      <c r="U33" s="1265"/>
      <c r="V33" s="1265"/>
      <c r="W33" s="1265"/>
      <c r="X33" s="1265"/>
      <c r="Y33" s="1265"/>
      <c r="Z33" s="1265"/>
      <c r="AA33" s="1265"/>
      <c r="AB33" s="1265"/>
      <c r="AC33" s="1265"/>
      <c r="AD33" s="1265"/>
      <c r="AE33" s="1265"/>
      <c r="AF33" s="1265"/>
      <c r="AG33" s="1265"/>
      <c r="AH33" s="1265"/>
      <c r="AI33" s="1265"/>
      <c r="AJ33" s="1266"/>
    </row>
    <row r="34" spans="1:41" ht="9.75" customHeight="1" x14ac:dyDescent="0.35">
      <c r="A34" s="1330" t="s">
        <v>1910</v>
      </c>
      <c r="B34" s="1331"/>
      <c r="C34" s="1331"/>
      <c r="D34" s="1331"/>
      <c r="E34" s="1331"/>
      <c r="F34" s="1331"/>
      <c r="G34" s="1331"/>
      <c r="H34" s="1331"/>
      <c r="I34" s="1331"/>
      <c r="J34" s="1331"/>
      <c r="K34" s="1331"/>
      <c r="L34" s="1331"/>
      <c r="M34" s="1331"/>
      <c r="N34" s="1331"/>
      <c r="O34" s="1331"/>
      <c r="P34" s="1331"/>
      <c r="Q34" s="1331"/>
      <c r="R34" s="1331"/>
      <c r="S34" s="1331"/>
      <c r="T34" s="1331"/>
      <c r="U34" s="1331"/>
      <c r="V34" s="1331"/>
      <c r="W34" s="1331"/>
      <c r="X34" s="1331"/>
      <c r="Y34" s="1331"/>
      <c r="Z34" s="1331"/>
      <c r="AA34" s="1331"/>
      <c r="AB34" s="1332"/>
      <c r="AC34" s="1328" t="s">
        <v>1877</v>
      </c>
      <c r="AD34" s="1328"/>
      <c r="AE34" s="1328"/>
      <c r="AF34" s="1328"/>
      <c r="AG34" s="1328"/>
      <c r="AH34" s="1328"/>
      <c r="AI34" s="1328"/>
      <c r="AJ34" s="1329"/>
    </row>
    <row r="35" spans="1:41" ht="11.25" customHeight="1" x14ac:dyDescent="0.35">
      <c r="A35" s="1345" t="s">
        <v>1878</v>
      </c>
      <c r="B35" s="1346"/>
      <c r="C35" s="1346"/>
      <c r="D35" s="1346"/>
      <c r="E35" s="1395" t="s">
        <v>2531</v>
      </c>
      <c r="F35" s="1395"/>
      <c r="G35" s="1395"/>
      <c r="H35" s="1395"/>
      <c r="I35" s="1395"/>
      <c r="J35" s="1395"/>
      <c r="K35" s="1395"/>
      <c r="L35" s="1395"/>
      <c r="M35" s="1395"/>
      <c r="N35" s="1395"/>
      <c r="O35" s="1395"/>
      <c r="P35" s="1395"/>
      <c r="Q35" s="1395"/>
      <c r="R35" s="1395"/>
      <c r="S35" s="1395"/>
      <c r="T35" s="1395"/>
      <c r="U35" s="1395"/>
      <c r="V35" s="1395"/>
      <c r="W35" s="1395"/>
      <c r="X35" s="1395"/>
      <c r="Y35" s="1395"/>
      <c r="Z35" s="1395"/>
      <c r="AA35" s="1395"/>
      <c r="AB35" s="1395"/>
      <c r="AC35" s="1327" t="s">
        <v>847</v>
      </c>
      <c r="AD35" s="1327"/>
      <c r="AE35" s="1327"/>
      <c r="AF35" s="1327"/>
      <c r="AG35" s="1327"/>
      <c r="AH35" s="1327"/>
      <c r="AI35" s="1348" t="str">
        <f>IF(Data!B7="SAUDI ARAMCO",IF(AND(Data!L5&lt;&gt;1,Data!L6=1),"√",""),"")</f>
        <v/>
      </c>
      <c r="AJ35" s="1349"/>
    </row>
    <row r="36" spans="1:41" ht="11.25" customHeight="1" x14ac:dyDescent="0.35">
      <c r="A36" s="1345"/>
      <c r="B36" s="1346"/>
      <c r="C36" s="1346"/>
      <c r="D36" s="1346"/>
      <c r="E36" s="1395"/>
      <c r="F36" s="1395"/>
      <c r="G36" s="1395"/>
      <c r="H36" s="1395"/>
      <c r="I36" s="1395"/>
      <c r="J36" s="1395"/>
      <c r="K36" s="1395"/>
      <c r="L36" s="1395"/>
      <c r="M36" s="1395"/>
      <c r="N36" s="1395"/>
      <c r="O36" s="1395"/>
      <c r="P36" s="1395"/>
      <c r="Q36" s="1395"/>
      <c r="R36" s="1395"/>
      <c r="S36" s="1395"/>
      <c r="T36" s="1395"/>
      <c r="U36" s="1395"/>
      <c r="V36" s="1395"/>
      <c r="W36" s="1395"/>
      <c r="X36" s="1395"/>
      <c r="Y36" s="1395"/>
      <c r="Z36" s="1395"/>
      <c r="AA36" s="1395"/>
      <c r="AB36" s="1395"/>
      <c r="AC36" s="1327" t="s">
        <v>1876</v>
      </c>
      <c r="AD36" s="1327"/>
      <c r="AE36" s="1327"/>
      <c r="AF36" s="1327"/>
      <c r="AG36" s="1327"/>
      <c r="AH36" s="1327"/>
      <c r="AI36" s="1348" t="str">
        <f>IF(Data!B7="SAUDI ARAMCO",IF(Data!L5=1,"√",""),"")</f>
        <v/>
      </c>
      <c r="AJ36" s="1349"/>
    </row>
    <row r="37" spans="1:41" ht="11.25" customHeight="1" x14ac:dyDescent="0.35">
      <c r="A37" s="1345" t="s">
        <v>19</v>
      </c>
      <c r="B37" s="1346"/>
      <c r="C37" s="1346"/>
      <c r="D37" s="1346"/>
      <c r="E37" s="1321" t="str">
        <f>IF(Data!L2=1,"The bit is Rerunable, No need for repair. ",IF('ARDT Cutter Entry'!Y57=1,"Accepted as rerun by engineer.",IF(Data!L5=1,"The bit is scrap. "&amp;" "&amp;IF(AND('ARDT Cutter Entry'!D17&lt;&gt;'Eng. Cutter Entry'!D17,'Eng. Cutter Entry'!D17&lt;&gt;""),'Eng. Cutter Entry'!D17,'ARDT Cutter Entry'!D17),IF('ARDT Cutter Entry'!D21&lt;&gt;"",'ARDT Cutter Entry'!D21,IF(Data!L4=1,"Minimum initial charge, damage beyond repair. "," ")))))</f>
        <v xml:space="preserve">Shank need clean. Pinface and mud seal need buffing.  </v>
      </c>
      <c r="F37" s="1321"/>
      <c r="G37" s="1321"/>
      <c r="H37" s="1321"/>
      <c r="I37" s="1321"/>
      <c r="J37" s="1321"/>
      <c r="K37" s="1321"/>
      <c r="L37" s="1321"/>
      <c r="M37" s="1321"/>
      <c r="N37" s="1321"/>
      <c r="O37" s="1321"/>
      <c r="P37" s="1321"/>
      <c r="Q37" s="1321"/>
      <c r="R37" s="1321"/>
      <c r="S37" s="1321"/>
      <c r="T37" s="1321"/>
      <c r="U37" s="1321"/>
      <c r="V37" s="1321"/>
      <c r="W37" s="1321"/>
      <c r="X37" s="1321"/>
      <c r="Y37" s="1321"/>
      <c r="Z37" s="1321"/>
      <c r="AA37" s="1321"/>
      <c r="AB37" s="1321"/>
      <c r="AC37" s="1321"/>
      <c r="AD37" s="1321"/>
      <c r="AE37" s="1321"/>
      <c r="AF37" s="1321"/>
      <c r="AG37" s="1321"/>
      <c r="AH37" s="1321"/>
      <c r="AI37" s="1321"/>
      <c r="AJ37" s="1322"/>
    </row>
    <row r="38" spans="1:41" ht="11.25" customHeight="1" x14ac:dyDescent="0.35">
      <c r="A38" s="1345"/>
      <c r="B38" s="1346"/>
      <c r="C38" s="1346"/>
      <c r="D38" s="1346"/>
      <c r="E38" s="1321"/>
      <c r="F38" s="1321"/>
      <c r="G38" s="1321"/>
      <c r="H38" s="1321"/>
      <c r="I38" s="1321"/>
      <c r="J38" s="1321"/>
      <c r="K38" s="1321"/>
      <c r="L38" s="1321"/>
      <c r="M38" s="1321"/>
      <c r="N38" s="1321"/>
      <c r="O38" s="1321"/>
      <c r="P38" s="1321"/>
      <c r="Q38" s="1321"/>
      <c r="R38" s="1321"/>
      <c r="S38" s="1321"/>
      <c r="T38" s="1321"/>
      <c r="U38" s="1321"/>
      <c r="V38" s="1321"/>
      <c r="W38" s="1321"/>
      <c r="X38" s="1321"/>
      <c r="Y38" s="1321"/>
      <c r="Z38" s="1321"/>
      <c r="AA38" s="1321"/>
      <c r="AB38" s="1321"/>
      <c r="AC38" s="1321"/>
      <c r="AD38" s="1321"/>
      <c r="AE38" s="1321"/>
      <c r="AF38" s="1321"/>
      <c r="AG38" s="1321"/>
      <c r="AH38" s="1321"/>
      <c r="AI38" s="1321"/>
      <c r="AJ38" s="1322"/>
    </row>
    <row r="39" spans="1:41" ht="11.25" customHeight="1" x14ac:dyDescent="0.35">
      <c r="A39" s="1345"/>
      <c r="B39" s="1346"/>
      <c r="C39" s="1346"/>
      <c r="D39" s="1346"/>
      <c r="E39" s="1321"/>
      <c r="F39" s="1321"/>
      <c r="G39" s="1321"/>
      <c r="H39" s="1321"/>
      <c r="I39" s="1321"/>
      <c r="J39" s="1321"/>
      <c r="K39" s="1321"/>
      <c r="L39" s="1321"/>
      <c r="M39" s="1321"/>
      <c r="N39" s="1321"/>
      <c r="O39" s="1321"/>
      <c r="P39" s="1321"/>
      <c r="Q39" s="1321"/>
      <c r="R39" s="1321"/>
      <c r="S39" s="1321"/>
      <c r="T39" s="1321"/>
      <c r="U39" s="1321"/>
      <c r="V39" s="1321"/>
      <c r="W39" s="1321"/>
      <c r="X39" s="1321"/>
      <c r="Y39" s="1321"/>
      <c r="Z39" s="1321"/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2"/>
    </row>
    <row r="40" spans="1:41" ht="20.25" customHeight="1" thickBot="1" x14ac:dyDescent="0.4">
      <c r="A40" s="1396" t="s">
        <v>1879</v>
      </c>
      <c r="B40" s="1397"/>
      <c r="C40" s="1397"/>
      <c r="D40" s="1397"/>
      <c r="E40" s="1400"/>
      <c r="F40" s="1400"/>
      <c r="G40" s="1400"/>
      <c r="H40" s="1400"/>
      <c r="I40" s="1400"/>
      <c r="J40" s="1400"/>
      <c r="K40" s="1400"/>
      <c r="L40" s="1400"/>
      <c r="M40" s="1400"/>
      <c r="N40" s="1400"/>
      <c r="O40" s="1400"/>
      <c r="P40" s="1400"/>
      <c r="Q40" s="1400"/>
      <c r="R40" s="1400"/>
      <c r="S40" s="1397" t="s">
        <v>1079</v>
      </c>
      <c r="T40" s="1397"/>
      <c r="U40" s="1397"/>
      <c r="V40" s="1397"/>
      <c r="W40" s="1397"/>
      <c r="X40" s="1398"/>
      <c r="Y40" s="1398"/>
      <c r="Z40" s="1398"/>
      <c r="AA40" s="1398"/>
      <c r="AB40" s="1398"/>
      <c r="AC40" s="1398"/>
      <c r="AD40" s="1398"/>
      <c r="AE40" s="1398"/>
      <c r="AF40" s="1398"/>
      <c r="AG40" s="1398"/>
      <c r="AH40" s="1398"/>
      <c r="AI40" s="1398"/>
      <c r="AJ40" s="1399"/>
    </row>
    <row r="41" spans="1:41" ht="13.5" customHeight="1" thickBot="1" x14ac:dyDescent="0.4">
      <c r="A41" s="1278" t="s">
        <v>1086</v>
      </c>
      <c r="B41" s="1279"/>
      <c r="C41" s="1279"/>
      <c r="D41" s="1279"/>
      <c r="E41" s="1279"/>
      <c r="F41" s="1279"/>
      <c r="G41" s="1279"/>
      <c r="H41" s="1279"/>
      <c r="I41" s="1347" t="str">
        <f>IF(SUM(T46:U53)=L32,L32,"Check Replace Cutter Qty")</f>
        <v>Check Replace Cutter Qty</v>
      </c>
      <c r="J41" s="1347"/>
      <c r="K41" s="1347"/>
      <c r="L41" s="1347"/>
      <c r="M41" s="1347"/>
      <c r="N41" s="1347"/>
      <c r="O41" s="1347"/>
      <c r="P41" s="1347"/>
      <c r="Q41" s="1347"/>
      <c r="R41" s="911"/>
      <c r="S41" s="911"/>
      <c r="T41" s="911"/>
      <c r="U41" s="911"/>
      <c r="V41" s="911"/>
      <c r="W41" s="911"/>
      <c r="X41" s="911"/>
      <c r="Y41" s="911"/>
      <c r="Z41" s="911"/>
      <c r="AA41" s="911"/>
      <c r="AB41" s="911"/>
      <c r="AC41" s="911"/>
      <c r="AD41" s="911"/>
      <c r="AE41" s="911"/>
      <c r="AF41" s="911"/>
      <c r="AG41" s="911"/>
      <c r="AH41" s="911"/>
      <c r="AI41" s="911"/>
      <c r="AJ41" s="912"/>
    </row>
    <row r="42" spans="1:41" ht="14.25" customHeight="1" thickBot="1" x14ac:dyDescent="0.4">
      <c r="A42" s="1278" t="s">
        <v>109</v>
      </c>
      <c r="B42" s="1279"/>
      <c r="C42" s="1279"/>
      <c r="D42" s="1279"/>
      <c r="E42" s="1279"/>
      <c r="F42" s="1279"/>
      <c r="G42" s="1279"/>
      <c r="H42" s="1279"/>
      <c r="I42" s="1279"/>
      <c r="J42" s="1279"/>
      <c r="K42" s="1279"/>
      <c r="L42" s="1279"/>
      <c r="M42" s="1279"/>
      <c r="N42" s="1279"/>
      <c r="O42" s="1279"/>
      <c r="P42" s="1279"/>
      <c r="Q42" s="1279"/>
      <c r="R42" s="1279"/>
      <c r="S42" s="1279"/>
      <c r="T42" s="1279"/>
      <c r="U42" s="1279"/>
      <c r="V42" s="1279"/>
      <c r="W42" s="1279"/>
      <c r="X42" s="1279"/>
      <c r="Y42" s="1279"/>
      <c r="Z42" s="1279"/>
      <c r="AA42" s="1279"/>
      <c r="AB42" s="1279"/>
      <c r="AC42" s="1279"/>
      <c r="AD42" s="1279"/>
      <c r="AE42" s="1279"/>
      <c r="AF42" s="1279"/>
      <c r="AG42" s="1279"/>
      <c r="AH42" s="1279"/>
      <c r="AI42" s="1279"/>
      <c r="AJ42" s="1280"/>
    </row>
    <row r="43" spans="1:41" ht="12" customHeight="1" thickBot="1" x14ac:dyDescent="0.4">
      <c r="A43" s="1278" t="s">
        <v>1511</v>
      </c>
      <c r="B43" s="1279"/>
      <c r="C43" s="1279"/>
      <c r="D43" s="1279"/>
      <c r="E43" s="1279"/>
      <c r="F43" s="1279"/>
      <c r="G43" s="1279"/>
      <c r="H43" s="1279"/>
      <c r="I43" s="1279"/>
      <c r="J43" s="1279"/>
      <c r="K43" s="1279"/>
      <c r="L43" s="1279"/>
      <c r="M43" s="1279"/>
      <c r="N43" s="1279"/>
      <c r="O43" s="1280"/>
      <c r="P43" s="1350" t="s">
        <v>1512</v>
      </c>
      <c r="Q43" s="1351"/>
      <c r="R43" s="1351"/>
      <c r="S43" s="1351"/>
      <c r="T43" s="1333" t="s">
        <v>4</v>
      </c>
      <c r="U43" s="1335"/>
      <c r="V43" s="1333" t="s">
        <v>71</v>
      </c>
      <c r="W43" s="1335"/>
      <c r="X43" s="1342" t="s">
        <v>16</v>
      </c>
      <c r="Y43" s="1343"/>
      <c r="Z43" s="1342" t="s">
        <v>21</v>
      </c>
      <c r="AA43" s="1343"/>
      <c r="AB43" s="1343"/>
      <c r="AC43" s="1333" t="s">
        <v>44</v>
      </c>
      <c r="AD43" s="1334"/>
      <c r="AE43" s="1334"/>
      <c r="AF43" s="1334"/>
      <c r="AG43" s="1334"/>
      <c r="AH43" s="1334"/>
      <c r="AI43" s="1334"/>
      <c r="AJ43" s="1335"/>
    </row>
    <row r="44" spans="1:41" ht="12" customHeight="1" thickBot="1" x14ac:dyDescent="0.4">
      <c r="A44" s="1297" t="s">
        <v>6</v>
      </c>
      <c r="B44" s="1299"/>
      <c r="C44" s="1278" t="s">
        <v>43</v>
      </c>
      <c r="D44" s="1279"/>
      <c r="E44" s="1279"/>
      <c r="F44" s="1279"/>
      <c r="G44" s="1279"/>
      <c r="H44" s="1279"/>
      <c r="I44" s="1279"/>
      <c r="J44" s="1279"/>
      <c r="K44" s="1279"/>
      <c r="L44" s="1279"/>
      <c r="M44" s="1279"/>
      <c r="N44" s="1279"/>
      <c r="O44" s="1280"/>
      <c r="P44" s="1352"/>
      <c r="Q44" s="1353"/>
      <c r="R44" s="1353"/>
      <c r="S44" s="1353"/>
      <c r="T44" s="1336"/>
      <c r="U44" s="1338"/>
      <c r="V44" s="1336"/>
      <c r="W44" s="1338"/>
      <c r="X44" s="1297"/>
      <c r="Y44" s="1298"/>
      <c r="Z44" s="1297"/>
      <c r="AA44" s="1298"/>
      <c r="AB44" s="1298"/>
      <c r="AC44" s="1336"/>
      <c r="AD44" s="1337"/>
      <c r="AE44" s="1337"/>
      <c r="AF44" s="1337"/>
      <c r="AG44" s="1337"/>
      <c r="AH44" s="1337"/>
      <c r="AI44" s="1337"/>
      <c r="AJ44" s="1338"/>
      <c r="AK44" s="931"/>
      <c r="AL44" s="931"/>
      <c r="AM44" s="931"/>
      <c r="AN44" s="931"/>
      <c r="AO44" s="931"/>
    </row>
    <row r="45" spans="1:41" ht="17.25" customHeight="1" x14ac:dyDescent="0.35">
      <c r="A45" s="1371"/>
      <c r="B45" s="1372"/>
      <c r="C45" s="1373" t="str">
        <f>Data!GJ20</f>
        <v>Drill bits Services-Initial Inspection</v>
      </c>
      <c r="D45" s="1374"/>
      <c r="E45" s="1374"/>
      <c r="F45" s="1374"/>
      <c r="G45" s="1374"/>
      <c r="H45" s="1374"/>
      <c r="I45" s="1374"/>
      <c r="J45" s="1374"/>
      <c r="K45" s="1374"/>
      <c r="L45" s="1374"/>
      <c r="M45" s="1374"/>
      <c r="N45" s="1374"/>
      <c r="O45" s="1375"/>
      <c r="P45" s="1358" t="str">
        <f>Data!GF20</f>
        <v>01 - 10</v>
      </c>
      <c r="Q45" s="1358"/>
      <c r="R45" s="1358"/>
      <c r="S45" s="1376"/>
      <c r="T45" s="1377">
        <f>Data!GL20</f>
        <v>1</v>
      </c>
      <c r="U45" s="1378"/>
      <c r="V45" s="1377" t="str">
        <f>Data!GM20</f>
        <v>EA</v>
      </c>
      <c r="W45" s="1378"/>
      <c r="X45" s="1379">
        <f>Data!GN20</f>
        <v>800</v>
      </c>
      <c r="Y45" s="1380"/>
      <c r="Z45" s="1357">
        <f>IFERROR(T45*X45,0)</f>
        <v>800</v>
      </c>
      <c r="AA45" s="1358"/>
      <c r="AB45" s="1358"/>
      <c r="AC45" s="1381"/>
      <c r="AD45" s="1382"/>
      <c r="AE45" s="1382"/>
      <c r="AF45" s="1382"/>
      <c r="AG45" s="1382"/>
      <c r="AH45" s="1382"/>
      <c r="AI45" s="1382"/>
      <c r="AJ45" s="1383"/>
      <c r="AK45" s="931"/>
      <c r="AL45" s="931"/>
      <c r="AM45" s="931"/>
      <c r="AN45" s="931"/>
      <c r="AO45" s="931"/>
    </row>
    <row r="46" spans="1:41" ht="17.25" customHeight="1" x14ac:dyDescent="0.35">
      <c r="A46" s="1359" t="str">
        <f>IF(OR(Data!$L$5=1,Data!$L$6=2),"",IF(Data!$HF21&lt;&gt;"",Data!$HF21,"---"))</f>
        <v>7"-8 7/8"</v>
      </c>
      <c r="B46" s="1360"/>
      <c r="C46" s="1361" t="str">
        <f>IF(OR(Data!$L$5=1,Data!$L$6=2),"",IF(Data!$HG21&lt;&gt;"",Data!$HG21,"---"))</f>
        <v>Matrix Body PDC Bit Set-up Charge</v>
      </c>
      <c r="D46" s="1362"/>
      <c r="E46" s="1362"/>
      <c r="F46" s="1362"/>
      <c r="G46" s="1362"/>
      <c r="H46" s="1362"/>
      <c r="I46" s="1362"/>
      <c r="J46" s="1362"/>
      <c r="K46" s="1362"/>
      <c r="L46" s="1362"/>
      <c r="M46" s="1362"/>
      <c r="N46" s="1362"/>
      <c r="O46" s="1363"/>
      <c r="P46" s="1364" t="str">
        <f>IF(OR(Data!$L$5=1,Data!$L$6=2),"",IF(Data!$GV21&lt;&gt;"",Data!$GV21,"---"))</f>
        <v>02 - 20</v>
      </c>
      <c r="Q46" s="1364"/>
      <c r="R46" s="1364"/>
      <c r="S46" s="1365"/>
      <c r="T46" s="1366">
        <f>IF(OR(Data!$L$5=1,Data!$L$6=2),"",IF(Data!$HE21&lt;&gt;"",Data!$HE21,"---"))</f>
        <v>1</v>
      </c>
      <c r="U46" s="1367"/>
      <c r="V46" s="1366" t="str">
        <f>IF(OR(Data!$L$5=1,Data!$L$6=2),"",IF(Data!$HC21&lt;&gt;"",Data!$HC21,"---"))</f>
        <v>EA</v>
      </c>
      <c r="W46" s="1367"/>
      <c r="X46" s="1368">
        <f>IF(OR(Data!$L$5=1,Data!$L$6=2),"",IF(Data!$HD21&lt;&gt;"",Data!$HD21,"---"))</f>
        <v>8350</v>
      </c>
      <c r="Y46" s="1369"/>
      <c r="Z46" s="1370">
        <f t="shared" ref="Z46:Z55" si="0">IFERROR(T46*X46,0)</f>
        <v>8350</v>
      </c>
      <c r="AA46" s="1364"/>
      <c r="AB46" s="1364"/>
      <c r="AC46" s="1354"/>
      <c r="AD46" s="1355"/>
      <c r="AE46" s="1355"/>
      <c r="AF46" s="1355"/>
      <c r="AG46" s="1355"/>
      <c r="AH46" s="1355"/>
      <c r="AI46" s="1355"/>
      <c r="AJ46" s="1356"/>
      <c r="AK46" s="931">
        <f>COUNTIF(C46,"*Cutter*")</f>
        <v>0</v>
      </c>
      <c r="AL46" s="931"/>
      <c r="AM46" s="931"/>
      <c r="AN46" s="931">
        <f>SUMIF(AK46:AK55,1,T46:U55)</f>
        <v>12</v>
      </c>
      <c r="AO46" s="931"/>
    </row>
    <row r="47" spans="1:41" ht="17.25" customHeight="1" x14ac:dyDescent="0.35">
      <c r="A47" s="1359" t="str">
        <f>IF(OR(Data!$L$5=1,Data!$L$6=2),"",IF(Data!$HF22&lt;&gt;"",Data!$HF22,"---"))</f>
        <v>13mm</v>
      </c>
      <c r="B47" s="1360"/>
      <c r="C47" s="1361" t="str">
        <f>IF(OR(Data!$L$5=1,Data!$L$6=2),"",IF(Data!$HG22&lt;&gt;"",Data!$HG22,"---"))</f>
        <v>Cutter Replacement Standard</v>
      </c>
      <c r="D47" s="1362"/>
      <c r="E47" s="1362"/>
      <c r="F47" s="1362"/>
      <c r="G47" s="1362"/>
      <c r="H47" s="1362"/>
      <c r="I47" s="1362"/>
      <c r="J47" s="1362"/>
      <c r="K47" s="1362"/>
      <c r="L47" s="1362"/>
      <c r="M47" s="1362"/>
      <c r="N47" s="1362"/>
      <c r="O47" s="1363"/>
      <c r="P47" s="1364" t="str">
        <f>IF(OR(Data!$L$5=1,Data!$L$6=2),"",IF(Data!$GV22&lt;&gt;"",Data!$GV22,"---"))</f>
        <v>06.3.1 - 10</v>
      </c>
      <c r="Q47" s="1364"/>
      <c r="R47" s="1364"/>
      <c r="S47" s="1365"/>
      <c r="T47" s="1366">
        <f>IF(OR(Data!$L$5=1,Data!$L$6=2),"",IF(Data!$HE22&lt;&gt;"",Data!$HE22,"---"))</f>
        <v>6</v>
      </c>
      <c r="U47" s="1367"/>
      <c r="V47" s="1366" t="str">
        <f>IF(OR(Data!$L$5=1,Data!$L$6=2),"",IF(Data!$HC22&lt;&gt;"",Data!$HC22,"---"))</f>
        <v>EA</v>
      </c>
      <c r="W47" s="1367"/>
      <c r="X47" s="1368">
        <f>IF(OR(Data!$L$5=1,Data!$L$6=2),"",IF(Data!$HD22&lt;&gt;"",Data!$HD22,"---"))</f>
        <v>345</v>
      </c>
      <c r="Y47" s="1369"/>
      <c r="Z47" s="1370">
        <f t="shared" si="0"/>
        <v>2070</v>
      </c>
      <c r="AA47" s="1364"/>
      <c r="AB47" s="1364"/>
      <c r="AC47" s="1354"/>
      <c r="AD47" s="1355"/>
      <c r="AE47" s="1355"/>
      <c r="AF47" s="1355"/>
      <c r="AG47" s="1355"/>
      <c r="AH47" s="1355"/>
      <c r="AI47" s="1355"/>
      <c r="AJ47" s="1356"/>
      <c r="AK47" s="931">
        <f t="shared" ref="AK47:AK55" si="1">COUNTIF(C47,"*Cutter*")</f>
        <v>1</v>
      </c>
      <c r="AL47" s="931"/>
      <c r="AM47" s="931"/>
      <c r="AN47" s="931"/>
      <c r="AO47" s="931"/>
    </row>
    <row r="48" spans="1:41" ht="15.75" customHeight="1" x14ac:dyDescent="0.35">
      <c r="A48" s="1359" t="str">
        <f>IF(OR(Data!$L$5=1,Data!$L$6=2),"",IF(Data!$HF23&lt;&gt;"",Data!$HF23,"---"))</f>
        <v>16mm</v>
      </c>
      <c r="B48" s="1360"/>
      <c r="C48" s="1361" t="str">
        <f>IF(OR(Data!$L$5=1,Data!$L$6=2),"",IF(Data!$HG23&lt;&gt;"",Data!$HG23,"---"))</f>
        <v>Cutter Replacement Super Premium</v>
      </c>
      <c r="D48" s="1362"/>
      <c r="E48" s="1362"/>
      <c r="F48" s="1362"/>
      <c r="G48" s="1362"/>
      <c r="H48" s="1362"/>
      <c r="I48" s="1362"/>
      <c r="J48" s="1362"/>
      <c r="K48" s="1362"/>
      <c r="L48" s="1362"/>
      <c r="M48" s="1362"/>
      <c r="N48" s="1362"/>
      <c r="O48" s="1363"/>
      <c r="P48" s="1364" t="str">
        <f>IF(OR(Data!$L$5=1,Data!$L$6=2),"",IF(Data!$GV23&lt;&gt;"",Data!$GV23,"---"))</f>
        <v>06.4.1 - 30</v>
      </c>
      <c r="Q48" s="1364"/>
      <c r="R48" s="1364"/>
      <c r="S48" s="1365"/>
      <c r="T48" s="1366">
        <f>IF(OR(Data!$L$5=1,Data!$L$6=2),"",IF(Data!$HE23&lt;&gt;"",Data!$HE23,"---"))</f>
        <v>6</v>
      </c>
      <c r="U48" s="1367"/>
      <c r="V48" s="1366" t="str">
        <f>IF(OR(Data!$L$5=1,Data!$L$6=2),"",IF(Data!$HC23&lt;&gt;"",Data!$HC23,"---"))</f>
        <v>EA</v>
      </c>
      <c r="W48" s="1367"/>
      <c r="X48" s="1368">
        <f>IF(OR(Data!$L$5=1,Data!$L$6=2),"",IF(Data!$HD23&lt;&gt;"",Data!$HD23,"---"))</f>
        <v>662</v>
      </c>
      <c r="Y48" s="1369"/>
      <c r="Z48" s="1370">
        <f t="shared" si="0"/>
        <v>3972</v>
      </c>
      <c r="AA48" s="1364"/>
      <c r="AB48" s="1364"/>
      <c r="AC48" s="1354"/>
      <c r="AD48" s="1355"/>
      <c r="AE48" s="1355"/>
      <c r="AF48" s="1355"/>
      <c r="AG48" s="1355"/>
      <c r="AH48" s="1355"/>
      <c r="AI48" s="1355"/>
      <c r="AJ48" s="1356"/>
      <c r="AK48" s="931">
        <f t="shared" si="1"/>
        <v>1</v>
      </c>
      <c r="AL48" s="931"/>
      <c r="AM48" s="931"/>
      <c r="AN48" s="931"/>
      <c r="AO48" s="931"/>
    </row>
    <row r="49" spans="1:48" ht="15.75" customHeight="1" x14ac:dyDescent="0.35">
      <c r="A49" s="1359" t="str">
        <f>IF(OR(Data!$L$5=1,Data!$L$6=2),"",IF(Data!$HF24&lt;&gt;"",Data!$HF24,"---"))</f>
        <v>---</v>
      </c>
      <c r="B49" s="1360"/>
      <c r="C49" s="1361" t="str">
        <f>IF(OR(Data!$L$5=1,Data!$L$6=2),"",IF(Data!$HG24&lt;&gt;"",Data!$HG24,"---"))</f>
        <v>---</v>
      </c>
      <c r="D49" s="1362"/>
      <c r="E49" s="1362"/>
      <c r="F49" s="1362"/>
      <c r="G49" s="1362"/>
      <c r="H49" s="1362"/>
      <c r="I49" s="1362"/>
      <c r="J49" s="1362"/>
      <c r="K49" s="1362"/>
      <c r="L49" s="1362"/>
      <c r="M49" s="1362"/>
      <c r="N49" s="1362"/>
      <c r="O49" s="1363"/>
      <c r="P49" s="1364" t="str">
        <f>IF(OR(Data!$L$5=1,Data!$L$6=2),"",IF(Data!$GV24&lt;&gt;"",Data!$GV24,"---"))</f>
        <v>---</v>
      </c>
      <c r="Q49" s="1364"/>
      <c r="R49" s="1364"/>
      <c r="S49" s="1365"/>
      <c r="T49" s="1366" t="str">
        <f>IF(OR(Data!$L$5=1,Data!$L$6=2),"",IF(Data!$HE24&lt;&gt;"",Data!$HE24,"---"))</f>
        <v>---</v>
      </c>
      <c r="U49" s="1367"/>
      <c r="V49" s="1366" t="str">
        <f>IF(OR(Data!$L$5=1,Data!$L$6=2),"",IF(Data!$HC24&lt;&gt;"",Data!$HC24,"---"))</f>
        <v>---</v>
      </c>
      <c r="W49" s="1367"/>
      <c r="X49" s="1368" t="str">
        <f>IF(OR(Data!$L$5=1,Data!$L$6=2),"",IF(Data!$HD24&lt;&gt;"",Data!$HD24,"---"))</f>
        <v>---</v>
      </c>
      <c r="Y49" s="1369"/>
      <c r="Z49" s="1370">
        <f t="shared" si="0"/>
        <v>0</v>
      </c>
      <c r="AA49" s="1364"/>
      <c r="AB49" s="1364"/>
      <c r="AC49" s="1354"/>
      <c r="AD49" s="1355"/>
      <c r="AE49" s="1355"/>
      <c r="AF49" s="1355"/>
      <c r="AG49" s="1355"/>
      <c r="AH49" s="1355"/>
      <c r="AI49" s="1355"/>
      <c r="AJ49" s="1356"/>
      <c r="AK49" s="931">
        <f t="shared" si="1"/>
        <v>0</v>
      </c>
      <c r="AL49" s="931"/>
      <c r="AM49" s="931"/>
      <c r="AN49" s="931"/>
      <c r="AO49" s="931"/>
    </row>
    <row r="50" spans="1:48" ht="15.75" customHeight="1" x14ac:dyDescent="0.35">
      <c r="A50" s="1359" t="str">
        <f>IF(OR(Data!$L$5=1,Data!$L$6=2),"",IF(Data!$HF25&lt;&gt;"",Data!$HF25,"---"))</f>
        <v>---</v>
      </c>
      <c r="B50" s="1360"/>
      <c r="C50" s="1361" t="str">
        <f>IF(OR(Data!$L$5=1,Data!$L$6=2),"",IF(Data!$HG25&lt;&gt;"",Data!$HG25,"---"))</f>
        <v>---</v>
      </c>
      <c r="D50" s="1362"/>
      <c r="E50" s="1362"/>
      <c r="F50" s="1362"/>
      <c r="G50" s="1362"/>
      <c r="H50" s="1362"/>
      <c r="I50" s="1362"/>
      <c r="J50" s="1362"/>
      <c r="K50" s="1362"/>
      <c r="L50" s="1362"/>
      <c r="M50" s="1362"/>
      <c r="N50" s="1362"/>
      <c r="O50" s="1363"/>
      <c r="P50" s="1364" t="str">
        <f>IF(OR(Data!$L$5=1,Data!$L$6=2),"",IF(Data!$GV25&lt;&gt;"",Data!$GV25,"---"))</f>
        <v>---</v>
      </c>
      <c r="Q50" s="1364"/>
      <c r="R50" s="1364"/>
      <c r="S50" s="1365"/>
      <c r="T50" s="1366" t="str">
        <f>IF(OR(Data!$L$5=1,Data!$L$6=2),"",IF(Data!$HE25&lt;&gt;"",Data!$HE25,"---"))</f>
        <v>---</v>
      </c>
      <c r="U50" s="1367"/>
      <c r="V50" s="1366" t="str">
        <f>IF(OR(Data!$L$5=1,Data!$L$6=2),"",IF(Data!$HC25&lt;&gt;"",Data!$HC25,"---"))</f>
        <v>---</v>
      </c>
      <c r="W50" s="1367"/>
      <c r="X50" s="1368" t="str">
        <f>IF(OR(Data!$L$5=1,Data!$L$6=2),"",IF(Data!$HD25&lt;&gt;"",Data!$HD25,"---"))</f>
        <v>---</v>
      </c>
      <c r="Y50" s="1369"/>
      <c r="Z50" s="1370">
        <f t="shared" si="0"/>
        <v>0</v>
      </c>
      <c r="AA50" s="1364"/>
      <c r="AB50" s="1364"/>
      <c r="AC50" s="1354"/>
      <c r="AD50" s="1355"/>
      <c r="AE50" s="1355"/>
      <c r="AF50" s="1355"/>
      <c r="AG50" s="1355"/>
      <c r="AH50" s="1355"/>
      <c r="AI50" s="1355"/>
      <c r="AJ50" s="1356"/>
      <c r="AK50" s="931">
        <f t="shared" si="1"/>
        <v>0</v>
      </c>
      <c r="AL50" s="931"/>
      <c r="AM50" s="931"/>
      <c r="AN50" s="931"/>
      <c r="AO50" s="931"/>
    </row>
    <row r="51" spans="1:48" ht="15.75" customHeight="1" x14ac:dyDescent="0.35">
      <c r="A51" s="1359" t="str">
        <f>IF(OR(Data!$L$5=1,Data!$L$6=2),"",IF(Data!$HF26&lt;&gt;"",Data!$HF26,"---"))</f>
        <v>---</v>
      </c>
      <c r="B51" s="1360"/>
      <c r="C51" s="1361" t="str">
        <f>IF(OR(Data!$L$5=1,Data!$L$6=2),"",IF(Data!$HG26&lt;&gt;"",Data!$HG26,"---"))</f>
        <v>---</v>
      </c>
      <c r="D51" s="1362"/>
      <c r="E51" s="1362"/>
      <c r="F51" s="1362"/>
      <c r="G51" s="1362"/>
      <c r="H51" s="1362"/>
      <c r="I51" s="1362"/>
      <c r="J51" s="1362"/>
      <c r="K51" s="1362"/>
      <c r="L51" s="1362"/>
      <c r="M51" s="1362"/>
      <c r="N51" s="1362"/>
      <c r="O51" s="1363"/>
      <c r="P51" s="1364" t="str">
        <f>IF(OR(Data!$L$5=1,Data!$L$6=2),"",IF(Data!$GV26&lt;&gt;"",Data!$GV26,"---"))</f>
        <v>---</v>
      </c>
      <c r="Q51" s="1364"/>
      <c r="R51" s="1364"/>
      <c r="S51" s="1365"/>
      <c r="T51" s="1366" t="str">
        <f>IF(OR(Data!$L$5=1,Data!$L$6=2),"",IF(Data!$HE26&lt;&gt;"",Data!$HE26,"---"))</f>
        <v>---</v>
      </c>
      <c r="U51" s="1367"/>
      <c r="V51" s="1366" t="str">
        <f>IF(OR(Data!$L$5=1,Data!$L$6=2),"",IF(Data!$HC26&lt;&gt;"",Data!$HC26,"---"))</f>
        <v>---</v>
      </c>
      <c r="W51" s="1367"/>
      <c r="X51" s="1368" t="str">
        <f>IF(OR(Data!$L$5=1,Data!$L$6=2),"",IF(Data!$HD26&lt;&gt;"",Data!$HD26,"---"))</f>
        <v>---</v>
      </c>
      <c r="Y51" s="1369"/>
      <c r="Z51" s="1370">
        <f t="shared" si="0"/>
        <v>0</v>
      </c>
      <c r="AA51" s="1364"/>
      <c r="AB51" s="1364"/>
      <c r="AC51" s="1354"/>
      <c r="AD51" s="1355"/>
      <c r="AE51" s="1355"/>
      <c r="AF51" s="1355"/>
      <c r="AG51" s="1355"/>
      <c r="AH51" s="1355"/>
      <c r="AI51" s="1355"/>
      <c r="AJ51" s="1356"/>
      <c r="AK51" s="931">
        <f t="shared" si="1"/>
        <v>0</v>
      </c>
      <c r="AL51" s="931"/>
      <c r="AM51" s="931"/>
      <c r="AN51" s="931"/>
      <c r="AO51" s="931"/>
    </row>
    <row r="52" spans="1:48" ht="15.75" customHeight="1" thickBot="1" x14ac:dyDescent="0.4">
      <c r="A52" s="1359" t="str">
        <f>IF(OR(Data!$L$5=1,Data!$L$6=2),"",IF(Data!$HF27&lt;&gt;"",Data!$HF27,"---"))</f>
        <v>---</v>
      </c>
      <c r="B52" s="1360"/>
      <c r="C52" s="1361" t="str">
        <f>IF(OR(Data!$L$5=1,Data!$L$6=2),"",IF(Data!$HG27&lt;&gt;"",Data!$HG27,"---"))</f>
        <v>---</v>
      </c>
      <c r="D52" s="1362"/>
      <c r="E52" s="1362"/>
      <c r="F52" s="1362"/>
      <c r="G52" s="1362"/>
      <c r="H52" s="1362"/>
      <c r="I52" s="1362"/>
      <c r="J52" s="1362"/>
      <c r="K52" s="1362"/>
      <c r="L52" s="1362"/>
      <c r="M52" s="1362"/>
      <c r="N52" s="1362"/>
      <c r="O52" s="1363"/>
      <c r="P52" s="1364" t="str">
        <f>IF(OR(Data!$L$5=1,Data!$L$6=2),"",IF(Data!$GV27&lt;&gt;"",Data!$GV27,"---"))</f>
        <v>---</v>
      </c>
      <c r="Q52" s="1364"/>
      <c r="R52" s="1364"/>
      <c r="S52" s="1365"/>
      <c r="T52" s="1366" t="str">
        <f>IF(OR(Data!$L$5=1,Data!$L$6=2),"",IF(Data!$HE27&lt;&gt;"",Data!$HE27,"---"))</f>
        <v>---</v>
      </c>
      <c r="U52" s="1367"/>
      <c r="V52" s="1366" t="str">
        <f>IF(OR(Data!$L$5=1,Data!$L$6=2),"",IF(Data!$HC27&lt;&gt;"",Data!$HC27,"---"))</f>
        <v>---</v>
      </c>
      <c r="W52" s="1367"/>
      <c r="X52" s="1368" t="str">
        <f>IF(OR(Data!$L$5=1,Data!$L$6=2),"",IF(Data!$HD27&lt;&gt;"",Data!$HD27,"---"))</f>
        <v>---</v>
      </c>
      <c r="Y52" s="1369"/>
      <c r="Z52" s="1370">
        <f t="shared" si="0"/>
        <v>0</v>
      </c>
      <c r="AA52" s="1364"/>
      <c r="AB52" s="1364"/>
      <c r="AC52" s="1354"/>
      <c r="AD52" s="1355"/>
      <c r="AE52" s="1355"/>
      <c r="AF52" s="1355"/>
      <c r="AG52" s="1355"/>
      <c r="AH52" s="1355"/>
      <c r="AI52" s="1355"/>
      <c r="AJ52" s="1356"/>
      <c r="AK52" s="931">
        <f t="shared" si="1"/>
        <v>0</v>
      </c>
      <c r="AL52" s="931"/>
      <c r="AM52" s="931"/>
      <c r="AN52" s="931"/>
      <c r="AO52" s="931"/>
    </row>
    <row r="53" spans="1:48" ht="15.75" customHeight="1" x14ac:dyDescent="0.35">
      <c r="A53" s="1359" t="str">
        <f>IF(OR(Data!$L$5=1,Data!$L$6=2),"",IF(Data!$HF28&lt;&gt;"",Data!$HF28,"---"))</f>
        <v>---</v>
      </c>
      <c r="B53" s="1360"/>
      <c r="C53" s="1361" t="str">
        <f>IF(OR(Data!$L$5=1,Data!$L$6=2),"",IF(Data!$HG28&lt;&gt;"",Data!$HG28,"---"))</f>
        <v>---</v>
      </c>
      <c r="D53" s="1362"/>
      <c r="E53" s="1362"/>
      <c r="F53" s="1362"/>
      <c r="G53" s="1362"/>
      <c r="H53" s="1362"/>
      <c r="I53" s="1362"/>
      <c r="J53" s="1362"/>
      <c r="K53" s="1362"/>
      <c r="L53" s="1362"/>
      <c r="M53" s="1362"/>
      <c r="N53" s="1362"/>
      <c r="O53" s="1363"/>
      <c r="P53" s="1364" t="str">
        <f>IF(OR(Data!$L$5=1,Data!$L$6=2),"",IF(Data!$GV28&lt;&gt;"",Data!$GV28,"---"))</f>
        <v>---</v>
      </c>
      <c r="Q53" s="1364"/>
      <c r="R53" s="1364"/>
      <c r="S53" s="1365"/>
      <c r="T53" s="1366" t="str">
        <f>IF(OR(Data!$L$5=1,Data!$L$6=2),"",IF(Data!$HE28&lt;&gt;"",Data!$HE28,"---"))</f>
        <v>---</v>
      </c>
      <c r="U53" s="1367"/>
      <c r="V53" s="1366" t="str">
        <f>IF(OR(Data!$L$5=1,Data!$L$6=2),"",IF(Data!$HC28&lt;&gt;"",Data!$HC28,"---"))</f>
        <v>---</v>
      </c>
      <c r="W53" s="1367"/>
      <c r="X53" s="1368" t="str">
        <f>IF(OR(Data!$L$5=1,Data!$L$6=2),"",IF(Data!$HD28&lt;&gt;"",Data!$HD28,"---"))</f>
        <v>---</v>
      </c>
      <c r="Y53" s="1369"/>
      <c r="Z53" s="1370">
        <f t="shared" si="0"/>
        <v>0</v>
      </c>
      <c r="AA53" s="1364"/>
      <c r="AB53" s="1364"/>
      <c r="AC53" s="1354"/>
      <c r="AD53" s="1355"/>
      <c r="AE53" s="1355"/>
      <c r="AF53" s="1355"/>
      <c r="AG53" s="1355"/>
      <c r="AH53" s="1355"/>
      <c r="AI53" s="1355"/>
      <c r="AJ53" s="1356"/>
      <c r="AK53" s="931">
        <f t="shared" si="1"/>
        <v>0</v>
      </c>
      <c r="AL53" s="931"/>
      <c r="AM53" s="931"/>
      <c r="AN53" s="931"/>
      <c r="AO53" s="931"/>
      <c r="AP53" s="1410" t="s">
        <v>1959</v>
      </c>
      <c r="AQ53" s="1406" t="s">
        <v>1953</v>
      </c>
      <c r="AR53" s="1406" t="s">
        <v>1954</v>
      </c>
      <c r="AS53" s="1406" t="s">
        <v>1955</v>
      </c>
      <c r="AT53" s="1406" t="s">
        <v>1956</v>
      </c>
      <c r="AU53" s="1406" t="s">
        <v>1957</v>
      </c>
      <c r="AV53" s="1408" t="s">
        <v>1958</v>
      </c>
    </row>
    <row r="54" spans="1:48" ht="15.75" customHeight="1" x14ac:dyDescent="0.35">
      <c r="A54" s="1359" t="str">
        <f>IF(OR(Data!$L$5=1,Data!$L$6=2),"",IF(Data!$HF29&lt;&gt;"",Data!$HF29,"---"))</f>
        <v>---</v>
      </c>
      <c r="B54" s="1360"/>
      <c r="C54" s="1361" t="str">
        <f>IF(OR(Data!$L$5=1,Data!$L$6=2),"",IF(Data!$HG29&lt;&gt;"",Data!$HG29,"---"))</f>
        <v>---</v>
      </c>
      <c r="D54" s="1362"/>
      <c r="E54" s="1362"/>
      <c r="F54" s="1362"/>
      <c r="G54" s="1362"/>
      <c r="H54" s="1362"/>
      <c r="I54" s="1362"/>
      <c r="J54" s="1362"/>
      <c r="K54" s="1362"/>
      <c r="L54" s="1362"/>
      <c r="M54" s="1362"/>
      <c r="N54" s="1362"/>
      <c r="O54" s="1363"/>
      <c r="P54" s="1364" t="str">
        <f>IF(OR(Data!$L$5=1,Data!$L$6=2),"",IF(Data!$GV29&lt;&gt;"",Data!$GV29,"---"))</f>
        <v>---</v>
      </c>
      <c r="Q54" s="1364"/>
      <c r="R54" s="1364"/>
      <c r="S54" s="1365"/>
      <c r="T54" s="1366" t="str">
        <f>IF(OR(Data!$L$5=1,Data!$L$6=2),"",IF(Data!$HE29&lt;&gt;"",Data!$HE29,"---"))</f>
        <v>---</v>
      </c>
      <c r="U54" s="1367"/>
      <c r="V54" s="1366" t="str">
        <f>IF(OR(Data!$L$5=1,Data!$L$6=2),"",IF(Data!$HC29&lt;&gt;"",Data!$HC29,"---"))</f>
        <v>---</v>
      </c>
      <c r="W54" s="1367"/>
      <c r="X54" s="1368" t="str">
        <f>IF(OR(Data!$L$5=1,Data!$L$6=2),"",IF(Data!$HD29&lt;&gt;"",Data!$HD29,"---"))</f>
        <v>---</v>
      </c>
      <c r="Y54" s="1369"/>
      <c r="Z54" s="1370">
        <f t="shared" si="0"/>
        <v>0</v>
      </c>
      <c r="AA54" s="1364"/>
      <c r="AB54" s="1364"/>
      <c r="AC54" s="1354"/>
      <c r="AD54" s="1355"/>
      <c r="AE54" s="1355"/>
      <c r="AF54" s="1355"/>
      <c r="AG54" s="1355"/>
      <c r="AH54" s="1355"/>
      <c r="AI54" s="1355"/>
      <c r="AJ54" s="1356"/>
      <c r="AK54" s="931">
        <f t="shared" si="1"/>
        <v>0</v>
      </c>
      <c r="AL54" s="931"/>
      <c r="AM54" s="931"/>
      <c r="AN54" s="931"/>
      <c r="AO54" s="931"/>
      <c r="AP54" s="1411"/>
      <c r="AQ54" s="1407"/>
      <c r="AR54" s="1407"/>
      <c r="AS54" s="1407"/>
      <c r="AT54" s="1407"/>
      <c r="AU54" s="1407"/>
      <c r="AV54" s="1409"/>
    </row>
    <row r="55" spans="1:48" ht="15.75" customHeight="1" thickBot="1" x14ac:dyDescent="0.4">
      <c r="A55" s="1359" t="str">
        <f>IF(OR(Data!$L$5=1,Data!$L$6=2),"",IF(Data!$HF29&lt;&gt;"",Data!$HF29,"---"))</f>
        <v>---</v>
      </c>
      <c r="B55" s="1360"/>
      <c r="C55" s="1361" t="str">
        <f>IF(OR(Data!$L$5=1,Data!$L$6=2),"",IF(Data!$HG30&lt;&gt;"",Data!$HG30,"---"))</f>
        <v>---</v>
      </c>
      <c r="D55" s="1362"/>
      <c r="E55" s="1362"/>
      <c r="F55" s="1362"/>
      <c r="G55" s="1362"/>
      <c r="H55" s="1362"/>
      <c r="I55" s="1362"/>
      <c r="J55" s="1362"/>
      <c r="K55" s="1362"/>
      <c r="L55" s="1362"/>
      <c r="M55" s="1362"/>
      <c r="N55" s="1362"/>
      <c r="O55" s="1363"/>
      <c r="P55" s="1364" t="str">
        <f>IF(OR(Data!$L$5=1,Data!$L$6=2),"",IF(Data!$GV30&lt;&gt;"",Data!$GV30,"---"))</f>
        <v>---</v>
      </c>
      <c r="Q55" s="1364"/>
      <c r="R55" s="1364"/>
      <c r="S55" s="1365"/>
      <c r="T55" s="1366" t="str">
        <f>IF(OR(Data!$L$5=1,Data!$L$6=2),"",IF(Data!$HE30&lt;&gt;"",Data!$HE30,"---"))</f>
        <v>---</v>
      </c>
      <c r="U55" s="1367"/>
      <c r="V55" s="1366" t="str">
        <f>IF(OR(Data!$L$5=1,Data!$L$6=2),"",IF(Data!$HC30&lt;&gt;"",Data!$HC30,"---"))</f>
        <v>---</v>
      </c>
      <c r="W55" s="1367"/>
      <c r="X55" s="1368" t="str">
        <f>IF(OR(Data!$L$5=1,Data!$L$6=2),"",IF(Data!$HD30&lt;&gt;"",Data!$HD30,"---"))</f>
        <v>---</v>
      </c>
      <c r="Y55" s="1369"/>
      <c r="Z55" s="1370">
        <f t="shared" si="0"/>
        <v>0</v>
      </c>
      <c r="AA55" s="1364"/>
      <c r="AB55" s="1364"/>
      <c r="AC55" s="1354"/>
      <c r="AD55" s="1355"/>
      <c r="AE55" s="1355"/>
      <c r="AF55" s="1355"/>
      <c r="AG55" s="1355"/>
      <c r="AH55" s="1355"/>
      <c r="AI55" s="1355"/>
      <c r="AJ55" s="1356"/>
      <c r="AK55" s="931">
        <f t="shared" si="1"/>
        <v>0</v>
      </c>
      <c r="AL55" s="931"/>
      <c r="AM55" s="931"/>
      <c r="AN55" s="931"/>
      <c r="AO55" s="931"/>
      <c r="AP55" s="940">
        <f>IFERROR($Z$56,"")</f>
        <v>15192</v>
      </c>
      <c r="AQ55" s="941">
        <f>IFERROR('ARDT Cutter Entry'!$AK$468,"")</f>
        <v>21</v>
      </c>
      <c r="AR55" s="941">
        <f>IFERROR('ARDT Cutter Entry'!$AL$468,"")</f>
        <v>12</v>
      </c>
      <c r="AS55" s="941">
        <f>IFERROR('ARDT Cutter Entry'!$AM$468,"")</f>
        <v>6</v>
      </c>
      <c r="AT55" s="941">
        <f>IFERROR('ARDT Cutter Entry'!$AN$468,"")</f>
        <v>13</v>
      </c>
      <c r="AU55" s="941">
        <f>IFERROR('ARDT Cutter Entry'!$AO$468,"")</f>
        <v>6</v>
      </c>
      <c r="AV55" s="942">
        <f>IFERROR('ARDT Cutter Entry'!$AP$468,"")</f>
        <v>0</v>
      </c>
    </row>
    <row r="56" spans="1:48" ht="15" customHeight="1" thickBot="1" x14ac:dyDescent="0.4">
      <c r="A56" s="1412" t="s">
        <v>1514</v>
      </c>
      <c r="B56" s="1413"/>
      <c r="C56" s="1413"/>
      <c r="D56" s="1413"/>
      <c r="E56" s="1413"/>
      <c r="F56" s="1413"/>
      <c r="G56" s="1413"/>
      <c r="H56" s="1413"/>
      <c r="I56" s="1413"/>
      <c r="J56" s="1413"/>
      <c r="K56" s="1413"/>
      <c r="L56" s="1413"/>
      <c r="M56" s="1413"/>
      <c r="N56" s="1413"/>
      <c r="O56" s="1414"/>
      <c r="P56" s="1412"/>
      <c r="Q56" s="1413"/>
      <c r="R56" s="1413"/>
      <c r="S56" s="1414"/>
      <c r="T56" s="1412"/>
      <c r="U56" s="1414"/>
      <c r="V56" s="1412"/>
      <c r="W56" s="1414"/>
      <c r="X56" s="1415"/>
      <c r="Y56" s="1416"/>
      <c r="Z56" s="1417">
        <f>SUM(Z45:AB55)</f>
        <v>15192</v>
      </c>
      <c r="AA56" s="1418"/>
      <c r="AB56" s="1418"/>
      <c r="AC56" s="1401"/>
      <c r="AD56" s="1402"/>
      <c r="AE56" s="1402"/>
      <c r="AF56" s="1402"/>
      <c r="AG56" s="1402"/>
      <c r="AH56" s="1402"/>
      <c r="AI56" s="1402"/>
      <c r="AJ56" s="1403"/>
    </row>
    <row r="57" spans="1:48" ht="3.75" customHeight="1" thickBot="1" x14ac:dyDescent="0.4"/>
    <row r="58" spans="1:48" ht="12" customHeight="1" thickBot="1" x14ac:dyDescent="0.4">
      <c r="A58" s="1270" t="s">
        <v>1794</v>
      </c>
      <c r="B58" s="1270"/>
      <c r="C58" s="1270"/>
      <c r="D58" s="1270"/>
      <c r="E58" s="1270"/>
      <c r="F58" s="1270"/>
      <c r="G58" s="1270"/>
      <c r="H58" s="1270"/>
      <c r="I58" s="1271"/>
      <c r="J58" s="1278" t="s">
        <v>46</v>
      </c>
      <c r="K58" s="1280"/>
      <c r="L58" s="1278" t="str">
        <f>IF(Data!B7="SAUDI ARAMCO",IF(Data!L6=1,"√",""),"")</f>
        <v/>
      </c>
      <c r="M58" s="1280"/>
      <c r="N58" s="660"/>
      <c r="O58" s="1278" t="s">
        <v>1186</v>
      </c>
      <c r="P58" s="1279"/>
      <c r="Q58" s="1280"/>
      <c r="R58" s="1278" t="str">
        <f>IF(Data!B7="SAUDI ARAMCO",IF(Data!L6=2,"√",""),"")</f>
        <v/>
      </c>
      <c r="S58" s="1280"/>
      <c r="T58" s="1404" t="s">
        <v>1795</v>
      </c>
      <c r="U58" s="1404"/>
      <c r="V58" s="1404"/>
      <c r="W58" s="1404"/>
      <c r="X58" s="1404"/>
      <c r="Y58" s="1404"/>
      <c r="Z58" s="1404"/>
      <c r="AA58" s="1404"/>
      <c r="AB58" s="1405" t="str">
        <f>IF(Data!B17&lt;&gt;"", Data!B17, "")</f>
        <v>Ramzi Kassab</v>
      </c>
      <c r="AC58" s="1405"/>
      <c r="AD58" s="1405"/>
      <c r="AE58" s="1405"/>
      <c r="AF58" s="1405"/>
      <c r="AG58" s="1405"/>
      <c r="AH58" s="1405"/>
      <c r="AI58" s="1405"/>
      <c r="AJ58" s="1405"/>
    </row>
    <row r="59" spans="1:48" ht="9.75" customHeight="1" thickBot="1" x14ac:dyDescent="0.4">
      <c r="A59" s="664"/>
      <c r="B59" s="664"/>
      <c r="C59" s="664"/>
      <c r="D59" s="664"/>
      <c r="E59" s="664"/>
      <c r="F59" s="664"/>
      <c r="G59" s="664"/>
      <c r="H59" s="664"/>
      <c r="I59" s="664"/>
      <c r="J59" s="664"/>
      <c r="K59" s="664"/>
      <c r="L59" s="664"/>
      <c r="M59" s="664"/>
      <c r="S59" s="913"/>
      <c r="T59" s="1404"/>
      <c r="U59" s="1404"/>
      <c r="V59" s="1404"/>
      <c r="W59" s="1404"/>
      <c r="X59" s="1404"/>
      <c r="Y59" s="1404"/>
      <c r="Z59" s="1404"/>
      <c r="AA59" s="1404"/>
      <c r="AB59" s="1405"/>
      <c r="AC59" s="1405"/>
      <c r="AD59" s="1405"/>
      <c r="AE59" s="1405"/>
      <c r="AF59" s="1405"/>
      <c r="AG59" s="1405"/>
      <c r="AH59" s="1405"/>
      <c r="AI59" s="1405"/>
      <c r="AJ59" s="1405"/>
    </row>
    <row r="60" spans="1:48" ht="9.75" customHeight="1" thickBot="1" x14ac:dyDescent="0.4">
      <c r="A60" s="1264" t="s">
        <v>1880</v>
      </c>
      <c r="B60" s="1265"/>
      <c r="C60" s="1265"/>
      <c r="D60" s="1265"/>
      <c r="E60" s="1265"/>
      <c r="F60" s="1265"/>
      <c r="G60" s="1265"/>
      <c r="H60" s="1265"/>
      <c r="I60" s="1265"/>
      <c r="J60" s="1265"/>
      <c r="K60" s="1265"/>
      <c r="L60" s="1265"/>
      <c r="M60" s="1265"/>
      <c r="N60" s="1265"/>
      <c r="O60" s="1265"/>
      <c r="P60" s="1265"/>
      <c r="Q60" s="1265"/>
      <c r="R60" s="1265"/>
      <c r="S60" s="1265"/>
      <c r="T60" s="1265"/>
      <c r="U60" s="1265"/>
      <c r="V60" s="1265"/>
      <c r="W60" s="1265"/>
      <c r="X60" s="1265"/>
      <c r="Y60" s="1265"/>
      <c r="Z60" s="1265"/>
      <c r="AA60" s="1265"/>
      <c r="AB60" s="1265"/>
      <c r="AC60" s="1265"/>
      <c r="AD60" s="1265"/>
      <c r="AE60" s="1265"/>
      <c r="AF60" s="1265"/>
      <c r="AG60" s="1265"/>
      <c r="AH60" s="1265"/>
      <c r="AI60" s="1265"/>
      <c r="AJ60" s="1266"/>
    </row>
    <row r="61" spans="1:48" ht="11.25" customHeight="1" x14ac:dyDescent="0.35">
      <c r="A61" s="1267" t="s">
        <v>1910</v>
      </c>
      <c r="B61" s="1268"/>
      <c r="C61" s="1268"/>
      <c r="D61" s="1268"/>
      <c r="E61" s="1268"/>
      <c r="F61" s="1268"/>
      <c r="G61" s="1268"/>
      <c r="H61" s="1268"/>
      <c r="I61" s="1268"/>
      <c r="J61" s="1268"/>
      <c r="K61" s="1268"/>
      <c r="L61" s="1268"/>
      <c r="M61" s="1268"/>
      <c r="N61" s="1268"/>
      <c r="O61" s="1268"/>
      <c r="P61" s="1268"/>
      <c r="Q61" s="1268"/>
      <c r="R61" s="1268"/>
      <c r="S61" s="1268"/>
      <c r="T61" s="1268"/>
      <c r="U61" s="1268"/>
      <c r="V61" s="1268"/>
      <c r="W61" s="1268"/>
      <c r="X61" s="1268"/>
      <c r="Y61" s="1268"/>
      <c r="Z61" s="1268"/>
      <c r="AA61" s="1268"/>
      <c r="AB61" s="1269"/>
      <c r="AC61" s="1390" t="s">
        <v>1011</v>
      </c>
      <c r="AD61" s="1391"/>
      <c r="AE61" s="1391"/>
      <c r="AF61" s="1391"/>
      <c r="AG61" s="1391"/>
      <c r="AH61" s="1391"/>
      <c r="AI61" s="1391"/>
      <c r="AJ61" s="1392"/>
    </row>
    <row r="62" spans="1:48" ht="11.25" customHeight="1" x14ac:dyDescent="0.35">
      <c r="A62" s="1393" t="s">
        <v>1878</v>
      </c>
      <c r="B62" s="1394"/>
      <c r="C62" s="1394"/>
      <c r="D62" s="1394"/>
      <c r="E62" s="1395" t="s">
        <v>2531</v>
      </c>
      <c r="F62" s="1395"/>
      <c r="G62" s="1395"/>
      <c r="H62" s="1395"/>
      <c r="I62" s="1395"/>
      <c r="J62" s="1395"/>
      <c r="K62" s="1395"/>
      <c r="L62" s="1395"/>
      <c r="M62" s="1395"/>
      <c r="N62" s="1395"/>
      <c r="O62" s="1395"/>
      <c r="P62" s="1395"/>
      <c r="Q62" s="1395"/>
      <c r="R62" s="1395"/>
      <c r="S62" s="1395"/>
      <c r="T62" s="1395"/>
      <c r="U62" s="1395"/>
      <c r="V62" s="1395"/>
      <c r="W62" s="1395"/>
      <c r="X62" s="1395"/>
      <c r="Y62" s="1395"/>
      <c r="Z62" s="1395"/>
      <c r="AA62" s="1395"/>
      <c r="AB62" s="1395"/>
      <c r="AC62" s="1327" t="s">
        <v>1881</v>
      </c>
      <c r="AD62" s="1327"/>
      <c r="AE62" s="1327"/>
      <c r="AF62" s="1327"/>
      <c r="AG62" s="1327"/>
      <c r="AH62" s="1327"/>
      <c r="AI62" s="1348" t="str">
        <f>IF(Data!B43="SAUDI ARAMCO",IF(AND(Data!L41&lt;&gt;1,Data!L42=1),"√",""),"")</f>
        <v/>
      </c>
      <c r="AJ62" s="1349"/>
    </row>
    <row r="63" spans="1:48" ht="11.25" customHeight="1" x14ac:dyDescent="0.35">
      <c r="A63" s="1345"/>
      <c r="B63" s="1346"/>
      <c r="C63" s="1346"/>
      <c r="D63" s="1346"/>
      <c r="E63" s="1395"/>
      <c r="F63" s="1395"/>
      <c r="G63" s="1395"/>
      <c r="H63" s="1395"/>
      <c r="I63" s="1395"/>
      <c r="J63" s="1395"/>
      <c r="K63" s="1395"/>
      <c r="L63" s="1395"/>
      <c r="M63" s="1395"/>
      <c r="N63" s="1395"/>
      <c r="O63" s="1395"/>
      <c r="P63" s="1395"/>
      <c r="Q63" s="1395"/>
      <c r="R63" s="1395"/>
      <c r="S63" s="1395"/>
      <c r="T63" s="1395"/>
      <c r="U63" s="1395"/>
      <c r="V63" s="1395"/>
      <c r="W63" s="1395"/>
      <c r="X63" s="1395"/>
      <c r="Y63" s="1395"/>
      <c r="Z63" s="1395"/>
      <c r="AA63" s="1395"/>
      <c r="AB63" s="1395"/>
      <c r="AC63" s="1327" t="s">
        <v>1882</v>
      </c>
      <c r="AD63" s="1327"/>
      <c r="AE63" s="1327"/>
      <c r="AF63" s="1327"/>
      <c r="AG63" s="1327"/>
      <c r="AH63" s="1327"/>
      <c r="AI63" s="1348" t="str">
        <f>IF(Data!B43="SAUDI ARAMCO",IF(Data!L41=1,"√",""),"")</f>
        <v/>
      </c>
      <c r="AJ63" s="1349"/>
    </row>
    <row r="64" spans="1:48" ht="9.75" customHeight="1" x14ac:dyDescent="0.35">
      <c r="A64" s="1345" t="s">
        <v>19</v>
      </c>
      <c r="B64" s="1346"/>
      <c r="C64" s="1346"/>
      <c r="D64" s="1346"/>
      <c r="E64" s="1321"/>
      <c r="F64" s="1321"/>
      <c r="G64" s="1321"/>
      <c r="H64" s="1321"/>
      <c r="I64" s="1321"/>
      <c r="J64" s="1321"/>
      <c r="K64" s="1321"/>
      <c r="L64" s="1321"/>
      <c r="M64" s="1321"/>
      <c r="N64" s="1321"/>
      <c r="O64" s="1321"/>
      <c r="P64" s="1321"/>
      <c r="Q64" s="1321"/>
      <c r="R64" s="1321"/>
      <c r="S64" s="1321"/>
      <c r="T64" s="1321"/>
      <c r="U64" s="1321"/>
      <c r="V64" s="1321"/>
      <c r="W64" s="1321"/>
      <c r="X64" s="1321"/>
      <c r="Y64" s="1321"/>
      <c r="Z64" s="1321"/>
      <c r="AA64" s="1321"/>
      <c r="AB64" s="1321"/>
      <c r="AC64" s="1321"/>
      <c r="AD64" s="1321"/>
      <c r="AE64" s="1321"/>
      <c r="AF64" s="1321"/>
      <c r="AG64" s="1321"/>
      <c r="AH64" s="1321"/>
      <c r="AI64" s="1321"/>
      <c r="AJ64" s="1322"/>
    </row>
    <row r="65" spans="1:36" ht="9.75" customHeight="1" x14ac:dyDescent="0.35">
      <c r="A65" s="1345"/>
      <c r="B65" s="1346"/>
      <c r="C65" s="1346"/>
      <c r="D65" s="1346"/>
      <c r="E65" s="1321"/>
      <c r="F65" s="1321"/>
      <c r="G65" s="1321"/>
      <c r="H65" s="1321"/>
      <c r="I65" s="1321"/>
      <c r="J65" s="1321"/>
      <c r="K65" s="1321"/>
      <c r="L65" s="1321"/>
      <c r="M65" s="1321"/>
      <c r="N65" s="1321"/>
      <c r="O65" s="1321"/>
      <c r="P65" s="1321"/>
      <c r="Q65" s="1321"/>
      <c r="R65" s="1321"/>
      <c r="S65" s="1321"/>
      <c r="T65" s="1321"/>
      <c r="U65" s="1321"/>
      <c r="V65" s="1321"/>
      <c r="W65" s="1321"/>
      <c r="X65" s="1321"/>
      <c r="Y65" s="1321"/>
      <c r="Z65" s="1321"/>
      <c r="AA65" s="1321"/>
      <c r="AB65" s="1321"/>
      <c r="AC65" s="1321"/>
      <c r="AD65" s="1321"/>
      <c r="AE65" s="1321"/>
      <c r="AF65" s="1321"/>
      <c r="AG65" s="1321"/>
      <c r="AH65" s="1321"/>
      <c r="AI65" s="1321"/>
      <c r="AJ65" s="1322"/>
    </row>
    <row r="66" spans="1:36" ht="9.75" customHeight="1" x14ac:dyDescent="0.35">
      <c r="A66" s="1345"/>
      <c r="B66" s="1346"/>
      <c r="C66" s="1346"/>
      <c r="D66" s="1346"/>
      <c r="E66" s="1321"/>
      <c r="F66" s="1321"/>
      <c r="G66" s="1321"/>
      <c r="H66" s="1321"/>
      <c r="I66" s="1321"/>
      <c r="J66" s="1321"/>
      <c r="K66" s="1321"/>
      <c r="L66" s="1321"/>
      <c r="M66" s="1321"/>
      <c r="N66" s="1321"/>
      <c r="O66" s="1321"/>
      <c r="P66" s="1321"/>
      <c r="Q66" s="1321"/>
      <c r="R66" s="1321"/>
      <c r="S66" s="1321"/>
      <c r="T66" s="1321"/>
      <c r="U66" s="1321"/>
      <c r="V66" s="1321"/>
      <c r="W66" s="1321"/>
      <c r="X66" s="1321"/>
      <c r="Y66" s="1321"/>
      <c r="Z66" s="1321"/>
      <c r="AA66" s="1321"/>
      <c r="AB66" s="1321"/>
      <c r="AC66" s="1321"/>
      <c r="AD66" s="1321"/>
      <c r="AE66" s="1321"/>
      <c r="AF66" s="1321"/>
      <c r="AG66" s="1321"/>
      <c r="AH66" s="1321"/>
      <c r="AI66" s="1321"/>
      <c r="AJ66" s="1322"/>
    </row>
    <row r="67" spans="1:36" ht="17.25" customHeight="1" thickBot="1" x14ac:dyDescent="0.4">
      <c r="A67" s="1396" t="s">
        <v>1879</v>
      </c>
      <c r="B67" s="1397"/>
      <c r="C67" s="1397"/>
      <c r="D67" s="1397"/>
      <c r="E67" s="1400"/>
      <c r="F67" s="1400"/>
      <c r="G67" s="1400"/>
      <c r="H67" s="1400"/>
      <c r="I67" s="1400"/>
      <c r="J67" s="1400"/>
      <c r="K67" s="1400"/>
      <c r="L67" s="1400"/>
      <c r="M67" s="1400"/>
      <c r="N67" s="1400"/>
      <c r="O67" s="1400"/>
      <c r="P67" s="1400"/>
      <c r="Q67" s="1400"/>
      <c r="R67" s="1400"/>
      <c r="S67" s="1397" t="s">
        <v>1079</v>
      </c>
      <c r="T67" s="1397"/>
      <c r="U67" s="1397"/>
      <c r="V67" s="1397"/>
      <c r="W67" s="1397"/>
      <c r="X67" s="1398"/>
      <c r="Y67" s="1398"/>
      <c r="Z67" s="1398"/>
      <c r="AA67" s="1398"/>
      <c r="AB67" s="1398"/>
      <c r="AC67" s="1398"/>
      <c r="AD67" s="1398"/>
      <c r="AE67" s="1398"/>
      <c r="AF67" s="1398"/>
      <c r="AG67" s="1398"/>
      <c r="AH67" s="1398"/>
      <c r="AI67" s="1398"/>
      <c r="AJ67" s="1399"/>
    </row>
    <row r="68" spans="1:36" x14ac:dyDescent="0.35">
      <c r="D68" s="801"/>
      <c r="E68" s="801"/>
      <c r="F68" s="801"/>
      <c r="G68" s="801"/>
      <c r="H68" s="801"/>
      <c r="I68" s="801"/>
      <c r="J68" s="801"/>
      <c r="K68" s="801"/>
      <c r="L68" s="801"/>
      <c r="M68" s="801"/>
      <c r="N68" s="801"/>
      <c r="O68" s="662"/>
      <c r="P68" s="802"/>
      <c r="Q68" s="802"/>
      <c r="R68" s="802"/>
      <c r="S68" s="802"/>
      <c r="T68" s="802"/>
      <c r="U68" s="802"/>
      <c r="V68" s="802"/>
      <c r="W68" s="802"/>
      <c r="X68" s="802"/>
      <c r="Y68" s="802"/>
      <c r="Z68" s="660"/>
      <c r="AA68" s="663"/>
      <c r="AB68" s="663"/>
      <c r="AC68" s="663"/>
      <c r="AD68" s="663"/>
      <c r="AE68" s="663"/>
      <c r="AF68" s="662"/>
      <c r="AG68" s="662"/>
      <c r="AH68" s="662"/>
      <c r="AI68" s="662"/>
    </row>
    <row r="69" spans="1:36" x14ac:dyDescent="0.35">
      <c r="C69" s="662"/>
      <c r="D69" s="662"/>
      <c r="E69" s="662"/>
      <c r="F69" s="662"/>
      <c r="G69" s="662"/>
      <c r="H69" s="662"/>
      <c r="S69" s="660"/>
      <c r="T69" s="660"/>
      <c r="U69" s="660"/>
      <c r="V69" s="660"/>
      <c r="W69" s="660"/>
      <c r="X69" s="660"/>
      <c r="Y69" s="660"/>
      <c r="Z69" s="660"/>
      <c r="AA69" s="660"/>
      <c r="AB69" s="660"/>
      <c r="AC69" s="660"/>
      <c r="AD69" s="660"/>
      <c r="AE69" s="660"/>
      <c r="AF69" s="660"/>
      <c r="AG69" s="660"/>
      <c r="AH69" s="662"/>
      <c r="AI69" s="662"/>
    </row>
    <row r="70" spans="1:36" x14ac:dyDescent="0.35">
      <c r="C70" s="801"/>
      <c r="D70" s="801"/>
      <c r="E70" s="801"/>
      <c r="F70" s="801"/>
      <c r="G70" s="801"/>
      <c r="H70" s="801"/>
      <c r="I70" s="801"/>
      <c r="J70" s="801"/>
      <c r="K70" s="801"/>
      <c r="L70" s="801"/>
      <c r="M70" s="801"/>
      <c r="N70" s="801"/>
      <c r="O70" s="801"/>
      <c r="P70" s="660"/>
      <c r="Q70" s="802"/>
      <c r="R70" s="802"/>
      <c r="S70" s="665"/>
      <c r="T70" s="730"/>
      <c r="U70" s="730"/>
      <c r="V70" s="730"/>
      <c r="W70" s="730"/>
      <c r="X70" s="662"/>
      <c r="Y70" s="662"/>
      <c r="Z70" s="802"/>
    </row>
  </sheetData>
  <mergeCells count="202">
    <mergeCell ref="AQ53:AQ54"/>
    <mergeCell ref="AR53:AR54"/>
    <mergeCell ref="AS53:AS54"/>
    <mergeCell ref="AT53:AT54"/>
    <mergeCell ref="AU53:AU54"/>
    <mergeCell ref="AV53:AV54"/>
    <mergeCell ref="AP53:AP54"/>
    <mergeCell ref="A67:D67"/>
    <mergeCell ref="E67:R67"/>
    <mergeCell ref="S67:W67"/>
    <mergeCell ref="X67:AJ67"/>
    <mergeCell ref="A64:D66"/>
    <mergeCell ref="E64:AJ66"/>
    <mergeCell ref="Z55:AB55"/>
    <mergeCell ref="A56:O56"/>
    <mergeCell ref="P56:S56"/>
    <mergeCell ref="T56:U56"/>
    <mergeCell ref="V56:W56"/>
    <mergeCell ref="X56:Y56"/>
    <mergeCell ref="Z56:AB56"/>
    <mergeCell ref="A55:B55"/>
    <mergeCell ref="C55:O55"/>
    <mergeCell ref="P55:S55"/>
    <mergeCell ref="T55:U55"/>
    <mergeCell ref="D2:M2"/>
    <mergeCell ref="N2:Y2"/>
    <mergeCell ref="Z2:AJ2"/>
    <mergeCell ref="AC61:AJ61"/>
    <mergeCell ref="A62:D63"/>
    <mergeCell ref="E62:AB63"/>
    <mergeCell ref="AC62:AH62"/>
    <mergeCell ref="AI62:AJ62"/>
    <mergeCell ref="AC63:AH63"/>
    <mergeCell ref="AI63:AJ63"/>
    <mergeCell ref="A35:D36"/>
    <mergeCell ref="E35:AB36"/>
    <mergeCell ref="A40:D40"/>
    <mergeCell ref="S40:W40"/>
    <mergeCell ref="X40:AJ40"/>
    <mergeCell ref="E40:R40"/>
    <mergeCell ref="AC55:AJ55"/>
    <mergeCell ref="AC56:AJ56"/>
    <mergeCell ref="J58:K58"/>
    <mergeCell ref="L58:M58"/>
    <mergeCell ref="O58:Q58"/>
    <mergeCell ref="R58:S58"/>
    <mergeCell ref="T58:AA59"/>
    <mergeCell ref="AB58:AJ59"/>
    <mergeCell ref="V55:W55"/>
    <mergeCell ref="X55:Y55"/>
    <mergeCell ref="AC51:AJ51"/>
    <mergeCell ref="AC52:AJ52"/>
    <mergeCell ref="Z53:AB53"/>
    <mergeCell ref="A54:B54"/>
    <mergeCell ref="C54:O54"/>
    <mergeCell ref="P54:S54"/>
    <mergeCell ref="T54:U54"/>
    <mergeCell ref="V54:W54"/>
    <mergeCell ref="X54:Y54"/>
    <mergeCell ref="Z54:AB54"/>
    <mergeCell ref="A53:B53"/>
    <mergeCell ref="C53:O53"/>
    <mergeCell ref="P53:S53"/>
    <mergeCell ref="T53:U53"/>
    <mergeCell ref="V53:W53"/>
    <mergeCell ref="X53:Y53"/>
    <mergeCell ref="AC53:AJ53"/>
    <mergeCell ref="AC54:AJ54"/>
    <mergeCell ref="Z51:AB51"/>
    <mergeCell ref="A52:B52"/>
    <mergeCell ref="C52:O52"/>
    <mergeCell ref="P52:S52"/>
    <mergeCell ref="AC49:AJ49"/>
    <mergeCell ref="AC50:AJ50"/>
    <mergeCell ref="Z47:AB47"/>
    <mergeCell ref="A48:B48"/>
    <mergeCell ref="C48:O48"/>
    <mergeCell ref="P48:S48"/>
    <mergeCell ref="T48:U48"/>
    <mergeCell ref="V48:W48"/>
    <mergeCell ref="T52:U52"/>
    <mergeCell ref="V52:W52"/>
    <mergeCell ref="X52:Y52"/>
    <mergeCell ref="Z52:AB52"/>
    <mergeCell ref="A51:B51"/>
    <mergeCell ref="C51:O51"/>
    <mergeCell ref="P51:S51"/>
    <mergeCell ref="T51:U51"/>
    <mergeCell ref="V51:W51"/>
    <mergeCell ref="X51:Y51"/>
    <mergeCell ref="Z49:AB49"/>
    <mergeCell ref="A50:B50"/>
    <mergeCell ref="C50:O50"/>
    <mergeCell ref="P50:S50"/>
    <mergeCell ref="T50:U50"/>
    <mergeCell ref="V50:W50"/>
    <mergeCell ref="X50:Y50"/>
    <mergeCell ref="Z50:AB50"/>
    <mergeCell ref="A49:B49"/>
    <mergeCell ref="C49:O49"/>
    <mergeCell ref="P49:S49"/>
    <mergeCell ref="T49:U49"/>
    <mergeCell ref="V49:W49"/>
    <mergeCell ref="X49:Y49"/>
    <mergeCell ref="X48:Y48"/>
    <mergeCell ref="Z48:AB48"/>
    <mergeCell ref="AC48:AJ48"/>
    <mergeCell ref="Z45:AB45"/>
    <mergeCell ref="A46:B46"/>
    <mergeCell ref="C46:O46"/>
    <mergeCell ref="P46:S46"/>
    <mergeCell ref="T46:U46"/>
    <mergeCell ref="V46:W46"/>
    <mergeCell ref="X46:Y46"/>
    <mergeCell ref="Z46:AB46"/>
    <mergeCell ref="A45:B45"/>
    <mergeCell ref="C45:O45"/>
    <mergeCell ref="P45:S45"/>
    <mergeCell ref="T45:U45"/>
    <mergeCell ref="V45:W45"/>
    <mergeCell ref="X45:Y45"/>
    <mergeCell ref="A47:B47"/>
    <mergeCell ref="C47:O47"/>
    <mergeCell ref="P47:S47"/>
    <mergeCell ref="T47:U47"/>
    <mergeCell ref="V47:W47"/>
    <mergeCell ref="X47:Y47"/>
    <mergeCell ref="AC45:AJ45"/>
    <mergeCell ref="AC46:AJ46"/>
    <mergeCell ref="AC47:AJ47"/>
    <mergeCell ref="AC43:AJ44"/>
    <mergeCell ref="H32:K32"/>
    <mergeCell ref="L32:O32"/>
    <mergeCell ref="P32:T32"/>
    <mergeCell ref="A37:D39"/>
    <mergeCell ref="A41:H41"/>
    <mergeCell ref="I41:Q41"/>
    <mergeCell ref="AI35:AJ35"/>
    <mergeCell ref="AI36:AJ36"/>
    <mergeCell ref="A32:G32"/>
    <mergeCell ref="A43:O43"/>
    <mergeCell ref="P43:S44"/>
    <mergeCell ref="T43:U44"/>
    <mergeCell ref="V43:W44"/>
    <mergeCell ref="X43:Y44"/>
    <mergeCell ref="Z43:AB44"/>
    <mergeCell ref="A44:B44"/>
    <mergeCell ref="C44:O44"/>
    <mergeCell ref="AV27:BE28"/>
    <mergeCell ref="E37:AJ39"/>
    <mergeCell ref="AP27:AU28"/>
    <mergeCell ref="A42:AJ42"/>
    <mergeCell ref="AC36:AH36"/>
    <mergeCell ref="AC35:AH35"/>
    <mergeCell ref="AC34:AJ34"/>
    <mergeCell ref="A33:AJ33"/>
    <mergeCell ref="A34:AB34"/>
    <mergeCell ref="F10:L10"/>
    <mergeCell ref="M10:P10"/>
    <mergeCell ref="Q10:W10"/>
    <mergeCell ref="Y10:AC10"/>
    <mergeCell ref="A31:G31"/>
    <mergeCell ref="H31:K31"/>
    <mergeCell ref="L31:O31"/>
    <mergeCell ref="P31:T31"/>
    <mergeCell ref="A29:D29"/>
    <mergeCell ref="E29:J29"/>
    <mergeCell ref="K29:L29"/>
    <mergeCell ref="M29:S29"/>
    <mergeCell ref="W29:AB29"/>
    <mergeCell ref="C14:AJ14"/>
    <mergeCell ref="T29:V29"/>
    <mergeCell ref="B12:E12"/>
    <mergeCell ref="F12:L12"/>
    <mergeCell ref="M12:P12"/>
    <mergeCell ref="Q12:W12"/>
    <mergeCell ref="Y12:AC12"/>
    <mergeCell ref="B10:E10"/>
    <mergeCell ref="A60:AJ60"/>
    <mergeCell ref="A61:AB61"/>
    <mergeCell ref="A58:I58"/>
    <mergeCell ref="D1:AJ1"/>
    <mergeCell ref="D3:AJ3"/>
    <mergeCell ref="D4:Z4"/>
    <mergeCell ref="A1:C4"/>
    <mergeCell ref="D8:E8"/>
    <mergeCell ref="F8:L8"/>
    <mergeCell ref="O8:P8"/>
    <mergeCell ref="Q8:W8"/>
    <mergeCell ref="Y8:AC9"/>
    <mergeCell ref="A6:E6"/>
    <mergeCell ref="F6:L6"/>
    <mergeCell ref="N6:P6"/>
    <mergeCell ref="Q6:W6"/>
    <mergeCell ref="Y6:AC6"/>
    <mergeCell ref="AA4:AJ4"/>
    <mergeCell ref="AD6:AJ6"/>
    <mergeCell ref="AD8:AJ8"/>
    <mergeCell ref="AD10:AJ10"/>
    <mergeCell ref="AD12:AJ12"/>
    <mergeCell ref="A14:B15"/>
    <mergeCell ref="A16:A27"/>
  </mergeCells>
  <conditionalFormatting sqref="C15:AJ15">
    <cfRule type="cellIs" dxfId="500" priority="11" operator="equal">
      <formula>0</formula>
    </cfRule>
  </conditionalFormatting>
  <conditionalFormatting sqref="P32">
    <cfRule type="expression" dxfId="498" priority="10">
      <formula>OR(SUM($A$32:$O$32)&lt;$P$32,SUM($A$32:$O$32)&gt;$P$32)</formula>
    </cfRule>
  </conditionalFormatting>
  <conditionalFormatting sqref="T56">
    <cfRule type="cellIs" dxfId="497" priority="16" operator="equal">
      <formula>0</formula>
    </cfRule>
  </conditionalFormatting>
  <conditionalFormatting sqref="T45:U55 X45:X56">
    <cfRule type="cellIs" dxfId="496" priority="6" operator="equal">
      <formula>0</formula>
    </cfRule>
  </conditionalFormatting>
  <conditionalFormatting sqref="T45:U55">
    <cfRule type="expression" dxfId="495" priority="2">
      <formula>AND($L$32&lt;&gt;$AN$46,COUNTIF($C45,"*Cutter*"))</formula>
    </cfRule>
  </conditionalFormatting>
  <conditionalFormatting sqref="V45:W55">
    <cfRule type="expression" dxfId="494" priority="5">
      <formula>OR(T45=0,T45="")</formula>
    </cfRule>
  </conditionalFormatting>
  <conditionalFormatting sqref="Z45:Z56">
    <cfRule type="cellIs" dxfId="493" priority="4" operator="equal">
      <formula>0</formula>
    </cfRule>
  </conditionalFormatting>
  <conditionalFormatting sqref="AD10">
    <cfRule type="cellIs" dxfId="492" priority="13" operator="equal">
      <formula>0</formula>
    </cfRule>
  </conditionalFormatting>
  <pageMargins left="0.2" right="0.25" top="0.5" bottom="0" header="0.05" footer="0.05"/>
  <pageSetup paperSize="9" orientation="portrait" r:id="rId1"/>
  <colBreaks count="1" manualBreakCount="1">
    <brk id="36" max="69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6E6F2B1C-8159-4E4B-9133-2BABCDDC277E}">
            <xm:f>SUM(Data!$BR46:$CV46)=0</xm:f>
            <x14:dxf>
              <font>
                <color theme="0"/>
              </font>
            </x14:dxf>
          </x14:cfRule>
          <xm:sqref>B16:B27</xm:sqref>
        </x14:conditionalFormatting>
        <x14:conditionalFormatting xmlns:xm="http://schemas.microsoft.com/office/excel/2006/main">
          <x14:cfRule type="expression" priority="24599" id="{DE5687FB-A1DF-4B69-8492-301F820A65E7}">
            <xm:f>Data!$B$10=""</xm:f>
            <x14:dxf>
              <fill>
                <patternFill>
                  <bgColor rgb="FFFF0000"/>
                </patternFill>
              </fill>
            </x14:dxf>
          </x14:cfRule>
          <xm:sqref>F12:L12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tabColor rgb="FF92D050"/>
  </sheetPr>
  <dimension ref="A1:BN81"/>
  <sheetViews>
    <sheetView view="pageBreakPreview" topLeftCell="A15" zoomScaleNormal="100" zoomScaleSheetLayoutView="100" workbookViewId="0">
      <selection activeCell="I27" sqref="I27"/>
    </sheetView>
  </sheetViews>
  <sheetFormatPr defaultColWidth="9.1796875" defaultRowHeight="14.5" x14ac:dyDescent="0.35"/>
  <cols>
    <col min="1" max="2" width="2.54296875" customWidth="1"/>
    <col min="3" max="27" width="3.7265625" customWidth="1"/>
    <col min="28" max="28" width="3" customWidth="1"/>
    <col min="29" max="30" width="3.1796875" customWidth="1"/>
    <col min="33" max="33" width="12.7265625" customWidth="1"/>
    <col min="34" max="34" width="12.453125" bestFit="1" customWidth="1"/>
    <col min="35" max="35" width="8.54296875" bestFit="1" customWidth="1"/>
    <col min="36" max="36" width="9.54296875" customWidth="1"/>
    <col min="37" max="37" width="40.1796875" bestFit="1" customWidth="1"/>
    <col min="38" max="38" width="30.54296875" bestFit="1" customWidth="1"/>
    <col min="39" max="41" width="3" bestFit="1" customWidth="1"/>
    <col min="130" max="130" width="9.1796875" customWidth="1"/>
  </cols>
  <sheetData>
    <row r="1" spans="1:36" ht="14.25" customHeight="1" x14ac:dyDescent="0.35">
      <c r="A1" s="1460" t="s">
        <v>23</v>
      </c>
      <c r="B1" s="1461"/>
      <c r="C1" s="1481"/>
      <c r="D1" s="1475" t="s">
        <v>967</v>
      </c>
      <c r="E1" s="1475"/>
      <c r="F1" s="1475"/>
      <c r="G1" s="1475"/>
      <c r="H1" s="1475"/>
      <c r="I1" s="1475"/>
      <c r="J1" s="1475"/>
      <c r="K1" s="1475"/>
      <c r="L1" s="1475"/>
      <c r="M1" s="1475"/>
      <c r="N1" s="1475"/>
      <c r="O1" s="1475"/>
      <c r="P1" s="1475"/>
      <c r="Q1" s="1475"/>
      <c r="R1" s="1475"/>
      <c r="S1" s="1475"/>
      <c r="T1" s="1475"/>
      <c r="U1" s="1475"/>
      <c r="V1" s="1475"/>
      <c r="W1" s="1475"/>
      <c r="X1" s="1475"/>
      <c r="Y1" s="1475"/>
      <c r="Z1" s="1475"/>
      <c r="AA1" s="1476"/>
      <c r="AB1" s="1123" t="str">
        <f>IF(
   AND(AG2=AH2,AG2=AI2,AG2=AJ2),
   "✅ OK – all four match",
   "❌ Mismatch – check table / M34 / remarks / Quantity"
)</f>
        <v>✅ OK – all four match</v>
      </c>
      <c r="AG1" s="1123" t="s">
        <v>2526</v>
      </c>
      <c r="AH1" s="1123" t="s">
        <v>2527</v>
      </c>
      <c r="AI1" s="1123" t="s">
        <v>44</v>
      </c>
      <c r="AJ1" s="1123" t="s">
        <v>40</v>
      </c>
    </row>
    <row r="2" spans="1:36" ht="12.75" customHeight="1" x14ac:dyDescent="0.35">
      <c r="A2" s="1479"/>
      <c r="B2" s="1428"/>
      <c r="C2" s="1482"/>
      <c r="D2" s="1477" t="s">
        <v>24</v>
      </c>
      <c r="E2" s="1477"/>
      <c r="F2" s="1477"/>
      <c r="G2" s="1477"/>
      <c r="H2" s="1477"/>
      <c r="I2" s="1477"/>
      <c r="J2" s="1477"/>
      <c r="K2" s="1477"/>
      <c r="L2" s="1477" t="s">
        <v>1062</v>
      </c>
      <c r="M2" s="1477"/>
      <c r="N2" s="1477"/>
      <c r="O2" s="1477"/>
      <c r="P2" s="1477"/>
      <c r="Q2" s="1477"/>
      <c r="R2" s="1477"/>
      <c r="S2" s="1477"/>
      <c r="T2" s="1477" t="s">
        <v>25</v>
      </c>
      <c r="U2" s="1477"/>
      <c r="V2" s="1477"/>
      <c r="W2" s="1477"/>
      <c r="X2" s="1477"/>
      <c r="Y2" s="1477"/>
      <c r="Z2" s="1477"/>
      <c r="AA2" s="1496"/>
      <c r="AG2" s="1123">
        <f>COUNTIF($C$17:$AA$28,"X*")+COUNTIF($C$17:$AA$28,"L*")</f>
        <v>33</v>
      </c>
      <c r="AH2" s="1123">
        <f>IF($M$34&lt;&gt;"",$M$34,0)+IF($P$34&lt;&gt;"",$P$34,0)</f>
        <v>33</v>
      </c>
      <c r="AI2" s="1123" cm="1">
        <f t="array" ref="AI2">_xlfn.LET(
  _xlpm.txt, _xlfn.TEXTJOIN(" ",TRUE,$R$44:$R$60),
  _xlpm.seg, _xlfn.TEXTSPLIT(_xlpm.txt,"]"),
  _xlpm.rawIn, IFERROR(_xlfn.TEXTAFTER(_xlpm.seg,"["),""),
  _xlpm.inBrackets, _xlfn.TEXTJOIN(" ",TRUE,_xlpm.rawIn),
  IF(
    _xlpm.inBrackets="",
    0,
    _xlfn.LET(
      _xlpm.chars, MID(_xlpm.inBrackets,_xlfn.SEQUENCE(LEN(_xlpm.inBrackets)),1),
      _xlpm.onlyDigitsOrSpaces, IF(ISNUMBER(--_xlpm.chars),_xlpm.chars," "),
      _xlpm.digitString, _xlfn.TEXTJOIN("",,_xlpm.onlyDigitsOrSpaces),
      _xlpm.parts, _xlfn.TEXTSPLIT(_xlpm.digitString," "),
      _xlpm.nums, _xlfn._xlws.FILTER(_xlpm.parts,_xlpm.parts&lt;&gt;""),
      SUM(--_xlpm.nums)
    )
  )
)</f>
        <v>33</v>
      </c>
      <c r="AJ2" s="1123">
        <f>SUM(C44:D60)</f>
        <v>33</v>
      </c>
    </row>
    <row r="3" spans="1:36" ht="12.75" customHeight="1" thickBot="1" x14ac:dyDescent="0.4">
      <c r="A3" s="1483"/>
      <c r="B3" s="1484"/>
      <c r="C3" s="1485"/>
      <c r="D3" s="1478" t="s">
        <v>1118</v>
      </c>
      <c r="E3" s="1478"/>
      <c r="F3" s="1478"/>
      <c r="G3" s="1478"/>
      <c r="H3" s="1478"/>
      <c r="I3" s="1478"/>
      <c r="J3" s="1478"/>
      <c r="K3" s="1478"/>
      <c r="L3" s="1478"/>
      <c r="M3" s="1478"/>
      <c r="N3" s="1478"/>
      <c r="O3" s="1478"/>
      <c r="P3" s="1478"/>
      <c r="Q3" s="1478"/>
      <c r="R3" s="1478"/>
      <c r="S3" s="1478"/>
      <c r="T3" s="1478" t="s">
        <v>26</v>
      </c>
      <c r="U3" s="1478"/>
      <c r="V3" s="1478"/>
      <c r="W3" s="1478"/>
      <c r="X3" s="1478"/>
      <c r="Y3" s="1478"/>
      <c r="Z3" s="1478"/>
      <c r="AA3" s="1497"/>
    </row>
    <row r="4" spans="1:36" ht="5.15" customHeight="1" x14ac:dyDescent="0.35">
      <c r="A4" s="394"/>
      <c r="B4" s="394"/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4"/>
      <c r="O4" s="394"/>
      <c r="P4" s="394"/>
      <c r="Q4" s="394"/>
      <c r="R4" s="394"/>
      <c r="S4" s="394"/>
      <c r="T4" s="394"/>
      <c r="U4" s="394"/>
      <c r="V4" s="394"/>
      <c r="W4" s="394"/>
      <c r="X4" s="394"/>
      <c r="Y4" s="393"/>
      <c r="Z4" s="393"/>
      <c r="AA4" s="395"/>
    </row>
    <row r="5" spans="1:36" ht="13.5" customHeight="1" x14ac:dyDescent="0.35">
      <c r="A5" s="395"/>
      <c r="B5" s="1428" t="s">
        <v>27</v>
      </c>
      <c r="C5" s="1428"/>
      <c r="D5" s="1428"/>
      <c r="E5" s="1428"/>
      <c r="F5" s="1425" t="str">
        <f>IF(Data!B1&lt;&gt;"", Data!B1, " ")</f>
        <v>2025-AR-105</v>
      </c>
      <c r="G5" s="1426"/>
      <c r="H5" s="1426"/>
      <c r="I5" s="1426"/>
      <c r="J5" s="1427"/>
      <c r="K5" s="1429" t="s">
        <v>28</v>
      </c>
      <c r="L5" s="1429"/>
      <c r="M5" s="1429"/>
      <c r="N5" s="1425">
        <f>IF(Data!B2&lt;&gt;"", Data!B2, " ")</f>
        <v>13753277</v>
      </c>
      <c r="O5" s="1426"/>
      <c r="P5" s="1426"/>
      <c r="Q5" s="1426"/>
      <c r="R5" s="1427"/>
      <c r="S5" s="1428" t="s">
        <v>731</v>
      </c>
      <c r="T5" s="1428"/>
      <c r="U5" s="1428"/>
      <c r="V5" s="1428"/>
      <c r="W5" s="1425"/>
      <c r="X5" s="1426"/>
      <c r="Y5" s="1426"/>
      <c r="Z5" s="1426"/>
      <c r="AA5" s="1427"/>
    </row>
    <row r="6" spans="1:36" ht="4.5" customHeight="1" x14ac:dyDescent="0.35">
      <c r="A6" s="396"/>
      <c r="B6" s="394"/>
      <c r="C6" s="394"/>
      <c r="D6" s="394"/>
      <c r="E6" s="394"/>
      <c r="F6" s="394"/>
      <c r="G6" s="394"/>
      <c r="H6" s="394"/>
      <c r="I6" s="394"/>
      <c r="J6" s="394"/>
      <c r="K6" s="394"/>
      <c r="L6" s="394"/>
      <c r="M6" s="394"/>
      <c r="N6" s="394"/>
      <c r="O6" s="394"/>
      <c r="P6" s="394"/>
      <c r="Q6" s="394"/>
      <c r="R6" s="395"/>
      <c r="S6" s="1444" t="s">
        <v>966</v>
      </c>
      <c r="T6" s="1444"/>
      <c r="U6" s="1444"/>
      <c r="V6" s="1444"/>
      <c r="W6" s="396"/>
      <c r="X6" s="396"/>
      <c r="Y6" s="393"/>
      <c r="Z6" s="393"/>
      <c r="AA6" s="395"/>
    </row>
    <row r="7" spans="1:36" ht="13.5" customHeight="1" x14ac:dyDescent="0.35">
      <c r="A7" s="395"/>
      <c r="B7" s="395"/>
      <c r="C7" s="395"/>
      <c r="D7" s="1429" t="s">
        <v>29</v>
      </c>
      <c r="E7" s="1429"/>
      <c r="F7" s="1425" t="str">
        <f>IF(LEN(Data!B3)&gt;3,IF(AND(Data!B43&lt;&gt;"",Data!B43&lt;&gt;"0 0/1"""),Data!B43,""),IF(Data!B3&lt;&gt;"",Data!B3&amp;"""",""))</f>
        <v>8 3/8"</v>
      </c>
      <c r="G7" s="1426"/>
      <c r="H7" s="1426"/>
      <c r="I7" s="1426"/>
      <c r="J7" s="1427"/>
      <c r="K7" s="1430" t="s">
        <v>30</v>
      </c>
      <c r="L7" s="1430"/>
      <c r="M7" s="1430"/>
      <c r="N7" s="1425" t="str">
        <f>IF(Data!B5&lt;&gt;"",Data!B5," ")</f>
        <v>1061407M</v>
      </c>
      <c r="O7" s="1426"/>
      <c r="P7" s="1426"/>
      <c r="Q7" s="1426"/>
      <c r="R7" s="1427"/>
      <c r="S7" s="1444"/>
      <c r="T7" s="1444"/>
      <c r="U7" s="1444"/>
      <c r="V7" s="1444"/>
      <c r="W7" s="1498">
        <f>IF(Data!B6&lt;&gt;"",Data!B6," ")</f>
        <v>46002</v>
      </c>
      <c r="X7" s="1499"/>
      <c r="Y7" s="1499"/>
      <c r="Z7" s="1499"/>
      <c r="AA7" s="1500"/>
    </row>
    <row r="8" spans="1:36" ht="5.15" customHeight="1" x14ac:dyDescent="0.35">
      <c r="A8" s="396"/>
      <c r="B8" s="396"/>
      <c r="C8" s="395"/>
      <c r="D8" s="396"/>
      <c r="E8" s="395"/>
      <c r="F8" s="396"/>
      <c r="G8" s="396"/>
      <c r="H8" s="396"/>
      <c r="I8" s="396"/>
      <c r="J8" s="395"/>
      <c r="K8" s="396"/>
      <c r="L8" s="396"/>
      <c r="M8" s="396"/>
      <c r="N8" s="396"/>
      <c r="O8" s="396"/>
      <c r="P8" s="396"/>
      <c r="Q8" s="396"/>
      <c r="R8" s="395"/>
      <c r="S8" s="1444"/>
      <c r="T8" s="1444"/>
      <c r="U8" s="1444"/>
      <c r="V8" s="1444"/>
      <c r="W8" s="396"/>
      <c r="X8" s="396"/>
      <c r="Y8" s="393"/>
      <c r="Z8" s="393"/>
      <c r="AA8" s="395"/>
    </row>
    <row r="9" spans="1:36" ht="13.5" customHeight="1" x14ac:dyDescent="0.35">
      <c r="A9" s="395"/>
      <c r="B9" s="395"/>
      <c r="C9" s="395"/>
      <c r="D9" s="1429" t="s">
        <v>31</v>
      </c>
      <c r="E9" s="1429"/>
      <c r="F9" s="1425" t="str">
        <f>IF(Data!B4&lt;&gt;"",Data!B4," ")</f>
        <v>MM65DH</v>
      </c>
      <c r="G9" s="1426"/>
      <c r="H9" s="1426"/>
      <c r="I9" s="1426"/>
      <c r="J9" s="1427"/>
      <c r="K9" s="395"/>
      <c r="L9" s="1429" t="s">
        <v>32</v>
      </c>
      <c r="M9" s="1429"/>
      <c r="N9" s="1425" t="str">
        <f>IF(Data!B7&lt;&gt;"",Data!B7, " ")</f>
        <v>SAUDI ARAMCO</v>
      </c>
      <c r="O9" s="1426"/>
      <c r="P9" s="1426"/>
      <c r="Q9" s="1426"/>
      <c r="R9" s="1427"/>
      <c r="S9" s="1428" t="s">
        <v>33</v>
      </c>
      <c r="T9" s="1428"/>
      <c r="U9" s="1428"/>
      <c r="V9" s="1428"/>
      <c r="W9" s="1425">
        <f>IF(Data!B24&lt;&gt;"",Data!B24, " ")</f>
        <v>6600048646</v>
      </c>
      <c r="X9" s="1426"/>
      <c r="Y9" s="1426"/>
      <c r="Z9" s="1426"/>
      <c r="AA9" s="1427"/>
    </row>
    <row r="10" spans="1:36" ht="5.15" customHeight="1" thickBot="1" x14ac:dyDescent="0.4">
      <c r="A10" s="395"/>
      <c r="B10" s="398"/>
      <c r="C10" s="398"/>
      <c r="D10" s="398"/>
      <c r="E10" s="399"/>
      <c r="F10" s="399"/>
      <c r="G10" s="399"/>
      <c r="H10" s="399"/>
      <c r="I10" s="399"/>
      <c r="J10" s="399"/>
      <c r="K10" s="399"/>
      <c r="L10" s="396"/>
      <c r="M10" s="400"/>
      <c r="N10" s="400"/>
      <c r="O10" s="400"/>
      <c r="P10" s="400"/>
      <c r="Q10" s="395"/>
      <c r="R10" s="395"/>
      <c r="S10" s="395"/>
      <c r="T10" s="395"/>
      <c r="U10" s="395"/>
      <c r="V10" s="395"/>
      <c r="W10" s="395"/>
      <c r="X10" s="395"/>
      <c r="Y10" s="395"/>
      <c r="Z10" s="395"/>
      <c r="AA10" s="395"/>
    </row>
    <row r="11" spans="1:36" ht="9" customHeight="1" x14ac:dyDescent="0.35">
      <c r="A11" s="1487" t="s">
        <v>2512</v>
      </c>
      <c r="B11" s="1488"/>
      <c r="C11" s="1488"/>
      <c r="D11" s="1488"/>
      <c r="E11" s="1488"/>
      <c r="F11" s="1488"/>
      <c r="G11" s="1488"/>
      <c r="H11" s="1488"/>
      <c r="I11" s="1488"/>
      <c r="J11" s="1488"/>
      <c r="K11" s="1488"/>
      <c r="L11" s="1488"/>
      <c r="M11" s="1488"/>
      <c r="N11" s="1488"/>
      <c r="O11" s="1488"/>
      <c r="P11" s="1488"/>
      <c r="Q11" s="1488"/>
      <c r="R11" s="1488"/>
      <c r="S11" s="1488"/>
      <c r="T11" s="1488"/>
      <c r="U11" s="1488"/>
      <c r="V11" s="1488"/>
      <c r="W11" s="1488"/>
      <c r="X11" s="1488"/>
      <c r="Y11" s="1488"/>
      <c r="Z11" s="1488"/>
      <c r="AA11" s="1489"/>
    </row>
    <row r="12" spans="1:36" ht="9" customHeight="1" x14ac:dyDescent="0.35">
      <c r="A12" s="1490"/>
      <c r="B12" s="1491"/>
      <c r="C12" s="1491"/>
      <c r="D12" s="1491"/>
      <c r="E12" s="1491"/>
      <c r="F12" s="1491"/>
      <c r="G12" s="1491"/>
      <c r="H12" s="1491"/>
      <c r="I12" s="1491"/>
      <c r="J12" s="1491"/>
      <c r="K12" s="1491"/>
      <c r="L12" s="1491"/>
      <c r="M12" s="1491"/>
      <c r="N12" s="1491"/>
      <c r="O12" s="1491"/>
      <c r="P12" s="1491"/>
      <c r="Q12" s="1491"/>
      <c r="R12" s="1491"/>
      <c r="S12" s="1491"/>
      <c r="T12" s="1491"/>
      <c r="U12" s="1491"/>
      <c r="V12" s="1491"/>
      <c r="W12" s="1491"/>
      <c r="X12" s="1491"/>
      <c r="Y12" s="1491"/>
      <c r="Z12" s="1491"/>
      <c r="AA12" s="1492"/>
    </row>
    <row r="13" spans="1:36" ht="9" customHeight="1" x14ac:dyDescent="0.35">
      <c r="A13" s="1490"/>
      <c r="B13" s="1491"/>
      <c r="C13" s="1491"/>
      <c r="D13" s="1491"/>
      <c r="E13" s="1491"/>
      <c r="F13" s="1491"/>
      <c r="G13" s="1491"/>
      <c r="H13" s="1491"/>
      <c r="I13" s="1491"/>
      <c r="J13" s="1491"/>
      <c r="K13" s="1491"/>
      <c r="L13" s="1491"/>
      <c r="M13" s="1491"/>
      <c r="N13" s="1491"/>
      <c r="O13" s="1491"/>
      <c r="P13" s="1491"/>
      <c r="Q13" s="1491"/>
      <c r="R13" s="1491"/>
      <c r="S13" s="1491"/>
      <c r="T13" s="1491"/>
      <c r="U13" s="1491"/>
      <c r="V13" s="1491"/>
      <c r="W13" s="1491"/>
      <c r="X13" s="1491"/>
      <c r="Y13" s="1491"/>
      <c r="Z13" s="1491"/>
      <c r="AA13" s="1492"/>
    </row>
    <row r="14" spans="1:36" ht="9" customHeight="1" thickBot="1" x14ac:dyDescent="0.4">
      <c r="A14" s="1493"/>
      <c r="B14" s="1494"/>
      <c r="C14" s="1494"/>
      <c r="D14" s="1494"/>
      <c r="E14" s="1494"/>
      <c r="F14" s="1494"/>
      <c r="G14" s="1494"/>
      <c r="H14" s="1494"/>
      <c r="I14" s="1494"/>
      <c r="J14" s="1494"/>
      <c r="K14" s="1494"/>
      <c r="L14" s="1494"/>
      <c r="M14" s="1494"/>
      <c r="N14" s="1494"/>
      <c r="O14" s="1494"/>
      <c r="P14" s="1494"/>
      <c r="Q14" s="1494"/>
      <c r="R14" s="1494"/>
      <c r="S14" s="1494"/>
      <c r="T14" s="1494"/>
      <c r="U14" s="1494"/>
      <c r="V14" s="1494"/>
      <c r="W14" s="1494"/>
      <c r="X14" s="1494"/>
      <c r="Y14" s="1494"/>
      <c r="Z14" s="1494"/>
      <c r="AA14" s="1495"/>
    </row>
    <row r="15" spans="1:36" ht="10.5" customHeight="1" x14ac:dyDescent="0.35">
      <c r="A15" s="1431" t="s">
        <v>17</v>
      </c>
      <c r="B15" s="1432"/>
      <c r="C15" s="1432"/>
      <c r="D15" s="1432"/>
      <c r="E15" s="1432"/>
      <c r="F15" s="1432"/>
      <c r="G15" s="1432"/>
      <c r="H15" s="1432"/>
      <c r="I15" s="1432"/>
      <c r="J15" s="1432"/>
      <c r="K15" s="1432"/>
      <c r="L15" s="1432"/>
      <c r="M15" s="1432"/>
      <c r="N15" s="1432"/>
      <c r="O15" s="1432"/>
      <c r="P15" s="1432"/>
      <c r="Q15" s="1432"/>
      <c r="R15" s="1432"/>
      <c r="S15" s="1432"/>
      <c r="T15" s="1432"/>
      <c r="U15" s="1432"/>
      <c r="V15" s="1432"/>
      <c r="W15" s="1432"/>
      <c r="X15" s="1432"/>
      <c r="Y15" s="1432"/>
      <c r="Z15" s="1432"/>
      <c r="AA15" s="1433"/>
    </row>
    <row r="16" spans="1:36" ht="10.5" customHeight="1" thickBot="1" x14ac:dyDescent="0.4">
      <c r="A16" s="484"/>
      <c r="B16" s="401"/>
      <c r="C16" s="396" t="str">
        <f>IF(Data!BR42&lt;&gt;"",Data!BR42,"")</f>
        <v>1a</v>
      </c>
      <c r="D16" s="396" t="str">
        <f>IF(Data!BS42&lt;&gt;"",Data!BS42,"")</f>
        <v>2a</v>
      </c>
      <c r="E16" s="396" t="str">
        <f>IF(Data!BT42&lt;&gt;"",Data!BT42,"")</f>
        <v>3a</v>
      </c>
      <c r="F16" s="396" t="str">
        <f>IF(Data!BU42&lt;&gt;"",Data!BU42,"")</f>
        <v>4a</v>
      </c>
      <c r="G16" s="396" t="str">
        <f>IF(Data!BV42&lt;&gt;"",Data!BV42,"")</f>
        <v>5a</v>
      </c>
      <c r="H16" s="396" t="str">
        <f>IF(Data!BW42&lt;&gt;"",Data!BW42,"")</f>
        <v>6a</v>
      </c>
      <c r="I16" s="396" t="str">
        <f>IF(Data!BX42&lt;&gt;"",Data!BX42,"")</f>
        <v>7a</v>
      </c>
      <c r="J16" s="396" t="str">
        <f>IF(Data!BY42&lt;&gt;"",Data!BY42,"")</f>
        <v>8a</v>
      </c>
      <c r="K16" s="396" t="str">
        <f>IF(Data!BZ42&lt;&gt;"",Data!BZ42,"")</f>
        <v>0a</v>
      </c>
      <c r="L16" s="396" t="str">
        <f>IF(Data!CA42&lt;&gt;"",Data!CA42,"")</f>
        <v>1b</v>
      </c>
      <c r="M16" s="396" t="str">
        <f>IF(Data!CB42&lt;&gt;"",Data!CB42,"")</f>
        <v>2b</v>
      </c>
      <c r="N16" s="396" t="str">
        <f>IF(Data!CC42&lt;&gt;"",Data!CC42,"")</f>
        <v>3b</v>
      </c>
      <c r="O16" s="396" t="str">
        <f>IF(Data!CD42&lt;&gt;"",Data!CD42,"")</f>
        <v>4b</v>
      </c>
      <c r="P16" s="396" t="str">
        <f>IF(Data!CE42&lt;&gt;"",Data!CE42,"")</f>
        <v>0a</v>
      </c>
      <c r="Q16" s="396" t="str">
        <f>IF(Data!CF42&lt;&gt;"",Data!CF42,"")</f>
        <v>0a</v>
      </c>
      <c r="R16" s="396" t="str">
        <f>IF(Data!CG42&lt;&gt;"",Data!CG42,"")</f>
        <v>0a</v>
      </c>
      <c r="S16" s="396" t="str">
        <f>IF(Data!CH42&lt;&gt;"",Data!CH42,"")</f>
        <v>0a</v>
      </c>
      <c r="T16" s="396" t="str">
        <f>IF(Data!CI42&lt;&gt;"",Data!CI42,"")</f>
        <v>0a</v>
      </c>
      <c r="U16" s="396" t="str">
        <f>IF(Data!CJ42&lt;&gt;"",Data!CJ42,"")</f>
        <v>0a</v>
      </c>
      <c r="V16" s="396" t="str">
        <f>IF(Data!CK42&lt;&gt;"",Data!CK42,"")</f>
        <v>0a</v>
      </c>
      <c r="W16" s="396" t="str">
        <f>IF(Data!CL42&lt;&gt;"",Data!CL42,"")</f>
        <v>0a</v>
      </c>
      <c r="X16" s="396" t="str">
        <f>IF(Data!CM42&lt;&gt;"",Data!CM42,"")</f>
        <v>0a</v>
      </c>
      <c r="Y16" s="396" t="str">
        <f>IF(Data!CN42&lt;&gt;"",Data!CN42,"")</f>
        <v>0a</v>
      </c>
      <c r="Z16" s="396" t="str">
        <f>IF(Data!CO42&lt;&gt;"",Data!CO42,"")</f>
        <v>0a</v>
      </c>
      <c r="AA16" s="481" t="str">
        <f>IF(Data!CP42&lt;&gt;"",Data!CP42,"")</f>
        <v>0a</v>
      </c>
    </row>
    <row r="17" spans="1:27" ht="18.75" customHeight="1" x14ac:dyDescent="0.35">
      <c r="A17" s="1422" t="s">
        <v>18</v>
      </c>
      <c r="B17" s="482">
        <v>1</v>
      </c>
      <c r="C17" s="261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IF(OR(Data!BR46=0, Data!BR46=""), "", "O"&amp;Data!BR46),
            IF('ARDT Cutter Entry'!$C$111&lt;&gt;"",
                IF(OR(
                    COUNTIF('ARDT Cutter Entry'!C61,"*1"), COUNTIF('ARDT Cutter Entry'!C61,"*2"), COUNTIF('ARDT Cutter Entry'!C61,"*3"),
                    COUNTIF('ARDT Cutter Entry'!C61,"*4"), COUNTIF('ARDT Cutter Entry'!C61,"*5"), COUNTIF('ARDT Cutter Entry'!C61,"*6"),
                    COUNTIF('ARDT Cutter Entry'!C61,"*7"), COUNTIF('ARDT Cutter Entry'!C61,"*8"), COUNTIF('ARDT Cutter Entry'!C61,"*9")),
                    'ARDT Cutter Entry'!C61,
                    'ARDT Cutter Entry'!C111),
                IF(OR(
                    COUNTIF('ARDT Cutter Entry'!C4,"*1"), COUNTIF('ARDT Cutter Entry'!C4,"*2"), COUNTIF('ARDT Cutter Entry'!C4,"*3"),
                    COUNTIF('ARDT Cutter Entry'!C4,"*4"), COUNTIF('ARDT Cutter Entry'!C4,"*5"), COUNTIF('ARDT Cutter Entry'!C4,"*6"),
                    COUNTIF('ARDT Cutter Entry'!C4,"*7"), COUNTIF('ARDT Cutter Entry'!C4,"*8"), COUNTIF('ARDT Cutter Entry'!C4,"*9")),
                    'ARDT Cutter Entry'!C4,
                    'ARDT Cutter Entry'!C43)
            )
        ),
        ""
    ),
    _xlpm.Result, IF(_xlpm.URCheck,
        IF(AM70&lt;&gt;"", AM70, _xlpm.Fallback),
        _xlpm.Fallback
    ),
    _xlpm.Result
)</f>
        <v>R1</v>
      </c>
      <c r="D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IF(OR(Data!BS46=0, Data!BS46=""), "", "O"&amp;Data!BS46),
            IF('ARDT Cutter Entry'!$C$111&lt;&gt;"",
                IF(OR(
                    COUNTIF('ARDT Cutter Entry'!D61,"*1"), COUNTIF('ARDT Cutter Entry'!D61,"*2"), COUNTIF('ARDT Cutter Entry'!D61,"*3"),
                    COUNTIF('ARDT Cutter Entry'!D61,"*4"), COUNTIF('ARDT Cutter Entry'!D61,"*5"), COUNTIF('ARDT Cutter Entry'!D61,"*6"),
                    COUNTIF('ARDT Cutter Entry'!D61,"*7"), COUNTIF('ARDT Cutter Entry'!D61,"*8"), COUNTIF('ARDT Cutter Entry'!D61,"*9")),
                    'ARDT Cutter Entry'!D61,
                    'ARDT Cutter Entry'!D111),
                IF(OR(
                    COUNTIF('ARDT Cutter Entry'!D4,"*1"), COUNTIF('ARDT Cutter Entry'!D4,"*2"), COUNTIF('ARDT Cutter Entry'!D4,"*3"),
                    COUNTIF('ARDT Cutter Entry'!D4,"*4"), COUNTIF('ARDT Cutter Entry'!D4,"*5"), COUNTIF('ARDT Cutter Entry'!D4,"*6"),
                    COUNTIF('ARDT Cutter Entry'!D4,"*7"), COUNTIF('ARDT Cutter Entry'!D4,"*8"), COUNTIF('ARDT Cutter Entry'!D4,"*9")),
                    'ARDT Cutter Entry'!D4,
                    'ARDT Cutter Entry'!D43)
            )
        ),
        ""
    ),
    _xlpm.Result, IF(_xlpm.URCheck,
        IF(AN70&lt;&gt;"", AN70, _xlpm.Fallback),
        _xlpm.Fallback
    ),
    _xlpm.Result
)</f>
        <v>R1</v>
      </c>
      <c r="E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IF(OR(Data!BT46=0, Data!BT46=""), "", "O"&amp;Data!BT46),
            IF('ARDT Cutter Entry'!$C$111&lt;&gt;"",
                IF(OR(
                    COUNTIF('ARDT Cutter Entry'!E61,"*1"), COUNTIF('ARDT Cutter Entry'!E61,"*2"), COUNTIF('ARDT Cutter Entry'!E61,"*3"),
                    COUNTIF('ARDT Cutter Entry'!E61,"*4"), COUNTIF('ARDT Cutter Entry'!E61,"*5"), COUNTIF('ARDT Cutter Entry'!E61,"*6"),
                    COUNTIF('ARDT Cutter Entry'!E61,"*7"), COUNTIF('ARDT Cutter Entry'!E61,"*8"), COUNTIF('ARDT Cutter Entry'!E61,"*9")),
                    'ARDT Cutter Entry'!E61,
                    'ARDT Cutter Entry'!E111),
                IF(OR(
                    COUNTIF('ARDT Cutter Entry'!E4,"*1"), COUNTIF('ARDT Cutter Entry'!E4,"*2"), COUNTIF('ARDT Cutter Entry'!E4,"*3"),
                    COUNTIF('ARDT Cutter Entry'!E4,"*4"), COUNTIF('ARDT Cutter Entry'!E4,"*5"), COUNTIF('ARDT Cutter Entry'!E4,"*6"),
                    COUNTIF('ARDT Cutter Entry'!E4,"*7"), COUNTIF('ARDT Cutter Entry'!E4,"*8"), COUNTIF('ARDT Cutter Entry'!E4,"*9")),
                    'ARDT Cutter Entry'!E4,
                    'ARDT Cutter Entry'!E43)
            )
        ),
        ""
    ),
    _xlpm.Result, IF(_xlpm.URCheck,
        IF(AO70&lt;&gt;"", AO70, _xlpm.Fallback),
        _xlpm.Fallback
    ),
    _xlpm.Result
)</f>
        <v>X5</v>
      </c>
      <c r="F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IF(OR(Data!BU46=0, Data!BU46=""), "", "O"&amp;Data!BU46),
            IF('ARDT Cutter Entry'!$C$111&lt;&gt;"",
                IF(OR(
                    COUNTIF('ARDT Cutter Entry'!F61,"*1"), COUNTIF('ARDT Cutter Entry'!F61,"*2"), COUNTIF('ARDT Cutter Entry'!F61,"*3"),
                    COUNTIF('ARDT Cutter Entry'!F61,"*4"), COUNTIF('ARDT Cutter Entry'!F61,"*5"), COUNTIF('ARDT Cutter Entry'!F61,"*6"),
                    COUNTIF('ARDT Cutter Entry'!F61,"*7"), COUNTIF('ARDT Cutter Entry'!F61,"*8"), COUNTIF('ARDT Cutter Entry'!F61,"*9")),
                    'ARDT Cutter Entry'!F61,
                    'ARDT Cutter Entry'!F111),
                IF(OR(
                    COUNTIF('ARDT Cutter Entry'!F4,"*1"), COUNTIF('ARDT Cutter Entry'!F4,"*2"), COUNTIF('ARDT Cutter Entry'!F4,"*3"),
                    COUNTIF('ARDT Cutter Entry'!F4,"*4"), COUNTIF('ARDT Cutter Entry'!F4,"*5"), COUNTIF('ARDT Cutter Entry'!F4,"*6"),
                    COUNTIF('ARDT Cutter Entry'!F4,"*7"), COUNTIF('ARDT Cutter Entry'!F4,"*8"), COUNTIF('ARDT Cutter Entry'!F4,"*9")),
                    'ARDT Cutter Entry'!F4,
                    'ARDT Cutter Entry'!F43)
            )
        ),
        ""
    ),
    _xlpm.Result, IF(_xlpm.URCheck,
        IF(AP70&lt;&gt;"", AP70, _xlpm.Fallback),
        _xlpm.Fallback
    ),
    _xlpm.Result
)</f>
        <v>X5</v>
      </c>
      <c r="G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IF(OR(Data!BV46=0, Data!BV46=""), "", "O"&amp;Data!BV46),
            IF('ARDT Cutter Entry'!$C$111&lt;&gt;"",
                IF(OR(
                    COUNTIF('ARDT Cutter Entry'!G61,"*1"), COUNTIF('ARDT Cutter Entry'!G61,"*2"), COUNTIF('ARDT Cutter Entry'!G61,"*3"),
                    COUNTIF('ARDT Cutter Entry'!G61,"*4"), COUNTIF('ARDT Cutter Entry'!G61,"*5"), COUNTIF('ARDT Cutter Entry'!G61,"*6"),
                    COUNTIF('ARDT Cutter Entry'!G61,"*7"), COUNTIF('ARDT Cutter Entry'!G61,"*8"), COUNTIF('ARDT Cutter Entry'!G61,"*9")),
                    'ARDT Cutter Entry'!G61,
                    'ARDT Cutter Entry'!G111),
                IF(OR(
                    COUNTIF('ARDT Cutter Entry'!G4,"*1"), COUNTIF('ARDT Cutter Entry'!G4,"*2"), COUNTIF('ARDT Cutter Entry'!G4,"*3"),
                    COUNTIF('ARDT Cutter Entry'!G4,"*4"), COUNTIF('ARDT Cutter Entry'!G4,"*5"), COUNTIF('ARDT Cutter Entry'!G4,"*6"),
                    COUNTIF('ARDT Cutter Entry'!G4,"*7"), COUNTIF('ARDT Cutter Entry'!G4,"*8"), COUNTIF('ARDT Cutter Entry'!G4,"*9")),
                    'ARDT Cutter Entry'!G4,
                    'ARDT Cutter Entry'!G43)
            )
        ),
        ""
    ),
    _xlpm.Result, IF(_xlpm.URCheck,
        IF(AQ70&lt;&gt;"", AQ70, _xlpm.Fallback),
        _xlpm.Fallback
    ),
    _xlpm.Result
)</f>
        <v>X5</v>
      </c>
      <c r="H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IF(OR(Data!BW46=0, Data!BW46=""), "", "O"&amp;Data!BW46),
            IF('ARDT Cutter Entry'!$C$111&lt;&gt;"",
                IF(OR(
                    COUNTIF('ARDT Cutter Entry'!H61,"*1"), COUNTIF('ARDT Cutter Entry'!H61,"*2"), COUNTIF('ARDT Cutter Entry'!H61,"*3"),
                    COUNTIF('ARDT Cutter Entry'!H61,"*4"), COUNTIF('ARDT Cutter Entry'!H61,"*5"), COUNTIF('ARDT Cutter Entry'!H61,"*6"),
                    COUNTIF('ARDT Cutter Entry'!H61,"*7"), COUNTIF('ARDT Cutter Entry'!H61,"*8"), COUNTIF('ARDT Cutter Entry'!H61,"*9")),
                    'ARDT Cutter Entry'!H61,
                    'ARDT Cutter Entry'!H111),
                IF(OR(
                    COUNTIF('ARDT Cutter Entry'!H4,"*1"), COUNTIF('ARDT Cutter Entry'!H4,"*2"), COUNTIF('ARDT Cutter Entry'!H4,"*3"),
                    COUNTIF('ARDT Cutter Entry'!H4,"*4"), COUNTIF('ARDT Cutter Entry'!H4,"*5"), COUNTIF('ARDT Cutter Entry'!H4,"*6"),
                    COUNTIF('ARDT Cutter Entry'!H4,"*7"), COUNTIF('ARDT Cutter Entry'!H4,"*8"), COUNTIF('ARDT Cutter Entry'!H4,"*9")),
                    'ARDT Cutter Entry'!H4,
                    'ARDT Cutter Entry'!H43)
            )
        ),
        ""
    ),
    _xlpm.Result, IF(_xlpm.URCheck,
        IF(AR70&lt;&gt;"", AR70, _xlpm.Fallback),
        _xlpm.Fallback
    ),
    _xlpm.Result
)</f>
        <v>X5</v>
      </c>
      <c r="I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IF(OR(Data!BX46=0, Data!BX46=""), "", "O"&amp;Data!BX46),
            IF('ARDT Cutter Entry'!$C$111&lt;&gt;"",
                IF(OR(
                    COUNTIF('ARDT Cutter Entry'!I61,"*1"), COUNTIF('ARDT Cutter Entry'!I61,"*2"), COUNTIF('ARDT Cutter Entry'!I61,"*3"),
                    COUNTIF('ARDT Cutter Entry'!I61,"*4"), COUNTIF('ARDT Cutter Entry'!I61,"*5"), COUNTIF('ARDT Cutter Entry'!I61,"*6"),
                    COUNTIF('ARDT Cutter Entry'!I61,"*7"), COUNTIF('ARDT Cutter Entry'!I61,"*8"), COUNTIF('ARDT Cutter Entry'!I61,"*9")),
                    'ARDT Cutter Entry'!I61,
                    'ARDT Cutter Entry'!I111),
                IF(OR(
                    COUNTIF('ARDT Cutter Entry'!I4,"*1"), COUNTIF('ARDT Cutter Entry'!I4,"*2"), COUNTIF('ARDT Cutter Entry'!I4,"*3"),
                    COUNTIF('ARDT Cutter Entry'!I4,"*4"), COUNTIF('ARDT Cutter Entry'!I4,"*5"), COUNTIF('ARDT Cutter Entry'!I4,"*6"),
                    COUNTIF('ARDT Cutter Entry'!I4,"*7"), COUNTIF('ARDT Cutter Entry'!I4,"*8"), COUNTIF('ARDT Cutter Entry'!I4,"*9")),
                    'ARDT Cutter Entry'!I4,
                    'ARDT Cutter Entry'!I43)
            )
        ),
        ""
    ),
    _xlpm.Result, IF(_xlpm.URCheck,
        IF(AS70&lt;&gt;"", AS70, _xlpm.Fallback),
        _xlpm.Fallback
    ),
    _xlpm.Result
)</f>
        <v>R1</v>
      </c>
      <c r="J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IF(OR(Data!BY46=0, Data!BY46=""), "", "O"&amp;Data!BY46),
            IF('ARDT Cutter Entry'!$C$111&lt;&gt;"",
                IF(OR(
                    COUNTIF('ARDT Cutter Entry'!J61,"*1"), COUNTIF('ARDT Cutter Entry'!J61,"*2"), COUNTIF('ARDT Cutter Entry'!J61,"*3"),
                    COUNTIF('ARDT Cutter Entry'!J61,"*4"), COUNTIF('ARDT Cutter Entry'!J61,"*5"), COUNTIF('ARDT Cutter Entry'!J61,"*6"),
                    COUNTIF('ARDT Cutter Entry'!J61,"*7"), COUNTIF('ARDT Cutter Entry'!J61,"*8"), COUNTIF('ARDT Cutter Entry'!J61,"*9")),
                    'ARDT Cutter Entry'!J61,
                    'ARDT Cutter Entry'!J111),
                IF(OR(
                    COUNTIF('ARDT Cutter Entry'!J4,"*1"), COUNTIF('ARDT Cutter Entry'!J4,"*2"), COUNTIF('ARDT Cutter Entry'!J4,"*3"),
                    COUNTIF('ARDT Cutter Entry'!J4,"*4"), COUNTIF('ARDT Cutter Entry'!J4,"*5"), COUNTIF('ARDT Cutter Entry'!J4,"*6"),
                    COUNTIF('ARDT Cutter Entry'!J4,"*7"), COUNTIF('ARDT Cutter Entry'!J4,"*8"), COUNTIF('ARDT Cutter Entry'!J4,"*9")),
                    'ARDT Cutter Entry'!J4,
                    'ARDT Cutter Entry'!J43)
            )
        ),
        ""
    ),
    _xlpm.Result, IF(_xlpm.URCheck,
        IF(AT70&lt;&gt;"", AT70, _xlpm.Fallback),
        _xlpm.Fallback
    ),
    _xlpm.Result
)</f>
        <v>X3</v>
      </c>
      <c r="K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IF(OR(Data!BZ46=0, Data!BZ46=""), "", "O"&amp;Data!BZ46),
            IF('ARDT Cutter Entry'!$C$111&lt;&gt;"",
                IF(OR(
                    COUNTIF('ARDT Cutter Entry'!K61,"*1"), COUNTIF('ARDT Cutter Entry'!K61,"*2"), COUNTIF('ARDT Cutter Entry'!K61,"*3"),
                    COUNTIF('ARDT Cutter Entry'!K61,"*4"), COUNTIF('ARDT Cutter Entry'!K61,"*5"), COUNTIF('ARDT Cutter Entry'!K61,"*6"),
                    COUNTIF('ARDT Cutter Entry'!K61,"*7"), COUNTIF('ARDT Cutter Entry'!K61,"*8"), COUNTIF('ARDT Cutter Entry'!K61,"*9")),
                    'ARDT Cutter Entry'!K61,
                    'ARDT Cutter Entry'!K111),
                IF(OR(
                    COUNTIF('ARDT Cutter Entry'!K4,"*1"), COUNTIF('ARDT Cutter Entry'!K4,"*2"), COUNTIF('ARDT Cutter Entry'!K4,"*3"),
                    COUNTIF('ARDT Cutter Entry'!K4,"*4"), COUNTIF('ARDT Cutter Entry'!K4,"*5"), COUNTIF('ARDT Cutter Entry'!K4,"*6"),
                    COUNTIF('ARDT Cutter Entry'!K4,"*7"), COUNTIF('ARDT Cutter Entry'!K4,"*8"), COUNTIF('ARDT Cutter Entry'!K4,"*9")),
                    'ARDT Cutter Entry'!K4,
                    'ARDT Cutter Entry'!K43)
            )
        ),
        ""
    ),
    _xlpm.Result, IF(_xlpm.URCheck,
        IF(AU70&lt;&gt;"", AU70, _xlpm.Fallback),
        _xlpm.Fallback
    ),
    _xlpm.Result
)</f>
        <v/>
      </c>
      <c r="L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IF(OR(Data!CA46=0, Data!CA46=""), "", "O"&amp;Data!CA46),
            IF('ARDT Cutter Entry'!$C$111&lt;&gt;"",
                IF(OR(
                    COUNTIF('ARDT Cutter Entry'!L61,"*1"), COUNTIF('ARDT Cutter Entry'!L61,"*2"), COUNTIF('ARDT Cutter Entry'!L61,"*3"),
                    COUNTIF('ARDT Cutter Entry'!L61,"*4"), COUNTIF('ARDT Cutter Entry'!L61,"*5"), COUNTIF('ARDT Cutter Entry'!L61,"*6"),
                    COUNTIF('ARDT Cutter Entry'!L61,"*7"), COUNTIF('ARDT Cutter Entry'!L61,"*8"), COUNTIF('ARDT Cutter Entry'!L61,"*9")),
                    'ARDT Cutter Entry'!L61,
                    'ARDT Cutter Entry'!L111),
                IF(OR(
                    COUNTIF('ARDT Cutter Entry'!L4,"*1"), COUNTIF('ARDT Cutter Entry'!L4,"*2"), COUNTIF('ARDT Cutter Entry'!L4,"*3"),
                    COUNTIF('ARDT Cutter Entry'!L4,"*4"), COUNTIF('ARDT Cutter Entry'!L4,"*5"), COUNTIF('ARDT Cutter Entry'!L4,"*6"),
                    COUNTIF('ARDT Cutter Entry'!L4,"*7"), COUNTIF('ARDT Cutter Entry'!L4,"*8"), COUNTIF('ARDT Cutter Entry'!L4,"*9")),
                    'ARDT Cutter Entry'!L4,
                    'ARDT Cutter Entry'!L43)
            )
        ),
        ""
    ),
    _xlpm.Result, IF(_xlpm.URCheck,
        IF(AV70&lt;&gt;"", AV70, _xlpm.Fallback),
        _xlpm.Fallback
    ),
    _xlpm.Result
)</f>
        <v>S2</v>
      </c>
      <c r="M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IF(OR(Data!CB46=0, Data!CB46=""), "", "O"&amp;Data!CB46),
            IF('ARDT Cutter Entry'!$C$111&lt;&gt;"",
                IF(OR(
                    COUNTIF('ARDT Cutter Entry'!M61,"*1"), COUNTIF('ARDT Cutter Entry'!M61,"*2"), COUNTIF('ARDT Cutter Entry'!M61,"*3"),
                    COUNTIF('ARDT Cutter Entry'!M61,"*4"), COUNTIF('ARDT Cutter Entry'!M61,"*5"), COUNTIF('ARDT Cutter Entry'!M61,"*6"),
                    COUNTIF('ARDT Cutter Entry'!M61,"*7"), COUNTIF('ARDT Cutter Entry'!M61,"*8"), COUNTIF('ARDT Cutter Entry'!M61,"*9")),
                    'ARDT Cutter Entry'!M61,
                    'ARDT Cutter Entry'!M111),
                IF(OR(
                    COUNTIF('ARDT Cutter Entry'!M4,"*1"), COUNTIF('ARDT Cutter Entry'!M4,"*2"), COUNTIF('ARDT Cutter Entry'!M4,"*3"),
                    COUNTIF('ARDT Cutter Entry'!M4,"*4"), COUNTIF('ARDT Cutter Entry'!M4,"*5"), COUNTIF('ARDT Cutter Entry'!M4,"*6"),
                    COUNTIF('ARDT Cutter Entry'!M4,"*7"), COUNTIF('ARDT Cutter Entry'!M4,"*8"), COUNTIF('ARDT Cutter Entry'!M4,"*9")),
                    'ARDT Cutter Entry'!M4,
                    'ARDT Cutter Entry'!M43)
            )
        ),
        ""
    ),
    _xlpm.Result, IF(_xlpm.URCheck,
        IF(AW70&lt;&gt;"", AW70, _xlpm.Fallback),
        _xlpm.Fallback
    ),
    _xlpm.Result
)</f>
        <v>X4</v>
      </c>
      <c r="N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IF(OR(Data!CC46=0, Data!CC46=""), "", "O"&amp;Data!CC46),
            IF('ARDT Cutter Entry'!$C$111&lt;&gt;"",
                IF(OR(
                    COUNTIF('ARDT Cutter Entry'!N61,"*1"), COUNTIF('ARDT Cutter Entry'!N61,"*2"), COUNTIF('ARDT Cutter Entry'!N61,"*3"),
                    COUNTIF('ARDT Cutter Entry'!N61,"*4"), COUNTIF('ARDT Cutter Entry'!N61,"*5"), COUNTIF('ARDT Cutter Entry'!N61,"*6"),
                    COUNTIF('ARDT Cutter Entry'!N61,"*7"), COUNTIF('ARDT Cutter Entry'!N61,"*8"), COUNTIF('ARDT Cutter Entry'!N61,"*9")),
                    'ARDT Cutter Entry'!N61,
                    'ARDT Cutter Entry'!N111),
                IF(OR(
                    COUNTIF('ARDT Cutter Entry'!N4,"*1"), COUNTIF('ARDT Cutter Entry'!N4,"*2"), COUNTIF('ARDT Cutter Entry'!N4,"*3"),
                    COUNTIF('ARDT Cutter Entry'!N4,"*4"), COUNTIF('ARDT Cutter Entry'!N4,"*5"), COUNTIF('ARDT Cutter Entry'!N4,"*6"),
                    COUNTIF('ARDT Cutter Entry'!N4,"*7"), COUNTIF('ARDT Cutter Entry'!N4,"*8"), COUNTIF('ARDT Cutter Entry'!N4,"*9")),
                    'ARDT Cutter Entry'!N4,
                    'ARDT Cutter Entry'!N43)
            )
        ),
        ""
    ),
    _xlpm.Result, IF(_xlpm.URCheck,
        IF(AX70&lt;&gt;"", AX70, _xlpm.Fallback),
        _xlpm.Fallback
    ),
    _xlpm.Result
)</f>
        <v>X4</v>
      </c>
      <c r="O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IF(OR(Data!CD46=0, Data!CD46=""), "", "O"&amp;Data!CD46),
            IF('ARDT Cutter Entry'!$C$111&lt;&gt;"",
                IF(OR(
                    COUNTIF('ARDT Cutter Entry'!O61,"*1"), COUNTIF('ARDT Cutter Entry'!O61,"*2"), COUNTIF('ARDT Cutter Entry'!O61,"*3"),
                    COUNTIF('ARDT Cutter Entry'!O61,"*4"), COUNTIF('ARDT Cutter Entry'!O61,"*5"), COUNTIF('ARDT Cutter Entry'!O61,"*6"),
                    COUNTIF('ARDT Cutter Entry'!O61,"*7"), COUNTIF('ARDT Cutter Entry'!O61,"*8"), COUNTIF('ARDT Cutter Entry'!O61,"*9")),
                    'ARDT Cutter Entry'!O61,
                    'ARDT Cutter Entry'!O111),
                IF(OR(
                    COUNTIF('ARDT Cutter Entry'!O4,"*1"), COUNTIF('ARDT Cutter Entry'!O4,"*2"), COUNTIF('ARDT Cutter Entry'!O4,"*3"),
                    COUNTIF('ARDT Cutter Entry'!O4,"*4"), COUNTIF('ARDT Cutter Entry'!O4,"*5"), COUNTIF('ARDT Cutter Entry'!O4,"*6"),
                    COUNTIF('ARDT Cutter Entry'!O4,"*7"), COUNTIF('ARDT Cutter Entry'!O4,"*8"), COUNTIF('ARDT Cutter Entry'!O4,"*9")),
                    'ARDT Cutter Entry'!O4,
                    'ARDT Cutter Entry'!O43)
            )
        ),
        ""
    ),
    _xlpm.Result, IF(_xlpm.URCheck,
        IF(AY70&lt;&gt;"", AY70, _xlpm.Fallback),
        _xlpm.Fallback
    ),
    _xlpm.Result
)</f>
        <v>R2</v>
      </c>
      <c r="P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IF(OR(Data!CE46=0, Data!CE46=""), "", "O"&amp;Data!CE46),
            IF('ARDT Cutter Entry'!$C$111&lt;&gt;"",
                IF(OR(
                    COUNTIF('ARDT Cutter Entry'!P61,"*1"), COUNTIF('ARDT Cutter Entry'!P61,"*2"), COUNTIF('ARDT Cutter Entry'!P61,"*3"),
                    COUNTIF('ARDT Cutter Entry'!P61,"*4"), COUNTIF('ARDT Cutter Entry'!P61,"*5"), COUNTIF('ARDT Cutter Entry'!P61,"*6"),
                    COUNTIF('ARDT Cutter Entry'!P61,"*7"), COUNTIF('ARDT Cutter Entry'!P61,"*8"), COUNTIF('ARDT Cutter Entry'!P61,"*9")),
                    'ARDT Cutter Entry'!P61,
                    'ARDT Cutter Entry'!P111),
                IF(OR(
                    COUNTIF('ARDT Cutter Entry'!P4,"*1"), COUNTIF('ARDT Cutter Entry'!P4,"*2"), COUNTIF('ARDT Cutter Entry'!P4,"*3"),
                    COUNTIF('ARDT Cutter Entry'!P4,"*4"), COUNTIF('ARDT Cutter Entry'!P4,"*5"), COUNTIF('ARDT Cutter Entry'!P4,"*6"),
                    COUNTIF('ARDT Cutter Entry'!P4,"*7"), COUNTIF('ARDT Cutter Entry'!P4,"*8"), COUNTIF('ARDT Cutter Entry'!P4,"*9")),
                    'ARDT Cutter Entry'!P4,
                    'ARDT Cutter Entry'!P43)
            )
        ),
        ""
    ),
    _xlpm.Result, IF(_xlpm.URCheck,
        IF(AZ70&lt;&gt;"", AZ70, _xlpm.Fallback),
        _xlpm.Fallback
    ),
    _xlpm.Result
)</f>
        <v/>
      </c>
      <c r="Q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IF(OR(Data!CF46=0, Data!CF46=""), "", "O"&amp;Data!CF46),
            IF('ARDT Cutter Entry'!$C$111&lt;&gt;"",
                IF(OR(
                    COUNTIF('ARDT Cutter Entry'!Q61,"*1"), COUNTIF('ARDT Cutter Entry'!Q61,"*2"), COUNTIF('ARDT Cutter Entry'!Q61,"*3"),
                    COUNTIF('ARDT Cutter Entry'!Q61,"*4"), COUNTIF('ARDT Cutter Entry'!Q61,"*5"), COUNTIF('ARDT Cutter Entry'!Q61,"*6"),
                    COUNTIF('ARDT Cutter Entry'!Q61,"*7"), COUNTIF('ARDT Cutter Entry'!Q61,"*8"), COUNTIF('ARDT Cutter Entry'!Q61,"*9")),
                    'ARDT Cutter Entry'!Q61,
                    'ARDT Cutter Entry'!Q111),
                IF(OR(
                    COUNTIF('ARDT Cutter Entry'!Q4,"*1"), COUNTIF('ARDT Cutter Entry'!Q4,"*2"), COUNTIF('ARDT Cutter Entry'!Q4,"*3"),
                    COUNTIF('ARDT Cutter Entry'!Q4,"*4"), COUNTIF('ARDT Cutter Entry'!Q4,"*5"), COUNTIF('ARDT Cutter Entry'!Q4,"*6"),
                    COUNTIF('ARDT Cutter Entry'!Q4,"*7"), COUNTIF('ARDT Cutter Entry'!Q4,"*8"), COUNTIF('ARDT Cutter Entry'!Q4,"*9")),
                    'ARDT Cutter Entry'!Q4,
                    'ARDT Cutter Entry'!Q43)
            )
        ),
        ""
    ),
    _xlpm.Result, IF(_xlpm.URCheck,
        IF(BA70&lt;&gt;"", BA70, _xlpm.Fallback),
        _xlpm.Fallback
    ),
    _xlpm.Result
)</f>
        <v/>
      </c>
      <c r="R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IF(OR(Data!CG46=0, Data!CG46=""), "", "O"&amp;Data!CG46),
            IF('ARDT Cutter Entry'!$C$111&lt;&gt;"",
                IF(OR(
                    COUNTIF('ARDT Cutter Entry'!R61,"*1"), COUNTIF('ARDT Cutter Entry'!R61,"*2"), COUNTIF('ARDT Cutter Entry'!R61,"*3"),
                    COUNTIF('ARDT Cutter Entry'!R61,"*4"), COUNTIF('ARDT Cutter Entry'!R61,"*5"), COUNTIF('ARDT Cutter Entry'!R61,"*6"),
                    COUNTIF('ARDT Cutter Entry'!R61,"*7"), COUNTIF('ARDT Cutter Entry'!R61,"*8"), COUNTIF('ARDT Cutter Entry'!R61,"*9")),
                    'ARDT Cutter Entry'!R61,
                    'ARDT Cutter Entry'!R111),
                IF(OR(
                    COUNTIF('ARDT Cutter Entry'!R4,"*1"), COUNTIF('ARDT Cutter Entry'!R4,"*2"), COUNTIF('ARDT Cutter Entry'!R4,"*3"),
                    COUNTIF('ARDT Cutter Entry'!R4,"*4"), COUNTIF('ARDT Cutter Entry'!R4,"*5"), COUNTIF('ARDT Cutter Entry'!R4,"*6"),
                    COUNTIF('ARDT Cutter Entry'!R4,"*7"), COUNTIF('ARDT Cutter Entry'!R4,"*8"), COUNTIF('ARDT Cutter Entry'!R4,"*9")),
                    'ARDT Cutter Entry'!R4,
                    'ARDT Cutter Entry'!R43)
            )
        ),
        ""
    ),
    _xlpm.Result, IF(_xlpm.URCheck,
        IF(BB70&lt;&gt;"", BB70, _xlpm.Fallback),
        _xlpm.Fallback
    ),
    _xlpm.Result
)</f>
        <v/>
      </c>
      <c r="S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IF(OR(Data!CH46=0, Data!CH46=""), "", "O"&amp;Data!CH46),
            IF('ARDT Cutter Entry'!$C$111&lt;&gt;"",
                IF(OR(
                    COUNTIF('ARDT Cutter Entry'!S61,"*1"), COUNTIF('ARDT Cutter Entry'!S61,"*2"), COUNTIF('ARDT Cutter Entry'!S61,"*3"),
                    COUNTIF('ARDT Cutter Entry'!S61,"*4"), COUNTIF('ARDT Cutter Entry'!S61,"*5"), COUNTIF('ARDT Cutter Entry'!S61,"*6"),
                    COUNTIF('ARDT Cutter Entry'!S61,"*7"), COUNTIF('ARDT Cutter Entry'!S61,"*8"), COUNTIF('ARDT Cutter Entry'!S61,"*9")),
                    'ARDT Cutter Entry'!S61,
                    'ARDT Cutter Entry'!S111),
                IF(OR(
                    COUNTIF('ARDT Cutter Entry'!S4,"*1"), COUNTIF('ARDT Cutter Entry'!S4,"*2"), COUNTIF('ARDT Cutter Entry'!S4,"*3"),
                    COUNTIF('ARDT Cutter Entry'!S4,"*4"), COUNTIF('ARDT Cutter Entry'!S4,"*5"), COUNTIF('ARDT Cutter Entry'!S4,"*6"),
                    COUNTIF('ARDT Cutter Entry'!S4,"*7"), COUNTIF('ARDT Cutter Entry'!S4,"*8"), COUNTIF('ARDT Cutter Entry'!S4,"*9")),
                    'ARDT Cutter Entry'!S4,
                    'ARDT Cutter Entry'!S43)
            )
        ),
        ""
    ),
    _xlpm.Result, IF(_xlpm.URCheck,
        IF(BC70&lt;&gt;"", BC70, _xlpm.Fallback),
        _xlpm.Fallback
    ),
    _xlpm.Result
)</f>
        <v/>
      </c>
      <c r="T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IF(OR(Data!CI46=0, Data!CI46=""), "", "O"&amp;Data!CI46),
            IF('ARDT Cutter Entry'!$C$111&lt;&gt;"",
                IF(OR(
                    COUNTIF('ARDT Cutter Entry'!T61,"*1"), COUNTIF('ARDT Cutter Entry'!T61,"*2"), COUNTIF('ARDT Cutter Entry'!T61,"*3"),
                    COUNTIF('ARDT Cutter Entry'!T61,"*4"), COUNTIF('ARDT Cutter Entry'!T61,"*5"), COUNTIF('ARDT Cutter Entry'!T61,"*6"),
                    COUNTIF('ARDT Cutter Entry'!T61,"*7"), COUNTIF('ARDT Cutter Entry'!T61,"*8"), COUNTIF('ARDT Cutter Entry'!T61,"*9")),
                    'ARDT Cutter Entry'!T61,
                    'ARDT Cutter Entry'!T111),
                IF(OR(
                    COUNTIF('ARDT Cutter Entry'!T4,"*1"), COUNTIF('ARDT Cutter Entry'!T4,"*2"), COUNTIF('ARDT Cutter Entry'!T4,"*3"),
                    COUNTIF('ARDT Cutter Entry'!T4,"*4"), COUNTIF('ARDT Cutter Entry'!T4,"*5"), COUNTIF('ARDT Cutter Entry'!T4,"*6"),
                    COUNTIF('ARDT Cutter Entry'!T4,"*7"), COUNTIF('ARDT Cutter Entry'!T4,"*8"), COUNTIF('ARDT Cutter Entry'!T4,"*9")),
                    'ARDT Cutter Entry'!T4,
                    'ARDT Cutter Entry'!T43)
            )
        ),
        ""
    ),
    _xlpm.Result, IF(_xlpm.URCheck,
        IF(BD70&lt;&gt;"", BD70, _xlpm.Fallback),
        _xlpm.Fallback
    ),
    _xlpm.Result
)</f>
        <v/>
      </c>
      <c r="U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IF(OR(Data!CJ46=0, Data!CJ46=""), "", "O"&amp;Data!CJ46),
            IF('ARDT Cutter Entry'!$C$111&lt;&gt;"",
                IF(OR(
                    COUNTIF('ARDT Cutter Entry'!U61,"*1"), COUNTIF('ARDT Cutter Entry'!U61,"*2"), COUNTIF('ARDT Cutter Entry'!U61,"*3"),
                    COUNTIF('ARDT Cutter Entry'!U61,"*4"), COUNTIF('ARDT Cutter Entry'!U61,"*5"), COUNTIF('ARDT Cutter Entry'!U61,"*6"),
                    COUNTIF('ARDT Cutter Entry'!U61,"*7"), COUNTIF('ARDT Cutter Entry'!U61,"*8"), COUNTIF('ARDT Cutter Entry'!U61,"*9")),
                    'ARDT Cutter Entry'!U61,
                    'ARDT Cutter Entry'!U111),
                IF(OR(
                    COUNTIF('ARDT Cutter Entry'!U4,"*1"), COUNTIF('ARDT Cutter Entry'!U4,"*2"), COUNTIF('ARDT Cutter Entry'!U4,"*3"),
                    COUNTIF('ARDT Cutter Entry'!U4,"*4"), COUNTIF('ARDT Cutter Entry'!U4,"*5"), COUNTIF('ARDT Cutter Entry'!U4,"*6"),
                    COUNTIF('ARDT Cutter Entry'!U4,"*7"), COUNTIF('ARDT Cutter Entry'!U4,"*8"), COUNTIF('ARDT Cutter Entry'!U4,"*9")),
                    'ARDT Cutter Entry'!U4,
                    'ARDT Cutter Entry'!U43)
            )
        ),
        ""
    ),
    _xlpm.Result, IF(_xlpm.URCheck,
        IF(BE70&lt;&gt;"", BE70, _xlpm.Fallback),
        _xlpm.Fallback
    ),
    _xlpm.Result
)</f>
        <v/>
      </c>
      <c r="V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IF(OR(Data!CK46=0, Data!CK46=""), "", "O"&amp;Data!CK46),
            IF('ARDT Cutter Entry'!$C$111&lt;&gt;"",
                IF(OR(
                    COUNTIF('ARDT Cutter Entry'!V61,"*1"), COUNTIF('ARDT Cutter Entry'!V61,"*2"), COUNTIF('ARDT Cutter Entry'!V61,"*3"),
                    COUNTIF('ARDT Cutter Entry'!V61,"*4"), COUNTIF('ARDT Cutter Entry'!V61,"*5"), COUNTIF('ARDT Cutter Entry'!V61,"*6"),
                    COUNTIF('ARDT Cutter Entry'!V61,"*7"), COUNTIF('ARDT Cutter Entry'!V61,"*8"), COUNTIF('ARDT Cutter Entry'!V61,"*9")),
                    'ARDT Cutter Entry'!V61,
                    'ARDT Cutter Entry'!V111),
                IF(OR(
                    COUNTIF('ARDT Cutter Entry'!V4,"*1"), COUNTIF('ARDT Cutter Entry'!V4,"*2"), COUNTIF('ARDT Cutter Entry'!V4,"*3"),
                    COUNTIF('ARDT Cutter Entry'!V4,"*4"), COUNTIF('ARDT Cutter Entry'!V4,"*5"), COUNTIF('ARDT Cutter Entry'!V4,"*6"),
                    COUNTIF('ARDT Cutter Entry'!V4,"*7"), COUNTIF('ARDT Cutter Entry'!V4,"*8"), COUNTIF('ARDT Cutter Entry'!V4,"*9")),
                    'ARDT Cutter Entry'!V4,
                    'ARDT Cutter Entry'!V43)
            )
        ),
        ""
    ),
    _xlpm.Result, IF(_xlpm.URCheck,
        IF(BF70&lt;&gt;"", BF70, _xlpm.Fallback),
        _xlpm.Fallback
    ),
    _xlpm.Result
)</f>
        <v/>
      </c>
      <c r="W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IF(OR(Data!CL46=0, Data!CL46=""), "", "O"&amp;Data!CL46),
            IF('ARDT Cutter Entry'!$C$111&lt;&gt;"",
                IF(OR(
                    COUNTIF('ARDT Cutter Entry'!W61,"*1"), COUNTIF('ARDT Cutter Entry'!W61,"*2"), COUNTIF('ARDT Cutter Entry'!W61,"*3"),
                    COUNTIF('ARDT Cutter Entry'!W61,"*4"), COUNTIF('ARDT Cutter Entry'!W61,"*5"), COUNTIF('ARDT Cutter Entry'!W61,"*6"),
                    COUNTIF('ARDT Cutter Entry'!W61,"*7"), COUNTIF('ARDT Cutter Entry'!W61,"*8"), COUNTIF('ARDT Cutter Entry'!W61,"*9")),
                    'ARDT Cutter Entry'!W61,
                    'ARDT Cutter Entry'!W111),
                IF(OR(
                    COUNTIF('ARDT Cutter Entry'!W4,"*1"), COUNTIF('ARDT Cutter Entry'!W4,"*2"), COUNTIF('ARDT Cutter Entry'!W4,"*3"),
                    COUNTIF('ARDT Cutter Entry'!W4,"*4"), COUNTIF('ARDT Cutter Entry'!W4,"*5"), COUNTIF('ARDT Cutter Entry'!W4,"*6"),
                    COUNTIF('ARDT Cutter Entry'!W4,"*7"), COUNTIF('ARDT Cutter Entry'!W4,"*8"), COUNTIF('ARDT Cutter Entry'!W4,"*9")),
                    'ARDT Cutter Entry'!W4,
                    'ARDT Cutter Entry'!W43)
            )
        ),
        ""
    ),
    _xlpm.Result, IF(_xlpm.URCheck,
        IF(BG70&lt;&gt;"", BG70, _xlpm.Fallback),
        _xlpm.Fallback
    ),
    _xlpm.Result
)</f>
        <v/>
      </c>
      <c r="X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IF(OR(Data!CM46=0, Data!CM46=""), "", "O"&amp;Data!CM46),
            IF('ARDT Cutter Entry'!$C$111&lt;&gt;"",
                IF(OR(
                    COUNTIF('ARDT Cutter Entry'!X61,"*1"), COUNTIF('ARDT Cutter Entry'!X61,"*2"), COUNTIF('ARDT Cutter Entry'!X61,"*3"),
                    COUNTIF('ARDT Cutter Entry'!X61,"*4"), COUNTIF('ARDT Cutter Entry'!X61,"*5"), COUNTIF('ARDT Cutter Entry'!X61,"*6"),
                    COUNTIF('ARDT Cutter Entry'!X61,"*7"), COUNTIF('ARDT Cutter Entry'!X61,"*8"), COUNTIF('ARDT Cutter Entry'!X61,"*9")),
                    'ARDT Cutter Entry'!X61,
                    'ARDT Cutter Entry'!X111),
                IF(OR(
                    COUNTIF('ARDT Cutter Entry'!X4,"*1"), COUNTIF('ARDT Cutter Entry'!X4,"*2"), COUNTIF('ARDT Cutter Entry'!X4,"*3"),
                    COUNTIF('ARDT Cutter Entry'!X4,"*4"), COUNTIF('ARDT Cutter Entry'!X4,"*5"), COUNTIF('ARDT Cutter Entry'!X4,"*6"),
                    COUNTIF('ARDT Cutter Entry'!X4,"*7"), COUNTIF('ARDT Cutter Entry'!X4,"*8"), COUNTIF('ARDT Cutter Entry'!X4,"*9")),
                    'ARDT Cutter Entry'!X4,
                    'ARDT Cutter Entry'!X43)
            )
        ),
        ""
    ),
    _xlpm.Result, IF(_xlpm.URCheck,
        IF(BH70&lt;&gt;"", BH70, _xlpm.Fallback),
        _xlpm.Fallback
    ),
    _xlpm.Result
)</f>
        <v/>
      </c>
      <c r="Y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IF(OR(Data!CN46=0, Data!CN46=""), "", "O"&amp;Data!CN46),
            IF('ARDT Cutter Entry'!$C$111&lt;&gt;"",
                IF(OR(
                    COUNTIF('ARDT Cutter Entry'!Y61,"*1"), COUNTIF('ARDT Cutter Entry'!Y61,"*2"), COUNTIF('ARDT Cutter Entry'!Y61,"*3"),
                    COUNTIF('ARDT Cutter Entry'!Y61,"*4"), COUNTIF('ARDT Cutter Entry'!Y61,"*5"), COUNTIF('ARDT Cutter Entry'!Y61,"*6"),
                    COUNTIF('ARDT Cutter Entry'!Y61,"*7"), COUNTIF('ARDT Cutter Entry'!Y61,"*8"), COUNTIF('ARDT Cutter Entry'!Y61,"*9")),
                    'ARDT Cutter Entry'!Y61,
                    'ARDT Cutter Entry'!Y111),
                IF(OR(
                    COUNTIF('ARDT Cutter Entry'!Y4,"*1"), COUNTIF('ARDT Cutter Entry'!Y4,"*2"), COUNTIF('ARDT Cutter Entry'!Y4,"*3"),
                    COUNTIF('ARDT Cutter Entry'!Y4,"*4"), COUNTIF('ARDT Cutter Entry'!Y4,"*5"), COUNTIF('ARDT Cutter Entry'!Y4,"*6"),
                    COUNTIF('ARDT Cutter Entry'!Y4,"*7"), COUNTIF('ARDT Cutter Entry'!Y4,"*8"), COUNTIF('ARDT Cutter Entry'!Y4,"*9")),
                    'ARDT Cutter Entry'!Y4,
                    'ARDT Cutter Entry'!Y43)
            )
        ),
        ""
    ),
    _xlpm.Result, IF(_xlpm.URCheck,
        IF(BI70&lt;&gt;"", BI70, _xlpm.Fallback),
        _xlpm.Fallback
    ),
    _xlpm.Result
)</f>
        <v/>
      </c>
      <c r="Z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IF(OR(Data!CO46=0, Data!CO46=""), "", "O"&amp;Data!CO46),
            IF('ARDT Cutter Entry'!$C$111&lt;&gt;"",
                IF(OR(
                    COUNTIF('ARDT Cutter Entry'!Z61,"*1"), COUNTIF('ARDT Cutter Entry'!Z61,"*2"), COUNTIF('ARDT Cutter Entry'!Z61,"*3"),
                    COUNTIF('ARDT Cutter Entry'!Z61,"*4"), COUNTIF('ARDT Cutter Entry'!Z61,"*5"), COUNTIF('ARDT Cutter Entry'!Z61,"*6"),
                    COUNTIF('ARDT Cutter Entry'!Z61,"*7"), COUNTIF('ARDT Cutter Entry'!Z61,"*8"), COUNTIF('ARDT Cutter Entry'!Z61,"*9")),
                    'ARDT Cutter Entry'!Z61,
                    'ARDT Cutter Entry'!Z111),
                IF(OR(
                    COUNTIF('ARDT Cutter Entry'!Z4,"*1"), COUNTIF('ARDT Cutter Entry'!Z4,"*2"), COUNTIF('ARDT Cutter Entry'!Z4,"*3"),
                    COUNTIF('ARDT Cutter Entry'!Z4,"*4"), COUNTIF('ARDT Cutter Entry'!Z4,"*5"), COUNTIF('ARDT Cutter Entry'!Z4,"*6"),
                    COUNTIF('ARDT Cutter Entry'!Z4,"*7"), COUNTIF('ARDT Cutter Entry'!Z4,"*8"), COUNTIF('ARDT Cutter Entry'!Z4,"*9")),
                    'ARDT Cutter Entry'!Z4,
                    'ARDT Cutter Entry'!Z43)
            )
        ),
        ""
    ),
    _xlpm.Result, IF(_xlpm.URCheck,
        IF(BJ70&lt;&gt;"", BJ70, _xlpm.Fallback),
        _xlpm.Fallback
    ),
    _xlpm.Result
)</f>
        <v/>
      </c>
      <c r="AA17" s="26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IF(OR(Data!CP46=0, Data!CP46=""), "", "O"&amp;Data!CP46),
            IF('ARDT Cutter Entry'!$C$111&lt;&gt;"",
                IF(OR(
                    COUNTIF('ARDT Cutter Entry'!AA61,"*1"), COUNTIF('ARDT Cutter Entry'!AA61,"*2"), COUNTIF('ARDT Cutter Entry'!AA61,"*3"),
                    COUNTIF('ARDT Cutter Entry'!AA61,"*4"), COUNTIF('ARDT Cutter Entry'!AA61,"*5"), COUNTIF('ARDT Cutter Entry'!AA61,"*6"),
                    COUNTIF('ARDT Cutter Entry'!AA61,"*7"), COUNTIF('ARDT Cutter Entry'!AA61,"*8"), COUNTIF('ARDT Cutter Entry'!AA61,"*9")),
                    'ARDT Cutter Entry'!AA61,
                    'ARDT Cutter Entry'!AA111),
                IF(OR(
                    COUNTIF('ARDT Cutter Entry'!AA4,"*1"), COUNTIF('ARDT Cutter Entry'!AA4,"*2"), COUNTIF('ARDT Cutter Entry'!AA4,"*3"),
                    COUNTIF('ARDT Cutter Entry'!AA4,"*4"), COUNTIF('ARDT Cutter Entry'!AA4,"*5"), COUNTIF('ARDT Cutter Entry'!AA4,"*6"),
                    COUNTIF('ARDT Cutter Entry'!AA4,"*7"), COUNTIF('ARDT Cutter Entry'!AA4,"*8"), COUNTIF('ARDT Cutter Entry'!AA4,"*9")),
                    'ARDT Cutter Entry'!AA4,
                    'ARDT Cutter Entry'!AA43)
            )
        ),
        ""
    ),
    _xlpm.Result, IF(_xlpm.URCheck,
        IF(BK70&lt;&gt;"", BK70, _xlpm.Fallback),
        _xlpm.Fallback
    ),
    _xlpm.Result
)</f>
        <v/>
      </c>
    </row>
    <row r="18" spans="1:27" ht="18.75" customHeight="1" x14ac:dyDescent="0.35">
      <c r="A18" s="1423"/>
      <c r="B18" s="396">
        <v>2</v>
      </c>
      <c r="C18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IF(OR(Data!BR47=0, Data!BR47=""), "", "O"&amp;Data!BR47),
            IF('ARDT Cutter Entry'!$C$111&lt;&gt;"",
                IF(OR(
                    COUNTIF('ARDT Cutter Entry'!C62,"*1"), COUNTIF('ARDT Cutter Entry'!C62,"*2"), COUNTIF('ARDT Cutter Entry'!C62,"*3"),
                    COUNTIF('ARDT Cutter Entry'!C62,"*4"), COUNTIF('ARDT Cutter Entry'!C62,"*5"), COUNTIF('ARDT Cutter Entry'!C62,"*6"),
                    COUNTIF('ARDT Cutter Entry'!C62,"*7"), COUNTIF('ARDT Cutter Entry'!C62,"*8"), COUNTIF('ARDT Cutter Entry'!C62,"*9")),
                    'ARDT Cutter Entry'!C62,
                    'ARDT Cutter Entry'!C112),
                IF(OR(
                    COUNTIF('ARDT Cutter Entry'!C5,"*1"), COUNTIF('ARDT Cutter Entry'!C5,"*2"), COUNTIF('ARDT Cutter Entry'!C5,"*3"),
                    COUNTIF('ARDT Cutter Entry'!C5,"*4"), COUNTIF('ARDT Cutter Entry'!C5,"*5"), COUNTIF('ARDT Cutter Entry'!C5,"*6"),
                    COUNTIF('ARDT Cutter Entry'!C5,"*7"), COUNTIF('ARDT Cutter Entry'!C5,"*8"), COUNTIF('ARDT Cutter Entry'!C5,"*9")),
                    'ARDT Cutter Entry'!C5,
                    'ARDT Cutter Entry'!C44)
            )
        ),
        ""
    ),
    _xlpm.Result, IF(_xlpm.URCheck,
        IF(AM71&lt;&gt;"", AM71, _xlpm.Fallback),
        _xlpm.Fallback
    ),
    _xlpm.Result
)</f>
        <v>X5</v>
      </c>
      <c r="D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IF(OR(Data!BS47=0, Data!BS47=""), "", "O"&amp;Data!BS47),
            IF('ARDT Cutter Entry'!$C$111&lt;&gt;"",
                IF(OR(
                    COUNTIF('ARDT Cutter Entry'!D62,"*1"), COUNTIF('ARDT Cutter Entry'!D62,"*2"), COUNTIF('ARDT Cutter Entry'!D62,"*3"),
                    COUNTIF('ARDT Cutter Entry'!D62,"*4"), COUNTIF('ARDT Cutter Entry'!D62,"*5"), COUNTIF('ARDT Cutter Entry'!D62,"*6"),
                    COUNTIF('ARDT Cutter Entry'!D62,"*7"), COUNTIF('ARDT Cutter Entry'!D62,"*8"), COUNTIF('ARDT Cutter Entry'!D62,"*9")),
                    'ARDT Cutter Entry'!D62,
                    'ARDT Cutter Entry'!D112),
                IF(OR(
                    COUNTIF('ARDT Cutter Entry'!D5,"*1"), COUNTIF('ARDT Cutter Entry'!D5,"*2"), COUNTIF('ARDT Cutter Entry'!D5,"*3"),
                    COUNTIF('ARDT Cutter Entry'!D5,"*4"), COUNTIF('ARDT Cutter Entry'!D5,"*5"), COUNTIF('ARDT Cutter Entry'!D5,"*6"),
                    COUNTIF('ARDT Cutter Entry'!D5,"*7"), COUNTIF('ARDT Cutter Entry'!D5,"*8"), COUNTIF('ARDT Cutter Entry'!D5,"*9")),
                    'ARDT Cutter Entry'!D5,
                    'ARDT Cutter Entry'!D44)
            )
        ),
        ""
    ),
    _xlpm.Result, IF(_xlpm.URCheck,
        IF(AN71&lt;&gt;"", AN71, _xlpm.Fallback),
        _xlpm.Fallback
    ),
    _xlpm.Result
)</f>
        <v>X5</v>
      </c>
      <c r="E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IF(OR(Data!BT47=0, Data!BT47=""), "", "O"&amp;Data!BT47),
            IF('ARDT Cutter Entry'!$C$111&lt;&gt;"",
                IF(OR(
                    COUNTIF('ARDT Cutter Entry'!E62,"*1"), COUNTIF('ARDT Cutter Entry'!E62,"*2"), COUNTIF('ARDT Cutter Entry'!E62,"*3"),
                    COUNTIF('ARDT Cutter Entry'!E62,"*4"), COUNTIF('ARDT Cutter Entry'!E62,"*5"), COUNTIF('ARDT Cutter Entry'!E62,"*6"),
                    COUNTIF('ARDT Cutter Entry'!E62,"*7"), COUNTIF('ARDT Cutter Entry'!E62,"*8"), COUNTIF('ARDT Cutter Entry'!E62,"*9")),
                    'ARDT Cutter Entry'!E62,
                    'ARDT Cutter Entry'!E112),
                IF(OR(
                    COUNTIF('ARDT Cutter Entry'!E5,"*1"), COUNTIF('ARDT Cutter Entry'!E5,"*2"), COUNTIF('ARDT Cutter Entry'!E5,"*3"),
                    COUNTIF('ARDT Cutter Entry'!E5,"*4"), COUNTIF('ARDT Cutter Entry'!E5,"*5"), COUNTIF('ARDT Cutter Entry'!E5,"*6"),
                    COUNTIF('ARDT Cutter Entry'!E5,"*7"), COUNTIF('ARDT Cutter Entry'!E5,"*8"), COUNTIF('ARDT Cutter Entry'!E5,"*9")),
                    'ARDT Cutter Entry'!E5,
                    'ARDT Cutter Entry'!E44)
            )
        ),
        ""
    ),
    _xlpm.Result, IF(_xlpm.URCheck,
        IF(AO71&lt;&gt;"", AO71, _xlpm.Fallback),
        _xlpm.Fallback
    ),
    _xlpm.Result
)</f>
        <v>X5</v>
      </c>
      <c r="F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IF(OR(Data!BU47=0, Data!BU47=""), "", "O"&amp;Data!BU47),
            IF('ARDT Cutter Entry'!$C$111&lt;&gt;"",
                IF(OR(
                    COUNTIF('ARDT Cutter Entry'!F62,"*1"), COUNTIF('ARDT Cutter Entry'!F62,"*2"), COUNTIF('ARDT Cutter Entry'!F62,"*3"),
                    COUNTIF('ARDT Cutter Entry'!F62,"*4"), COUNTIF('ARDT Cutter Entry'!F62,"*5"), COUNTIF('ARDT Cutter Entry'!F62,"*6"),
                    COUNTIF('ARDT Cutter Entry'!F62,"*7"), COUNTIF('ARDT Cutter Entry'!F62,"*8"), COUNTIF('ARDT Cutter Entry'!F62,"*9")),
                    'ARDT Cutter Entry'!F62,
                    'ARDT Cutter Entry'!F112),
                IF(OR(
                    COUNTIF('ARDT Cutter Entry'!F5,"*1"), COUNTIF('ARDT Cutter Entry'!F5,"*2"), COUNTIF('ARDT Cutter Entry'!F5,"*3"),
                    COUNTIF('ARDT Cutter Entry'!F5,"*4"), COUNTIF('ARDT Cutter Entry'!F5,"*5"), COUNTIF('ARDT Cutter Entry'!F5,"*6"),
                    COUNTIF('ARDT Cutter Entry'!F5,"*7"), COUNTIF('ARDT Cutter Entry'!F5,"*8"), COUNTIF('ARDT Cutter Entry'!F5,"*9")),
                    'ARDT Cutter Entry'!F5,
                    'ARDT Cutter Entry'!F44)
            )
        ),
        ""
    ),
    _xlpm.Result, IF(_xlpm.URCheck,
        IF(AP71&lt;&gt;"", AP71, _xlpm.Fallback),
        _xlpm.Fallback
    ),
    _xlpm.Result
)</f>
        <v>R1</v>
      </c>
      <c r="G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IF(OR(Data!BV47=0, Data!BV47=""), "", "O"&amp;Data!BV47),
            IF('ARDT Cutter Entry'!$C$111&lt;&gt;"",
                IF(OR(
                    COUNTIF('ARDT Cutter Entry'!G62,"*1"), COUNTIF('ARDT Cutter Entry'!G62,"*2"), COUNTIF('ARDT Cutter Entry'!G62,"*3"),
                    COUNTIF('ARDT Cutter Entry'!G62,"*4"), COUNTIF('ARDT Cutter Entry'!G62,"*5"), COUNTIF('ARDT Cutter Entry'!G62,"*6"),
                    COUNTIF('ARDT Cutter Entry'!G62,"*7"), COUNTIF('ARDT Cutter Entry'!G62,"*8"), COUNTIF('ARDT Cutter Entry'!G62,"*9")),
                    'ARDT Cutter Entry'!G62,
                    'ARDT Cutter Entry'!G112),
                IF(OR(
                    COUNTIF('ARDT Cutter Entry'!G5,"*1"), COUNTIF('ARDT Cutter Entry'!G5,"*2"), COUNTIF('ARDT Cutter Entry'!G5,"*3"),
                    COUNTIF('ARDT Cutter Entry'!G5,"*4"), COUNTIF('ARDT Cutter Entry'!G5,"*5"), COUNTIF('ARDT Cutter Entry'!G5,"*6"),
                    COUNTIF('ARDT Cutter Entry'!G5,"*7"), COUNTIF('ARDT Cutter Entry'!G5,"*8"), COUNTIF('ARDT Cutter Entry'!G5,"*9")),
                    'ARDT Cutter Entry'!G5,
                    'ARDT Cutter Entry'!G44)
            )
        ),
        ""
    ),
    _xlpm.Result, IF(_xlpm.URCheck,
        IF(AQ71&lt;&gt;"", AQ71, _xlpm.Fallback),
        _xlpm.Fallback
    ),
    _xlpm.Result
)</f>
        <v>X3</v>
      </c>
      <c r="H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IF(OR(Data!BW47=0, Data!BW47=""), "", "O"&amp;Data!BW47),
            IF('ARDT Cutter Entry'!$C$111&lt;&gt;"",
                IF(OR(
                    COUNTIF('ARDT Cutter Entry'!H62,"*1"), COUNTIF('ARDT Cutter Entry'!H62,"*2"), COUNTIF('ARDT Cutter Entry'!H62,"*3"),
                    COUNTIF('ARDT Cutter Entry'!H62,"*4"), COUNTIF('ARDT Cutter Entry'!H62,"*5"), COUNTIF('ARDT Cutter Entry'!H62,"*6"),
                    COUNTIF('ARDT Cutter Entry'!H62,"*7"), COUNTIF('ARDT Cutter Entry'!H62,"*8"), COUNTIF('ARDT Cutter Entry'!H62,"*9")),
                    'ARDT Cutter Entry'!H62,
                    'ARDT Cutter Entry'!H112),
                IF(OR(
                    COUNTIF('ARDT Cutter Entry'!H5,"*1"), COUNTIF('ARDT Cutter Entry'!H5,"*2"), COUNTIF('ARDT Cutter Entry'!H5,"*3"),
                    COUNTIF('ARDT Cutter Entry'!H5,"*4"), COUNTIF('ARDT Cutter Entry'!H5,"*5"), COUNTIF('ARDT Cutter Entry'!H5,"*6"),
                    COUNTIF('ARDT Cutter Entry'!H5,"*7"), COUNTIF('ARDT Cutter Entry'!H5,"*8"), COUNTIF('ARDT Cutter Entry'!H5,"*9")),
                    'ARDT Cutter Entry'!H5,
                    'ARDT Cutter Entry'!H44)
            )
        ),
        ""
    ),
    _xlpm.Result, IF(_xlpm.URCheck,
        IF(AR71&lt;&gt;"", AR71, _xlpm.Fallback),
        _xlpm.Fallback
    ),
    _xlpm.Result
)</f>
        <v/>
      </c>
      <c r="I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IF(OR(Data!BX47=0, Data!BX47=""), "", "O"&amp;Data!BX47),
            IF('ARDT Cutter Entry'!$C$111&lt;&gt;"",
                IF(OR(
                    COUNTIF('ARDT Cutter Entry'!I62,"*1"), COUNTIF('ARDT Cutter Entry'!I62,"*2"), COUNTIF('ARDT Cutter Entry'!I62,"*3"),
                    COUNTIF('ARDT Cutter Entry'!I62,"*4"), COUNTIF('ARDT Cutter Entry'!I62,"*5"), COUNTIF('ARDT Cutter Entry'!I62,"*6"),
                    COUNTIF('ARDT Cutter Entry'!I62,"*7"), COUNTIF('ARDT Cutter Entry'!I62,"*8"), COUNTIF('ARDT Cutter Entry'!I62,"*9")),
                    'ARDT Cutter Entry'!I62,
                    'ARDT Cutter Entry'!I112),
                IF(OR(
                    COUNTIF('ARDT Cutter Entry'!I5,"*1"), COUNTIF('ARDT Cutter Entry'!I5,"*2"), COUNTIF('ARDT Cutter Entry'!I5,"*3"),
                    COUNTIF('ARDT Cutter Entry'!I5,"*4"), COUNTIF('ARDT Cutter Entry'!I5,"*5"), COUNTIF('ARDT Cutter Entry'!I5,"*6"),
                    COUNTIF('ARDT Cutter Entry'!I5,"*7"), COUNTIF('ARDT Cutter Entry'!I5,"*8"), COUNTIF('ARDT Cutter Entry'!I5,"*9")),
                    'ARDT Cutter Entry'!I5,
                    'ARDT Cutter Entry'!I44)
            )
        ),
        ""
    ),
    _xlpm.Result, IF(_xlpm.URCheck,
        IF(AS71&lt;&gt;"", AS71, _xlpm.Fallback),
        _xlpm.Fallback
    ),
    _xlpm.Result
)</f>
        <v/>
      </c>
      <c r="J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IF(OR(Data!BY47=0, Data!BY47=""), "", "O"&amp;Data!BY47),
            IF('ARDT Cutter Entry'!$C$111&lt;&gt;"",
                IF(OR(
                    COUNTIF('ARDT Cutter Entry'!J62,"*1"), COUNTIF('ARDT Cutter Entry'!J62,"*2"), COUNTIF('ARDT Cutter Entry'!J62,"*3"),
                    COUNTIF('ARDT Cutter Entry'!J62,"*4"), COUNTIF('ARDT Cutter Entry'!J62,"*5"), COUNTIF('ARDT Cutter Entry'!J62,"*6"),
                    COUNTIF('ARDT Cutter Entry'!J62,"*7"), COUNTIF('ARDT Cutter Entry'!J62,"*8"), COUNTIF('ARDT Cutter Entry'!J62,"*9")),
                    'ARDT Cutter Entry'!J62,
                    'ARDT Cutter Entry'!J112),
                IF(OR(
                    COUNTIF('ARDT Cutter Entry'!J5,"*1"), COUNTIF('ARDT Cutter Entry'!J5,"*2"), COUNTIF('ARDT Cutter Entry'!J5,"*3"),
                    COUNTIF('ARDT Cutter Entry'!J5,"*4"), COUNTIF('ARDT Cutter Entry'!J5,"*5"), COUNTIF('ARDT Cutter Entry'!J5,"*6"),
                    COUNTIF('ARDT Cutter Entry'!J5,"*7"), COUNTIF('ARDT Cutter Entry'!J5,"*8"), COUNTIF('ARDT Cutter Entry'!J5,"*9")),
                    'ARDT Cutter Entry'!J5,
                    'ARDT Cutter Entry'!J44)
            )
        ),
        ""
    ),
    _xlpm.Result, IF(_xlpm.URCheck,
        IF(AT71&lt;&gt;"", AT71, _xlpm.Fallback),
        _xlpm.Fallback
    ),
    _xlpm.Result
)</f>
        <v/>
      </c>
      <c r="K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IF(OR(Data!BZ47=0, Data!BZ47=""), "", "O"&amp;Data!BZ47),
            IF('ARDT Cutter Entry'!$C$111&lt;&gt;"",
                IF(OR(
                    COUNTIF('ARDT Cutter Entry'!K62,"*1"), COUNTIF('ARDT Cutter Entry'!K62,"*2"), COUNTIF('ARDT Cutter Entry'!K62,"*3"),
                    COUNTIF('ARDT Cutter Entry'!K62,"*4"), COUNTIF('ARDT Cutter Entry'!K62,"*5"), COUNTIF('ARDT Cutter Entry'!K62,"*6"),
                    COUNTIF('ARDT Cutter Entry'!K62,"*7"), COUNTIF('ARDT Cutter Entry'!K62,"*8"), COUNTIF('ARDT Cutter Entry'!K62,"*9")),
                    'ARDT Cutter Entry'!K62,
                    'ARDT Cutter Entry'!K112),
                IF(OR(
                    COUNTIF('ARDT Cutter Entry'!K5,"*1"), COUNTIF('ARDT Cutter Entry'!K5,"*2"), COUNTIF('ARDT Cutter Entry'!K5,"*3"),
                    COUNTIF('ARDT Cutter Entry'!K5,"*4"), COUNTIF('ARDT Cutter Entry'!K5,"*5"), COUNTIF('ARDT Cutter Entry'!K5,"*6"),
                    COUNTIF('ARDT Cutter Entry'!K5,"*7"), COUNTIF('ARDT Cutter Entry'!K5,"*8"), COUNTIF('ARDT Cutter Entry'!K5,"*9")),
                    'ARDT Cutter Entry'!K5,
                    'ARDT Cutter Entry'!K44)
            )
        ),
        ""
    ),
    _xlpm.Result, IF(_xlpm.URCheck,
        IF(AU71&lt;&gt;"", AU71, _xlpm.Fallback),
        _xlpm.Fallback
    ),
    _xlpm.Result
)</f>
        <v/>
      </c>
      <c r="L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IF(OR(Data!CA47=0, Data!CA47=""), "", "O"&amp;Data!CA47),
            IF('ARDT Cutter Entry'!$C$111&lt;&gt;"",
                IF(OR(
                    COUNTIF('ARDT Cutter Entry'!L62,"*1"), COUNTIF('ARDT Cutter Entry'!L62,"*2"), COUNTIF('ARDT Cutter Entry'!L62,"*3"),
                    COUNTIF('ARDT Cutter Entry'!L62,"*4"), COUNTIF('ARDT Cutter Entry'!L62,"*5"), COUNTIF('ARDT Cutter Entry'!L62,"*6"),
                    COUNTIF('ARDT Cutter Entry'!L62,"*7"), COUNTIF('ARDT Cutter Entry'!L62,"*8"), COUNTIF('ARDT Cutter Entry'!L62,"*9")),
                    'ARDT Cutter Entry'!L62,
                    'ARDT Cutter Entry'!L112),
                IF(OR(
                    COUNTIF('ARDT Cutter Entry'!L5,"*1"), COUNTIF('ARDT Cutter Entry'!L5,"*2"), COUNTIF('ARDT Cutter Entry'!L5,"*3"),
                    COUNTIF('ARDT Cutter Entry'!L5,"*4"), COUNTIF('ARDT Cutter Entry'!L5,"*5"), COUNTIF('ARDT Cutter Entry'!L5,"*6"),
                    COUNTIF('ARDT Cutter Entry'!L5,"*7"), COUNTIF('ARDT Cutter Entry'!L5,"*8"), COUNTIF('ARDT Cutter Entry'!L5,"*9")),
                    'ARDT Cutter Entry'!L5,
                    'ARDT Cutter Entry'!L44)
            )
        ),
        ""
    ),
    _xlpm.Result, IF(_xlpm.URCheck,
        IF(AV71&lt;&gt;"", AV71, _xlpm.Fallback),
        _xlpm.Fallback
    ),
    _xlpm.Result
)</f>
        <v>S2</v>
      </c>
      <c r="M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IF(OR(Data!CB47=0, Data!CB47=""), "", "O"&amp;Data!CB47),
            IF('ARDT Cutter Entry'!$C$111&lt;&gt;"",
                IF(OR(
                    COUNTIF('ARDT Cutter Entry'!M62,"*1"), COUNTIF('ARDT Cutter Entry'!M62,"*2"), COUNTIF('ARDT Cutter Entry'!M62,"*3"),
                    COUNTIF('ARDT Cutter Entry'!M62,"*4"), COUNTIF('ARDT Cutter Entry'!M62,"*5"), COUNTIF('ARDT Cutter Entry'!M62,"*6"),
                    COUNTIF('ARDT Cutter Entry'!M62,"*7"), COUNTIF('ARDT Cutter Entry'!M62,"*8"), COUNTIF('ARDT Cutter Entry'!M62,"*9")),
                    'ARDT Cutter Entry'!M62,
                    'ARDT Cutter Entry'!M112),
                IF(OR(
                    COUNTIF('ARDT Cutter Entry'!M5,"*1"), COUNTIF('ARDT Cutter Entry'!M5,"*2"), COUNTIF('ARDT Cutter Entry'!M5,"*3"),
                    COUNTIF('ARDT Cutter Entry'!M5,"*4"), COUNTIF('ARDT Cutter Entry'!M5,"*5"), COUNTIF('ARDT Cutter Entry'!M5,"*6"),
                    COUNTIF('ARDT Cutter Entry'!M5,"*7"), COUNTIF('ARDT Cutter Entry'!M5,"*8"), COUNTIF('ARDT Cutter Entry'!M5,"*9")),
                    'ARDT Cutter Entry'!M5,
                    'ARDT Cutter Entry'!M44)
            )
        ),
        ""
    ),
    _xlpm.Result, IF(_xlpm.URCheck,
        IF(AW71&lt;&gt;"", AW71, _xlpm.Fallback),
        _xlpm.Fallback
    ),
    _xlpm.Result
)</f>
        <v>R2</v>
      </c>
      <c r="N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IF(OR(Data!CC47=0, Data!CC47=""), "", "O"&amp;Data!CC47),
            IF('ARDT Cutter Entry'!$C$111&lt;&gt;"",
                IF(OR(
                    COUNTIF('ARDT Cutter Entry'!N62,"*1"), COUNTIF('ARDT Cutter Entry'!N62,"*2"), COUNTIF('ARDT Cutter Entry'!N62,"*3"),
                    COUNTIF('ARDT Cutter Entry'!N62,"*4"), COUNTIF('ARDT Cutter Entry'!N62,"*5"), COUNTIF('ARDT Cutter Entry'!N62,"*6"),
                    COUNTIF('ARDT Cutter Entry'!N62,"*7"), COUNTIF('ARDT Cutter Entry'!N62,"*8"), COUNTIF('ARDT Cutter Entry'!N62,"*9")),
                    'ARDT Cutter Entry'!N62,
                    'ARDT Cutter Entry'!N112),
                IF(OR(
                    COUNTIF('ARDT Cutter Entry'!N5,"*1"), COUNTIF('ARDT Cutter Entry'!N5,"*2"), COUNTIF('ARDT Cutter Entry'!N5,"*3"),
                    COUNTIF('ARDT Cutter Entry'!N5,"*4"), COUNTIF('ARDT Cutter Entry'!N5,"*5"), COUNTIF('ARDT Cutter Entry'!N5,"*6"),
                    COUNTIF('ARDT Cutter Entry'!N5,"*7"), COUNTIF('ARDT Cutter Entry'!N5,"*8"), COUNTIF('ARDT Cutter Entry'!N5,"*9")),
                    'ARDT Cutter Entry'!N5,
                    'ARDT Cutter Entry'!N44)
            )
        ),
        ""
    ),
    _xlpm.Result, IF(_xlpm.URCheck,
        IF(AX71&lt;&gt;"", AX71, _xlpm.Fallback),
        _xlpm.Fallback
    ),
    _xlpm.Result
)</f>
        <v>X4</v>
      </c>
      <c r="O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IF(OR(Data!CD47=0, Data!CD47=""), "", "O"&amp;Data!CD47),
            IF('ARDT Cutter Entry'!$C$111&lt;&gt;"",
                IF(OR(
                    COUNTIF('ARDT Cutter Entry'!O62,"*1"), COUNTIF('ARDT Cutter Entry'!O62,"*2"), COUNTIF('ARDT Cutter Entry'!O62,"*3"),
                    COUNTIF('ARDT Cutter Entry'!O62,"*4"), COUNTIF('ARDT Cutter Entry'!O62,"*5"), COUNTIF('ARDT Cutter Entry'!O62,"*6"),
                    COUNTIF('ARDT Cutter Entry'!O62,"*7"), COUNTIF('ARDT Cutter Entry'!O62,"*8"), COUNTIF('ARDT Cutter Entry'!O62,"*9")),
                    'ARDT Cutter Entry'!O62,
                    'ARDT Cutter Entry'!O112),
                IF(OR(
                    COUNTIF('ARDT Cutter Entry'!O5,"*1"), COUNTIF('ARDT Cutter Entry'!O5,"*2"), COUNTIF('ARDT Cutter Entry'!O5,"*3"),
                    COUNTIF('ARDT Cutter Entry'!O5,"*4"), COUNTIF('ARDT Cutter Entry'!O5,"*5"), COUNTIF('ARDT Cutter Entry'!O5,"*6"),
                    COUNTIF('ARDT Cutter Entry'!O5,"*7"), COUNTIF('ARDT Cutter Entry'!O5,"*8"), COUNTIF('ARDT Cutter Entry'!O5,"*9")),
                    'ARDT Cutter Entry'!O5,
                    'ARDT Cutter Entry'!O44)
            )
        ),
        ""
    ),
    _xlpm.Result, IF(_xlpm.URCheck,
        IF(AY71&lt;&gt;"", AY71, _xlpm.Fallback),
        _xlpm.Fallback
    ),
    _xlpm.Result
)</f>
        <v>R2</v>
      </c>
      <c r="P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IF(OR(Data!CE47=0, Data!CE47=""), "", "O"&amp;Data!CE47),
            IF('ARDT Cutter Entry'!$C$111&lt;&gt;"",
                IF(OR(
                    COUNTIF('ARDT Cutter Entry'!P62,"*1"), COUNTIF('ARDT Cutter Entry'!P62,"*2"), COUNTIF('ARDT Cutter Entry'!P62,"*3"),
                    COUNTIF('ARDT Cutter Entry'!P62,"*4"), COUNTIF('ARDT Cutter Entry'!P62,"*5"), COUNTIF('ARDT Cutter Entry'!P62,"*6"),
                    COUNTIF('ARDT Cutter Entry'!P62,"*7"), COUNTIF('ARDT Cutter Entry'!P62,"*8"), COUNTIF('ARDT Cutter Entry'!P62,"*9")),
                    'ARDT Cutter Entry'!P62,
                    'ARDT Cutter Entry'!P112),
                IF(OR(
                    COUNTIF('ARDT Cutter Entry'!P5,"*1"), COUNTIF('ARDT Cutter Entry'!P5,"*2"), COUNTIF('ARDT Cutter Entry'!P5,"*3"),
                    COUNTIF('ARDT Cutter Entry'!P5,"*4"), COUNTIF('ARDT Cutter Entry'!P5,"*5"), COUNTIF('ARDT Cutter Entry'!P5,"*6"),
                    COUNTIF('ARDT Cutter Entry'!P5,"*7"), COUNTIF('ARDT Cutter Entry'!P5,"*8"), COUNTIF('ARDT Cutter Entry'!P5,"*9")),
                    'ARDT Cutter Entry'!P5,
                    'ARDT Cutter Entry'!P44)
            )
        ),
        ""
    ),
    _xlpm.Result, IF(_xlpm.URCheck,
        IF(AZ71&lt;&gt;"", AZ71, _xlpm.Fallback),
        _xlpm.Fallback
    ),
    _xlpm.Result
)</f>
        <v/>
      </c>
      <c r="Q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IF(OR(Data!CF47=0, Data!CF47=""), "", "O"&amp;Data!CF47),
            IF('ARDT Cutter Entry'!$C$111&lt;&gt;"",
                IF(OR(
                    COUNTIF('ARDT Cutter Entry'!Q62,"*1"), COUNTIF('ARDT Cutter Entry'!Q62,"*2"), COUNTIF('ARDT Cutter Entry'!Q62,"*3"),
                    COUNTIF('ARDT Cutter Entry'!Q62,"*4"), COUNTIF('ARDT Cutter Entry'!Q62,"*5"), COUNTIF('ARDT Cutter Entry'!Q62,"*6"),
                    COUNTIF('ARDT Cutter Entry'!Q62,"*7"), COUNTIF('ARDT Cutter Entry'!Q62,"*8"), COUNTIF('ARDT Cutter Entry'!Q62,"*9")),
                    'ARDT Cutter Entry'!Q62,
                    'ARDT Cutter Entry'!Q112),
                IF(OR(
                    COUNTIF('ARDT Cutter Entry'!Q5,"*1"), COUNTIF('ARDT Cutter Entry'!Q5,"*2"), COUNTIF('ARDT Cutter Entry'!Q5,"*3"),
                    COUNTIF('ARDT Cutter Entry'!Q5,"*4"), COUNTIF('ARDT Cutter Entry'!Q5,"*5"), COUNTIF('ARDT Cutter Entry'!Q5,"*6"),
                    COUNTIF('ARDT Cutter Entry'!Q5,"*7"), COUNTIF('ARDT Cutter Entry'!Q5,"*8"), COUNTIF('ARDT Cutter Entry'!Q5,"*9")),
                    'ARDT Cutter Entry'!Q5,
                    'ARDT Cutter Entry'!Q44)
            )
        ),
        ""
    ),
    _xlpm.Result, IF(_xlpm.URCheck,
        IF(BA71&lt;&gt;"", BA71, _xlpm.Fallback),
        _xlpm.Fallback
    ),
    _xlpm.Result
)</f>
        <v/>
      </c>
      <c r="R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IF(OR(Data!CG47=0, Data!CG47=""), "", "O"&amp;Data!CG47),
            IF('ARDT Cutter Entry'!$C$111&lt;&gt;"",
                IF(OR(
                    COUNTIF('ARDT Cutter Entry'!R62,"*1"), COUNTIF('ARDT Cutter Entry'!R62,"*2"), COUNTIF('ARDT Cutter Entry'!R62,"*3"),
                    COUNTIF('ARDT Cutter Entry'!R62,"*4"), COUNTIF('ARDT Cutter Entry'!R62,"*5"), COUNTIF('ARDT Cutter Entry'!R62,"*6"),
                    COUNTIF('ARDT Cutter Entry'!R62,"*7"), COUNTIF('ARDT Cutter Entry'!R62,"*8"), COUNTIF('ARDT Cutter Entry'!R62,"*9")),
                    'ARDT Cutter Entry'!R62,
                    'ARDT Cutter Entry'!R112),
                IF(OR(
                    COUNTIF('ARDT Cutter Entry'!R5,"*1"), COUNTIF('ARDT Cutter Entry'!R5,"*2"), COUNTIF('ARDT Cutter Entry'!R5,"*3"),
                    COUNTIF('ARDT Cutter Entry'!R5,"*4"), COUNTIF('ARDT Cutter Entry'!R5,"*5"), COUNTIF('ARDT Cutter Entry'!R5,"*6"),
                    COUNTIF('ARDT Cutter Entry'!R5,"*7"), COUNTIF('ARDT Cutter Entry'!R5,"*8"), COUNTIF('ARDT Cutter Entry'!R5,"*9")),
                    'ARDT Cutter Entry'!R5,
                    'ARDT Cutter Entry'!R44)
            )
        ),
        ""
    ),
    _xlpm.Result, IF(_xlpm.URCheck,
        IF(BB71&lt;&gt;"", BB71, _xlpm.Fallback),
        _xlpm.Fallback
    ),
    _xlpm.Result
)</f>
        <v/>
      </c>
      <c r="S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IF(OR(Data!CH47=0, Data!CH47=""), "", "O"&amp;Data!CH47),
            IF('ARDT Cutter Entry'!$C$111&lt;&gt;"",
                IF(OR(
                    COUNTIF('ARDT Cutter Entry'!S62,"*1"), COUNTIF('ARDT Cutter Entry'!S62,"*2"), COUNTIF('ARDT Cutter Entry'!S62,"*3"),
                    COUNTIF('ARDT Cutter Entry'!S62,"*4"), COUNTIF('ARDT Cutter Entry'!S62,"*5"), COUNTIF('ARDT Cutter Entry'!S62,"*6"),
                    COUNTIF('ARDT Cutter Entry'!S62,"*7"), COUNTIF('ARDT Cutter Entry'!S62,"*8"), COUNTIF('ARDT Cutter Entry'!S62,"*9")),
                    'ARDT Cutter Entry'!S62,
                    'ARDT Cutter Entry'!S112),
                IF(OR(
                    COUNTIF('ARDT Cutter Entry'!S5,"*1"), COUNTIF('ARDT Cutter Entry'!S5,"*2"), COUNTIF('ARDT Cutter Entry'!S5,"*3"),
                    COUNTIF('ARDT Cutter Entry'!S5,"*4"), COUNTIF('ARDT Cutter Entry'!S5,"*5"), COUNTIF('ARDT Cutter Entry'!S5,"*6"),
                    COUNTIF('ARDT Cutter Entry'!S5,"*7"), COUNTIF('ARDT Cutter Entry'!S5,"*8"), COUNTIF('ARDT Cutter Entry'!S5,"*9")),
                    'ARDT Cutter Entry'!S5,
                    'ARDT Cutter Entry'!S44)
            )
        ),
        ""
    ),
    _xlpm.Result, IF(_xlpm.URCheck,
        IF(BC71&lt;&gt;"", BC71, _xlpm.Fallback),
        _xlpm.Fallback
    ),
    _xlpm.Result
)</f>
        <v/>
      </c>
      <c r="T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IF(OR(Data!CI47=0, Data!CI47=""), "", "O"&amp;Data!CI47),
            IF('ARDT Cutter Entry'!$C$111&lt;&gt;"",
                IF(OR(
                    COUNTIF('ARDT Cutter Entry'!T62,"*1"), COUNTIF('ARDT Cutter Entry'!T62,"*2"), COUNTIF('ARDT Cutter Entry'!T62,"*3"),
                    COUNTIF('ARDT Cutter Entry'!T62,"*4"), COUNTIF('ARDT Cutter Entry'!T62,"*5"), COUNTIF('ARDT Cutter Entry'!T62,"*6"),
                    COUNTIF('ARDT Cutter Entry'!T62,"*7"), COUNTIF('ARDT Cutter Entry'!T62,"*8"), COUNTIF('ARDT Cutter Entry'!T62,"*9")),
                    'ARDT Cutter Entry'!T62,
                    'ARDT Cutter Entry'!T112),
                IF(OR(
                    COUNTIF('ARDT Cutter Entry'!T5,"*1"), COUNTIF('ARDT Cutter Entry'!T5,"*2"), COUNTIF('ARDT Cutter Entry'!T5,"*3"),
                    COUNTIF('ARDT Cutter Entry'!T5,"*4"), COUNTIF('ARDT Cutter Entry'!T5,"*5"), COUNTIF('ARDT Cutter Entry'!T5,"*6"),
                    COUNTIF('ARDT Cutter Entry'!T5,"*7"), COUNTIF('ARDT Cutter Entry'!T5,"*8"), COUNTIF('ARDT Cutter Entry'!T5,"*9")),
                    'ARDT Cutter Entry'!T5,
                    'ARDT Cutter Entry'!T44)
            )
        ),
        ""
    ),
    _xlpm.Result, IF(_xlpm.URCheck,
        IF(BD71&lt;&gt;"", BD71, _xlpm.Fallback),
        _xlpm.Fallback
    ),
    _xlpm.Result
)</f>
        <v/>
      </c>
      <c r="U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IF(OR(Data!CJ47=0, Data!CJ47=""), "", "O"&amp;Data!CJ47),
            IF('ARDT Cutter Entry'!$C$111&lt;&gt;"",
                IF(OR(
                    COUNTIF('ARDT Cutter Entry'!U62,"*1"), COUNTIF('ARDT Cutter Entry'!U62,"*2"), COUNTIF('ARDT Cutter Entry'!U62,"*3"),
                    COUNTIF('ARDT Cutter Entry'!U62,"*4"), COUNTIF('ARDT Cutter Entry'!U62,"*5"), COUNTIF('ARDT Cutter Entry'!U62,"*6"),
                    COUNTIF('ARDT Cutter Entry'!U62,"*7"), COUNTIF('ARDT Cutter Entry'!U62,"*8"), COUNTIF('ARDT Cutter Entry'!U62,"*9")),
                    'ARDT Cutter Entry'!U62,
                    'ARDT Cutter Entry'!U112),
                IF(OR(
                    COUNTIF('ARDT Cutter Entry'!U5,"*1"), COUNTIF('ARDT Cutter Entry'!U5,"*2"), COUNTIF('ARDT Cutter Entry'!U5,"*3"),
                    COUNTIF('ARDT Cutter Entry'!U5,"*4"), COUNTIF('ARDT Cutter Entry'!U5,"*5"), COUNTIF('ARDT Cutter Entry'!U5,"*6"),
                    COUNTIF('ARDT Cutter Entry'!U5,"*7"), COUNTIF('ARDT Cutter Entry'!U5,"*8"), COUNTIF('ARDT Cutter Entry'!U5,"*9")),
                    'ARDT Cutter Entry'!U5,
                    'ARDT Cutter Entry'!U44)
            )
        ),
        ""
    ),
    _xlpm.Result, IF(_xlpm.URCheck,
        IF(BE71&lt;&gt;"", BE71, _xlpm.Fallback),
        _xlpm.Fallback
    ),
    _xlpm.Result
)</f>
        <v/>
      </c>
      <c r="V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IF(OR(Data!CK47=0, Data!CK47=""), "", "O"&amp;Data!CK47),
            IF('ARDT Cutter Entry'!$C$111&lt;&gt;"",
                IF(OR(
                    COUNTIF('ARDT Cutter Entry'!V62,"*1"), COUNTIF('ARDT Cutter Entry'!V62,"*2"), COUNTIF('ARDT Cutter Entry'!V62,"*3"),
                    COUNTIF('ARDT Cutter Entry'!V62,"*4"), COUNTIF('ARDT Cutter Entry'!V62,"*5"), COUNTIF('ARDT Cutter Entry'!V62,"*6"),
                    COUNTIF('ARDT Cutter Entry'!V62,"*7"), COUNTIF('ARDT Cutter Entry'!V62,"*8"), COUNTIF('ARDT Cutter Entry'!V62,"*9")),
                    'ARDT Cutter Entry'!V62,
                    'ARDT Cutter Entry'!V112),
                IF(OR(
                    COUNTIF('ARDT Cutter Entry'!V5,"*1"), COUNTIF('ARDT Cutter Entry'!V5,"*2"), COUNTIF('ARDT Cutter Entry'!V5,"*3"),
                    COUNTIF('ARDT Cutter Entry'!V5,"*4"), COUNTIF('ARDT Cutter Entry'!V5,"*5"), COUNTIF('ARDT Cutter Entry'!V5,"*6"),
                    COUNTIF('ARDT Cutter Entry'!V5,"*7"), COUNTIF('ARDT Cutter Entry'!V5,"*8"), COUNTIF('ARDT Cutter Entry'!V5,"*9")),
                    'ARDT Cutter Entry'!V5,
                    'ARDT Cutter Entry'!V44)
            )
        ),
        ""
    ),
    _xlpm.Result, IF(_xlpm.URCheck,
        IF(BF71&lt;&gt;"", BF71, _xlpm.Fallback),
        _xlpm.Fallback
    ),
    _xlpm.Result
)</f>
        <v/>
      </c>
      <c r="W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IF(OR(Data!CL47=0, Data!CL47=""), "", "O"&amp;Data!CL47),
            IF('ARDT Cutter Entry'!$C$111&lt;&gt;"",
                IF(OR(
                    COUNTIF('ARDT Cutter Entry'!W62,"*1"), COUNTIF('ARDT Cutter Entry'!W62,"*2"), COUNTIF('ARDT Cutter Entry'!W62,"*3"),
                    COUNTIF('ARDT Cutter Entry'!W62,"*4"), COUNTIF('ARDT Cutter Entry'!W62,"*5"), COUNTIF('ARDT Cutter Entry'!W62,"*6"),
                    COUNTIF('ARDT Cutter Entry'!W62,"*7"), COUNTIF('ARDT Cutter Entry'!W62,"*8"), COUNTIF('ARDT Cutter Entry'!W62,"*9")),
                    'ARDT Cutter Entry'!W62,
                    'ARDT Cutter Entry'!W112),
                IF(OR(
                    COUNTIF('ARDT Cutter Entry'!W5,"*1"), COUNTIF('ARDT Cutter Entry'!W5,"*2"), COUNTIF('ARDT Cutter Entry'!W5,"*3"),
                    COUNTIF('ARDT Cutter Entry'!W5,"*4"), COUNTIF('ARDT Cutter Entry'!W5,"*5"), COUNTIF('ARDT Cutter Entry'!W5,"*6"),
                    COUNTIF('ARDT Cutter Entry'!W5,"*7"), COUNTIF('ARDT Cutter Entry'!W5,"*8"), COUNTIF('ARDT Cutter Entry'!W5,"*9")),
                    'ARDT Cutter Entry'!W5,
                    'ARDT Cutter Entry'!W44)
            )
        ),
        ""
    ),
    _xlpm.Result, IF(_xlpm.URCheck,
        IF(BG71&lt;&gt;"", BG71, _xlpm.Fallback),
        _xlpm.Fallback
    ),
    _xlpm.Result
)</f>
        <v/>
      </c>
      <c r="X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IF(OR(Data!CM47=0, Data!CM47=""), "", "O"&amp;Data!CM47),
            IF('ARDT Cutter Entry'!$C$111&lt;&gt;"",
                IF(OR(
                    COUNTIF('ARDT Cutter Entry'!X62,"*1"), COUNTIF('ARDT Cutter Entry'!X62,"*2"), COUNTIF('ARDT Cutter Entry'!X62,"*3"),
                    COUNTIF('ARDT Cutter Entry'!X62,"*4"), COUNTIF('ARDT Cutter Entry'!X62,"*5"), COUNTIF('ARDT Cutter Entry'!X62,"*6"),
                    COUNTIF('ARDT Cutter Entry'!X62,"*7"), COUNTIF('ARDT Cutter Entry'!X62,"*8"), COUNTIF('ARDT Cutter Entry'!X62,"*9")),
                    'ARDT Cutter Entry'!X62,
                    'ARDT Cutter Entry'!X112),
                IF(OR(
                    COUNTIF('ARDT Cutter Entry'!X5,"*1"), COUNTIF('ARDT Cutter Entry'!X5,"*2"), COUNTIF('ARDT Cutter Entry'!X5,"*3"),
                    COUNTIF('ARDT Cutter Entry'!X5,"*4"), COUNTIF('ARDT Cutter Entry'!X5,"*5"), COUNTIF('ARDT Cutter Entry'!X5,"*6"),
                    COUNTIF('ARDT Cutter Entry'!X5,"*7"), COUNTIF('ARDT Cutter Entry'!X5,"*8"), COUNTIF('ARDT Cutter Entry'!X5,"*9")),
                    'ARDT Cutter Entry'!X5,
                    'ARDT Cutter Entry'!X44)
            )
        ),
        ""
    ),
    _xlpm.Result, IF(_xlpm.URCheck,
        IF(BH71&lt;&gt;"", BH71, _xlpm.Fallback),
        _xlpm.Fallback
    ),
    _xlpm.Result
)</f>
        <v/>
      </c>
      <c r="Y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IF(OR(Data!CN47=0, Data!CN47=""), "", "O"&amp;Data!CN47),
            IF('ARDT Cutter Entry'!$C$111&lt;&gt;"",
                IF(OR(
                    COUNTIF('ARDT Cutter Entry'!Y62,"*1"), COUNTIF('ARDT Cutter Entry'!Y62,"*2"), COUNTIF('ARDT Cutter Entry'!Y62,"*3"),
                    COUNTIF('ARDT Cutter Entry'!Y62,"*4"), COUNTIF('ARDT Cutter Entry'!Y62,"*5"), COUNTIF('ARDT Cutter Entry'!Y62,"*6"),
                    COUNTIF('ARDT Cutter Entry'!Y62,"*7"), COUNTIF('ARDT Cutter Entry'!Y62,"*8"), COUNTIF('ARDT Cutter Entry'!Y62,"*9")),
                    'ARDT Cutter Entry'!Y62,
                    'ARDT Cutter Entry'!Y112),
                IF(OR(
                    COUNTIF('ARDT Cutter Entry'!Y5,"*1"), COUNTIF('ARDT Cutter Entry'!Y5,"*2"), COUNTIF('ARDT Cutter Entry'!Y5,"*3"),
                    COUNTIF('ARDT Cutter Entry'!Y5,"*4"), COUNTIF('ARDT Cutter Entry'!Y5,"*5"), COUNTIF('ARDT Cutter Entry'!Y5,"*6"),
                    COUNTIF('ARDT Cutter Entry'!Y5,"*7"), COUNTIF('ARDT Cutter Entry'!Y5,"*8"), COUNTIF('ARDT Cutter Entry'!Y5,"*9")),
                    'ARDT Cutter Entry'!Y5,
                    'ARDT Cutter Entry'!Y44)
            )
        ),
        ""
    ),
    _xlpm.Result, IF(_xlpm.URCheck,
        IF(BI71&lt;&gt;"", BI71, _xlpm.Fallback),
        _xlpm.Fallback
    ),
    _xlpm.Result
)</f>
        <v/>
      </c>
      <c r="Z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IF(OR(Data!CO47=0, Data!CO47=""), "", "O"&amp;Data!CO47),
            IF('ARDT Cutter Entry'!$C$111&lt;&gt;"",
                IF(OR(
                    COUNTIF('ARDT Cutter Entry'!Z62,"*1"), COUNTIF('ARDT Cutter Entry'!Z62,"*2"), COUNTIF('ARDT Cutter Entry'!Z62,"*3"),
                    COUNTIF('ARDT Cutter Entry'!Z62,"*4"), COUNTIF('ARDT Cutter Entry'!Z62,"*5"), COUNTIF('ARDT Cutter Entry'!Z62,"*6"),
                    COUNTIF('ARDT Cutter Entry'!Z62,"*7"), COUNTIF('ARDT Cutter Entry'!Z62,"*8"), COUNTIF('ARDT Cutter Entry'!Z62,"*9")),
                    'ARDT Cutter Entry'!Z62,
                    'ARDT Cutter Entry'!Z112),
                IF(OR(
                    COUNTIF('ARDT Cutter Entry'!Z5,"*1"), COUNTIF('ARDT Cutter Entry'!Z5,"*2"), COUNTIF('ARDT Cutter Entry'!Z5,"*3"),
                    COUNTIF('ARDT Cutter Entry'!Z5,"*4"), COUNTIF('ARDT Cutter Entry'!Z5,"*5"), COUNTIF('ARDT Cutter Entry'!Z5,"*6"),
                    COUNTIF('ARDT Cutter Entry'!Z5,"*7"), COUNTIF('ARDT Cutter Entry'!Z5,"*8"), COUNTIF('ARDT Cutter Entry'!Z5,"*9")),
                    'ARDT Cutter Entry'!Z5,
                    'ARDT Cutter Entry'!Z44)
            )
        ),
        ""
    ),
    _xlpm.Result, IF(_xlpm.URCheck,
        IF(BJ71&lt;&gt;"", BJ71, _xlpm.Fallback),
        _xlpm.Fallback
    ),
    _xlpm.Result
)</f>
        <v/>
      </c>
      <c r="AA18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IF(OR(Data!CP47=0, Data!CP47=""), "", "O"&amp;Data!CP47),
            IF('ARDT Cutter Entry'!$C$111&lt;&gt;"",
                IF(OR(
                    COUNTIF('ARDT Cutter Entry'!AA62,"*1"), COUNTIF('ARDT Cutter Entry'!AA62,"*2"), COUNTIF('ARDT Cutter Entry'!AA62,"*3"),
                    COUNTIF('ARDT Cutter Entry'!AA62,"*4"), COUNTIF('ARDT Cutter Entry'!AA62,"*5"), COUNTIF('ARDT Cutter Entry'!AA62,"*6"),
                    COUNTIF('ARDT Cutter Entry'!AA62,"*7"), COUNTIF('ARDT Cutter Entry'!AA62,"*8"), COUNTIF('ARDT Cutter Entry'!AA62,"*9")),
                    'ARDT Cutter Entry'!AA62,
                    'ARDT Cutter Entry'!AA112),
                IF(OR(
                    COUNTIF('ARDT Cutter Entry'!AA5,"*1"), COUNTIF('ARDT Cutter Entry'!AA5,"*2"), COUNTIF('ARDT Cutter Entry'!AA5,"*3"),
                    COUNTIF('ARDT Cutter Entry'!AA5,"*4"), COUNTIF('ARDT Cutter Entry'!AA5,"*5"), COUNTIF('ARDT Cutter Entry'!AA5,"*6"),
                    COUNTIF('ARDT Cutter Entry'!AA5,"*7"), COUNTIF('ARDT Cutter Entry'!AA5,"*8"), COUNTIF('ARDT Cutter Entry'!AA5,"*9")),
                    'ARDT Cutter Entry'!AA5,
                    'ARDT Cutter Entry'!AA44)
            )
        ),
        ""
    ),
    _xlpm.Result, IF(_xlpm.URCheck,
        IF(BK71&lt;&gt;"", BK71, _xlpm.Fallback),
        _xlpm.Fallback
    ),
    _xlpm.Result
)</f>
        <v/>
      </c>
    </row>
    <row r="19" spans="1:27" ht="18.75" customHeight="1" x14ac:dyDescent="0.35">
      <c r="A19" s="1423"/>
      <c r="B19" s="396">
        <v>3</v>
      </c>
      <c r="C19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IF(OR(Data!BR48=0, Data!BR48=""), "", "O"&amp;Data!BR48),
            IF('ARDT Cutter Entry'!$C$111&lt;&gt;"",
                IF(OR(
                    COUNTIF('ARDT Cutter Entry'!C63,"*1"), COUNTIF('ARDT Cutter Entry'!C63,"*2"), COUNTIF('ARDT Cutter Entry'!C63,"*3"),
                    COUNTIF('ARDT Cutter Entry'!C63,"*4"), COUNTIF('ARDT Cutter Entry'!C63,"*5"), COUNTIF('ARDT Cutter Entry'!C63,"*6"),
                    COUNTIF('ARDT Cutter Entry'!C63,"*7"), COUNTIF('ARDT Cutter Entry'!C63,"*8"), COUNTIF('ARDT Cutter Entry'!C63,"*9")),
                    'ARDT Cutter Entry'!C63,
                    'ARDT Cutter Entry'!C113),
                IF(OR(
                    COUNTIF('ARDT Cutter Entry'!C6,"*1"), COUNTIF('ARDT Cutter Entry'!C6,"*2"), COUNTIF('ARDT Cutter Entry'!C6,"*3"),
                    COUNTIF('ARDT Cutter Entry'!C6,"*4"), COUNTIF('ARDT Cutter Entry'!C6,"*5"), COUNTIF('ARDT Cutter Entry'!C6,"*6"),
                    COUNTIF('ARDT Cutter Entry'!C6,"*7"), COUNTIF('ARDT Cutter Entry'!C6,"*8"), COUNTIF('ARDT Cutter Entry'!C6,"*9")),
                    'ARDT Cutter Entry'!C6,
                    'ARDT Cutter Entry'!C45)
            )
        ),
        ""
    ),
    _xlpm.Result, IF(_xlpm.URCheck,
        IF(AM72&lt;&gt;"", AM72, _xlpm.Fallback),
        _xlpm.Fallback
    ),
    _xlpm.Result
)</f>
        <v>R1</v>
      </c>
      <c r="D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IF(OR(Data!BS48=0, Data!BS48=""), "", "O"&amp;Data!BS48),
            IF('ARDT Cutter Entry'!$C$111&lt;&gt;"",
                IF(OR(
                    COUNTIF('ARDT Cutter Entry'!D63,"*1"), COUNTIF('ARDT Cutter Entry'!D63,"*2"), COUNTIF('ARDT Cutter Entry'!D63,"*3"),
                    COUNTIF('ARDT Cutter Entry'!D63,"*4"), COUNTIF('ARDT Cutter Entry'!D63,"*5"), COUNTIF('ARDT Cutter Entry'!D63,"*6"),
                    COUNTIF('ARDT Cutter Entry'!D63,"*7"), COUNTIF('ARDT Cutter Entry'!D63,"*8"), COUNTIF('ARDT Cutter Entry'!D63,"*9")),
                    'ARDT Cutter Entry'!D63,
                    'ARDT Cutter Entry'!D113),
                IF(OR(
                    COUNTIF('ARDT Cutter Entry'!D6,"*1"), COUNTIF('ARDT Cutter Entry'!D6,"*2"), COUNTIF('ARDT Cutter Entry'!D6,"*3"),
                    COUNTIF('ARDT Cutter Entry'!D6,"*4"), COUNTIF('ARDT Cutter Entry'!D6,"*5"), COUNTIF('ARDT Cutter Entry'!D6,"*6"),
                    COUNTIF('ARDT Cutter Entry'!D6,"*7"), COUNTIF('ARDT Cutter Entry'!D6,"*8"), COUNTIF('ARDT Cutter Entry'!D6,"*9")),
                    'ARDT Cutter Entry'!D6,
                    'ARDT Cutter Entry'!D45)
            )
        ),
        ""
    ),
    _xlpm.Result, IF(_xlpm.URCheck,
        IF(AN72&lt;&gt;"", AN72, _xlpm.Fallback),
        _xlpm.Fallback
    ),
    _xlpm.Result
)</f>
        <v>R1</v>
      </c>
      <c r="E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IF(OR(Data!BT48=0, Data!BT48=""), "", "O"&amp;Data!BT48),
            IF('ARDT Cutter Entry'!$C$111&lt;&gt;"",
                IF(OR(
                    COUNTIF('ARDT Cutter Entry'!E63,"*1"), COUNTIF('ARDT Cutter Entry'!E63,"*2"), COUNTIF('ARDT Cutter Entry'!E63,"*3"),
                    COUNTIF('ARDT Cutter Entry'!E63,"*4"), COUNTIF('ARDT Cutter Entry'!E63,"*5"), COUNTIF('ARDT Cutter Entry'!E63,"*6"),
                    COUNTIF('ARDT Cutter Entry'!E63,"*7"), COUNTIF('ARDT Cutter Entry'!E63,"*8"), COUNTIF('ARDT Cutter Entry'!E63,"*9")),
                    'ARDT Cutter Entry'!E63,
                    'ARDT Cutter Entry'!E113),
                IF(OR(
                    COUNTIF('ARDT Cutter Entry'!E6,"*1"), COUNTIF('ARDT Cutter Entry'!E6,"*2"), COUNTIF('ARDT Cutter Entry'!E6,"*3"),
                    COUNTIF('ARDT Cutter Entry'!E6,"*4"), COUNTIF('ARDT Cutter Entry'!E6,"*5"), COUNTIF('ARDT Cutter Entry'!E6,"*6"),
                    COUNTIF('ARDT Cutter Entry'!E6,"*7"), COUNTIF('ARDT Cutter Entry'!E6,"*8"), COUNTIF('ARDT Cutter Entry'!E6,"*9")),
                    'ARDT Cutter Entry'!E6,
                    'ARDT Cutter Entry'!E45)
            )
        ),
        ""
    ),
    _xlpm.Result, IF(_xlpm.URCheck,
        IF(AO72&lt;&gt;"", AO72, _xlpm.Fallback),
        _xlpm.Fallback
    ),
    _xlpm.Result
)</f>
        <v>R1</v>
      </c>
      <c r="F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IF(OR(Data!BU48=0, Data!BU48=""), "", "O"&amp;Data!BU48),
            IF('ARDT Cutter Entry'!$C$111&lt;&gt;"",
                IF(OR(
                    COUNTIF('ARDT Cutter Entry'!F63,"*1"), COUNTIF('ARDT Cutter Entry'!F63,"*2"), COUNTIF('ARDT Cutter Entry'!F63,"*3"),
                    COUNTIF('ARDT Cutter Entry'!F63,"*4"), COUNTIF('ARDT Cutter Entry'!F63,"*5"), COUNTIF('ARDT Cutter Entry'!F63,"*6"),
                    COUNTIF('ARDT Cutter Entry'!F63,"*7"), COUNTIF('ARDT Cutter Entry'!F63,"*8"), COUNTIF('ARDT Cutter Entry'!F63,"*9")),
                    'ARDT Cutter Entry'!F63,
                    'ARDT Cutter Entry'!F113),
                IF(OR(
                    COUNTIF('ARDT Cutter Entry'!F6,"*1"), COUNTIF('ARDT Cutter Entry'!F6,"*2"), COUNTIF('ARDT Cutter Entry'!F6,"*3"),
                    COUNTIF('ARDT Cutter Entry'!F6,"*4"), COUNTIF('ARDT Cutter Entry'!F6,"*5"), COUNTIF('ARDT Cutter Entry'!F6,"*6"),
                    COUNTIF('ARDT Cutter Entry'!F6,"*7"), COUNTIF('ARDT Cutter Entry'!F6,"*8"), COUNTIF('ARDT Cutter Entry'!F6,"*9")),
                    'ARDT Cutter Entry'!F6,
                    'ARDT Cutter Entry'!F45)
            )
        ),
        ""
    ),
    _xlpm.Result, IF(_xlpm.URCheck,
        IF(AP72&lt;&gt;"", AP72, _xlpm.Fallback),
        _xlpm.Fallback
    ),
    _xlpm.Result
)</f>
        <v>X5</v>
      </c>
      <c r="G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IF(OR(Data!BV48=0, Data!BV48=""), "", "O"&amp;Data!BV48),
            IF('ARDT Cutter Entry'!$C$111&lt;&gt;"",
                IF(OR(
                    COUNTIF('ARDT Cutter Entry'!G63,"*1"), COUNTIF('ARDT Cutter Entry'!G63,"*2"), COUNTIF('ARDT Cutter Entry'!G63,"*3"),
                    COUNTIF('ARDT Cutter Entry'!G63,"*4"), COUNTIF('ARDT Cutter Entry'!G63,"*5"), COUNTIF('ARDT Cutter Entry'!G63,"*6"),
                    COUNTIF('ARDT Cutter Entry'!G63,"*7"), COUNTIF('ARDT Cutter Entry'!G63,"*8"), COUNTIF('ARDT Cutter Entry'!G63,"*9")),
                    'ARDT Cutter Entry'!G63,
                    'ARDT Cutter Entry'!G113),
                IF(OR(
                    COUNTIF('ARDT Cutter Entry'!G6,"*1"), COUNTIF('ARDT Cutter Entry'!G6,"*2"), COUNTIF('ARDT Cutter Entry'!G6,"*3"),
                    COUNTIF('ARDT Cutter Entry'!G6,"*4"), COUNTIF('ARDT Cutter Entry'!G6,"*5"), COUNTIF('ARDT Cutter Entry'!G6,"*6"),
                    COUNTIF('ARDT Cutter Entry'!G6,"*7"), COUNTIF('ARDT Cutter Entry'!G6,"*8"), COUNTIF('ARDT Cutter Entry'!G6,"*9")),
                    'ARDT Cutter Entry'!G6,
                    'ARDT Cutter Entry'!G45)
            )
        ),
        ""
    ),
    _xlpm.Result, IF(_xlpm.URCheck,
        IF(AQ72&lt;&gt;"", AQ72, _xlpm.Fallback),
        _xlpm.Fallback
    ),
    _xlpm.Result
)</f>
        <v>X5</v>
      </c>
      <c r="H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IF(OR(Data!BW48=0, Data!BW48=""), "", "O"&amp;Data!BW48),
            IF('ARDT Cutter Entry'!$C$111&lt;&gt;"",
                IF(OR(
                    COUNTIF('ARDT Cutter Entry'!H63,"*1"), COUNTIF('ARDT Cutter Entry'!H63,"*2"), COUNTIF('ARDT Cutter Entry'!H63,"*3"),
                    COUNTIF('ARDT Cutter Entry'!H63,"*4"), COUNTIF('ARDT Cutter Entry'!H63,"*5"), COUNTIF('ARDT Cutter Entry'!H63,"*6"),
                    COUNTIF('ARDT Cutter Entry'!H63,"*7"), COUNTIF('ARDT Cutter Entry'!H63,"*8"), COUNTIF('ARDT Cutter Entry'!H63,"*9")),
                    'ARDT Cutter Entry'!H63,
                    'ARDT Cutter Entry'!H113),
                IF(OR(
                    COUNTIF('ARDT Cutter Entry'!H6,"*1"), COUNTIF('ARDT Cutter Entry'!H6,"*2"), COUNTIF('ARDT Cutter Entry'!H6,"*3"),
                    COUNTIF('ARDT Cutter Entry'!H6,"*4"), COUNTIF('ARDT Cutter Entry'!H6,"*5"), COUNTIF('ARDT Cutter Entry'!H6,"*6"),
                    COUNTIF('ARDT Cutter Entry'!H6,"*7"), COUNTIF('ARDT Cutter Entry'!H6,"*8"), COUNTIF('ARDT Cutter Entry'!H6,"*9")),
                    'ARDT Cutter Entry'!H6,
                    'ARDT Cutter Entry'!H45)
            )
        ),
        ""
    ),
    _xlpm.Result, IF(_xlpm.URCheck,
        IF(AR72&lt;&gt;"", AR72, _xlpm.Fallback),
        _xlpm.Fallback
    ),
    _xlpm.Result
)</f>
        <v>X5</v>
      </c>
      <c r="I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IF(OR(Data!BX48=0, Data!BX48=""), "", "O"&amp;Data!BX48),
            IF('ARDT Cutter Entry'!$C$111&lt;&gt;"",
                IF(OR(
                    COUNTIF('ARDT Cutter Entry'!I63,"*1"), COUNTIF('ARDT Cutter Entry'!I63,"*2"), COUNTIF('ARDT Cutter Entry'!I63,"*3"),
                    COUNTIF('ARDT Cutter Entry'!I63,"*4"), COUNTIF('ARDT Cutter Entry'!I63,"*5"), COUNTIF('ARDT Cutter Entry'!I63,"*6"),
                    COUNTIF('ARDT Cutter Entry'!I63,"*7"), COUNTIF('ARDT Cutter Entry'!I63,"*8"), COUNTIF('ARDT Cutter Entry'!I63,"*9")),
                    'ARDT Cutter Entry'!I63,
                    'ARDT Cutter Entry'!I113),
                IF(OR(
                    COUNTIF('ARDT Cutter Entry'!I6,"*1"), COUNTIF('ARDT Cutter Entry'!I6,"*2"), COUNTIF('ARDT Cutter Entry'!I6,"*3"),
                    COUNTIF('ARDT Cutter Entry'!I6,"*4"), COUNTIF('ARDT Cutter Entry'!I6,"*5"), COUNTIF('ARDT Cutter Entry'!I6,"*6"),
                    COUNTIF('ARDT Cutter Entry'!I6,"*7"), COUNTIF('ARDT Cutter Entry'!I6,"*8"), COUNTIF('ARDT Cutter Entry'!I6,"*9")),
                    'ARDT Cutter Entry'!I6,
                    'ARDT Cutter Entry'!I45)
            )
        ),
        ""
    ),
    _xlpm.Result, IF(_xlpm.URCheck,
        IF(AS72&lt;&gt;"", AS72, _xlpm.Fallback),
        _xlpm.Fallback
    ),
    _xlpm.Result
)</f>
        <v>X3</v>
      </c>
      <c r="J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IF(OR(Data!BY48=0, Data!BY48=""), "", "O"&amp;Data!BY48),
            IF('ARDT Cutter Entry'!$C$111&lt;&gt;"",
                IF(OR(
                    COUNTIF('ARDT Cutter Entry'!J63,"*1"), COUNTIF('ARDT Cutter Entry'!J63,"*2"), COUNTIF('ARDT Cutter Entry'!J63,"*3"),
                    COUNTIF('ARDT Cutter Entry'!J63,"*4"), COUNTIF('ARDT Cutter Entry'!J63,"*5"), COUNTIF('ARDT Cutter Entry'!J63,"*6"),
                    COUNTIF('ARDT Cutter Entry'!J63,"*7"), COUNTIF('ARDT Cutter Entry'!J63,"*8"), COUNTIF('ARDT Cutter Entry'!J63,"*9")),
                    'ARDT Cutter Entry'!J63,
                    'ARDT Cutter Entry'!J113),
                IF(OR(
                    COUNTIF('ARDT Cutter Entry'!J6,"*1"), COUNTIF('ARDT Cutter Entry'!J6,"*2"), COUNTIF('ARDT Cutter Entry'!J6,"*3"),
                    COUNTIF('ARDT Cutter Entry'!J6,"*4"), COUNTIF('ARDT Cutter Entry'!J6,"*5"), COUNTIF('ARDT Cutter Entry'!J6,"*6"),
                    COUNTIF('ARDT Cutter Entry'!J6,"*7"), COUNTIF('ARDT Cutter Entry'!J6,"*8"), COUNTIF('ARDT Cutter Entry'!J6,"*9")),
                    'ARDT Cutter Entry'!J6,
                    'ARDT Cutter Entry'!J45)
            )
        ),
        ""
    ),
    _xlpm.Result, IF(_xlpm.URCheck,
        IF(AT72&lt;&gt;"", AT72, _xlpm.Fallback),
        _xlpm.Fallback
    ),
    _xlpm.Result
)</f>
        <v/>
      </c>
      <c r="K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IF(OR(Data!BZ48=0, Data!BZ48=""), "", "O"&amp;Data!BZ48),
            IF('ARDT Cutter Entry'!$C$111&lt;&gt;"",
                IF(OR(
                    COUNTIF('ARDT Cutter Entry'!K63,"*1"), COUNTIF('ARDT Cutter Entry'!K63,"*2"), COUNTIF('ARDT Cutter Entry'!K63,"*3"),
                    COUNTIF('ARDT Cutter Entry'!K63,"*4"), COUNTIF('ARDT Cutter Entry'!K63,"*5"), COUNTIF('ARDT Cutter Entry'!K63,"*6"),
                    COUNTIF('ARDT Cutter Entry'!K63,"*7"), COUNTIF('ARDT Cutter Entry'!K63,"*8"), COUNTIF('ARDT Cutter Entry'!K63,"*9")),
                    'ARDT Cutter Entry'!K63,
                    'ARDT Cutter Entry'!K113),
                IF(OR(
                    COUNTIF('ARDT Cutter Entry'!K6,"*1"), COUNTIF('ARDT Cutter Entry'!K6,"*2"), COUNTIF('ARDT Cutter Entry'!K6,"*3"),
                    COUNTIF('ARDT Cutter Entry'!K6,"*4"), COUNTIF('ARDT Cutter Entry'!K6,"*5"), COUNTIF('ARDT Cutter Entry'!K6,"*6"),
                    COUNTIF('ARDT Cutter Entry'!K6,"*7"), COUNTIF('ARDT Cutter Entry'!K6,"*8"), COUNTIF('ARDT Cutter Entry'!K6,"*9")),
                    'ARDT Cutter Entry'!K6,
                    'ARDT Cutter Entry'!K45)
            )
        ),
        ""
    ),
    _xlpm.Result, IF(_xlpm.URCheck,
        IF(AU72&lt;&gt;"", AU72, _xlpm.Fallback),
        _xlpm.Fallback
    ),
    _xlpm.Result
)</f>
        <v/>
      </c>
      <c r="L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IF(OR(Data!CA48=0, Data!CA48=""), "", "O"&amp;Data!CA48),
            IF('ARDT Cutter Entry'!$C$111&lt;&gt;"",
                IF(OR(
                    COUNTIF('ARDT Cutter Entry'!L63,"*1"), COUNTIF('ARDT Cutter Entry'!L63,"*2"), COUNTIF('ARDT Cutter Entry'!L63,"*3"),
                    COUNTIF('ARDT Cutter Entry'!L63,"*4"), COUNTIF('ARDT Cutter Entry'!L63,"*5"), COUNTIF('ARDT Cutter Entry'!L63,"*6"),
                    COUNTIF('ARDT Cutter Entry'!L63,"*7"), COUNTIF('ARDT Cutter Entry'!L63,"*8"), COUNTIF('ARDT Cutter Entry'!L63,"*9")),
                    'ARDT Cutter Entry'!L63,
                    'ARDT Cutter Entry'!L113),
                IF(OR(
                    COUNTIF('ARDT Cutter Entry'!L6,"*1"), COUNTIF('ARDT Cutter Entry'!L6,"*2"), COUNTIF('ARDT Cutter Entry'!L6,"*3"),
                    COUNTIF('ARDT Cutter Entry'!L6,"*4"), COUNTIF('ARDT Cutter Entry'!L6,"*5"), COUNTIF('ARDT Cutter Entry'!L6,"*6"),
                    COUNTIF('ARDT Cutter Entry'!L6,"*7"), COUNTIF('ARDT Cutter Entry'!L6,"*8"), COUNTIF('ARDT Cutter Entry'!L6,"*9")),
                    'ARDT Cutter Entry'!L6,
                    'ARDT Cutter Entry'!L45)
            )
        ),
        ""
    ),
    _xlpm.Result, IF(_xlpm.URCheck,
        IF(AV72&lt;&gt;"", AV72, _xlpm.Fallback),
        _xlpm.Fallback
    ),
    _xlpm.Result
)</f>
        <v>R2</v>
      </c>
      <c r="M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IF(OR(Data!CB48=0, Data!CB48=""), "", "O"&amp;Data!CB48),
            IF('ARDT Cutter Entry'!$C$111&lt;&gt;"",
                IF(OR(
                    COUNTIF('ARDT Cutter Entry'!M63,"*1"), COUNTIF('ARDT Cutter Entry'!M63,"*2"), COUNTIF('ARDT Cutter Entry'!M63,"*3"),
                    COUNTIF('ARDT Cutter Entry'!M63,"*4"), COUNTIF('ARDT Cutter Entry'!M63,"*5"), COUNTIF('ARDT Cutter Entry'!M63,"*6"),
                    COUNTIF('ARDT Cutter Entry'!M63,"*7"), COUNTIF('ARDT Cutter Entry'!M63,"*8"), COUNTIF('ARDT Cutter Entry'!M63,"*9")),
                    'ARDT Cutter Entry'!M63,
                    'ARDT Cutter Entry'!M113),
                IF(OR(
                    COUNTIF('ARDT Cutter Entry'!M6,"*1"), COUNTIF('ARDT Cutter Entry'!M6,"*2"), COUNTIF('ARDT Cutter Entry'!M6,"*3"),
                    COUNTIF('ARDT Cutter Entry'!M6,"*4"), COUNTIF('ARDT Cutter Entry'!M6,"*5"), COUNTIF('ARDT Cutter Entry'!M6,"*6"),
                    COUNTIF('ARDT Cutter Entry'!M6,"*7"), COUNTIF('ARDT Cutter Entry'!M6,"*8"), COUNTIF('ARDT Cutter Entry'!M6,"*9")),
                    'ARDT Cutter Entry'!M6,
                    'ARDT Cutter Entry'!M45)
            )
        ),
        ""
    ),
    _xlpm.Result, IF(_xlpm.URCheck,
        IF(AW72&lt;&gt;"", AW72, _xlpm.Fallback),
        _xlpm.Fallback
    ),
    _xlpm.Result
)</f>
        <v>X4</v>
      </c>
      <c r="N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IF(OR(Data!CC48=0, Data!CC48=""), "", "O"&amp;Data!CC48),
            IF('ARDT Cutter Entry'!$C$111&lt;&gt;"",
                IF(OR(
                    COUNTIF('ARDT Cutter Entry'!N63,"*1"), COUNTIF('ARDT Cutter Entry'!N63,"*2"), COUNTIF('ARDT Cutter Entry'!N63,"*3"),
                    COUNTIF('ARDT Cutter Entry'!N63,"*4"), COUNTIF('ARDT Cutter Entry'!N63,"*5"), COUNTIF('ARDT Cutter Entry'!N63,"*6"),
                    COUNTIF('ARDT Cutter Entry'!N63,"*7"), COUNTIF('ARDT Cutter Entry'!N63,"*8"), COUNTIF('ARDT Cutter Entry'!N63,"*9")),
                    'ARDT Cutter Entry'!N63,
                    'ARDT Cutter Entry'!N113),
                IF(OR(
                    COUNTIF('ARDT Cutter Entry'!N6,"*1"), COUNTIF('ARDT Cutter Entry'!N6,"*2"), COUNTIF('ARDT Cutter Entry'!N6,"*3"),
                    COUNTIF('ARDT Cutter Entry'!N6,"*4"), COUNTIF('ARDT Cutter Entry'!N6,"*5"), COUNTIF('ARDT Cutter Entry'!N6,"*6"),
                    COUNTIF('ARDT Cutter Entry'!N6,"*7"), COUNTIF('ARDT Cutter Entry'!N6,"*8"), COUNTIF('ARDT Cutter Entry'!N6,"*9")),
                    'ARDT Cutter Entry'!N6,
                    'ARDT Cutter Entry'!N45)
            )
        ),
        ""
    ),
    _xlpm.Result, IF(_xlpm.URCheck,
        IF(AX72&lt;&gt;"", AX72, _xlpm.Fallback),
        _xlpm.Fallback
    ),
    _xlpm.Result
)</f>
        <v>X4</v>
      </c>
      <c r="O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IF(OR(Data!CD48=0, Data!CD48=""), "", "O"&amp;Data!CD48),
            IF('ARDT Cutter Entry'!$C$111&lt;&gt;"",
                IF(OR(
                    COUNTIF('ARDT Cutter Entry'!O63,"*1"), COUNTIF('ARDT Cutter Entry'!O63,"*2"), COUNTIF('ARDT Cutter Entry'!O63,"*3"),
                    COUNTIF('ARDT Cutter Entry'!O63,"*4"), COUNTIF('ARDT Cutter Entry'!O63,"*5"), COUNTIF('ARDT Cutter Entry'!O63,"*6"),
                    COUNTIF('ARDT Cutter Entry'!O63,"*7"), COUNTIF('ARDT Cutter Entry'!O63,"*8"), COUNTIF('ARDT Cutter Entry'!O63,"*9")),
                    'ARDT Cutter Entry'!O63,
                    'ARDT Cutter Entry'!O113),
                IF(OR(
                    COUNTIF('ARDT Cutter Entry'!O6,"*1"), COUNTIF('ARDT Cutter Entry'!O6,"*2"), COUNTIF('ARDT Cutter Entry'!O6,"*3"),
                    COUNTIF('ARDT Cutter Entry'!O6,"*4"), COUNTIF('ARDT Cutter Entry'!O6,"*5"), COUNTIF('ARDT Cutter Entry'!O6,"*6"),
                    COUNTIF('ARDT Cutter Entry'!O6,"*7"), COUNTIF('ARDT Cutter Entry'!O6,"*8"), COUNTIF('ARDT Cutter Entry'!O6,"*9")),
                    'ARDT Cutter Entry'!O6,
                    'ARDT Cutter Entry'!O45)
            )
        ),
        ""
    ),
    _xlpm.Result, IF(_xlpm.URCheck,
        IF(AY72&lt;&gt;"", AY72, _xlpm.Fallback),
        _xlpm.Fallback
    ),
    _xlpm.Result
)</f>
        <v/>
      </c>
      <c r="P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IF(OR(Data!CE48=0, Data!CE48=""), "", "O"&amp;Data!CE48),
            IF('ARDT Cutter Entry'!$C$111&lt;&gt;"",
                IF(OR(
                    COUNTIF('ARDT Cutter Entry'!P63,"*1"), COUNTIF('ARDT Cutter Entry'!P63,"*2"), COUNTIF('ARDT Cutter Entry'!P63,"*3"),
                    COUNTIF('ARDT Cutter Entry'!P63,"*4"), COUNTIF('ARDT Cutter Entry'!P63,"*5"), COUNTIF('ARDT Cutter Entry'!P63,"*6"),
                    COUNTIF('ARDT Cutter Entry'!P63,"*7"), COUNTIF('ARDT Cutter Entry'!P63,"*8"), COUNTIF('ARDT Cutter Entry'!P63,"*9")),
                    'ARDT Cutter Entry'!P63,
                    'ARDT Cutter Entry'!P113),
                IF(OR(
                    COUNTIF('ARDT Cutter Entry'!P6,"*1"), COUNTIF('ARDT Cutter Entry'!P6,"*2"), COUNTIF('ARDT Cutter Entry'!P6,"*3"),
                    COUNTIF('ARDT Cutter Entry'!P6,"*4"), COUNTIF('ARDT Cutter Entry'!P6,"*5"), COUNTIF('ARDT Cutter Entry'!P6,"*6"),
                    COUNTIF('ARDT Cutter Entry'!P6,"*7"), COUNTIF('ARDT Cutter Entry'!P6,"*8"), COUNTIF('ARDT Cutter Entry'!P6,"*9")),
                    'ARDT Cutter Entry'!P6,
                    'ARDT Cutter Entry'!P45)
            )
        ),
        ""
    ),
    _xlpm.Result, IF(_xlpm.URCheck,
        IF(AZ72&lt;&gt;"", AZ72, _xlpm.Fallback),
        _xlpm.Fallback
    ),
    _xlpm.Result
)</f>
        <v/>
      </c>
      <c r="Q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IF(OR(Data!CF48=0, Data!CF48=""), "", "O"&amp;Data!CF48),
            IF('ARDT Cutter Entry'!$C$111&lt;&gt;"",
                IF(OR(
                    COUNTIF('ARDT Cutter Entry'!Q63,"*1"), COUNTIF('ARDT Cutter Entry'!Q63,"*2"), COUNTIF('ARDT Cutter Entry'!Q63,"*3"),
                    COUNTIF('ARDT Cutter Entry'!Q63,"*4"), COUNTIF('ARDT Cutter Entry'!Q63,"*5"), COUNTIF('ARDT Cutter Entry'!Q63,"*6"),
                    COUNTIF('ARDT Cutter Entry'!Q63,"*7"), COUNTIF('ARDT Cutter Entry'!Q63,"*8"), COUNTIF('ARDT Cutter Entry'!Q63,"*9")),
                    'ARDT Cutter Entry'!Q63,
                    'ARDT Cutter Entry'!Q113),
                IF(OR(
                    COUNTIF('ARDT Cutter Entry'!Q6,"*1"), COUNTIF('ARDT Cutter Entry'!Q6,"*2"), COUNTIF('ARDT Cutter Entry'!Q6,"*3"),
                    COUNTIF('ARDT Cutter Entry'!Q6,"*4"), COUNTIF('ARDT Cutter Entry'!Q6,"*5"), COUNTIF('ARDT Cutter Entry'!Q6,"*6"),
                    COUNTIF('ARDT Cutter Entry'!Q6,"*7"), COUNTIF('ARDT Cutter Entry'!Q6,"*8"), COUNTIF('ARDT Cutter Entry'!Q6,"*9")),
                    'ARDT Cutter Entry'!Q6,
                    'ARDT Cutter Entry'!Q45)
            )
        ),
        ""
    ),
    _xlpm.Result, IF(_xlpm.URCheck,
        IF(BA72&lt;&gt;"", BA72, _xlpm.Fallback),
        _xlpm.Fallback
    ),
    _xlpm.Result
)</f>
        <v/>
      </c>
      <c r="R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IF(OR(Data!CG48=0, Data!CG48=""), "", "O"&amp;Data!CG48),
            IF('ARDT Cutter Entry'!$C$111&lt;&gt;"",
                IF(OR(
                    COUNTIF('ARDT Cutter Entry'!R63,"*1"), COUNTIF('ARDT Cutter Entry'!R63,"*2"), COUNTIF('ARDT Cutter Entry'!R63,"*3"),
                    COUNTIF('ARDT Cutter Entry'!R63,"*4"), COUNTIF('ARDT Cutter Entry'!R63,"*5"), COUNTIF('ARDT Cutter Entry'!R63,"*6"),
                    COUNTIF('ARDT Cutter Entry'!R63,"*7"), COUNTIF('ARDT Cutter Entry'!R63,"*8"), COUNTIF('ARDT Cutter Entry'!R63,"*9")),
                    'ARDT Cutter Entry'!R63,
                    'ARDT Cutter Entry'!R113),
                IF(OR(
                    COUNTIF('ARDT Cutter Entry'!R6,"*1"), COUNTIF('ARDT Cutter Entry'!R6,"*2"), COUNTIF('ARDT Cutter Entry'!R6,"*3"),
                    COUNTIF('ARDT Cutter Entry'!R6,"*4"), COUNTIF('ARDT Cutter Entry'!R6,"*5"), COUNTIF('ARDT Cutter Entry'!R6,"*6"),
                    COUNTIF('ARDT Cutter Entry'!R6,"*7"), COUNTIF('ARDT Cutter Entry'!R6,"*8"), COUNTIF('ARDT Cutter Entry'!R6,"*9")),
                    'ARDT Cutter Entry'!R6,
                    'ARDT Cutter Entry'!R45)
            )
        ),
        ""
    ),
    _xlpm.Result, IF(_xlpm.URCheck,
        IF(BB72&lt;&gt;"", BB72, _xlpm.Fallback),
        _xlpm.Fallback
    ),
    _xlpm.Result
)</f>
        <v/>
      </c>
      <c r="S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IF(OR(Data!CH48=0, Data!CH48=""), "", "O"&amp;Data!CH48),
            IF('ARDT Cutter Entry'!$C$111&lt;&gt;"",
                IF(OR(
                    COUNTIF('ARDT Cutter Entry'!S63,"*1"), COUNTIF('ARDT Cutter Entry'!S63,"*2"), COUNTIF('ARDT Cutter Entry'!S63,"*3"),
                    COUNTIF('ARDT Cutter Entry'!S63,"*4"), COUNTIF('ARDT Cutter Entry'!S63,"*5"), COUNTIF('ARDT Cutter Entry'!S63,"*6"),
                    COUNTIF('ARDT Cutter Entry'!S63,"*7"), COUNTIF('ARDT Cutter Entry'!S63,"*8"), COUNTIF('ARDT Cutter Entry'!S63,"*9")),
                    'ARDT Cutter Entry'!S63,
                    'ARDT Cutter Entry'!S113),
                IF(OR(
                    COUNTIF('ARDT Cutter Entry'!S6,"*1"), COUNTIF('ARDT Cutter Entry'!S6,"*2"), COUNTIF('ARDT Cutter Entry'!S6,"*3"),
                    COUNTIF('ARDT Cutter Entry'!S6,"*4"), COUNTIF('ARDT Cutter Entry'!S6,"*5"), COUNTIF('ARDT Cutter Entry'!S6,"*6"),
                    COUNTIF('ARDT Cutter Entry'!S6,"*7"), COUNTIF('ARDT Cutter Entry'!S6,"*8"), COUNTIF('ARDT Cutter Entry'!S6,"*9")),
                    'ARDT Cutter Entry'!S6,
                    'ARDT Cutter Entry'!S45)
            )
        ),
        ""
    ),
    _xlpm.Result, IF(_xlpm.URCheck,
        IF(BC72&lt;&gt;"", BC72, _xlpm.Fallback),
        _xlpm.Fallback
    ),
    _xlpm.Result
)</f>
        <v/>
      </c>
      <c r="T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IF(OR(Data!CI48=0, Data!CI48=""), "", "O"&amp;Data!CI48),
            IF('ARDT Cutter Entry'!$C$111&lt;&gt;"",
                IF(OR(
                    COUNTIF('ARDT Cutter Entry'!T63,"*1"), COUNTIF('ARDT Cutter Entry'!T63,"*2"), COUNTIF('ARDT Cutter Entry'!T63,"*3"),
                    COUNTIF('ARDT Cutter Entry'!T63,"*4"), COUNTIF('ARDT Cutter Entry'!T63,"*5"), COUNTIF('ARDT Cutter Entry'!T63,"*6"),
                    COUNTIF('ARDT Cutter Entry'!T63,"*7"), COUNTIF('ARDT Cutter Entry'!T63,"*8"), COUNTIF('ARDT Cutter Entry'!T63,"*9")),
                    'ARDT Cutter Entry'!T63,
                    'ARDT Cutter Entry'!T113),
                IF(OR(
                    COUNTIF('ARDT Cutter Entry'!T6,"*1"), COUNTIF('ARDT Cutter Entry'!T6,"*2"), COUNTIF('ARDT Cutter Entry'!T6,"*3"),
                    COUNTIF('ARDT Cutter Entry'!T6,"*4"), COUNTIF('ARDT Cutter Entry'!T6,"*5"), COUNTIF('ARDT Cutter Entry'!T6,"*6"),
                    COUNTIF('ARDT Cutter Entry'!T6,"*7"), COUNTIF('ARDT Cutter Entry'!T6,"*8"), COUNTIF('ARDT Cutter Entry'!T6,"*9")),
                    'ARDT Cutter Entry'!T6,
                    'ARDT Cutter Entry'!T45)
            )
        ),
        ""
    ),
    _xlpm.Result, IF(_xlpm.URCheck,
        IF(BD72&lt;&gt;"", BD72, _xlpm.Fallback),
        _xlpm.Fallback
    ),
    _xlpm.Result
)</f>
        <v/>
      </c>
      <c r="U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IF(OR(Data!CJ48=0, Data!CJ48=""), "", "O"&amp;Data!CJ48),
            IF('ARDT Cutter Entry'!$C$111&lt;&gt;"",
                IF(OR(
                    COUNTIF('ARDT Cutter Entry'!U63,"*1"), COUNTIF('ARDT Cutter Entry'!U63,"*2"), COUNTIF('ARDT Cutter Entry'!U63,"*3"),
                    COUNTIF('ARDT Cutter Entry'!U63,"*4"), COUNTIF('ARDT Cutter Entry'!U63,"*5"), COUNTIF('ARDT Cutter Entry'!U63,"*6"),
                    COUNTIF('ARDT Cutter Entry'!U63,"*7"), COUNTIF('ARDT Cutter Entry'!U63,"*8"), COUNTIF('ARDT Cutter Entry'!U63,"*9")),
                    'ARDT Cutter Entry'!U63,
                    'ARDT Cutter Entry'!U113),
                IF(OR(
                    COUNTIF('ARDT Cutter Entry'!U6,"*1"), COUNTIF('ARDT Cutter Entry'!U6,"*2"), COUNTIF('ARDT Cutter Entry'!U6,"*3"),
                    COUNTIF('ARDT Cutter Entry'!U6,"*4"), COUNTIF('ARDT Cutter Entry'!U6,"*5"), COUNTIF('ARDT Cutter Entry'!U6,"*6"),
                    COUNTIF('ARDT Cutter Entry'!U6,"*7"), COUNTIF('ARDT Cutter Entry'!U6,"*8"), COUNTIF('ARDT Cutter Entry'!U6,"*9")),
                    'ARDT Cutter Entry'!U6,
                    'ARDT Cutter Entry'!U45)
            )
        ),
        ""
    ),
    _xlpm.Result, IF(_xlpm.URCheck,
        IF(BE72&lt;&gt;"", BE72, _xlpm.Fallback),
        _xlpm.Fallback
    ),
    _xlpm.Result
)</f>
        <v/>
      </c>
      <c r="V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IF(OR(Data!CK48=0, Data!CK48=""), "", "O"&amp;Data!CK48),
            IF('ARDT Cutter Entry'!$C$111&lt;&gt;"",
                IF(OR(
                    COUNTIF('ARDT Cutter Entry'!V63,"*1"), COUNTIF('ARDT Cutter Entry'!V63,"*2"), COUNTIF('ARDT Cutter Entry'!V63,"*3"),
                    COUNTIF('ARDT Cutter Entry'!V63,"*4"), COUNTIF('ARDT Cutter Entry'!V63,"*5"), COUNTIF('ARDT Cutter Entry'!V63,"*6"),
                    COUNTIF('ARDT Cutter Entry'!V63,"*7"), COUNTIF('ARDT Cutter Entry'!V63,"*8"), COUNTIF('ARDT Cutter Entry'!V63,"*9")),
                    'ARDT Cutter Entry'!V63,
                    'ARDT Cutter Entry'!V113),
                IF(OR(
                    COUNTIF('ARDT Cutter Entry'!V6,"*1"), COUNTIF('ARDT Cutter Entry'!V6,"*2"), COUNTIF('ARDT Cutter Entry'!V6,"*3"),
                    COUNTIF('ARDT Cutter Entry'!V6,"*4"), COUNTIF('ARDT Cutter Entry'!V6,"*5"), COUNTIF('ARDT Cutter Entry'!V6,"*6"),
                    COUNTIF('ARDT Cutter Entry'!V6,"*7"), COUNTIF('ARDT Cutter Entry'!V6,"*8"), COUNTIF('ARDT Cutter Entry'!V6,"*9")),
                    'ARDT Cutter Entry'!V6,
                    'ARDT Cutter Entry'!V45)
            )
        ),
        ""
    ),
    _xlpm.Result, IF(_xlpm.URCheck,
        IF(BF72&lt;&gt;"", BF72, _xlpm.Fallback),
        _xlpm.Fallback
    ),
    _xlpm.Result
)</f>
        <v/>
      </c>
      <c r="W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IF(OR(Data!CL48=0, Data!CL48=""), "", "O"&amp;Data!CL48),
            IF('ARDT Cutter Entry'!$C$111&lt;&gt;"",
                IF(OR(
                    COUNTIF('ARDT Cutter Entry'!W63,"*1"), COUNTIF('ARDT Cutter Entry'!W63,"*2"), COUNTIF('ARDT Cutter Entry'!W63,"*3"),
                    COUNTIF('ARDT Cutter Entry'!W63,"*4"), COUNTIF('ARDT Cutter Entry'!W63,"*5"), COUNTIF('ARDT Cutter Entry'!W63,"*6"),
                    COUNTIF('ARDT Cutter Entry'!W63,"*7"), COUNTIF('ARDT Cutter Entry'!W63,"*8"), COUNTIF('ARDT Cutter Entry'!W63,"*9")),
                    'ARDT Cutter Entry'!W63,
                    'ARDT Cutter Entry'!W113),
                IF(OR(
                    COUNTIF('ARDT Cutter Entry'!W6,"*1"), COUNTIF('ARDT Cutter Entry'!W6,"*2"), COUNTIF('ARDT Cutter Entry'!W6,"*3"),
                    COUNTIF('ARDT Cutter Entry'!W6,"*4"), COUNTIF('ARDT Cutter Entry'!W6,"*5"), COUNTIF('ARDT Cutter Entry'!W6,"*6"),
                    COUNTIF('ARDT Cutter Entry'!W6,"*7"), COUNTIF('ARDT Cutter Entry'!W6,"*8"), COUNTIF('ARDT Cutter Entry'!W6,"*9")),
                    'ARDT Cutter Entry'!W6,
                    'ARDT Cutter Entry'!W45)
            )
        ),
        ""
    ),
    _xlpm.Result, IF(_xlpm.URCheck,
        IF(BG72&lt;&gt;"", BG72, _xlpm.Fallback),
        _xlpm.Fallback
    ),
    _xlpm.Result
)</f>
        <v/>
      </c>
      <c r="X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IF(OR(Data!CM48=0, Data!CM48=""), "", "O"&amp;Data!CM48),
            IF('ARDT Cutter Entry'!$C$111&lt;&gt;"",
                IF(OR(
                    COUNTIF('ARDT Cutter Entry'!X63,"*1"), COUNTIF('ARDT Cutter Entry'!X63,"*2"), COUNTIF('ARDT Cutter Entry'!X63,"*3"),
                    COUNTIF('ARDT Cutter Entry'!X63,"*4"), COUNTIF('ARDT Cutter Entry'!X63,"*5"), COUNTIF('ARDT Cutter Entry'!X63,"*6"),
                    COUNTIF('ARDT Cutter Entry'!X63,"*7"), COUNTIF('ARDT Cutter Entry'!X63,"*8"), COUNTIF('ARDT Cutter Entry'!X63,"*9")),
                    'ARDT Cutter Entry'!X63,
                    'ARDT Cutter Entry'!X113),
                IF(OR(
                    COUNTIF('ARDT Cutter Entry'!X6,"*1"), COUNTIF('ARDT Cutter Entry'!X6,"*2"), COUNTIF('ARDT Cutter Entry'!X6,"*3"),
                    COUNTIF('ARDT Cutter Entry'!X6,"*4"), COUNTIF('ARDT Cutter Entry'!X6,"*5"), COUNTIF('ARDT Cutter Entry'!X6,"*6"),
                    COUNTIF('ARDT Cutter Entry'!X6,"*7"), COUNTIF('ARDT Cutter Entry'!X6,"*8"), COUNTIF('ARDT Cutter Entry'!X6,"*9")),
                    'ARDT Cutter Entry'!X6,
                    'ARDT Cutter Entry'!X45)
            )
        ),
        ""
    ),
    _xlpm.Result, IF(_xlpm.URCheck,
        IF(BH72&lt;&gt;"", BH72, _xlpm.Fallback),
        _xlpm.Fallback
    ),
    _xlpm.Result
)</f>
        <v/>
      </c>
      <c r="Y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IF(OR(Data!CN48=0, Data!CN48=""), "", "O"&amp;Data!CN48),
            IF('ARDT Cutter Entry'!$C$111&lt;&gt;"",
                IF(OR(
                    COUNTIF('ARDT Cutter Entry'!Y63,"*1"), COUNTIF('ARDT Cutter Entry'!Y63,"*2"), COUNTIF('ARDT Cutter Entry'!Y63,"*3"),
                    COUNTIF('ARDT Cutter Entry'!Y63,"*4"), COUNTIF('ARDT Cutter Entry'!Y63,"*5"), COUNTIF('ARDT Cutter Entry'!Y63,"*6"),
                    COUNTIF('ARDT Cutter Entry'!Y63,"*7"), COUNTIF('ARDT Cutter Entry'!Y63,"*8"), COUNTIF('ARDT Cutter Entry'!Y63,"*9")),
                    'ARDT Cutter Entry'!Y63,
                    'ARDT Cutter Entry'!Y113),
                IF(OR(
                    COUNTIF('ARDT Cutter Entry'!Y6,"*1"), COUNTIF('ARDT Cutter Entry'!Y6,"*2"), COUNTIF('ARDT Cutter Entry'!Y6,"*3"),
                    COUNTIF('ARDT Cutter Entry'!Y6,"*4"), COUNTIF('ARDT Cutter Entry'!Y6,"*5"), COUNTIF('ARDT Cutter Entry'!Y6,"*6"),
                    COUNTIF('ARDT Cutter Entry'!Y6,"*7"), COUNTIF('ARDT Cutter Entry'!Y6,"*8"), COUNTIF('ARDT Cutter Entry'!Y6,"*9")),
                    'ARDT Cutter Entry'!Y6,
                    'ARDT Cutter Entry'!Y45)
            )
        ),
        ""
    ),
    _xlpm.Result, IF(_xlpm.URCheck,
        IF(BI72&lt;&gt;"", BI72, _xlpm.Fallback),
        _xlpm.Fallback
    ),
    _xlpm.Result
)</f>
        <v/>
      </c>
      <c r="Z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IF(OR(Data!CO48=0, Data!CO48=""), "", "O"&amp;Data!CO48),
            IF('ARDT Cutter Entry'!$C$111&lt;&gt;"",
                IF(OR(
                    COUNTIF('ARDT Cutter Entry'!Z63,"*1"), COUNTIF('ARDT Cutter Entry'!Z63,"*2"), COUNTIF('ARDT Cutter Entry'!Z63,"*3"),
                    COUNTIF('ARDT Cutter Entry'!Z63,"*4"), COUNTIF('ARDT Cutter Entry'!Z63,"*5"), COUNTIF('ARDT Cutter Entry'!Z63,"*6"),
                    COUNTIF('ARDT Cutter Entry'!Z63,"*7"), COUNTIF('ARDT Cutter Entry'!Z63,"*8"), COUNTIF('ARDT Cutter Entry'!Z63,"*9")),
                    'ARDT Cutter Entry'!Z63,
                    'ARDT Cutter Entry'!Z113),
                IF(OR(
                    COUNTIF('ARDT Cutter Entry'!Z6,"*1"), COUNTIF('ARDT Cutter Entry'!Z6,"*2"), COUNTIF('ARDT Cutter Entry'!Z6,"*3"),
                    COUNTIF('ARDT Cutter Entry'!Z6,"*4"), COUNTIF('ARDT Cutter Entry'!Z6,"*5"), COUNTIF('ARDT Cutter Entry'!Z6,"*6"),
                    COUNTIF('ARDT Cutter Entry'!Z6,"*7"), COUNTIF('ARDT Cutter Entry'!Z6,"*8"), COUNTIF('ARDT Cutter Entry'!Z6,"*9")),
                    'ARDT Cutter Entry'!Z6,
                    'ARDT Cutter Entry'!Z45)
            )
        ),
        ""
    ),
    _xlpm.Result, IF(_xlpm.URCheck,
        IF(BJ72&lt;&gt;"", BJ72, _xlpm.Fallback),
        _xlpm.Fallback
    ),
    _xlpm.Result
)</f>
        <v/>
      </c>
      <c r="AA19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IF(OR(Data!CP48=0, Data!CP48=""), "", "O"&amp;Data!CP48),
            IF('ARDT Cutter Entry'!$C$111&lt;&gt;"",
                IF(OR(
                    COUNTIF('ARDT Cutter Entry'!AA63,"*1"), COUNTIF('ARDT Cutter Entry'!AA63,"*2"), COUNTIF('ARDT Cutter Entry'!AA63,"*3"),
                    COUNTIF('ARDT Cutter Entry'!AA63,"*4"), COUNTIF('ARDT Cutter Entry'!AA63,"*5"), COUNTIF('ARDT Cutter Entry'!AA63,"*6"),
                    COUNTIF('ARDT Cutter Entry'!AA63,"*7"), COUNTIF('ARDT Cutter Entry'!AA63,"*8"), COUNTIF('ARDT Cutter Entry'!AA63,"*9")),
                    'ARDT Cutter Entry'!AA63,
                    'ARDT Cutter Entry'!AA113),
                IF(OR(
                    COUNTIF('ARDT Cutter Entry'!AA6,"*1"), COUNTIF('ARDT Cutter Entry'!AA6,"*2"), COUNTIF('ARDT Cutter Entry'!AA6,"*3"),
                    COUNTIF('ARDT Cutter Entry'!AA6,"*4"), COUNTIF('ARDT Cutter Entry'!AA6,"*5"), COUNTIF('ARDT Cutter Entry'!AA6,"*6"),
                    COUNTIF('ARDT Cutter Entry'!AA6,"*7"), COUNTIF('ARDT Cutter Entry'!AA6,"*8"), COUNTIF('ARDT Cutter Entry'!AA6,"*9")),
                    'ARDT Cutter Entry'!AA6,
                    'ARDT Cutter Entry'!AA45)
            )
        ),
        ""
    ),
    _xlpm.Result, IF(_xlpm.URCheck,
        IF(BK72&lt;&gt;"", BK72, _xlpm.Fallback),
        _xlpm.Fallback
    ),
    _xlpm.Result
)</f>
        <v/>
      </c>
    </row>
    <row r="20" spans="1:27" ht="18.75" customHeight="1" x14ac:dyDescent="0.35">
      <c r="A20" s="1423"/>
      <c r="B20" s="396">
        <v>4</v>
      </c>
      <c r="C20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IF(OR(Data!BR49=0, Data!BR49=""), "", "O"&amp;Data!BR49),
            IF('ARDT Cutter Entry'!$C$111&lt;&gt;"",
                IF(OR(
                    COUNTIF('ARDT Cutter Entry'!C64,"*1"), COUNTIF('ARDT Cutter Entry'!C64,"*2"), COUNTIF('ARDT Cutter Entry'!C64,"*3"),
                    COUNTIF('ARDT Cutter Entry'!C64,"*4"), COUNTIF('ARDT Cutter Entry'!C64,"*5"), COUNTIF('ARDT Cutter Entry'!C64,"*6"),
                    COUNTIF('ARDT Cutter Entry'!C64,"*7"), COUNTIF('ARDT Cutter Entry'!C64,"*8"), COUNTIF('ARDT Cutter Entry'!C64,"*9")),
                    'ARDT Cutter Entry'!C64,
                    'ARDT Cutter Entry'!C114),
                IF(OR(
                    COUNTIF('ARDT Cutter Entry'!C7,"*1"), COUNTIF('ARDT Cutter Entry'!C7,"*2"), COUNTIF('ARDT Cutter Entry'!C7,"*3"),
                    COUNTIF('ARDT Cutter Entry'!C7,"*4"), COUNTIF('ARDT Cutter Entry'!C7,"*5"), COUNTIF('ARDT Cutter Entry'!C7,"*6"),
                    COUNTIF('ARDT Cutter Entry'!C7,"*7"), COUNTIF('ARDT Cutter Entry'!C7,"*8"), COUNTIF('ARDT Cutter Entry'!C7,"*9")),
                    'ARDT Cutter Entry'!C7,
                    'ARDT Cutter Entry'!C46)
            )
        ),
        ""
    ),
    _xlpm.Result, IF(_xlpm.URCheck,
        IF(AM73&lt;&gt;"", AM73, _xlpm.Fallback),
        _xlpm.Fallback
    ),
    _xlpm.Result
)</f>
        <v>X5</v>
      </c>
      <c r="D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IF(OR(Data!BS49=0, Data!BS49=""), "", "O"&amp;Data!BS49),
            IF('ARDT Cutter Entry'!$C$111&lt;&gt;"",
                IF(OR(
                    COUNTIF('ARDT Cutter Entry'!D64,"*1"), COUNTIF('ARDT Cutter Entry'!D64,"*2"), COUNTIF('ARDT Cutter Entry'!D64,"*3"),
                    COUNTIF('ARDT Cutter Entry'!D64,"*4"), COUNTIF('ARDT Cutter Entry'!D64,"*5"), COUNTIF('ARDT Cutter Entry'!D64,"*6"),
                    COUNTIF('ARDT Cutter Entry'!D64,"*7"), COUNTIF('ARDT Cutter Entry'!D64,"*8"), COUNTIF('ARDT Cutter Entry'!D64,"*9")),
                    'ARDT Cutter Entry'!D64,
                    'ARDT Cutter Entry'!D114),
                IF(OR(
                    COUNTIF('ARDT Cutter Entry'!D7,"*1"), COUNTIF('ARDT Cutter Entry'!D7,"*2"), COUNTIF('ARDT Cutter Entry'!D7,"*3"),
                    COUNTIF('ARDT Cutter Entry'!D7,"*4"), COUNTIF('ARDT Cutter Entry'!D7,"*5"), COUNTIF('ARDT Cutter Entry'!D7,"*6"),
                    COUNTIF('ARDT Cutter Entry'!D7,"*7"), COUNTIF('ARDT Cutter Entry'!D7,"*8"), COUNTIF('ARDT Cutter Entry'!D7,"*9")),
                    'ARDT Cutter Entry'!D7,
                    'ARDT Cutter Entry'!D46)
            )
        ),
        ""
    ),
    _xlpm.Result, IF(_xlpm.URCheck,
        IF(AN73&lt;&gt;"", AN73, _xlpm.Fallback),
        _xlpm.Fallback
    ),
    _xlpm.Result
)</f>
        <v>X5</v>
      </c>
      <c r="E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IF(OR(Data!BT49=0, Data!BT49=""), "", "O"&amp;Data!BT49),
            IF('ARDT Cutter Entry'!$C$111&lt;&gt;"",
                IF(OR(
                    COUNTIF('ARDT Cutter Entry'!E64,"*1"), COUNTIF('ARDT Cutter Entry'!E64,"*2"), COUNTIF('ARDT Cutter Entry'!E64,"*3"),
                    COUNTIF('ARDT Cutter Entry'!E64,"*4"), COUNTIF('ARDT Cutter Entry'!E64,"*5"), COUNTIF('ARDT Cutter Entry'!E64,"*6"),
                    COUNTIF('ARDT Cutter Entry'!E64,"*7"), COUNTIF('ARDT Cutter Entry'!E64,"*8"), COUNTIF('ARDT Cutter Entry'!E64,"*9")),
                    'ARDT Cutter Entry'!E64,
                    'ARDT Cutter Entry'!E114),
                IF(OR(
                    COUNTIF('ARDT Cutter Entry'!E7,"*1"), COUNTIF('ARDT Cutter Entry'!E7,"*2"), COUNTIF('ARDT Cutter Entry'!E7,"*3"),
                    COUNTIF('ARDT Cutter Entry'!E7,"*4"), COUNTIF('ARDT Cutter Entry'!E7,"*5"), COUNTIF('ARDT Cutter Entry'!E7,"*6"),
                    COUNTIF('ARDT Cutter Entry'!E7,"*7"), COUNTIF('ARDT Cutter Entry'!E7,"*8"), COUNTIF('ARDT Cutter Entry'!E7,"*9")),
                    'ARDT Cutter Entry'!E7,
                    'ARDT Cutter Entry'!E46)
            )
        ),
        ""
    ),
    _xlpm.Result, IF(_xlpm.URCheck,
        IF(AO73&lt;&gt;"", AO73, _xlpm.Fallback),
        _xlpm.Fallback
    ),
    _xlpm.Result
)</f>
        <v>X5</v>
      </c>
      <c r="F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IF(OR(Data!BU49=0, Data!BU49=""), "", "O"&amp;Data!BU49),
            IF('ARDT Cutter Entry'!$C$111&lt;&gt;"",
                IF(OR(
                    COUNTIF('ARDT Cutter Entry'!F64,"*1"), COUNTIF('ARDT Cutter Entry'!F64,"*2"), COUNTIF('ARDT Cutter Entry'!F64,"*3"),
                    COUNTIF('ARDT Cutter Entry'!F64,"*4"), COUNTIF('ARDT Cutter Entry'!F64,"*5"), COUNTIF('ARDT Cutter Entry'!F64,"*6"),
                    COUNTIF('ARDT Cutter Entry'!F64,"*7"), COUNTIF('ARDT Cutter Entry'!F64,"*8"), COUNTIF('ARDT Cutter Entry'!F64,"*9")),
                    'ARDT Cutter Entry'!F64,
                    'ARDT Cutter Entry'!F114),
                IF(OR(
                    COUNTIF('ARDT Cutter Entry'!F7,"*1"), COUNTIF('ARDT Cutter Entry'!F7,"*2"), COUNTIF('ARDT Cutter Entry'!F7,"*3"),
                    COUNTIF('ARDT Cutter Entry'!F7,"*4"), COUNTIF('ARDT Cutter Entry'!F7,"*5"), COUNTIF('ARDT Cutter Entry'!F7,"*6"),
                    COUNTIF('ARDT Cutter Entry'!F7,"*7"), COUNTIF('ARDT Cutter Entry'!F7,"*8"), COUNTIF('ARDT Cutter Entry'!F7,"*9")),
                    'ARDT Cutter Entry'!F7,
                    'ARDT Cutter Entry'!F46)
            )
        ),
        ""
    ),
    _xlpm.Result, IF(_xlpm.URCheck,
        IF(AP73&lt;&gt;"", AP73, _xlpm.Fallback),
        _xlpm.Fallback
    ),
    _xlpm.Result
)</f>
        <v>X5</v>
      </c>
      <c r="G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IF(OR(Data!BV49=0, Data!BV49=""), "", "O"&amp;Data!BV49),
            IF('ARDT Cutter Entry'!$C$111&lt;&gt;"",
                IF(OR(
                    COUNTIF('ARDT Cutter Entry'!G64,"*1"), COUNTIF('ARDT Cutter Entry'!G64,"*2"), COUNTIF('ARDT Cutter Entry'!G64,"*3"),
                    COUNTIF('ARDT Cutter Entry'!G64,"*4"), COUNTIF('ARDT Cutter Entry'!G64,"*5"), COUNTIF('ARDT Cutter Entry'!G64,"*6"),
                    COUNTIF('ARDT Cutter Entry'!G64,"*7"), COUNTIF('ARDT Cutter Entry'!G64,"*8"), COUNTIF('ARDT Cutter Entry'!G64,"*9")),
                    'ARDT Cutter Entry'!G64,
                    'ARDT Cutter Entry'!G114),
                IF(OR(
                    COUNTIF('ARDT Cutter Entry'!G7,"*1"), COUNTIF('ARDT Cutter Entry'!G7,"*2"), COUNTIF('ARDT Cutter Entry'!G7,"*3"),
                    COUNTIF('ARDT Cutter Entry'!G7,"*4"), COUNTIF('ARDT Cutter Entry'!G7,"*5"), COUNTIF('ARDT Cutter Entry'!G7,"*6"),
                    COUNTIF('ARDT Cutter Entry'!G7,"*7"), COUNTIF('ARDT Cutter Entry'!G7,"*8"), COUNTIF('ARDT Cutter Entry'!G7,"*9")),
                    'ARDT Cutter Entry'!G7,
                    'ARDT Cutter Entry'!G46)
            )
        ),
        ""
    ),
    _xlpm.Result, IF(_xlpm.URCheck,
        IF(AQ73&lt;&gt;"", AQ73, _xlpm.Fallback),
        _xlpm.Fallback
    ),
    _xlpm.Result
)</f>
        <v>R1</v>
      </c>
      <c r="H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IF(OR(Data!BW49=0, Data!BW49=""), "", "O"&amp;Data!BW49),
            IF('ARDT Cutter Entry'!$C$111&lt;&gt;"",
                IF(OR(
                    COUNTIF('ARDT Cutter Entry'!H64,"*1"), COUNTIF('ARDT Cutter Entry'!H64,"*2"), COUNTIF('ARDT Cutter Entry'!H64,"*3"),
                    COUNTIF('ARDT Cutter Entry'!H64,"*4"), COUNTIF('ARDT Cutter Entry'!H64,"*5"), COUNTIF('ARDT Cutter Entry'!H64,"*6"),
                    COUNTIF('ARDT Cutter Entry'!H64,"*7"), COUNTIF('ARDT Cutter Entry'!H64,"*8"), COUNTIF('ARDT Cutter Entry'!H64,"*9")),
                    'ARDT Cutter Entry'!H64,
                    'ARDT Cutter Entry'!H114),
                IF(OR(
                    COUNTIF('ARDT Cutter Entry'!H7,"*1"), COUNTIF('ARDT Cutter Entry'!H7,"*2"), COUNTIF('ARDT Cutter Entry'!H7,"*3"),
                    COUNTIF('ARDT Cutter Entry'!H7,"*4"), COUNTIF('ARDT Cutter Entry'!H7,"*5"), COUNTIF('ARDT Cutter Entry'!H7,"*6"),
                    COUNTIF('ARDT Cutter Entry'!H7,"*7"), COUNTIF('ARDT Cutter Entry'!H7,"*8"), COUNTIF('ARDT Cutter Entry'!H7,"*9")),
                    'ARDT Cutter Entry'!H7,
                    'ARDT Cutter Entry'!H46)
            )
        ),
        ""
    ),
    _xlpm.Result, IF(_xlpm.URCheck,
        IF(AR73&lt;&gt;"", AR73, _xlpm.Fallback),
        _xlpm.Fallback
    ),
    _xlpm.Result
)</f>
        <v>X3</v>
      </c>
      <c r="I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IF(OR(Data!BX49=0, Data!BX49=""), "", "O"&amp;Data!BX49),
            IF('ARDT Cutter Entry'!$C$111&lt;&gt;"",
                IF(OR(
                    COUNTIF('ARDT Cutter Entry'!I64,"*1"), COUNTIF('ARDT Cutter Entry'!I64,"*2"), COUNTIF('ARDT Cutter Entry'!I64,"*3"),
                    COUNTIF('ARDT Cutter Entry'!I64,"*4"), COUNTIF('ARDT Cutter Entry'!I64,"*5"), COUNTIF('ARDT Cutter Entry'!I64,"*6"),
                    COUNTIF('ARDT Cutter Entry'!I64,"*7"), COUNTIF('ARDT Cutter Entry'!I64,"*8"), COUNTIF('ARDT Cutter Entry'!I64,"*9")),
                    'ARDT Cutter Entry'!I64,
                    'ARDT Cutter Entry'!I114),
                IF(OR(
                    COUNTIF('ARDT Cutter Entry'!I7,"*1"), COUNTIF('ARDT Cutter Entry'!I7,"*2"), COUNTIF('ARDT Cutter Entry'!I7,"*3"),
                    COUNTIF('ARDT Cutter Entry'!I7,"*4"), COUNTIF('ARDT Cutter Entry'!I7,"*5"), COUNTIF('ARDT Cutter Entry'!I7,"*6"),
                    COUNTIF('ARDT Cutter Entry'!I7,"*7"), COUNTIF('ARDT Cutter Entry'!I7,"*8"), COUNTIF('ARDT Cutter Entry'!I7,"*9")),
                    'ARDT Cutter Entry'!I7,
                    'ARDT Cutter Entry'!I46)
            )
        ),
        ""
    ),
    _xlpm.Result, IF(_xlpm.URCheck,
        IF(AS73&lt;&gt;"", AS73, _xlpm.Fallback),
        _xlpm.Fallback
    ),
    _xlpm.Result
)</f>
        <v/>
      </c>
      <c r="J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IF(OR(Data!BY49=0, Data!BY49=""), "", "O"&amp;Data!BY49),
            IF('ARDT Cutter Entry'!$C$111&lt;&gt;"",
                IF(OR(
                    COUNTIF('ARDT Cutter Entry'!J64,"*1"), COUNTIF('ARDT Cutter Entry'!J64,"*2"), COUNTIF('ARDT Cutter Entry'!J64,"*3"),
                    COUNTIF('ARDT Cutter Entry'!J64,"*4"), COUNTIF('ARDT Cutter Entry'!J64,"*5"), COUNTIF('ARDT Cutter Entry'!J64,"*6"),
                    COUNTIF('ARDT Cutter Entry'!J64,"*7"), COUNTIF('ARDT Cutter Entry'!J64,"*8"), COUNTIF('ARDT Cutter Entry'!J64,"*9")),
                    'ARDT Cutter Entry'!J64,
                    'ARDT Cutter Entry'!J114),
                IF(OR(
                    COUNTIF('ARDT Cutter Entry'!J7,"*1"), COUNTIF('ARDT Cutter Entry'!J7,"*2"), COUNTIF('ARDT Cutter Entry'!J7,"*3"),
                    COUNTIF('ARDT Cutter Entry'!J7,"*4"), COUNTIF('ARDT Cutter Entry'!J7,"*5"), COUNTIF('ARDT Cutter Entry'!J7,"*6"),
                    COUNTIF('ARDT Cutter Entry'!J7,"*7"), COUNTIF('ARDT Cutter Entry'!J7,"*8"), COUNTIF('ARDT Cutter Entry'!J7,"*9")),
                    'ARDT Cutter Entry'!J7,
                    'ARDT Cutter Entry'!J46)
            )
        ),
        ""
    ),
    _xlpm.Result, IF(_xlpm.URCheck,
        IF(AT73&lt;&gt;"", AT73, _xlpm.Fallback),
        _xlpm.Fallback
    ),
    _xlpm.Result
)</f>
        <v/>
      </c>
      <c r="K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IF(OR(Data!BZ49=0, Data!BZ49=""), "", "O"&amp;Data!BZ49),
            IF('ARDT Cutter Entry'!$C$111&lt;&gt;"",
                IF(OR(
                    COUNTIF('ARDT Cutter Entry'!K64,"*1"), COUNTIF('ARDT Cutter Entry'!K64,"*2"), COUNTIF('ARDT Cutter Entry'!K64,"*3"),
                    COUNTIF('ARDT Cutter Entry'!K64,"*4"), COUNTIF('ARDT Cutter Entry'!K64,"*5"), COUNTIF('ARDT Cutter Entry'!K64,"*6"),
                    COUNTIF('ARDT Cutter Entry'!K64,"*7"), COUNTIF('ARDT Cutter Entry'!K64,"*8"), COUNTIF('ARDT Cutter Entry'!K64,"*9")),
                    'ARDT Cutter Entry'!K64,
                    'ARDT Cutter Entry'!K114),
                IF(OR(
                    COUNTIF('ARDT Cutter Entry'!K7,"*1"), COUNTIF('ARDT Cutter Entry'!K7,"*2"), COUNTIF('ARDT Cutter Entry'!K7,"*3"),
                    COUNTIF('ARDT Cutter Entry'!K7,"*4"), COUNTIF('ARDT Cutter Entry'!K7,"*5"), COUNTIF('ARDT Cutter Entry'!K7,"*6"),
                    COUNTIF('ARDT Cutter Entry'!K7,"*7"), COUNTIF('ARDT Cutter Entry'!K7,"*8"), COUNTIF('ARDT Cutter Entry'!K7,"*9")),
                    'ARDT Cutter Entry'!K7,
                    'ARDT Cutter Entry'!K46)
            )
        ),
        ""
    ),
    _xlpm.Result, IF(_xlpm.URCheck,
        IF(AU73&lt;&gt;"", AU73, _xlpm.Fallback),
        _xlpm.Fallback
    ),
    _xlpm.Result
)</f>
        <v/>
      </c>
      <c r="L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IF(OR(Data!CA49=0, Data!CA49=""), "", "O"&amp;Data!CA49),
            IF('ARDT Cutter Entry'!$C$111&lt;&gt;"",
                IF(OR(
                    COUNTIF('ARDT Cutter Entry'!L64,"*1"), COUNTIF('ARDT Cutter Entry'!L64,"*2"), COUNTIF('ARDT Cutter Entry'!L64,"*3"),
                    COUNTIF('ARDT Cutter Entry'!L64,"*4"), COUNTIF('ARDT Cutter Entry'!L64,"*5"), COUNTIF('ARDT Cutter Entry'!L64,"*6"),
                    COUNTIF('ARDT Cutter Entry'!L64,"*7"), COUNTIF('ARDT Cutter Entry'!L64,"*8"), COUNTIF('ARDT Cutter Entry'!L64,"*9")),
                    'ARDT Cutter Entry'!L64,
                    'ARDT Cutter Entry'!L114),
                IF(OR(
                    COUNTIF('ARDT Cutter Entry'!L7,"*1"), COUNTIF('ARDT Cutter Entry'!L7,"*2"), COUNTIF('ARDT Cutter Entry'!L7,"*3"),
                    COUNTIF('ARDT Cutter Entry'!L7,"*4"), COUNTIF('ARDT Cutter Entry'!L7,"*5"), COUNTIF('ARDT Cutter Entry'!L7,"*6"),
                    COUNTIF('ARDT Cutter Entry'!L7,"*7"), COUNTIF('ARDT Cutter Entry'!L7,"*8"), COUNTIF('ARDT Cutter Entry'!L7,"*9")),
                    'ARDT Cutter Entry'!L7,
                    'ARDT Cutter Entry'!L46)
            )
        ),
        ""
    ),
    _xlpm.Result, IF(_xlpm.URCheck,
        IF(AV73&lt;&gt;"", AV73, _xlpm.Fallback),
        _xlpm.Fallback
    ),
    _xlpm.Result
)</f>
        <v>R2</v>
      </c>
      <c r="M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IF(OR(Data!CB49=0, Data!CB49=""), "", "O"&amp;Data!CB49),
            IF('ARDT Cutter Entry'!$C$111&lt;&gt;"",
                IF(OR(
                    COUNTIF('ARDT Cutter Entry'!M64,"*1"), COUNTIF('ARDT Cutter Entry'!M64,"*2"), COUNTIF('ARDT Cutter Entry'!M64,"*3"),
                    COUNTIF('ARDT Cutter Entry'!M64,"*4"), COUNTIF('ARDT Cutter Entry'!M64,"*5"), COUNTIF('ARDT Cutter Entry'!M64,"*6"),
                    COUNTIF('ARDT Cutter Entry'!M64,"*7"), COUNTIF('ARDT Cutter Entry'!M64,"*8"), COUNTIF('ARDT Cutter Entry'!M64,"*9")),
                    'ARDT Cutter Entry'!M64,
                    'ARDT Cutter Entry'!M114),
                IF(OR(
                    COUNTIF('ARDT Cutter Entry'!M7,"*1"), COUNTIF('ARDT Cutter Entry'!M7,"*2"), COUNTIF('ARDT Cutter Entry'!M7,"*3"),
                    COUNTIF('ARDT Cutter Entry'!M7,"*4"), COUNTIF('ARDT Cutter Entry'!M7,"*5"), COUNTIF('ARDT Cutter Entry'!M7,"*6"),
                    COUNTIF('ARDT Cutter Entry'!M7,"*7"), COUNTIF('ARDT Cutter Entry'!M7,"*8"), COUNTIF('ARDT Cutter Entry'!M7,"*9")),
                    'ARDT Cutter Entry'!M7,
                    'ARDT Cutter Entry'!M46)
            )
        ),
        ""
    ),
    _xlpm.Result, IF(_xlpm.URCheck,
        IF(AW73&lt;&gt;"", AW73, _xlpm.Fallback),
        _xlpm.Fallback
    ),
    _xlpm.Result
)</f>
        <v>R2</v>
      </c>
      <c r="N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IF(OR(Data!CC49=0, Data!CC49=""), "", "O"&amp;Data!CC49),
            IF('ARDT Cutter Entry'!$C$111&lt;&gt;"",
                IF(OR(
                    COUNTIF('ARDT Cutter Entry'!N64,"*1"), COUNTIF('ARDT Cutter Entry'!N64,"*2"), COUNTIF('ARDT Cutter Entry'!N64,"*3"),
                    COUNTIF('ARDT Cutter Entry'!N64,"*4"), COUNTIF('ARDT Cutter Entry'!N64,"*5"), COUNTIF('ARDT Cutter Entry'!N64,"*6"),
                    COUNTIF('ARDT Cutter Entry'!N64,"*7"), COUNTIF('ARDT Cutter Entry'!N64,"*8"), COUNTIF('ARDT Cutter Entry'!N64,"*9")),
                    'ARDT Cutter Entry'!N64,
                    'ARDT Cutter Entry'!N114),
                IF(OR(
                    COUNTIF('ARDT Cutter Entry'!N7,"*1"), COUNTIF('ARDT Cutter Entry'!N7,"*2"), COUNTIF('ARDT Cutter Entry'!N7,"*3"),
                    COUNTIF('ARDT Cutter Entry'!N7,"*4"), COUNTIF('ARDT Cutter Entry'!N7,"*5"), COUNTIF('ARDT Cutter Entry'!N7,"*6"),
                    COUNTIF('ARDT Cutter Entry'!N7,"*7"), COUNTIF('ARDT Cutter Entry'!N7,"*8"), COUNTIF('ARDT Cutter Entry'!N7,"*9")),
                    'ARDT Cutter Entry'!N7,
                    'ARDT Cutter Entry'!N46)
            )
        ),
        ""
    ),
    _xlpm.Result, IF(_xlpm.URCheck,
        IF(AX73&lt;&gt;"", AX73, _xlpm.Fallback),
        _xlpm.Fallback
    ),
    _xlpm.Result
)</f>
        <v>R2</v>
      </c>
      <c r="O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IF(OR(Data!CD49=0, Data!CD49=""), "", "O"&amp;Data!CD49),
            IF('ARDT Cutter Entry'!$C$111&lt;&gt;"",
                IF(OR(
                    COUNTIF('ARDT Cutter Entry'!O64,"*1"), COUNTIF('ARDT Cutter Entry'!O64,"*2"), COUNTIF('ARDT Cutter Entry'!O64,"*3"),
                    COUNTIF('ARDT Cutter Entry'!O64,"*4"), COUNTIF('ARDT Cutter Entry'!O64,"*5"), COUNTIF('ARDT Cutter Entry'!O64,"*6"),
                    COUNTIF('ARDT Cutter Entry'!O64,"*7"), COUNTIF('ARDT Cutter Entry'!O64,"*8"), COUNTIF('ARDT Cutter Entry'!O64,"*9")),
                    'ARDT Cutter Entry'!O64,
                    'ARDT Cutter Entry'!O114),
                IF(OR(
                    COUNTIF('ARDT Cutter Entry'!O7,"*1"), COUNTIF('ARDT Cutter Entry'!O7,"*2"), COUNTIF('ARDT Cutter Entry'!O7,"*3"),
                    COUNTIF('ARDT Cutter Entry'!O7,"*4"), COUNTIF('ARDT Cutter Entry'!O7,"*5"), COUNTIF('ARDT Cutter Entry'!O7,"*6"),
                    COUNTIF('ARDT Cutter Entry'!O7,"*7"), COUNTIF('ARDT Cutter Entry'!O7,"*8"), COUNTIF('ARDT Cutter Entry'!O7,"*9")),
                    'ARDT Cutter Entry'!O7,
                    'ARDT Cutter Entry'!O46)
            )
        ),
        ""
    ),
    _xlpm.Result, IF(_xlpm.URCheck,
        IF(AY73&lt;&gt;"", AY73, _xlpm.Fallback),
        _xlpm.Fallback
    ),
    _xlpm.Result
)</f>
        <v>S2</v>
      </c>
      <c r="P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IF(OR(Data!CE49=0, Data!CE49=""), "", "O"&amp;Data!CE49),
            IF('ARDT Cutter Entry'!$C$111&lt;&gt;"",
                IF(OR(
                    COUNTIF('ARDT Cutter Entry'!P64,"*1"), COUNTIF('ARDT Cutter Entry'!P64,"*2"), COUNTIF('ARDT Cutter Entry'!P64,"*3"),
                    COUNTIF('ARDT Cutter Entry'!P64,"*4"), COUNTIF('ARDT Cutter Entry'!P64,"*5"), COUNTIF('ARDT Cutter Entry'!P64,"*6"),
                    COUNTIF('ARDT Cutter Entry'!P64,"*7"), COUNTIF('ARDT Cutter Entry'!P64,"*8"), COUNTIF('ARDT Cutter Entry'!P64,"*9")),
                    'ARDT Cutter Entry'!P64,
                    'ARDT Cutter Entry'!P114),
                IF(OR(
                    COUNTIF('ARDT Cutter Entry'!P7,"*1"), COUNTIF('ARDT Cutter Entry'!P7,"*2"), COUNTIF('ARDT Cutter Entry'!P7,"*3"),
                    COUNTIF('ARDT Cutter Entry'!P7,"*4"), COUNTIF('ARDT Cutter Entry'!P7,"*5"), COUNTIF('ARDT Cutter Entry'!P7,"*6"),
                    COUNTIF('ARDT Cutter Entry'!P7,"*7"), COUNTIF('ARDT Cutter Entry'!P7,"*8"), COUNTIF('ARDT Cutter Entry'!P7,"*9")),
                    'ARDT Cutter Entry'!P7,
                    'ARDT Cutter Entry'!P46)
            )
        ),
        ""
    ),
    _xlpm.Result, IF(_xlpm.URCheck,
        IF(AZ73&lt;&gt;"", AZ73, _xlpm.Fallback),
        _xlpm.Fallback
    ),
    _xlpm.Result
)</f>
        <v/>
      </c>
      <c r="Q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IF(OR(Data!CF49=0, Data!CF49=""), "", "O"&amp;Data!CF49),
            IF('ARDT Cutter Entry'!$C$111&lt;&gt;"",
                IF(OR(
                    COUNTIF('ARDT Cutter Entry'!Q64,"*1"), COUNTIF('ARDT Cutter Entry'!Q64,"*2"), COUNTIF('ARDT Cutter Entry'!Q64,"*3"),
                    COUNTIF('ARDT Cutter Entry'!Q64,"*4"), COUNTIF('ARDT Cutter Entry'!Q64,"*5"), COUNTIF('ARDT Cutter Entry'!Q64,"*6"),
                    COUNTIF('ARDT Cutter Entry'!Q64,"*7"), COUNTIF('ARDT Cutter Entry'!Q64,"*8"), COUNTIF('ARDT Cutter Entry'!Q64,"*9")),
                    'ARDT Cutter Entry'!Q64,
                    'ARDT Cutter Entry'!Q114),
                IF(OR(
                    COUNTIF('ARDT Cutter Entry'!Q7,"*1"), COUNTIF('ARDT Cutter Entry'!Q7,"*2"), COUNTIF('ARDT Cutter Entry'!Q7,"*3"),
                    COUNTIF('ARDT Cutter Entry'!Q7,"*4"), COUNTIF('ARDT Cutter Entry'!Q7,"*5"), COUNTIF('ARDT Cutter Entry'!Q7,"*6"),
                    COUNTIF('ARDT Cutter Entry'!Q7,"*7"), COUNTIF('ARDT Cutter Entry'!Q7,"*8"), COUNTIF('ARDT Cutter Entry'!Q7,"*9")),
                    'ARDT Cutter Entry'!Q7,
                    'ARDT Cutter Entry'!Q46)
            )
        ),
        ""
    ),
    _xlpm.Result, IF(_xlpm.URCheck,
        IF(BA73&lt;&gt;"", BA73, _xlpm.Fallback),
        _xlpm.Fallback
    ),
    _xlpm.Result
)</f>
        <v/>
      </c>
      <c r="R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IF(OR(Data!CG49=0, Data!CG49=""), "", "O"&amp;Data!CG49),
            IF('ARDT Cutter Entry'!$C$111&lt;&gt;"",
                IF(OR(
                    COUNTIF('ARDT Cutter Entry'!R64,"*1"), COUNTIF('ARDT Cutter Entry'!R64,"*2"), COUNTIF('ARDT Cutter Entry'!R64,"*3"),
                    COUNTIF('ARDT Cutter Entry'!R64,"*4"), COUNTIF('ARDT Cutter Entry'!R64,"*5"), COUNTIF('ARDT Cutter Entry'!R64,"*6"),
                    COUNTIF('ARDT Cutter Entry'!R64,"*7"), COUNTIF('ARDT Cutter Entry'!R64,"*8"), COUNTIF('ARDT Cutter Entry'!R64,"*9")),
                    'ARDT Cutter Entry'!R64,
                    'ARDT Cutter Entry'!R114),
                IF(OR(
                    COUNTIF('ARDT Cutter Entry'!R7,"*1"), COUNTIF('ARDT Cutter Entry'!R7,"*2"), COUNTIF('ARDT Cutter Entry'!R7,"*3"),
                    COUNTIF('ARDT Cutter Entry'!R7,"*4"), COUNTIF('ARDT Cutter Entry'!R7,"*5"), COUNTIF('ARDT Cutter Entry'!R7,"*6"),
                    COUNTIF('ARDT Cutter Entry'!R7,"*7"), COUNTIF('ARDT Cutter Entry'!R7,"*8"), COUNTIF('ARDT Cutter Entry'!R7,"*9")),
                    'ARDT Cutter Entry'!R7,
                    'ARDT Cutter Entry'!R46)
            )
        ),
        ""
    ),
    _xlpm.Result, IF(_xlpm.URCheck,
        IF(BB73&lt;&gt;"", BB73, _xlpm.Fallback),
        _xlpm.Fallback
    ),
    _xlpm.Result
)</f>
        <v/>
      </c>
      <c r="S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IF(OR(Data!CH49=0, Data!CH49=""), "", "O"&amp;Data!CH49),
            IF('ARDT Cutter Entry'!$C$111&lt;&gt;"",
                IF(OR(
                    COUNTIF('ARDT Cutter Entry'!S64,"*1"), COUNTIF('ARDT Cutter Entry'!S64,"*2"), COUNTIF('ARDT Cutter Entry'!S64,"*3"),
                    COUNTIF('ARDT Cutter Entry'!S64,"*4"), COUNTIF('ARDT Cutter Entry'!S64,"*5"), COUNTIF('ARDT Cutter Entry'!S64,"*6"),
                    COUNTIF('ARDT Cutter Entry'!S64,"*7"), COUNTIF('ARDT Cutter Entry'!S64,"*8"), COUNTIF('ARDT Cutter Entry'!S64,"*9")),
                    'ARDT Cutter Entry'!S64,
                    'ARDT Cutter Entry'!S114),
                IF(OR(
                    COUNTIF('ARDT Cutter Entry'!S7,"*1"), COUNTIF('ARDT Cutter Entry'!S7,"*2"), COUNTIF('ARDT Cutter Entry'!S7,"*3"),
                    COUNTIF('ARDT Cutter Entry'!S7,"*4"), COUNTIF('ARDT Cutter Entry'!S7,"*5"), COUNTIF('ARDT Cutter Entry'!S7,"*6"),
                    COUNTIF('ARDT Cutter Entry'!S7,"*7"), COUNTIF('ARDT Cutter Entry'!S7,"*8"), COUNTIF('ARDT Cutter Entry'!S7,"*9")),
                    'ARDT Cutter Entry'!S7,
                    'ARDT Cutter Entry'!S46)
            )
        ),
        ""
    ),
    _xlpm.Result, IF(_xlpm.URCheck,
        IF(BC73&lt;&gt;"", BC73, _xlpm.Fallback),
        _xlpm.Fallback
    ),
    _xlpm.Result
)</f>
        <v/>
      </c>
      <c r="T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IF(OR(Data!CI49=0, Data!CI49=""), "", "O"&amp;Data!CI49),
            IF('ARDT Cutter Entry'!$C$111&lt;&gt;"",
                IF(OR(
                    COUNTIF('ARDT Cutter Entry'!T64,"*1"), COUNTIF('ARDT Cutter Entry'!T64,"*2"), COUNTIF('ARDT Cutter Entry'!T64,"*3"),
                    COUNTIF('ARDT Cutter Entry'!T64,"*4"), COUNTIF('ARDT Cutter Entry'!T64,"*5"), COUNTIF('ARDT Cutter Entry'!T64,"*6"),
                    COUNTIF('ARDT Cutter Entry'!T64,"*7"), COUNTIF('ARDT Cutter Entry'!T64,"*8"), COUNTIF('ARDT Cutter Entry'!T64,"*9")),
                    'ARDT Cutter Entry'!T64,
                    'ARDT Cutter Entry'!T114),
                IF(OR(
                    COUNTIF('ARDT Cutter Entry'!T7,"*1"), COUNTIF('ARDT Cutter Entry'!T7,"*2"), COUNTIF('ARDT Cutter Entry'!T7,"*3"),
                    COUNTIF('ARDT Cutter Entry'!T7,"*4"), COUNTIF('ARDT Cutter Entry'!T7,"*5"), COUNTIF('ARDT Cutter Entry'!T7,"*6"),
                    COUNTIF('ARDT Cutter Entry'!T7,"*7"), COUNTIF('ARDT Cutter Entry'!T7,"*8"), COUNTIF('ARDT Cutter Entry'!T7,"*9")),
                    'ARDT Cutter Entry'!T7,
                    'ARDT Cutter Entry'!T46)
            )
        ),
        ""
    ),
    _xlpm.Result, IF(_xlpm.URCheck,
        IF(BD73&lt;&gt;"", BD73, _xlpm.Fallback),
        _xlpm.Fallback
    ),
    _xlpm.Result
)</f>
        <v/>
      </c>
      <c r="U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IF(OR(Data!CJ49=0, Data!CJ49=""), "", "O"&amp;Data!CJ49),
            IF('ARDT Cutter Entry'!$C$111&lt;&gt;"",
                IF(OR(
                    COUNTIF('ARDT Cutter Entry'!U64,"*1"), COUNTIF('ARDT Cutter Entry'!U64,"*2"), COUNTIF('ARDT Cutter Entry'!U64,"*3"),
                    COUNTIF('ARDT Cutter Entry'!U64,"*4"), COUNTIF('ARDT Cutter Entry'!U64,"*5"), COUNTIF('ARDT Cutter Entry'!U64,"*6"),
                    COUNTIF('ARDT Cutter Entry'!U64,"*7"), COUNTIF('ARDT Cutter Entry'!U64,"*8"), COUNTIF('ARDT Cutter Entry'!U64,"*9")),
                    'ARDT Cutter Entry'!U64,
                    'ARDT Cutter Entry'!U114),
                IF(OR(
                    COUNTIF('ARDT Cutter Entry'!U7,"*1"), COUNTIF('ARDT Cutter Entry'!U7,"*2"), COUNTIF('ARDT Cutter Entry'!U7,"*3"),
                    COUNTIF('ARDT Cutter Entry'!U7,"*4"), COUNTIF('ARDT Cutter Entry'!U7,"*5"), COUNTIF('ARDT Cutter Entry'!U7,"*6"),
                    COUNTIF('ARDT Cutter Entry'!U7,"*7"), COUNTIF('ARDT Cutter Entry'!U7,"*8"), COUNTIF('ARDT Cutter Entry'!U7,"*9")),
                    'ARDT Cutter Entry'!U7,
                    'ARDT Cutter Entry'!U46)
            )
        ),
        ""
    ),
    _xlpm.Result, IF(_xlpm.URCheck,
        IF(BE73&lt;&gt;"", BE73, _xlpm.Fallback),
        _xlpm.Fallback
    ),
    _xlpm.Result
)</f>
        <v/>
      </c>
      <c r="V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IF(OR(Data!CK49=0, Data!CK49=""), "", "O"&amp;Data!CK49),
            IF('ARDT Cutter Entry'!$C$111&lt;&gt;"",
                IF(OR(
                    COUNTIF('ARDT Cutter Entry'!V64,"*1"), COUNTIF('ARDT Cutter Entry'!V64,"*2"), COUNTIF('ARDT Cutter Entry'!V64,"*3"),
                    COUNTIF('ARDT Cutter Entry'!V64,"*4"), COUNTIF('ARDT Cutter Entry'!V64,"*5"), COUNTIF('ARDT Cutter Entry'!V64,"*6"),
                    COUNTIF('ARDT Cutter Entry'!V64,"*7"), COUNTIF('ARDT Cutter Entry'!V64,"*8"), COUNTIF('ARDT Cutter Entry'!V64,"*9")),
                    'ARDT Cutter Entry'!V64,
                    'ARDT Cutter Entry'!V114),
                IF(OR(
                    COUNTIF('ARDT Cutter Entry'!V7,"*1"), COUNTIF('ARDT Cutter Entry'!V7,"*2"), COUNTIF('ARDT Cutter Entry'!V7,"*3"),
                    COUNTIF('ARDT Cutter Entry'!V7,"*4"), COUNTIF('ARDT Cutter Entry'!V7,"*5"), COUNTIF('ARDT Cutter Entry'!V7,"*6"),
                    COUNTIF('ARDT Cutter Entry'!V7,"*7"), COUNTIF('ARDT Cutter Entry'!V7,"*8"), COUNTIF('ARDT Cutter Entry'!V7,"*9")),
                    'ARDT Cutter Entry'!V7,
                    'ARDT Cutter Entry'!V46)
            )
        ),
        ""
    ),
    _xlpm.Result, IF(_xlpm.URCheck,
        IF(BF73&lt;&gt;"", BF73, _xlpm.Fallback),
        _xlpm.Fallback
    ),
    _xlpm.Result
)</f>
        <v/>
      </c>
      <c r="W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IF(OR(Data!CL49=0, Data!CL49=""), "", "O"&amp;Data!CL49),
            IF('ARDT Cutter Entry'!$C$111&lt;&gt;"",
                IF(OR(
                    COUNTIF('ARDT Cutter Entry'!W64,"*1"), COUNTIF('ARDT Cutter Entry'!W64,"*2"), COUNTIF('ARDT Cutter Entry'!W64,"*3"),
                    COUNTIF('ARDT Cutter Entry'!W64,"*4"), COUNTIF('ARDT Cutter Entry'!W64,"*5"), COUNTIF('ARDT Cutter Entry'!W64,"*6"),
                    COUNTIF('ARDT Cutter Entry'!W64,"*7"), COUNTIF('ARDT Cutter Entry'!W64,"*8"), COUNTIF('ARDT Cutter Entry'!W64,"*9")),
                    'ARDT Cutter Entry'!W64,
                    'ARDT Cutter Entry'!W114),
                IF(OR(
                    COUNTIF('ARDT Cutter Entry'!W7,"*1"), COUNTIF('ARDT Cutter Entry'!W7,"*2"), COUNTIF('ARDT Cutter Entry'!W7,"*3"),
                    COUNTIF('ARDT Cutter Entry'!W7,"*4"), COUNTIF('ARDT Cutter Entry'!W7,"*5"), COUNTIF('ARDT Cutter Entry'!W7,"*6"),
                    COUNTIF('ARDT Cutter Entry'!W7,"*7"), COUNTIF('ARDT Cutter Entry'!W7,"*8"), COUNTIF('ARDT Cutter Entry'!W7,"*9")),
                    'ARDT Cutter Entry'!W7,
                    'ARDT Cutter Entry'!W46)
            )
        ),
        ""
    ),
    _xlpm.Result, IF(_xlpm.URCheck,
        IF(BG73&lt;&gt;"", BG73, _xlpm.Fallback),
        _xlpm.Fallback
    ),
    _xlpm.Result
)</f>
        <v/>
      </c>
      <c r="X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IF(OR(Data!CM49=0, Data!CM49=""), "", "O"&amp;Data!CM49),
            IF('ARDT Cutter Entry'!$C$111&lt;&gt;"",
                IF(OR(
                    COUNTIF('ARDT Cutter Entry'!X64,"*1"), COUNTIF('ARDT Cutter Entry'!X64,"*2"), COUNTIF('ARDT Cutter Entry'!X64,"*3"),
                    COUNTIF('ARDT Cutter Entry'!X64,"*4"), COUNTIF('ARDT Cutter Entry'!X64,"*5"), COUNTIF('ARDT Cutter Entry'!X64,"*6"),
                    COUNTIF('ARDT Cutter Entry'!X64,"*7"), COUNTIF('ARDT Cutter Entry'!X64,"*8"), COUNTIF('ARDT Cutter Entry'!X64,"*9")),
                    'ARDT Cutter Entry'!X64,
                    'ARDT Cutter Entry'!X114),
                IF(OR(
                    COUNTIF('ARDT Cutter Entry'!X7,"*1"), COUNTIF('ARDT Cutter Entry'!X7,"*2"), COUNTIF('ARDT Cutter Entry'!X7,"*3"),
                    COUNTIF('ARDT Cutter Entry'!X7,"*4"), COUNTIF('ARDT Cutter Entry'!X7,"*5"), COUNTIF('ARDT Cutter Entry'!X7,"*6"),
                    COUNTIF('ARDT Cutter Entry'!X7,"*7"), COUNTIF('ARDT Cutter Entry'!X7,"*8"), COUNTIF('ARDT Cutter Entry'!X7,"*9")),
                    'ARDT Cutter Entry'!X7,
                    'ARDT Cutter Entry'!X46)
            )
        ),
        ""
    ),
    _xlpm.Result, IF(_xlpm.URCheck,
        IF(BH73&lt;&gt;"", BH73, _xlpm.Fallback),
        _xlpm.Fallback
    ),
    _xlpm.Result
)</f>
        <v/>
      </c>
      <c r="Y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IF(OR(Data!CN49=0, Data!CN49=""), "", "O"&amp;Data!CN49),
            IF('ARDT Cutter Entry'!$C$111&lt;&gt;"",
                IF(OR(
                    COUNTIF('ARDT Cutter Entry'!Y64,"*1"), COUNTIF('ARDT Cutter Entry'!Y64,"*2"), COUNTIF('ARDT Cutter Entry'!Y64,"*3"),
                    COUNTIF('ARDT Cutter Entry'!Y64,"*4"), COUNTIF('ARDT Cutter Entry'!Y64,"*5"), COUNTIF('ARDT Cutter Entry'!Y64,"*6"),
                    COUNTIF('ARDT Cutter Entry'!Y64,"*7"), COUNTIF('ARDT Cutter Entry'!Y64,"*8"), COUNTIF('ARDT Cutter Entry'!Y64,"*9")),
                    'ARDT Cutter Entry'!Y64,
                    'ARDT Cutter Entry'!Y114),
                IF(OR(
                    COUNTIF('ARDT Cutter Entry'!Y7,"*1"), COUNTIF('ARDT Cutter Entry'!Y7,"*2"), COUNTIF('ARDT Cutter Entry'!Y7,"*3"),
                    COUNTIF('ARDT Cutter Entry'!Y7,"*4"), COUNTIF('ARDT Cutter Entry'!Y7,"*5"), COUNTIF('ARDT Cutter Entry'!Y7,"*6"),
                    COUNTIF('ARDT Cutter Entry'!Y7,"*7"), COUNTIF('ARDT Cutter Entry'!Y7,"*8"), COUNTIF('ARDT Cutter Entry'!Y7,"*9")),
                    'ARDT Cutter Entry'!Y7,
                    'ARDT Cutter Entry'!Y46)
            )
        ),
        ""
    ),
    _xlpm.Result, IF(_xlpm.URCheck,
        IF(BI73&lt;&gt;"", BI73, _xlpm.Fallback),
        _xlpm.Fallback
    ),
    _xlpm.Result
)</f>
        <v/>
      </c>
      <c r="Z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IF(OR(Data!CO49=0, Data!CO49=""), "", "O"&amp;Data!CO49),
            IF('ARDT Cutter Entry'!$C$111&lt;&gt;"",
                IF(OR(
                    COUNTIF('ARDT Cutter Entry'!Z64,"*1"), COUNTIF('ARDT Cutter Entry'!Z64,"*2"), COUNTIF('ARDT Cutter Entry'!Z64,"*3"),
                    COUNTIF('ARDT Cutter Entry'!Z64,"*4"), COUNTIF('ARDT Cutter Entry'!Z64,"*5"), COUNTIF('ARDT Cutter Entry'!Z64,"*6"),
                    COUNTIF('ARDT Cutter Entry'!Z64,"*7"), COUNTIF('ARDT Cutter Entry'!Z64,"*8"), COUNTIF('ARDT Cutter Entry'!Z64,"*9")),
                    'ARDT Cutter Entry'!Z64,
                    'ARDT Cutter Entry'!Z114),
                IF(OR(
                    COUNTIF('ARDT Cutter Entry'!Z7,"*1"), COUNTIF('ARDT Cutter Entry'!Z7,"*2"), COUNTIF('ARDT Cutter Entry'!Z7,"*3"),
                    COUNTIF('ARDT Cutter Entry'!Z7,"*4"), COUNTIF('ARDT Cutter Entry'!Z7,"*5"), COUNTIF('ARDT Cutter Entry'!Z7,"*6"),
                    COUNTIF('ARDT Cutter Entry'!Z7,"*7"), COUNTIF('ARDT Cutter Entry'!Z7,"*8"), COUNTIF('ARDT Cutter Entry'!Z7,"*9")),
                    'ARDT Cutter Entry'!Z7,
                    'ARDT Cutter Entry'!Z46)
            )
        ),
        ""
    ),
    _xlpm.Result, IF(_xlpm.URCheck,
        IF(BJ73&lt;&gt;"", BJ73, _xlpm.Fallback),
        _xlpm.Fallback
    ),
    _xlpm.Result
)</f>
        <v/>
      </c>
      <c r="AA20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IF(OR(Data!CP49=0, Data!CP49=""), "", "O"&amp;Data!CP49),
            IF('ARDT Cutter Entry'!$C$111&lt;&gt;"",
                IF(OR(
                    COUNTIF('ARDT Cutter Entry'!AA64,"*1"), COUNTIF('ARDT Cutter Entry'!AA64,"*2"), COUNTIF('ARDT Cutter Entry'!AA64,"*3"),
                    COUNTIF('ARDT Cutter Entry'!AA64,"*4"), COUNTIF('ARDT Cutter Entry'!AA64,"*5"), COUNTIF('ARDT Cutter Entry'!AA64,"*6"),
                    COUNTIF('ARDT Cutter Entry'!AA64,"*7"), COUNTIF('ARDT Cutter Entry'!AA64,"*8"), COUNTIF('ARDT Cutter Entry'!AA64,"*9")),
                    'ARDT Cutter Entry'!AA64,
                    'ARDT Cutter Entry'!AA114),
                IF(OR(
                    COUNTIF('ARDT Cutter Entry'!AA7,"*1"), COUNTIF('ARDT Cutter Entry'!AA7,"*2"), COUNTIF('ARDT Cutter Entry'!AA7,"*3"),
                    COUNTIF('ARDT Cutter Entry'!AA7,"*4"), COUNTIF('ARDT Cutter Entry'!AA7,"*5"), COUNTIF('ARDT Cutter Entry'!AA7,"*6"),
                    COUNTIF('ARDT Cutter Entry'!AA7,"*7"), COUNTIF('ARDT Cutter Entry'!AA7,"*8"), COUNTIF('ARDT Cutter Entry'!AA7,"*9")),
                    'ARDT Cutter Entry'!AA7,
                    'ARDT Cutter Entry'!AA46)
            )
        ),
        ""
    ),
    _xlpm.Result, IF(_xlpm.URCheck,
        IF(BK73&lt;&gt;"", BK73, _xlpm.Fallback),
        _xlpm.Fallback
    ),
    _xlpm.Result
)</f>
        <v/>
      </c>
    </row>
    <row r="21" spans="1:27" ht="18.75" customHeight="1" x14ac:dyDescent="0.35">
      <c r="A21" s="1423"/>
      <c r="B21" s="396">
        <v>5</v>
      </c>
      <c r="C21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IF(OR(Data!BR50=0, Data!BR50=""), "", "O"&amp;Data!BR50),
            IF('ARDT Cutter Entry'!$C$111&lt;&gt;"",
                IF(OR(
                    COUNTIF('ARDT Cutter Entry'!C65,"*1"), COUNTIF('ARDT Cutter Entry'!C65,"*2"), COUNTIF('ARDT Cutter Entry'!C65,"*3"),
                    COUNTIF('ARDT Cutter Entry'!C65,"*4"), COUNTIF('ARDT Cutter Entry'!C65,"*5"), COUNTIF('ARDT Cutter Entry'!C65,"*6"),
                    COUNTIF('ARDT Cutter Entry'!C65,"*7"), COUNTIF('ARDT Cutter Entry'!C65,"*8"), COUNTIF('ARDT Cutter Entry'!C65,"*9")),
                    'ARDT Cutter Entry'!C65,
                    'ARDT Cutter Entry'!C115),
                IF(OR(
                    COUNTIF('ARDT Cutter Entry'!C8,"*1"), COUNTIF('ARDT Cutter Entry'!C8,"*2"), COUNTIF('ARDT Cutter Entry'!C8,"*3"),
                    COUNTIF('ARDT Cutter Entry'!C8,"*4"), COUNTIF('ARDT Cutter Entry'!C8,"*5"), COUNTIF('ARDT Cutter Entry'!C8,"*6"),
                    COUNTIF('ARDT Cutter Entry'!C8,"*7"), COUNTIF('ARDT Cutter Entry'!C8,"*8"), COUNTIF('ARDT Cutter Entry'!C8,"*9")),
                    'ARDT Cutter Entry'!C8,
                    'ARDT Cutter Entry'!C47)
            )
        ),
        ""
    ),
    _xlpm.Result, IF(_xlpm.URCheck,
        IF(AM74&lt;&gt;"", AM74, _xlpm.Fallback),
        _xlpm.Fallback
    ),
    _xlpm.Result
)</f>
        <v>R1</v>
      </c>
      <c r="D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IF(OR(Data!BS50=0, Data!BS50=""), "", "O"&amp;Data!BS50),
            IF('ARDT Cutter Entry'!$C$111&lt;&gt;"",
                IF(OR(
                    COUNTIF('ARDT Cutter Entry'!D65,"*1"), COUNTIF('ARDT Cutter Entry'!D65,"*2"), COUNTIF('ARDT Cutter Entry'!D65,"*3"),
                    COUNTIF('ARDT Cutter Entry'!D65,"*4"), COUNTIF('ARDT Cutter Entry'!D65,"*5"), COUNTIF('ARDT Cutter Entry'!D65,"*6"),
                    COUNTIF('ARDT Cutter Entry'!D65,"*7"), COUNTIF('ARDT Cutter Entry'!D65,"*8"), COUNTIF('ARDT Cutter Entry'!D65,"*9")),
                    'ARDT Cutter Entry'!D65,
                    'ARDT Cutter Entry'!D115),
                IF(OR(
                    COUNTIF('ARDT Cutter Entry'!D8,"*1"), COUNTIF('ARDT Cutter Entry'!D8,"*2"), COUNTIF('ARDT Cutter Entry'!D8,"*3"),
                    COUNTIF('ARDT Cutter Entry'!D8,"*4"), COUNTIF('ARDT Cutter Entry'!D8,"*5"), COUNTIF('ARDT Cutter Entry'!D8,"*6"),
                    COUNTIF('ARDT Cutter Entry'!D8,"*7"), COUNTIF('ARDT Cutter Entry'!D8,"*8"), COUNTIF('ARDT Cutter Entry'!D8,"*9")),
                    'ARDT Cutter Entry'!D8,
                    'ARDT Cutter Entry'!D47)
            )
        ),
        ""
    ),
    _xlpm.Result, IF(_xlpm.URCheck,
        IF(AN74&lt;&gt;"", AN74, _xlpm.Fallback),
        _xlpm.Fallback
    ),
    _xlpm.Result
)</f>
        <v>R1</v>
      </c>
      <c r="E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IF(OR(Data!BT50=0, Data!BT50=""), "", "O"&amp;Data!BT50),
            IF('ARDT Cutter Entry'!$C$111&lt;&gt;"",
                IF(OR(
                    COUNTIF('ARDT Cutter Entry'!E65,"*1"), COUNTIF('ARDT Cutter Entry'!E65,"*2"), COUNTIF('ARDT Cutter Entry'!E65,"*3"),
                    COUNTIF('ARDT Cutter Entry'!E65,"*4"), COUNTIF('ARDT Cutter Entry'!E65,"*5"), COUNTIF('ARDT Cutter Entry'!E65,"*6"),
                    COUNTIF('ARDT Cutter Entry'!E65,"*7"), COUNTIF('ARDT Cutter Entry'!E65,"*8"), COUNTIF('ARDT Cutter Entry'!E65,"*9")),
                    'ARDT Cutter Entry'!E65,
                    'ARDT Cutter Entry'!E115),
                IF(OR(
                    COUNTIF('ARDT Cutter Entry'!E8,"*1"), COUNTIF('ARDT Cutter Entry'!E8,"*2"), COUNTIF('ARDT Cutter Entry'!E8,"*3"),
                    COUNTIF('ARDT Cutter Entry'!E8,"*4"), COUNTIF('ARDT Cutter Entry'!E8,"*5"), COUNTIF('ARDT Cutter Entry'!E8,"*6"),
                    COUNTIF('ARDT Cutter Entry'!E8,"*7"), COUNTIF('ARDT Cutter Entry'!E8,"*8"), COUNTIF('ARDT Cutter Entry'!E8,"*9")),
                    'ARDT Cutter Entry'!E8,
                    'ARDT Cutter Entry'!E47)
            )
        ),
        ""
    ),
    _xlpm.Result, IF(_xlpm.URCheck,
        IF(AO74&lt;&gt;"", AO74, _xlpm.Fallback),
        _xlpm.Fallback
    ),
    _xlpm.Result
)</f>
        <v>X5</v>
      </c>
      <c r="F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IF(OR(Data!BU50=0, Data!BU50=""), "", "O"&amp;Data!BU50),
            IF('ARDT Cutter Entry'!$C$111&lt;&gt;"",
                IF(OR(
                    COUNTIF('ARDT Cutter Entry'!F65,"*1"), COUNTIF('ARDT Cutter Entry'!F65,"*2"), COUNTIF('ARDT Cutter Entry'!F65,"*3"),
                    COUNTIF('ARDT Cutter Entry'!F65,"*4"), COUNTIF('ARDT Cutter Entry'!F65,"*5"), COUNTIF('ARDT Cutter Entry'!F65,"*6"),
                    COUNTIF('ARDT Cutter Entry'!F65,"*7"), COUNTIF('ARDT Cutter Entry'!F65,"*8"), COUNTIF('ARDT Cutter Entry'!F65,"*9")),
                    'ARDT Cutter Entry'!F65,
                    'ARDT Cutter Entry'!F115),
                IF(OR(
                    COUNTIF('ARDT Cutter Entry'!F8,"*1"), COUNTIF('ARDT Cutter Entry'!F8,"*2"), COUNTIF('ARDT Cutter Entry'!F8,"*3"),
                    COUNTIF('ARDT Cutter Entry'!F8,"*4"), COUNTIF('ARDT Cutter Entry'!F8,"*5"), COUNTIF('ARDT Cutter Entry'!F8,"*6"),
                    COUNTIF('ARDT Cutter Entry'!F8,"*7"), COUNTIF('ARDT Cutter Entry'!F8,"*8"), COUNTIF('ARDT Cutter Entry'!F8,"*9")),
                    'ARDT Cutter Entry'!F8,
                    'ARDT Cutter Entry'!F47)
            )
        ),
        ""
    ),
    _xlpm.Result, IF(_xlpm.URCheck,
        IF(AP74&lt;&gt;"", AP74, _xlpm.Fallback),
        _xlpm.Fallback
    ),
    _xlpm.Result
)</f>
        <v>X5</v>
      </c>
      <c r="G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IF(OR(Data!BV50=0, Data!BV50=""), "", "O"&amp;Data!BV50),
            IF('ARDT Cutter Entry'!$C$111&lt;&gt;"",
                IF(OR(
                    COUNTIF('ARDT Cutter Entry'!G65,"*1"), COUNTIF('ARDT Cutter Entry'!G65,"*2"), COUNTIF('ARDT Cutter Entry'!G65,"*3"),
                    COUNTIF('ARDT Cutter Entry'!G65,"*4"), COUNTIF('ARDT Cutter Entry'!G65,"*5"), COUNTIF('ARDT Cutter Entry'!G65,"*6"),
                    COUNTIF('ARDT Cutter Entry'!G65,"*7"), COUNTIF('ARDT Cutter Entry'!G65,"*8"), COUNTIF('ARDT Cutter Entry'!G65,"*9")),
                    'ARDT Cutter Entry'!G65,
                    'ARDT Cutter Entry'!G115),
                IF(OR(
                    COUNTIF('ARDT Cutter Entry'!G8,"*1"), COUNTIF('ARDT Cutter Entry'!G8,"*2"), COUNTIF('ARDT Cutter Entry'!G8,"*3"),
                    COUNTIF('ARDT Cutter Entry'!G8,"*4"), COUNTIF('ARDT Cutter Entry'!G8,"*5"), COUNTIF('ARDT Cutter Entry'!G8,"*6"),
                    COUNTIF('ARDT Cutter Entry'!G8,"*7"), COUNTIF('ARDT Cutter Entry'!G8,"*8"), COUNTIF('ARDT Cutter Entry'!G8,"*9")),
                    'ARDT Cutter Entry'!G8,
                    'ARDT Cutter Entry'!G47)
            )
        ),
        ""
    ),
    _xlpm.Result, IF(_xlpm.URCheck,
        IF(AQ74&lt;&gt;"", AQ74, _xlpm.Fallback),
        _xlpm.Fallback
    ),
    _xlpm.Result
)</f>
        <v>X5</v>
      </c>
      <c r="H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IF(OR(Data!BW50=0, Data!BW50=""), "", "O"&amp;Data!BW50),
            IF('ARDT Cutter Entry'!$C$111&lt;&gt;"",
                IF(OR(
                    COUNTIF('ARDT Cutter Entry'!H65,"*1"), COUNTIF('ARDT Cutter Entry'!H65,"*2"), COUNTIF('ARDT Cutter Entry'!H65,"*3"),
                    COUNTIF('ARDT Cutter Entry'!H65,"*4"), COUNTIF('ARDT Cutter Entry'!H65,"*5"), COUNTIF('ARDT Cutter Entry'!H65,"*6"),
                    COUNTIF('ARDT Cutter Entry'!H65,"*7"), COUNTIF('ARDT Cutter Entry'!H65,"*8"), COUNTIF('ARDT Cutter Entry'!H65,"*9")),
                    'ARDT Cutter Entry'!H65,
                    'ARDT Cutter Entry'!H115),
                IF(OR(
                    COUNTIF('ARDT Cutter Entry'!H8,"*1"), COUNTIF('ARDT Cutter Entry'!H8,"*2"), COUNTIF('ARDT Cutter Entry'!H8,"*3"),
                    COUNTIF('ARDT Cutter Entry'!H8,"*4"), COUNTIF('ARDT Cutter Entry'!H8,"*5"), COUNTIF('ARDT Cutter Entry'!H8,"*6"),
                    COUNTIF('ARDT Cutter Entry'!H8,"*7"), COUNTIF('ARDT Cutter Entry'!H8,"*8"), COUNTIF('ARDT Cutter Entry'!H8,"*9")),
                    'ARDT Cutter Entry'!H8,
                    'ARDT Cutter Entry'!H47)
            )
        ),
        ""
    ),
    _xlpm.Result, IF(_xlpm.URCheck,
        IF(AR74&lt;&gt;"", AR74, _xlpm.Fallback),
        _xlpm.Fallback
    ),
    _xlpm.Result
)</f>
        <v>X5</v>
      </c>
      <c r="I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IF(OR(Data!BX50=0, Data!BX50=""), "", "O"&amp;Data!BX50),
            IF('ARDT Cutter Entry'!$C$111&lt;&gt;"",
                IF(OR(
                    COUNTIF('ARDT Cutter Entry'!I65,"*1"), COUNTIF('ARDT Cutter Entry'!I65,"*2"), COUNTIF('ARDT Cutter Entry'!I65,"*3"),
                    COUNTIF('ARDT Cutter Entry'!I65,"*4"), COUNTIF('ARDT Cutter Entry'!I65,"*5"), COUNTIF('ARDT Cutter Entry'!I65,"*6"),
                    COUNTIF('ARDT Cutter Entry'!I65,"*7"), COUNTIF('ARDT Cutter Entry'!I65,"*8"), COUNTIF('ARDT Cutter Entry'!I65,"*9")),
                    'ARDT Cutter Entry'!I65,
                    'ARDT Cutter Entry'!I115),
                IF(OR(
                    COUNTIF('ARDT Cutter Entry'!I8,"*1"), COUNTIF('ARDT Cutter Entry'!I8,"*2"), COUNTIF('ARDT Cutter Entry'!I8,"*3"),
                    COUNTIF('ARDT Cutter Entry'!I8,"*4"), COUNTIF('ARDT Cutter Entry'!I8,"*5"), COUNTIF('ARDT Cutter Entry'!I8,"*6"),
                    COUNTIF('ARDT Cutter Entry'!I8,"*7"), COUNTIF('ARDT Cutter Entry'!I8,"*8"), COUNTIF('ARDT Cutter Entry'!I8,"*9")),
                    'ARDT Cutter Entry'!I8,
                    'ARDT Cutter Entry'!I47)
            )
        ),
        ""
    ),
    _xlpm.Result, IF(_xlpm.URCheck,
        IF(AS74&lt;&gt;"", AS74, _xlpm.Fallback),
        _xlpm.Fallback
    ),
    _xlpm.Result
)</f>
        <v>R1</v>
      </c>
      <c r="J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IF(OR(Data!BY50=0, Data!BY50=""), "", "O"&amp;Data!BY50),
            IF('ARDT Cutter Entry'!$C$111&lt;&gt;"",
                IF(OR(
                    COUNTIF('ARDT Cutter Entry'!J65,"*1"), COUNTIF('ARDT Cutter Entry'!J65,"*2"), COUNTIF('ARDT Cutter Entry'!J65,"*3"),
                    COUNTIF('ARDT Cutter Entry'!J65,"*4"), COUNTIF('ARDT Cutter Entry'!J65,"*5"), COUNTIF('ARDT Cutter Entry'!J65,"*6"),
                    COUNTIF('ARDT Cutter Entry'!J65,"*7"), COUNTIF('ARDT Cutter Entry'!J65,"*8"), COUNTIF('ARDT Cutter Entry'!J65,"*9")),
                    'ARDT Cutter Entry'!J65,
                    'ARDT Cutter Entry'!J115),
                IF(OR(
                    COUNTIF('ARDT Cutter Entry'!J8,"*1"), COUNTIF('ARDT Cutter Entry'!J8,"*2"), COUNTIF('ARDT Cutter Entry'!J8,"*3"),
                    COUNTIF('ARDT Cutter Entry'!J8,"*4"), COUNTIF('ARDT Cutter Entry'!J8,"*5"), COUNTIF('ARDT Cutter Entry'!J8,"*6"),
                    COUNTIF('ARDT Cutter Entry'!J8,"*7"), COUNTIF('ARDT Cutter Entry'!J8,"*8"), COUNTIF('ARDT Cutter Entry'!J8,"*9")),
                    'ARDT Cutter Entry'!J8,
                    'ARDT Cutter Entry'!J47)
            )
        ),
        ""
    ),
    _xlpm.Result, IF(_xlpm.URCheck,
        IF(AT74&lt;&gt;"", AT74, _xlpm.Fallback),
        _xlpm.Fallback
    ),
    _xlpm.Result
)</f>
        <v>X3</v>
      </c>
      <c r="K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IF(OR(Data!BZ50=0, Data!BZ50=""), "", "O"&amp;Data!BZ50),
            IF('ARDT Cutter Entry'!$C$111&lt;&gt;"",
                IF(OR(
                    COUNTIF('ARDT Cutter Entry'!K65,"*1"), COUNTIF('ARDT Cutter Entry'!K65,"*2"), COUNTIF('ARDT Cutter Entry'!K65,"*3"),
                    COUNTIF('ARDT Cutter Entry'!K65,"*4"), COUNTIF('ARDT Cutter Entry'!K65,"*5"), COUNTIF('ARDT Cutter Entry'!K65,"*6"),
                    COUNTIF('ARDT Cutter Entry'!K65,"*7"), COUNTIF('ARDT Cutter Entry'!K65,"*8"), COUNTIF('ARDT Cutter Entry'!K65,"*9")),
                    'ARDT Cutter Entry'!K65,
                    'ARDT Cutter Entry'!K115),
                IF(OR(
                    COUNTIF('ARDT Cutter Entry'!K8,"*1"), COUNTIF('ARDT Cutter Entry'!K8,"*2"), COUNTIF('ARDT Cutter Entry'!K8,"*3"),
                    COUNTIF('ARDT Cutter Entry'!K8,"*4"), COUNTIF('ARDT Cutter Entry'!K8,"*5"), COUNTIF('ARDT Cutter Entry'!K8,"*6"),
                    COUNTIF('ARDT Cutter Entry'!K8,"*7"), COUNTIF('ARDT Cutter Entry'!K8,"*8"), COUNTIF('ARDT Cutter Entry'!K8,"*9")),
                    'ARDT Cutter Entry'!K8,
                    'ARDT Cutter Entry'!K47)
            )
        ),
        ""
    ),
    _xlpm.Result, IF(_xlpm.URCheck,
        IF(AU74&lt;&gt;"", AU74, _xlpm.Fallback),
        _xlpm.Fallback
    ),
    _xlpm.Result
)</f>
        <v/>
      </c>
      <c r="L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IF(OR(Data!CA50=0, Data!CA50=""), "", "O"&amp;Data!CA50),
            IF('ARDT Cutter Entry'!$C$111&lt;&gt;"",
                IF(OR(
                    COUNTIF('ARDT Cutter Entry'!L65,"*1"), COUNTIF('ARDT Cutter Entry'!L65,"*2"), COUNTIF('ARDT Cutter Entry'!L65,"*3"),
                    COUNTIF('ARDT Cutter Entry'!L65,"*4"), COUNTIF('ARDT Cutter Entry'!L65,"*5"), COUNTIF('ARDT Cutter Entry'!L65,"*6"),
                    COUNTIF('ARDT Cutter Entry'!L65,"*7"), COUNTIF('ARDT Cutter Entry'!L65,"*8"), COUNTIF('ARDT Cutter Entry'!L65,"*9")),
                    'ARDT Cutter Entry'!L65,
                    'ARDT Cutter Entry'!L115),
                IF(OR(
                    COUNTIF('ARDT Cutter Entry'!L8,"*1"), COUNTIF('ARDT Cutter Entry'!L8,"*2"), COUNTIF('ARDT Cutter Entry'!L8,"*3"),
                    COUNTIF('ARDT Cutter Entry'!L8,"*4"), COUNTIF('ARDT Cutter Entry'!L8,"*5"), COUNTIF('ARDT Cutter Entry'!L8,"*6"),
                    COUNTIF('ARDT Cutter Entry'!L8,"*7"), COUNTIF('ARDT Cutter Entry'!L8,"*8"), COUNTIF('ARDT Cutter Entry'!L8,"*9")),
                    'ARDT Cutter Entry'!L8,
                    'ARDT Cutter Entry'!L47)
            )
        ),
        ""
    ),
    _xlpm.Result, IF(_xlpm.URCheck,
        IF(AV74&lt;&gt;"", AV74, _xlpm.Fallback),
        _xlpm.Fallback
    ),
    _xlpm.Result
)</f>
        <v>R2</v>
      </c>
      <c r="M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IF(OR(Data!CB50=0, Data!CB50=""), "", "O"&amp;Data!CB50),
            IF('ARDT Cutter Entry'!$C$111&lt;&gt;"",
                IF(OR(
                    COUNTIF('ARDT Cutter Entry'!M65,"*1"), COUNTIF('ARDT Cutter Entry'!M65,"*2"), COUNTIF('ARDT Cutter Entry'!M65,"*3"),
                    COUNTIF('ARDT Cutter Entry'!M65,"*4"), COUNTIF('ARDT Cutter Entry'!M65,"*5"), COUNTIF('ARDT Cutter Entry'!M65,"*6"),
                    COUNTIF('ARDT Cutter Entry'!M65,"*7"), COUNTIF('ARDT Cutter Entry'!M65,"*8"), COUNTIF('ARDT Cutter Entry'!M65,"*9")),
                    'ARDT Cutter Entry'!M65,
                    'ARDT Cutter Entry'!M115),
                IF(OR(
                    COUNTIF('ARDT Cutter Entry'!M8,"*1"), COUNTIF('ARDT Cutter Entry'!M8,"*2"), COUNTIF('ARDT Cutter Entry'!M8,"*3"),
                    COUNTIF('ARDT Cutter Entry'!M8,"*4"), COUNTIF('ARDT Cutter Entry'!M8,"*5"), COUNTIF('ARDT Cutter Entry'!M8,"*6"),
                    COUNTIF('ARDT Cutter Entry'!M8,"*7"), COUNTIF('ARDT Cutter Entry'!M8,"*8"), COUNTIF('ARDT Cutter Entry'!M8,"*9")),
                    'ARDT Cutter Entry'!M8,
                    'ARDT Cutter Entry'!M47)
            )
        ),
        ""
    ),
    _xlpm.Result, IF(_xlpm.URCheck,
        IF(AW74&lt;&gt;"", AW74, _xlpm.Fallback),
        _xlpm.Fallback
    ),
    _xlpm.Result
)</f>
        <v>X4</v>
      </c>
      <c r="N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IF(OR(Data!CC50=0, Data!CC50=""), "", "O"&amp;Data!CC50),
            IF('ARDT Cutter Entry'!$C$111&lt;&gt;"",
                IF(OR(
                    COUNTIF('ARDT Cutter Entry'!N65,"*1"), COUNTIF('ARDT Cutter Entry'!N65,"*2"), COUNTIF('ARDT Cutter Entry'!N65,"*3"),
                    COUNTIF('ARDT Cutter Entry'!N65,"*4"), COUNTIF('ARDT Cutter Entry'!N65,"*5"), COUNTIF('ARDT Cutter Entry'!N65,"*6"),
                    COUNTIF('ARDT Cutter Entry'!N65,"*7"), COUNTIF('ARDT Cutter Entry'!N65,"*8"), COUNTIF('ARDT Cutter Entry'!N65,"*9")),
                    'ARDT Cutter Entry'!N65,
                    'ARDT Cutter Entry'!N115),
                IF(OR(
                    COUNTIF('ARDT Cutter Entry'!N8,"*1"), COUNTIF('ARDT Cutter Entry'!N8,"*2"), COUNTIF('ARDT Cutter Entry'!N8,"*3"),
                    COUNTIF('ARDT Cutter Entry'!N8,"*4"), COUNTIF('ARDT Cutter Entry'!N8,"*5"), COUNTIF('ARDT Cutter Entry'!N8,"*6"),
                    COUNTIF('ARDT Cutter Entry'!N8,"*7"), COUNTIF('ARDT Cutter Entry'!N8,"*8"), COUNTIF('ARDT Cutter Entry'!N8,"*9")),
                    'ARDT Cutter Entry'!N8,
                    'ARDT Cutter Entry'!N47)
            )
        ),
        ""
    ),
    _xlpm.Result, IF(_xlpm.URCheck,
        IF(AX74&lt;&gt;"", AX74, _xlpm.Fallback),
        _xlpm.Fallback
    ),
    _xlpm.Result
)</f>
        <v>R2</v>
      </c>
      <c r="O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IF(OR(Data!CD50=0, Data!CD50=""), "", "O"&amp;Data!CD50),
            IF('ARDT Cutter Entry'!$C$111&lt;&gt;"",
                IF(OR(
                    COUNTIF('ARDT Cutter Entry'!O65,"*1"), COUNTIF('ARDT Cutter Entry'!O65,"*2"), COUNTIF('ARDT Cutter Entry'!O65,"*3"),
                    COUNTIF('ARDT Cutter Entry'!O65,"*4"), COUNTIF('ARDT Cutter Entry'!O65,"*5"), COUNTIF('ARDT Cutter Entry'!O65,"*6"),
                    COUNTIF('ARDT Cutter Entry'!O65,"*7"), COUNTIF('ARDT Cutter Entry'!O65,"*8"), COUNTIF('ARDT Cutter Entry'!O65,"*9")),
                    'ARDT Cutter Entry'!O65,
                    'ARDT Cutter Entry'!O115),
                IF(OR(
                    COUNTIF('ARDT Cutter Entry'!O8,"*1"), COUNTIF('ARDT Cutter Entry'!O8,"*2"), COUNTIF('ARDT Cutter Entry'!O8,"*3"),
                    COUNTIF('ARDT Cutter Entry'!O8,"*4"), COUNTIF('ARDT Cutter Entry'!O8,"*5"), COUNTIF('ARDT Cutter Entry'!O8,"*6"),
                    COUNTIF('ARDT Cutter Entry'!O8,"*7"), COUNTIF('ARDT Cutter Entry'!O8,"*8"), COUNTIF('ARDT Cutter Entry'!O8,"*9")),
                    'ARDT Cutter Entry'!O8,
                    'ARDT Cutter Entry'!O47)
            )
        ),
        ""
    ),
    _xlpm.Result, IF(_xlpm.URCheck,
        IF(AY74&lt;&gt;"", AY74, _xlpm.Fallback),
        _xlpm.Fallback
    ),
    _xlpm.Result
)</f>
        <v>R2</v>
      </c>
      <c r="P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IF(OR(Data!CE50=0, Data!CE50=""), "", "O"&amp;Data!CE50),
            IF('ARDT Cutter Entry'!$C$111&lt;&gt;"",
                IF(OR(
                    COUNTIF('ARDT Cutter Entry'!P65,"*1"), COUNTIF('ARDT Cutter Entry'!P65,"*2"), COUNTIF('ARDT Cutter Entry'!P65,"*3"),
                    COUNTIF('ARDT Cutter Entry'!P65,"*4"), COUNTIF('ARDT Cutter Entry'!P65,"*5"), COUNTIF('ARDT Cutter Entry'!P65,"*6"),
                    COUNTIF('ARDT Cutter Entry'!P65,"*7"), COUNTIF('ARDT Cutter Entry'!P65,"*8"), COUNTIF('ARDT Cutter Entry'!P65,"*9")),
                    'ARDT Cutter Entry'!P65,
                    'ARDT Cutter Entry'!P115),
                IF(OR(
                    COUNTIF('ARDT Cutter Entry'!P8,"*1"), COUNTIF('ARDT Cutter Entry'!P8,"*2"), COUNTIF('ARDT Cutter Entry'!P8,"*3"),
                    COUNTIF('ARDT Cutter Entry'!P8,"*4"), COUNTIF('ARDT Cutter Entry'!P8,"*5"), COUNTIF('ARDT Cutter Entry'!P8,"*6"),
                    COUNTIF('ARDT Cutter Entry'!P8,"*7"), COUNTIF('ARDT Cutter Entry'!P8,"*8"), COUNTIF('ARDT Cutter Entry'!P8,"*9")),
                    'ARDT Cutter Entry'!P8,
                    'ARDT Cutter Entry'!P47)
            )
        ),
        ""
    ),
    _xlpm.Result, IF(_xlpm.URCheck,
        IF(AZ74&lt;&gt;"", AZ74, _xlpm.Fallback),
        _xlpm.Fallback
    ),
    _xlpm.Result
)</f>
        <v/>
      </c>
      <c r="Q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IF(OR(Data!CF50=0, Data!CF50=""), "", "O"&amp;Data!CF50),
            IF('ARDT Cutter Entry'!$C$111&lt;&gt;"",
                IF(OR(
                    COUNTIF('ARDT Cutter Entry'!Q65,"*1"), COUNTIF('ARDT Cutter Entry'!Q65,"*2"), COUNTIF('ARDT Cutter Entry'!Q65,"*3"),
                    COUNTIF('ARDT Cutter Entry'!Q65,"*4"), COUNTIF('ARDT Cutter Entry'!Q65,"*5"), COUNTIF('ARDT Cutter Entry'!Q65,"*6"),
                    COUNTIF('ARDT Cutter Entry'!Q65,"*7"), COUNTIF('ARDT Cutter Entry'!Q65,"*8"), COUNTIF('ARDT Cutter Entry'!Q65,"*9")),
                    'ARDT Cutter Entry'!Q65,
                    'ARDT Cutter Entry'!Q115),
                IF(OR(
                    COUNTIF('ARDT Cutter Entry'!Q8,"*1"), COUNTIF('ARDT Cutter Entry'!Q8,"*2"), COUNTIF('ARDT Cutter Entry'!Q8,"*3"),
                    COUNTIF('ARDT Cutter Entry'!Q8,"*4"), COUNTIF('ARDT Cutter Entry'!Q8,"*5"), COUNTIF('ARDT Cutter Entry'!Q8,"*6"),
                    COUNTIF('ARDT Cutter Entry'!Q8,"*7"), COUNTIF('ARDT Cutter Entry'!Q8,"*8"), COUNTIF('ARDT Cutter Entry'!Q8,"*9")),
                    'ARDT Cutter Entry'!Q8,
                    'ARDT Cutter Entry'!Q47)
            )
        ),
        ""
    ),
    _xlpm.Result, IF(_xlpm.URCheck,
        IF(BA74&lt;&gt;"", BA74, _xlpm.Fallback),
        _xlpm.Fallback
    ),
    _xlpm.Result
)</f>
        <v/>
      </c>
      <c r="R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IF(OR(Data!CG50=0, Data!CG50=""), "", "O"&amp;Data!CG50),
            IF('ARDT Cutter Entry'!$C$111&lt;&gt;"",
                IF(OR(
                    COUNTIF('ARDT Cutter Entry'!R65,"*1"), COUNTIF('ARDT Cutter Entry'!R65,"*2"), COUNTIF('ARDT Cutter Entry'!R65,"*3"),
                    COUNTIF('ARDT Cutter Entry'!R65,"*4"), COUNTIF('ARDT Cutter Entry'!R65,"*5"), COUNTIF('ARDT Cutter Entry'!R65,"*6"),
                    COUNTIF('ARDT Cutter Entry'!R65,"*7"), COUNTIF('ARDT Cutter Entry'!R65,"*8"), COUNTIF('ARDT Cutter Entry'!R65,"*9")),
                    'ARDT Cutter Entry'!R65,
                    'ARDT Cutter Entry'!R115),
                IF(OR(
                    COUNTIF('ARDT Cutter Entry'!R8,"*1"), COUNTIF('ARDT Cutter Entry'!R8,"*2"), COUNTIF('ARDT Cutter Entry'!R8,"*3"),
                    COUNTIF('ARDT Cutter Entry'!R8,"*4"), COUNTIF('ARDT Cutter Entry'!R8,"*5"), COUNTIF('ARDT Cutter Entry'!R8,"*6"),
                    COUNTIF('ARDT Cutter Entry'!R8,"*7"), COUNTIF('ARDT Cutter Entry'!R8,"*8"), COUNTIF('ARDT Cutter Entry'!R8,"*9")),
                    'ARDT Cutter Entry'!R8,
                    'ARDT Cutter Entry'!R47)
            )
        ),
        ""
    ),
    _xlpm.Result, IF(_xlpm.URCheck,
        IF(BB74&lt;&gt;"", BB74, _xlpm.Fallback),
        _xlpm.Fallback
    ),
    _xlpm.Result
)</f>
        <v/>
      </c>
      <c r="S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IF(OR(Data!CH50=0, Data!CH50=""), "", "O"&amp;Data!CH50),
            IF('ARDT Cutter Entry'!$C$111&lt;&gt;"",
                IF(OR(
                    COUNTIF('ARDT Cutter Entry'!S65,"*1"), COUNTIF('ARDT Cutter Entry'!S65,"*2"), COUNTIF('ARDT Cutter Entry'!S65,"*3"),
                    COUNTIF('ARDT Cutter Entry'!S65,"*4"), COUNTIF('ARDT Cutter Entry'!S65,"*5"), COUNTIF('ARDT Cutter Entry'!S65,"*6"),
                    COUNTIF('ARDT Cutter Entry'!S65,"*7"), COUNTIF('ARDT Cutter Entry'!S65,"*8"), COUNTIF('ARDT Cutter Entry'!S65,"*9")),
                    'ARDT Cutter Entry'!S65,
                    'ARDT Cutter Entry'!S115),
                IF(OR(
                    COUNTIF('ARDT Cutter Entry'!S8,"*1"), COUNTIF('ARDT Cutter Entry'!S8,"*2"), COUNTIF('ARDT Cutter Entry'!S8,"*3"),
                    COUNTIF('ARDT Cutter Entry'!S8,"*4"), COUNTIF('ARDT Cutter Entry'!S8,"*5"), COUNTIF('ARDT Cutter Entry'!S8,"*6"),
                    COUNTIF('ARDT Cutter Entry'!S8,"*7"), COUNTIF('ARDT Cutter Entry'!S8,"*8"), COUNTIF('ARDT Cutter Entry'!S8,"*9")),
                    'ARDT Cutter Entry'!S8,
                    'ARDT Cutter Entry'!S47)
            )
        ),
        ""
    ),
    _xlpm.Result, IF(_xlpm.URCheck,
        IF(BC74&lt;&gt;"", BC74, _xlpm.Fallback),
        _xlpm.Fallback
    ),
    _xlpm.Result
)</f>
        <v/>
      </c>
      <c r="T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IF(OR(Data!CI50=0, Data!CI50=""), "", "O"&amp;Data!CI50),
            IF('ARDT Cutter Entry'!$C$111&lt;&gt;"",
                IF(OR(
                    COUNTIF('ARDT Cutter Entry'!T65,"*1"), COUNTIF('ARDT Cutter Entry'!T65,"*2"), COUNTIF('ARDT Cutter Entry'!T65,"*3"),
                    COUNTIF('ARDT Cutter Entry'!T65,"*4"), COUNTIF('ARDT Cutter Entry'!T65,"*5"), COUNTIF('ARDT Cutter Entry'!T65,"*6"),
                    COUNTIF('ARDT Cutter Entry'!T65,"*7"), COUNTIF('ARDT Cutter Entry'!T65,"*8"), COUNTIF('ARDT Cutter Entry'!T65,"*9")),
                    'ARDT Cutter Entry'!T65,
                    'ARDT Cutter Entry'!T115),
                IF(OR(
                    COUNTIF('ARDT Cutter Entry'!T8,"*1"), COUNTIF('ARDT Cutter Entry'!T8,"*2"), COUNTIF('ARDT Cutter Entry'!T8,"*3"),
                    COUNTIF('ARDT Cutter Entry'!T8,"*4"), COUNTIF('ARDT Cutter Entry'!T8,"*5"), COUNTIF('ARDT Cutter Entry'!T8,"*6"),
                    COUNTIF('ARDT Cutter Entry'!T8,"*7"), COUNTIF('ARDT Cutter Entry'!T8,"*8"), COUNTIF('ARDT Cutter Entry'!T8,"*9")),
                    'ARDT Cutter Entry'!T8,
                    'ARDT Cutter Entry'!T47)
            )
        ),
        ""
    ),
    _xlpm.Result, IF(_xlpm.URCheck,
        IF(BD74&lt;&gt;"", BD74, _xlpm.Fallback),
        _xlpm.Fallback
    ),
    _xlpm.Result
)</f>
        <v/>
      </c>
      <c r="U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IF(OR(Data!CJ50=0, Data!CJ50=""), "", "O"&amp;Data!CJ50),
            IF('ARDT Cutter Entry'!$C$111&lt;&gt;"",
                IF(OR(
                    COUNTIF('ARDT Cutter Entry'!U65,"*1"), COUNTIF('ARDT Cutter Entry'!U65,"*2"), COUNTIF('ARDT Cutter Entry'!U65,"*3"),
                    COUNTIF('ARDT Cutter Entry'!U65,"*4"), COUNTIF('ARDT Cutter Entry'!U65,"*5"), COUNTIF('ARDT Cutter Entry'!U65,"*6"),
                    COUNTIF('ARDT Cutter Entry'!U65,"*7"), COUNTIF('ARDT Cutter Entry'!U65,"*8"), COUNTIF('ARDT Cutter Entry'!U65,"*9")),
                    'ARDT Cutter Entry'!U65,
                    'ARDT Cutter Entry'!U115),
                IF(OR(
                    COUNTIF('ARDT Cutter Entry'!U8,"*1"), COUNTIF('ARDT Cutter Entry'!U8,"*2"), COUNTIF('ARDT Cutter Entry'!U8,"*3"),
                    COUNTIF('ARDT Cutter Entry'!U8,"*4"), COUNTIF('ARDT Cutter Entry'!U8,"*5"), COUNTIF('ARDT Cutter Entry'!U8,"*6"),
                    COUNTIF('ARDT Cutter Entry'!U8,"*7"), COUNTIF('ARDT Cutter Entry'!U8,"*8"), COUNTIF('ARDT Cutter Entry'!U8,"*9")),
                    'ARDT Cutter Entry'!U8,
                    'ARDT Cutter Entry'!U47)
            )
        ),
        ""
    ),
    _xlpm.Result, IF(_xlpm.URCheck,
        IF(BE74&lt;&gt;"", BE74, _xlpm.Fallback),
        _xlpm.Fallback
    ),
    _xlpm.Result
)</f>
        <v/>
      </c>
      <c r="V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IF(OR(Data!CK50=0, Data!CK50=""), "", "O"&amp;Data!CK50),
            IF('ARDT Cutter Entry'!$C$111&lt;&gt;"",
                IF(OR(
                    COUNTIF('ARDT Cutter Entry'!V65,"*1"), COUNTIF('ARDT Cutter Entry'!V65,"*2"), COUNTIF('ARDT Cutter Entry'!V65,"*3"),
                    COUNTIF('ARDT Cutter Entry'!V65,"*4"), COUNTIF('ARDT Cutter Entry'!V65,"*5"), COUNTIF('ARDT Cutter Entry'!V65,"*6"),
                    COUNTIF('ARDT Cutter Entry'!V65,"*7"), COUNTIF('ARDT Cutter Entry'!V65,"*8"), COUNTIF('ARDT Cutter Entry'!V65,"*9")),
                    'ARDT Cutter Entry'!V65,
                    'ARDT Cutter Entry'!V115),
                IF(OR(
                    COUNTIF('ARDT Cutter Entry'!V8,"*1"), COUNTIF('ARDT Cutter Entry'!V8,"*2"), COUNTIF('ARDT Cutter Entry'!V8,"*3"),
                    COUNTIF('ARDT Cutter Entry'!V8,"*4"), COUNTIF('ARDT Cutter Entry'!V8,"*5"), COUNTIF('ARDT Cutter Entry'!V8,"*6"),
                    COUNTIF('ARDT Cutter Entry'!V8,"*7"), COUNTIF('ARDT Cutter Entry'!V8,"*8"), COUNTIF('ARDT Cutter Entry'!V8,"*9")),
                    'ARDT Cutter Entry'!V8,
                    'ARDT Cutter Entry'!V47)
            )
        ),
        ""
    ),
    _xlpm.Result, IF(_xlpm.URCheck,
        IF(BF74&lt;&gt;"", BF74, _xlpm.Fallback),
        _xlpm.Fallback
    ),
    _xlpm.Result
)</f>
        <v/>
      </c>
      <c r="W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IF(OR(Data!CL50=0, Data!CL50=""), "", "O"&amp;Data!CL50),
            IF('ARDT Cutter Entry'!$C$111&lt;&gt;"",
                IF(OR(
                    COUNTIF('ARDT Cutter Entry'!W65,"*1"), COUNTIF('ARDT Cutter Entry'!W65,"*2"), COUNTIF('ARDT Cutter Entry'!W65,"*3"),
                    COUNTIF('ARDT Cutter Entry'!W65,"*4"), COUNTIF('ARDT Cutter Entry'!W65,"*5"), COUNTIF('ARDT Cutter Entry'!W65,"*6"),
                    COUNTIF('ARDT Cutter Entry'!W65,"*7"), COUNTIF('ARDT Cutter Entry'!W65,"*8"), COUNTIF('ARDT Cutter Entry'!W65,"*9")),
                    'ARDT Cutter Entry'!W65,
                    'ARDT Cutter Entry'!W115),
                IF(OR(
                    COUNTIF('ARDT Cutter Entry'!W8,"*1"), COUNTIF('ARDT Cutter Entry'!W8,"*2"), COUNTIF('ARDT Cutter Entry'!W8,"*3"),
                    COUNTIF('ARDT Cutter Entry'!W8,"*4"), COUNTIF('ARDT Cutter Entry'!W8,"*5"), COUNTIF('ARDT Cutter Entry'!W8,"*6"),
                    COUNTIF('ARDT Cutter Entry'!W8,"*7"), COUNTIF('ARDT Cutter Entry'!W8,"*8"), COUNTIF('ARDT Cutter Entry'!W8,"*9")),
                    'ARDT Cutter Entry'!W8,
                    'ARDT Cutter Entry'!W47)
            )
        ),
        ""
    ),
    _xlpm.Result, IF(_xlpm.URCheck,
        IF(BG74&lt;&gt;"", BG74, _xlpm.Fallback),
        _xlpm.Fallback
    ),
    _xlpm.Result
)</f>
        <v/>
      </c>
      <c r="X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IF(OR(Data!CM50=0, Data!CM50=""), "", "O"&amp;Data!CM50),
            IF('ARDT Cutter Entry'!$C$111&lt;&gt;"",
                IF(OR(
                    COUNTIF('ARDT Cutter Entry'!X65,"*1"), COUNTIF('ARDT Cutter Entry'!X65,"*2"), COUNTIF('ARDT Cutter Entry'!X65,"*3"),
                    COUNTIF('ARDT Cutter Entry'!X65,"*4"), COUNTIF('ARDT Cutter Entry'!X65,"*5"), COUNTIF('ARDT Cutter Entry'!X65,"*6"),
                    COUNTIF('ARDT Cutter Entry'!X65,"*7"), COUNTIF('ARDT Cutter Entry'!X65,"*8"), COUNTIF('ARDT Cutter Entry'!X65,"*9")),
                    'ARDT Cutter Entry'!X65,
                    'ARDT Cutter Entry'!X115),
                IF(OR(
                    COUNTIF('ARDT Cutter Entry'!X8,"*1"), COUNTIF('ARDT Cutter Entry'!X8,"*2"), COUNTIF('ARDT Cutter Entry'!X8,"*3"),
                    COUNTIF('ARDT Cutter Entry'!X8,"*4"), COUNTIF('ARDT Cutter Entry'!X8,"*5"), COUNTIF('ARDT Cutter Entry'!X8,"*6"),
                    COUNTIF('ARDT Cutter Entry'!X8,"*7"), COUNTIF('ARDT Cutter Entry'!X8,"*8"), COUNTIF('ARDT Cutter Entry'!X8,"*9")),
                    'ARDT Cutter Entry'!X8,
                    'ARDT Cutter Entry'!X47)
            )
        ),
        ""
    ),
    _xlpm.Result, IF(_xlpm.URCheck,
        IF(BH74&lt;&gt;"", BH74, _xlpm.Fallback),
        _xlpm.Fallback
    ),
    _xlpm.Result
)</f>
        <v/>
      </c>
      <c r="Y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IF(OR(Data!CN50=0, Data!CN50=""), "", "O"&amp;Data!CN50),
            IF('ARDT Cutter Entry'!$C$111&lt;&gt;"",
                IF(OR(
                    COUNTIF('ARDT Cutter Entry'!Y65,"*1"), COUNTIF('ARDT Cutter Entry'!Y65,"*2"), COUNTIF('ARDT Cutter Entry'!Y65,"*3"),
                    COUNTIF('ARDT Cutter Entry'!Y65,"*4"), COUNTIF('ARDT Cutter Entry'!Y65,"*5"), COUNTIF('ARDT Cutter Entry'!Y65,"*6"),
                    COUNTIF('ARDT Cutter Entry'!Y65,"*7"), COUNTIF('ARDT Cutter Entry'!Y65,"*8"), COUNTIF('ARDT Cutter Entry'!Y65,"*9")),
                    'ARDT Cutter Entry'!Y65,
                    'ARDT Cutter Entry'!Y115),
                IF(OR(
                    COUNTIF('ARDT Cutter Entry'!Y8,"*1"), COUNTIF('ARDT Cutter Entry'!Y8,"*2"), COUNTIF('ARDT Cutter Entry'!Y8,"*3"),
                    COUNTIF('ARDT Cutter Entry'!Y8,"*4"), COUNTIF('ARDT Cutter Entry'!Y8,"*5"), COUNTIF('ARDT Cutter Entry'!Y8,"*6"),
                    COUNTIF('ARDT Cutter Entry'!Y8,"*7"), COUNTIF('ARDT Cutter Entry'!Y8,"*8"), COUNTIF('ARDT Cutter Entry'!Y8,"*9")),
                    'ARDT Cutter Entry'!Y8,
                    'ARDT Cutter Entry'!Y47)
            )
        ),
        ""
    ),
    _xlpm.Result, IF(_xlpm.URCheck,
        IF(BI74&lt;&gt;"", BI74, _xlpm.Fallback),
        _xlpm.Fallback
    ),
    _xlpm.Result
)</f>
        <v/>
      </c>
      <c r="Z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IF(OR(Data!CO50=0, Data!CO50=""), "", "O"&amp;Data!CO50),
            IF('ARDT Cutter Entry'!$C$111&lt;&gt;"",
                IF(OR(
                    COUNTIF('ARDT Cutter Entry'!Z65,"*1"), COUNTIF('ARDT Cutter Entry'!Z65,"*2"), COUNTIF('ARDT Cutter Entry'!Z65,"*3"),
                    COUNTIF('ARDT Cutter Entry'!Z65,"*4"), COUNTIF('ARDT Cutter Entry'!Z65,"*5"), COUNTIF('ARDT Cutter Entry'!Z65,"*6"),
                    COUNTIF('ARDT Cutter Entry'!Z65,"*7"), COUNTIF('ARDT Cutter Entry'!Z65,"*8"), COUNTIF('ARDT Cutter Entry'!Z65,"*9")),
                    'ARDT Cutter Entry'!Z65,
                    'ARDT Cutter Entry'!Z115),
                IF(OR(
                    COUNTIF('ARDT Cutter Entry'!Z8,"*1"), COUNTIF('ARDT Cutter Entry'!Z8,"*2"), COUNTIF('ARDT Cutter Entry'!Z8,"*3"),
                    COUNTIF('ARDT Cutter Entry'!Z8,"*4"), COUNTIF('ARDT Cutter Entry'!Z8,"*5"), COUNTIF('ARDT Cutter Entry'!Z8,"*6"),
                    COUNTIF('ARDT Cutter Entry'!Z8,"*7"), COUNTIF('ARDT Cutter Entry'!Z8,"*8"), COUNTIF('ARDT Cutter Entry'!Z8,"*9")),
                    'ARDT Cutter Entry'!Z8,
                    'ARDT Cutter Entry'!Z47)
            )
        ),
        ""
    ),
    _xlpm.Result, IF(_xlpm.URCheck,
        IF(BJ74&lt;&gt;"", BJ74, _xlpm.Fallback),
        _xlpm.Fallback
    ),
    _xlpm.Result
)</f>
        <v/>
      </c>
      <c r="AA21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IF(OR(Data!CP50=0, Data!CP50=""), "", "O"&amp;Data!CP50),
            IF('ARDT Cutter Entry'!$C$111&lt;&gt;"",
                IF(OR(
                    COUNTIF('ARDT Cutter Entry'!AA65,"*1"), COUNTIF('ARDT Cutter Entry'!AA65,"*2"), COUNTIF('ARDT Cutter Entry'!AA65,"*3"),
                    COUNTIF('ARDT Cutter Entry'!AA65,"*4"), COUNTIF('ARDT Cutter Entry'!AA65,"*5"), COUNTIF('ARDT Cutter Entry'!AA65,"*6"),
                    COUNTIF('ARDT Cutter Entry'!AA65,"*7"), COUNTIF('ARDT Cutter Entry'!AA65,"*8"), COUNTIF('ARDT Cutter Entry'!AA65,"*9")),
                    'ARDT Cutter Entry'!AA65,
                    'ARDT Cutter Entry'!AA115),
                IF(OR(
                    COUNTIF('ARDT Cutter Entry'!AA8,"*1"), COUNTIF('ARDT Cutter Entry'!AA8,"*2"), COUNTIF('ARDT Cutter Entry'!AA8,"*3"),
                    COUNTIF('ARDT Cutter Entry'!AA8,"*4"), COUNTIF('ARDT Cutter Entry'!AA8,"*5"), COUNTIF('ARDT Cutter Entry'!AA8,"*6"),
                    COUNTIF('ARDT Cutter Entry'!AA8,"*7"), COUNTIF('ARDT Cutter Entry'!AA8,"*8"), COUNTIF('ARDT Cutter Entry'!AA8,"*9")),
                    'ARDT Cutter Entry'!AA8,
                    'ARDT Cutter Entry'!AA47)
            )
        ),
        ""
    ),
    _xlpm.Result, IF(_xlpm.URCheck,
        IF(BK74&lt;&gt;"", BK74, _xlpm.Fallback),
        _xlpm.Fallback
    ),
    _xlpm.Result
)</f>
        <v/>
      </c>
    </row>
    <row r="22" spans="1:27" ht="18.75" customHeight="1" x14ac:dyDescent="0.35">
      <c r="A22" s="1423"/>
      <c r="B22" s="396">
        <v>6</v>
      </c>
      <c r="C22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IF(OR(Data!BR51=0, Data!BR51=""), "", "O"&amp;Data!BR51),
            IF('ARDT Cutter Entry'!$C$111&lt;&gt;"",
                IF(OR(
                    COUNTIF('ARDT Cutter Entry'!C66,"*1"), COUNTIF('ARDT Cutter Entry'!C66,"*2"), COUNTIF('ARDT Cutter Entry'!C66,"*3"),
                    COUNTIF('ARDT Cutter Entry'!C66,"*4"), COUNTIF('ARDT Cutter Entry'!C66,"*5"), COUNTIF('ARDT Cutter Entry'!C66,"*6"),
                    COUNTIF('ARDT Cutter Entry'!C66,"*7"), COUNTIF('ARDT Cutter Entry'!C66,"*8"), COUNTIF('ARDT Cutter Entry'!C66,"*9")),
                    'ARDT Cutter Entry'!C66,
                    'ARDT Cutter Entry'!C116),
                IF(OR(
                    COUNTIF('ARDT Cutter Entry'!C9,"*1"), COUNTIF('ARDT Cutter Entry'!C9,"*2"), COUNTIF('ARDT Cutter Entry'!C9,"*3"),
                    COUNTIF('ARDT Cutter Entry'!C9,"*4"), COUNTIF('ARDT Cutter Entry'!C9,"*5"), COUNTIF('ARDT Cutter Entry'!C9,"*6"),
                    COUNTIF('ARDT Cutter Entry'!C9,"*7"), COUNTIF('ARDT Cutter Entry'!C9,"*8"), COUNTIF('ARDT Cutter Entry'!C9,"*9")),
                    'ARDT Cutter Entry'!C9,
                    'ARDT Cutter Entry'!C48)
            )
        ),
        ""
    ),
    _xlpm.Result, IF(_xlpm.URCheck,
        IF(AM75&lt;&gt;"", AM75, _xlpm.Fallback),
        _xlpm.Fallback
    ),
    _xlpm.Result
)</f>
        <v>X5</v>
      </c>
      <c r="D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IF(OR(Data!BS51=0, Data!BS51=""), "", "O"&amp;Data!BS51),
            IF('ARDT Cutter Entry'!$C$111&lt;&gt;"",
                IF(OR(
                    COUNTIF('ARDT Cutter Entry'!D66,"*1"), COUNTIF('ARDT Cutter Entry'!D66,"*2"), COUNTIF('ARDT Cutter Entry'!D66,"*3"),
                    COUNTIF('ARDT Cutter Entry'!D66,"*4"), COUNTIF('ARDT Cutter Entry'!D66,"*5"), COUNTIF('ARDT Cutter Entry'!D66,"*6"),
                    COUNTIF('ARDT Cutter Entry'!D66,"*7"), COUNTIF('ARDT Cutter Entry'!D66,"*8"), COUNTIF('ARDT Cutter Entry'!D66,"*9")),
                    'ARDT Cutter Entry'!D66,
                    'ARDT Cutter Entry'!D116),
                IF(OR(
                    COUNTIF('ARDT Cutter Entry'!D9,"*1"), COUNTIF('ARDT Cutter Entry'!D9,"*2"), COUNTIF('ARDT Cutter Entry'!D9,"*3"),
                    COUNTIF('ARDT Cutter Entry'!D9,"*4"), COUNTIF('ARDT Cutter Entry'!D9,"*5"), COUNTIF('ARDT Cutter Entry'!D9,"*6"),
                    COUNTIF('ARDT Cutter Entry'!D9,"*7"), COUNTIF('ARDT Cutter Entry'!D9,"*8"), COUNTIF('ARDT Cutter Entry'!D9,"*9")),
                    'ARDT Cutter Entry'!D9,
                    'ARDT Cutter Entry'!D48)
            )
        ),
        ""
    ),
    _xlpm.Result, IF(_xlpm.URCheck,
        IF(AN75&lt;&gt;"", AN75, _xlpm.Fallback),
        _xlpm.Fallback
    ),
    _xlpm.Result
)</f>
        <v>X5</v>
      </c>
      <c r="E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IF(OR(Data!BT51=0, Data!BT51=""), "", "O"&amp;Data!BT51),
            IF('ARDT Cutter Entry'!$C$111&lt;&gt;"",
                IF(OR(
                    COUNTIF('ARDT Cutter Entry'!E66,"*1"), COUNTIF('ARDT Cutter Entry'!E66,"*2"), COUNTIF('ARDT Cutter Entry'!E66,"*3"),
                    COUNTIF('ARDT Cutter Entry'!E66,"*4"), COUNTIF('ARDT Cutter Entry'!E66,"*5"), COUNTIF('ARDT Cutter Entry'!E66,"*6"),
                    COUNTIF('ARDT Cutter Entry'!E66,"*7"), COUNTIF('ARDT Cutter Entry'!E66,"*8"), COUNTIF('ARDT Cutter Entry'!E66,"*9")),
                    'ARDT Cutter Entry'!E66,
                    'ARDT Cutter Entry'!E116),
                IF(OR(
                    COUNTIF('ARDT Cutter Entry'!E9,"*1"), COUNTIF('ARDT Cutter Entry'!E9,"*2"), COUNTIF('ARDT Cutter Entry'!E9,"*3"),
                    COUNTIF('ARDT Cutter Entry'!E9,"*4"), COUNTIF('ARDT Cutter Entry'!E9,"*5"), COUNTIF('ARDT Cutter Entry'!E9,"*6"),
                    COUNTIF('ARDT Cutter Entry'!E9,"*7"), COUNTIF('ARDT Cutter Entry'!E9,"*8"), COUNTIF('ARDT Cutter Entry'!E9,"*9")),
                    'ARDT Cutter Entry'!E9,
                    'ARDT Cutter Entry'!E48)
            )
        ),
        ""
    ),
    _xlpm.Result, IF(_xlpm.URCheck,
        IF(AO75&lt;&gt;"", AO75, _xlpm.Fallback),
        _xlpm.Fallback
    ),
    _xlpm.Result
)</f>
        <v>X5</v>
      </c>
      <c r="F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IF(OR(Data!BU51=0, Data!BU51=""), "", "O"&amp;Data!BU51),
            IF('ARDT Cutter Entry'!$C$111&lt;&gt;"",
                IF(OR(
                    COUNTIF('ARDT Cutter Entry'!F66,"*1"), COUNTIF('ARDT Cutter Entry'!F66,"*2"), COUNTIF('ARDT Cutter Entry'!F66,"*3"),
                    COUNTIF('ARDT Cutter Entry'!F66,"*4"), COUNTIF('ARDT Cutter Entry'!F66,"*5"), COUNTIF('ARDT Cutter Entry'!F66,"*6"),
                    COUNTIF('ARDT Cutter Entry'!F66,"*7"), COUNTIF('ARDT Cutter Entry'!F66,"*8"), COUNTIF('ARDT Cutter Entry'!F66,"*9")),
                    'ARDT Cutter Entry'!F66,
                    'ARDT Cutter Entry'!F116),
                IF(OR(
                    COUNTIF('ARDT Cutter Entry'!F9,"*1"), COUNTIF('ARDT Cutter Entry'!F9,"*2"), COUNTIF('ARDT Cutter Entry'!F9,"*3"),
                    COUNTIF('ARDT Cutter Entry'!F9,"*4"), COUNTIF('ARDT Cutter Entry'!F9,"*5"), COUNTIF('ARDT Cutter Entry'!F9,"*6"),
                    COUNTIF('ARDT Cutter Entry'!F9,"*7"), COUNTIF('ARDT Cutter Entry'!F9,"*8"), COUNTIF('ARDT Cutter Entry'!F9,"*9")),
                    'ARDT Cutter Entry'!F9,
                    'ARDT Cutter Entry'!F48)
            )
        ),
        ""
    ),
    _xlpm.Result, IF(_xlpm.URCheck,
        IF(AP75&lt;&gt;"", AP75, _xlpm.Fallback),
        _xlpm.Fallback
    ),
    _xlpm.Result
)</f>
        <v>R1</v>
      </c>
      <c r="G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IF(OR(Data!BV51=0, Data!BV51=""), "", "O"&amp;Data!BV51),
            IF('ARDT Cutter Entry'!$C$111&lt;&gt;"",
                IF(OR(
                    COUNTIF('ARDT Cutter Entry'!G66,"*1"), COUNTIF('ARDT Cutter Entry'!G66,"*2"), COUNTIF('ARDT Cutter Entry'!G66,"*3"),
                    COUNTIF('ARDT Cutter Entry'!G66,"*4"), COUNTIF('ARDT Cutter Entry'!G66,"*5"), COUNTIF('ARDT Cutter Entry'!G66,"*6"),
                    COUNTIF('ARDT Cutter Entry'!G66,"*7"), COUNTIF('ARDT Cutter Entry'!G66,"*8"), COUNTIF('ARDT Cutter Entry'!G66,"*9")),
                    'ARDT Cutter Entry'!G66,
                    'ARDT Cutter Entry'!G116),
                IF(OR(
                    COUNTIF('ARDT Cutter Entry'!G9,"*1"), COUNTIF('ARDT Cutter Entry'!G9,"*2"), COUNTIF('ARDT Cutter Entry'!G9,"*3"),
                    COUNTIF('ARDT Cutter Entry'!G9,"*4"), COUNTIF('ARDT Cutter Entry'!G9,"*5"), COUNTIF('ARDT Cutter Entry'!G9,"*6"),
                    COUNTIF('ARDT Cutter Entry'!G9,"*7"), COUNTIF('ARDT Cutter Entry'!G9,"*8"), COUNTIF('ARDT Cutter Entry'!G9,"*9")),
                    'ARDT Cutter Entry'!G9,
                    'ARDT Cutter Entry'!G48)
            )
        ),
        ""
    ),
    _xlpm.Result, IF(_xlpm.URCheck,
        IF(AQ75&lt;&gt;"", AQ75, _xlpm.Fallback),
        _xlpm.Fallback
    ),
    _xlpm.Result
)</f>
        <v>X3</v>
      </c>
      <c r="H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IF(OR(Data!BW51=0, Data!BW51=""), "", "O"&amp;Data!BW51),
            IF('ARDT Cutter Entry'!$C$111&lt;&gt;"",
                IF(OR(
                    COUNTIF('ARDT Cutter Entry'!H66,"*1"), COUNTIF('ARDT Cutter Entry'!H66,"*2"), COUNTIF('ARDT Cutter Entry'!H66,"*3"),
                    COUNTIF('ARDT Cutter Entry'!H66,"*4"), COUNTIF('ARDT Cutter Entry'!H66,"*5"), COUNTIF('ARDT Cutter Entry'!H66,"*6"),
                    COUNTIF('ARDT Cutter Entry'!H66,"*7"), COUNTIF('ARDT Cutter Entry'!H66,"*8"), COUNTIF('ARDT Cutter Entry'!H66,"*9")),
                    'ARDT Cutter Entry'!H66,
                    'ARDT Cutter Entry'!H116),
                IF(OR(
                    COUNTIF('ARDT Cutter Entry'!H9,"*1"), COUNTIF('ARDT Cutter Entry'!H9,"*2"), COUNTIF('ARDT Cutter Entry'!H9,"*3"),
                    COUNTIF('ARDT Cutter Entry'!H9,"*4"), COUNTIF('ARDT Cutter Entry'!H9,"*5"), COUNTIF('ARDT Cutter Entry'!H9,"*6"),
                    COUNTIF('ARDT Cutter Entry'!H9,"*7"), COUNTIF('ARDT Cutter Entry'!H9,"*8"), COUNTIF('ARDT Cutter Entry'!H9,"*9")),
                    'ARDT Cutter Entry'!H9,
                    'ARDT Cutter Entry'!H48)
            )
        ),
        ""
    ),
    _xlpm.Result, IF(_xlpm.URCheck,
        IF(AR75&lt;&gt;"", AR75, _xlpm.Fallback),
        _xlpm.Fallback
    ),
    _xlpm.Result
)</f>
        <v/>
      </c>
      <c r="I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IF(OR(Data!BX51=0, Data!BX51=""), "", "O"&amp;Data!BX51),
            IF('ARDT Cutter Entry'!$C$111&lt;&gt;"",
                IF(OR(
                    COUNTIF('ARDT Cutter Entry'!I66,"*1"), COUNTIF('ARDT Cutter Entry'!I66,"*2"), COUNTIF('ARDT Cutter Entry'!I66,"*3"),
                    COUNTIF('ARDT Cutter Entry'!I66,"*4"), COUNTIF('ARDT Cutter Entry'!I66,"*5"), COUNTIF('ARDT Cutter Entry'!I66,"*6"),
                    COUNTIF('ARDT Cutter Entry'!I66,"*7"), COUNTIF('ARDT Cutter Entry'!I66,"*8"), COUNTIF('ARDT Cutter Entry'!I66,"*9")),
                    'ARDT Cutter Entry'!I66,
                    'ARDT Cutter Entry'!I116),
                IF(OR(
                    COUNTIF('ARDT Cutter Entry'!I9,"*1"), COUNTIF('ARDT Cutter Entry'!I9,"*2"), COUNTIF('ARDT Cutter Entry'!I9,"*3"),
                    COUNTIF('ARDT Cutter Entry'!I9,"*4"), COUNTIF('ARDT Cutter Entry'!I9,"*5"), COUNTIF('ARDT Cutter Entry'!I9,"*6"),
                    COUNTIF('ARDT Cutter Entry'!I9,"*7"), COUNTIF('ARDT Cutter Entry'!I9,"*8"), COUNTIF('ARDT Cutter Entry'!I9,"*9")),
                    'ARDT Cutter Entry'!I9,
                    'ARDT Cutter Entry'!I48)
            )
        ),
        ""
    ),
    _xlpm.Result, IF(_xlpm.URCheck,
        IF(AS75&lt;&gt;"", AS75, _xlpm.Fallback),
        _xlpm.Fallback
    ),
    _xlpm.Result
)</f>
        <v/>
      </c>
      <c r="J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IF(OR(Data!BY51=0, Data!BY51=""), "", "O"&amp;Data!BY51),
            IF('ARDT Cutter Entry'!$C$111&lt;&gt;"",
                IF(OR(
                    COUNTIF('ARDT Cutter Entry'!J66,"*1"), COUNTIF('ARDT Cutter Entry'!J66,"*2"), COUNTIF('ARDT Cutter Entry'!J66,"*3"),
                    COUNTIF('ARDT Cutter Entry'!J66,"*4"), COUNTIF('ARDT Cutter Entry'!J66,"*5"), COUNTIF('ARDT Cutter Entry'!J66,"*6"),
                    COUNTIF('ARDT Cutter Entry'!J66,"*7"), COUNTIF('ARDT Cutter Entry'!J66,"*8"), COUNTIF('ARDT Cutter Entry'!J66,"*9")),
                    'ARDT Cutter Entry'!J66,
                    'ARDT Cutter Entry'!J116),
                IF(OR(
                    COUNTIF('ARDT Cutter Entry'!J9,"*1"), COUNTIF('ARDT Cutter Entry'!J9,"*2"), COUNTIF('ARDT Cutter Entry'!J9,"*3"),
                    COUNTIF('ARDT Cutter Entry'!J9,"*4"), COUNTIF('ARDT Cutter Entry'!J9,"*5"), COUNTIF('ARDT Cutter Entry'!J9,"*6"),
                    COUNTIF('ARDT Cutter Entry'!J9,"*7"), COUNTIF('ARDT Cutter Entry'!J9,"*8"), COUNTIF('ARDT Cutter Entry'!J9,"*9")),
                    'ARDT Cutter Entry'!J9,
                    'ARDT Cutter Entry'!J48)
            )
        ),
        ""
    ),
    _xlpm.Result, IF(_xlpm.URCheck,
        IF(AT75&lt;&gt;"", AT75, _xlpm.Fallback),
        _xlpm.Fallback
    ),
    _xlpm.Result
)</f>
        <v/>
      </c>
      <c r="K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IF(OR(Data!BZ51=0, Data!BZ51=""), "", "O"&amp;Data!BZ51),
            IF('ARDT Cutter Entry'!$C$111&lt;&gt;"",
                IF(OR(
                    COUNTIF('ARDT Cutter Entry'!K66,"*1"), COUNTIF('ARDT Cutter Entry'!K66,"*2"), COUNTIF('ARDT Cutter Entry'!K66,"*3"),
                    COUNTIF('ARDT Cutter Entry'!K66,"*4"), COUNTIF('ARDT Cutter Entry'!K66,"*5"), COUNTIF('ARDT Cutter Entry'!K66,"*6"),
                    COUNTIF('ARDT Cutter Entry'!K66,"*7"), COUNTIF('ARDT Cutter Entry'!K66,"*8"), COUNTIF('ARDT Cutter Entry'!K66,"*9")),
                    'ARDT Cutter Entry'!K66,
                    'ARDT Cutter Entry'!K116),
                IF(OR(
                    COUNTIF('ARDT Cutter Entry'!K9,"*1"), COUNTIF('ARDT Cutter Entry'!K9,"*2"), COUNTIF('ARDT Cutter Entry'!K9,"*3"),
                    COUNTIF('ARDT Cutter Entry'!K9,"*4"), COUNTIF('ARDT Cutter Entry'!K9,"*5"), COUNTIF('ARDT Cutter Entry'!K9,"*6"),
                    COUNTIF('ARDT Cutter Entry'!K9,"*7"), COUNTIF('ARDT Cutter Entry'!K9,"*8"), COUNTIF('ARDT Cutter Entry'!K9,"*9")),
                    'ARDT Cutter Entry'!K9,
                    'ARDT Cutter Entry'!K48)
            )
        ),
        ""
    ),
    _xlpm.Result, IF(_xlpm.URCheck,
        IF(AU75&lt;&gt;"", AU75, _xlpm.Fallback),
        _xlpm.Fallback
    ),
    _xlpm.Result
)</f>
        <v/>
      </c>
      <c r="L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IF(OR(Data!CA51=0, Data!CA51=""), "", "O"&amp;Data!CA51),
            IF('ARDT Cutter Entry'!$C$111&lt;&gt;"",
                IF(OR(
                    COUNTIF('ARDT Cutter Entry'!L66,"*1"), COUNTIF('ARDT Cutter Entry'!L66,"*2"), COUNTIF('ARDT Cutter Entry'!L66,"*3"),
                    COUNTIF('ARDT Cutter Entry'!L66,"*4"), COUNTIF('ARDT Cutter Entry'!L66,"*5"), COUNTIF('ARDT Cutter Entry'!L66,"*6"),
                    COUNTIF('ARDT Cutter Entry'!L66,"*7"), COUNTIF('ARDT Cutter Entry'!L66,"*8"), COUNTIF('ARDT Cutter Entry'!L66,"*9")),
                    'ARDT Cutter Entry'!L66,
                    'ARDT Cutter Entry'!L116),
                IF(OR(
                    COUNTIF('ARDT Cutter Entry'!L9,"*1"), COUNTIF('ARDT Cutter Entry'!L9,"*2"), COUNTIF('ARDT Cutter Entry'!L9,"*3"),
                    COUNTIF('ARDT Cutter Entry'!L9,"*4"), COUNTIF('ARDT Cutter Entry'!L9,"*5"), COUNTIF('ARDT Cutter Entry'!L9,"*6"),
                    COUNTIF('ARDT Cutter Entry'!L9,"*7"), COUNTIF('ARDT Cutter Entry'!L9,"*8"), COUNTIF('ARDT Cutter Entry'!L9,"*9")),
                    'ARDT Cutter Entry'!L9,
                    'ARDT Cutter Entry'!L48)
            )
        ),
        ""
    ),
    _xlpm.Result, IF(_xlpm.URCheck,
        IF(AV75&lt;&gt;"", AV75, _xlpm.Fallback),
        _xlpm.Fallback
    ),
    _xlpm.Result
)</f>
        <v>S2</v>
      </c>
      <c r="M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IF(OR(Data!CB51=0, Data!CB51=""), "", "O"&amp;Data!CB51),
            IF('ARDT Cutter Entry'!$C$111&lt;&gt;"",
                IF(OR(
                    COUNTIF('ARDT Cutter Entry'!M66,"*1"), COUNTIF('ARDT Cutter Entry'!M66,"*2"), COUNTIF('ARDT Cutter Entry'!M66,"*3"),
                    COUNTIF('ARDT Cutter Entry'!M66,"*4"), COUNTIF('ARDT Cutter Entry'!M66,"*5"), COUNTIF('ARDT Cutter Entry'!M66,"*6"),
                    COUNTIF('ARDT Cutter Entry'!M66,"*7"), COUNTIF('ARDT Cutter Entry'!M66,"*8"), COUNTIF('ARDT Cutter Entry'!M66,"*9")),
                    'ARDT Cutter Entry'!M66,
                    'ARDT Cutter Entry'!M116),
                IF(OR(
                    COUNTIF('ARDT Cutter Entry'!M9,"*1"), COUNTIF('ARDT Cutter Entry'!M9,"*2"), COUNTIF('ARDT Cutter Entry'!M9,"*3"),
                    COUNTIF('ARDT Cutter Entry'!M9,"*4"), COUNTIF('ARDT Cutter Entry'!M9,"*5"), COUNTIF('ARDT Cutter Entry'!M9,"*6"),
                    COUNTIF('ARDT Cutter Entry'!M9,"*7"), COUNTIF('ARDT Cutter Entry'!M9,"*8"), COUNTIF('ARDT Cutter Entry'!M9,"*9")),
                    'ARDT Cutter Entry'!M9,
                    'ARDT Cutter Entry'!M48)
            )
        ),
        ""
    ),
    _xlpm.Result, IF(_xlpm.URCheck,
        IF(AW75&lt;&gt;"", AW75, _xlpm.Fallback),
        _xlpm.Fallback
    ),
    _xlpm.Result
)</f>
        <v>R2</v>
      </c>
      <c r="N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IF(OR(Data!CC51=0, Data!CC51=""), "", "O"&amp;Data!CC51),
            IF('ARDT Cutter Entry'!$C$111&lt;&gt;"",
                IF(OR(
                    COUNTIF('ARDT Cutter Entry'!N66,"*1"), COUNTIF('ARDT Cutter Entry'!N66,"*2"), COUNTIF('ARDT Cutter Entry'!N66,"*3"),
                    COUNTIF('ARDT Cutter Entry'!N66,"*4"), COUNTIF('ARDT Cutter Entry'!N66,"*5"), COUNTIF('ARDT Cutter Entry'!N66,"*6"),
                    COUNTIF('ARDT Cutter Entry'!N66,"*7"), COUNTIF('ARDT Cutter Entry'!N66,"*8"), COUNTIF('ARDT Cutter Entry'!N66,"*9")),
                    'ARDT Cutter Entry'!N66,
                    'ARDT Cutter Entry'!N116),
                IF(OR(
                    COUNTIF('ARDT Cutter Entry'!N9,"*1"), COUNTIF('ARDT Cutter Entry'!N9,"*2"), COUNTIF('ARDT Cutter Entry'!N9,"*3"),
                    COUNTIF('ARDT Cutter Entry'!N9,"*4"), COUNTIF('ARDT Cutter Entry'!N9,"*5"), COUNTIF('ARDT Cutter Entry'!N9,"*6"),
                    COUNTIF('ARDT Cutter Entry'!N9,"*7"), COUNTIF('ARDT Cutter Entry'!N9,"*8"), COUNTIF('ARDT Cutter Entry'!N9,"*9")),
                    'ARDT Cutter Entry'!N9,
                    'ARDT Cutter Entry'!N48)
            )
        ),
        ""
    ),
    _xlpm.Result, IF(_xlpm.URCheck,
        IF(AX75&lt;&gt;"", AX75, _xlpm.Fallback),
        _xlpm.Fallback
    ),
    _xlpm.Result
)</f>
        <v>R2</v>
      </c>
      <c r="O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IF(OR(Data!CD51=0, Data!CD51=""), "", "O"&amp;Data!CD51),
            IF('ARDT Cutter Entry'!$C$111&lt;&gt;"",
                IF(OR(
                    COUNTIF('ARDT Cutter Entry'!O66,"*1"), COUNTIF('ARDT Cutter Entry'!O66,"*2"), COUNTIF('ARDT Cutter Entry'!O66,"*3"),
                    COUNTIF('ARDT Cutter Entry'!O66,"*4"), COUNTIF('ARDT Cutter Entry'!O66,"*5"), COUNTIF('ARDT Cutter Entry'!O66,"*6"),
                    COUNTIF('ARDT Cutter Entry'!O66,"*7"), COUNTIF('ARDT Cutter Entry'!O66,"*8"), COUNTIF('ARDT Cutter Entry'!O66,"*9")),
                    'ARDT Cutter Entry'!O66,
                    'ARDT Cutter Entry'!O116),
                IF(OR(
                    COUNTIF('ARDT Cutter Entry'!O9,"*1"), COUNTIF('ARDT Cutter Entry'!O9,"*2"), COUNTIF('ARDT Cutter Entry'!O9,"*3"),
                    COUNTIF('ARDT Cutter Entry'!O9,"*4"), COUNTIF('ARDT Cutter Entry'!O9,"*5"), COUNTIF('ARDT Cutter Entry'!O9,"*6"),
                    COUNTIF('ARDT Cutter Entry'!O9,"*7"), COUNTIF('ARDT Cutter Entry'!O9,"*8"), COUNTIF('ARDT Cutter Entry'!O9,"*9")),
                    'ARDT Cutter Entry'!O9,
                    'ARDT Cutter Entry'!O48)
            )
        ),
        ""
    ),
    _xlpm.Result, IF(_xlpm.URCheck,
        IF(AY75&lt;&gt;"", AY75, _xlpm.Fallback),
        _xlpm.Fallback
    ),
    _xlpm.Result
)</f>
        <v>R2</v>
      </c>
      <c r="P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IF(OR(Data!CE51=0, Data!CE51=""), "", "O"&amp;Data!CE51),
            IF('ARDT Cutter Entry'!$C$111&lt;&gt;"",
                IF(OR(
                    COUNTIF('ARDT Cutter Entry'!P66,"*1"), COUNTIF('ARDT Cutter Entry'!P66,"*2"), COUNTIF('ARDT Cutter Entry'!P66,"*3"),
                    COUNTIF('ARDT Cutter Entry'!P66,"*4"), COUNTIF('ARDT Cutter Entry'!P66,"*5"), COUNTIF('ARDT Cutter Entry'!P66,"*6"),
                    COUNTIF('ARDT Cutter Entry'!P66,"*7"), COUNTIF('ARDT Cutter Entry'!P66,"*8"), COUNTIF('ARDT Cutter Entry'!P66,"*9")),
                    'ARDT Cutter Entry'!P66,
                    'ARDT Cutter Entry'!P116),
                IF(OR(
                    COUNTIF('ARDT Cutter Entry'!P9,"*1"), COUNTIF('ARDT Cutter Entry'!P9,"*2"), COUNTIF('ARDT Cutter Entry'!P9,"*3"),
                    COUNTIF('ARDT Cutter Entry'!P9,"*4"), COUNTIF('ARDT Cutter Entry'!P9,"*5"), COUNTIF('ARDT Cutter Entry'!P9,"*6"),
                    COUNTIF('ARDT Cutter Entry'!P9,"*7"), COUNTIF('ARDT Cutter Entry'!P9,"*8"), COUNTIF('ARDT Cutter Entry'!P9,"*9")),
                    'ARDT Cutter Entry'!P9,
                    'ARDT Cutter Entry'!P48)
            )
        ),
        ""
    ),
    _xlpm.Result, IF(_xlpm.URCheck,
        IF(AZ75&lt;&gt;"", AZ75, _xlpm.Fallback),
        _xlpm.Fallback
    ),
    _xlpm.Result
)</f>
        <v/>
      </c>
      <c r="Q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IF(OR(Data!CF51=0, Data!CF51=""), "", "O"&amp;Data!CF51),
            IF('ARDT Cutter Entry'!$C$111&lt;&gt;"",
                IF(OR(
                    COUNTIF('ARDT Cutter Entry'!Q66,"*1"), COUNTIF('ARDT Cutter Entry'!Q66,"*2"), COUNTIF('ARDT Cutter Entry'!Q66,"*3"),
                    COUNTIF('ARDT Cutter Entry'!Q66,"*4"), COUNTIF('ARDT Cutter Entry'!Q66,"*5"), COUNTIF('ARDT Cutter Entry'!Q66,"*6"),
                    COUNTIF('ARDT Cutter Entry'!Q66,"*7"), COUNTIF('ARDT Cutter Entry'!Q66,"*8"), COUNTIF('ARDT Cutter Entry'!Q66,"*9")),
                    'ARDT Cutter Entry'!Q66,
                    'ARDT Cutter Entry'!Q116),
                IF(OR(
                    COUNTIF('ARDT Cutter Entry'!Q9,"*1"), COUNTIF('ARDT Cutter Entry'!Q9,"*2"), COUNTIF('ARDT Cutter Entry'!Q9,"*3"),
                    COUNTIF('ARDT Cutter Entry'!Q9,"*4"), COUNTIF('ARDT Cutter Entry'!Q9,"*5"), COUNTIF('ARDT Cutter Entry'!Q9,"*6"),
                    COUNTIF('ARDT Cutter Entry'!Q9,"*7"), COUNTIF('ARDT Cutter Entry'!Q9,"*8"), COUNTIF('ARDT Cutter Entry'!Q9,"*9")),
                    'ARDT Cutter Entry'!Q9,
                    'ARDT Cutter Entry'!Q48)
            )
        ),
        ""
    ),
    _xlpm.Result, IF(_xlpm.URCheck,
        IF(BA75&lt;&gt;"", BA75, _xlpm.Fallback),
        _xlpm.Fallback
    ),
    _xlpm.Result
)</f>
        <v/>
      </c>
      <c r="R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IF(OR(Data!CG51=0, Data!CG51=""), "", "O"&amp;Data!CG51),
            IF('ARDT Cutter Entry'!$C$111&lt;&gt;"",
                IF(OR(
                    COUNTIF('ARDT Cutter Entry'!R66,"*1"), COUNTIF('ARDT Cutter Entry'!R66,"*2"), COUNTIF('ARDT Cutter Entry'!R66,"*3"),
                    COUNTIF('ARDT Cutter Entry'!R66,"*4"), COUNTIF('ARDT Cutter Entry'!R66,"*5"), COUNTIF('ARDT Cutter Entry'!R66,"*6"),
                    COUNTIF('ARDT Cutter Entry'!R66,"*7"), COUNTIF('ARDT Cutter Entry'!R66,"*8"), COUNTIF('ARDT Cutter Entry'!R66,"*9")),
                    'ARDT Cutter Entry'!R66,
                    'ARDT Cutter Entry'!R116),
                IF(OR(
                    COUNTIF('ARDT Cutter Entry'!R9,"*1"), COUNTIF('ARDT Cutter Entry'!R9,"*2"), COUNTIF('ARDT Cutter Entry'!R9,"*3"),
                    COUNTIF('ARDT Cutter Entry'!R9,"*4"), COUNTIF('ARDT Cutter Entry'!R9,"*5"), COUNTIF('ARDT Cutter Entry'!R9,"*6"),
                    COUNTIF('ARDT Cutter Entry'!R9,"*7"), COUNTIF('ARDT Cutter Entry'!R9,"*8"), COUNTIF('ARDT Cutter Entry'!R9,"*9")),
                    'ARDT Cutter Entry'!R9,
                    'ARDT Cutter Entry'!R48)
            )
        ),
        ""
    ),
    _xlpm.Result, IF(_xlpm.URCheck,
        IF(BB75&lt;&gt;"", BB75, _xlpm.Fallback),
        _xlpm.Fallback
    ),
    _xlpm.Result
)</f>
        <v/>
      </c>
      <c r="S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IF(OR(Data!CH51=0, Data!CH51=""), "", "O"&amp;Data!CH51),
            IF('ARDT Cutter Entry'!$C$111&lt;&gt;"",
                IF(OR(
                    COUNTIF('ARDT Cutter Entry'!S66,"*1"), COUNTIF('ARDT Cutter Entry'!S66,"*2"), COUNTIF('ARDT Cutter Entry'!S66,"*3"),
                    COUNTIF('ARDT Cutter Entry'!S66,"*4"), COUNTIF('ARDT Cutter Entry'!S66,"*5"), COUNTIF('ARDT Cutter Entry'!S66,"*6"),
                    COUNTIF('ARDT Cutter Entry'!S66,"*7"), COUNTIF('ARDT Cutter Entry'!S66,"*8"), COUNTIF('ARDT Cutter Entry'!S66,"*9")),
                    'ARDT Cutter Entry'!S66,
                    'ARDT Cutter Entry'!S116),
                IF(OR(
                    COUNTIF('ARDT Cutter Entry'!S9,"*1"), COUNTIF('ARDT Cutter Entry'!S9,"*2"), COUNTIF('ARDT Cutter Entry'!S9,"*3"),
                    COUNTIF('ARDT Cutter Entry'!S9,"*4"), COUNTIF('ARDT Cutter Entry'!S9,"*5"), COUNTIF('ARDT Cutter Entry'!S9,"*6"),
                    COUNTIF('ARDT Cutter Entry'!S9,"*7"), COUNTIF('ARDT Cutter Entry'!S9,"*8"), COUNTIF('ARDT Cutter Entry'!S9,"*9")),
                    'ARDT Cutter Entry'!S9,
                    'ARDT Cutter Entry'!S48)
            )
        ),
        ""
    ),
    _xlpm.Result, IF(_xlpm.URCheck,
        IF(BC75&lt;&gt;"", BC75, _xlpm.Fallback),
        _xlpm.Fallback
    ),
    _xlpm.Result
)</f>
        <v/>
      </c>
      <c r="T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IF(OR(Data!CI51=0, Data!CI51=""), "", "O"&amp;Data!CI51),
            IF('ARDT Cutter Entry'!$C$111&lt;&gt;"",
                IF(OR(
                    COUNTIF('ARDT Cutter Entry'!T66,"*1"), COUNTIF('ARDT Cutter Entry'!T66,"*2"), COUNTIF('ARDT Cutter Entry'!T66,"*3"),
                    COUNTIF('ARDT Cutter Entry'!T66,"*4"), COUNTIF('ARDT Cutter Entry'!T66,"*5"), COUNTIF('ARDT Cutter Entry'!T66,"*6"),
                    COUNTIF('ARDT Cutter Entry'!T66,"*7"), COUNTIF('ARDT Cutter Entry'!T66,"*8"), COUNTIF('ARDT Cutter Entry'!T66,"*9")),
                    'ARDT Cutter Entry'!T66,
                    'ARDT Cutter Entry'!T116),
                IF(OR(
                    COUNTIF('ARDT Cutter Entry'!T9,"*1"), COUNTIF('ARDT Cutter Entry'!T9,"*2"), COUNTIF('ARDT Cutter Entry'!T9,"*3"),
                    COUNTIF('ARDT Cutter Entry'!T9,"*4"), COUNTIF('ARDT Cutter Entry'!T9,"*5"), COUNTIF('ARDT Cutter Entry'!T9,"*6"),
                    COUNTIF('ARDT Cutter Entry'!T9,"*7"), COUNTIF('ARDT Cutter Entry'!T9,"*8"), COUNTIF('ARDT Cutter Entry'!T9,"*9")),
                    'ARDT Cutter Entry'!T9,
                    'ARDT Cutter Entry'!T48)
            )
        ),
        ""
    ),
    _xlpm.Result, IF(_xlpm.URCheck,
        IF(BD75&lt;&gt;"", BD75, _xlpm.Fallback),
        _xlpm.Fallback
    ),
    _xlpm.Result
)</f>
        <v/>
      </c>
      <c r="U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IF(OR(Data!CJ51=0, Data!CJ51=""), "", "O"&amp;Data!CJ51),
            IF('ARDT Cutter Entry'!$C$111&lt;&gt;"",
                IF(OR(
                    COUNTIF('ARDT Cutter Entry'!U66,"*1"), COUNTIF('ARDT Cutter Entry'!U66,"*2"), COUNTIF('ARDT Cutter Entry'!U66,"*3"),
                    COUNTIF('ARDT Cutter Entry'!U66,"*4"), COUNTIF('ARDT Cutter Entry'!U66,"*5"), COUNTIF('ARDT Cutter Entry'!U66,"*6"),
                    COUNTIF('ARDT Cutter Entry'!U66,"*7"), COUNTIF('ARDT Cutter Entry'!U66,"*8"), COUNTIF('ARDT Cutter Entry'!U66,"*9")),
                    'ARDT Cutter Entry'!U66,
                    'ARDT Cutter Entry'!U116),
                IF(OR(
                    COUNTIF('ARDT Cutter Entry'!U9,"*1"), COUNTIF('ARDT Cutter Entry'!U9,"*2"), COUNTIF('ARDT Cutter Entry'!U9,"*3"),
                    COUNTIF('ARDT Cutter Entry'!U9,"*4"), COUNTIF('ARDT Cutter Entry'!U9,"*5"), COUNTIF('ARDT Cutter Entry'!U9,"*6"),
                    COUNTIF('ARDT Cutter Entry'!U9,"*7"), COUNTIF('ARDT Cutter Entry'!U9,"*8"), COUNTIF('ARDT Cutter Entry'!U9,"*9")),
                    'ARDT Cutter Entry'!U9,
                    'ARDT Cutter Entry'!U48)
            )
        ),
        ""
    ),
    _xlpm.Result, IF(_xlpm.URCheck,
        IF(BE75&lt;&gt;"", BE75, _xlpm.Fallback),
        _xlpm.Fallback
    ),
    _xlpm.Result
)</f>
        <v/>
      </c>
      <c r="V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IF(OR(Data!CK51=0, Data!CK51=""), "", "O"&amp;Data!CK51),
            IF('ARDT Cutter Entry'!$C$111&lt;&gt;"",
                IF(OR(
                    COUNTIF('ARDT Cutter Entry'!V66,"*1"), COUNTIF('ARDT Cutter Entry'!V66,"*2"), COUNTIF('ARDT Cutter Entry'!V66,"*3"),
                    COUNTIF('ARDT Cutter Entry'!V66,"*4"), COUNTIF('ARDT Cutter Entry'!V66,"*5"), COUNTIF('ARDT Cutter Entry'!V66,"*6"),
                    COUNTIF('ARDT Cutter Entry'!V66,"*7"), COUNTIF('ARDT Cutter Entry'!V66,"*8"), COUNTIF('ARDT Cutter Entry'!V66,"*9")),
                    'ARDT Cutter Entry'!V66,
                    'ARDT Cutter Entry'!V116),
                IF(OR(
                    COUNTIF('ARDT Cutter Entry'!V9,"*1"), COUNTIF('ARDT Cutter Entry'!V9,"*2"), COUNTIF('ARDT Cutter Entry'!V9,"*3"),
                    COUNTIF('ARDT Cutter Entry'!V9,"*4"), COUNTIF('ARDT Cutter Entry'!V9,"*5"), COUNTIF('ARDT Cutter Entry'!V9,"*6"),
                    COUNTIF('ARDT Cutter Entry'!V9,"*7"), COUNTIF('ARDT Cutter Entry'!V9,"*8"), COUNTIF('ARDT Cutter Entry'!V9,"*9")),
                    'ARDT Cutter Entry'!V9,
                    'ARDT Cutter Entry'!V48)
            )
        ),
        ""
    ),
    _xlpm.Result, IF(_xlpm.URCheck,
        IF(BF75&lt;&gt;"", BF75, _xlpm.Fallback),
        _xlpm.Fallback
    ),
    _xlpm.Result
)</f>
        <v/>
      </c>
      <c r="W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IF(OR(Data!CL51=0, Data!CL51=""), "", "O"&amp;Data!CL51),
            IF('ARDT Cutter Entry'!$C$111&lt;&gt;"",
                IF(OR(
                    COUNTIF('ARDT Cutter Entry'!W66,"*1"), COUNTIF('ARDT Cutter Entry'!W66,"*2"), COUNTIF('ARDT Cutter Entry'!W66,"*3"),
                    COUNTIF('ARDT Cutter Entry'!W66,"*4"), COUNTIF('ARDT Cutter Entry'!W66,"*5"), COUNTIF('ARDT Cutter Entry'!W66,"*6"),
                    COUNTIF('ARDT Cutter Entry'!W66,"*7"), COUNTIF('ARDT Cutter Entry'!W66,"*8"), COUNTIF('ARDT Cutter Entry'!W66,"*9")),
                    'ARDT Cutter Entry'!W66,
                    'ARDT Cutter Entry'!W116),
                IF(OR(
                    COUNTIF('ARDT Cutter Entry'!W9,"*1"), COUNTIF('ARDT Cutter Entry'!W9,"*2"), COUNTIF('ARDT Cutter Entry'!W9,"*3"),
                    COUNTIF('ARDT Cutter Entry'!W9,"*4"), COUNTIF('ARDT Cutter Entry'!W9,"*5"), COUNTIF('ARDT Cutter Entry'!W9,"*6"),
                    COUNTIF('ARDT Cutter Entry'!W9,"*7"), COUNTIF('ARDT Cutter Entry'!W9,"*8"), COUNTIF('ARDT Cutter Entry'!W9,"*9")),
                    'ARDT Cutter Entry'!W9,
                    'ARDT Cutter Entry'!W48)
            )
        ),
        ""
    ),
    _xlpm.Result, IF(_xlpm.URCheck,
        IF(BG75&lt;&gt;"", BG75, _xlpm.Fallback),
        _xlpm.Fallback
    ),
    _xlpm.Result
)</f>
        <v/>
      </c>
      <c r="X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IF(OR(Data!CM51=0, Data!CM51=""), "", "O"&amp;Data!CM51),
            IF('ARDT Cutter Entry'!$C$111&lt;&gt;"",
                IF(OR(
                    COUNTIF('ARDT Cutter Entry'!X66,"*1"), COUNTIF('ARDT Cutter Entry'!X66,"*2"), COUNTIF('ARDT Cutter Entry'!X66,"*3"),
                    COUNTIF('ARDT Cutter Entry'!X66,"*4"), COUNTIF('ARDT Cutter Entry'!X66,"*5"), COUNTIF('ARDT Cutter Entry'!X66,"*6"),
                    COUNTIF('ARDT Cutter Entry'!X66,"*7"), COUNTIF('ARDT Cutter Entry'!X66,"*8"), COUNTIF('ARDT Cutter Entry'!X66,"*9")),
                    'ARDT Cutter Entry'!X66,
                    'ARDT Cutter Entry'!X116),
                IF(OR(
                    COUNTIF('ARDT Cutter Entry'!X9,"*1"), COUNTIF('ARDT Cutter Entry'!X9,"*2"), COUNTIF('ARDT Cutter Entry'!X9,"*3"),
                    COUNTIF('ARDT Cutter Entry'!X9,"*4"), COUNTIF('ARDT Cutter Entry'!X9,"*5"), COUNTIF('ARDT Cutter Entry'!X9,"*6"),
                    COUNTIF('ARDT Cutter Entry'!X9,"*7"), COUNTIF('ARDT Cutter Entry'!X9,"*8"), COUNTIF('ARDT Cutter Entry'!X9,"*9")),
                    'ARDT Cutter Entry'!X9,
                    'ARDT Cutter Entry'!X48)
            )
        ),
        ""
    ),
    _xlpm.Result, IF(_xlpm.URCheck,
        IF(BH75&lt;&gt;"", BH75, _xlpm.Fallback),
        _xlpm.Fallback
    ),
    _xlpm.Result
)</f>
        <v/>
      </c>
      <c r="Y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IF(OR(Data!CN51=0, Data!CN51=""), "", "O"&amp;Data!CN51),
            IF('ARDT Cutter Entry'!$C$111&lt;&gt;"",
                IF(OR(
                    COUNTIF('ARDT Cutter Entry'!Y66,"*1"), COUNTIF('ARDT Cutter Entry'!Y66,"*2"), COUNTIF('ARDT Cutter Entry'!Y66,"*3"),
                    COUNTIF('ARDT Cutter Entry'!Y66,"*4"), COUNTIF('ARDT Cutter Entry'!Y66,"*5"), COUNTIF('ARDT Cutter Entry'!Y66,"*6"),
                    COUNTIF('ARDT Cutter Entry'!Y66,"*7"), COUNTIF('ARDT Cutter Entry'!Y66,"*8"), COUNTIF('ARDT Cutter Entry'!Y66,"*9")),
                    'ARDT Cutter Entry'!Y66,
                    'ARDT Cutter Entry'!Y116),
                IF(OR(
                    COUNTIF('ARDT Cutter Entry'!Y9,"*1"), COUNTIF('ARDT Cutter Entry'!Y9,"*2"), COUNTIF('ARDT Cutter Entry'!Y9,"*3"),
                    COUNTIF('ARDT Cutter Entry'!Y9,"*4"), COUNTIF('ARDT Cutter Entry'!Y9,"*5"), COUNTIF('ARDT Cutter Entry'!Y9,"*6"),
                    COUNTIF('ARDT Cutter Entry'!Y9,"*7"), COUNTIF('ARDT Cutter Entry'!Y9,"*8"), COUNTIF('ARDT Cutter Entry'!Y9,"*9")),
                    'ARDT Cutter Entry'!Y9,
                    'ARDT Cutter Entry'!Y48)
            )
        ),
        ""
    ),
    _xlpm.Result, IF(_xlpm.URCheck,
        IF(BI75&lt;&gt;"", BI75, _xlpm.Fallback),
        _xlpm.Fallback
    ),
    _xlpm.Result
)</f>
        <v/>
      </c>
      <c r="Z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IF(OR(Data!CO51=0, Data!CO51=""), "", "O"&amp;Data!CO51),
            IF('ARDT Cutter Entry'!$C$111&lt;&gt;"",
                IF(OR(
                    COUNTIF('ARDT Cutter Entry'!Z66,"*1"), COUNTIF('ARDT Cutter Entry'!Z66,"*2"), COUNTIF('ARDT Cutter Entry'!Z66,"*3"),
                    COUNTIF('ARDT Cutter Entry'!Z66,"*4"), COUNTIF('ARDT Cutter Entry'!Z66,"*5"), COUNTIF('ARDT Cutter Entry'!Z66,"*6"),
                    COUNTIF('ARDT Cutter Entry'!Z66,"*7"), COUNTIF('ARDT Cutter Entry'!Z66,"*8"), COUNTIF('ARDT Cutter Entry'!Z66,"*9")),
                    'ARDT Cutter Entry'!Z66,
                    'ARDT Cutter Entry'!Z116),
                IF(OR(
                    COUNTIF('ARDT Cutter Entry'!Z9,"*1"), COUNTIF('ARDT Cutter Entry'!Z9,"*2"), COUNTIF('ARDT Cutter Entry'!Z9,"*3"),
                    COUNTIF('ARDT Cutter Entry'!Z9,"*4"), COUNTIF('ARDT Cutter Entry'!Z9,"*5"), COUNTIF('ARDT Cutter Entry'!Z9,"*6"),
                    COUNTIF('ARDT Cutter Entry'!Z9,"*7"), COUNTIF('ARDT Cutter Entry'!Z9,"*8"), COUNTIF('ARDT Cutter Entry'!Z9,"*9")),
                    'ARDT Cutter Entry'!Z9,
                    'ARDT Cutter Entry'!Z48)
            )
        ),
        ""
    ),
    _xlpm.Result, IF(_xlpm.URCheck,
        IF(BJ75&lt;&gt;"", BJ75, _xlpm.Fallback),
        _xlpm.Fallback
    ),
    _xlpm.Result
)</f>
        <v/>
      </c>
      <c r="AA22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IF(OR(Data!CP51=0, Data!CP51=""), "", "O"&amp;Data!CP51),
            IF('ARDT Cutter Entry'!$C$111&lt;&gt;"",
                IF(OR(
                    COUNTIF('ARDT Cutter Entry'!AA66,"*1"), COUNTIF('ARDT Cutter Entry'!AA66,"*2"), COUNTIF('ARDT Cutter Entry'!AA66,"*3"),
                    COUNTIF('ARDT Cutter Entry'!AA66,"*4"), COUNTIF('ARDT Cutter Entry'!AA66,"*5"), COUNTIF('ARDT Cutter Entry'!AA66,"*6"),
                    COUNTIF('ARDT Cutter Entry'!AA66,"*7"), COUNTIF('ARDT Cutter Entry'!AA66,"*8"), COUNTIF('ARDT Cutter Entry'!AA66,"*9")),
                    'ARDT Cutter Entry'!AA66,
                    'ARDT Cutter Entry'!AA116),
                IF(OR(
                    COUNTIF('ARDT Cutter Entry'!AA9,"*1"), COUNTIF('ARDT Cutter Entry'!AA9,"*2"), COUNTIF('ARDT Cutter Entry'!AA9,"*3"),
                    COUNTIF('ARDT Cutter Entry'!AA9,"*4"), COUNTIF('ARDT Cutter Entry'!AA9,"*5"), COUNTIF('ARDT Cutter Entry'!AA9,"*6"),
                    COUNTIF('ARDT Cutter Entry'!AA9,"*7"), COUNTIF('ARDT Cutter Entry'!AA9,"*8"), COUNTIF('ARDT Cutter Entry'!AA9,"*9")),
                    'ARDT Cutter Entry'!AA9,
                    'ARDT Cutter Entry'!AA48)
            )
        ),
        ""
    ),
    _xlpm.Result, IF(_xlpm.URCheck,
        IF(BK75&lt;&gt;"", BK75, _xlpm.Fallback),
        _xlpm.Fallback
    ),
    _xlpm.Result
)</f>
        <v/>
      </c>
    </row>
    <row r="23" spans="1:27" ht="18.75" customHeight="1" x14ac:dyDescent="0.35">
      <c r="A23" s="1423"/>
      <c r="B23" s="396">
        <v>7</v>
      </c>
      <c r="C23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IF(OR(Data!BR52=0, Data!BR52=""), "", "O"&amp;Data!BR52),
            IF('ARDT Cutter Entry'!$C$111&lt;&gt;"",
                IF(OR(
                    COUNTIF('ARDT Cutter Entry'!C67,"*1"), COUNTIF('ARDT Cutter Entry'!C67,"*2"), COUNTIF('ARDT Cutter Entry'!C67,"*3"),
                    COUNTIF('ARDT Cutter Entry'!C67,"*4"), COUNTIF('ARDT Cutter Entry'!C67,"*5"), COUNTIF('ARDT Cutter Entry'!C67,"*6"),
                    COUNTIF('ARDT Cutter Entry'!C67,"*7"), COUNTIF('ARDT Cutter Entry'!C67,"*8"), COUNTIF('ARDT Cutter Entry'!C67,"*9")),
                    'ARDT Cutter Entry'!C67,
                    'ARDT Cutter Entry'!C117),
                IF(OR(
                    COUNTIF('ARDT Cutter Entry'!C10,"*1"), COUNTIF('ARDT Cutter Entry'!C10,"*2"), COUNTIF('ARDT Cutter Entry'!C10,"*3"),
                    COUNTIF('ARDT Cutter Entry'!C10,"*4"), COUNTIF('ARDT Cutter Entry'!C10,"*5"), COUNTIF('ARDT Cutter Entry'!C10,"*6"),
                    COUNTIF('ARDT Cutter Entry'!C10,"*7"), COUNTIF('ARDT Cutter Entry'!C10,"*8"), COUNTIF('ARDT Cutter Entry'!C10,"*9")),
                    'ARDT Cutter Entry'!C10,
                    'ARDT Cutter Entry'!C49)
            )
        ),
        ""
    ),
    _xlpm.Result, IF(_xlpm.URCheck,
        IF(AM76&lt;&gt;"", AM76, _xlpm.Fallback),
        _xlpm.Fallback
    ),
    _xlpm.Result
)</f>
        <v/>
      </c>
      <c r="D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IF(OR(Data!BS52=0, Data!BS52=""), "", "O"&amp;Data!BS52),
            IF('ARDT Cutter Entry'!$C$111&lt;&gt;"",
                IF(OR(
                    COUNTIF('ARDT Cutter Entry'!D67,"*1"), COUNTIF('ARDT Cutter Entry'!D67,"*2"), COUNTIF('ARDT Cutter Entry'!D67,"*3"),
                    COUNTIF('ARDT Cutter Entry'!D67,"*4"), COUNTIF('ARDT Cutter Entry'!D67,"*5"), COUNTIF('ARDT Cutter Entry'!D67,"*6"),
                    COUNTIF('ARDT Cutter Entry'!D67,"*7"), COUNTIF('ARDT Cutter Entry'!D67,"*8"), COUNTIF('ARDT Cutter Entry'!D67,"*9")),
                    'ARDT Cutter Entry'!D67,
                    'ARDT Cutter Entry'!D117),
                IF(OR(
                    COUNTIF('ARDT Cutter Entry'!D10,"*1"), COUNTIF('ARDT Cutter Entry'!D10,"*2"), COUNTIF('ARDT Cutter Entry'!D10,"*3"),
                    COUNTIF('ARDT Cutter Entry'!D10,"*4"), COUNTIF('ARDT Cutter Entry'!D10,"*5"), COUNTIF('ARDT Cutter Entry'!D10,"*6"),
                    COUNTIF('ARDT Cutter Entry'!D10,"*7"), COUNTIF('ARDT Cutter Entry'!D10,"*8"), COUNTIF('ARDT Cutter Entry'!D10,"*9")),
                    'ARDT Cutter Entry'!D10,
                    'ARDT Cutter Entry'!D49)
            )
        ),
        ""
    ),
    _xlpm.Result, IF(_xlpm.URCheck,
        IF(AN76&lt;&gt;"", AN76, _xlpm.Fallback),
        _xlpm.Fallback
    ),
    _xlpm.Result
)</f>
        <v/>
      </c>
      <c r="E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IF(OR(Data!BT52=0, Data!BT52=""), "", "O"&amp;Data!BT52),
            IF('ARDT Cutter Entry'!$C$111&lt;&gt;"",
                IF(OR(
                    COUNTIF('ARDT Cutter Entry'!E67,"*1"), COUNTIF('ARDT Cutter Entry'!E67,"*2"), COUNTIF('ARDT Cutter Entry'!E67,"*3"),
                    COUNTIF('ARDT Cutter Entry'!E67,"*4"), COUNTIF('ARDT Cutter Entry'!E67,"*5"), COUNTIF('ARDT Cutter Entry'!E67,"*6"),
                    COUNTIF('ARDT Cutter Entry'!E67,"*7"), COUNTIF('ARDT Cutter Entry'!E67,"*8"), COUNTIF('ARDT Cutter Entry'!E67,"*9")),
                    'ARDT Cutter Entry'!E67,
                    'ARDT Cutter Entry'!E117),
                IF(OR(
                    COUNTIF('ARDT Cutter Entry'!E10,"*1"), COUNTIF('ARDT Cutter Entry'!E10,"*2"), COUNTIF('ARDT Cutter Entry'!E10,"*3"),
                    COUNTIF('ARDT Cutter Entry'!E10,"*4"), COUNTIF('ARDT Cutter Entry'!E10,"*5"), COUNTIF('ARDT Cutter Entry'!E10,"*6"),
                    COUNTIF('ARDT Cutter Entry'!E10,"*7"), COUNTIF('ARDT Cutter Entry'!E10,"*8"), COUNTIF('ARDT Cutter Entry'!E10,"*9")),
                    'ARDT Cutter Entry'!E10,
                    'ARDT Cutter Entry'!E49)
            )
        ),
        ""
    ),
    _xlpm.Result, IF(_xlpm.URCheck,
        IF(AO76&lt;&gt;"", AO76, _xlpm.Fallback),
        _xlpm.Fallback
    ),
    _xlpm.Result
)</f>
        <v/>
      </c>
      <c r="F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IF(OR(Data!BU52=0, Data!BU52=""), "", "O"&amp;Data!BU52),
            IF('ARDT Cutter Entry'!$C$111&lt;&gt;"",
                IF(OR(
                    COUNTIF('ARDT Cutter Entry'!F67,"*1"), COUNTIF('ARDT Cutter Entry'!F67,"*2"), COUNTIF('ARDT Cutter Entry'!F67,"*3"),
                    COUNTIF('ARDT Cutter Entry'!F67,"*4"), COUNTIF('ARDT Cutter Entry'!F67,"*5"), COUNTIF('ARDT Cutter Entry'!F67,"*6"),
                    COUNTIF('ARDT Cutter Entry'!F67,"*7"), COUNTIF('ARDT Cutter Entry'!F67,"*8"), COUNTIF('ARDT Cutter Entry'!F67,"*9")),
                    'ARDT Cutter Entry'!F67,
                    'ARDT Cutter Entry'!F117),
                IF(OR(
                    COUNTIF('ARDT Cutter Entry'!F10,"*1"), COUNTIF('ARDT Cutter Entry'!F10,"*2"), COUNTIF('ARDT Cutter Entry'!F10,"*3"),
                    COUNTIF('ARDT Cutter Entry'!F10,"*4"), COUNTIF('ARDT Cutter Entry'!F10,"*5"), COUNTIF('ARDT Cutter Entry'!F10,"*6"),
                    COUNTIF('ARDT Cutter Entry'!F10,"*7"), COUNTIF('ARDT Cutter Entry'!F10,"*8"), COUNTIF('ARDT Cutter Entry'!F10,"*9")),
                    'ARDT Cutter Entry'!F10,
                    'ARDT Cutter Entry'!F49)
            )
        ),
        ""
    ),
    _xlpm.Result, IF(_xlpm.URCheck,
        IF(AP76&lt;&gt;"", AP76, _xlpm.Fallback),
        _xlpm.Fallback
    ),
    _xlpm.Result
)</f>
        <v/>
      </c>
      <c r="G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IF(OR(Data!BV52=0, Data!BV52=""), "", "O"&amp;Data!BV52),
            IF('ARDT Cutter Entry'!$C$111&lt;&gt;"",
                IF(OR(
                    COUNTIF('ARDT Cutter Entry'!G67,"*1"), COUNTIF('ARDT Cutter Entry'!G67,"*2"), COUNTIF('ARDT Cutter Entry'!G67,"*3"),
                    COUNTIF('ARDT Cutter Entry'!G67,"*4"), COUNTIF('ARDT Cutter Entry'!G67,"*5"), COUNTIF('ARDT Cutter Entry'!G67,"*6"),
                    COUNTIF('ARDT Cutter Entry'!G67,"*7"), COUNTIF('ARDT Cutter Entry'!G67,"*8"), COUNTIF('ARDT Cutter Entry'!G67,"*9")),
                    'ARDT Cutter Entry'!G67,
                    'ARDT Cutter Entry'!G117),
                IF(OR(
                    COUNTIF('ARDT Cutter Entry'!G10,"*1"), COUNTIF('ARDT Cutter Entry'!G10,"*2"), COUNTIF('ARDT Cutter Entry'!G10,"*3"),
                    COUNTIF('ARDT Cutter Entry'!G10,"*4"), COUNTIF('ARDT Cutter Entry'!G10,"*5"), COUNTIF('ARDT Cutter Entry'!G10,"*6"),
                    COUNTIF('ARDT Cutter Entry'!G10,"*7"), COUNTIF('ARDT Cutter Entry'!G10,"*8"), COUNTIF('ARDT Cutter Entry'!G10,"*9")),
                    'ARDT Cutter Entry'!G10,
                    'ARDT Cutter Entry'!G49)
            )
        ),
        ""
    ),
    _xlpm.Result, IF(_xlpm.URCheck,
        IF(AQ76&lt;&gt;"", AQ76, _xlpm.Fallback),
        _xlpm.Fallback
    ),
    _xlpm.Result
)</f>
        <v/>
      </c>
      <c r="H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IF(OR(Data!BW52=0, Data!BW52=""), "", "O"&amp;Data!BW52),
            IF('ARDT Cutter Entry'!$C$111&lt;&gt;"",
                IF(OR(
                    COUNTIF('ARDT Cutter Entry'!H67,"*1"), COUNTIF('ARDT Cutter Entry'!H67,"*2"), COUNTIF('ARDT Cutter Entry'!H67,"*3"),
                    COUNTIF('ARDT Cutter Entry'!H67,"*4"), COUNTIF('ARDT Cutter Entry'!H67,"*5"), COUNTIF('ARDT Cutter Entry'!H67,"*6"),
                    COUNTIF('ARDT Cutter Entry'!H67,"*7"), COUNTIF('ARDT Cutter Entry'!H67,"*8"), COUNTIF('ARDT Cutter Entry'!H67,"*9")),
                    'ARDT Cutter Entry'!H67,
                    'ARDT Cutter Entry'!H117),
                IF(OR(
                    COUNTIF('ARDT Cutter Entry'!H10,"*1"), COUNTIF('ARDT Cutter Entry'!H10,"*2"), COUNTIF('ARDT Cutter Entry'!H10,"*3"),
                    COUNTIF('ARDT Cutter Entry'!H10,"*4"), COUNTIF('ARDT Cutter Entry'!H10,"*5"), COUNTIF('ARDT Cutter Entry'!H10,"*6"),
                    COUNTIF('ARDT Cutter Entry'!H10,"*7"), COUNTIF('ARDT Cutter Entry'!H10,"*8"), COUNTIF('ARDT Cutter Entry'!H10,"*9")),
                    'ARDT Cutter Entry'!H10,
                    'ARDT Cutter Entry'!H49)
            )
        ),
        ""
    ),
    _xlpm.Result, IF(_xlpm.URCheck,
        IF(AR76&lt;&gt;"", AR76, _xlpm.Fallback),
        _xlpm.Fallback
    ),
    _xlpm.Result
)</f>
        <v/>
      </c>
      <c r="I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IF(OR(Data!BX52=0, Data!BX52=""), "", "O"&amp;Data!BX52),
            IF('ARDT Cutter Entry'!$C$111&lt;&gt;"",
                IF(OR(
                    COUNTIF('ARDT Cutter Entry'!I67,"*1"), COUNTIF('ARDT Cutter Entry'!I67,"*2"), COUNTIF('ARDT Cutter Entry'!I67,"*3"),
                    COUNTIF('ARDT Cutter Entry'!I67,"*4"), COUNTIF('ARDT Cutter Entry'!I67,"*5"), COUNTIF('ARDT Cutter Entry'!I67,"*6"),
                    COUNTIF('ARDT Cutter Entry'!I67,"*7"), COUNTIF('ARDT Cutter Entry'!I67,"*8"), COUNTIF('ARDT Cutter Entry'!I67,"*9")),
                    'ARDT Cutter Entry'!I67,
                    'ARDT Cutter Entry'!I117),
                IF(OR(
                    COUNTIF('ARDT Cutter Entry'!I10,"*1"), COUNTIF('ARDT Cutter Entry'!I10,"*2"), COUNTIF('ARDT Cutter Entry'!I10,"*3"),
                    COUNTIF('ARDT Cutter Entry'!I10,"*4"), COUNTIF('ARDT Cutter Entry'!I10,"*5"), COUNTIF('ARDT Cutter Entry'!I10,"*6"),
                    COUNTIF('ARDT Cutter Entry'!I10,"*7"), COUNTIF('ARDT Cutter Entry'!I10,"*8"), COUNTIF('ARDT Cutter Entry'!I10,"*9")),
                    'ARDT Cutter Entry'!I10,
                    'ARDT Cutter Entry'!I49)
            )
        ),
        ""
    ),
    _xlpm.Result, IF(_xlpm.URCheck,
        IF(AS76&lt;&gt;"", AS76, _xlpm.Fallback),
        _xlpm.Fallback
    ),
    _xlpm.Result
)</f>
        <v/>
      </c>
      <c r="J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IF(OR(Data!BY52=0, Data!BY52=""), "", "O"&amp;Data!BY52),
            IF('ARDT Cutter Entry'!$C$111&lt;&gt;"",
                IF(OR(
                    COUNTIF('ARDT Cutter Entry'!J67,"*1"), COUNTIF('ARDT Cutter Entry'!J67,"*2"), COUNTIF('ARDT Cutter Entry'!J67,"*3"),
                    COUNTIF('ARDT Cutter Entry'!J67,"*4"), COUNTIF('ARDT Cutter Entry'!J67,"*5"), COUNTIF('ARDT Cutter Entry'!J67,"*6"),
                    COUNTIF('ARDT Cutter Entry'!J67,"*7"), COUNTIF('ARDT Cutter Entry'!J67,"*8"), COUNTIF('ARDT Cutter Entry'!J67,"*9")),
                    'ARDT Cutter Entry'!J67,
                    'ARDT Cutter Entry'!J117),
                IF(OR(
                    COUNTIF('ARDT Cutter Entry'!J10,"*1"), COUNTIF('ARDT Cutter Entry'!J10,"*2"), COUNTIF('ARDT Cutter Entry'!J10,"*3"),
                    COUNTIF('ARDT Cutter Entry'!J10,"*4"), COUNTIF('ARDT Cutter Entry'!J10,"*5"), COUNTIF('ARDT Cutter Entry'!J10,"*6"),
                    COUNTIF('ARDT Cutter Entry'!J10,"*7"), COUNTIF('ARDT Cutter Entry'!J10,"*8"), COUNTIF('ARDT Cutter Entry'!J10,"*9")),
                    'ARDT Cutter Entry'!J10,
                    'ARDT Cutter Entry'!J49)
            )
        ),
        ""
    ),
    _xlpm.Result, IF(_xlpm.URCheck,
        IF(AT76&lt;&gt;"", AT76, _xlpm.Fallback),
        _xlpm.Fallback
    ),
    _xlpm.Result
)</f>
        <v/>
      </c>
      <c r="K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IF(OR(Data!BZ52=0, Data!BZ52=""), "", "O"&amp;Data!BZ52),
            IF('ARDT Cutter Entry'!$C$111&lt;&gt;"",
                IF(OR(
                    COUNTIF('ARDT Cutter Entry'!K67,"*1"), COUNTIF('ARDT Cutter Entry'!K67,"*2"), COUNTIF('ARDT Cutter Entry'!K67,"*3"),
                    COUNTIF('ARDT Cutter Entry'!K67,"*4"), COUNTIF('ARDT Cutter Entry'!K67,"*5"), COUNTIF('ARDT Cutter Entry'!K67,"*6"),
                    COUNTIF('ARDT Cutter Entry'!K67,"*7"), COUNTIF('ARDT Cutter Entry'!K67,"*8"), COUNTIF('ARDT Cutter Entry'!K67,"*9")),
                    'ARDT Cutter Entry'!K67,
                    'ARDT Cutter Entry'!K117),
                IF(OR(
                    COUNTIF('ARDT Cutter Entry'!K10,"*1"), COUNTIF('ARDT Cutter Entry'!K10,"*2"), COUNTIF('ARDT Cutter Entry'!K10,"*3"),
                    COUNTIF('ARDT Cutter Entry'!K10,"*4"), COUNTIF('ARDT Cutter Entry'!K10,"*5"), COUNTIF('ARDT Cutter Entry'!K10,"*6"),
                    COUNTIF('ARDT Cutter Entry'!K10,"*7"), COUNTIF('ARDT Cutter Entry'!K10,"*8"), COUNTIF('ARDT Cutter Entry'!K10,"*9")),
                    'ARDT Cutter Entry'!K10,
                    'ARDT Cutter Entry'!K49)
            )
        ),
        ""
    ),
    _xlpm.Result, IF(_xlpm.URCheck,
        IF(AU76&lt;&gt;"", AU76, _xlpm.Fallback),
        _xlpm.Fallback
    ),
    _xlpm.Result
)</f>
        <v/>
      </c>
      <c r="L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IF(OR(Data!CA52=0, Data!CA52=""), "", "O"&amp;Data!CA52),
            IF('ARDT Cutter Entry'!$C$111&lt;&gt;"",
                IF(OR(
                    COUNTIF('ARDT Cutter Entry'!L67,"*1"), COUNTIF('ARDT Cutter Entry'!L67,"*2"), COUNTIF('ARDT Cutter Entry'!L67,"*3"),
                    COUNTIF('ARDT Cutter Entry'!L67,"*4"), COUNTIF('ARDT Cutter Entry'!L67,"*5"), COUNTIF('ARDT Cutter Entry'!L67,"*6"),
                    COUNTIF('ARDT Cutter Entry'!L67,"*7"), COUNTIF('ARDT Cutter Entry'!L67,"*8"), COUNTIF('ARDT Cutter Entry'!L67,"*9")),
                    'ARDT Cutter Entry'!L67,
                    'ARDT Cutter Entry'!L117),
                IF(OR(
                    COUNTIF('ARDT Cutter Entry'!L10,"*1"), COUNTIF('ARDT Cutter Entry'!L10,"*2"), COUNTIF('ARDT Cutter Entry'!L10,"*3"),
                    COUNTIF('ARDT Cutter Entry'!L10,"*4"), COUNTIF('ARDT Cutter Entry'!L10,"*5"), COUNTIF('ARDT Cutter Entry'!L10,"*6"),
                    COUNTIF('ARDT Cutter Entry'!L10,"*7"), COUNTIF('ARDT Cutter Entry'!L10,"*8"), COUNTIF('ARDT Cutter Entry'!L10,"*9")),
                    'ARDT Cutter Entry'!L10,
                    'ARDT Cutter Entry'!L49)
            )
        ),
        ""
    ),
    _xlpm.Result, IF(_xlpm.URCheck,
        IF(AV76&lt;&gt;"", AV76, _xlpm.Fallback),
        _xlpm.Fallback
    ),
    _xlpm.Result
)</f>
        <v/>
      </c>
      <c r="M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IF(OR(Data!CB52=0, Data!CB52=""), "", "O"&amp;Data!CB52),
            IF('ARDT Cutter Entry'!$C$111&lt;&gt;"",
                IF(OR(
                    COUNTIF('ARDT Cutter Entry'!M67,"*1"), COUNTIF('ARDT Cutter Entry'!M67,"*2"), COUNTIF('ARDT Cutter Entry'!M67,"*3"),
                    COUNTIF('ARDT Cutter Entry'!M67,"*4"), COUNTIF('ARDT Cutter Entry'!M67,"*5"), COUNTIF('ARDT Cutter Entry'!M67,"*6"),
                    COUNTIF('ARDT Cutter Entry'!M67,"*7"), COUNTIF('ARDT Cutter Entry'!M67,"*8"), COUNTIF('ARDT Cutter Entry'!M67,"*9")),
                    'ARDT Cutter Entry'!M67,
                    'ARDT Cutter Entry'!M117),
                IF(OR(
                    COUNTIF('ARDT Cutter Entry'!M10,"*1"), COUNTIF('ARDT Cutter Entry'!M10,"*2"), COUNTIF('ARDT Cutter Entry'!M10,"*3"),
                    COUNTIF('ARDT Cutter Entry'!M10,"*4"), COUNTIF('ARDT Cutter Entry'!M10,"*5"), COUNTIF('ARDT Cutter Entry'!M10,"*6"),
                    COUNTIF('ARDT Cutter Entry'!M10,"*7"), COUNTIF('ARDT Cutter Entry'!M10,"*8"), COUNTIF('ARDT Cutter Entry'!M10,"*9")),
                    'ARDT Cutter Entry'!M10,
                    'ARDT Cutter Entry'!M49)
            )
        ),
        ""
    ),
    _xlpm.Result, IF(_xlpm.URCheck,
        IF(AW76&lt;&gt;"", AW76, _xlpm.Fallback),
        _xlpm.Fallback
    ),
    _xlpm.Result
)</f>
        <v/>
      </c>
      <c r="N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IF(OR(Data!CC52=0, Data!CC52=""), "", "O"&amp;Data!CC52),
            IF('ARDT Cutter Entry'!$C$111&lt;&gt;"",
                IF(OR(
                    COUNTIF('ARDT Cutter Entry'!N67,"*1"), COUNTIF('ARDT Cutter Entry'!N67,"*2"), COUNTIF('ARDT Cutter Entry'!N67,"*3"),
                    COUNTIF('ARDT Cutter Entry'!N67,"*4"), COUNTIF('ARDT Cutter Entry'!N67,"*5"), COUNTIF('ARDT Cutter Entry'!N67,"*6"),
                    COUNTIF('ARDT Cutter Entry'!N67,"*7"), COUNTIF('ARDT Cutter Entry'!N67,"*8"), COUNTIF('ARDT Cutter Entry'!N67,"*9")),
                    'ARDT Cutter Entry'!N67,
                    'ARDT Cutter Entry'!N117),
                IF(OR(
                    COUNTIF('ARDT Cutter Entry'!N10,"*1"), COUNTIF('ARDT Cutter Entry'!N10,"*2"), COUNTIF('ARDT Cutter Entry'!N10,"*3"),
                    COUNTIF('ARDT Cutter Entry'!N10,"*4"), COUNTIF('ARDT Cutter Entry'!N10,"*5"), COUNTIF('ARDT Cutter Entry'!N10,"*6"),
                    COUNTIF('ARDT Cutter Entry'!N10,"*7"), COUNTIF('ARDT Cutter Entry'!N10,"*8"), COUNTIF('ARDT Cutter Entry'!N10,"*9")),
                    'ARDT Cutter Entry'!N10,
                    'ARDT Cutter Entry'!N49)
            )
        ),
        ""
    ),
    _xlpm.Result, IF(_xlpm.URCheck,
        IF(AX76&lt;&gt;"", AX76, _xlpm.Fallback),
        _xlpm.Fallback
    ),
    _xlpm.Result
)</f>
        <v/>
      </c>
      <c r="O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IF(OR(Data!CD52=0, Data!CD52=""), "", "O"&amp;Data!CD52),
            IF('ARDT Cutter Entry'!$C$111&lt;&gt;"",
                IF(OR(
                    COUNTIF('ARDT Cutter Entry'!O67,"*1"), COUNTIF('ARDT Cutter Entry'!O67,"*2"), COUNTIF('ARDT Cutter Entry'!O67,"*3"),
                    COUNTIF('ARDT Cutter Entry'!O67,"*4"), COUNTIF('ARDT Cutter Entry'!O67,"*5"), COUNTIF('ARDT Cutter Entry'!O67,"*6"),
                    COUNTIF('ARDT Cutter Entry'!O67,"*7"), COUNTIF('ARDT Cutter Entry'!O67,"*8"), COUNTIF('ARDT Cutter Entry'!O67,"*9")),
                    'ARDT Cutter Entry'!O67,
                    'ARDT Cutter Entry'!O117),
                IF(OR(
                    COUNTIF('ARDT Cutter Entry'!O10,"*1"), COUNTIF('ARDT Cutter Entry'!O10,"*2"), COUNTIF('ARDT Cutter Entry'!O10,"*3"),
                    COUNTIF('ARDT Cutter Entry'!O10,"*4"), COUNTIF('ARDT Cutter Entry'!O10,"*5"), COUNTIF('ARDT Cutter Entry'!O10,"*6"),
                    COUNTIF('ARDT Cutter Entry'!O10,"*7"), COUNTIF('ARDT Cutter Entry'!O10,"*8"), COUNTIF('ARDT Cutter Entry'!O10,"*9")),
                    'ARDT Cutter Entry'!O10,
                    'ARDT Cutter Entry'!O49)
            )
        ),
        ""
    ),
    _xlpm.Result, IF(_xlpm.URCheck,
        IF(AY76&lt;&gt;"", AY76, _xlpm.Fallback),
        _xlpm.Fallback
    ),
    _xlpm.Result
)</f>
        <v/>
      </c>
      <c r="P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IF(OR(Data!CE52=0, Data!CE52=""), "", "O"&amp;Data!CE52),
            IF('ARDT Cutter Entry'!$C$111&lt;&gt;"",
                IF(OR(
                    COUNTIF('ARDT Cutter Entry'!P67,"*1"), COUNTIF('ARDT Cutter Entry'!P67,"*2"), COUNTIF('ARDT Cutter Entry'!P67,"*3"),
                    COUNTIF('ARDT Cutter Entry'!P67,"*4"), COUNTIF('ARDT Cutter Entry'!P67,"*5"), COUNTIF('ARDT Cutter Entry'!P67,"*6"),
                    COUNTIF('ARDT Cutter Entry'!P67,"*7"), COUNTIF('ARDT Cutter Entry'!P67,"*8"), COUNTIF('ARDT Cutter Entry'!P67,"*9")),
                    'ARDT Cutter Entry'!P67,
                    'ARDT Cutter Entry'!P117),
                IF(OR(
                    COUNTIF('ARDT Cutter Entry'!P10,"*1"), COUNTIF('ARDT Cutter Entry'!P10,"*2"), COUNTIF('ARDT Cutter Entry'!P10,"*3"),
                    COUNTIF('ARDT Cutter Entry'!P10,"*4"), COUNTIF('ARDT Cutter Entry'!P10,"*5"), COUNTIF('ARDT Cutter Entry'!P10,"*6"),
                    COUNTIF('ARDT Cutter Entry'!P10,"*7"), COUNTIF('ARDT Cutter Entry'!P10,"*8"), COUNTIF('ARDT Cutter Entry'!P10,"*9")),
                    'ARDT Cutter Entry'!P10,
                    'ARDT Cutter Entry'!P49)
            )
        ),
        ""
    ),
    _xlpm.Result, IF(_xlpm.URCheck,
        IF(AZ76&lt;&gt;"", AZ76, _xlpm.Fallback),
        _xlpm.Fallback
    ),
    _xlpm.Result
)</f>
        <v/>
      </c>
      <c r="Q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IF(OR(Data!CF52=0, Data!CF52=""), "", "O"&amp;Data!CF52),
            IF('ARDT Cutter Entry'!$C$111&lt;&gt;"",
                IF(OR(
                    COUNTIF('ARDT Cutter Entry'!Q67,"*1"), COUNTIF('ARDT Cutter Entry'!Q67,"*2"), COUNTIF('ARDT Cutter Entry'!Q67,"*3"),
                    COUNTIF('ARDT Cutter Entry'!Q67,"*4"), COUNTIF('ARDT Cutter Entry'!Q67,"*5"), COUNTIF('ARDT Cutter Entry'!Q67,"*6"),
                    COUNTIF('ARDT Cutter Entry'!Q67,"*7"), COUNTIF('ARDT Cutter Entry'!Q67,"*8"), COUNTIF('ARDT Cutter Entry'!Q67,"*9")),
                    'ARDT Cutter Entry'!Q67,
                    'ARDT Cutter Entry'!Q117),
                IF(OR(
                    COUNTIF('ARDT Cutter Entry'!Q10,"*1"), COUNTIF('ARDT Cutter Entry'!Q10,"*2"), COUNTIF('ARDT Cutter Entry'!Q10,"*3"),
                    COUNTIF('ARDT Cutter Entry'!Q10,"*4"), COUNTIF('ARDT Cutter Entry'!Q10,"*5"), COUNTIF('ARDT Cutter Entry'!Q10,"*6"),
                    COUNTIF('ARDT Cutter Entry'!Q10,"*7"), COUNTIF('ARDT Cutter Entry'!Q10,"*8"), COUNTIF('ARDT Cutter Entry'!Q10,"*9")),
                    'ARDT Cutter Entry'!Q10,
                    'ARDT Cutter Entry'!Q49)
            )
        ),
        ""
    ),
    _xlpm.Result, IF(_xlpm.URCheck,
        IF(BA76&lt;&gt;"", BA76, _xlpm.Fallback),
        _xlpm.Fallback
    ),
    _xlpm.Result
)</f>
        <v/>
      </c>
      <c r="R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IF(OR(Data!CG52=0, Data!CG52=""), "", "O"&amp;Data!CG52),
            IF('ARDT Cutter Entry'!$C$111&lt;&gt;"",
                IF(OR(
                    COUNTIF('ARDT Cutter Entry'!R67,"*1"), COUNTIF('ARDT Cutter Entry'!R67,"*2"), COUNTIF('ARDT Cutter Entry'!R67,"*3"),
                    COUNTIF('ARDT Cutter Entry'!R67,"*4"), COUNTIF('ARDT Cutter Entry'!R67,"*5"), COUNTIF('ARDT Cutter Entry'!R67,"*6"),
                    COUNTIF('ARDT Cutter Entry'!R67,"*7"), COUNTIF('ARDT Cutter Entry'!R67,"*8"), COUNTIF('ARDT Cutter Entry'!R67,"*9")),
                    'ARDT Cutter Entry'!R67,
                    'ARDT Cutter Entry'!R117),
                IF(OR(
                    COUNTIF('ARDT Cutter Entry'!R10,"*1"), COUNTIF('ARDT Cutter Entry'!R10,"*2"), COUNTIF('ARDT Cutter Entry'!R10,"*3"),
                    COUNTIF('ARDT Cutter Entry'!R10,"*4"), COUNTIF('ARDT Cutter Entry'!R10,"*5"), COUNTIF('ARDT Cutter Entry'!R10,"*6"),
                    COUNTIF('ARDT Cutter Entry'!R10,"*7"), COUNTIF('ARDT Cutter Entry'!R10,"*8"), COUNTIF('ARDT Cutter Entry'!R10,"*9")),
                    'ARDT Cutter Entry'!R10,
                    'ARDT Cutter Entry'!R49)
            )
        ),
        ""
    ),
    _xlpm.Result, IF(_xlpm.URCheck,
        IF(BB76&lt;&gt;"", BB76, _xlpm.Fallback),
        _xlpm.Fallback
    ),
    _xlpm.Result
)</f>
        <v/>
      </c>
      <c r="S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IF(OR(Data!CH52=0, Data!CH52=""), "", "O"&amp;Data!CH52),
            IF('ARDT Cutter Entry'!$C$111&lt;&gt;"",
                IF(OR(
                    COUNTIF('ARDT Cutter Entry'!S67,"*1"), COUNTIF('ARDT Cutter Entry'!S67,"*2"), COUNTIF('ARDT Cutter Entry'!S67,"*3"),
                    COUNTIF('ARDT Cutter Entry'!S67,"*4"), COUNTIF('ARDT Cutter Entry'!S67,"*5"), COUNTIF('ARDT Cutter Entry'!S67,"*6"),
                    COUNTIF('ARDT Cutter Entry'!S67,"*7"), COUNTIF('ARDT Cutter Entry'!S67,"*8"), COUNTIF('ARDT Cutter Entry'!S67,"*9")),
                    'ARDT Cutter Entry'!S67,
                    'ARDT Cutter Entry'!S117),
                IF(OR(
                    COUNTIF('ARDT Cutter Entry'!S10,"*1"), COUNTIF('ARDT Cutter Entry'!S10,"*2"), COUNTIF('ARDT Cutter Entry'!S10,"*3"),
                    COUNTIF('ARDT Cutter Entry'!S10,"*4"), COUNTIF('ARDT Cutter Entry'!S10,"*5"), COUNTIF('ARDT Cutter Entry'!S10,"*6"),
                    COUNTIF('ARDT Cutter Entry'!S10,"*7"), COUNTIF('ARDT Cutter Entry'!S10,"*8"), COUNTIF('ARDT Cutter Entry'!S10,"*9")),
                    'ARDT Cutter Entry'!S10,
                    'ARDT Cutter Entry'!S49)
            )
        ),
        ""
    ),
    _xlpm.Result, IF(_xlpm.URCheck,
        IF(BC76&lt;&gt;"", BC76, _xlpm.Fallback),
        _xlpm.Fallback
    ),
    _xlpm.Result
)</f>
        <v/>
      </c>
      <c r="T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IF(OR(Data!CI52=0, Data!CI52=""), "", "O"&amp;Data!CI52),
            IF('ARDT Cutter Entry'!$C$111&lt;&gt;"",
                IF(OR(
                    COUNTIF('ARDT Cutter Entry'!T67,"*1"), COUNTIF('ARDT Cutter Entry'!T67,"*2"), COUNTIF('ARDT Cutter Entry'!T67,"*3"),
                    COUNTIF('ARDT Cutter Entry'!T67,"*4"), COUNTIF('ARDT Cutter Entry'!T67,"*5"), COUNTIF('ARDT Cutter Entry'!T67,"*6"),
                    COUNTIF('ARDT Cutter Entry'!T67,"*7"), COUNTIF('ARDT Cutter Entry'!T67,"*8"), COUNTIF('ARDT Cutter Entry'!T67,"*9")),
                    'ARDT Cutter Entry'!T67,
                    'ARDT Cutter Entry'!T117),
                IF(OR(
                    COUNTIF('ARDT Cutter Entry'!T10,"*1"), COUNTIF('ARDT Cutter Entry'!T10,"*2"), COUNTIF('ARDT Cutter Entry'!T10,"*3"),
                    COUNTIF('ARDT Cutter Entry'!T10,"*4"), COUNTIF('ARDT Cutter Entry'!T10,"*5"), COUNTIF('ARDT Cutter Entry'!T10,"*6"),
                    COUNTIF('ARDT Cutter Entry'!T10,"*7"), COUNTIF('ARDT Cutter Entry'!T10,"*8"), COUNTIF('ARDT Cutter Entry'!T10,"*9")),
                    'ARDT Cutter Entry'!T10,
                    'ARDT Cutter Entry'!T49)
            )
        ),
        ""
    ),
    _xlpm.Result, IF(_xlpm.URCheck,
        IF(BD76&lt;&gt;"", BD76, _xlpm.Fallback),
        _xlpm.Fallback
    ),
    _xlpm.Result
)</f>
        <v/>
      </c>
      <c r="U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IF(OR(Data!CJ52=0, Data!CJ52=""), "", "O"&amp;Data!CJ52),
            IF('ARDT Cutter Entry'!$C$111&lt;&gt;"",
                IF(OR(
                    COUNTIF('ARDT Cutter Entry'!U67,"*1"), COUNTIF('ARDT Cutter Entry'!U67,"*2"), COUNTIF('ARDT Cutter Entry'!U67,"*3"),
                    COUNTIF('ARDT Cutter Entry'!U67,"*4"), COUNTIF('ARDT Cutter Entry'!U67,"*5"), COUNTIF('ARDT Cutter Entry'!U67,"*6"),
                    COUNTIF('ARDT Cutter Entry'!U67,"*7"), COUNTIF('ARDT Cutter Entry'!U67,"*8"), COUNTIF('ARDT Cutter Entry'!U67,"*9")),
                    'ARDT Cutter Entry'!U67,
                    'ARDT Cutter Entry'!U117),
                IF(OR(
                    COUNTIF('ARDT Cutter Entry'!U10,"*1"), COUNTIF('ARDT Cutter Entry'!U10,"*2"), COUNTIF('ARDT Cutter Entry'!U10,"*3"),
                    COUNTIF('ARDT Cutter Entry'!U10,"*4"), COUNTIF('ARDT Cutter Entry'!U10,"*5"), COUNTIF('ARDT Cutter Entry'!U10,"*6"),
                    COUNTIF('ARDT Cutter Entry'!U10,"*7"), COUNTIF('ARDT Cutter Entry'!U10,"*8"), COUNTIF('ARDT Cutter Entry'!U10,"*9")),
                    'ARDT Cutter Entry'!U10,
                    'ARDT Cutter Entry'!U49)
            )
        ),
        ""
    ),
    _xlpm.Result, IF(_xlpm.URCheck,
        IF(BE76&lt;&gt;"", BE76, _xlpm.Fallback),
        _xlpm.Fallback
    ),
    _xlpm.Result
)</f>
        <v/>
      </c>
      <c r="V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IF(OR(Data!CK52=0, Data!CK52=""), "", "O"&amp;Data!CK52),
            IF('ARDT Cutter Entry'!$C$111&lt;&gt;"",
                IF(OR(
                    COUNTIF('ARDT Cutter Entry'!V67,"*1"), COUNTIF('ARDT Cutter Entry'!V67,"*2"), COUNTIF('ARDT Cutter Entry'!V67,"*3"),
                    COUNTIF('ARDT Cutter Entry'!V67,"*4"), COUNTIF('ARDT Cutter Entry'!V67,"*5"), COUNTIF('ARDT Cutter Entry'!V67,"*6"),
                    COUNTIF('ARDT Cutter Entry'!V67,"*7"), COUNTIF('ARDT Cutter Entry'!V67,"*8"), COUNTIF('ARDT Cutter Entry'!V67,"*9")),
                    'ARDT Cutter Entry'!V67,
                    'ARDT Cutter Entry'!V117),
                IF(OR(
                    COUNTIF('ARDT Cutter Entry'!V10,"*1"), COUNTIF('ARDT Cutter Entry'!V10,"*2"), COUNTIF('ARDT Cutter Entry'!V10,"*3"),
                    COUNTIF('ARDT Cutter Entry'!V10,"*4"), COUNTIF('ARDT Cutter Entry'!V10,"*5"), COUNTIF('ARDT Cutter Entry'!V10,"*6"),
                    COUNTIF('ARDT Cutter Entry'!V10,"*7"), COUNTIF('ARDT Cutter Entry'!V10,"*8"), COUNTIF('ARDT Cutter Entry'!V10,"*9")),
                    'ARDT Cutter Entry'!V10,
                    'ARDT Cutter Entry'!V49)
            )
        ),
        ""
    ),
    _xlpm.Result, IF(_xlpm.URCheck,
        IF(BF76&lt;&gt;"", BF76, _xlpm.Fallback),
        _xlpm.Fallback
    ),
    _xlpm.Result
)</f>
        <v/>
      </c>
      <c r="W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IF(OR(Data!CL52=0, Data!CL52=""), "", "O"&amp;Data!CL52),
            IF('ARDT Cutter Entry'!$C$111&lt;&gt;"",
                IF(OR(
                    COUNTIF('ARDT Cutter Entry'!W67,"*1"), COUNTIF('ARDT Cutter Entry'!W67,"*2"), COUNTIF('ARDT Cutter Entry'!W67,"*3"),
                    COUNTIF('ARDT Cutter Entry'!W67,"*4"), COUNTIF('ARDT Cutter Entry'!W67,"*5"), COUNTIF('ARDT Cutter Entry'!W67,"*6"),
                    COUNTIF('ARDT Cutter Entry'!W67,"*7"), COUNTIF('ARDT Cutter Entry'!W67,"*8"), COUNTIF('ARDT Cutter Entry'!W67,"*9")),
                    'ARDT Cutter Entry'!W67,
                    'ARDT Cutter Entry'!W117),
                IF(OR(
                    COUNTIF('ARDT Cutter Entry'!W10,"*1"), COUNTIF('ARDT Cutter Entry'!W10,"*2"), COUNTIF('ARDT Cutter Entry'!W10,"*3"),
                    COUNTIF('ARDT Cutter Entry'!W10,"*4"), COUNTIF('ARDT Cutter Entry'!W10,"*5"), COUNTIF('ARDT Cutter Entry'!W10,"*6"),
                    COUNTIF('ARDT Cutter Entry'!W10,"*7"), COUNTIF('ARDT Cutter Entry'!W10,"*8"), COUNTIF('ARDT Cutter Entry'!W10,"*9")),
                    'ARDT Cutter Entry'!W10,
                    'ARDT Cutter Entry'!W49)
            )
        ),
        ""
    ),
    _xlpm.Result, IF(_xlpm.URCheck,
        IF(BG76&lt;&gt;"", BG76, _xlpm.Fallback),
        _xlpm.Fallback
    ),
    _xlpm.Result
)</f>
        <v/>
      </c>
      <c r="X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IF(OR(Data!CM52=0, Data!CM52=""), "", "O"&amp;Data!CM52),
            IF('ARDT Cutter Entry'!$C$111&lt;&gt;"",
                IF(OR(
                    COUNTIF('ARDT Cutter Entry'!X67,"*1"), COUNTIF('ARDT Cutter Entry'!X67,"*2"), COUNTIF('ARDT Cutter Entry'!X67,"*3"),
                    COUNTIF('ARDT Cutter Entry'!X67,"*4"), COUNTIF('ARDT Cutter Entry'!X67,"*5"), COUNTIF('ARDT Cutter Entry'!X67,"*6"),
                    COUNTIF('ARDT Cutter Entry'!X67,"*7"), COUNTIF('ARDT Cutter Entry'!X67,"*8"), COUNTIF('ARDT Cutter Entry'!X67,"*9")),
                    'ARDT Cutter Entry'!X67,
                    'ARDT Cutter Entry'!X117),
                IF(OR(
                    COUNTIF('ARDT Cutter Entry'!X10,"*1"), COUNTIF('ARDT Cutter Entry'!X10,"*2"), COUNTIF('ARDT Cutter Entry'!X10,"*3"),
                    COUNTIF('ARDT Cutter Entry'!X10,"*4"), COUNTIF('ARDT Cutter Entry'!X10,"*5"), COUNTIF('ARDT Cutter Entry'!X10,"*6"),
                    COUNTIF('ARDT Cutter Entry'!X10,"*7"), COUNTIF('ARDT Cutter Entry'!X10,"*8"), COUNTIF('ARDT Cutter Entry'!X10,"*9")),
                    'ARDT Cutter Entry'!X10,
                    'ARDT Cutter Entry'!X49)
            )
        ),
        ""
    ),
    _xlpm.Result, IF(_xlpm.URCheck,
        IF(BH76&lt;&gt;"", BH76, _xlpm.Fallback),
        _xlpm.Fallback
    ),
    _xlpm.Result
)</f>
        <v/>
      </c>
      <c r="Y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IF(OR(Data!CN52=0, Data!CN52=""), "", "O"&amp;Data!CN52),
            IF('ARDT Cutter Entry'!$C$111&lt;&gt;"",
                IF(OR(
                    COUNTIF('ARDT Cutter Entry'!Y67,"*1"), COUNTIF('ARDT Cutter Entry'!Y67,"*2"), COUNTIF('ARDT Cutter Entry'!Y67,"*3"),
                    COUNTIF('ARDT Cutter Entry'!Y67,"*4"), COUNTIF('ARDT Cutter Entry'!Y67,"*5"), COUNTIF('ARDT Cutter Entry'!Y67,"*6"),
                    COUNTIF('ARDT Cutter Entry'!Y67,"*7"), COUNTIF('ARDT Cutter Entry'!Y67,"*8"), COUNTIF('ARDT Cutter Entry'!Y67,"*9")),
                    'ARDT Cutter Entry'!Y67,
                    'ARDT Cutter Entry'!Y117),
                IF(OR(
                    COUNTIF('ARDT Cutter Entry'!Y10,"*1"), COUNTIF('ARDT Cutter Entry'!Y10,"*2"), COUNTIF('ARDT Cutter Entry'!Y10,"*3"),
                    COUNTIF('ARDT Cutter Entry'!Y10,"*4"), COUNTIF('ARDT Cutter Entry'!Y10,"*5"), COUNTIF('ARDT Cutter Entry'!Y10,"*6"),
                    COUNTIF('ARDT Cutter Entry'!Y10,"*7"), COUNTIF('ARDT Cutter Entry'!Y10,"*8"), COUNTIF('ARDT Cutter Entry'!Y10,"*9")),
                    'ARDT Cutter Entry'!Y10,
                    'ARDT Cutter Entry'!Y49)
            )
        ),
        ""
    ),
    _xlpm.Result, IF(_xlpm.URCheck,
        IF(BI76&lt;&gt;"", BI76, _xlpm.Fallback),
        _xlpm.Fallback
    ),
    _xlpm.Result
)</f>
        <v/>
      </c>
      <c r="Z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IF(OR(Data!CO52=0, Data!CO52=""), "", "O"&amp;Data!CO52),
            IF('ARDT Cutter Entry'!$C$111&lt;&gt;"",
                IF(OR(
                    COUNTIF('ARDT Cutter Entry'!Z67,"*1"), COUNTIF('ARDT Cutter Entry'!Z67,"*2"), COUNTIF('ARDT Cutter Entry'!Z67,"*3"),
                    COUNTIF('ARDT Cutter Entry'!Z67,"*4"), COUNTIF('ARDT Cutter Entry'!Z67,"*5"), COUNTIF('ARDT Cutter Entry'!Z67,"*6"),
                    COUNTIF('ARDT Cutter Entry'!Z67,"*7"), COUNTIF('ARDT Cutter Entry'!Z67,"*8"), COUNTIF('ARDT Cutter Entry'!Z67,"*9")),
                    'ARDT Cutter Entry'!Z67,
                    'ARDT Cutter Entry'!Z117),
                IF(OR(
                    COUNTIF('ARDT Cutter Entry'!Z10,"*1"), COUNTIF('ARDT Cutter Entry'!Z10,"*2"), COUNTIF('ARDT Cutter Entry'!Z10,"*3"),
                    COUNTIF('ARDT Cutter Entry'!Z10,"*4"), COUNTIF('ARDT Cutter Entry'!Z10,"*5"), COUNTIF('ARDT Cutter Entry'!Z10,"*6"),
                    COUNTIF('ARDT Cutter Entry'!Z10,"*7"), COUNTIF('ARDT Cutter Entry'!Z10,"*8"), COUNTIF('ARDT Cutter Entry'!Z10,"*9")),
                    'ARDT Cutter Entry'!Z10,
                    'ARDT Cutter Entry'!Z49)
            )
        ),
        ""
    ),
    _xlpm.Result, IF(_xlpm.URCheck,
        IF(BJ76&lt;&gt;"", BJ76, _xlpm.Fallback),
        _xlpm.Fallback
    ),
    _xlpm.Result
)</f>
        <v/>
      </c>
      <c r="AA23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IF(OR(Data!CP52=0, Data!CP52=""), "", "O"&amp;Data!CP52),
            IF('ARDT Cutter Entry'!$C$111&lt;&gt;"",
                IF(OR(
                    COUNTIF('ARDT Cutter Entry'!AA67,"*1"), COUNTIF('ARDT Cutter Entry'!AA67,"*2"), COUNTIF('ARDT Cutter Entry'!AA67,"*3"),
                    COUNTIF('ARDT Cutter Entry'!AA67,"*4"), COUNTIF('ARDT Cutter Entry'!AA67,"*5"), COUNTIF('ARDT Cutter Entry'!AA67,"*6"),
                    COUNTIF('ARDT Cutter Entry'!AA67,"*7"), COUNTIF('ARDT Cutter Entry'!AA67,"*8"), COUNTIF('ARDT Cutter Entry'!AA67,"*9")),
                    'ARDT Cutter Entry'!AA67,
                    'ARDT Cutter Entry'!AA117),
                IF(OR(
                    COUNTIF('ARDT Cutter Entry'!AA10,"*1"), COUNTIF('ARDT Cutter Entry'!AA10,"*2"), COUNTIF('ARDT Cutter Entry'!AA10,"*3"),
                    COUNTIF('ARDT Cutter Entry'!AA10,"*4"), COUNTIF('ARDT Cutter Entry'!AA10,"*5"), COUNTIF('ARDT Cutter Entry'!AA10,"*6"),
                    COUNTIF('ARDT Cutter Entry'!AA10,"*7"), COUNTIF('ARDT Cutter Entry'!AA10,"*8"), COUNTIF('ARDT Cutter Entry'!AA10,"*9")),
                    'ARDT Cutter Entry'!AA10,
                    'ARDT Cutter Entry'!AA49)
            )
        ),
        ""
    ),
    _xlpm.Result, IF(_xlpm.URCheck,
        IF(BK76&lt;&gt;"", BK76, _xlpm.Fallback),
        _xlpm.Fallback
    ),
    _xlpm.Result
)</f>
        <v/>
      </c>
    </row>
    <row r="24" spans="1:27" ht="18.75" customHeight="1" x14ac:dyDescent="0.35">
      <c r="A24" s="1423"/>
      <c r="B24" s="396">
        <v>8</v>
      </c>
      <c r="C24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IF(OR(Data!BR53=0, Data!BR53=""), "", "O"&amp;Data!BR53),
            IF('ARDT Cutter Entry'!$C$111&lt;&gt;"",
                IF(OR(
                    COUNTIF('ARDT Cutter Entry'!C68,"*1"), COUNTIF('ARDT Cutter Entry'!C68,"*2"), COUNTIF('ARDT Cutter Entry'!C68,"*3"),
                    COUNTIF('ARDT Cutter Entry'!C68,"*4"), COUNTIF('ARDT Cutter Entry'!C68,"*5"), COUNTIF('ARDT Cutter Entry'!C68,"*6"),
                    COUNTIF('ARDT Cutter Entry'!C68,"*7"), COUNTIF('ARDT Cutter Entry'!C68,"*8"), COUNTIF('ARDT Cutter Entry'!C68,"*9")),
                    'ARDT Cutter Entry'!C68,
                    'ARDT Cutter Entry'!C118),
                IF(OR(
                    COUNTIF('ARDT Cutter Entry'!C11,"*1"), COUNTIF('ARDT Cutter Entry'!C11,"*2"), COUNTIF('ARDT Cutter Entry'!C11,"*3"),
                    COUNTIF('ARDT Cutter Entry'!C11,"*4"), COUNTIF('ARDT Cutter Entry'!C11,"*5"), COUNTIF('ARDT Cutter Entry'!C11,"*6"),
                    COUNTIF('ARDT Cutter Entry'!C11,"*7"), COUNTIF('ARDT Cutter Entry'!C11,"*8"), COUNTIF('ARDT Cutter Entry'!C11,"*9")),
                    'ARDT Cutter Entry'!C11,
                    'ARDT Cutter Entry'!C50)
            )
        ),
        ""
    ),
    _xlpm.Result, IF(_xlpm.URCheck,
        IF(AM77&lt;&gt;"", AM77, _xlpm.Fallback),
        _xlpm.Fallback
    ),
    _xlpm.Result
)</f>
        <v/>
      </c>
      <c r="D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IF(OR(Data!BS53=0, Data!BS53=""), "", "O"&amp;Data!BS53),
            IF('ARDT Cutter Entry'!$C$111&lt;&gt;"",
                IF(OR(
                    COUNTIF('ARDT Cutter Entry'!D68,"*1"), COUNTIF('ARDT Cutter Entry'!D68,"*2"), COUNTIF('ARDT Cutter Entry'!D68,"*3"),
                    COUNTIF('ARDT Cutter Entry'!D68,"*4"), COUNTIF('ARDT Cutter Entry'!D68,"*5"), COUNTIF('ARDT Cutter Entry'!D68,"*6"),
                    COUNTIF('ARDT Cutter Entry'!D68,"*7"), COUNTIF('ARDT Cutter Entry'!D68,"*8"), COUNTIF('ARDT Cutter Entry'!D68,"*9")),
                    'ARDT Cutter Entry'!D68,
                    'ARDT Cutter Entry'!D118),
                IF(OR(
                    COUNTIF('ARDT Cutter Entry'!D11,"*1"), COUNTIF('ARDT Cutter Entry'!D11,"*2"), COUNTIF('ARDT Cutter Entry'!D11,"*3"),
                    COUNTIF('ARDT Cutter Entry'!D11,"*4"), COUNTIF('ARDT Cutter Entry'!D11,"*5"), COUNTIF('ARDT Cutter Entry'!D11,"*6"),
                    COUNTIF('ARDT Cutter Entry'!D11,"*7"), COUNTIF('ARDT Cutter Entry'!D11,"*8"), COUNTIF('ARDT Cutter Entry'!D11,"*9")),
                    'ARDT Cutter Entry'!D11,
                    'ARDT Cutter Entry'!D50)
            )
        ),
        ""
    ),
    _xlpm.Result, IF(_xlpm.URCheck,
        IF(AN77&lt;&gt;"", AN77, _xlpm.Fallback),
        _xlpm.Fallback
    ),
    _xlpm.Result
)</f>
        <v/>
      </c>
      <c r="E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IF(OR(Data!BT53=0, Data!BT53=""), "", "O"&amp;Data!BT53),
            IF('ARDT Cutter Entry'!$C$111&lt;&gt;"",
                IF(OR(
                    COUNTIF('ARDT Cutter Entry'!E68,"*1"), COUNTIF('ARDT Cutter Entry'!E68,"*2"), COUNTIF('ARDT Cutter Entry'!E68,"*3"),
                    COUNTIF('ARDT Cutter Entry'!E68,"*4"), COUNTIF('ARDT Cutter Entry'!E68,"*5"), COUNTIF('ARDT Cutter Entry'!E68,"*6"),
                    COUNTIF('ARDT Cutter Entry'!E68,"*7"), COUNTIF('ARDT Cutter Entry'!E68,"*8"), COUNTIF('ARDT Cutter Entry'!E68,"*9")),
                    'ARDT Cutter Entry'!E68,
                    'ARDT Cutter Entry'!E118),
                IF(OR(
                    COUNTIF('ARDT Cutter Entry'!E11,"*1"), COUNTIF('ARDT Cutter Entry'!E11,"*2"), COUNTIF('ARDT Cutter Entry'!E11,"*3"),
                    COUNTIF('ARDT Cutter Entry'!E11,"*4"), COUNTIF('ARDT Cutter Entry'!E11,"*5"), COUNTIF('ARDT Cutter Entry'!E11,"*6"),
                    COUNTIF('ARDT Cutter Entry'!E11,"*7"), COUNTIF('ARDT Cutter Entry'!E11,"*8"), COUNTIF('ARDT Cutter Entry'!E11,"*9")),
                    'ARDT Cutter Entry'!E11,
                    'ARDT Cutter Entry'!E50)
            )
        ),
        ""
    ),
    _xlpm.Result, IF(_xlpm.URCheck,
        IF(AO77&lt;&gt;"", AO77, _xlpm.Fallback),
        _xlpm.Fallback
    ),
    _xlpm.Result
)</f>
        <v/>
      </c>
      <c r="F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IF(OR(Data!BU53=0, Data!BU53=""), "", "O"&amp;Data!BU53),
            IF('ARDT Cutter Entry'!$C$111&lt;&gt;"",
                IF(OR(
                    COUNTIF('ARDT Cutter Entry'!F68,"*1"), COUNTIF('ARDT Cutter Entry'!F68,"*2"), COUNTIF('ARDT Cutter Entry'!F68,"*3"),
                    COUNTIF('ARDT Cutter Entry'!F68,"*4"), COUNTIF('ARDT Cutter Entry'!F68,"*5"), COUNTIF('ARDT Cutter Entry'!F68,"*6"),
                    COUNTIF('ARDT Cutter Entry'!F68,"*7"), COUNTIF('ARDT Cutter Entry'!F68,"*8"), COUNTIF('ARDT Cutter Entry'!F68,"*9")),
                    'ARDT Cutter Entry'!F68,
                    'ARDT Cutter Entry'!F118),
                IF(OR(
                    COUNTIF('ARDT Cutter Entry'!F11,"*1"), COUNTIF('ARDT Cutter Entry'!F11,"*2"), COUNTIF('ARDT Cutter Entry'!F11,"*3"),
                    COUNTIF('ARDT Cutter Entry'!F11,"*4"), COUNTIF('ARDT Cutter Entry'!F11,"*5"), COUNTIF('ARDT Cutter Entry'!F11,"*6"),
                    COUNTIF('ARDT Cutter Entry'!F11,"*7"), COUNTIF('ARDT Cutter Entry'!F11,"*8"), COUNTIF('ARDT Cutter Entry'!F11,"*9")),
                    'ARDT Cutter Entry'!F11,
                    'ARDT Cutter Entry'!F50)
            )
        ),
        ""
    ),
    _xlpm.Result, IF(_xlpm.URCheck,
        IF(AP77&lt;&gt;"", AP77, _xlpm.Fallback),
        _xlpm.Fallback
    ),
    _xlpm.Result
)</f>
        <v/>
      </c>
      <c r="G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IF(OR(Data!BV53=0, Data!BV53=""), "", "O"&amp;Data!BV53),
            IF('ARDT Cutter Entry'!$C$111&lt;&gt;"",
                IF(OR(
                    COUNTIF('ARDT Cutter Entry'!G68,"*1"), COUNTIF('ARDT Cutter Entry'!G68,"*2"), COUNTIF('ARDT Cutter Entry'!G68,"*3"),
                    COUNTIF('ARDT Cutter Entry'!G68,"*4"), COUNTIF('ARDT Cutter Entry'!G68,"*5"), COUNTIF('ARDT Cutter Entry'!G68,"*6"),
                    COUNTIF('ARDT Cutter Entry'!G68,"*7"), COUNTIF('ARDT Cutter Entry'!G68,"*8"), COUNTIF('ARDT Cutter Entry'!G68,"*9")),
                    'ARDT Cutter Entry'!G68,
                    'ARDT Cutter Entry'!G118),
                IF(OR(
                    COUNTIF('ARDT Cutter Entry'!G11,"*1"), COUNTIF('ARDT Cutter Entry'!G11,"*2"), COUNTIF('ARDT Cutter Entry'!G11,"*3"),
                    COUNTIF('ARDT Cutter Entry'!G11,"*4"), COUNTIF('ARDT Cutter Entry'!G11,"*5"), COUNTIF('ARDT Cutter Entry'!G11,"*6"),
                    COUNTIF('ARDT Cutter Entry'!G11,"*7"), COUNTIF('ARDT Cutter Entry'!G11,"*8"), COUNTIF('ARDT Cutter Entry'!G11,"*9")),
                    'ARDT Cutter Entry'!G11,
                    'ARDT Cutter Entry'!G50)
            )
        ),
        ""
    ),
    _xlpm.Result, IF(_xlpm.URCheck,
        IF(AQ77&lt;&gt;"", AQ77, _xlpm.Fallback),
        _xlpm.Fallback
    ),
    _xlpm.Result
)</f>
        <v/>
      </c>
      <c r="H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IF(OR(Data!BW53=0, Data!BW53=""), "", "O"&amp;Data!BW53),
            IF('ARDT Cutter Entry'!$C$111&lt;&gt;"",
                IF(OR(
                    COUNTIF('ARDT Cutter Entry'!H68,"*1"), COUNTIF('ARDT Cutter Entry'!H68,"*2"), COUNTIF('ARDT Cutter Entry'!H68,"*3"),
                    COUNTIF('ARDT Cutter Entry'!H68,"*4"), COUNTIF('ARDT Cutter Entry'!H68,"*5"), COUNTIF('ARDT Cutter Entry'!H68,"*6"),
                    COUNTIF('ARDT Cutter Entry'!H68,"*7"), COUNTIF('ARDT Cutter Entry'!H68,"*8"), COUNTIF('ARDT Cutter Entry'!H68,"*9")),
                    'ARDT Cutter Entry'!H68,
                    'ARDT Cutter Entry'!H118),
                IF(OR(
                    COUNTIF('ARDT Cutter Entry'!H11,"*1"), COUNTIF('ARDT Cutter Entry'!H11,"*2"), COUNTIF('ARDT Cutter Entry'!H11,"*3"),
                    COUNTIF('ARDT Cutter Entry'!H11,"*4"), COUNTIF('ARDT Cutter Entry'!H11,"*5"), COUNTIF('ARDT Cutter Entry'!H11,"*6"),
                    COUNTIF('ARDT Cutter Entry'!H11,"*7"), COUNTIF('ARDT Cutter Entry'!H11,"*8"), COUNTIF('ARDT Cutter Entry'!H11,"*9")),
                    'ARDT Cutter Entry'!H11,
                    'ARDT Cutter Entry'!H50)
            )
        ),
        ""
    ),
    _xlpm.Result, IF(_xlpm.URCheck,
        IF(AR77&lt;&gt;"", AR77, _xlpm.Fallback),
        _xlpm.Fallback
    ),
    _xlpm.Result
)</f>
        <v/>
      </c>
      <c r="I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IF(OR(Data!BX53=0, Data!BX53=""), "", "O"&amp;Data!BX53),
            IF('ARDT Cutter Entry'!$C$111&lt;&gt;"",
                IF(OR(
                    COUNTIF('ARDT Cutter Entry'!I68,"*1"), COUNTIF('ARDT Cutter Entry'!I68,"*2"), COUNTIF('ARDT Cutter Entry'!I68,"*3"),
                    COUNTIF('ARDT Cutter Entry'!I68,"*4"), COUNTIF('ARDT Cutter Entry'!I68,"*5"), COUNTIF('ARDT Cutter Entry'!I68,"*6"),
                    COUNTIF('ARDT Cutter Entry'!I68,"*7"), COUNTIF('ARDT Cutter Entry'!I68,"*8"), COUNTIF('ARDT Cutter Entry'!I68,"*9")),
                    'ARDT Cutter Entry'!I68,
                    'ARDT Cutter Entry'!I118),
                IF(OR(
                    COUNTIF('ARDT Cutter Entry'!I11,"*1"), COUNTIF('ARDT Cutter Entry'!I11,"*2"), COUNTIF('ARDT Cutter Entry'!I11,"*3"),
                    COUNTIF('ARDT Cutter Entry'!I11,"*4"), COUNTIF('ARDT Cutter Entry'!I11,"*5"), COUNTIF('ARDT Cutter Entry'!I11,"*6"),
                    COUNTIF('ARDT Cutter Entry'!I11,"*7"), COUNTIF('ARDT Cutter Entry'!I11,"*8"), COUNTIF('ARDT Cutter Entry'!I11,"*9")),
                    'ARDT Cutter Entry'!I11,
                    'ARDT Cutter Entry'!I50)
            )
        ),
        ""
    ),
    _xlpm.Result, IF(_xlpm.URCheck,
        IF(AS77&lt;&gt;"", AS77, _xlpm.Fallback),
        _xlpm.Fallback
    ),
    _xlpm.Result
)</f>
        <v/>
      </c>
      <c r="J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IF(OR(Data!BY53=0, Data!BY53=""), "", "O"&amp;Data!BY53),
            IF('ARDT Cutter Entry'!$C$111&lt;&gt;"",
                IF(OR(
                    COUNTIF('ARDT Cutter Entry'!J68,"*1"), COUNTIF('ARDT Cutter Entry'!J68,"*2"), COUNTIF('ARDT Cutter Entry'!J68,"*3"),
                    COUNTIF('ARDT Cutter Entry'!J68,"*4"), COUNTIF('ARDT Cutter Entry'!J68,"*5"), COUNTIF('ARDT Cutter Entry'!J68,"*6"),
                    COUNTIF('ARDT Cutter Entry'!J68,"*7"), COUNTIF('ARDT Cutter Entry'!J68,"*8"), COUNTIF('ARDT Cutter Entry'!J68,"*9")),
                    'ARDT Cutter Entry'!J68,
                    'ARDT Cutter Entry'!J118),
                IF(OR(
                    COUNTIF('ARDT Cutter Entry'!J11,"*1"), COUNTIF('ARDT Cutter Entry'!J11,"*2"), COUNTIF('ARDT Cutter Entry'!J11,"*3"),
                    COUNTIF('ARDT Cutter Entry'!J11,"*4"), COUNTIF('ARDT Cutter Entry'!J11,"*5"), COUNTIF('ARDT Cutter Entry'!J11,"*6"),
                    COUNTIF('ARDT Cutter Entry'!J11,"*7"), COUNTIF('ARDT Cutter Entry'!J11,"*8"), COUNTIF('ARDT Cutter Entry'!J11,"*9")),
                    'ARDT Cutter Entry'!J11,
                    'ARDT Cutter Entry'!J50)
            )
        ),
        ""
    ),
    _xlpm.Result, IF(_xlpm.URCheck,
        IF(AT77&lt;&gt;"", AT77, _xlpm.Fallback),
        _xlpm.Fallback
    ),
    _xlpm.Result
)</f>
        <v/>
      </c>
      <c r="K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IF(OR(Data!BZ53=0, Data!BZ53=""), "", "O"&amp;Data!BZ53),
            IF('ARDT Cutter Entry'!$C$111&lt;&gt;"",
                IF(OR(
                    COUNTIF('ARDT Cutter Entry'!K68,"*1"), COUNTIF('ARDT Cutter Entry'!K68,"*2"), COUNTIF('ARDT Cutter Entry'!K68,"*3"),
                    COUNTIF('ARDT Cutter Entry'!K68,"*4"), COUNTIF('ARDT Cutter Entry'!K68,"*5"), COUNTIF('ARDT Cutter Entry'!K68,"*6"),
                    COUNTIF('ARDT Cutter Entry'!K68,"*7"), COUNTIF('ARDT Cutter Entry'!K68,"*8"), COUNTIF('ARDT Cutter Entry'!K68,"*9")),
                    'ARDT Cutter Entry'!K68,
                    'ARDT Cutter Entry'!K118),
                IF(OR(
                    COUNTIF('ARDT Cutter Entry'!K11,"*1"), COUNTIF('ARDT Cutter Entry'!K11,"*2"), COUNTIF('ARDT Cutter Entry'!K11,"*3"),
                    COUNTIF('ARDT Cutter Entry'!K11,"*4"), COUNTIF('ARDT Cutter Entry'!K11,"*5"), COUNTIF('ARDT Cutter Entry'!K11,"*6"),
                    COUNTIF('ARDT Cutter Entry'!K11,"*7"), COUNTIF('ARDT Cutter Entry'!K11,"*8"), COUNTIF('ARDT Cutter Entry'!K11,"*9")),
                    'ARDT Cutter Entry'!K11,
                    'ARDT Cutter Entry'!K50)
            )
        ),
        ""
    ),
    _xlpm.Result, IF(_xlpm.URCheck,
        IF(AU77&lt;&gt;"", AU77, _xlpm.Fallback),
        _xlpm.Fallback
    ),
    _xlpm.Result
)</f>
        <v/>
      </c>
      <c r="L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IF(OR(Data!CA53=0, Data!CA53=""), "", "O"&amp;Data!CA53),
            IF('ARDT Cutter Entry'!$C$111&lt;&gt;"",
                IF(OR(
                    COUNTIF('ARDT Cutter Entry'!L68,"*1"), COUNTIF('ARDT Cutter Entry'!L68,"*2"), COUNTIF('ARDT Cutter Entry'!L68,"*3"),
                    COUNTIF('ARDT Cutter Entry'!L68,"*4"), COUNTIF('ARDT Cutter Entry'!L68,"*5"), COUNTIF('ARDT Cutter Entry'!L68,"*6"),
                    COUNTIF('ARDT Cutter Entry'!L68,"*7"), COUNTIF('ARDT Cutter Entry'!L68,"*8"), COUNTIF('ARDT Cutter Entry'!L68,"*9")),
                    'ARDT Cutter Entry'!L68,
                    'ARDT Cutter Entry'!L118),
                IF(OR(
                    COUNTIF('ARDT Cutter Entry'!L11,"*1"), COUNTIF('ARDT Cutter Entry'!L11,"*2"), COUNTIF('ARDT Cutter Entry'!L11,"*3"),
                    COUNTIF('ARDT Cutter Entry'!L11,"*4"), COUNTIF('ARDT Cutter Entry'!L11,"*5"), COUNTIF('ARDT Cutter Entry'!L11,"*6"),
                    COUNTIF('ARDT Cutter Entry'!L11,"*7"), COUNTIF('ARDT Cutter Entry'!L11,"*8"), COUNTIF('ARDT Cutter Entry'!L11,"*9")),
                    'ARDT Cutter Entry'!L11,
                    'ARDT Cutter Entry'!L50)
            )
        ),
        ""
    ),
    _xlpm.Result, IF(_xlpm.URCheck,
        IF(AV77&lt;&gt;"", AV77, _xlpm.Fallback),
        _xlpm.Fallback
    ),
    _xlpm.Result
)</f>
        <v/>
      </c>
      <c r="M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IF(OR(Data!CB53=0, Data!CB53=""), "", "O"&amp;Data!CB53),
            IF('ARDT Cutter Entry'!$C$111&lt;&gt;"",
                IF(OR(
                    COUNTIF('ARDT Cutter Entry'!M68,"*1"), COUNTIF('ARDT Cutter Entry'!M68,"*2"), COUNTIF('ARDT Cutter Entry'!M68,"*3"),
                    COUNTIF('ARDT Cutter Entry'!M68,"*4"), COUNTIF('ARDT Cutter Entry'!M68,"*5"), COUNTIF('ARDT Cutter Entry'!M68,"*6"),
                    COUNTIF('ARDT Cutter Entry'!M68,"*7"), COUNTIF('ARDT Cutter Entry'!M68,"*8"), COUNTIF('ARDT Cutter Entry'!M68,"*9")),
                    'ARDT Cutter Entry'!M68,
                    'ARDT Cutter Entry'!M118),
                IF(OR(
                    COUNTIF('ARDT Cutter Entry'!M11,"*1"), COUNTIF('ARDT Cutter Entry'!M11,"*2"), COUNTIF('ARDT Cutter Entry'!M11,"*3"),
                    COUNTIF('ARDT Cutter Entry'!M11,"*4"), COUNTIF('ARDT Cutter Entry'!M11,"*5"), COUNTIF('ARDT Cutter Entry'!M11,"*6"),
                    COUNTIF('ARDT Cutter Entry'!M11,"*7"), COUNTIF('ARDT Cutter Entry'!M11,"*8"), COUNTIF('ARDT Cutter Entry'!M11,"*9")),
                    'ARDT Cutter Entry'!M11,
                    'ARDT Cutter Entry'!M50)
            )
        ),
        ""
    ),
    _xlpm.Result, IF(_xlpm.URCheck,
        IF(AW77&lt;&gt;"", AW77, _xlpm.Fallback),
        _xlpm.Fallback
    ),
    _xlpm.Result
)</f>
        <v/>
      </c>
      <c r="N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IF(OR(Data!CC53=0, Data!CC53=""), "", "O"&amp;Data!CC53),
            IF('ARDT Cutter Entry'!$C$111&lt;&gt;"",
                IF(OR(
                    COUNTIF('ARDT Cutter Entry'!N68,"*1"), COUNTIF('ARDT Cutter Entry'!N68,"*2"), COUNTIF('ARDT Cutter Entry'!N68,"*3"),
                    COUNTIF('ARDT Cutter Entry'!N68,"*4"), COUNTIF('ARDT Cutter Entry'!N68,"*5"), COUNTIF('ARDT Cutter Entry'!N68,"*6"),
                    COUNTIF('ARDT Cutter Entry'!N68,"*7"), COUNTIF('ARDT Cutter Entry'!N68,"*8"), COUNTIF('ARDT Cutter Entry'!N68,"*9")),
                    'ARDT Cutter Entry'!N68,
                    'ARDT Cutter Entry'!N118),
                IF(OR(
                    COUNTIF('ARDT Cutter Entry'!N11,"*1"), COUNTIF('ARDT Cutter Entry'!N11,"*2"), COUNTIF('ARDT Cutter Entry'!N11,"*3"),
                    COUNTIF('ARDT Cutter Entry'!N11,"*4"), COUNTIF('ARDT Cutter Entry'!N11,"*5"), COUNTIF('ARDT Cutter Entry'!N11,"*6"),
                    COUNTIF('ARDT Cutter Entry'!N11,"*7"), COUNTIF('ARDT Cutter Entry'!N11,"*8"), COUNTIF('ARDT Cutter Entry'!N11,"*9")),
                    'ARDT Cutter Entry'!N11,
                    'ARDT Cutter Entry'!N50)
            )
        ),
        ""
    ),
    _xlpm.Result, IF(_xlpm.URCheck,
        IF(AX77&lt;&gt;"", AX77, _xlpm.Fallback),
        _xlpm.Fallback
    ),
    _xlpm.Result
)</f>
        <v/>
      </c>
      <c r="O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IF(OR(Data!CD53=0, Data!CD53=""), "", "O"&amp;Data!CD53),
            IF('ARDT Cutter Entry'!$C$111&lt;&gt;"",
                IF(OR(
                    COUNTIF('ARDT Cutter Entry'!O68,"*1"), COUNTIF('ARDT Cutter Entry'!O68,"*2"), COUNTIF('ARDT Cutter Entry'!O68,"*3"),
                    COUNTIF('ARDT Cutter Entry'!O68,"*4"), COUNTIF('ARDT Cutter Entry'!O68,"*5"), COUNTIF('ARDT Cutter Entry'!O68,"*6"),
                    COUNTIF('ARDT Cutter Entry'!O68,"*7"), COUNTIF('ARDT Cutter Entry'!O68,"*8"), COUNTIF('ARDT Cutter Entry'!O68,"*9")),
                    'ARDT Cutter Entry'!O68,
                    'ARDT Cutter Entry'!O118),
                IF(OR(
                    COUNTIF('ARDT Cutter Entry'!O11,"*1"), COUNTIF('ARDT Cutter Entry'!O11,"*2"), COUNTIF('ARDT Cutter Entry'!O11,"*3"),
                    COUNTIF('ARDT Cutter Entry'!O11,"*4"), COUNTIF('ARDT Cutter Entry'!O11,"*5"), COUNTIF('ARDT Cutter Entry'!O11,"*6"),
                    COUNTIF('ARDT Cutter Entry'!O11,"*7"), COUNTIF('ARDT Cutter Entry'!O11,"*8"), COUNTIF('ARDT Cutter Entry'!O11,"*9")),
                    'ARDT Cutter Entry'!O11,
                    'ARDT Cutter Entry'!O50)
            )
        ),
        ""
    ),
    _xlpm.Result, IF(_xlpm.URCheck,
        IF(AY77&lt;&gt;"", AY77, _xlpm.Fallback),
        _xlpm.Fallback
    ),
    _xlpm.Result
)</f>
        <v/>
      </c>
      <c r="P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IF(OR(Data!CE53=0, Data!CE53=""), "", "O"&amp;Data!CE53),
            IF('ARDT Cutter Entry'!$C$111&lt;&gt;"",
                IF(OR(
                    COUNTIF('ARDT Cutter Entry'!P68,"*1"), COUNTIF('ARDT Cutter Entry'!P68,"*2"), COUNTIF('ARDT Cutter Entry'!P68,"*3"),
                    COUNTIF('ARDT Cutter Entry'!P68,"*4"), COUNTIF('ARDT Cutter Entry'!P68,"*5"), COUNTIF('ARDT Cutter Entry'!P68,"*6"),
                    COUNTIF('ARDT Cutter Entry'!P68,"*7"), COUNTIF('ARDT Cutter Entry'!P68,"*8"), COUNTIF('ARDT Cutter Entry'!P68,"*9")),
                    'ARDT Cutter Entry'!P68,
                    'ARDT Cutter Entry'!P118),
                IF(OR(
                    COUNTIF('ARDT Cutter Entry'!P11,"*1"), COUNTIF('ARDT Cutter Entry'!P11,"*2"), COUNTIF('ARDT Cutter Entry'!P11,"*3"),
                    COUNTIF('ARDT Cutter Entry'!P11,"*4"), COUNTIF('ARDT Cutter Entry'!P11,"*5"), COUNTIF('ARDT Cutter Entry'!P11,"*6"),
                    COUNTIF('ARDT Cutter Entry'!P11,"*7"), COUNTIF('ARDT Cutter Entry'!P11,"*8"), COUNTIF('ARDT Cutter Entry'!P11,"*9")),
                    'ARDT Cutter Entry'!P11,
                    'ARDT Cutter Entry'!P50)
            )
        ),
        ""
    ),
    _xlpm.Result, IF(_xlpm.URCheck,
        IF(AZ77&lt;&gt;"", AZ77, _xlpm.Fallback),
        _xlpm.Fallback
    ),
    _xlpm.Result
)</f>
        <v/>
      </c>
      <c r="Q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IF(OR(Data!CF53=0, Data!CF53=""), "", "O"&amp;Data!CF53),
            IF('ARDT Cutter Entry'!$C$111&lt;&gt;"",
                IF(OR(
                    COUNTIF('ARDT Cutter Entry'!Q68,"*1"), COUNTIF('ARDT Cutter Entry'!Q68,"*2"), COUNTIF('ARDT Cutter Entry'!Q68,"*3"),
                    COUNTIF('ARDT Cutter Entry'!Q68,"*4"), COUNTIF('ARDT Cutter Entry'!Q68,"*5"), COUNTIF('ARDT Cutter Entry'!Q68,"*6"),
                    COUNTIF('ARDT Cutter Entry'!Q68,"*7"), COUNTIF('ARDT Cutter Entry'!Q68,"*8"), COUNTIF('ARDT Cutter Entry'!Q68,"*9")),
                    'ARDT Cutter Entry'!Q68,
                    'ARDT Cutter Entry'!Q118),
                IF(OR(
                    COUNTIF('ARDT Cutter Entry'!Q11,"*1"), COUNTIF('ARDT Cutter Entry'!Q11,"*2"), COUNTIF('ARDT Cutter Entry'!Q11,"*3"),
                    COUNTIF('ARDT Cutter Entry'!Q11,"*4"), COUNTIF('ARDT Cutter Entry'!Q11,"*5"), COUNTIF('ARDT Cutter Entry'!Q11,"*6"),
                    COUNTIF('ARDT Cutter Entry'!Q11,"*7"), COUNTIF('ARDT Cutter Entry'!Q11,"*8"), COUNTIF('ARDT Cutter Entry'!Q11,"*9")),
                    'ARDT Cutter Entry'!Q11,
                    'ARDT Cutter Entry'!Q50)
            )
        ),
        ""
    ),
    _xlpm.Result, IF(_xlpm.URCheck,
        IF(BA77&lt;&gt;"", BA77, _xlpm.Fallback),
        _xlpm.Fallback
    ),
    _xlpm.Result
)</f>
        <v/>
      </c>
      <c r="R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IF(OR(Data!CG53=0, Data!CG53=""), "", "O"&amp;Data!CG53),
            IF('ARDT Cutter Entry'!$C$111&lt;&gt;"",
                IF(OR(
                    COUNTIF('ARDT Cutter Entry'!R68,"*1"), COUNTIF('ARDT Cutter Entry'!R68,"*2"), COUNTIF('ARDT Cutter Entry'!R68,"*3"),
                    COUNTIF('ARDT Cutter Entry'!R68,"*4"), COUNTIF('ARDT Cutter Entry'!R68,"*5"), COUNTIF('ARDT Cutter Entry'!R68,"*6"),
                    COUNTIF('ARDT Cutter Entry'!R68,"*7"), COUNTIF('ARDT Cutter Entry'!R68,"*8"), COUNTIF('ARDT Cutter Entry'!R68,"*9")),
                    'ARDT Cutter Entry'!R68,
                    'ARDT Cutter Entry'!R118),
                IF(OR(
                    COUNTIF('ARDT Cutter Entry'!R11,"*1"), COUNTIF('ARDT Cutter Entry'!R11,"*2"), COUNTIF('ARDT Cutter Entry'!R11,"*3"),
                    COUNTIF('ARDT Cutter Entry'!R11,"*4"), COUNTIF('ARDT Cutter Entry'!R11,"*5"), COUNTIF('ARDT Cutter Entry'!R11,"*6"),
                    COUNTIF('ARDT Cutter Entry'!R11,"*7"), COUNTIF('ARDT Cutter Entry'!R11,"*8"), COUNTIF('ARDT Cutter Entry'!R11,"*9")),
                    'ARDT Cutter Entry'!R11,
                    'ARDT Cutter Entry'!R50)
            )
        ),
        ""
    ),
    _xlpm.Result, IF(_xlpm.URCheck,
        IF(BB77&lt;&gt;"", BB77, _xlpm.Fallback),
        _xlpm.Fallback
    ),
    _xlpm.Result
)</f>
        <v/>
      </c>
      <c r="S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IF(OR(Data!CH53=0, Data!CH53=""), "", "O"&amp;Data!CH53),
            IF('ARDT Cutter Entry'!$C$111&lt;&gt;"",
                IF(OR(
                    COUNTIF('ARDT Cutter Entry'!S68,"*1"), COUNTIF('ARDT Cutter Entry'!S68,"*2"), COUNTIF('ARDT Cutter Entry'!S68,"*3"),
                    COUNTIF('ARDT Cutter Entry'!S68,"*4"), COUNTIF('ARDT Cutter Entry'!S68,"*5"), COUNTIF('ARDT Cutter Entry'!S68,"*6"),
                    COUNTIF('ARDT Cutter Entry'!S68,"*7"), COUNTIF('ARDT Cutter Entry'!S68,"*8"), COUNTIF('ARDT Cutter Entry'!S68,"*9")),
                    'ARDT Cutter Entry'!S68,
                    'ARDT Cutter Entry'!S118),
                IF(OR(
                    COUNTIF('ARDT Cutter Entry'!S11,"*1"), COUNTIF('ARDT Cutter Entry'!S11,"*2"), COUNTIF('ARDT Cutter Entry'!S11,"*3"),
                    COUNTIF('ARDT Cutter Entry'!S11,"*4"), COUNTIF('ARDT Cutter Entry'!S11,"*5"), COUNTIF('ARDT Cutter Entry'!S11,"*6"),
                    COUNTIF('ARDT Cutter Entry'!S11,"*7"), COUNTIF('ARDT Cutter Entry'!S11,"*8"), COUNTIF('ARDT Cutter Entry'!S11,"*9")),
                    'ARDT Cutter Entry'!S11,
                    'ARDT Cutter Entry'!S50)
            )
        ),
        ""
    ),
    _xlpm.Result, IF(_xlpm.URCheck,
        IF(BC77&lt;&gt;"", BC77, _xlpm.Fallback),
        _xlpm.Fallback
    ),
    _xlpm.Result
)</f>
        <v/>
      </c>
      <c r="T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IF(OR(Data!CI53=0, Data!CI53=""), "", "O"&amp;Data!CI53),
            IF('ARDT Cutter Entry'!$C$111&lt;&gt;"",
                IF(OR(
                    COUNTIF('ARDT Cutter Entry'!T68,"*1"), COUNTIF('ARDT Cutter Entry'!T68,"*2"), COUNTIF('ARDT Cutter Entry'!T68,"*3"),
                    COUNTIF('ARDT Cutter Entry'!T68,"*4"), COUNTIF('ARDT Cutter Entry'!T68,"*5"), COUNTIF('ARDT Cutter Entry'!T68,"*6"),
                    COUNTIF('ARDT Cutter Entry'!T68,"*7"), COUNTIF('ARDT Cutter Entry'!T68,"*8"), COUNTIF('ARDT Cutter Entry'!T68,"*9")),
                    'ARDT Cutter Entry'!T68,
                    'ARDT Cutter Entry'!T118),
                IF(OR(
                    COUNTIF('ARDT Cutter Entry'!T11,"*1"), COUNTIF('ARDT Cutter Entry'!T11,"*2"), COUNTIF('ARDT Cutter Entry'!T11,"*3"),
                    COUNTIF('ARDT Cutter Entry'!T11,"*4"), COUNTIF('ARDT Cutter Entry'!T11,"*5"), COUNTIF('ARDT Cutter Entry'!T11,"*6"),
                    COUNTIF('ARDT Cutter Entry'!T11,"*7"), COUNTIF('ARDT Cutter Entry'!T11,"*8"), COUNTIF('ARDT Cutter Entry'!T11,"*9")),
                    'ARDT Cutter Entry'!T11,
                    'ARDT Cutter Entry'!T50)
            )
        ),
        ""
    ),
    _xlpm.Result, IF(_xlpm.URCheck,
        IF(BD77&lt;&gt;"", BD77, _xlpm.Fallback),
        _xlpm.Fallback
    ),
    _xlpm.Result
)</f>
        <v/>
      </c>
      <c r="U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IF(OR(Data!CJ53=0, Data!CJ53=""), "", "O"&amp;Data!CJ53),
            IF('ARDT Cutter Entry'!$C$111&lt;&gt;"",
                IF(OR(
                    COUNTIF('ARDT Cutter Entry'!U68,"*1"), COUNTIF('ARDT Cutter Entry'!U68,"*2"), COUNTIF('ARDT Cutter Entry'!U68,"*3"),
                    COUNTIF('ARDT Cutter Entry'!U68,"*4"), COUNTIF('ARDT Cutter Entry'!U68,"*5"), COUNTIF('ARDT Cutter Entry'!U68,"*6"),
                    COUNTIF('ARDT Cutter Entry'!U68,"*7"), COUNTIF('ARDT Cutter Entry'!U68,"*8"), COUNTIF('ARDT Cutter Entry'!U68,"*9")),
                    'ARDT Cutter Entry'!U68,
                    'ARDT Cutter Entry'!U118),
                IF(OR(
                    COUNTIF('ARDT Cutter Entry'!U11,"*1"), COUNTIF('ARDT Cutter Entry'!U11,"*2"), COUNTIF('ARDT Cutter Entry'!U11,"*3"),
                    COUNTIF('ARDT Cutter Entry'!U11,"*4"), COUNTIF('ARDT Cutter Entry'!U11,"*5"), COUNTIF('ARDT Cutter Entry'!U11,"*6"),
                    COUNTIF('ARDT Cutter Entry'!U11,"*7"), COUNTIF('ARDT Cutter Entry'!U11,"*8"), COUNTIF('ARDT Cutter Entry'!U11,"*9")),
                    'ARDT Cutter Entry'!U11,
                    'ARDT Cutter Entry'!U50)
            )
        ),
        ""
    ),
    _xlpm.Result, IF(_xlpm.URCheck,
        IF(BE77&lt;&gt;"", BE77, _xlpm.Fallback),
        _xlpm.Fallback
    ),
    _xlpm.Result
)</f>
        <v/>
      </c>
      <c r="V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IF(OR(Data!CK53=0, Data!CK53=""), "", "O"&amp;Data!CK53),
            IF('ARDT Cutter Entry'!$C$111&lt;&gt;"",
                IF(OR(
                    COUNTIF('ARDT Cutter Entry'!V68,"*1"), COUNTIF('ARDT Cutter Entry'!V68,"*2"), COUNTIF('ARDT Cutter Entry'!V68,"*3"),
                    COUNTIF('ARDT Cutter Entry'!V68,"*4"), COUNTIF('ARDT Cutter Entry'!V68,"*5"), COUNTIF('ARDT Cutter Entry'!V68,"*6"),
                    COUNTIF('ARDT Cutter Entry'!V68,"*7"), COUNTIF('ARDT Cutter Entry'!V68,"*8"), COUNTIF('ARDT Cutter Entry'!V68,"*9")),
                    'ARDT Cutter Entry'!V68,
                    'ARDT Cutter Entry'!V118),
                IF(OR(
                    COUNTIF('ARDT Cutter Entry'!V11,"*1"), COUNTIF('ARDT Cutter Entry'!V11,"*2"), COUNTIF('ARDT Cutter Entry'!V11,"*3"),
                    COUNTIF('ARDT Cutter Entry'!V11,"*4"), COUNTIF('ARDT Cutter Entry'!V11,"*5"), COUNTIF('ARDT Cutter Entry'!V11,"*6"),
                    COUNTIF('ARDT Cutter Entry'!V11,"*7"), COUNTIF('ARDT Cutter Entry'!V11,"*8"), COUNTIF('ARDT Cutter Entry'!V11,"*9")),
                    'ARDT Cutter Entry'!V11,
                    'ARDT Cutter Entry'!V50)
            )
        ),
        ""
    ),
    _xlpm.Result, IF(_xlpm.URCheck,
        IF(BF77&lt;&gt;"", BF77, _xlpm.Fallback),
        _xlpm.Fallback
    ),
    _xlpm.Result
)</f>
        <v/>
      </c>
      <c r="W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IF(OR(Data!CL53=0, Data!CL53=""), "", "O"&amp;Data!CL53),
            IF('ARDT Cutter Entry'!$C$111&lt;&gt;"",
                IF(OR(
                    COUNTIF('ARDT Cutter Entry'!W68,"*1"), COUNTIF('ARDT Cutter Entry'!W68,"*2"), COUNTIF('ARDT Cutter Entry'!W68,"*3"),
                    COUNTIF('ARDT Cutter Entry'!W68,"*4"), COUNTIF('ARDT Cutter Entry'!W68,"*5"), COUNTIF('ARDT Cutter Entry'!W68,"*6"),
                    COUNTIF('ARDT Cutter Entry'!W68,"*7"), COUNTIF('ARDT Cutter Entry'!W68,"*8"), COUNTIF('ARDT Cutter Entry'!W68,"*9")),
                    'ARDT Cutter Entry'!W68,
                    'ARDT Cutter Entry'!W118),
                IF(OR(
                    COUNTIF('ARDT Cutter Entry'!W11,"*1"), COUNTIF('ARDT Cutter Entry'!W11,"*2"), COUNTIF('ARDT Cutter Entry'!W11,"*3"),
                    COUNTIF('ARDT Cutter Entry'!W11,"*4"), COUNTIF('ARDT Cutter Entry'!W11,"*5"), COUNTIF('ARDT Cutter Entry'!W11,"*6"),
                    COUNTIF('ARDT Cutter Entry'!W11,"*7"), COUNTIF('ARDT Cutter Entry'!W11,"*8"), COUNTIF('ARDT Cutter Entry'!W11,"*9")),
                    'ARDT Cutter Entry'!W11,
                    'ARDT Cutter Entry'!W50)
            )
        ),
        ""
    ),
    _xlpm.Result, IF(_xlpm.URCheck,
        IF(BG77&lt;&gt;"", BG77, _xlpm.Fallback),
        _xlpm.Fallback
    ),
    _xlpm.Result
)</f>
        <v/>
      </c>
      <c r="X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IF(OR(Data!CM53=0, Data!CM53=""), "", "O"&amp;Data!CM53),
            IF('ARDT Cutter Entry'!$C$111&lt;&gt;"",
                IF(OR(
                    COUNTIF('ARDT Cutter Entry'!X68,"*1"), COUNTIF('ARDT Cutter Entry'!X68,"*2"), COUNTIF('ARDT Cutter Entry'!X68,"*3"),
                    COUNTIF('ARDT Cutter Entry'!X68,"*4"), COUNTIF('ARDT Cutter Entry'!X68,"*5"), COUNTIF('ARDT Cutter Entry'!X68,"*6"),
                    COUNTIF('ARDT Cutter Entry'!X68,"*7"), COUNTIF('ARDT Cutter Entry'!X68,"*8"), COUNTIF('ARDT Cutter Entry'!X68,"*9")),
                    'ARDT Cutter Entry'!X68,
                    'ARDT Cutter Entry'!X118),
                IF(OR(
                    COUNTIF('ARDT Cutter Entry'!X11,"*1"), COUNTIF('ARDT Cutter Entry'!X11,"*2"), COUNTIF('ARDT Cutter Entry'!X11,"*3"),
                    COUNTIF('ARDT Cutter Entry'!X11,"*4"), COUNTIF('ARDT Cutter Entry'!X11,"*5"), COUNTIF('ARDT Cutter Entry'!X11,"*6"),
                    COUNTIF('ARDT Cutter Entry'!X11,"*7"), COUNTIF('ARDT Cutter Entry'!X11,"*8"), COUNTIF('ARDT Cutter Entry'!X11,"*9")),
                    'ARDT Cutter Entry'!X11,
                    'ARDT Cutter Entry'!X50)
            )
        ),
        ""
    ),
    _xlpm.Result, IF(_xlpm.URCheck,
        IF(BH77&lt;&gt;"", BH77, _xlpm.Fallback),
        _xlpm.Fallback
    ),
    _xlpm.Result
)</f>
        <v/>
      </c>
      <c r="Y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IF(OR(Data!CN53=0, Data!CN53=""), "", "O"&amp;Data!CN53),
            IF('ARDT Cutter Entry'!$C$111&lt;&gt;"",
                IF(OR(
                    COUNTIF('ARDT Cutter Entry'!Y68,"*1"), COUNTIF('ARDT Cutter Entry'!Y68,"*2"), COUNTIF('ARDT Cutter Entry'!Y68,"*3"),
                    COUNTIF('ARDT Cutter Entry'!Y68,"*4"), COUNTIF('ARDT Cutter Entry'!Y68,"*5"), COUNTIF('ARDT Cutter Entry'!Y68,"*6"),
                    COUNTIF('ARDT Cutter Entry'!Y68,"*7"), COUNTIF('ARDT Cutter Entry'!Y68,"*8"), COUNTIF('ARDT Cutter Entry'!Y68,"*9")),
                    'ARDT Cutter Entry'!Y68,
                    'ARDT Cutter Entry'!Y118),
                IF(OR(
                    COUNTIF('ARDT Cutter Entry'!Y11,"*1"), COUNTIF('ARDT Cutter Entry'!Y11,"*2"), COUNTIF('ARDT Cutter Entry'!Y11,"*3"),
                    COUNTIF('ARDT Cutter Entry'!Y11,"*4"), COUNTIF('ARDT Cutter Entry'!Y11,"*5"), COUNTIF('ARDT Cutter Entry'!Y11,"*6"),
                    COUNTIF('ARDT Cutter Entry'!Y11,"*7"), COUNTIF('ARDT Cutter Entry'!Y11,"*8"), COUNTIF('ARDT Cutter Entry'!Y11,"*9")),
                    'ARDT Cutter Entry'!Y11,
                    'ARDT Cutter Entry'!Y50)
            )
        ),
        ""
    ),
    _xlpm.Result, IF(_xlpm.URCheck,
        IF(BI77&lt;&gt;"", BI77, _xlpm.Fallback),
        _xlpm.Fallback
    ),
    _xlpm.Result
)</f>
        <v/>
      </c>
      <c r="Z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IF(OR(Data!CO53=0, Data!CO53=""), "", "O"&amp;Data!CO53),
            IF('ARDT Cutter Entry'!$C$111&lt;&gt;"",
                IF(OR(
                    COUNTIF('ARDT Cutter Entry'!Z68,"*1"), COUNTIF('ARDT Cutter Entry'!Z68,"*2"), COUNTIF('ARDT Cutter Entry'!Z68,"*3"),
                    COUNTIF('ARDT Cutter Entry'!Z68,"*4"), COUNTIF('ARDT Cutter Entry'!Z68,"*5"), COUNTIF('ARDT Cutter Entry'!Z68,"*6"),
                    COUNTIF('ARDT Cutter Entry'!Z68,"*7"), COUNTIF('ARDT Cutter Entry'!Z68,"*8"), COUNTIF('ARDT Cutter Entry'!Z68,"*9")),
                    'ARDT Cutter Entry'!Z68,
                    'ARDT Cutter Entry'!Z118),
                IF(OR(
                    COUNTIF('ARDT Cutter Entry'!Z11,"*1"), COUNTIF('ARDT Cutter Entry'!Z11,"*2"), COUNTIF('ARDT Cutter Entry'!Z11,"*3"),
                    COUNTIF('ARDT Cutter Entry'!Z11,"*4"), COUNTIF('ARDT Cutter Entry'!Z11,"*5"), COUNTIF('ARDT Cutter Entry'!Z11,"*6"),
                    COUNTIF('ARDT Cutter Entry'!Z11,"*7"), COUNTIF('ARDT Cutter Entry'!Z11,"*8"), COUNTIF('ARDT Cutter Entry'!Z11,"*9")),
                    'ARDT Cutter Entry'!Z11,
                    'ARDT Cutter Entry'!Z50)
            )
        ),
        ""
    ),
    _xlpm.Result, IF(_xlpm.URCheck,
        IF(BJ77&lt;&gt;"", BJ77, _xlpm.Fallback),
        _xlpm.Fallback
    ),
    _xlpm.Result
)</f>
        <v/>
      </c>
      <c r="AA24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IF(OR(Data!CP53=0, Data!CP53=""), "", "O"&amp;Data!CP53),
            IF('ARDT Cutter Entry'!$C$111&lt;&gt;"",
                IF(OR(
                    COUNTIF('ARDT Cutter Entry'!AA68,"*1"), COUNTIF('ARDT Cutter Entry'!AA68,"*2"), COUNTIF('ARDT Cutter Entry'!AA68,"*3"),
                    COUNTIF('ARDT Cutter Entry'!AA68,"*4"), COUNTIF('ARDT Cutter Entry'!AA68,"*5"), COUNTIF('ARDT Cutter Entry'!AA68,"*6"),
                    COUNTIF('ARDT Cutter Entry'!AA68,"*7"), COUNTIF('ARDT Cutter Entry'!AA68,"*8"), COUNTIF('ARDT Cutter Entry'!AA68,"*9")),
                    'ARDT Cutter Entry'!AA68,
                    'ARDT Cutter Entry'!AA118),
                IF(OR(
                    COUNTIF('ARDT Cutter Entry'!AA11,"*1"), COUNTIF('ARDT Cutter Entry'!AA11,"*2"), COUNTIF('ARDT Cutter Entry'!AA11,"*3"),
                    COUNTIF('ARDT Cutter Entry'!AA11,"*4"), COUNTIF('ARDT Cutter Entry'!AA11,"*5"), COUNTIF('ARDT Cutter Entry'!AA11,"*6"),
                    COUNTIF('ARDT Cutter Entry'!AA11,"*7"), COUNTIF('ARDT Cutter Entry'!AA11,"*8"), COUNTIF('ARDT Cutter Entry'!AA11,"*9")),
                    'ARDT Cutter Entry'!AA11,
                    'ARDT Cutter Entry'!AA50)
            )
        ),
        ""
    ),
    _xlpm.Result, IF(_xlpm.URCheck,
        IF(BK77&lt;&gt;"", BK77, _xlpm.Fallback),
        _xlpm.Fallback
    ),
    _xlpm.Result
)</f>
        <v/>
      </c>
    </row>
    <row r="25" spans="1:27" ht="18.75" customHeight="1" x14ac:dyDescent="0.35">
      <c r="A25" s="1423"/>
      <c r="B25" s="396">
        <v>9</v>
      </c>
      <c r="C25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IF(OR(Data!BR54=0, Data!BR54=""), "", "O"&amp;Data!BR54),
            IF('ARDT Cutter Entry'!$C$111&lt;&gt;"",
                IF(OR(
                    COUNTIF('ARDT Cutter Entry'!C69,"*1"), COUNTIF('ARDT Cutter Entry'!C69,"*2"), COUNTIF('ARDT Cutter Entry'!C69,"*3"),
                    COUNTIF('ARDT Cutter Entry'!C69,"*4"), COUNTIF('ARDT Cutter Entry'!C69,"*5"), COUNTIF('ARDT Cutter Entry'!C69,"*6"),
                    COUNTIF('ARDT Cutter Entry'!C69,"*7"), COUNTIF('ARDT Cutter Entry'!C69,"*8"), COUNTIF('ARDT Cutter Entry'!C69,"*9")),
                    'ARDT Cutter Entry'!C69,
                    'ARDT Cutter Entry'!C119),
                IF(OR(
                    COUNTIF('ARDT Cutter Entry'!C12,"*1"), COUNTIF('ARDT Cutter Entry'!C12,"*2"), COUNTIF('ARDT Cutter Entry'!C12,"*3"),
                    COUNTIF('ARDT Cutter Entry'!C12,"*4"), COUNTIF('ARDT Cutter Entry'!C12,"*5"), COUNTIF('ARDT Cutter Entry'!C12,"*6"),
                    COUNTIF('ARDT Cutter Entry'!C12,"*7"), COUNTIF('ARDT Cutter Entry'!C12,"*8"), COUNTIF('ARDT Cutter Entry'!C12,"*9")),
                    'ARDT Cutter Entry'!C12,
                    'ARDT Cutter Entry'!C51)
            )
        ),
        ""
    ),
    _xlpm.Result, IF(_xlpm.URCheck,
        IF(AM78&lt;&gt;"", AM78, _xlpm.Fallback),
        _xlpm.Fallback
    ),
    _xlpm.Result
)</f>
        <v/>
      </c>
      <c r="D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IF(OR(Data!BS54=0, Data!BS54=""), "", "O"&amp;Data!BS54),
            IF('ARDT Cutter Entry'!$C$111&lt;&gt;"",
                IF(OR(
                    COUNTIF('ARDT Cutter Entry'!D69,"*1"), COUNTIF('ARDT Cutter Entry'!D69,"*2"), COUNTIF('ARDT Cutter Entry'!D69,"*3"),
                    COUNTIF('ARDT Cutter Entry'!D69,"*4"), COUNTIF('ARDT Cutter Entry'!D69,"*5"), COUNTIF('ARDT Cutter Entry'!D69,"*6"),
                    COUNTIF('ARDT Cutter Entry'!D69,"*7"), COUNTIF('ARDT Cutter Entry'!D69,"*8"), COUNTIF('ARDT Cutter Entry'!D69,"*9")),
                    'ARDT Cutter Entry'!D69,
                    'ARDT Cutter Entry'!D119),
                IF(OR(
                    COUNTIF('ARDT Cutter Entry'!D12,"*1"), COUNTIF('ARDT Cutter Entry'!D12,"*2"), COUNTIF('ARDT Cutter Entry'!D12,"*3"),
                    COUNTIF('ARDT Cutter Entry'!D12,"*4"), COUNTIF('ARDT Cutter Entry'!D12,"*5"), COUNTIF('ARDT Cutter Entry'!D12,"*6"),
                    COUNTIF('ARDT Cutter Entry'!D12,"*7"), COUNTIF('ARDT Cutter Entry'!D12,"*8"), COUNTIF('ARDT Cutter Entry'!D12,"*9")),
                    'ARDT Cutter Entry'!D12,
                    'ARDT Cutter Entry'!D51)
            )
        ),
        ""
    ),
    _xlpm.Result, IF(_xlpm.URCheck,
        IF(AN78&lt;&gt;"", AN78, _xlpm.Fallback),
        _xlpm.Fallback
    ),
    _xlpm.Result
)</f>
        <v/>
      </c>
      <c r="E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IF(OR(Data!BT54=0, Data!BT54=""), "", "O"&amp;Data!BT54),
            IF('ARDT Cutter Entry'!$C$111&lt;&gt;"",
                IF(OR(
                    COUNTIF('ARDT Cutter Entry'!E69,"*1"), COUNTIF('ARDT Cutter Entry'!E69,"*2"), COUNTIF('ARDT Cutter Entry'!E69,"*3"),
                    COUNTIF('ARDT Cutter Entry'!E69,"*4"), COUNTIF('ARDT Cutter Entry'!E69,"*5"), COUNTIF('ARDT Cutter Entry'!E69,"*6"),
                    COUNTIF('ARDT Cutter Entry'!E69,"*7"), COUNTIF('ARDT Cutter Entry'!E69,"*8"), COUNTIF('ARDT Cutter Entry'!E69,"*9")),
                    'ARDT Cutter Entry'!E69,
                    'ARDT Cutter Entry'!E119),
                IF(OR(
                    COUNTIF('ARDT Cutter Entry'!E12,"*1"), COUNTIF('ARDT Cutter Entry'!E12,"*2"), COUNTIF('ARDT Cutter Entry'!E12,"*3"),
                    COUNTIF('ARDT Cutter Entry'!E12,"*4"), COUNTIF('ARDT Cutter Entry'!E12,"*5"), COUNTIF('ARDT Cutter Entry'!E12,"*6"),
                    COUNTIF('ARDT Cutter Entry'!E12,"*7"), COUNTIF('ARDT Cutter Entry'!E12,"*8"), COUNTIF('ARDT Cutter Entry'!E12,"*9")),
                    'ARDT Cutter Entry'!E12,
                    'ARDT Cutter Entry'!E51)
            )
        ),
        ""
    ),
    _xlpm.Result, IF(_xlpm.URCheck,
        IF(AO78&lt;&gt;"", AO78, _xlpm.Fallback),
        _xlpm.Fallback
    ),
    _xlpm.Result
)</f>
        <v/>
      </c>
      <c r="F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IF(OR(Data!BU54=0, Data!BU54=""), "", "O"&amp;Data!BU54),
            IF('ARDT Cutter Entry'!$C$111&lt;&gt;"",
                IF(OR(
                    COUNTIF('ARDT Cutter Entry'!F69,"*1"), COUNTIF('ARDT Cutter Entry'!F69,"*2"), COUNTIF('ARDT Cutter Entry'!F69,"*3"),
                    COUNTIF('ARDT Cutter Entry'!F69,"*4"), COUNTIF('ARDT Cutter Entry'!F69,"*5"), COUNTIF('ARDT Cutter Entry'!F69,"*6"),
                    COUNTIF('ARDT Cutter Entry'!F69,"*7"), COUNTIF('ARDT Cutter Entry'!F69,"*8"), COUNTIF('ARDT Cutter Entry'!F69,"*9")),
                    'ARDT Cutter Entry'!F69,
                    'ARDT Cutter Entry'!F119),
                IF(OR(
                    COUNTIF('ARDT Cutter Entry'!F12,"*1"), COUNTIF('ARDT Cutter Entry'!F12,"*2"), COUNTIF('ARDT Cutter Entry'!F12,"*3"),
                    COUNTIF('ARDT Cutter Entry'!F12,"*4"), COUNTIF('ARDT Cutter Entry'!F12,"*5"), COUNTIF('ARDT Cutter Entry'!F12,"*6"),
                    COUNTIF('ARDT Cutter Entry'!F12,"*7"), COUNTIF('ARDT Cutter Entry'!F12,"*8"), COUNTIF('ARDT Cutter Entry'!F12,"*9")),
                    'ARDT Cutter Entry'!F12,
                    'ARDT Cutter Entry'!F51)
            )
        ),
        ""
    ),
    _xlpm.Result, IF(_xlpm.URCheck,
        IF(AP78&lt;&gt;"", AP78, _xlpm.Fallback),
        _xlpm.Fallback
    ),
    _xlpm.Result
)</f>
        <v/>
      </c>
      <c r="G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IF(OR(Data!BV54=0, Data!BV54=""), "", "O"&amp;Data!BV54),
            IF('ARDT Cutter Entry'!$C$111&lt;&gt;"",
                IF(OR(
                    COUNTIF('ARDT Cutter Entry'!G69,"*1"), COUNTIF('ARDT Cutter Entry'!G69,"*2"), COUNTIF('ARDT Cutter Entry'!G69,"*3"),
                    COUNTIF('ARDT Cutter Entry'!G69,"*4"), COUNTIF('ARDT Cutter Entry'!G69,"*5"), COUNTIF('ARDT Cutter Entry'!G69,"*6"),
                    COUNTIF('ARDT Cutter Entry'!G69,"*7"), COUNTIF('ARDT Cutter Entry'!G69,"*8"), COUNTIF('ARDT Cutter Entry'!G69,"*9")),
                    'ARDT Cutter Entry'!G69,
                    'ARDT Cutter Entry'!G119),
                IF(OR(
                    COUNTIF('ARDT Cutter Entry'!G12,"*1"), COUNTIF('ARDT Cutter Entry'!G12,"*2"), COUNTIF('ARDT Cutter Entry'!G12,"*3"),
                    COUNTIF('ARDT Cutter Entry'!G12,"*4"), COUNTIF('ARDT Cutter Entry'!G12,"*5"), COUNTIF('ARDT Cutter Entry'!G12,"*6"),
                    COUNTIF('ARDT Cutter Entry'!G12,"*7"), COUNTIF('ARDT Cutter Entry'!G12,"*8"), COUNTIF('ARDT Cutter Entry'!G12,"*9")),
                    'ARDT Cutter Entry'!G12,
                    'ARDT Cutter Entry'!G51)
            )
        ),
        ""
    ),
    _xlpm.Result, IF(_xlpm.URCheck,
        IF(AQ78&lt;&gt;"", AQ78, _xlpm.Fallback),
        _xlpm.Fallback
    ),
    _xlpm.Result
)</f>
        <v/>
      </c>
      <c r="H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IF(OR(Data!BW54=0, Data!BW54=""), "", "O"&amp;Data!BW54),
            IF('ARDT Cutter Entry'!$C$111&lt;&gt;"",
                IF(OR(
                    COUNTIF('ARDT Cutter Entry'!H69,"*1"), COUNTIF('ARDT Cutter Entry'!H69,"*2"), COUNTIF('ARDT Cutter Entry'!H69,"*3"),
                    COUNTIF('ARDT Cutter Entry'!H69,"*4"), COUNTIF('ARDT Cutter Entry'!H69,"*5"), COUNTIF('ARDT Cutter Entry'!H69,"*6"),
                    COUNTIF('ARDT Cutter Entry'!H69,"*7"), COUNTIF('ARDT Cutter Entry'!H69,"*8"), COUNTIF('ARDT Cutter Entry'!H69,"*9")),
                    'ARDT Cutter Entry'!H69,
                    'ARDT Cutter Entry'!H119),
                IF(OR(
                    COUNTIF('ARDT Cutter Entry'!H12,"*1"), COUNTIF('ARDT Cutter Entry'!H12,"*2"), COUNTIF('ARDT Cutter Entry'!H12,"*3"),
                    COUNTIF('ARDT Cutter Entry'!H12,"*4"), COUNTIF('ARDT Cutter Entry'!H12,"*5"), COUNTIF('ARDT Cutter Entry'!H12,"*6"),
                    COUNTIF('ARDT Cutter Entry'!H12,"*7"), COUNTIF('ARDT Cutter Entry'!H12,"*8"), COUNTIF('ARDT Cutter Entry'!H12,"*9")),
                    'ARDT Cutter Entry'!H12,
                    'ARDT Cutter Entry'!H51)
            )
        ),
        ""
    ),
    _xlpm.Result, IF(_xlpm.URCheck,
        IF(AR78&lt;&gt;"", AR78, _xlpm.Fallback),
        _xlpm.Fallback
    ),
    _xlpm.Result
)</f>
        <v/>
      </c>
      <c r="I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IF(OR(Data!BX54=0, Data!BX54=""), "", "O"&amp;Data!BX54),
            IF('ARDT Cutter Entry'!$C$111&lt;&gt;"",
                IF(OR(
                    COUNTIF('ARDT Cutter Entry'!I69,"*1"), COUNTIF('ARDT Cutter Entry'!I69,"*2"), COUNTIF('ARDT Cutter Entry'!I69,"*3"),
                    COUNTIF('ARDT Cutter Entry'!I69,"*4"), COUNTIF('ARDT Cutter Entry'!I69,"*5"), COUNTIF('ARDT Cutter Entry'!I69,"*6"),
                    COUNTIF('ARDT Cutter Entry'!I69,"*7"), COUNTIF('ARDT Cutter Entry'!I69,"*8"), COUNTIF('ARDT Cutter Entry'!I69,"*9")),
                    'ARDT Cutter Entry'!I69,
                    'ARDT Cutter Entry'!I119),
                IF(OR(
                    COUNTIF('ARDT Cutter Entry'!I12,"*1"), COUNTIF('ARDT Cutter Entry'!I12,"*2"), COUNTIF('ARDT Cutter Entry'!I12,"*3"),
                    COUNTIF('ARDT Cutter Entry'!I12,"*4"), COUNTIF('ARDT Cutter Entry'!I12,"*5"), COUNTIF('ARDT Cutter Entry'!I12,"*6"),
                    COUNTIF('ARDT Cutter Entry'!I12,"*7"), COUNTIF('ARDT Cutter Entry'!I12,"*8"), COUNTIF('ARDT Cutter Entry'!I12,"*9")),
                    'ARDT Cutter Entry'!I12,
                    'ARDT Cutter Entry'!I51)
            )
        ),
        ""
    ),
    _xlpm.Result, IF(_xlpm.URCheck,
        IF(AS78&lt;&gt;"", AS78, _xlpm.Fallback),
        _xlpm.Fallback
    ),
    _xlpm.Result
)</f>
        <v/>
      </c>
      <c r="J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IF(OR(Data!BY54=0, Data!BY54=""), "", "O"&amp;Data!BY54),
            IF('ARDT Cutter Entry'!$C$111&lt;&gt;"",
                IF(OR(
                    COUNTIF('ARDT Cutter Entry'!J69,"*1"), COUNTIF('ARDT Cutter Entry'!J69,"*2"), COUNTIF('ARDT Cutter Entry'!J69,"*3"),
                    COUNTIF('ARDT Cutter Entry'!J69,"*4"), COUNTIF('ARDT Cutter Entry'!J69,"*5"), COUNTIF('ARDT Cutter Entry'!J69,"*6"),
                    COUNTIF('ARDT Cutter Entry'!J69,"*7"), COUNTIF('ARDT Cutter Entry'!J69,"*8"), COUNTIF('ARDT Cutter Entry'!J69,"*9")),
                    'ARDT Cutter Entry'!J69,
                    'ARDT Cutter Entry'!J119),
                IF(OR(
                    COUNTIF('ARDT Cutter Entry'!J12,"*1"), COUNTIF('ARDT Cutter Entry'!J12,"*2"), COUNTIF('ARDT Cutter Entry'!J12,"*3"),
                    COUNTIF('ARDT Cutter Entry'!J12,"*4"), COUNTIF('ARDT Cutter Entry'!J12,"*5"), COUNTIF('ARDT Cutter Entry'!J12,"*6"),
                    COUNTIF('ARDT Cutter Entry'!J12,"*7"), COUNTIF('ARDT Cutter Entry'!J12,"*8"), COUNTIF('ARDT Cutter Entry'!J12,"*9")),
                    'ARDT Cutter Entry'!J12,
                    'ARDT Cutter Entry'!J51)
            )
        ),
        ""
    ),
    _xlpm.Result, IF(_xlpm.URCheck,
        IF(AT78&lt;&gt;"", AT78, _xlpm.Fallback),
        _xlpm.Fallback
    ),
    _xlpm.Result
)</f>
        <v/>
      </c>
      <c r="K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IF(OR(Data!BZ54=0, Data!BZ54=""), "", "O"&amp;Data!BZ54),
            IF('ARDT Cutter Entry'!$C$111&lt;&gt;"",
                IF(OR(
                    COUNTIF('ARDT Cutter Entry'!K69,"*1"), COUNTIF('ARDT Cutter Entry'!K69,"*2"), COUNTIF('ARDT Cutter Entry'!K69,"*3"),
                    COUNTIF('ARDT Cutter Entry'!K69,"*4"), COUNTIF('ARDT Cutter Entry'!K69,"*5"), COUNTIF('ARDT Cutter Entry'!K69,"*6"),
                    COUNTIF('ARDT Cutter Entry'!K69,"*7"), COUNTIF('ARDT Cutter Entry'!K69,"*8"), COUNTIF('ARDT Cutter Entry'!K69,"*9")),
                    'ARDT Cutter Entry'!K69,
                    'ARDT Cutter Entry'!K119),
                IF(OR(
                    COUNTIF('ARDT Cutter Entry'!K12,"*1"), COUNTIF('ARDT Cutter Entry'!K12,"*2"), COUNTIF('ARDT Cutter Entry'!K12,"*3"),
                    COUNTIF('ARDT Cutter Entry'!K12,"*4"), COUNTIF('ARDT Cutter Entry'!K12,"*5"), COUNTIF('ARDT Cutter Entry'!K12,"*6"),
                    COUNTIF('ARDT Cutter Entry'!K12,"*7"), COUNTIF('ARDT Cutter Entry'!K12,"*8"), COUNTIF('ARDT Cutter Entry'!K12,"*9")),
                    'ARDT Cutter Entry'!K12,
                    'ARDT Cutter Entry'!K51)
            )
        ),
        ""
    ),
    _xlpm.Result, IF(_xlpm.URCheck,
        IF(AU78&lt;&gt;"", AU78, _xlpm.Fallback),
        _xlpm.Fallback
    ),
    _xlpm.Result
)</f>
        <v/>
      </c>
      <c r="L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IF(OR(Data!CA54=0, Data!CA54=""), "", "O"&amp;Data!CA54),
            IF('ARDT Cutter Entry'!$C$111&lt;&gt;"",
                IF(OR(
                    COUNTIF('ARDT Cutter Entry'!L69,"*1"), COUNTIF('ARDT Cutter Entry'!L69,"*2"), COUNTIF('ARDT Cutter Entry'!L69,"*3"),
                    COUNTIF('ARDT Cutter Entry'!L69,"*4"), COUNTIF('ARDT Cutter Entry'!L69,"*5"), COUNTIF('ARDT Cutter Entry'!L69,"*6"),
                    COUNTIF('ARDT Cutter Entry'!L69,"*7"), COUNTIF('ARDT Cutter Entry'!L69,"*8"), COUNTIF('ARDT Cutter Entry'!L69,"*9")),
                    'ARDT Cutter Entry'!L69,
                    'ARDT Cutter Entry'!L119),
                IF(OR(
                    COUNTIF('ARDT Cutter Entry'!L12,"*1"), COUNTIF('ARDT Cutter Entry'!L12,"*2"), COUNTIF('ARDT Cutter Entry'!L12,"*3"),
                    COUNTIF('ARDT Cutter Entry'!L12,"*4"), COUNTIF('ARDT Cutter Entry'!L12,"*5"), COUNTIF('ARDT Cutter Entry'!L12,"*6"),
                    COUNTIF('ARDT Cutter Entry'!L12,"*7"), COUNTIF('ARDT Cutter Entry'!L12,"*8"), COUNTIF('ARDT Cutter Entry'!L12,"*9")),
                    'ARDT Cutter Entry'!L12,
                    'ARDT Cutter Entry'!L51)
            )
        ),
        ""
    ),
    _xlpm.Result, IF(_xlpm.URCheck,
        IF(AV78&lt;&gt;"", AV78, _xlpm.Fallback),
        _xlpm.Fallback
    ),
    _xlpm.Result
)</f>
        <v/>
      </c>
      <c r="M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IF(OR(Data!CB54=0, Data!CB54=""), "", "O"&amp;Data!CB54),
            IF('ARDT Cutter Entry'!$C$111&lt;&gt;"",
                IF(OR(
                    COUNTIF('ARDT Cutter Entry'!M69,"*1"), COUNTIF('ARDT Cutter Entry'!M69,"*2"), COUNTIF('ARDT Cutter Entry'!M69,"*3"),
                    COUNTIF('ARDT Cutter Entry'!M69,"*4"), COUNTIF('ARDT Cutter Entry'!M69,"*5"), COUNTIF('ARDT Cutter Entry'!M69,"*6"),
                    COUNTIF('ARDT Cutter Entry'!M69,"*7"), COUNTIF('ARDT Cutter Entry'!M69,"*8"), COUNTIF('ARDT Cutter Entry'!M69,"*9")),
                    'ARDT Cutter Entry'!M69,
                    'ARDT Cutter Entry'!M119),
                IF(OR(
                    COUNTIF('ARDT Cutter Entry'!M12,"*1"), COUNTIF('ARDT Cutter Entry'!M12,"*2"), COUNTIF('ARDT Cutter Entry'!M12,"*3"),
                    COUNTIF('ARDT Cutter Entry'!M12,"*4"), COUNTIF('ARDT Cutter Entry'!M12,"*5"), COUNTIF('ARDT Cutter Entry'!M12,"*6"),
                    COUNTIF('ARDT Cutter Entry'!M12,"*7"), COUNTIF('ARDT Cutter Entry'!M12,"*8"), COUNTIF('ARDT Cutter Entry'!M12,"*9")),
                    'ARDT Cutter Entry'!M12,
                    'ARDT Cutter Entry'!M51)
            )
        ),
        ""
    ),
    _xlpm.Result, IF(_xlpm.URCheck,
        IF(AW78&lt;&gt;"", AW78, _xlpm.Fallback),
        _xlpm.Fallback
    ),
    _xlpm.Result
)</f>
        <v/>
      </c>
      <c r="N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IF(OR(Data!CC54=0, Data!CC54=""), "", "O"&amp;Data!CC54),
            IF('ARDT Cutter Entry'!$C$111&lt;&gt;"",
                IF(OR(
                    COUNTIF('ARDT Cutter Entry'!N69,"*1"), COUNTIF('ARDT Cutter Entry'!N69,"*2"), COUNTIF('ARDT Cutter Entry'!N69,"*3"),
                    COUNTIF('ARDT Cutter Entry'!N69,"*4"), COUNTIF('ARDT Cutter Entry'!N69,"*5"), COUNTIF('ARDT Cutter Entry'!N69,"*6"),
                    COUNTIF('ARDT Cutter Entry'!N69,"*7"), COUNTIF('ARDT Cutter Entry'!N69,"*8"), COUNTIF('ARDT Cutter Entry'!N69,"*9")),
                    'ARDT Cutter Entry'!N69,
                    'ARDT Cutter Entry'!N119),
                IF(OR(
                    COUNTIF('ARDT Cutter Entry'!N12,"*1"), COUNTIF('ARDT Cutter Entry'!N12,"*2"), COUNTIF('ARDT Cutter Entry'!N12,"*3"),
                    COUNTIF('ARDT Cutter Entry'!N12,"*4"), COUNTIF('ARDT Cutter Entry'!N12,"*5"), COUNTIF('ARDT Cutter Entry'!N12,"*6"),
                    COUNTIF('ARDT Cutter Entry'!N12,"*7"), COUNTIF('ARDT Cutter Entry'!N12,"*8"), COUNTIF('ARDT Cutter Entry'!N12,"*9")),
                    'ARDT Cutter Entry'!N12,
                    'ARDT Cutter Entry'!N51)
            )
        ),
        ""
    ),
    _xlpm.Result, IF(_xlpm.URCheck,
        IF(AX78&lt;&gt;"", AX78, _xlpm.Fallback),
        _xlpm.Fallback
    ),
    _xlpm.Result
)</f>
        <v/>
      </c>
      <c r="O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IF(OR(Data!CD54=0, Data!CD54=""), "", "O"&amp;Data!CD54),
            IF('ARDT Cutter Entry'!$C$111&lt;&gt;"",
                IF(OR(
                    COUNTIF('ARDT Cutter Entry'!O69,"*1"), COUNTIF('ARDT Cutter Entry'!O69,"*2"), COUNTIF('ARDT Cutter Entry'!O69,"*3"),
                    COUNTIF('ARDT Cutter Entry'!O69,"*4"), COUNTIF('ARDT Cutter Entry'!O69,"*5"), COUNTIF('ARDT Cutter Entry'!O69,"*6"),
                    COUNTIF('ARDT Cutter Entry'!O69,"*7"), COUNTIF('ARDT Cutter Entry'!O69,"*8"), COUNTIF('ARDT Cutter Entry'!O69,"*9")),
                    'ARDT Cutter Entry'!O69,
                    'ARDT Cutter Entry'!O119),
                IF(OR(
                    COUNTIF('ARDT Cutter Entry'!O12,"*1"), COUNTIF('ARDT Cutter Entry'!O12,"*2"), COUNTIF('ARDT Cutter Entry'!O12,"*3"),
                    COUNTIF('ARDT Cutter Entry'!O12,"*4"), COUNTIF('ARDT Cutter Entry'!O12,"*5"), COUNTIF('ARDT Cutter Entry'!O12,"*6"),
                    COUNTIF('ARDT Cutter Entry'!O12,"*7"), COUNTIF('ARDT Cutter Entry'!O12,"*8"), COUNTIF('ARDT Cutter Entry'!O12,"*9")),
                    'ARDT Cutter Entry'!O12,
                    'ARDT Cutter Entry'!O51)
            )
        ),
        ""
    ),
    _xlpm.Result, IF(_xlpm.URCheck,
        IF(AY78&lt;&gt;"", AY78, _xlpm.Fallback),
        _xlpm.Fallback
    ),
    _xlpm.Result
)</f>
        <v/>
      </c>
      <c r="P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IF(OR(Data!CE54=0, Data!CE54=""), "", "O"&amp;Data!CE54),
            IF('ARDT Cutter Entry'!$C$111&lt;&gt;"",
                IF(OR(
                    COUNTIF('ARDT Cutter Entry'!P69,"*1"), COUNTIF('ARDT Cutter Entry'!P69,"*2"), COUNTIF('ARDT Cutter Entry'!P69,"*3"),
                    COUNTIF('ARDT Cutter Entry'!P69,"*4"), COUNTIF('ARDT Cutter Entry'!P69,"*5"), COUNTIF('ARDT Cutter Entry'!P69,"*6"),
                    COUNTIF('ARDT Cutter Entry'!P69,"*7"), COUNTIF('ARDT Cutter Entry'!P69,"*8"), COUNTIF('ARDT Cutter Entry'!P69,"*9")),
                    'ARDT Cutter Entry'!P69,
                    'ARDT Cutter Entry'!P119),
                IF(OR(
                    COUNTIF('ARDT Cutter Entry'!P12,"*1"), COUNTIF('ARDT Cutter Entry'!P12,"*2"), COUNTIF('ARDT Cutter Entry'!P12,"*3"),
                    COUNTIF('ARDT Cutter Entry'!P12,"*4"), COUNTIF('ARDT Cutter Entry'!P12,"*5"), COUNTIF('ARDT Cutter Entry'!P12,"*6"),
                    COUNTIF('ARDT Cutter Entry'!P12,"*7"), COUNTIF('ARDT Cutter Entry'!P12,"*8"), COUNTIF('ARDT Cutter Entry'!P12,"*9")),
                    'ARDT Cutter Entry'!P12,
                    'ARDT Cutter Entry'!P51)
            )
        ),
        ""
    ),
    _xlpm.Result, IF(_xlpm.URCheck,
        IF(AZ78&lt;&gt;"", AZ78, _xlpm.Fallback),
        _xlpm.Fallback
    ),
    _xlpm.Result
)</f>
        <v/>
      </c>
      <c r="Q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IF(OR(Data!CF54=0, Data!CF54=""), "", "O"&amp;Data!CF54),
            IF('ARDT Cutter Entry'!$C$111&lt;&gt;"",
                IF(OR(
                    COUNTIF('ARDT Cutter Entry'!Q69,"*1"), COUNTIF('ARDT Cutter Entry'!Q69,"*2"), COUNTIF('ARDT Cutter Entry'!Q69,"*3"),
                    COUNTIF('ARDT Cutter Entry'!Q69,"*4"), COUNTIF('ARDT Cutter Entry'!Q69,"*5"), COUNTIF('ARDT Cutter Entry'!Q69,"*6"),
                    COUNTIF('ARDT Cutter Entry'!Q69,"*7"), COUNTIF('ARDT Cutter Entry'!Q69,"*8"), COUNTIF('ARDT Cutter Entry'!Q69,"*9")),
                    'ARDT Cutter Entry'!Q69,
                    'ARDT Cutter Entry'!Q119),
                IF(OR(
                    COUNTIF('ARDT Cutter Entry'!Q12,"*1"), COUNTIF('ARDT Cutter Entry'!Q12,"*2"), COUNTIF('ARDT Cutter Entry'!Q12,"*3"),
                    COUNTIF('ARDT Cutter Entry'!Q12,"*4"), COUNTIF('ARDT Cutter Entry'!Q12,"*5"), COUNTIF('ARDT Cutter Entry'!Q12,"*6"),
                    COUNTIF('ARDT Cutter Entry'!Q12,"*7"), COUNTIF('ARDT Cutter Entry'!Q12,"*8"), COUNTIF('ARDT Cutter Entry'!Q12,"*9")),
                    'ARDT Cutter Entry'!Q12,
                    'ARDT Cutter Entry'!Q51)
            )
        ),
        ""
    ),
    _xlpm.Result, IF(_xlpm.URCheck,
        IF(BA78&lt;&gt;"", BA78, _xlpm.Fallback),
        _xlpm.Fallback
    ),
    _xlpm.Result
)</f>
        <v/>
      </c>
      <c r="R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IF(OR(Data!CG54=0, Data!CG54=""), "", "O"&amp;Data!CG54),
            IF('ARDT Cutter Entry'!$C$111&lt;&gt;"",
                IF(OR(
                    COUNTIF('ARDT Cutter Entry'!R69,"*1"), COUNTIF('ARDT Cutter Entry'!R69,"*2"), COUNTIF('ARDT Cutter Entry'!R69,"*3"),
                    COUNTIF('ARDT Cutter Entry'!R69,"*4"), COUNTIF('ARDT Cutter Entry'!R69,"*5"), COUNTIF('ARDT Cutter Entry'!R69,"*6"),
                    COUNTIF('ARDT Cutter Entry'!R69,"*7"), COUNTIF('ARDT Cutter Entry'!R69,"*8"), COUNTIF('ARDT Cutter Entry'!R69,"*9")),
                    'ARDT Cutter Entry'!R69,
                    'ARDT Cutter Entry'!R119),
                IF(OR(
                    COUNTIF('ARDT Cutter Entry'!R12,"*1"), COUNTIF('ARDT Cutter Entry'!R12,"*2"), COUNTIF('ARDT Cutter Entry'!R12,"*3"),
                    COUNTIF('ARDT Cutter Entry'!R12,"*4"), COUNTIF('ARDT Cutter Entry'!R12,"*5"), COUNTIF('ARDT Cutter Entry'!R12,"*6"),
                    COUNTIF('ARDT Cutter Entry'!R12,"*7"), COUNTIF('ARDT Cutter Entry'!R12,"*8"), COUNTIF('ARDT Cutter Entry'!R12,"*9")),
                    'ARDT Cutter Entry'!R12,
                    'ARDT Cutter Entry'!R51)
            )
        ),
        ""
    ),
    _xlpm.Result, IF(_xlpm.URCheck,
        IF(BB78&lt;&gt;"", BB78, _xlpm.Fallback),
        _xlpm.Fallback
    ),
    _xlpm.Result
)</f>
        <v/>
      </c>
      <c r="S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IF(OR(Data!CH54=0, Data!CH54=""), "", "O"&amp;Data!CH54),
            IF('ARDT Cutter Entry'!$C$111&lt;&gt;"",
                IF(OR(
                    COUNTIF('ARDT Cutter Entry'!S69,"*1"), COUNTIF('ARDT Cutter Entry'!S69,"*2"), COUNTIF('ARDT Cutter Entry'!S69,"*3"),
                    COUNTIF('ARDT Cutter Entry'!S69,"*4"), COUNTIF('ARDT Cutter Entry'!S69,"*5"), COUNTIF('ARDT Cutter Entry'!S69,"*6"),
                    COUNTIF('ARDT Cutter Entry'!S69,"*7"), COUNTIF('ARDT Cutter Entry'!S69,"*8"), COUNTIF('ARDT Cutter Entry'!S69,"*9")),
                    'ARDT Cutter Entry'!S69,
                    'ARDT Cutter Entry'!S119),
                IF(OR(
                    COUNTIF('ARDT Cutter Entry'!S12,"*1"), COUNTIF('ARDT Cutter Entry'!S12,"*2"), COUNTIF('ARDT Cutter Entry'!S12,"*3"),
                    COUNTIF('ARDT Cutter Entry'!S12,"*4"), COUNTIF('ARDT Cutter Entry'!S12,"*5"), COUNTIF('ARDT Cutter Entry'!S12,"*6"),
                    COUNTIF('ARDT Cutter Entry'!S12,"*7"), COUNTIF('ARDT Cutter Entry'!S12,"*8"), COUNTIF('ARDT Cutter Entry'!S12,"*9")),
                    'ARDT Cutter Entry'!S12,
                    'ARDT Cutter Entry'!S51)
            )
        ),
        ""
    ),
    _xlpm.Result, IF(_xlpm.URCheck,
        IF(BC78&lt;&gt;"", BC78, _xlpm.Fallback),
        _xlpm.Fallback
    ),
    _xlpm.Result
)</f>
        <v/>
      </c>
      <c r="T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IF(OR(Data!CI54=0, Data!CI54=""), "", "O"&amp;Data!CI54),
            IF('ARDT Cutter Entry'!$C$111&lt;&gt;"",
                IF(OR(
                    COUNTIF('ARDT Cutter Entry'!T69,"*1"), COUNTIF('ARDT Cutter Entry'!T69,"*2"), COUNTIF('ARDT Cutter Entry'!T69,"*3"),
                    COUNTIF('ARDT Cutter Entry'!T69,"*4"), COUNTIF('ARDT Cutter Entry'!T69,"*5"), COUNTIF('ARDT Cutter Entry'!T69,"*6"),
                    COUNTIF('ARDT Cutter Entry'!T69,"*7"), COUNTIF('ARDT Cutter Entry'!T69,"*8"), COUNTIF('ARDT Cutter Entry'!T69,"*9")),
                    'ARDT Cutter Entry'!T69,
                    'ARDT Cutter Entry'!T119),
                IF(OR(
                    COUNTIF('ARDT Cutter Entry'!T12,"*1"), COUNTIF('ARDT Cutter Entry'!T12,"*2"), COUNTIF('ARDT Cutter Entry'!T12,"*3"),
                    COUNTIF('ARDT Cutter Entry'!T12,"*4"), COUNTIF('ARDT Cutter Entry'!T12,"*5"), COUNTIF('ARDT Cutter Entry'!T12,"*6"),
                    COUNTIF('ARDT Cutter Entry'!T12,"*7"), COUNTIF('ARDT Cutter Entry'!T12,"*8"), COUNTIF('ARDT Cutter Entry'!T12,"*9")),
                    'ARDT Cutter Entry'!T12,
                    'ARDT Cutter Entry'!T51)
            )
        ),
        ""
    ),
    _xlpm.Result, IF(_xlpm.URCheck,
        IF(BD78&lt;&gt;"", BD78, _xlpm.Fallback),
        _xlpm.Fallback
    ),
    _xlpm.Result
)</f>
        <v/>
      </c>
      <c r="U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IF(OR(Data!CJ54=0, Data!CJ54=""), "", "O"&amp;Data!CJ54),
            IF('ARDT Cutter Entry'!$C$111&lt;&gt;"",
                IF(OR(
                    COUNTIF('ARDT Cutter Entry'!U69,"*1"), COUNTIF('ARDT Cutter Entry'!U69,"*2"), COUNTIF('ARDT Cutter Entry'!U69,"*3"),
                    COUNTIF('ARDT Cutter Entry'!U69,"*4"), COUNTIF('ARDT Cutter Entry'!U69,"*5"), COUNTIF('ARDT Cutter Entry'!U69,"*6"),
                    COUNTIF('ARDT Cutter Entry'!U69,"*7"), COUNTIF('ARDT Cutter Entry'!U69,"*8"), COUNTIF('ARDT Cutter Entry'!U69,"*9")),
                    'ARDT Cutter Entry'!U69,
                    'ARDT Cutter Entry'!U119),
                IF(OR(
                    COUNTIF('ARDT Cutter Entry'!U12,"*1"), COUNTIF('ARDT Cutter Entry'!U12,"*2"), COUNTIF('ARDT Cutter Entry'!U12,"*3"),
                    COUNTIF('ARDT Cutter Entry'!U12,"*4"), COUNTIF('ARDT Cutter Entry'!U12,"*5"), COUNTIF('ARDT Cutter Entry'!U12,"*6"),
                    COUNTIF('ARDT Cutter Entry'!U12,"*7"), COUNTIF('ARDT Cutter Entry'!U12,"*8"), COUNTIF('ARDT Cutter Entry'!U12,"*9")),
                    'ARDT Cutter Entry'!U12,
                    'ARDT Cutter Entry'!U51)
            )
        ),
        ""
    ),
    _xlpm.Result, IF(_xlpm.URCheck,
        IF(BE78&lt;&gt;"", BE78, _xlpm.Fallback),
        _xlpm.Fallback
    ),
    _xlpm.Result
)</f>
        <v/>
      </c>
      <c r="V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IF(OR(Data!CK54=0, Data!CK54=""), "", "O"&amp;Data!CK54),
            IF('ARDT Cutter Entry'!$C$111&lt;&gt;"",
                IF(OR(
                    COUNTIF('ARDT Cutter Entry'!V69,"*1"), COUNTIF('ARDT Cutter Entry'!V69,"*2"), COUNTIF('ARDT Cutter Entry'!V69,"*3"),
                    COUNTIF('ARDT Cutter Entry'!V69,"*4"), COUNTIF('ARDT Cutter Entry'!V69,"*5"), COUNTIF('ARDT Cutter Entry'!V69,"*6"),
                    COUNTIF('ARDT Cutter Entry'!V69,"*7"), COUNTIF('ARDT Cutter Entry'!V69,"*8"), COUNTIF('ARDT Cutter Entry'!V69,"*9")),
                    'ARDT Cutter Entry'!V69,
                    'ARDT Cutter Entry'!V119),
                IF(OR(
                    COUNTIF('ARDT Cutter Entry'!V12,"*1"), COUNTIF('ARDT Cutter Entry'!V12,"*2"), COUNTIF('ARDT Cutter Entry'!V12,"*3"),
                    COUNTIF('ARDT Cutter Entry'!V12,"*4"), COUNTIF('ARDT Cutter Entry'!V12,"*5"), COUNTIF('ARDT Cutter Entry'!V12,"*6"),
                    COUNTIF('ARDT Cutter Entry'!V12,"*7"), COUNTIF('ARDT Cutter Entry'!V12,"*8"), COUNTIF('ARDT Cutter Entry'!V12,"*9")),
                    'ARDT Cutter Entry'!V12,
                    'ARDT Cutter Entry'!V51)
            )
        ),
        ""
    ),
    _xlpm.Result, IF(_xlpm.URCheck,
        IF(BF78&lt;&gt;"", BF78, _xlpm.Fallback),
        _xlpm.Fallback
    ),
    _xlpm.Result
)</f>
        <v/>
      </c>
      <c r="W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IF(OR(Data!CL54=0, Data!CL54=""), "", "O"&amp;Data!CL54),
            IF('ARDT Cutter Entry'!$C$111&lt;&gt;"",
                IF(OR(
                    COUNTIF('ARDT Cutter Entry'!W69,"*1"), COUNTIF('ARDT Cutter Entry'!W69,"*2"), COUNTIF('ARDT Cutter Entry'!W69,"*3"),
                    COUNTIF('ARDT Cutter Entry'!W69,"*4"), COUNTIF('ARDT Cutter Entry'!W69,"*5"), COUNTIF('ARDT Cutter Entry'!W69,"*6"),
                    COUNTIF('ARDT Cutter Entry'!W69,"*7"), COUNTIF('ARDT Cutter Entry'!W69,"*8"), COUNTIF('ARDT Cutter Entry'!W69,"*9")),
                    'ARDT Cutter Entry'!W69,
                    'ARDT Cutter Entry'!W119),
                IF(OR(
                    COUNTIF('ARDT Cutter Entry'!W12,"*1"), COUNTIF('ARDT Cutter Entry'!W12,"*2"), COUNTIF('ARDT Cutter Entry'!W12,"*3"),
                    COUNTIF('ARDT Cutter Entry'!W12,"*4"), COUNTIF('ARDT Cutter Entry'!W12,"*5"), COUNTIF('ARDT Cutter Entry'!W12,"*6"),
                    COUNTIF('ARDT Cutter Entry'!W12,"*7"), COUNTIF('ARDT Cutter Entry'!W12,"*8"), COUNTIF('ARDT Cutter Entry'!W12,"*9")),
                    'ARDT Cutter Entry'!W12,
                    'ARDT Cutter Entry'!W51)
            )
        ),
        ""
    ),
    _xlpm.Result, IF(_xlpm.URCheck,
        IF(BG78&lt;&gt;"", BG78, _xlpm.Fallback),
        _xlpm.Fallback
    ),
    _xlpm.Result
)</f>
        <v/>
      </c>
      <c r="X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IF(OR(Data!CM54=0, Data!CM54=""), "", "O"&amp;Data!CM54),
            IF('ARDT Cutter Entry'!$C$111&lt;&gt;"",
                IF(OR(
                    COUNTIF('ARDT Cutter Entry'!X69,"*1"), COUNTIF('ARDT Cutter Entry'!X69,"*2"), COUNTIF('ARDT Cutter Entry'!X69,"*3"),
                    COUNTIF('ARDT Cutter Entry'!X69,"*4"), COUNTIF('ARDT Cutter Entry'!X69,"*5"), COUNTIF('ARDT Cutter Entry'!X69,"*6"),
                    COUNTIF('ARDT Cutter Entry'!X69,"*7"), COUNTIF('ARDT Cutter Entry'!X69,"*8"), COUNTIF('ARDT Cutter Entry'!X69,"*9")),
                    'ARDT Cutter Entry'!X69,
                    'ARDT Cutter Entry'!X119),
                IF(OR(
                    COUNTIF('ARDT Cutter Entry'!X12,"*1"), COUNTIF('ARDT Cutter Entry'!X12,"*2"), COUNTIF('ARDT Cutter Entry'!X12,"*3"),
                    COUNTIF('ARDT Cutter Entry'!X12,"*4"), COUNTIF('ARDT Cutter Entry'!X12,"*5"), COUNTIF('ARDT Cutter Entry'!X12,"*6"),
                    COUNTIF('ARDT Cutter Entry'!X12,"*7"), COUNTIF('ARDT Cutter Entry'!X12,"*8"), COUNTIF('ARDT Cutter Entry'!X12,"*9")),
                    'ARDT Cutter Entry'!X12,
                    'ARDT Cutter Entry'!X51)
            )
        ),
        ""
    ),
    _xlpm.Result, IF(_xlpm.URCheck,
        IF(BH78&lt;&gt;"", BH78, _xlpm.Fallback),
        _xlpm.Fallback
    ),
    _xlpm.Result
)</f>
        <v/>
      </c>
      <c r="Y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IF(OR(Data!CN54=0, Data!CN54=""), "", "O"&amp;Data!CN54),
            IF('ARDT Cutter Entry'!$C$111&lt;&gt;"",
                IF(OR(
                    COUNTIF('ARDT Cutter Entry'!Y69,"*1"), COUNTIF('ARDT Cutter Entry'!Y69,"*2"), COUNTIF('ARDT Cutter Entry'!Y69,"*3"),
                    COUNTIF('ARDT Cutter Entry'!Y69,"*4"), COUNTIF('ARDT Cutter Entry'!Y69,"*5"), COUNTIF('ARDT Cutter Entry'!Y69,"*6"),
                    COUNTIF('ARDT Cutter Entry'!Y69,"*7"), COUNTIF('ARDT Cutter Entry'!Y69,"*8"), COUNTIF('ARDT Cutter Entry'!Y69,"*9")),
                    'ARDT Cutter Entry'!Y69,
                    'ARDT Cutter Entry'!Y119),
                IF(OR(
                    COUNTIF('ARDT Cutter Entry'!Y12,"*1"), COUNTIF('ARDT Cutter Entry'!Y12,"*2"), COUNTIF('ARDT Cutter Entry'!Y12,"*3"),
                    COUNTIF('ARDT Cutter Entry'!Y12,"*4"), COUNTIF('ARDT Cutter Entry'!Y12,"*5"), COUNTIF('ARDT Cutter Entry'!Y12,"*6"),
                    COUNTIF('ARDT Cutter Entry'!Y12,"*7"), COUNTIF('ARDT Cutter Entry'!Y12,"*8"), COUNTIF('ARDT Cutter Entry'!Y12,"*9")),
                    'ARDT Cutter Entry'!Y12,
                    'ARDT Cutter Entry'!Y51)
            )
        ),
        ""
    ),
    _xlpm.Result, IF(_xlpm.URCheck,
        IF(BI78&lt;&gt;"", BI78, _xlpm.Fallback),
        _xlpm.Fallback
    ),
    _xlpm.Result
)</f>
        <v/>
      </c>
      <c r="Z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IF(OR(Data!CO54=0, Data!CO54=""), "", "O"&amp;Data!CO54),
            IF('ARDT Cutter Entry'!$C$111&lt;&gt;"",
                IF(OR(
                    COUNTIF('ARDT Cutter Entry'!Z69,"*1"), COUNTIF('ARDT Cutter Entry'!Z69,"*2"), COUNTIF('ARDT Cutter Entry'!Z69,"*3"),
                    COUNTIF('ARDT Cutter Entry'!Z69,"*4"), COUNTIF('ARDT Cutter Entry'!Z69,"*5"), COUNTIF('ARDT Cutter Entry'!Z69,"*6"),
                    COUNTIF('ARDT Cutter Entry'!Z69,"*7"), COUNTIF('ARDT Cutter Entry'!Z69,"*8"), COUNTIF('ARDT Cutter Entry'!Z69,"*9")),
                    'ARDT Cutter Entry'!Z69,
                    'ARDT Cutter Entry'!Z119),
                IF(OR(
                    COUNTIF('ARDT Cutter Entry'!Z12,"*1"), COUNTIF('ARDT Cutter Entry'!Z12,"*2"), COUNTIF('ARDT Cutter Entry'!Z12,"*3"),
                    COUNTIF('ARDT Cutter Entry'!Z12,"*4"), COUNTIF('ARDT Cutter Entry'!Z12,"*5"), COUNTIF('ARDT Cutter Entry'!Z12,"*6"),
                    COUNTIF('ARDT Cutter Entry'!Z12,"*7"), COUNTIF('ARDT Cutter Entry'!Z12,"*8"), COUNTIF('ARDT Cutter Entry'!Z12,"*9")),
                    'ARDT Cutter Entry'!Z12,
                    'ARDT Cutter Entry'!Z51)
            )
        ),
        ""
    ),
    _xlpm.Result, IF(_xlpm.URCheck,
        IF(BJ78&lt;&gt;"", BJ78, _xlpm.Fallback),
        _xlpm.Fallback
    ),
    _xlpm.Result
)</f>
        <v/>
      </c>
      <c r="AA25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IF(OR(Data!CP54=0, Data!CP54=""), "", "O"&amp;Data!CP54),
            IF('ARDT Cutter Entry'!$C$111&lt;&gt;"",
                IF(OR(
                    COUNTIF('ARDT Cutter Entry'!AA69,"*1"), COUNTIF('ARDT Cutter Entry'!AA69,"*2"), COUNTIF('ARDT Cutter Entry'!AA69,"*3"),
                    COUNTIF('ARDT Cutter Entry'!AA69,"*4"), COUNTIF('ARDT Cutter Entry'!AA69,"*5"), COUNTIF('ARDT Cutter Entry'!AA69,"*6"),
                    COUNTIF('ARDT Cutter Entry'!AA69,"*7"), COUNTIF('ARDT Cutter Entry'!AA69,"*8"), COUNTIF('ARDT Cutter Entry'!AA69,"*9")),
                    'ARDT Cutter Entry'!AA69,
                    'ARDT Cutter Entry'!AA119),
                IF(OR(
                    COUNTIF('ARDT Cutter Entry'!AA12,"*1"), COUNTIF('ARDT Cutter Entry'!AA12,"*2"), COUNTIF('ARDT Cutter Entry'!AA12,"*3"),
                    COUNTIF('ARDT Cutter Entry'!AA12,"*4"), COUNTIF('ARDT Cutter Entry'!AA12,"*5"), COUNTIF('ARDT Cutter Entry'!AA12,"*6"),
                    COUNTIF('ARDT Cutter Entry'!AA12,"*7"), COUNTIF('ARDT Cutter Entry'!AA12,"*8"), COUNTIF('ARDT Cutter Entry'!AA12,"*9")),
                    'ARDT Cutter Entry'!AA12,
                    'ARDT Cutter Entry'!AA51)
            )
        ),
        ""
    ),
    _xlpm.Result, IF(_xlpm.URCheck,
        IF(BK78&lt;&gt;"", BK78, _xlpm.Fallback),
        _xlpm.Fallback
    ),
    _xlpm.Result
)</f>
        <v/>
      </c>
    </row>
    <row r="26" spans="1:27" ht="18.75" customHeight="1" x14ac:dyDescent="0.35">
      <c r="A26" s="1423"/>
      <c r="B26" s="396">
        <v>10</v>
      </c>
      <c r="C26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IF(OR(Data!BR55=0, Data!BR55=""), "", "O"&amp;Data!BR55),
            IF('ARDT Cutter Entry'!$C$111&lt;&gt;"",
                IF(OR(
                    COUNTIF('ARDT Cutter Entry'!C70,"*1"), COUNTIF('ARDT Cutter Entry'!C70,"*2"), COUNTIF('ARDT Cutter Entry'!C70,"*3"),
                    COUNTIF('ARDT Cutter Entry'!C70,"*4"), COUNTIF('ARDT Cutter Entry'!C70,"*5"), COUNTIF('ARDT Cutter Entry'!C70,"*6"),
                    COUNTIF('ARDT Cutter Entry'!C70,"*7"), COUNTIF('ARDT Cutter Entry'!C70,"*8"), COUNTIF('ARDT Cutter Entry'!C70,"*9")),
                    'ARDT Cutter Entry'!C70,
                    'ARDT Cutter Entry'!C120),
                IF(OR(
                    COUNTIF('ARDT Cutter Entry'!C13,"*1"), COUNTIF('ARDT Cutter Entry'!C13,"*2"), COUNTIF('ARDT Cutter Entry'!C13,"*3"),
                    COUNTIF('ARDT Cutter Entry'!C13,"*4"), COUNTIF('ARDT Cutter Entry'!C13,"*5"), COUNTIF('ARDT Cutter Entry'!C13,"*6"),
                    COUNTIF('ARDT Cutter Entry'!C13,"*7"), COUNTIF('ARDT Cutter Entry'!C13,"*8"), COUNTIF('ARDT Cutter Entry'!C13,"*9")),
                    'ARDT Cutter Entry'!C13,
                    'ARDT Cutter Entry'!C52)
            )
        ),
        ""
    ),
    _xlpm.Result, IF(_xlpm.URCheck,
        IF(AM79&lt;&gt;"", AM79, _xlpm.Fallback),
        _xlpm.Fallback
    ),
    _xlpm.Result
)</f>
        <v/>
      </c>
      <c r="D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IF(OR(Data!BS55=0, Data!BS55=""), "", "O"&amp;Data!BS55),
            IF('ARDT Cutter Entry'!$C$111&lt;&gt;"",
                IF(OR(
                    COUNTIF('ARDT Cutter Entry'!D70,"*1"), COUNTIF('ARDT Cutter Entry'!D70,"*2"), COUNTIF('ARDT Cutter Entry'!D70,"*3"),
                    COUNTIF('ARDT Cutter Entry'!D70,"*4"), COUNTIF('ARDT Cutter Entry'!D70,"*5"), COUNTIF('ARDT Cutter Entry'!D70,"*6"),
                    COUNTIF('ARDT Cutter Entry'!D70,"*7"), COUNTIF('ARDT Cutter Entry'!D70,"*8"), COUNTIF('ARDT Cutter Entry'!D70,"*9")),
                    'ARDT Cutter Entry'!D70,
                    'ARDT Cutter Entry'!D120),
                IF(OR(
                    COUNTIF('ARDT Cutter Entry'!D13,"*1"), COUNTIF('ARDT Cutter Entry'!D13,"*2"), COUNTIF('ARDT Cutter Entry'!D13,"*3"),
                    COUNTIF('ARDT Cutter Entry'!D13,"*4"), COUNTIF('ARDT Cutter Entry'!D13,"*5"), COUNTIF('ARDT Cutter Entry'!D13,"*6"),
                    COUNTIF('ARDT Cutter Entry'!D13,"*7"), COUNTIF('ARDT Cutter Entry'!D13,"*8"), COUNTIF('ARDT Cutter Entry'!D13,"*9")),
                    'ARDT Cutter Entry'!D13,
                    'ARDT Cutter Entry'!D52)
            )
        ),
        ""
    ),
    _xlpm.Result, IF(_xlpm.URCheck,
        IF(AN79&lt;&gt;"", AN79, _xlpm.Fallback),
        _xlpm.Fallback
    ),
    _xlpm.Result
)</f>
        <v/>
      </c>
      <c r="E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IF(OR(Data!BT55=0, Data!BT55=""), "", "O"&amp;Data!BT55),
            IF('ARDT Cutter Entry'!$C$111&lt;&gt;"",
                IF(OR(
                    COUNTIF('ARDT Cutter Entry'!E70,"*1"), COUNTIF('ARDT Cutter Entry'!E70,"*2"), COUNTIF('ARDT Cutter Entry'!E70,"*3"),
                    COUNTIF('ARDT Cutter Entry'!E70,"*4"), COUNTIF('ARDT Cutter Entry'!E70,"*5"), COUNTIF('ARDT Cutter Entry'!E70,"*6"),
                    COUNTIF('ARDT Cutter Entry'!E70,"*7"), COUNTIF('ARDT Cutter Entry'!E70,"*8"), COUNTIF('ARDT Cutter Entry'!E70,"*9")),
                    'ARDT Cutter Entry'!E70,
                    'ARDT Cutter Entry'!E120),
                IF(OR(
                    COUNTIF('ARDT Cutter Entry'!E13,"*1"), COUNTIF('ARDT Cutter Entry'!E13,"*2"), COUNTIF('ARDT Cutter Entry'!E13,"*3"),
                    COUNTIF('ARDT Cutter Entry'!E13,"*4"), COUNTIF('ARDT Cutter Entry'!E13,"*5"), COUNTIF('ARDT Cutter Entry'!E13,"*6"),
                    COUNTIF('ARDT Cutter Entry'!E13,"*7"), COUNTIF('ARDT Cutter Entry'!E13,"*8"), COUNTIF('ARDT Cutter Entry'!E13,"*9")),
                    'ARDT Cutter Entry'!E13,
                    'ARDT Cutter Entry'!E52)
            )
        ),
        ""
    ),
    _xlpm.Result, IF(_xlpm.URCheck,
        IF(AO79&lt;&gt;"", AO79, _xlpm.Fallback),
        _xlpm.Fallback
    ),
    _xlpm.Result
)</f>
        <v/>
      </c>
      <c r="F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IF(OR(Data!BU55=0, Data!BU55=""), "", "O"&amp;Data!BU55),
            IF('ARDT Cutter Entry'!$C$111&lt;&gt;"",
                IF(OR(
                    COUNTIF('ARDT Cutter Entry'!F70,"*1"), COUNTIF('ARDT Cutter Entry'!F70,"*2"), COUNTIF('ARDT Cutter Entry'!F70,"*3"),
                    COUNTIF('ARDT Cutter Entry'!F70,"*4"), COUNTIF('ARDT Cutter Entry'!F70,"*5"), COUNTIF('ARDT Cutter Entry'!F70,"*6"),
                    COUNTIF('ARDT Cutter Entry'!F70,"*7"), COUNTIF('ARDT Cutter Entry'!F70,"*8"), COUNTIF('ARDT Cutter Entry'!F70,"*9")),
                    'ARDT Cutter Entry'!F70,
                    'ARDT Cutter Entry'!F120),
                IF(OR(
                    COUNTIF('ARDT Cutter Entry'!F13,"*1"), COUNTIF('ARDT Cutter Entry'!F13,"*2"), COUNTIF('ARDT Cutter Entry'!F13,"*3"),
                    COUNTIF('ARDT Cutter Entry'!F13,"*4"), COUNTIF('ARDT Cutter Entry'!F13,"*5"), COUNTIF('ARDT Cutter Entry'!F13,"*6"),
                    COUNTIF('ARDT Cutter Entry'!F13,"*7"), COUNTIF('ARDT Cutter Entry'!F13,"*8"), COUNTIF('ARDT Cutter Entry'!F13,"*9")),
                    'ARDT Cutter Entry'!F13,
                    'ARDT Cutter Entry'!F52)
            )
        ),
        ""
    ),
    _xlpm.Result, IF(_xlpm.URCheck,
        IF(AP79&lt;&gt;"", AP79, _xlpm.Fallback),
        _xlpm.Fallback
    ),
    _xlpm.Result
)</f>
        <v/>
      </c>
      <c r="G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IF(OR(Data!BV55=0, Data!BV55=""), "", "O"&amp;Data!BV55),
            IF('ARDT Cutter Entry'!$C$111&lt;&gt;"",
                IF(OR(
                    COUNTIF('ARDT Cutter Entry'!G70,"*1"), COUNTIF('ARDT Cutter Entry'!G70,"*2"), COUNTIF('ARDT Cutter Entry'!G70,"*3"),
                    COUNTIF('ARDT Cutter Entry'!G70,"*4"), COUNTIF('ARDT Cutter Entry'!G70,"*5"), COUNTIF('ARDT Cutter Entry'!G70,"*6"),
                    COUNTIF('ARDT Cutter Entry'!G70,"*7"), COUNTIF('ARDT Cutter Entry'!G70,"*8"), COUNTIF('ARDT Cutter Entry'!G70,"*9")),
                    'ARDT Cutter Entry'!G70,
                    'ARDT Cutter Entry'!G120),
                IF(OR(
                    COUNTIF('ARDT Cutter Entry'!G13,"*1"), COUNTIF('ARDT Cutter Entry'!G13,"*2"), COUNTIF('ARDT Cutter Entry'!G13,"*3"),
                    COUNTIF('ARDT Cutter Entry'!G13,"*4"), COUNTIF('ARDT Cutter Entry'!G13,"*5"), COUNTIF('ARDT Cutter Entry'!G13,"*6"),
                    COUNTIF('ARDT Cutter Entry'!G13,"*7"), COUNTIF('ARDT Cutter Entry'!G13,"*8"), COUNTIF('ARDT Cutter Entry'!G13,"*9")),
                    'ARDT Cutter Entry'!G13,
                    'ARDT Cutter Entry'!G52)
            )
        ),
        ""
    ),
    _xlpm.Result, IF(_xlpm.URCheck,
        IF(AQ79&lt;&gt;"", AQ79, _xlpm.Fallback),
        _xlpm.Fallback
    ),
    _xlpm.Result
)</f>
        <v/>
      </c>
      <c r="H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IF(OR(Data!BW55=0, Data!BW55=""), "", "O"&amp;Data!BW55),
            IF('ARDT Cutter Entry'!$C$111&lt;&gt;"",
                IF(OR(
                    COUNTIF('ARDT Cutter Entry'!H70,"*1"), COUNTIF('ARDT Cutter Entry'!H70,"*2"), COUNTIF('ARDT Cutter Entry'!H70,"*3"),
                    COUNTIF('ARDT Cutter Entry'!H70,"*4"), COUNTIF('ARDT Cutter Entry'!H70,"*5"), COUNTIF('ARDT Cutter Entry'!H70,"*6"),
                    COUNTIF('ARDT Cutter Entry'!H70,"*7"), COUNTIF('ARDT Cutter Entry'!H70,"*8"), COUNTIF('ARDT Cutter Entry'!H70,"*9")),
                    'ARDT Cutter Entry'!H70,
                    'ARDT Cutter Entry'!H120),
                IF(OR(
                    COUNTIF('ARDT Cutter Entry'!H13,"*1"), COUNTIF('ARDT Cutter Entry'!H13,"*2"), COUNTIF('ARDT Cutter Entry'!H13,"*3"),
                    COUNTIF('ARDT Cutter Entry'!H13,"*4"), COUNTIF('ARDT Cutter Entry'!H13,"*5"), COUNTIF('ARDT Cutter Entry'!H13,"*6"),
                    COUNTIF('ARDT Cutter Entry'!H13,"*7"), COUNTIF('ARDT Cutter Entry'!H13,"*8"), COUNTIF('ARDT Cutter Entry'!H13,"*9")),
                    'ARDT Cutter Entry'!H13,
                    'ARDT Cutter Entry'!H52)
            )
        ),
        ""
    ),
    _xlpm.Result, IF(_xlpm.URCheck,
        IF(AR79&lt;&gt;"", AR79, _xlpm.Fallback),
        _xlpm.Fallback
    ),
    _xlpm.Result
)</f>
        <v/>
      </c>
      <c r="I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IF(OR(Data!BX55=0, Data!BX55=""), "", "O"&amp;Data!BX55),
            IF('ARDT Cutter Entry'!$C$111&lt;&gt;"",
                IF(OR(
                    COUNTIF('ARDT Cutter Entry'!I70,"*1"), COUNTIF('ARDT Cutter Entry'!I70,"*2"), COUNTIF('ARDT Cutter Entry'!I70,"*3"),
                    COUNTIF('ARDT Cutter Entry'!I70,"*4"), COUNTIF('ARDT Cutter Entry'!I70,"*5"), COUNTIF('ARDT Cutter Entry'!I70,"*6"),
                    COUNTIF('ARDT Cutter Entry'!I70,"*7"), COUNTIF('ARDT Cutter Entry'!I70,"*8"), COUNTIF('ARDT Cutter Entry'!I70,"*9")),
                    'ARDT Cutter Entry'!I70,
                    'ARDT Cutter Entry'!I120),
                IF(OR(
                    COUNTIF('ARDT Cutter Entry'!I13,"*1"), COUNTIF('ARDT Cutter Entry'!I13,"*2"), COUNTIF('ARDT Cutter Entry'!I13,"*3"),
                    COUNTIF('ARDT Cutter Entry'!I13,"*4"), COUNTIF('ARDT Cutter Entry'!I13,"*5"), COUNTIF('ARDT Cutter Entry'!I13,"*6"),
                    COUNTIF('ARDT Cutter Entry'!I13,"*7"), COUNTIF('ARDT Cutter Entry'!I13,"*8"), COUNTIF('ARDT Cutter Entry'!I13,"*9")),
                    'ARDT Cutter Entry'!I13,
                    'ARDT Cutter Entry'!I52)
            )
        ),
        ""
    ),
    _xlpm.Result, IF(_xlpm.URCheck,
        IF(AS79&lt;&gt;"", AS79, _xlpm.Fallback),
        _xlpm.Fallback
    ),
    _xlpm.Result
)</f>
        <v/>
      </c>
      <c r="J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IF(OR(Data!BY55=0, Data!BY55=""), "", "O"&amp;Data!BY55),
            IF('ARDT Cutter Entry'!$C$111&lt;&gt;"",
                IF(OR(
                    COUNTIF('ARDT Cutter Entry'!J70,"*1"), COUNTIF('ARDT Cutter Entry'!J70,"*2"), COUNTIF('ARDT Cutter Entry'!J70,"*3"),
                    COUNTIF('ARDT Cutter Entry'!J70,"*4"), COUNTIF('ARDT Cutter Entry'!J70,"*5"), COUNTIF('ARDT Cutter Entry'!J70,"*6"),
                    COUNTIF('ARDT Cutter Entry'!J70,"*7"), COUNTIF('ARDT Cutter Entry'!J70,"*8"), COUNTIF('ARDT Cutter Entry'!J70,"*9")),
                    'ARDT Cutter Entry'!J70,
                    'ARDT Cutter Entry'!J120),
                IF(OR(
                    COUNTIF('ARDT Cutter Entry'!J13,"*1"), COUNTIF('ARDT Cutter Entry'!J13,"*2"), COUNTIF('ARDT Cutter Entry'!J13,"*3"),
                    COUNTIF('ARDT Cutter Entry'!J13,"*4"), COUNTIF('ARDT Cutter Entry'!J13,"*5"), COUNTIF('ARDT Cutter Entry'!J13,"*6"),
                    COUNTIF('ARDT Cutter Entry'!J13,"*7"), COUNTIF('ARDT Cutter Entry'!J13,"*8"), COUNTIF('ARDT Cutter Entry'!J13,"*9")),
                    'ARDT Cutter Entry'!J13,
                    'ARDT Cutter Entry'!J52)
            )
        ),
        ""
    ),
    _xlpm.Result, IF(_xlpm.URCheck,
        IF(AT79&lt;&gt;"", AT79, _xlpm.Fallback),
        _xlpm.Fallback
    ),
    _xlpm.Result
)</f>
        <v/>
      </c>
      <c r="K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IF(OR(Data!BZ55=0, Data!BZ55=""), "", "O"&amp;Data!BZ55),
            IF('ARDT Cutter Entry'!$C$111&lt;&gt;"",
                IF(OR(
                    COUNTIF('ARDT Cutter Entry'!K70,"*1"), COUNTIF('ARDT Cutter Entry'!K70,"*2"), COUNTIF('ARDT Cutter Entry'!K70,"*3"),
                    COUNTIF('ARDT Cutter Entry'!K70,"*4"), COUNTIF('ARDT Cutter Entry'!K70,"*5"), COUNTIF('ARDT Cutter Entry'!K70,"*6"),
                    COUNTIF('ARDT Cutter Entry'!K70,"*7"), COUNTIF('ARDT Cutter Entry'!K70,"*8"), COUNTIF('ARDT Cutter Entry'!K70,"*9")),
                    'ARDT Cutter Entry'!K70,
                    'ARDT Cutter Entry'!K120),
                IF(OR(
                    COUNTIF('ARDT Cutter Entry'!K13,"*1"), COUNTIF('ARDT Cutter Entry'!K13,"*2"), COUNTIF('ARDT Cutter Entry'!K13,"*3"),
                    COUNTIF('ARDT Cutter Entry'!K13,"*4"), COUNTIF('ARDT Cutter Entry'!K13,"*5"), COUNTIF('ARDT Cutter Entry'!K13,"*6"),
                    COUNTIF('ARDT Cutter Entry'!K13,"*7"), COUNTIF('ARDT Cutter Entry'!K13,"*8"), COUNTIF('ARDT Cutter Entry'!K13,"*9")),
                    'ARDT Cutter Entry'!K13,
                    'ARDT Cutter Entry'!K52)
            )
        ),
        ""
    ),
    _xlpm.Result, IF(_xlpm.URCheck,
        IF(AU79&lt;&gt;"", AU79, _xlpm.Fallback),
        _xlpm.Fallback
    ),
    _xlpm.Result
)</f>
        <v/>
      </c>
      <c r="L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IF(OR(Data!CA55=0, Data!CA55=""), "", "O"&amp;Data!CA55),
            IF('ARDT Cutter Entry'!$C$111&lt;&gt;"",
                IF(OR(
                    COUNTIF('ARDT Cutter Entry'!L70,"*1"), COUNTIF('ARDT Cutter Entry'!L70,"*2"), COUNTIF('ARDT Cutter Entry'!L70,"*3"),
                    COUNTIF('ARDT Cutter Entry'!L70,"*4"), COUNTIF('ARDT Cutter Entry'!L70,"*5"), COUNTIF('ARDT Cutter Entry'!L70,"*6"),
                    COUNTIF('ARDT Cutter Entry'!L70,"*7"), COUNTIF('ARDT Cutter Entry'!L70,"*8"), COUNTIF('ARDT Cutter Entry'!L70,"*9")),
                    'ARDT Cutter Entry'!L70,
                    'ARDT Cutter Entry'!L120),
                IF(OR(
                    COUNTIF('ARDT Cutter Entry'!L13,"*1"), COUNTIF('ARDT Cutter Entry'!L13,"*2"), COUNTIF('ARDT Cutter Entry'!L13,"*3"),
                    COUNTIF('ARDT Cutter Entry'!L13,"*4"), COUNTIF('ARDT Cutter Entry'!L13,"*5"), COUNTIF('ARDT Cutter Entry'!L13,"*6"),
                    COUNTIF('ARDT Cutter Entry'!L13,"*7"), COUNTIF('ARDT Cutter Entry'!L13,"*8"), COUNTIF('ARDT Cutter Entry'!L13,"*9")),
                    'ARDT Cutter Entry'!L13,
                    'ARDT Cutter Entry'!L52)
            )
        ),
        ""
    ),
    _xlpm.Result, IF(_xlpm.URCheck,
        IF(AV79&lt;&gt;"", AV79, _xlpm.Fallback),
        _xlpm.Fallback
    ),
    _xlpm.Result
)</f>
        <v/>
      </c>
      <c r="M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IF(OR(Data!CB55=0, Data!CB55=""), "", "O"&amp;Data!CB55),
            IF('ARDT Cutter Entry'!$C$111&lt;&gt;"",
                IF(OR(
                    COUNTIF('ARDT Cutter Entry'!M70,"*1"), COUNTIF('ARDT Cutter Entry'!M70,"*2"), COUNTIF('ARDT Cutter Entry'!M70,"*3"),
                    COUNTIF('ARDT Cutter Entry'!M70,"*4"), COUNTIF('ARDT Cutter Entry'!M70,"*5"), COUNTIF('ARDT Cutter Entry'!M70,"*6"),
                    COUNTIF('ARDT Cutter Entry'!M70,"*7"), COUNTIF('ARDT Cutter Entry'!M70,"*8"), COUNTIF('ARDT Cutter Entry'!M70,"*9")),
                    'ARDT Cutter Entry'!M70,
                    'ARDT Cutter Entry'!M120),
                IF(OR(
                    COUNTIF('ARDT Cutter Entry'!M13,"*1"), COUNTIF('ARDT Cutter Entry'!M13,"*2"), COUNTIF('ARDT Cutter Entry'!M13,"*3"),
                    COUNTIF('ARDT Cutter Entry'!M13,"*4"), COUNTIF('ARDT Cutter Entry'!M13,"*5"), COUNTIF('ARDT Cutter Entry'!M13,"*6"),
                    COUNTIF('ARDT Cutter Entry'!M13,"*7"), COUNTIF('ARDT Cutter Entry'!M13,"*8"), COUNTIF('ARDT Cutter Entry'!M13,"*9")),
                    'ARDT Cutter Entry'!M13,
                    'ARDT Cutter Entry'!M52)
            )
        ),
        ""
    ),
    _xlpm.Result, IF(_xlpm.URCheck,
        IF(AW79&lt;&gt;"", AW79, _xlpm.Fallback),
        _xlpm.Fallback
    ),
    _xlpm.Result
)</f>
        <v/>
      </c>
      <c r="N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IF(OR(Data!CC55=0, Data!CC55=""), "", "O"&amp;Data!CC55),
            IF('ARDT Cutter Entry'!$C$111&lt;&gt;"",
                IF(OR(
                    COUNTIF('ARDT Cutter Entry'!N70,"*1"), COUNTIF('ARDT Cutter Entry'!N70,"*2"), COUNTIF('ARDT Cutter Entry'!N70,"*3"),
                    COUNTIF('ARDT Cutter Entry'!N70,"*4"), COUNTIF('ARDT Cutter Entry'!N70,"*5"), COUNTIF('ARDT Cutter Entry'!N70,"*6"),
                    COUNTIF('ARDT Cutter Entry'!N70,"*7"), COUNTIF('ARDT Cutter Entry'!N70,"*8"), COUNTIF('ARDT Cutter Entry'!N70,"*9")),
                    'ARDT Cutter Entry'!N70,
                    'ARDT Cutter Entry'!N120),
                IF(OR(
                    COUNTIF('ARDT Cutter Entry'!N13,"*1"), COUNTIF('ARDT Cutter Entry'!N13,"*2"), COUNTIF('ARDT Cutter Entry'!N13,"*3"),
                    COUNTIF('ARDT Cutter Entry'!N13,"*4"), COUNTIF('ARDT Cutter Entry'!N13,"*5"), COUNTIF('ARDT Cutter Entry'!N13,"*6"),
                    COUNTIF('ARDT Cutter Entry'!N13,"*7"), COUNTIF('ARDT Cutter Entry'!N13,"*8"), COUNTIF('ARDT Cutter Entry'!N13,"*9")),
                    'ARDT Cutter Entry'!N13,
                    'ARDT Cutter Entry'!N52)
            )
        ),
        ""
    ),
    _xlpm.Result, IF(_xlpm.URCheck,
        IF(AX79&lt;&gt;"", AX79, _xlpm.Fallback),
        _xlpm.Fallback
    ),
    _xlpm.Result
)</f>
        <v/>
      </c>
      <c r="O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IF(OR(Data!CD55=0, Data!CD55=""), "", "O"&amp;Data!CD55),
            IF('ARDT Cutter Entry'!$C$111&lt;&gt;"",
                IF(OR(
                    COUNTIF('ARDT Cutter Entry'!O70,"*1"), COUNTIF('ARDT Cutter Entry'!O70,"*2"), COUNTIF('ARDT Cutter Entry'!O70,"*3"),
                    COUNTIF('ARDT Cutter Entry'!O70,"*4"), COUNTIF('ARDT Cutter Entry'!O70,"*5"), COUNTIF('ARDT Cutter Entry'!O70,"*6"),
                    COUNTIF('ARDT Cutter Entry'!O70,"*7"), COUNTIF('ARDT Cutter Entry'!O70,"*8"), COUNTIF('ARDT Cutter Entry'!O70,"*9")),
                    'ARDT Cutter Entry'!O70,
                    'ARDT Cutter Entry'!O120),
                IF(OR(
                    COUNTIF('ARDT Cutter Entry'!O13,"*1"), COUNTIF('ARDT Cutter Entry'!O13,"*2"), COUNTIF('ARDT Cutter Entry'!O13,"*3"),
                    COUNTIF('ARDT Cutter Entry'!O13,"*4"), COUNTIF('ARDT Cutter Entry'!O13,"*5"), COUNTIF('ARDT Cutter Entry'!O13,"*6"),
                    COUNTIF('ARDT Cutter Entry'!O13,"*7"), COUNTIF('ARDT Cutter Entry'!O13,"*8"), COUNTIF('ARDT Cutter Entry'!O13,"*9")),
                    'ARDT Cutter Entry'!O13,
                    'ARDT Cutter Entry'!O52)
            )
        ),
        ""
    ),
    _xlpm.Result, IF(_xlpm.URCheck,
        IF(AY79&lt;&gt;"", AY79, _xlpm.Fallback),
        _xlpm.Fallback
    ),
    _xlpm.Result
)</f>
        <v/>
      </c>
      <c r="P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IF(OR(Data!CE55=0, Data!CE55=""), "", "O"&amp;Data!CE55),
            IF('ARDT Cutter Entry'!$C$111&lt;&gt;"",
                IF(OR(
                    COUNTIF('ARDT Cutter Entry'!P70,"*1"), COUNTIF('ARDT Cutter Entry'!P70,"*2"), COUNTIF('ARDT Cutter Entry'!P70,"*3"),
                    COUNTIF('ARDT Cutter Entry'!P70,"*4"), COUNTIF('ARDT Cutter Entry'!P70,"*5"), COUNTIF('ARDT Cutter Entry'!P70,"*6"),
                    COUNTIF('ARDT Cutter Entry'!P70,"*7"), COUNTIF('ARDT Cutter Entry'!P70,"*8"), COUNTIF('ARDT Cutter Entry'!P70,"*9")),
                    'ARDT Cutter Entry'!P70,
                    'ARDT Cutter Entry'!P120),
                IF(OR(
                    COUNTIF('ARDT Cutter Entry'!P13,"*1"), COUNTIF('ARDT Cutter Entry'!P13,"*2"), COUNTIF('ARDT Cutter Entry'!P13,"*3"),
                    COUNTIF('ARDT Cutter Entry'!P13,"*4"), COUNTIF('ARDT Cutter Entry'!P13,"*5"), COUNTIF('ARDT Cutter Entry'!P13,"*6"),
                    COUNTIF('ARDT Cutter Entry'!P13,"*7"), COUNTIF('ARDT Cutter Entry'!P13,"*8"), COUNTIF('ARDT Cutter Entry'!P13,"*9")),
                    'ARDT Cutter Entry'!P13,
                    'ARDT Cutter Entry'!P52)
            )
        ),
        ""
    ),
    _xlpm.Result, IF(_xlpm.URCheck,
        IF(AZ79&lt;&gt;"", AZ79, _xlpm.Fallback),
        _xlpm.Fallback
    ),
    _xlpm.Result
)</f>
        <v/>
      </c>
      <c r="Q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IF(OR(Data!CF55=0, Data!CF55=""), "", "O"&amp;Data!CF55),
            IF('ARDT Cutter Entry'!$C$111&lt;&gt;"",
                IF(OR(
                    COUNTIF('ARDT Cutter Entry'!Q70,"*1"), COUNTIF('ARDT Cutter Entry'!Q70,"*2"), COUNTIF('ARDT Cutter Entry'!Q70,"*3"),
                    COUNTIF('ARDT Cutter Entry'!Q70,"*4"), COUNTIF('ARDT Cutter Entry'!Q70,"*5"), COUNTIF('ARDT Cutter Entry'!Q70,"*6"),
                    COUNTIF('ARDT Cutter Entry'!Q70,"*7"), COUNTIF('ARDT Cutter Entry'!Q70,"*8"), COUNTIF('ARDT Cutter Entry'!Q70,"*9")),
                    'ARDT Cutter Entry'!Q70,
                    'ARDT Cutter Entry'!Q120),
                IF(OR(
                    COUNTIF('ARDT Cutter Entry'!Q13,"*1"), COUNTIF('ARDT Cutter Entry'!Q13,"*2"), COUNTIF('ARDT Cutter Entry'!Q13,"*3"),
                    COUNTIF('ARDT Cutter Entry'!Q13,"*4"), COUNTIF('ARDT Cutter Entry'!Q13,"*5"), COUNTIF('ARDT Cutter Entry'!Q13,"*6"),
                    COUNTIF('ARDT Cutter Entry'!Q13,"*7"), COUNTIF('ARDT Cutter Entry'!Q13,"*8"), COUNTIF('ARDT Cutter Entry'!Q13,"*9")),
                    'ARDT Cutter Entry'!Q13,
                    'ARDT Cutter Entry'!Q52)
            )
        ),
        ""
    ),
    _xlpm.Result, IF(_xlpm.URCheck,
        IF(BA79&lt;&gt;"", BA79, _xlpm.Fallback),
        _xlpm.Fallback
    ),
    _xlpm.Result
)</f>
        <v/>
      </c>
      <c r="R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IF(OR(Data!CG55=0, Data!CG55=""), "", "O"&amp;Data!CG55),
            IF('ARDT Cutter Entry'!$C$111&lt;&gt;"",
                IF(OR(
                    COUNTIF('ARDT Cutter Entry'!R70,"*1"), COUNTIF('ARDT Cutter Entry'!R70,"*2"), COUNTIF('ARDT Cutter Entry'!R70,"*3"),
                    COUNTIF('ARDT Cutter Entry'!R70,"*4"), COUNTIF('ARDT Cutter Entry'!R70,"*5"), COUNTIF('ARDT Cutter Entry'!R70,"*6"),
                    COUNTIF('ARDT Cutter Entry'!R70,"*7"), COUNTIF('ARDT Cutter Entry'!R70,"*8"), COUNTIF('ARDT Cutter Entry'!R70,"*9")),
                    'ARDT Cutter Entry'!R70,
                    'ARDT Cutter Entry'!R120),
                IF(OR(
                    COUNTIF('ARDT Cutter Entry'!R13,"*1"), COUNTIF('ARDT Cutter Entry'!R13,"*2"), COUNTIF('ARDT Cutter Entry'!R13,"*3"),
                    COUNTIF('ARDT Cutter Entry'!R13,"*4"), COUNTIF('ARDT Cutter Entry'!R13,"*5"), COUNTIF('ARDT Cutter Entry'!R13,"*6"),
                    COUNTIF('ARDT Cutter Entry'!R13,"*7"), COUNTIF('ARDT Cutter Entry'!R13,"*8"), COUNTIF('ARDT Cutter Entry'!R13,"*9")),
                    'ARDT Cutter Entry'!R13,
                    'ARDT Cutter Entry'!R52)
            )
        ),
        ""
    ),
    _xlpm.Result, IF(_xlpm.URCheck,
        IF(BB79&lt;&gt;"", BB79, _xlpm.Fallback),
        _xlpm.Fallback
    ),
    _xlpm.Result
)</f>
        <v/>
      </c>
      <c r="S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IF(OR(Data!CH55=0, Data!CH55=""), "", "O"&amp;Data!CH55),
            IF('ARDT Cutter Entry'!$C$111&lt;&gt;"",
                IF(OR(
                    COUNTIF('ARDT Cutter Entry'!S70,"*1"), COUNTIF('ARDT Cutter Entry'!S70,"*2"), COUNTIF('ARDT Cutter Entry'!S70,"*3"),
                    COUNTIF('ARDT Cutter Entry'!S70,"*4"), COUNTIF('ARDT Cutter Entry'!S70,"*5"), COUNTIF('ARDT Cutter Entry'!S70,"*6"),
                    COUNTIF('ARDT Cutter Entry'!S70,"*7"), COUNTIF('ARDT Cutter Entry'!S70,"*8"), COUNTIF('ARDT Cutter Entry'!S70,"*9")),
                    'ARDT Cutter Entry'!S70,
                    'ARDT Cutter Entry'!S120),
                IF(OR(
                    COUNTIF('ARDT Cutter Entry'!S13,"*1"), COUNTIF('ARDT Cutter Entry'!S13,"*2"), COUNTIF('ARDT Cutter Entry'!S13,"*3"),
                    COUNTIF('ARDT Cutter Entry'!S13,"*4"), COUNTIF('ARDT Cutter Entry'!S13,"*5"), COUNTIF('ARDT Cutter Entry'!S13,"*6"),
                    COUNTIF('ARDT Cutter Entry'!S13,"*7"), COUNTIF('ARDT Cutter Entry'!S13,"*8"), COUNTIF('ARDT Cutter Entry'!S13,"*9")),
                    'ARDT Cutter Entry'!S13,
                    'ARDT Cutter Entry'!S52)
            )
        ),
        ""
    ),
    _xlpm.Result, IF(_xlpm.URCheck,
        IF(BC79&lt;&gt;"", BC79, _xlpm.Fallback),
        _xlpm.Fallback
    ),
    _xlpm.Result
)</f>
        <v/>
      </c>
      <c r="T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IF(OR(Data!CI55=0, Data!CI55=""), "", "O"&amp;Data!CI55),
            IF('ARDT Cutter Entry'!$C$111&lt;&gt;"",
                IF(OR(
                    COUNTIF('ARDT Cutter Entry'!T70,"*1"), COUNTIF('ARDT Cutter Entry'!T70,"*2"), COUNTIF('ARDT Cutter Entry'!T70,"*3"),
                    COUNTIF('ARDT Cutter Entry'!T70,"*4"), COUNTIF('ARDT Cutter Entry'!T70,"*5"), COUNTIF('ARDT Cutter Entry'!T70,"*6"),
                    COUNTIF('ARDT Cutter Entry'!T70,"*7"), COUNTIF('ARDT Cutter Entry'!T70,"*8"), COUNTIF('ARDT Cutter Entry'!T70,"*9")),
                    'ARDT Cutter Entry'!T70,
                    'ARDT Cutter Entry'!T120),
                IF(OR(
                    COUNTIF('ARDT Cutter Entry'!T13,"*1"), COUNTIF('ARDT Cutter Entry'!T13,"*2"), COUNTIF('ARDT Cutter Entry'!T13,"*3"),
                    COUNTIF('ARDT Cutter Entry'!T13,"*4"), COUNTIF('ARDT Cutter Entry'!T13,"*5"), COUNTIF('ARDT Cutter Entry'!T13,"*6"),
                    COUNTIF('ARDT Cutter Entry'!T13,"*7"), COUNTIF('ARDT Cutter Entry'!T13,"*8"), COUNTIF('ARDT Cutter Entry'!T13,"*9")),
                    'ARDT Cutter Entry'!T13,
                    'ARDT Cutter Entry'!T52)
            )
        ),
        ""
    ),
    _xlpm.Result, IF(_xlpm.URCheck,
        IF(BD79&lt;&gt;"", BD79, _xlpm.Fallback),
        _xlpm.Fallback
    ),
    _xlpm.Result
)</f>
        <v/>
      </c>
      <c r="U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IF(OR(Data!CJ55=0, Data!CJ55=""), "", "O"&amp;Data!CJ55),
            IF('ARDT Cutter Entry'!$C$111&lt;&gt;"",
                IF(OR(
                    COUNTIF('ARDT Cutter Entry'!U70,"*1"), COUNTIF('ARDT Cutter Entry'!U70,"*2"), COUNTIF('ARDT Cutter Entry'!U70,"*3"),
                    COUNTIF('ARDT Cutter Entry'!U70,"*4"), COUNTIF('ARDT Cutter Entry'!U70,"*5"), COUNTIF('ARDT Cutter Entry'!U70,"*6"),
                    COUNTIF('ARDT Cutter Entry'!U70,"*7"), COUNTIF('ARDT Cutter Entry'!U70,"*8"), COUNTIF('ARDT Cutter Entry'!U70,"*9")),
                    'ARDT Cutter Entry'!U70,
                    'ARDT Cutter Entry'!U120),
                IF(OR(
                    COUNTIF('ARDT Cutter Entry'!U13,"*1"), COUNTIF('ARDT Cutter Entry'!U13,"*2"), COUNTIF('ARDT Cutter Entry'!U13,"*3"),
                    COUNTIF('ARDT Cutter Entry'!U13,"*4"), COUNTIF('ARDT Cutter Entry'!U13,"*5"), COUNTIF('ARDT Cutter Entry'!U13,"*6"),
                    COUNTIF('ARDT Cutter Entry'!U13,"*7"), COUNTIF('ARDT Cutter Entry'!U13,"*8"), COUNTIF('ARDT Cutter Entry'!U13,"*9")),
                    'ARDT Cutter Entry'!U13,
                    'ARDT Cutter Entry'!U52)
            )
        ),
        ""
    ),
    _xlpm.Result, IF(_xlpm.URCheck,
        IF(BE79&lt;&gt;"", BE79, _xlpm.Fallback),
        _xlpm.Fallback
    ),
    _xlpm.Result
)</f>
        <v/>
      </c>
      <c r="V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IF(OR(Data!CK55=0, Data!CK55=""), "", "O"&amp;Data!CK55),
            IF('ARDT Cutter Entry'!$C$111&lt;&gt;"",
                IF(OR(
                    COUNTIF('ARDT Cutter Entry'!V70,"*1"), COUNTIF('ARDT Cutter Entry'!V70,"*2"), COUNTIF('ARDT Cutter Entry'!V70,"*3"),
                    COUNTIF('ARDT Cutter Entry'!V70,"*4"), COUNTIF('ARDT Cutter Entry'!V70,"*5"), COUNTIF('ARDT Cutter Entry'!V70,"*6"),
                    COUNTIF('ARDT Cutter Entry'!V70,"*7"), COUNTIF('ARDT Cutter Entry'!V70,"*8"), COUNTIF('ARDT Cutter Entry'!V70,"*9")),
                    'ARDT Cutter Entry'!V70,
                    'ARDT Cutter Entry'!V120),
                IF(OR(
                    COUNTIF('ARDT Cutter Entry'!V13,"*1"), COUNTIF('ARDT Cutter Entry'!V13,"*2"), COUNTIF('ARDT Cutter Entry'!V13,"*3"),
                    COUNTIF('ARDT Cutter Entry'!V13,"*4"), COUNTIF('ARDT Cutter Entry'!V13,"*5"), COUNTIF('ARDT Cutter Entry'!V13,"*6"),
                    COUNTIF('ARDT Cutter Entry'!V13,"*7"), COUNTIF('ARDT Cutter Entry'!V13,"*8"), COUNTIF('ARDT Cutter Entry'!V13,"*9")),
                    'ARDT Cutter Entry'!V13,
                    'ARDT Cutter Entry'!V52)
            )
        ),
        ""
    ),
    _xlpm.Result, IF(_xlpm.URCheck,
        IF(BF79&lt;&gt;"", BF79, _xlpm.Fallback),
        _xlpm.Fallback
    ),
    _xlpm.Result
)</f>
        <v/>
      </c>
      <c r="W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IF(OR(Data!CL55=0, Data!CL55=""), "", "O"&amp;Data!CL55),
            IF('ARDT Cutter Entry'!$C$111&lt;&gt;"",
                IF(OR(
                    COUNTIF('ARDT Cutter Entry'!W70,"*1"), COUNTIF('ARDT Cutter Entry'!W70,"*2"), COUNTIF('ARDT Cutter Entry'!W70,"*3"),
                    COUNTIF('ARDT Cutter Entry'!W70,"*4"), COUNTIF('ARDT Cutter Entry'!W70,"*5"), COUNTIF('ARDT Cutter Entry'!W70,"*6"),
                    COUNTIF('ARDT Cutter Entry'!W70,"*7"), COUNTIF('ARDT Cutter Entry'!W70,"*8"), COUNTIF('ARDT Cutter Entry'!W70,"*9")),
                    'ARDT Cutter Entry'!W70,
                    'ARDT Cutter Entry'!W120),
                IF(OR(
                    COUNTIF('ARDT Cutter Entry'!W13,"*1"), COUNTIF('ARDT Cutter Entry'!W13,"*2"), COUNTIF('ARDT Cutter Entry'!W13,"*3"),
                    COUNTIF('ARDT Cutter Entry'!W13,"*4"), COUNTIF('ARDT Cutter Entry'!W13,"*5"), COUNTIF('ARDT Cutter Entry'!W13,"*6"),
                    COUNTIF('ARDT Cutter Entry'!W13,"*7"), COUNTIF('ARDT Cutter Entry'!W13,"*8"), COUNTIF('ARDT Cutter Entry'!W13,"*9")),
                    'ARDT Cutter Entry'!W13,
                    'ARDT Cutter Entry'!W52)
            )
        ),
        ""
    ),
    _xlpm.Result, IF(_xlpm.URCheck,
        IF(BG79&lt;&gt;"", BG79, _xlpm.Fallback),
        _xlpm.Fallback
    ),
    _xlpm.Result
)</f>
        <v/>
      </c>
      <c r="X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IF(OR(Data!CM55=0, Data!CM55=""), "", "O"&amp;Data!CM55),
            IF('ARDT Cutter Entry'!$C$111&lt;&gt;"",
                IF(OR(
                    COUNTIF('ARDT Cutter Entry'!X70,"*1"), COUNTIF('ARDT Cutter Entry'!X70,"*2"), COUNTIF('ARDT Cutter Entry'!X70,"*3"),
                    COUNTIF('ARDT Cutter Entry'!X70,"*4"), COUNTIF('ARDT Cutter Entry'!X70,"*5"), COUNTIF('ARDT Cutter Entry'!X70,"*6"),
                    COUNTIF('ARDT Cutter Entry'!X70,"*7"), COUNTIF('ARDT Cutter Entry'!X70,"*8"), COUNTIF('ARDT Cutter Entry'!X70,"*9")),
                    'ARDT Cutter Entry'!X70,
                    'ARDT Cutter Entry'!X120),
                IF(OR(
                    COUNTIF('ARDT Cutter Entry'!X13,"*1"), COUNTIF('ARDT Cutter Entry'!X13,"*2"), COUNTIF('ARDT Cutter Entry'!X13,"*3"),
                    COUNTIF('ARDT Cutter Entry'!X13,"*4"), COUNTIF('ARDT Cutter Entry'!X13,"*5"), COUNTIF('ARDT Cutter Entry'!X13,"*6"),
                    COUNTIF('ARDT Cutter Entry'!X13,"*7"), COUNTIF('ARDT Cutter Entry'!X13,"*8"), COUNTIF('ARDT Cutter Entry'!X13,"*9")),
                    'ARDT Cutter Entry'!X13,
                    'ARDT Cutter Entry'!X52)
            )
        ),
        ""
    ),
    _xlpm.Result, IF(_xlpm.URCheck,
        IF(BH79&lt;&gt;"", BH79, _xlpm.Fallback),
        _xlpm.Fallback
    ),
    _xlpm.Result
)</f>
        <v/>
      </c>
      <c r="Y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IF(OR(Data!CN55=0, Data!CN55=""), "", "O"&amp;Data!CN55),
            IF('ARDT Cutter Entry'!$C$111&lt;&gt;"",
                IF(OR(
                    COUNTIF('ARDT Cutter Entry'!Y70,"*1"), COUNTIF('ARDT Cutter Entry'!Y70,"*2"), COUNTIF('ARDT Cutter Entry'!Y70,"*3"),
                    COUNTIF('ARDT Cutter Entry'!Y70,"*4"), COUNTIF('ARDT Cutter Entry'!Y70,"*5"), COUNTIF('ARDT Cutter Entry'!Y70,"*6"),
                    COUNTIF('ARDT Cutter Entry'!Y70,"*7"), COUNTIF('ARDT Cutter Entry'!Y70,"*8"), COUNTIF('ARDT Cutter Entry'!Y70,"*9")),
                    'ARDT Cutter Entry'!Y70,
                    'ARDT Cutter Entry'!Y120),
                IF(OR(
                    COUNTIF('ARDT Cutter Entry'!Y13,"*1"), COUNTIF('ARDT Cutter Entry'!Y13,"*2"), COUNTIF('ARDT Cutter Entry'!Y13,"*3"),
                    COUNTIF('ARDT Cutter Entry'!Y13,"*4"), COUNTIF('ARDT Cutter Entry'!Y13,"*5"), COUNTIF('ARDT Cutter Entry'!Y13,"*6"),
                    COUNTIF('ARDT Cutter Entry'!Y13,"*7"), COUNTIF('ARDT Cutter Entry'!Y13,"*8"), COUNTIF('ARDT Cutter Entry'!Y13,"*9")),
                    'ARDT Cutter Entry'!Y13,
                    'ARDT Cutter Entry'!Y52)
            )
        ),
        ""
    ),
    _xlpm.Result, IF(_xlpm.URCheck,
        IF(BI79&lt;&gt;"", BI79, _xlpm.Fallback),
        _xlpm.Fallback
    ),
    _xlpm.Result
)</f>
        <v/>
      </c>
      <c r="Z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IF(OR(Data!CO55=0, Data!CO55=""), "", "O"&amp;Data!CO55),
            IF('ARDT Cutter Entry'!$C$111&lt;&gt;"",
                IF(OR(
                    COUNTIF('ARDT Cutter Entry'!Z70,"*1"), COUNTIF('ARDT Cutter Entry'!Z70,"*2"), COUNTIF('ARDT Cutter Entry'!Z70,"*3"),
                    COUNTIF('ARDT Cutter Entry'!Z70,"*4"), COUNTIF('ARDT Cutter Entry'!Z70,"*5"), COUNTIF('ARDT Cutter Entry'!Z70,"*6"),
                    COUNTIF('ARDT Cutter Entry'!Z70,"*7"), COUNTIF('ARDT Cutter Entry'!Z70,"*8"), COUNTIF('ARDT Cutter Entry'!Z70,"*9")),
                    'ARDT Cutter Entry'!Z70,
                    'ARDT Cutter Entry'!Z120),
                IF(OR(
                    COUNTIF('ARDT Cutter Entry'!Z13,"*1"), COUNTIF('ARDT Cutter Entry'!Z13,"*2"), COUNTIF('ARDT Cutter Entry'!Z13,"*3"),
                    COUNTIF('ARDT Cutter Entry'!Z13,"*4"), COUNTIF('ARDT Cutter Entry'!Z13,"*5"), COUNTIF('ARDT Cutter Entry'!Z13,"*6"),
                    COUNTIF('ARDT Cutter Entry'!Z13,"*7"), COUNTIF('ARDT Cutter Entry'!Z13,"*8"), COUNTIF('ARDT Cutter Entry'!Z13,"*9")),
                    'ARDT Cutter Entry'!Z13,
                    'ARDT Cutter Entry'!Z52)
            )
        ),
        ""
    ),
    _xlpm.Result, IF(_xlpm.URCheck,
        IF(BJ79&lt;&gt;"", BJ79, _xlpm.Fallback),
        _xlpm.Fallback
    ),
    _xlpm.Result
)</f>
        <v/>
      </c>
      <c r="AA26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IF(OR(Data!CP55=0, Data!CP55=""), "", "O"&amp;Data!CP55),
            IF('ARDT Cutter Entry'!$C$111&lt;&gt;"",
                IF(OR(
                    COUNTIF('ARDT Cutter Entry'!AA70,"*1"), COUNTIF('ARDT Cutter Entry'!AA70,"*2"), COUNTIF('ARDT Cutter Entry'!AA70,"*3"),
                    COUNTIF('ARDT Cutter Entry'!AA70,"*4"), COUNTIF('ARDT Cutter Entry'!AA70,"*5"), COUNTIF('ARDT Cutter Entry'!AA70,"*6"),
                    COUNTIF('ARDT Cutter Entry'!AA70,"*7"), COUNTIF('ARDT Cutter Entry'!AA70,"*8"), COUNTIF('ARDT Cutter Entry'!AA70,"*9")),
                    'ARDT Cutter Entry'!AA70,
                    'ARDT Cutter Entry'!AA120),
                IF(OR(
                    COUNTIF('ARDT Cutter Entry'!AA13,"*1"), COUNTIF('ARDT Cutter Entry'!AA13,"*2"), COUNTIF('ARDT Cutter Entry'!AA13,"*3"),
                    COUNTIF('ARDT Cutter Entry'!AA13,"*4"), COUNTIF('ARDT Cutter Entry'!AA13,"*5"), COUNTIF('ARDT Cutter Entry'!AA13,"*6"),
                    COUNTIF('ARDT Cutter Entry'!AA13,"*7"), COUNTIF('ARDT Cutter Entry'!AA13,"*8"), COUNTIF('ARDT Cutter Entry'!AA13,"*9")),
                    'ARDT Cutter Entry'!AA13,
                    'ARDT Cutter Entry'!AA52)
            )
        ),
        ""
    ),
    _xlpm.Result, IF(_xlpm.URCheck,
        IF(BK79&lt;&gt;"", BK79, _xlpm.Fallback),
        _xlpm.Fallback
    ),
    _xlpm.Result
)</f>
        <v/>
      </c>
    </row>
    <row r="27" spans="1:27" ht="18.75" customHeight="1" x14ac:dyDescent="0.35">
      <c r="A27" s="1423"/>
      <c r="B27" s="396">
        <v>11</v>
      </c>
      <c r="C27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IF(OR(Data!BR56=0, Data!BR56=""), "", "O"&amp;Data!BR56),
            IF('ARDT Cutter Entry'!$C$111&lt;&gt;"",
                IF(OR(
                    COUNTIF('ARDT Cutter Entry'!C71,"*1"), COUNTIF('ARDT Cutter Entry'!C71,"*2"), COUNTIF('ARDT Cutter Entry'!C71,"*3"),
                    COUNTIF('ARDT Cutter Entry'!C71,"*4"), COUNTIF('ARDT Cutter Entry'!C71,"*5"), COUNTIF('ARDT Cutter Entry'!C71,"*6"),
                    COUNTIF('ARDT Cutter Entry'!C71,"*7"), COUNTIF('ARDT Cutter Entry'!C71,"*8"), COUNTIF('ARDT Cutter Entry'!C71,"*9")),
                    'ARDT Cutter Entry'!C71,
                    'ARDT Cutter Entry'!C121),
                IF(OR(
                    COUNTIF('ARDT Cutter Entry'!C14,"*1"), COUNTIF('ARDT Cutter Entry'!C14,"*2"), COUNTIF('ARDT Cutter Entry'!C14,"*3"),
                    COUNTIF('ARDT Cutter Entry'!C14,"*4"), COUNTIF('ARDT Cutter Entry'!C14,"*5"), COUNTIF('ARDT Cutter Entry'!C14,"*6"),
                    COUNTIF('ARDT Cutter Entry'!C14,"*7"), COUNTIF('ARDT Cutter Entry'!C14,"*8"), COUNTIF('ARDT Cutter Entry'!C14,"*9")),
                    'ARDT Cutter Entry'!C14,
                    'ARDT Cutter Entry'!C53)
            )
        ),
        ""
    ),
    _xlpm.Result, IF(_xlpm.URCheck,
        IF(AM80&lt;&gt;"", AM80, _xlpm.Fallback),
        _xlpm.Fallback
    ),
    _xlpm.Result
)</f>
        <v/>
      </c>
      <c r="D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IF(OR(Data!BS56=0, Data!BS56=""), "", "O"&amp;Data!BS56),
            IF('ARDT Cutter Entry'!$C$111&lt;&gt;"",
                IF(OR(
                    COUNTIF('ARDT Cutter Entry'!D71,"*1"), COUNTIF('ARDT Cutter Entry'!D71,"*2"), COUNTIF('ARDT Cutter Entry'!D71,"*3"),
                    COUNTIF('ARDT Cutter Entry'!D71,"*4"), COUNTIF('ARDT Cutter Entry'!D71,"*5"), COUNTIF('ARDT Cutter Entry'!D71,"*6"),
                    COUNTIF('ARDT Cutter Entry'!D71,"*7"), COUNTIF('ARDT Cutter Entry'!D71,"*8"), COUNTIF('ARDT Cutter Entry'!D71,"*9")),
                    'ARDT Cutter Entry'!D71,
                    'ARDT Cutter Entry'!D121),
                IF(OR(
                    COUNTIF('ARDT Cutter Entry'!D14,"*1"), COUNTIF('ARDT Cutter Entry'!D14,"*2"), COUNTIF('ARDT Cutter Entry'!D14,"*3"),
                    COUNTIF('ARDT Cutter Entry'!D14,"*4"), COUNTIF('ARDT Cutter Entry'!D14,"*5"), COUNTIF('ARDT Cutter Entry'!D14,"*6"),
                    COUNTIF('ARDT Cutter Entry'!D14,"*7"), COUNTIF('ARDT Cutter Entry'!D14,"*8"), COUNTIF('ARDT Cutter Entry'!D14,"*9")),
                    'ARDT Cutter Entry'!D14,
                    'ARDT Cutter Entry'!D53)
            )
        ),
        ""
    ),
    _xlpm.Result, IF(_xlpm.URCheck,
        IF(AN80&lt;&gt;"", AN80, _xlpm.Fallback),
        _xlpm.Fallback
    ),
    _xlpm.Result
)</f>
        <v/>
      </c>
      <c r="E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IF(OR(Data!BT56=0, Data!BT56=""), "", "O"&amp;Data!BT56),
            IF('ARDT Cutter Entry'!$C$111&lt;&gt;"",
                IF(OR(
                    COUNTIF('ARDT Cutter Entry'!E71,"*1"), COUNTIF('ARDT Cutter Entry'!E71,"*2"), COUNTIF('ARDT Cutter Entry'!E71,"*3"),
                    COUNTIF('ARDT Cutter Entry'!E71,"*4"), COUNTIF('ARDT Cutter Entry'!E71,"*5"), COUNTIF('ARDT Cutter Entry'!E71,"*6"),
                    COUNTIF('ARDT Cutter Entry'!E71,"*7"), COUNTIF('ARDT Cutter Entry'!E71,"*8"), COUNTIF('ARDT Cutter Entry'!E71,"*9")),
                    'ARDT Cutter Entry'!E71,
                    'ARDT Cutter Entry'!E121),
                IF(OR(
                    COUNTIF('ARDT Cutter Entry'!E14,"*1"), COUNTIF('ARDT Cutter Entry'!E14,"*2"), COUNTIF('ARDT Cutter Entry'!E14,"*3"),
                    COUNTIF('ARDT Cutter Entry'!E14,"*4"), COUNTIF('ARDT Cutter Entry'!E14,"*5"), COUNTIF('ARDT Cutter Entry'!E14,"*6"),
                    COUNTIF('ARDT Cutter Entry'!E14,"*7"), COUNTIF('ARDT Cutter Entry'!E14,"*8"), COUNTIF('ARDT Cutter Entry'!E14,"*9")),
                    'ARDT Cutter Entry'!E14,
                    'ARDT Cutter Entry'!E53)
            )
        ),
        ""
    ),
    _xlpm.Result, IF(_xlpm.URCheck,
        IF(AO80&lt;&gt;"", AO80, _xlpm.Fallback),
        _xlpm.Fallback
    ),
    _xlpm.Result
)</f>
        <v/>
      </c>
      <c r="F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IF(OR(Data!BU56=0, Data!BU56=""), "", "O"&amp;Data!BU56),
            IF('ARDT Cutter Entry'!$C$111&lt;&gt;"",
                IF(OR(
                    COUNTIF('ARDT Cutter Entry'!F71,"*1"), COUNTIF('ARDT Cutter Entry'!F71,"*2"), COUNTIF('ARDT Cutter Entry'!F71,"*3"),
                    COUNTIF('ARDT Cutter Entry'!F71,"*4"), COUNTIF('ARDT Cutter Entry'!F71,"*5"), COUNTIF('ARDT Cutter Entry'!F71,"*6"),
                    COUNTIF('ARDT Cutter Entry'!F71,"*7"), COUNTIF('ARDT Cutter Entry'!F71,"*8"), COUNTIF('ARDT Cutter Entry'!F71,"*9")),
                    'ARDT Cutter Entry'!F71,
                    'ARDT Cutter Entry'!F121),
                IF(OR(
                    COUNTIF('ARDT Cutter Entry'!F14,"*1"), COUNTIF('ARDT Cutter Entry'!F14,"*2"), COUNTIF('ARDT Cutter Entry'!F14,"*3"),
                    COUNTIF('ARDT Cutter Entry'!F14,"*4"), COUNTIF('ARDT Cutter Entry'!F14,"*5"), COUNTIF('ARDT Cutter Entry'!F14,"*6"),
                    COUNTIF('ARDT Cutter Entry'!F14,"*7"), COUNTIF('ARDT Cutter Entry'!F14,"*8"), COUNTIF('ARDT Cutter Entry'!F14,"*9")),
                    'ARDT Cutter Entry'!F14,
                    'ARDT Cutter Entry'!F53)
            )
        ),
        ""
    ),
    _xlpm.Result, IF(_xlpm.URCheck,
        IF(AP80&lt;&gt;"", AP80, _xlpm.Fallback),
        _xlpm.Fallback
    ),
    _xlpm.Result
)</f>
        <v/>
      </c>
      <c r="G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IF(OR(Data!BV56=0, Data!BV56=""), "", "O"&amp;Data!BV56),
            IF('ARDT Cutter Entry'!$C$111&lt;&gt;"",
                IF(OR(
                    COUNTIF('ARDT Cutter Entry'!G71,"*1"), COUNTIF('ARDT Cutter Entry'!G71,"*2"), COUNTIF('ARDT Cutter Entry'!G71,"*3"),
                    COUNTIF('ARDT Cutter Entry'!G71,"*4"), COUNTIF('ARDT Cutter Entry'!G71,"*5"), COUNTIF('ARDT Cutter Entry'!G71,"*6"),
                    COUNTIF('ARDT Cutter Entry'!G71,"*7"), COUNTIF('ARDT Cutter Entry'!G71,"*8"), COUNTIF('ARDT Cutter Entry'!G71,"*9")),
                    'ARDT Cutter Entry'!G71,
                    'ARDT Cutter Entry'!G121),
                IF(OR(
                    COUNTIF('ARDT Cutter Entry'!G14,"*1"), COUNTIF('ARDT Cutter Entry'!G14,"*2"), COUNTIF('ARDT Cutter Entry'!G14,"*3"),
                    COUNTIF('ARDT Cutter Entry'!G14,"*4"), COUNTIF('ARDT Cutter Entry'!G14,"*5"), COUNTIF('ARDT Cutter Entry'!G14,"*6"),
                    COUNTIF('ARDT Cutter Entry'!G14,"*7"), COUNTIF('ARDT Cutter Entry'!G14,"*8"), COUNTIF('ARDT Cutter Entry'!G14,"*9")),
                    'ARDT Cutter Entry'!G14,
                    'ARDT Cutter Entry'!G53)
            )
        ),
        ""
    ),
    _xlpm.Result, IF(_xlpm.URCheck,
        IF(AQ80&lt;&gt;"", AQ80, _xlpm.Fallback),
        _xlpm.Fallback
    ),
    _xlpm.Result
)</f>
        <v/>
      </c>
      <c r="H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IF(OR(Data!BW56=0, Data!BW56=""), "", "O"&amp;Data!BW56),
            IF('ARDT Cutter Entry'!$C$111&lt;&gt;"",
                IF(OR(
                    COUNTIF('ARDT Cutter Entry'!H71,"*1"), COUNTIF('ARDT Cutter Entry'!H71,"*2"), COUNTIF('ARDT Cutter Entry'!H71,"*3"),
                    COUNTIF('ARDT Cutter Entry'!H71,"*4"), COUNTIF('ARDT Cutter Entry'!H71,"*5"), COUNTIF('ARDT Cutter Entry'!H71,"*6"),
                    COUNTIF('ARDT Cutter Entry'!H71,"*7"), COUNTIF('ARDT Cutter Entry'!H71,"*8"), COUNTIF('ARDT Cutter Entry'!H71,"*9")),
                    'ARDT Cutter Entry'!H71,
                    'ARDT Cutter Entry'!H121),
                IF(OR(
                    COUNTIF('ARDT Cutter Entry'!H14,"*1"), COUNTIF('ARDT Cutter Entry'!H14,"*2"), COUNTIF('ARDT Cutter Entry'!H14,"*3"),
                    COUNTIF('ARDT Cutter Entry'!H14,"*4"), COUNTIF('ARDT Cutter Entry'!H14,"*5"), COUNTIF('ARDT Cutter Entry'!H14,"*6"),
                    COUNTIF('ARDT Cutter Entry'!H14,"*7"), COUNTIF('ARDT Cutter Entry'!H14,"*8"), COUNTIF('ARDT Cutter Entry'!H14,"*9")),
                    'ARDT Cutter Entry'!H14,
                    'ARDT Cutter Entry'!H53)
            )
        ),
        ""
    ),
    _xlpm.Result, IF(_xlpm.URCheck,
        IF(AR80&lt;&gt;"", AR80, _xlpm.Fallback),
        _xlpm.Fallback
    ),
    _xlpm.Result
)</f>
        <v/>
      </c>
      <c r="I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IF(OR(Data!BX56=0, Data!BX56=""), "", "O"&amp;Data!BX56),
            IF('ARDT Cutter Entry'!$C$111&lt;&gt;"",
                IF(OR(
                    COUNTIF('ARDT Cutter Entry'!I71,"*1"), COUNTIF('ARDT Cutter Entry'!I71,"*2"), COUNTIF('ARDT Cutter Entry'!I71,"*3"),
                    COUNTIF('ARDT Cutter Entry'!I71,"*4"), COUNTIF('ARDT Cutter Entry'!I71,"*5"), COUNTIF('ARDT Cutter Entry'!I71,"*6"),
                    COUNTIF('ARDT Cutter Entry'!I71,"*7"), COUNTIF('ARDT Cutter Entry'!I71,"*8"), COUNTIF('ARDT Cutter Entry'!I71,"*9")),
                    'ARDT Cutter Entry'!I71,
                    'ARDT Cutter Entry'!I121),
                IF(OR(
                    COUNTIF('ARDT Cutter Entry'!I14,"*1"), COUNTIF('ARDT Cutter Entry'!I14,"*2"), COUNTIF('ARDT Cutter Entry'!I14,"*3"),
                    COUNTIF('ARDT Cutter Entry'!I14,"*4"), COUNTIF('ARDT Cutter Entry'!I14,"*5"), COUNTIF('ARDT Cutter Entry'!I14,"*6"),
                    COUNTIF('ARDT Cutter Entry'!I14,"*7"), COUNTIF('ARDT Cutter Entry'!I14,"*8"), COUNTIF('ARDT Cutter Entry'!I14,"*9")),
                    'ARDT Cutter Entry'!I14,
                    'ARDT Cutter Entry'!I53)
            )
        ),
        ""
    ),
    _xlpm.Result, IF(_xlpm.URCheck,
        IF(AS80&lt;&gt;"", AS80, _xlpm.Fallback),
        _xlpm.Fallback
    ),
    _xlpm.Result
)</f>
        <v/>
      </c>
      <c r="J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IF(OR(Data!BY56=0, Data!BY56=""), "", "O"&amp;Data!BY56),
            IF('ARDT Cutter Entry'!$C$111&lt;&gt;"",
                IF(OR(
                    COUNTIF('ARDT Cutter Entry'!J71,"*1"), COUNTIF('ARDT Cutter Entry'!J71,"*2"), COUNTIF('ARDT Cutter Entry'!J71,"*3"),
                    COUNTIF('ARDT Cutter Entry'!J71,"*4"), COUNTIF('ARDT Cutter Entry'!J71,"*5"), COUNTIF('ARDT Cutter Entry'!J71,"*6"),
                    COUNTIF('ARDT Cutter Entry'!J71,"*7"), COUNTIF('ARDT Cutter Entry'!J71,"*8"), COUNTIF('ARDT Cutter Entry'!J71,"*9")),
                    'ARDT Cutter Entry'!J71,
                    'ARDT Cutter Entry'!J121),
                IF(OR(
                    COUNTIF('ARDT Cutter Entry'!J14,"*1"), COUNTIF('ARDT Cutter Entry'!J14,"*2"), COUNTIF('ARDT Cutter Entry'!J14,"*3"),
                    COUNTIF('ARDT Cutter Entry'!J14,"*4"), COUNTIF('ARDT Cutter Entry'!J14,"*5"), COUNTIF('ARDT Cutter Entry'!J14,"*6"),
                    COUNTIF('ARDT Cutter Entry'!J14,"*7"), COUNTIF('ARDT Cutter Entry'!J14,"*8"), COUNTIF('ARDT Cutter Entry'!J14,"*9")),
                    'ARDT Cutter Entry'!J14,
                    'ARDT Cutter Entry'!J53)
            )
        ),
        ""
    ),
    _xlpm.Result, IF(_xlpm.URCheck,
        IF(AT80&lt;&gt;"", AT80, _xlpm.Fallback),
        _xlpm.Fallback
    ),
    _xlpm.Result
)</f>
        <v/>
      </c>
      <c r="K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IF(OR(Data!BZ56=0, Data!BZ56=""), "", "O"&amp;Data!BZ56),
            IF('ARDT Cutter Entry'!$C$111&lt;&gt;"",
                IF(OR(
                    COUNTIF('ARDT Cutter Entry'!K71,"*1"), COUNTIF('ARDT Cutter Entry'!K71,"*2"), COUNTIF('ARDT Cutter Entry'!K71,"*3"),
                    COUNTIF('ARDT Cutter Entry'!K71,"*4"), COUNTIF('ARDT Cutter Entry'!K71,"*5"), COUNTIF('ARDT Cutter Entry'!K71,"*6"),
                    COUNTIF('ARDT Cutter Entry'!K71,"*7"), COUNTIF('ARDT Cutter Entry'!K71,"*8"), COUNTIF('ARDT Cutter Entry'!K71,"*9")),
                    'ARDT Cutter Entry'!K71,
                    'ARDT Cutter Entry'!K121),
                IF(OR(
                    COUNTIF('ARDT Cutter Entry'!K14,"*1"), COUNTIF('ARDT Cutter Entry'!K14,"*2"), COUNTIF('ARDT Cutter Entry'!K14,"*3"),
                    COUNTIF('ARDT Cutter Entry'!K14,"*4"), COUNTIF('ARDT Cutter Entry'!K14,"*5"), COUNTIF('ARDT Cutter Entry'!K14,"*6"),
                    COUNTIF('ARDT Cutter Entry'!K14,"*7"), COUNTIF('ARDT Cutter Entry'!K14,"*8"), COUNTIF('ARDT Cutter Entry'!K14,"*9")),
                    'ARDT Cutter Entry'!K14,
                    'ARDT Cutter Entry'!K53)
            )
        ),
        ""
    ),
    _xlpm.Result, IF(_xlpm.URCheck,
        IF(AU80&lt;&gt;"", AU80, _xlpm.Fallback),
        _xlpm.Fallback
    ),
    _xlpm.Result
)</f>
        <v/>
      </c>
      <c r="L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IF(OR(Data!CA56=0, Data!CA56=""), "", "O"&amp;Data!CA56),
            IF('ARDT Cutter Entry'!$C$111&lt;&gt;"",
                IF(OR(
                    COUNTIF('ARDT Cutter Entry'!L71,"*1"), COUNTIF('ARDT Cutter Entry'!L71,"*2"), COUNTIF('ARDT Cutter Entry'!L71,"*3"),
                    COUNTIF('ARDT Cutter Entry'!L71,"*4"), COUNTIF('ARDT Cutter Entry'!L71,"*5"), COUNTIF('ARDT Cutter Entry'!L71,"*6"),
                    COUNTIF('ARDT Cutter Entry'!L71,"*7"), COUNTIF('ARDT Cutter Entry'!L71,"*8"), COUNTIF('ARDT Cutter Entry'!L71,"*9")),
                    'ARDT Cutter Entry'!L71,
                    'ARDT Cutter Entry'!L121),
                IF(OR(
                    COUNTIF('ARDT Cutter Entry'!L14,"*1"), COUNTIF('ARDT Cutter Entry'!L14,"*2"), COUNTIF('ARDT Cutter Entry'!L14,"*3"),
                    COUNTIF('ARDT Cutter Entry'!L14,"*4"), COUNTIF('ARDT Cutter Entry'!L14,"*5"), COUNTIF('ARDT Cutter Entry'!L14,"*6"),
                    COUNTIF('ARDT Cutter Entry'!L14,"*7"), COUNTIF('ARDT Cutter Entry'!L14,"*8"), COUNTIF('ARDT Cutter Entry'!L14,"*9")),
                    'ARDT Cutter Entry'!L14,
                    'ARDT Cutter Entry'!L53)
            )
        ),
        ""
    ),
    _xlpm.Result, IF(_xlpm.URCheck,
        IF(AV80&lt;&gt;"", AV80, _xlpm.Fallback),
        _xlpm.Fallback
    ),
    _xlpm.Result
)</f>
        <v/>
      </c>
      <c r="M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IF(OR(Data!CB56=0, Data!CB56=""), "", "O"&amp;Data!CB56),
            IF('ARDT Cutter Entry'!$C$111&lt;&gt;"",
                IF(OR(
                    COUNTIF('ARDT Cutter Entry'!M71,"*1"), COUNTIF('ARDT Cutter Entry'!M71,"*2"), COUNTIF('ARDT Cutter Entry'!M71,"*3"),
                    COUNTIF('ARDT Cutter Entry'!M71,"*4"), COUNTIF('ARDT Cutter Entry'!M71,"*5"), COUNTIF('ARDT Cutter Entry'!M71,"*6"),
                    COUNTIF('ARDT Cutter Entry'!M71,"*7"), COUNTIF('ARDT Cutter Entry'!M71,"*8"), COUNTIF('ARDT Cutter Entry'!M71,"*9")),
                    'ARDT Cutter Entry'!M71,
                    'ARDT Cutter Entry'!M121),
                IF(OR(
                    COUNTIF('ARDT Cutter Entry'!M14,"*1"), COUNTIF('ARDT Cutter Entry'!M14,"*2"), COUNTIF('ARDT Cutter Entry'!M14,"*3"),
                    COUNTIF('ARDT Cutter Entry'!M14,"*4"), COUNTIF('ARDT Cutter Entry'!M14,"*5"), COUNTIF('ARDT Cutter Entry'!M14,"*6"),
                    COUNTIF('ARDT Cutter Entry'!M14,"*7"), COUNTIF('ARDT Cutter Entry'!M14,"*8"), COUNTIF('ARDT Cutter Entry'!M14,"*9")),
                    'ARDT Cutter Entry'!M14,
                    'ARDT Cutter Entry'!M53)
            )
        ),
        ""
    ),
    _xlpm.Result, IF(_xlpm.URCheck,
        IF(AW80&lt;&gt;"", AW80, _xlpm.Fallback),
        _xlpm.Fallback
    ),
    _xlpm.Result
)</f>
        <v/>
      </c>
      <c r="N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IF(OR(Data!CC56=0, Data!CC56=""), "", "O"&amp;Data!CC56),
            IF('ARDT Cutter Entry'!$C$111&lt;&gt;"",
                IF(OR(
                    COUNTIF('ARDT Cutter Entry'!N71,"*1"), COUNTIF('ARDT Cutter Entry'!N71,"*2"), COUNTIF('ARDT Cutter Entry'!N71,"*3"),
                    COUNTIF('ARDT Cutter Entry'!N71,"*4"), COUNTIF('ARDT Cutter Entry'!N71,"*5"), COUNTIF('ARDT Cutter Entry'!N71,"*6"),
                    COUNTIF('ARDT Cutter Entry'!N71,"*7"), COUNTIF('ARDT Cutter Entry'!N71,"*8"), COUNTIF('ARDT Cutter Entry'!N71,"*9")),
                    'ARDT Cutter Entry'!N71,
                    'ARDT Cutter Entry'!N121),
                IF(OR(
                    COUNTIF('ARDT Cutter Entry'!N14,"*1"), COUNTIF('ARDT Cutter Entry'!N14,"*2"), COUNTIF('ARDT Cutter Entry'!N14,"*3"),
                    COUNTIF('ARDT Cutter Entry'!N14,"*4"), COUNTIF('ARDT Cutter Entry'!N14,"*5"), COUNTIF('ARDT Cutter Entry'!N14,"*6"),
                    COUNTIF('ARDT Cutter Entry'!N14,"*7"), COUNTIF('ARDT Cutter Entry'!N14,"*8"), COUNTIF('ARDT Cutter Entry'!N14,"*9")),
                    'ARDT Cutter Entry'!N14,
                    'ARDT Cutter Entry'!N53)
            )
        ),
        ""
    ),
    _xlpm.Result, IF(_xlpm.URCheck,
        IF(AX80&lt;&gt;"", AX80, _xlpm.Fallback),
        _xlpm.Fallback
    ),
    _xlpm.Result
)</f>
        <v/>
      </c>
      <c r="O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IF(OR(Data!CD56=0, Data!CD56=""), "", "O"&amp;Data!CD56),
            IF('ARDT Cutter Entry'!$C$111&lt;&gt;"",
                IF(OR(
                    COUNTIF('ARDT Cutter Entry'!O71,"*1"), COUNTIF('ARDT Cutter Entry'!O71,"*2"), COUNTIF('ARDT Cutter Entry'!O71,"*3"),
                    COUNTIF('ARDT Cutter Entry'!O71,"*4"), COUNTIF('ARDT Cutter Entry'!O71,"*5"), COUNTIF('ARDT Cutter Entry'!O71,"*6"),
                    COUNTIF('ARDT Cutter Entry'!O71,"*7"), COUNTIF('ARDT Cutter Entry'!O71,"*8"), COUNTIF('ARDT Cutter Entry'!O71,"*9")),
                    'ARDT Cutter Entry'!O71,
                    'ARDT Cutter Entry'!O121),
                IF(OR(
                    COUNTIF('ARDT Cutter Entry'!O14,"*1"), COUNTIF('ARDT Cutter Entry'!O14,"*2"), COUNTIF('ARDT Cutter Entry'!O14,"*3"),
                    COUNTIF('ARDT Cutter Entry'!O14,"*4"), COUNTIF('ARDT Cutter Entry'!O14,"*5"), COUNTIF('ARDT Cutter Entry'!O14,"*6"),
                    COUNTIF('ARDT Cutter Entry'!O14,"*7"), COUNTIF('ARDT Cutter Entry'!O14,"*8"), COUNTIF('ARDT Cutter Entry'!O14,"*9")),
                    'ARDT Cutter Entry'!O14,
                    'ARDT Cutter Entry'!O53)
            )
        ),
        ""
    ),
    _xlpm.Result, IF(_xlpm.URCheck,
        IF(AY80&lt;&gt;"", AY80, _xlpm.Fallback),
        _xlpm.Fallback
    ),
    _xlpm.Result
)</f>
        <v/>
      </c>
      <c r="P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IF(OR(Data!CE56=0, Data!CE56=""), "", "O"&amp;Data!CE56),
            IF('ARDT Cutter Entry'!$C$111&lt;&gt;"",
                IF(OR(
                    COUNTIF('ARDT Cutter Entry'!P71,"*1"), COUNTIF('ARDT Cutter Entry'!P71,"*2"), COUNTIF('ARDT Cutter Entry'!P71,"*3"),
                    COUNTIF('ARDT Cutter Entry'!P71,"*4"), COUNTIF('ARDT Cutter Entry'!P71,"*5"), COUNTIF('ARDT Cutter Entry'!P71,"*6"),
                    COUNTIF('ARDT Cutter Entry'!P71,"*7"), COUNTIF('ARDT Cutter Entry'!P71,"*8"), COUNTIF('ARDT Cutter Entry'!P71,"*9")),
                    'ARDT Cutter Entry'!P71,
                    'ARDT Cutter Entry'!P121),
                IF(OR(
                    COUNTIF('ARDT Cutter Entry'!P14,"*1"), COUNTIF('ARDT Cutter Entry'!P14,"*2"), COUNTIF('ARDT Cutter Entry'!P14,"*3"),
                    COUNTIF('ARDT Cutter Entry'!P14,"*4"), COUNTIF('ARDT Cutter Entry'!P14,"*5"), COUNTIF('ARDT Cutter Entry'!P14,"*6"),
                    COUNTIF('ARDT Cutter Entry'!P14,"*7"), COUNTIF('ARDT Cutter Entry'!P14,"*8"), COUNTIF('ARDT Cutter Entry'!P14,"*9")),
                    'ARDT Cutter Entry'!P14,
                    'ARDT Cutter Entry'!P53)
            )
        ),
        ""
    ),
    _xlpm.Result, IF(_xlpm.URCheck,
        IF(AZ80&lt;&gt;"", AZ80, _xlpm.Fallback),
        _xlpm.Fallback
    ),
    _xlpm.Result
)</f>
        <v/>
      </c>
      <c r="Q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IF(OR(Data!CF56=0, Data!CF56=""), "", "O"&amp;Data!CF56),
            IF('ARDT Cutter Entry'!$C$111&lt;&gt;"",
                IF(OR(
                    COUNTIF('ARDT Cutter Entry'!Q71,"*1"), COUNTIF('ARDT Cutter Entry'!Q71,"*2"), COUNTIF('ARDT Cutter Entry'!Q71,"*3"),
                    COUNTIF('ARDT Cutter Entry'!Q71,"*4"), COUNTIF('ARDT Cutter Entry'!Q71,"*5"), COUNTIF('ARDT Cutter Entry'!Q71,"*6"),
                    COUNTIF('ARDT Cutter Entry'!Q71,"*7"), COUNTIF('ARDT Cutter Entry'!Q71,"*8"), COUNTIF('ARDT Cutter Entry'!Q71,"*9")),
                    'ARDT Cutter Entry'!Q71,
                    'ARDT Cutter Entry'!Q121),
                IF(OR(
                    COUNTIF('ARDT Cutter Entry'!Q14,"*1"), COUNTIF('ARDT Cutter Entry'!Q14,"*2"), COUNTIF('ARDT Cutter Entry'!Q14,"*3"),
                    COUNTIF('ARDT Cutter Entry'!Q14,"*4"), COUNTIF('ARDT Cutter Entry'!Q14,"*5"), COUNTIF('ARDT Cutter Entry'!Q14,"*6"),
                    COUNTIF('ARDT Cutter Entry'!Q14,"*7"), COUNTIF('ARDT Cutter Entry'!Q14,"*8"), COUNTIF('ARDT Cutter Entry'!Q14,"*9")),
                    'ARDT Cutter Entry'!Q14,
                    'ARDT Cutter Entry'!Q53)
            )
        ),
        ""
    ),
    _xlpm.Result, IF(_xlpm.URCheck,
        IF(BA80&lt;&gt;"", BA80, _xlpm.Fallback),
        _xlpm.Fallback
    ),
    _xlpm.Result
)</f>
        <v/>
      </c>
      <c r="R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IF(OR(Data!CG56=0, Data!CG56=""), "", "O"&amp;Data!CG56),
            IF('ARDT Cutter Entry'!$C$111&lt;&gt;"",
                IF(OR(
                    COUNTIF('ARDT Cutter Entry'!R71,"*1"), COUNTIF('ARDT Cutter Entry'!R71,"*2"), COUNTIF('ARDT Cutter Entry'!R71,"*3"),
                    COUNTIF('ARDT Cutter Entry'!R71,"*4"), COUNTIF('ARDT Cutter Entry'!R71,"*5"), COUNTIF('ARDT Cutter Entry'!R71,"*6"),
                    COUNTIF('ARDT Cutter Entry'!R71,"*7"), COUNTIF('ARDT Cutter Entry'!R71,"*8"), COUNTIF('ARDT Cutter Entry'!R71,"*9")),
                    'ARDT Cutter Entry'!R71,
                    'ARDT Cutter Entry'!R121),
                IF(OR(
                    COUNTIF('ARDT Cutter Entry'!R14,"*1"), COUNTIF('ARDT Cutter Entry'!R14,"*2"), COUNTIF('ARDT Cutter Entry'!R14,"*3"),
                    COUNTIF('ARDT Cutter Entry'!R14,"*4"), COUNTIF('ARDT Cutter Entry'!R14,"*5"), COUNTIF('ARDT Cutter Entry'!R14,"*6"),
                    COUNTIF('ARDT Cutter Entry'!R14,"*7"), COUNTIF('ARDT Cutter Entry'!R14,"*8"), COUNTIF('ARDT Cutter Entry'!R14,"*9")),
                    'ARDT Cutter Entry'!R14,
                    'ARDT Cutter Entry'!R53)
            )
        ),
        ""
    ),
    _xlpm.Result, IF(_xlpm.URCheck,
        IF(BB80&lt;&gt;"", BB80, _xlpm.Fallback),
        _xlpm.Fallback
    ),
    _xlpm.Result
)</f>
        <v/>
      </c>
      <c r="S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IF(OR(Data!CH56=0, Data!CH56=""), "", "O"&amp;Data!CH56),
            IF('ARDT Cutter Entry'!$C$111&lt;&gt;"",
                IF(OR(
                    COUNTIF('ARDT Cutter Entry'!S71,"*1"), COUNTIF('ARDT Cutter Entry'!S71,"*2"), COUNTIF('ARDT Cutter Entry'!S71,"*3"),
                    COUNTIF('ARDT Cutter Entry'!S71,"*4"), COUNTIF('ARDT Cutter Entry'!S71,"*5"), COUNTIF('ARDT Cutter Entry'!S71,"*6"),
                    COUNTIF('ARDT Cutter Entry'!S71,"*7"), COUNTIF('ARDT Cutter Entry'!S71,"*8"), COUNTIF('ARDT Cutter Entry'!S71,"*9")),
                    'ARDT Cutter Entry'!S71,
                    'ARDT Cutter Entry'!S121),
                IF(OR(
                    COUNTIF('ARDT Cutter Entry'!S14,"*1"), COUNTIF('ARDT Cutter Entry'!S14,"*2"), COUNTIF('ARDT Cutter Entry'!S14,"*3"),
                    COUNTIF('ARDT Cutter Entry'!S14,"*4"), COUNTIF('ARDT Cutter Entry'!S14,"*5"), COUNTIF('ARDT Cutter Entry'!S14,"*6"),
                    COUNTIF('ARDT Cutter Entry'!S14,"*7"), COUNTIF('ARDT Cutter Entry'!S14,"*8"), COUNTIF('ARDT Cutter Entry'!S14,"*9")),
                    'ARDT Cutter Entry'!S14,
                    'ARDT Cutter Entry'!S53)
            )
        ),
        ""
    ),
    _xlpm.Result, IF(_xlpm.URCheck,
        IF(BC80&lt;&gt;"", BC80, _xlpm.Fallback),
        _xlpm.Fallback
    ),
    _xlpm.Result
)</f>
        <v/>
      </c>
      <c r="T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IF(OR(Data!CI56=0, Data!CI56=""), "", "O"&amp;Data!CI56),
            IF('ARDT Cutter Entry'!$C$111&lt;&gt;"",
                IF(OR(
                    COUNTIF('ARDT Cutter Entry'!T71,"*1"), COUNTIF('ARDT Cutter Entry'!T71,"*2"), COUNTIF('ARDT Cutter Entry'!T71,"*3"),
                    COUNTIF('ARDT Cutter Entry'!T71,"*4"), COUNTIF('ARDT Cutter Entry'!T71,"*5"), COUNTIF('ARDT Cutter Entry'!T71,"*6"),
                    COUNTIF('ARDT Cutter Entry'!T71,"*7"), COUNTIF('ARDT Cutter Entry'!T71,"*8"), COUNTIF('ARDT Cutter Entry'!T71,"*9")),
                    'ARDT Cutter Entry'!T71,
                    'ARDT Cutter Entry'!T121),
                IF(OR(
                    COUNTIF('ARDT Cutter Entry'!T14,"*1"), COUNTIF('ARDT Cutter Entry'!T14,"*2"), COUNTIF('ARDT Cutter Entry'!T14,"*3"),
                    COUNTIF('ARDT Cutter Entry'!T14,"*4"), COUNTIF('ARDT Cutter Entry'!T14,"*5"), COUNTIF('ARDT Cutter Entry'!T14,"*6"),
                    COUNTIF('ARDT Cutter Entry'!T14,"*7"), COUNTIF('ARDT Cutter Entry'!T14,"*8"), COUNTIF('ARDT Cutter Entry'!T14,"*9")),
                    'ARDT Cutter Entry'!T14,
                    'ARDT Cutter Entry'!T53)
            )
        ),
        ""
    ),
    _xlpm.Result, IF(_xlpm.URCheck,
        IF(BD80&lt;&gt;"", BD80, _xlpm.Fallback),
        _xlpm.Fallback
    ),
    _xlpm.Result
)</f>
        <v/>
      </c>
      <c r="U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IF(OR(Data!CJ56=0, Data!CJ56=""), "", "O"&amp;Data!CJ56),
            IF('ARDT Cutter Entry'!$C$111&lt;&gt;"",
                IF(OR(
                    COUNTIF('ARDT Cutter Entry'!U71,"*1"), COUNTIF('ARDT Cutter Entry'!U71,"*2"), COUNTIF('ARDT Cutter Entry'!U71,"*3"),
                    COUNTIF('ARDT Cutter Entry'!U71,"*4"), COUNTIF('ARDT Cutter Entry'!U71,"*5"), COUNTIF('ARDT Cutter Entry'!U71,"*6"),
                    COUNTIF('ARDT Cutter Entry'!U71,"*7"), COUNTIF('ARDT Cutter Entry'!U71,"*8"), COUNTIF('ARDT Cutter Entry'!U71,"*9")),
                    'ARDT Cutter Entry'!U71,
                    'ARDT Cutter Entry'!U121),
                IF(OR(
                    COUNTIF('ARDT Cutter Entry'!U14,"*1"), COUNTIF('ARDT Cutter Entry'!U14,"*2"), COUNTIF('ARDT Cutter Entry'!U14,"*3"),
                    COUNTIF('ARDT Cutter Entry'!U14,"*4"), COUNTIF('ARDT Cutter Entry'!U14,"*5"), COUNTIF('ARDT Cutter Entry'!U14,"*6"),
                    COUNTIF('ARDT Cutter Entry'!U14,"*7"), COUNTIF('ARDT Cutter Entry'!U14,"*8"), COUNTIF('ARDT Cutter Entry'!U14,"*9")),
                    'ARDT Cutter Entry'!U14,
                    'ARDT Cutter Entry'!U53)
            )
        ),
        ""
    ),
    _xlpm.Result, IF(_xlpm.URCheck,
        IF(BE80&lt;&gt;"", BE80, _xlpm.Fallback),
        _xlpm.Fallback
    ),
    _xlpm.Result
)</f>
        <v/>
      </c>
      <c r="V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IF(OR(Data!CK56=0, Data!CK56=""), "", "O"&amp;Data!CK56),
            IF('ARDT Cutter Entry'!$C$111&lt;&gt;"",
                IF(OR(
                    COUNTIF('ARDT Cutter Entry'!V71,"*1"), COUNTIF('ARDT Cutter Entry'!V71,"*2"), COUNTIF('ARDT Cutter Entry'!V71,"*3"),
                    COUNTIF('ARDT Cutter Entry'!V71,"*4"), COUNTIF('ARDT Cutter Entry'!V71,"*5"), COUNTIF('ARDT Cutter Entry'!V71,"*6"),
                    COUNTIF('ARDT Cutter Entry'!V71,"*7"), COUNTIF('ARDT Cutter Entry'!V71,"*8"), COUNTIF('ARDT Cutter Entry'!V71,"*9")),
                    'ARDT Cutter Entry'!V71,
                    'ARDT Cutter Entry'!V121),
                IF(OR(
                    COUNTIF('ARDT Cutter Entry'!V14,"*1"), COUNTIF('ARDT Cutter Entry'!V14,"*2"), COUNTIF('ARDT Cutter Entry'!V14,"*3"),
                    COUNTIF('ARDT Cutter Entry'!V14,"*4"), COUNTIF('ARDT Cutter Entry'!V14,"*5"), COUNTIF('ARDT Cutter Entry'!V14,"*6"),
                    COUNTIF('ARDT Cutter Entry'!V14,"*7"), COUNTIF('ARDT Cutter Entry'!V14,"*8"), COUNTIF('ARDT Cutter Entry'!V14,"*9")),
                    'ARDT Cutter Entry'!V14,
                    'ARDT Cutter Entry'!V53)
            )
        ),
        ""
    ),
    _xlpm.Result, IF(_xlpm.URCheck,
        IF(BF80&lt;&gt;"", BF80, _xlpm.Fallback),
        _xlpm.Fallback
    ),
    _xlpm.Result
)</f>
        <v/>
      </c>
      <c r="W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IF(OR(Data!CL56=0, Data!CL56=""), "", "O"&amp;Data!CL56),
            IF('ARDT Cutter Entry'!$C$111&lt;&gt;"",
                IF(OR(
                    COUNTIF('ARDT Cutter Entry'!W71,"*1"), COUNTIF('ARDT Cutter Entry'!W71,"*2"), COUNTIF('ARDT Cutter Entry'!W71,"*3"),
                    COUNTIF('ARDT Cutter Entry'!W71,"*4"), COUNTIF('ARDT Cutter Entry'!W71,"*5"), COUNTIF('ARDT Cutter Entry'!W71,"*6"),
                    COUNTIF('ARDT Cutter Entry'!W71,"*7"), COUNTIF('ARDT Cutter Entry'!W71,"*8"), COUNTIF('ARDT Cutter Entry'!W71,"*9")),
                    'ARDT Cutter Entry'!W71,
                    'ARDT Cutter Entry'!W121),
                IF(OR(
                    COUNTIF('ARDT Cutter Entry'!W14,"*1"), COUNTIF('ARDT Cutter Entry'!W14,"*2"), COUNTIF('ARDT Cutter Entry'!W14,"*3"),
                    COUNTIF('ARDT Cutter Entry'!W14,"*4"), COUNTIF('ARDT Cutter Entry'!W14,"*5"), COUNTIF('ARDT Cutter Entry'!W14,"*6"),
                    COUNTIF('ARDT Cutter Entry'!W14,"*7"), COUNTIF('ARDT Cutter Entry'!W14,"*8"), COUNTIF('ARDT Cutter Entry'!W14,"*9")),
                    'ARDT Cutter Entry'!W14,
                    'ARDT Cutter Entry'!W53)
            )
        ),
        ""
    ),
    _xlpm.Result, IF(_xlpm.URCheck,
        IF(BG80&lt;&gt;"", BG80, _xlpm.Fallback),
        _xlpm.Fallback
    ),
    _xlpm.Result
)</f>
        <v/>
      </c>
      <c r="X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IF(OR(Data!CM56=0, Data!CM56=""), "", "O"&amp;Data!CM56),
            IF('ARDT Cutter Entry'!$C$111&lt;&gt;"",
                IF(OR(
                    COUNTIF('ARDT Cutter Entry'!X71,"*1"), COUNTIF('ARDT Cutter Entry'!X71,"*2"), COUNTIF('ARDT Cutter Entry'!X71,"*3"),
                    COUNTIF('ARDT Cutter Entry'!X71,"*4"), COUNTIF('ARDT Cutter Entry'!X71,"*5"), COUNTIF('ARDT Cutter Entry'!X71,"*6"),
                    COUNTIF('ARDT Cutter Entry'!X71,"*7"), COUNTIF('ARDT Cutter Entry'!X71,"*8"), COUNTIF('ARDT Cutter Entry'!X71,"*9")),
                    'ARDT Cutter Entry'!X71,
                    'ARDT Cutter Entry'!X121),
                IF(OR(
                    COUNTIF('ARDT Cutter Entry'!X14,"*1"), COUNTIF('ARDT Cutter Entry'!X14,"*2"), COUNTIF('ARDT Cutter Entry'!X14,"*3"),
                    COUNTIF('ARDT Cutter Entry'!X14,"*4"), COUNTIF('ARDT Cutter Entry'!X14,"*5"), COUNTIF('ARDT Cutter Entry'!X14,"*6"),
                    COUNTIF('ARDT Cutter Entry'!X14,"*7"), COUNTIF('ARDT Cutter Entry'!X14,"*8"), COUNTIF('ARDT Cutter Entry'!X14,"*9")),
                    'ARDT Cutter Entry'!X14,
                    'ARDT Cutter Entry'!X53)
            )
        ),
        ""
    ),
    _xlpm.Result, IF(_xlpm.URCheck,
        IF(BH80&lt;&gt;"", BH80, _xlpm.Fallback),
        _xlpm.Fallback
    ),
    _xlpm.Result
)</f>
        <v/>
      </c>
      <c r="Y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IF(OR(Data!CN56=0, Data!CN56=""), "", "O"&amp;Data!CN56),
            IF('ARDT Cutter Entry'!$C$111&lt;&gt;"",
                IF(OR(
                    COUNTIF('ARDT Cutter Entry'!Y71,"*1"), COUNTIF('ARDT Cutter Entry'!Y71,"*2"), COUNTIF('ARDT Cutter Entry'!Y71,"*3"),
                    COUNTIF('ARDT Cutter Entry'!Y71,"*4"), COUNTIF('ARDT Cutter Entry'!Y71,"*5"), COUNTIF('ARDT Cutter Entry'!Y71,"*6"),
                    COUNTIF('ARDT Cutter Entry'!Y71,"*7"), COUNTIF('ARDT Cutter Entry'!Y71,"*8"), COUNTIF('ARDT Cutter Entry'!Y71,"*9")),
                    'ARDT Cutter Entry'!Y71,
                    'ARDT Cutter Entry'!Y121),
                IF(OR(
                    COUNTIF('ARDT Cutter Entry'!Y14,"*1"), COUNTIF('ARDT Cutter Entry'!Y14,"*2"), COUNTIF('ARDT Cutter Entry'!Y14,"*3"),
                    COUNTIF('ARDT Cutter Entry'!Y14,"*4"), COUNTIF('ARDT Cutter Entry'!Y14,"*5"), COUNTIF('ARDT Cutter Entry'!Y14,"*6"),
                    COUNTIF('ARDT Cutter Entry'!Y14,"*7"), COUNTIF('ARDT Cutter Entry'!Y14,"*8"), COUNTIF('ARDT Cutter Entry'!Y14,"*9")),
                    'ARDT Cutter Entry'!Y14,
                    'ARDT Cutter Entry'!Y53)
            )
        ),
        ""
    ),
    _xlpm.Result, IF(_xlpm.URCheck,
        IF(BI80&lt;&gt;"", BI80, _xlpm.Fallback),
        _xlpm.Fallback
    ),
    _xlpm.Result
)</f>
        <v/>
      </c>
      <c r="Z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IF(OR(Data!CO56=0, Data!CO56=""), "", "O"&amp;Data!CO56),
            IF('ARDT Cutter Entry'!$C$111&lt;&gt;"",
                IF(OR(
                    COUNTIF('ARDT Cutter Entry'!Z71,"*1"), COUNTIF('ARDT Cutter Entry'!Z71,"*2"), COUNTIF('ARDT Cutter Entry'!Z71,"*3"),
                    COUNTIF('ARDT Cutter Entry'!Z71,"*4"), COUNTIF('ARDT Cutter Entry'!Z71,"*5"), COUNTIF('ARDT Cutter Entry'!Z71,"*6"),
                    COUNTIF('ARDT Cutter Entry'!Z71,"*7"), COUNTIF('ARDT Cutter Entry'!Z71,"*8"), COUNTIF('ARDT Cutter Entry'!Z71,"*9")),
                    'ARDT Cutter Entry'!Z71,
                    'ARDT Cutter Entry'!Z121),
                IF(OR(
                    COUNTIF('ARDT Cutter Entry'!Z14,"*1"), COUNTIF('ARDT Cutter Entry'!Z14,"*2"), COUNTIF('ARDT Cutter Entry'!Z14,"*3"),
                    COUNTIF('ARDT Cutter Entry'!Z14,"*4"), COUNTIF('ARDT Cutter Entry'!Z14,"*5"), COUNTIF('ARDT Cutter Entry'!Z14,"*6"),
                    COUNTIF('ARDT Cutter Entry'!Z14,"*7"), COUNTIF('ARDT Cutter Entry'!Z14,"*8"), COUNTIF('ARDT Cutter Entry'!Z14,"*9")),
                    'ARDT Cutter Entry'!Z14,
                    'ARDT Cutter Entry'!Z53)
            )
        ),
        ""
    ),
    _xlpm.Result, IF(_xlpm.URCheck,
        IF(BJ80&lt;&gt;"", BJ80, _xlpm.Fallback),
        _xlpm.Fallback
    ),
    _xlpm.Result
)</f>
        <v/>
      </c>
      <c r="AA27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IF(OR(Data!CP56=0, Data!CP56=""), "", "O"&amp;Data!CP56),
            IF('ARDT Cutter Entry'!$C$111&lt;&gt;"",
                IF(OR(
                    COUNTIF('ARDT Cutter Entry'!AA71,"*1"), COUNTIF('ARDT Cutter Entry'!AA71,"*2"), COUNTIF('ARDT Cutter Entry'!AA71,"*3"),
                    COUNTIF('ARDT Cutter Entry'!AA71,"*4"), COUNTIF('ARDT Cutter Entry'!AA71,"*5"), COUNTIF('ARDT Cutter Entry'!AA71,"*6"),
                    COUNTIF('ARDT Cutter Entry'!AA71,"*7"), COUNTIF('ARDT Cutter Entry'!AA71,"*8"), COUNTIF('ARDT Cutter Entry'!AA71,"*9")),
                    'ARDT Cutter Entry'!AA71,
                    'ARDT Cutter Entry'!AA121),
                IF(OR(
                    COUNTIF('ARDT Cutter Entry'!AA14,"*1"), COUNTIF('ARDT Cutter Entry'!AA14,"*2"), COUNTIF('ARDT Cutter Entry'!AA14,"*3"),
                    COUNTIF('ARDT Cutter Entry'!AA14,"*4"), COUNTIF('ARDT Cutter Entry'!AA14,"*5"), COUNTIF('ARDT Cutter Entry'!AA14,"*6"),
                    COUNTIF('ARDT Cutter Entry'!AA14,"*7"), COUNTIF('ARDT Cutter Entry'!AA14,"*8"), COUNTIF('ARDT Cutter Entry'!AA14,"*9")),
                    'ARDT Cutter Entry'!AA14,
                    'ARDT Cutter Entry'!AA53)
            )
        ),
        ""
    ),
    _xlpm.Result, IF(_xlpm.URCheck,
        IF(BK80&lt;&gt;"", BK80, _xlpm.Fallback),
        _xlpm.Fallback
    ),
    _xlpm.Result
)</f>
        <v/>
      </c>
    </row>
    <row r="28" spans="1:27" ht="18.75" customHeight="1" thickBot="1" x14ac:dyDescent="0.4">
      <c r="A28" s="1424"/>
      <c r="B28" s="483">
        <v>12</v>
      </c>
      <c r="C28" s="249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IF(OR(Data!BR57=0, Data!BR57=""), "", "O"&amp;Data!BR57),
            IF('ARDT Cutter Entry'!$C$111&lt;&gt;"",
                IF(OR(
                    COUNTIF('ARDT Cutter Entry'!C72,"*1"), COUNTIF('ARDT Cutter Entry'!C72,"*2"), COUNTIF('ARDT Cutter Entry'!C72,"*3"),
                    COUNTIF('ARDT Cutter Entry'!C72,"*4"), COUNTIF('ARDT Cutter Entry'!C72,"*5"), COUNTIF('ARDT Cutter Entry'!C72,"*6"),
                    COUNTIF('ARDT Cutter Entry'!C72,"*7"), COUNTIF('ARDT Cutter Entry'!C72,"*8"), COUNTIF('ARDT Cutter Entry'!C72,"*9")),
                    'ARDT Cutter Entry'!C72,
                    'ARDT Cutter Entry'!C122),
                IF(OR(
                    COUNTIF('ARDT Cutter Entry'!C15,"*1"), COUNTIF('ARDT Cutter Entry'!C15,"*2"), COUNTIF('ARDT Cutter Entry'!C15,"*3"),
                    COUNTIF('ARDT Cutter Entry'!C15,"*4"), COUNTIF('ARDT Cutter Entry'!C15,"*5"), COUNTIF('ARDT Cutter Entry'!C15,"*6"),
                    COUNTIF('ARDT Cutter Entry'!C15,"*7"), COUNTIF('ARDT Cutter Entry'!C15,"*8"), COUNTIF('ARDT Cutter Entry'!C15,"*9")),
                    'ARDT Cutter Entry'!C15,
                    'ARDT Cutter Entry'!C54)
            )
        ),
        ""
    ),
    _xlpm.Result, IF(_xlpm.URCheck,
        IF(AM81&lt;&gt;"", AM81, _xlpm.Fallback),
        _xlpm.Fallback
    ),
    _xlpm.Result
)</f>
        <v/>
      </c>
      <c r="D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IF(OR(Data!BS57=0, Data!BS57=""), "", "O"&amp;Data!BS57),
            IF('ARDT Cutter Entry'!$C$111&lt;&gt;"",
                IF(OR(
                    COUNTIF('ARDT Cutter Entry'!D72,"*1"), COUNTIF('ARDT Cutter Entry'!D72,"*2"), COUNTIF('ARDT Cutter Entry'!D72,"*3"),
                    COUNTIF('ARDT Cutter Entry'!D72,"*4"), COUNTIF('ARDT Cutter Entry'!D72,"*5"), COUNTIF('ARDT Cutter Entry'!D72,"*6"),
                    COUNTIF('ARDT Cutter Entry'!D72,"*7"), COUNTIF('ARDT Cutter Entry'!D72,"*8"), COUNTIF('ARDT Cutter Entry'!D72,"*9")),
                    'ARDT Cutter Entry'!D72,
                    'ARDT Cutter Entry'!D122),
                IF(OR(
                    COUNTIF('ARDT Cutter Entry'!D15,"*1"), COUNTIF('ARDT Cutter Entry'!D15,"*2"), COUNTIF('ARDT Cutter Entry'!D15,"*3"),
                    COUNTIF('ARDT Cutter Entry'!D15,"*4"), COUNTIF('ARDT Cutter Entry'!D15,"*5"), COUNTIF('ARDT Cutter Entry'!D15,"*6"),
                    COUNTIF('ARDT Cutter Entry'!D15,"*7"), COUNTIF('ARDT Cutter Entry'!D15,"*8"), COUNTIF('ARDT Cutter Entry'!D15,"*9")),
                    'ARDT Cutter Entry'!D15,
                    'ARDT Cutter Entry'!D54)
            )
        ),
        ""
    ),
    _xlpm.Result, IF(_xlpm.URCheck,
        IF(AN81&lt;&gt;"", AN81, _xlpm.Fallback),
        _xlpm.Fallback
    ),
    _xlpm.Result
)</f>
        <v/>
      </c>
      <c r="E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IF(OR(Data!BT57=0, Data!BT57=""), "", "O"&amp;Data!BT57),
            IF('ARDT Cutter Entry'!$C$111&lt;&gt;"",
                IF(OR(
                    COUNTIF('ARDT Cutter Entry'!E72,"*1"), COUNTIF('ARDT Cutter Entry'!E72,"*2"), COUNTIF('ARDT Cutter Entry'!E72,"*3"),
                    COUNTIF('ARDT Cutter Entry'!E72,"*4"), COUNTIF('ARDT Cutter Entry'!E72,"*5"), COUNTIF('ARDT Cutter Entry'!E72,"*6"),
                    COUNTIF('ARDT Cutter Entry'!E72,"*7"), COUNTIF('ARDT Cutter Entry'!E72,"*8"), COUNTIF('ARDT Cutter Entry'!E72,"*9")),
                    'ARDT Cutter Entry'!E72,
                    'ARDT Cutter Entry'!E122),
                IF(OR(
                    COUNTIF('ARDT Cutter Entry'!E15,"*1"), COUNTIF('ARDT Cutter Entry'!E15,"*2"), COUNTIF('ARDT Cutter Entry'!E15,"*3"),
                    COUNTIF('ARDT Cutter Entry'!E15,"*4"), COUNTIF('ARDT Cutter Entry'!E15,"*5"), COUNTIF('ARDT Cutter Entry'!E15,"*6"),
                    COUNTIF('ARDT Cutter Entry'!E15,"*7"), COUNTIF('ARDT Cutter Entry'!E15,"*8"), COUNTIF('ARDT Cutter Entry'!E15,"*9")),
                    'ARDT Cutter Entry'!E15,
                    'ARDT Cutter Entry'!E54)
            )
        ),
        ""
    ),
    _xlpm.Result, IF(_xlpm.URCheck,
        IF(AO81&lt;&gt;"", AO81, _xlpm.Fallback),
        _xlpm.Fallback
    ),
    _xlpm.Result
)</f>
        <v/>
      </c>
      <c r="F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IF(OR(Data!BU57=0, Data!BU57=""), "", "O"&amp;Data!BU57),
            IF('ARDT Cutter Entry'!$C$111&lt;&gt;"",
                IF(OR(
                    COUNTIF('ARDT Cutter Entry'!F72,"*1"), COUNTIF('ARDT Cutter Entry'!F72,"*2"), COUNTIF('ARDT Cutter Entry'!F72,"*3"),
                    COUNTIF('ARDT Cutter Entry'!F72,"*4"), COUNTIF('ARDT Cutter Entry'!F72,"*5"), COUNTIF('ARDT Cutter Entry'!F72,"*6"),
                    COUNTIF('ARDT Cutter Entry'!F72,"*7"), COUNTIF('ARDT Cutter Entry'!F72,"*8"), COUNTIF('ARDT Cutter Entry'!F72,"*9")),
                    'ARDT Cutter Entry'!F72,
                    'ARDT Cutter Entry'!F122),
                IF(OR(
                    COUNTIF('ARDT Cutter Entry'!F15,"*1"), COUNTIF('ARDT Cutter Entry'!F15,"*2"), COUNTIF('ARDT Cutter Entry'!F15,"*3"),
                    COUNTIF('ARDT Cutter Entry'!F15,"*4"), COUNTIF('ARDT Cutter Entry'!F15,"*5"), COUNTIF('ARDT Cutter Entry'!F15,"*6"),
                    COUNTIF('ARDT Cutter Entry'!F15,"*7"), COUNTIF('ARDT Cutter Entry'!F15,"*8"), COUNTIF('ARDT Cutter Entry'!F15,"*9")),
                    'ARDT Cutter Entry'!F15,
                    'ARDT Cutter Entry'!F54)
            )
        ),
        ""
    ),
    _xlpm.Result, IF(_xlpm.URCheck,
        IF(AP81&lt;&gt;"", AP81, _xlpm.Fallback),
        _xlpm.Fallback
    ),
    _xlpm.Result
)</f>
        <v/>
      </c>
      <c r="G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IF(OR(Data!BV57=0, Data!BV57=""), "", "O"&amp;Data!BV57),
            IF('ARDT Cutter Entry'!$C$111&lt;&gt;"",
                IF(OR(
                    COUNTIF('ARDT Cutter Entry'!G72,"*1"), COUNTIF('ARDT Cutter Entry'!G72,"*2"), COUNTIF('ARDT Cutter Entry'!G72,"*3"),
                    COUNTIF('ARDT Cutter Entry'!G72,"*4"), COUNTIF('ARDT Cutter Entry'!G72,"*5"), COUNTIF('ARDT Cutter Entry'!G72,"*6"),
                    COUNTIF('ARDT Cutter Entry'!G72,"*7"), COUNTIF('ARDT Cutter Entry'!G72,"*8"), COUNTIF('ARDT Cutter Entry'!G72,"*9")),
                    'ARDT Cutter Entry'!G72,
                    'ARDT Cutter Entry'!G122),
                IF(OR(
                    COUNTIF('ARDT Cutter Entry'!G15,"*1"), COUNTIF('ARDT Cutter Entry'!G15,"*2"), COUNTIF('ARDT Cutter Entry'!G15,"*3"),
                    COUNTIF('ARDT Cutter Entry'!G15,"*4"), COUNTIF('ARDT Cutter Entry'!G15,"*5"), COUNTIF('ARDT Cutter Entry'!G15,"*6"),
                    COUNTIF('ARDT Cutter Entry'!G15,"*7"), COUNTIF('ARDT Cutter Entry'!G15,"*8"), COUNTIF('ARDT Cutter Entry'!G15,"*9")),
                    'ARDT Cutter Entry'!G15,
                    'ARDT Cutter Entry'!G54)
            )
        ),
        ""
    ),
    _xlpm.Result, IF(_xlpm.URCheck,
        IF(AQ81&lt;&gt;"", AQ81, _xlpm.Fallback),
        _xlpm.Fallback
    ),
    _xlpm.Result
)</f>
        <v/>
      </c>
      <c r="H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IF(OR(Data!BW57=0, Data!BW57=""), "", "O"&amp;Data!BW57),
            IF('ARDT Cutter Entry'!$C$111&lt;&gt;"",
                IF(OR(
                    COUNTIF('ARDT Cutter Entry'!H72,"*1"), COUNTIF('ARDT Cutter Entry'!H72,"*2"), COUNTIF('ARDT Cutter Entry'!H72,"*3"),
                    COUNTIF('ARDT Cutter Entry'!H72,"*4"), COUNTIF('ARDT Cutter Entry'!H72,"*5"), COUNTIF('ARDT Cutter Entry'!H72,"*6"),
                    COUNTIF('ARDT Cutter Entry'!H72,"*7"), COUNTIF('ARDT Cutter Entry'!H72,"*8"), COUNTIF('ARDT Cutter Entry'!H72,"*9")),
                    'ARDT Cutter Entry'!H72,
                    'ARDT Cutter Entry'!H122),
                IF(OR(
                    COUNTIF('ARDT Cutter Entry'!H15,"*1"), COUNTIF('ARDT Cutter Entry'!H15,"*2"), COUNTIF('ARDT Cutter Entry'!H15,"*3"),
                    COUNTIF('ARDT Cutter Entry'!H15,"*4"), COUNTIF('ARDT Cutter Entry'!H15,"*5"), COUNTIF('ARDT Cutter Entry'!H15,"*6"),
                    COUNTIF('ARDT Cutter Entry'!H15,"*7"), COUNTIF('ARDT Cutter Entry'!H15,"*8"), COUNTIF('ARDT Cutter Entry'!H15,"*9")),
                    'ARDT Cutter Entry'!H15,
                    'ARDT Cutter Entry'!H54)
            )
        ),
        ""
    ),
    _xlpm.Result, IF(_xlpm.URCheck,
        IF(AR81&lt;&gt;"", AR81, _xlpm.Fallback),
        _xlpm.Fallback
    ),
    _xlpm.Result
)</f>
        <v/>
      </c>
      <c r="I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IF(OR(Data!BX57=0, Data!BX57=""), "", "O"&amp;Data!BX57),
            IF('ARDT Cutter Entry'!$C$111&lt;&gt;"",
                IF(OR(
                    COUNTIF('ARDT Cutter Entry'!I72,"*1"), COUNTIF('ARDT Cutter Entry'!I72,"*2"), COUNTIF('ARDT Cutter Entry'!I72,"*3"),
                    COUNTIF('ARDT Cutter Entry'!I72,"*4"), COUNTIF('ARDT Cutter Entry'!I72,"*5"), COUNTIF('ARDT Cutter Entry'!I72,"*6"),
                    COUNTIF('ARDT Cutter Entry'!I72,"*7"), COUNTIF('ARDT Cutter Entry'!I72,"*8"), COUNTIF('ARDT Cutter Entry'!I72,"*9")),
                    'ARDT Cutter Entry'!I72,
                    'ARDT Cutter Entry'!I122),
                IF(OR(
                    COUNTIF('ARDT Cutter Entry'!I15,"*1"), COUNTIF('ARDT Cutter Entry'!I15,"*2"), COUNTIF('ARDT Cutter Entry'!I15,"*3"),
                    COUNTIF('ARDT Cutter Entry'!I15,"*4"), COUNTIF('ARDT Cutter Entry'!I15,"*5"), COUNTIF('ARDT Cutter Entry'!I15,"*6"),
                    COUNTIF('ARDT Cutter Entry'!I15,"*7"), COUNTIF('ARDT Cutter Entry'!I15,"*8"), COUNTIF('ARDT Cutter Entry'!I15,"*9")),
                    'ARDT Cutter Entry'!I15,
                    'ARDT Cutter Entry'!I54)
            )
        ),
        ""
    ),
    _xlpm.Result, IF(_xlpm.URCheck,
        IF(AS81&lt;&gt;"", AS81, _xlpm.Fallback),
        _xlpm.Fallback
    ),
    _xlpm.Result
)</f>
        <v/>
      </c>
      <c r="J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IF(OR(Data!BY57=0, Data!BY57=""), "", "O"&amp;Data!BY57),
            IF('ARDT Cutter Entry'!$C$111&lt;&gt;"",
                IF(OR(
                    COUNTIF('ARDT Cutter Entry'!J72,"*1"), COUNTIF('ARDT Cutter Entry'!J72,"*2"), COUNTIF('ARDT Cutter Entry'!J72,"*3"),
                    COUNTIF('ARDT Cutter Entry'!J72,"*4"), COUNTIF('ARDT Cutter Entry'!J72,"*5"), COUNTIF('ARDT Cutter Entry'!J72,"*6"),
                    COUNTIF('ARDT Cutter Entry'!J72,"*7"), COUNTIF('ARDT Cutter Entry'!J72,"*8"), COUNTIF('ARDT Cutter Entry'!J72,"*9")),
                    'ARDT Cutter Entry'!J72,
                    'ARDT Cutter Entry'!J122),
                IF(OR(
                    COUNTIF('ARDT Cutter Entry'!J15,"*1"), COUNTIF('ARDT Cutter Entry'!J15,"*2"), COUNTIF('ARDT Cutter Entry'!J15,"*3"),
                    COUNTIF('ARDT Cutter Entry'!J15,"*4"), COUNTIF('ARDT Cutter Entry'!J15,"*5"), COUNTIF('ARDT Cutter Entry'!J15,"*6"),
                    COUNTIF('ARDT Cutter Entry'!J15,"*7"), COUNTIF('ARDT Cutter Entry'!J15,"*8"), COUNTIF('ARDT Cutter Entry'!J15,"*9")),
                    'ARDT Cutter Entry'!J15,
                    'ARDT Cutter Entry'!J54)
            )
        ),
        ""
    ),
    _xlpm.Result, IF(_xlpm.URCheck,
        IF(AT81&lt;&gt;"", AT81, _xlpm.Fallback),
        _xlpm.Fallback
    ),
    _xlpm.Result
)</f>
        <v/>
      </c>
      <c r="K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IF(OR(Data!BZ57=0, Data!BZ57=""), "", "O"&amp;Data!BZ57),
            IF('ARDT Cutter Entry'!$C$111&lt;&gt;"",
                IF(OR(
                    COUNTIF('ARDT Cutter Entry'!K72,"*1"), COUNTIF('ARDT Cutter Entry'!K72,"*2"), COUNTIF('ARDT Cutter Entry'!K72,"*3"),
                    COUNTIF('ARDT Cutter Entry'!K72,"*4"), COUNTIF('ARDT Cutter Entry'!K72,"*5"), COUNTIF('ARDT Cutter Entry'!K72,"*6"),
                    COUNTIF('ARDT Cutter Entry'!K72,"*7"), COUNTIF('ARDT Cutter Entry'!K72,"*8"), COUNTIF('ARDT Cutter Entry'!K72,"*9")),
                    'ARDT Cutter Entry'!K72,
                    'ARDT Cutter Entry'!K122),
                IF(OR(
                    COUNTIF('ARDT Cutter Entry'!K15,"*1"), COUNTIF('ARDT Cutter Entry'!K15,"*2"), COUNTIF('ARDT Cutter Entry'!K15,"*3"),
                    COUNTIF('ARDT Cutter Entry'!K15,"*4"), COUNTIF('ARDT Cutter Entry'!K15,"*5"), COUNTIF('ARDT Cutter Entry'!K15,"*6"),
                    COUNTIF('ARDT Cutter Entry'!K15,"*7"), COUNTIF('ARDT Cutter Entry'!K15,"*8"), COUNTIF('ARDT Cutter Entry'!K15,"*9")),
                    'ARDT Cutter Entry'!K15,
                    'ARDT Cutter Entry'!K54)
            )
        ),
        ""
    ),
    _xlpm.Result, IF(_xlpm.URCheck,
        IF(AU81&lt;&gt;"", AU81, _xlpm.Fallback),
        _xlpm.Fallback
    ),
    _xlpm.Result
)</f>
        <v/>
      </c>
      <c r="L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IF(OR(Data!CA57=0, Data!CA57=""), "", "O"&amp;Data!CA57),
            IF('ARDT Cutter Entry'!$C$111&lt;&gt;"",
                IF(OR(
                    COUNTIF('ARDT Cutter Entry'!L72,"*1"), COUNTIF('ARDT Cutter Entry'!L72,"*2"), COUNTIF('ARDT Cutter Entry'!L72,"*3"),
                    COUNTIF('ARDT Cutter Entry'!L72,"*4"), COUNTIF('ARDT Cutter Entry'!L72,"*5"), COUNTIF('ARDT Cutter Entry'!L72,"*6"),
                    COUNTIF('ARDT Cutter Entry'!L72,"*7"), COUNTIF('ARDT Cutter Entry'!L72,"*8"), COUNTIF('ARDT Cutter Entry'!L72,"*9")),
                    'ARDT Cutter Entry'!L72,
                    'ARDT Cutter Entry'!L122),
                IF(OR(
                    COUNTIF('ARDT Cutter Entry'!L15,"*1"), COUNTIF('ARDT Cutter Entry'!L15,"*2"), COUNTIF('ARDT Cutter Entry'!L15,"*3"),
                    COUNTIF('ARDT Cutter Entry'!L15,"*4"), COUNTIF('ARDT Cutter Entry'!L15,"*5"), COUNTIF('ARDT Cutter Entry'!L15,"*6"),
                    COUNTIF('ARDT Cutter Entry'!L15,"*7"), COUNTIF('ARDT Cutter Entry'!L15,"*8"), COUNTIF('ARDT Cutter Entry'!L15,"*9")),
                    'ARDT Cutter Entry'!L15,
                    'ARDT Cutter Entry'!L54)
            )
        ),
        ""
    ),
    _xlpm.Result, IF(_xlpm.URCheck,
        IF(AV81&lt;&gt;"", AV81, _xlpm.Fallback),
        _xlpm.Fallback
    ),
    _xlpm.Result
)</f>
        <v/>
      </c>
      <c r="M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IF(OR(Data!CB57=0, Data!CB57=""), "", "O"&amp;Data!CB57),
            IF('ARDT Cutter Entry'!$C$111&lt;&gt;"",
                IF(OR(
                    COUNTIF('ARDT Cutter Entry'!M72,"*1"), COUNTIF('ARDT Cutter Entry'!M72,"*2"), COUNTIF('ARDT Cutter Entry'!M72,"*3"),
                    COUNTIF('ARDT Cutter Entry'!M72,"*4"), COUNTIF('ARDT Cutter Entry'!M72,"*5"), COUNTIF('ARDT Cutter Entry'!M72,"*6"),
                    COUNTIF('ARDT Cutter Entry'!M72,"*7"), COUNTIF('ARDT Cutter Entry'!M72,"*8"), COUNTIF('ARDT Cutter Entry'!M72,"*9")),
                    'ARDT Cutter Entry'!M72,
                    'ARDT Cutter Entry'!M122),
                IF(OR(
                    COUNTIF('ARDT Cutter Entry'!M15,"*1"), COUNTIF('ARDT Cutter Entry'!M15,"*2"), COUNTIF('ARDT Cutter Entry'!M15,"*3"),
                    COUNTIF('ARDT Cutter Entry'!M15,"*4"), COUNTIF('ARDT Cutter Entry'!M15,"*5"), COUNTIF('ARDT Cutter Entry'!M15,"*6"),
                    COUNTIF('ARDT Cutter Entry'!M15,"*7"), COUNTIF('ARDT Cutter Entry'!M15,"*8"), COUNTIF('ARDT Cutter Entry'!M15,"*9")),
                    'ARDT Cutter Entry'!M15,
                    'ARDT Cutter Entry'!M54)
            )
        ),
        ""
    ),
    _xlpm.Result, IF(_xlpm.URCheck,
        IF(AW81&lt;&gt;"", AW81, _xlpm.Fallback),
        _xlpm.Fallback
    ),
    _xlpm.Result
)</f>
        <v/>
      </c>
      <c r="N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IF(OR(Data!CC57=0, Data!CC57=""), "", "O"&amp;Data!CC57),
            IF('ARDT Cutter Entry'!$C$111&lt;&gt;"",
                IF(OR(
                    COUNTIF('ARDT Cutter Entry'!N72,"*1"), COUNTIF('ARDT Cutter Entry'!N72,"*2"), COUNTIF('ARDT Cutter Entry'!N72,"*3"),
                    COUNTIF('ARDT Cutter Entry'!N72,"*4"), COUNTIF('ARDT Cutter Entry'!N72,"*5"), COUNTIF('ARDT Cutter Entry'!N72,"*6"),
                    COUNTIF('ARDT Cutter Entry'!N72,"*7"), COUNTIF('ARDT Cutter Entry'!N72,"*8"), COUNTIF('ARDT Cutter Entry'!N72,"*9")),
                    'ARDT Cutter Entry'!N72,
                    'ARDT Cutter Entry'!N122),
                IF(OR(
                    COUNTIF('ARDT Cutter Entry'!N15,"*1"), COUNTIF('ARDT Cutter Entry'!N15,"*2"), COUNTIF('ARDT Cutter Entry'!N15,"*3"),
                    COUNTIF('ARDT Cutter Entry'!N15,"*4"), COUNTIF('ARDT Cutter Entry'!N15,"*5"), COUNTIF('ARDT Cutter Entry'!N15,"*6"),
                    COUNTIF('ARDT Cutter Entry'!N15,"*7"), COUNTIF('ARDT Cutter Entry'!N15,"*8"), COUNTIF('ARDT Cutter Entry'!N15,"*9")),
                    'ARDT Cutter Entry'!N15,
                    'ARDT Cutter Entry'!N54)
            )
        ),
        ""
    ),
    _xlpm.Result, IF(_xlpm.URCheck,
        IF(AX81&lt;&gt;"", AX81, _xlpm.Fallback),
        _xlpm.Fallback
    ),
    _xlpm.Result
)</f>
        <v/>
      </c>
      <c r="O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IF(OR(Data!CD57=0, Data!CD57=""), "", "O"&amp;Data!CD57),
            IF('ARDT Cutter Entry'!$C$111&lt;&gt;"",
                IF(OR(
                    COUNTIF('ARDT Cutter Entry'!O72,"*1"), COUNTIF('ARDT Cutter Entry'!O72,"*2"), COUNTIF('ARDT Cutter Entry'!O72,"*3"),
                    COUNTIF('ARDT Cutter Entry'!O72,"*4"), COUNTIF('ARDT Cutter Entry'!O72,"*5"), COUNTIF('ARDT Cutter Entry'!O72,"*6"),
                    COUNTIF('ARDT Cutter Entry'!O72,"*7"), COUNTIF('ARDT Cutter Entry'!O72,"*8"), COUNTIF('ARDT Cutter Entry'!O72,"*9")),
                    'ARDT Cutter Entry'!O72,
                    'ARDT Cutter Entry'!O122),
                IF(OR(
                    COUNTIF('ARDT Cutter Entry'!O15,"*1"), COUNTIF('ARDT Cutter Entry'!O15,"*2"), COUNTIF('ARDT Cutter Entry'!O15,"*3"),
                    COUNTIF('ARDT Cutter Entry'!O15,"*4"), COUNTIF('ARDT Cutter Entry'!O15,"*5"), COUNTIF('ARDT Cutter Entry'!O15,"*6"),
                    COUNTIF('ARDT Cutter Entry'!O15,"*7"), COUNTIF('ARDT Cutter Entry'!O15,"*8"), COUNTIF('ARDT Cutter Entry'!O15,"*9")),
                    'ARDT Cutter Entry'!O15,
                    'ARDT Cutter Entry'!O54)
            )
        ),
        ""
    ),
    _xlpm.Result, IF(_xlpm.URCheck,
        IF(AY81&lt;&gt;"", AY81, _xlpm.Fallback),
        _xlpm.Fallback
    ),
    _xlpm.Result
)</f>
        <v/>
      </c>
      <c r="P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IF(OR(Data!CE57=0, Data!CE57=""), "", "O"&amp;Data!CE57),
            IF('ARDT Cutter Entry'!$C$111&lt;&gt;"",
                IF(OR(
                    COUNTIF('ARDT Cutter Entry'!P72,"*1"), COUNTIF('ARDT Cutter Entry'!P72,"*2"), COUNTIF('ARDT Cutter Entry'!P72,"*3"),
                    COUNTIF('ARDT Cutter Entry'!P72,"*4"), COUNTIF('ARDT Cutter Entry'!P72,"*5"), COUNTIF('ARDT Cutter Entry'!P72,"*6"),
                    COUNTIF('ARDT Cutter Entry'!P72,"*7"), COUNTIF('ARDT Cutter Entry'!P72,"*8"), COUNTIF('ARDT Cutter Entry'!P72,"*9")),
                    'ARDT Cutter Entry'!P72,
                    'ARDT Cutter Entry'!P122),
                IF(OR(
                    COUNTIF('ARDT Cutter Entry'!P15,"*1"), COUNTIF('ARDT Cutter Entry'!P15,"*2"), COUNTIF('ARDT Cutter Entry'!P15,"*3"),
                    COUNTIF('ARDT Cutter Entry'!P15,"*4"), COUNTIF('ARDT Cutter Entry'!P15,"*5"), COUNTIF('ARDT Cutter Entry'!P15,"*6"),
                    COUNTIF('ARDT Cutter Entry'!P15,"*7"), COUNTIF('ARDT Cutter Entry'!P15,"*8"), COUNTIF('ARDT Cutter Entry'!P15,"*9")),
                    'ARDT Cutter Entry'!P15,
                    'ARDT Cutter Entry'!P54)
            )
        ),
        ""
    ),
    _xlpm.Result, IF(_xlpm.URCheck,
        IF(AZ81&lt;&gt;"", AZ81, _xlpm.Fallback),
        _xlpm.Fallback
    ),
    _xlpm.Result
)</f>
        <v/>
      </c>
      <c r="Q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IF(OR(Data!CF57=0, Data!CF57=""), "", "O"&amp;Data!CF57),
            IF('ARDT Cutter Entry'!$C$111&lt;&gt;"",
                IF(OR(
                    COUNTIF('ARDT Cutter Entry'!Q72,"*1"), COUNTIF('ARDT Cutter Entry'!Q72,"*2"), COUNTIF('ARDT Cutter Entry'!Q72,"*3"),
                    COUNTIF('ARDT Cutter Entry'!Q72,"*4"), COUNTIF('ARDT Cutter Entry'!Q72,"*5"), COUNTIF('ARDT Cutter Entry'!Q72,"*6"),
                    COUNTIF('ARDT Cutter Entry'!Q72,"*7"), COUNTIF('ARDT Cutter Entry'!Q72,"*8"), COUNTIF('ARDT Cutter Entry'!Q72,"*9")),
                    'ARDT Cutter Entry'!Q72,
                    'ARDT Cutter Entry'!Q122),
                IF(OR(
                    COUNTIF('ARDT Cutter Entry'!Q15,"*1"), COUNTIF('ARDT Cutter Entry'!Q15,"*2"), COUNTIF('ARDT Cutter Entry'!Q15,"*3"),
                    COUNTIF('ARDT Cutter Entry'!Q15,"*4"), COUNTIF('ARDT Cutter Entry'!Q15,"*5"), COUNTIF('ARDT Cutter Entry'!Q15,"*6"),
                    COUNTIF('ARDT Cutter Entry'!Q15,"*7"), COUNTIF('ARDT Cutter Entry'!Q15,"*8"), COUNTIF('ARDT Cutter Entry'!Q15,"*9")),
                    'ARDT Cutter Entry'!Q15,
                    'ARDT Cutter Entry'!Q54)
            )
        ),
        ""
    ),
    _xlpm.Result, IF(_xlpm.URCheck,
        IF(BA81&lt;&gt;"", BA81, _xlpm.Fallback),
        _xlpm.Fallback
    ),
    _xlpm.Result
)</f>
        <v/>
      </c>
      <c r="R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IF(OR(Data!CG57=0, Data!CG57=""), "", "O"&amp;Data!CG57),
            IF('ARDT Cutter Entry'!$C$111&lt;&gt;"",
                IF(OR(
                    COUNTIF('ARDT Cutter Entry'!R72,"*1"), COUNTIF('ARDT Cutter Entry'!R72,"*2"), COUNTIF('ARDT Cutter Entry'!R72,"*3"),
                    COUNTIF('ARDT Cutter Entry'!R72,"*4"), COUNTIF('ARDT Cutter Entry'!R72,"*5"), COUNTIF('ARDT Cutter Entry'!R72,"*6"),
                    COUNTIF('ARDT Cutter Entry'!R72,"*7"), COUNTIF('ARDT Cutter Entry'!R72,"*8"), COUNTIF('ARDT Cutter Entry'!R72,"*9")),
                    'ARDT Cutter Entry'!R72,
                    'ARDT Cutter Entry'!R122),
                IF(OR(
                    COUNTIF('ARDT Cutter Entry'!R15,"*1"), COUNTIF('ARDT Cutter Entry'!R15,"*2"), COUNTIF('ARDT Cutter Entry'!R15,"*3"),
                    COUNTIF('ARDT Cutter Entry'!R15,"*4"), COUNTIF('ARDT Cutter Entry'!R15,"*5"), COUNTIF('ARDT Cutter Entry'!R15,"*6"),
                    COUNTIF('ARDT Cutter Entry'!R15,"*7"), COUNTIF('ARDT Cutter Entry'!R15,"*8"), COUNTIF('ARDT Cutter Entry'!R15,"*9")),
                    'ARDT Cutter Entry'!R15,
                    'ARDT Cutter Entry'!R54)
            )
        ),
        ""
    ),
    _xlpm.Result, IF(_xlpm.URCheck,
        IF(BB81&lt;&gt;"", BB81, _xlpm.Fallback),
        _xlpm.Fallback
    ),
    _xlpm.Result
)</f>
        <v/>
      </c>
      <c r="S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IF(OR(Data!CH57=0, Data!CH57=""), "", "O"&amp;Data!CH57),
            IF('ARDT Cutter Entry'!$C$111&lt;&gt;"",
                IF(OR(
                    COUNTIF('ARDT Cutter Entry'!S72,"*1"), COUNTIF('ARDT Cutter Entry'!S72,"*2"), COUNTIF('ARDT Cutter Entry'!S72,"*3"),
                    COUNTIF('ARDT Cutter Entry'!S72,"*4"), COUNTIF('ARDT Cutter Entry'!S72,"*5"), COUNTIF('ARDT Cutter Entry'!S72,"*6"),
                    COUNTIF('ARDT Cutter Entry'!S72,"*7"), COUNTIF('ARDT Cutter Entry'!S72,"*8"), COUNTIF('ARDT Cutter Entry'!S72,"*9")),
                    'ARDT Cutter Entry'!S72,
                    'ARDT Cutter Entry'!S122),
                IF(OR(
                    COUNTIF('ARDT Cutter Entry'!S15,"*1"), COUNTIF('ARDT Cutter Entry'!S15,"*2"), COUNTIF('ARDT Cutter Entry'!S15,"*3"),
                    COUNTIF('ARDT Cutter Entry'!S15,"*4"), COUNTIF('ARDT Cutter Entry'!S15,"*5"), COUNTIF('ARDT Cutter Entry'!S15,"*6"),
                    COUNTIF('ARDT Cutter Entry'!S15,"*7"), COUNTIF('ARDT Cutter Entry'!S15,"*8"), COUNTIF('ARDT Cutter Entry'!S15,"*9")),
                    'ARDT Cutter Entry'!S15,
                    'ARDT Cutter Entry'!S54)
            )
        ),
        ""
    ),
    _xlpm.Result, IF(_xlpm.URCheck,
        IF(BC81&lt;&gt;"", BC81, _xlpm.Fallback),
        _xlpm.Fallback
    ),
    _xlpm.Result
)</f>
        <v/>
      </c>
      <c r="T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IF(OR(Data!CI57=0, Data!CI57=""), "", "O"&amp;Data!CI57),
            IF('ARDT Cutter Entry'!$C$111&lt;&gt;"",
                IF(OR(
                    COUNTIF('ARDT Cutter Entry'!T72,"*1"), COUNTIF('ARDT Cutter Entry'!T72,"*2"), COUNTIF('ARDT Cutter Entry'!T72,"*3"),
                    COUNTIF('ARDT Cutter Entry'!T72,"*4"), COUNTIF('ARDT Cutter Entry'!T72,"*5"), COUNTIF('ARDT Cutter Entry'!T72,"*6"),
                    COUNTIF('ARDT Cutter Entry'!T72,"*7"), COUNTIF('ARDT Cutter Entry'!T72,"*8"), COUNTIF('ARDT Cutter Entry'!T72,"*9")),
                    'ARDT Cutter Entry'!T72,
                    'ARDT Cutter Entry'!T122),
                IF(OR(
                    COUNTIF('ARDT Cutter Entry'!T15,"*1"), COUNTIF('ARDT Cutter Entry'!T15,"*2"), COUNTIF('ARDT Cutter Entry'!T15,"*3"),
                    COUNTIF('ARDT Cutter Entry'!T15,"*4"), COUNTIF('ARDT Cutter Entry'!T15,"*5"), COUNTIF('ARDT Cutter Entry'!T15,"*6"),
                    COUNTIF('ARDT Cutter Entry'!T15,"*7"), COUNTIF('ARDT Cutter Entry'!T15,"*8"), COUNTIF('ARDT Cutter Entry'!T15,"*9")),
                    'ARDT Cutter Entry'!T15,
                    'ARDT Cutter Entry'!T54)
            )
        ),
        ""
    ),
    _xlpm.Result, IF(_xlpm.URCheck,
        IF(BD81&lt;&gt;"", BD81, _xlpm.Fallback),
        _xlpm.Fallback
    ),
    _xlpm.Result
)</f>
        <v/>
      </c>
      <c r="U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IF(OR(Data!CJ57=0, Data!CJ57=""), "", "O"&amp;Data!CJ57),
            IF('ARDT Cutter Entry'!$C$111&lt;&gt;"",
                IF(OR(
                    COUNTIF('ARDT Cutter Entry'!U72,"*1"), COUNTIF('ARDT Cutter Entry'!U72,"*2"), COUNTIF('ARDT Cutter Entry'!U72,"*3"),
                    COUNTIF('ARDT Cutter Entry'!U72,"*4"), COUNTIF('ARDT Cutter Entry'!U72,"*5"), COUNTIF('ARDT Cutter Entry'!U72,"*6"),
                    COUNTIF('ARDT Cutter Entry'!U72,"*7"), COUNTIF('ARDT Cutter Entry'!U72,"*8"), COUNTIF('ARDT Cutter Entry'!U72,"*9")),
                    'ARDT Cutter Entry'!U72,
                    'ARDT Cutter Entry'!U122),
                IF(OR(
                    COUNTIF('ARDT Cutter Entry'!U15,"*1"), COUNTIF('ARDT Cutter Entry'!U15,"*2"), COUNTIF('ARDT Cutter Entry'!U15,"*3"),
                    COUNTIF('ARDT Cutter Entry'!U15,"*4"), COUNTIF('ARDT Cutter Entry'!U15,"*5"), COUNTIF('ARDT Cutter Entry'!U15,"*6"),
                    COUNTIF('ARDT Cutter Entry'!U15,"*7"), COUNTIF('ARDT Cutter Entry'!U15,"*8"), COUNTIF('ARDT Cutter Entry'!U15,"*9")),
                    'ARDT Cutter Entry'!U15,
                    'ARDT Cutter Entry'!U54)
            )
        ),
        ""
    ),
    _xlpm.Result, IF(_xlpm.URCheck,
        IF(BE81&lt;&gt;"", BE81, _xlpm.Fallback),
        _xlpm.Fallback
    ),
    _xlpm.Result
)</f>
        <v/>
      </c>
      <c r="V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IF(OR(Data!CK57=0, Data!CK57=""), "", "O"&amp;Data!CK57),
            IF('ARDT Cutter Entry'!$C$111&lt;&gt;"",
                IF(OR(
                    COUNTIF('ARDT Cutter Entry'!V72,"*1"), COUNTIF('ARDT Cutter Entry'!V72,"*2"), COUNTIF('ARDT Cutter Entry'!V72,"*3"),
                    COUNTIF('ARDT Cutter Entry'!V72,"*4"), COUNTIF('ARDT Cutter Entry'!V72,"*5"), COUNTIF('ARDT Cutter Entry'!V72,"*6"),
                    COUNTIF('ARDT Cutter Entry'!V72,"*7"), COUNTIF('ARDT Cutter Entry'!V72,"*8"), COUNTIF('ARDT Cutter Entry'!V72,"*9")),
                    'ARDT Cutter Entry'!V72,
                    'ARDT Cutter Entry'!V122),
                IF(OR(
                    COUNTIF('ARDT Cutter Entry'!V15,"*1"), COUNTIF('ARDT Cutter Entry'!V15,"*2"), COUNTIF('ARDT Cutter Entry'!V15,"*3"),
                    COUNTIF('ARDT Cutter Entry'!V15,"*4"), COUNTIF('ARDT Cutter Entry'!V15,"*5"), COUNTIF('ARDT Cutter Entry'!V15,"*6"),
                    COUNTIF('ARDT Cutter Entry'!V15,"*7"), COUNTIF('ARDT Cutter Entry'!V15,"*8"), COUNTIF('ARDT Cutter Entry'!V15,"*9")),
                    'ARDT Cutter Entry'!V15,
                    'ARDT Cutter Entry'!V54)
            )
        ),
        ""
    ),
    _xlpm.Result, IF(_xlpm.URCheck,
        IF(BF81&lt;&gt;"", BF81, _xlpm.Fallback),
        _xlpm.Fallback
    ),
    _xlpm.Result
)</f>
        <v/>
      </c>
      <c r="W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IF(OR(Data!CL57=0, Data!CL57=""), "", "O"&amp;Data!CL57),
            IF('ARDT Cutter Entry'!$C$111&lt;&gt;"",
                IF(OR(
                    COUNTIF('ARDT Cutter Entry'!W72,"*1"), COUNTIF('ARDT Cutter Entry'!W72,"*2"), COUNTIF('ARDT Cutter Entry'!W72,"*3"),
                    COUNTIF('ARDT Cutter Entry'!W72,"*4"), COUNTIF('ARDT Cutter Entry'!W72,"*5"), COUNTIF('ARDT Cutter Entry'!W72,"*6"),
                    COUNTIF('ARDT Cutter Entry'!W72,"*7"), COUNTIF('ARDT Cutter Entry'!W72,"*8"), COUNTIF('ARDT Cutter Entry'!W72,"*9")),
                    'ARDT Cutter Entry'!W72,
                    'ARDT Cutter Entry'!W122),
                IF(OR(
                    COUNTIF('ARDT Cutter Entry'!W15,"*1"), COUNTIF('ARDT Cutter Entry'!W15,"*2"), COUNTIF('ARDT Cutter Entry'!W15,"*3"),
                    COUNTIF('ARDT Cutter Entry'!W15,"*4"), COUNTIF('ARDT Cutter Entry'!W15,"*5"), COUNTIF('ARDT Cutter Entry'!W15,"*6"),
                    COUNTIF('ARDT Cutter Entry'!W15,"*7"), COUNTIF('ARDT Cutter Entry'!W15,"*8"), COUNTIF('ARDT Cutter Entry'!W15,"*9")),
                    'ARDT Cutter Entry'!W15,
                    'ARDT Cutter Entry'!W54)
            )
        ),
        ""
    ),
    _xlpm.Result, IF(_xlpm.URCheck,
        IF(BG81&lt;&gt;"", BG81, _xlpm.Fallback),
        _xlpm.Fallback
    ),
    _xlpm.Result
)</f>
        <v/>
      </c>
      <c r="X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IF(OR(Data!CM57=0, Data!CM57=""), "", "O"&amp;Data!CM57),
            IF('ARDT Cutter Entry'!$C$111&lt;&gt;"",
                IF(OR(
                    COUNTIF('ARDT Cutter Entry'!X72,"*1"), COUNTIF('ARDT Cutter Entry'!X72,"*2"), COUNTIF('ARDT Cutter Entry'!X72,"*3"),
                    COUNTIF('ARDT Cutter Entry'!X72,"*4"), COUNTIF('ARDT Cutter Entry'!X72,"*5"), COUNTIF('ARDT Cutter Entry'!X72,"*6"),
                    COUNTIF('ARDT Cutter Entry'!X72,"*7"), COUNTIF('ARDT Cutter Entry'!X72,"*8"), COUNTIF('ARDT Cutter Entry'!X72,"*9")),
                    'ARDT Cutter Entry'!X72,
                    'ARDT Cutter Entry'!X122),
                IF(OR(
                    COUNTIF('ARDT Cutter Entry'!X15,"*1"), COUNTIF('ARDT Cutter Entry'!X15,"*2"), COUNTIF('ARDT Cutter Entry'!X15,"*3"),
                    COUNTIF('ARDT Cutter Entry'!X15,"*4"), COUNTIF('ARDT Cutter Entry'!X15,"*5"), COUNTIF('ARDT Cutter Entry'!X15,"*6"),
                    COUNTIF('ARDT Cutter Entry'!X15,"*7"), COUNTIF('ARDT Cutter Entry'!X15,"*8"), COUNTIF('ARDT Cutter Entry'!X15,"*9")),
                    'ARDT Cutter Entry'!X15,
                    'ARDT Cutter Entry'!X54)
            )
        ),
        ""
    ),
    _xlpm.Result, IF(_xlpm.URCheck,
        IF(BH81&lt;&gt;"", BH81, _xlpm.Fallback),
        _xlpm.Fallback
    ),
    _xlpm.Result
)</f>
        <v/>
      </c>
      <c r="Y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IF(OR(Data!CN57=0, Data!CN57=""), "", "O"&amp;Data!CN57),
            IF('ARDT Cutter Entry'!$C$111&lt;&gt;"",
                IF(OR(
                    COUNTIF('ARDT Cutter Entry'!Y72,"*1"), COUNTIF('ARDT Cutter Entry'!Y72,"*2"), COUNTIF('ARDT Cutter Entry'!Y72,"*3"),
                    COUNTIF('ARDT Cutter Entry'!Y72,"*4"), COUNTIF('ARDT Cutter Entry'!Y72,"*5"), COUNTIF('ARDT Cutter Entry'!Y72,"*6"),
                    COUNTIF('ARDT Cutter Entry'!Y72,"*7"), COUNTIF('ARDT Cutter Entry'!Y72,"*8"), COUNTIF('ARDT Cutter Entry'!Y72,"*9")),
                    'ARDT Cutter Entry'!Y72,
                    'ARDT Cutter Entry'!Y122),
                IF(OR(
                    COUNTIF('ARDT Cutter Entry'!Y15,"*1"), COUNTIF('ARDT Cutter Entry'!Y15,"*2"), COUNTIF('ARDT Cutter Entry'!Y15,"*3"),
                    COUNTIF('ARDT Cutter Entry'!Y15,"*4"), COUNTIF('ARDT Cutter Entry'!Y15,"*5"), COUNTIF('ARDT Cutter Entry'!Y15,"*6"),
                    COUNTIF('ARDT Cutter Entry'!Y15,"*7"), COUNTIF('ARDT Cutter Entry'!Y15,"*8"), COUNTIF('ARDT Cutter Entry'!Y15,"*9")),
                    'ARDT Cutter Entry'!Y15,
                    'ARDT Cutter Entry'!Y54)
            )
        ),
        ""
    ),
    _xlpm.Result, IF(_xlpm.URCheck,
        IF(BI81&lt;&gt;"", BI81, _xlpm.Fallback),
        _xlpm.Fallback
    ),
    _xlpm.Result
)</f>
        <v/>
      </c>
      <c r="Z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IF(OR(Data!CO57=0, Data!CO57=""), "", "O"&amp;Data!CO57),
            IF('ARDT Cutter Entry'!$C$111&lt;&gt;"",
                IF(OR(
                    COUNTIF('ARDT Cutter Entry'!Z72,"*1"), COUNTIF('ARDT Cutter Entry'!Z72,"*2"), COUNTIF('ARDT Cutter Entry'!Z72,"*3"),
                    COUNTIF('ARDT Cutter Entry'!Z72,"*4"), COUNTIF('ARDT Cutter Entry'!Z72,"*5"), COUNTIF('ARDT Cutter Entry'!Z72,"*6"),
                    COUNTIF('ARDT Cutter Entry'!Z72,"*7"), COUNTIF('ARDT Cutter Entry'!Z72,"*8"), COUNTIF('ARDT Cutter Entry'!Z72,"*9")),
                    'ARDT Cutter Entry'!Z72,
                    'ARDT Cutter Entry'!Z122),
                IF(OR(
                    COUNTIF('ARDT Cutter Entry'!Z15,"*1"), COUNTIF('ARDT Cutter Entry'!Z15,"*2"), COUNTIF('ARDT Cutter Entry'!Z15,"*3"),
                    COUNTIF('ARDT Cutter Entry'!Z15,"*4"), COUNTIF('ARDT Cutter Entry'!Z15,"*5"), COUNTIF('ARDT Cutter Entry'!Z15,"*6"),
                    COUNTIF('ARDT Cutter Entry'!Z15,"*7"), COUNTIF('ARDT Cutter Entry'!Z15,"*8"), COUNTIF('ARDT Cutter Entry'!Z15,"*9")),
                    'ARDT Cutter Entry'!Z15,
                    'ARDT Cutter Entry'!Z54)
            )
        ),
        ""
    ),
    _xlpm.Result, IF(_xlpm.URCheck,
        IF(BJ81&lt;&gt;"", BJ81, _xlpm.Fallback),
        _xlpm.Fallback
    ),
    _xlpm.Result
)</f>
        <v/>
      </c>
      <c r="AA28" s="251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IF(OR(Data!CP57=0, Data!CP57=""), "", "O"&amp;Data!CP57),
            IF('ARDT Cutter Entry'!$C$111&lt;&gt;"",
                IF(OR(
                    COUNTIF('ARDT Cutter Entry'!AA72,"*1"), COUNTIF('ARDT Cutter Entry'!AA72,"*2"), COUNTIF('ARDT Cutter Entry'!AA72,"*3"),
                    COUNTIF('ARDT Cutter Entry'!AA72,"*4"), COUNTIF('ARDT Cutter Entry'!AA72,"*5"), COUNTIF('ARDT Cutter Entry'!AA72,"*6"),
                    COUNTIF('ARDT Cutter Entry'!AA72,"*7"), COUNTIF('ARDT Cutter Entry'!AA72,"*8"), COUNTIF('ARDT Cutter Entry'!AA72,"*9")),
                    'ARDT Cutter Entry'!AA72,
                    'ARDT Cutter Entry'!AA122),
                IF(OR(
                    COUNTIF('ARDT Cutter Entry'!AA15,"*1"), COUNTIF('ARDT Cutter Entry'!AA15,"*2"), COUNTIF('ARDT Cutter Entry'!AA15,"*3"),
                    COUNTIF('ARDT Cutter Entry'!AA15,"*4"), COUNTIF('ARDT Cutter Entry'!AA15,"*5"), COUNTIF('ARDT Cutter Entry'!AA15,"*6"),
                    COUNTIF('ARDT Cutter Entry'!AA15,"*7"), COUNTIF('ARDT Cutter Entry'!AA15,"*8"), COUNTIF('ARDT Cutter Entry'!AA15,"*9")),
                    'ARDT Cutter Entry'!AA15,
                    'ARDT Cutter Entry'!AA54)
            )
        ),
        ""
    ),
    _xlpm.Result, IF(_xlpm.URCheck,
        IF(BK81&lt;&gt;"", BK81, _xlpm.Fallback),
        _xlpm.Fallback
    ),
    _xlpm.Result
)</f>
        <v/>
      </c>
    </row>
    <row r="29" spans="1:27" ht="3.75" customHeight="1" x14ac:dyDescent="0.35">
      <c r="A29" s="391"/>
      <c r="B29" s="392"/>
      <c r="C29" s="393"/>
      <c r="D29" s="393"/>
      <c r="E29" s="396"/>
      <c r="F29" s="396"/>
      <c r="G29" s="396"/>
      <c r="H29" s="396"/>
      <c r="I29" s="396"/>
      <c r="J29" s="396"/>
      <c r="K29" s="400"/>
      <c r="L29" s="400"/>
      <c r="M29" s="535"/>
      <c r="N29" s="535"/>
      <c r="O29" s="535"/>
      <c r="P29" s="535"/>
      <c r="Q29" s="535"/>
      <c r="R29" s="535"/>
      <c r="S29" s="536"/>
      <c r="T29" s="400"/>
      <c r="U29" s="400"/>
      <c r="V29" s="395"/>
      <c r="W29" s="396"/>
      <c r="X29" s="396"/>
      <c r="Y29" s="396"/>
      <c r="Z29" s="537"/>
      <c r="AA29" s="402"/>
    </row>
    <row r="30" spans="1:27" s="1118" customFormat="1" ht="16.5" customHeight="1" x14ac:dyDescent="0.3">
      <c r="A30" s="1503" t="s">
        <v>34</v>
      </c>
      <c r="B30" s="1439"/>
      <c r="C30" s="1439"/>
      <c r="D30" s="1439"/>
      <c r="E30" s="1439"/>
      <c r="F30" s="1441" t="str">
        <f>IF(Data!L32=1,IF(Data!B11&lt;&gt;"",Data!B11,""),"")</f>
        <v>Yakoob Alajawad</v>
      </c>
      <c r="G30" s="1441"/>
      <c r="H30" s="1441"/>
      <c r="I30" s="1441"/>
      <c r="J30" s="1439" t="s">
        <v>35</v>
      </c>
      <c r="K30" s="1439"/>
      <c r="L30" s="1439"/>
      <c r="M30" s="1440" t="str">
        <f>IF(Data!L32=1,IF(Data!B12&lt;&gt;"",Data!B12,""),"")</f>
        <v>Ali Alhammad</v>
      </c>
      <c r="N30" s="1440"/>
      <c r="O30" s="1440"/>
      <c r="P30" s="1440"/>
      <c r="Q30" s="1439" t="s">
        <v>36</v>
      </c>
      <c r="R30" s="1439"/>
      <c r="S30" s="1440">
        <f>IF(Data!L32=1,IF(Data!B13&lt;&gt;"",Data!B13,""),"")</f>
        <v>46022</v>
      </c>
      <c r="T30" s="1440"/>
      <c r="U30" s="1440"/>
      <c r="V30" s="1440"/>
      <c r="W30" s="1436" t="s">
        <v>37</v>
      </c>
      <c r="X30" s="1436"/>
      <c r="Y30" s="1459"/>
      <c r="Z30" s="1106" t="str">
        <f>IF(Data!G32&lt;&gt;"","",IF(Data!G32=1,"",IF(Data!L32=1,IF(Data!B5&lt;&gt;"",IF(OR(Z32="√",Z34="√"),"","√"),""),"")))</f>
        <v>√</v>
      </c>
      <c r="AA30" s="1117"/>
    </row>
    <row r="31" spans="1:27" ht="3.75" customHeight="1" x14ac:dyDescent="0.35">
      <c r="A31" s="1479"/>
      <c r="B31" s="1428"/>
      <c r="C31" s="1428"/>
      <c r="D31" s="1428"/>
      <c r="E31" s="1428"/>
      <c r="F31" s="1428"/>
      <c r="G31" s="1428"/>
      <c r="H31" s="1428"/>
      <c r="I31" s="1428"/>
      <c r="J31" s="1428"/>
      <c r="K31" s="1428"/>
      <c r="L31" s="1428"/>
      <c r="M31" s="1428"/>
      <c r="N31" s="1428"/>
      <c r="O31" s="1428"/>
      <c r="P31" s="1428"/>
      <c r="Q31" s="1428"/>
      <c r="R31" s="1428"/>
      <c r="S31" s="1428"/>
      <c r="T31" s="1428"/>
      <c r="U31" s="1428"/>
      <c r="V31" s="1428"/>
      <c r="W31" s="1428"/>
      <c r="X31" s="1428"/>
      <c r="Y31" s="1428"/>
      <c r="Z31" s="1428"/>
      <c r="AA31" s="1480"/>
    </row>
    <row r="32" spans="1:27" s="1118" customFormat="1" ht="16.5" customHeight="1" x14ac:dyDescent="0.3">
      <c r="A32" s="1486" t="s">
        <v>20</v>
      </c>
      <c r="B32" s="1477"/>
      <c r="C32" s="1477"/>
      <c r="D32" s="1477" t="s">
        <v>968</v>
      </c>
      <c r="E32" s="1477"/>
      <c r="F32" s="1477"/>
      <c r="G32" s="1477" t="s">
        <v>969</v>
      </c>
      <c r="H32" s="1477"/>
      <c r="I32" s="1477"/>
      <c r="J32" s="1477" t="s">
        <v>970</v>
      </c>
      <c r="K32" s="1477"/>
      <c r="L32" s="1477"/>
      <c r="M32" s="1477" t="s">
        <v>971</v>
      </c>
      <c r="N32" s="1477"/>
      <c r="O32" s="1477"/>
      <c r="P32" s="1477" t="s">
        <v>972</v>
      </c>
      <c r="Q32" s="1477"/>
      <c r="R32" s="1477"/>
      <c r="S32" s="1477" t="s">
        <v>21</v>
      </c>
      <c r="T32" s="1477"/>
      <c r="U32" s="1477"/>
      <c r="W32" s="1436" t="s">
        <v>734</v>
      </c>
      <c r="X32" s="1436"/>
      <c r="Y32" s="1459"/>
      <c r="Z32" s="1106" t="str">
        <f>IF(Data!L32=1,IF(OR(Data!L2=1,Data!L3=1),"√",""),"")</f>
        <v/>
      </c>
      <c r="AA32" s="1117"/>
    </row>
    <row r="33" spans="1:66" ht="3.75" customHeight="1" x14ac:dyDescent="0.35">
      <c r="A33" s="1486"/>
      <c r="B33" s="1477"/>
      <c r="C33" s="1477"/>
      <c r="D33" s="1477"/>
      <c r="E33" s="1477"/>
      <c r="F33" s="1477"/>
      <c r="G33" s="1477"/>
      <c r="H33" s="1477"/>
      <c r="I33" s="1477"/>
      <c r="J33" s="1477"/>
      <c r="K33" s="1477"/>
      <c r="L33" s="1477"/>
      <c r="M33" s="1477"/>
      <c r="N33" s="1477"/>
      <c r="O33" s="1477"/>
      <c r="P33" s="1477"/>
      <c r="Q33" s="1477"/>
      <c r="R33" s="1477"/>
      <c r="S33" s="1477"/>
      <c r="T33" s="1477"/>
      <c r="U33" s="1477"/>
      <c r="V33" s="396"/>
      <c r="W33" s="396"/>
      <c r="X33" s="396"/>
      <c r="Y33" s="396"/>
      <c r="Z33" s="396"/>
      <c r="AA33" s="481"/>
    </row>
    <row r="34" spans="1:66" s="1118" customFormat="1" ht="16.5" customHeight="1" x14ac:dyDescent="0.3">
      <c r="A34" s="1448">
        <v>23</v>
      </c>
      <c r="B34" s="1449"/>
      <c r="C34" s="1449"/>
      <c r="D34" s="1434">
        <v>4</v>
      </c>
      <c r="E34" s="1434"/>
      <c r="F34" s="1434"/>
      <c r="G34" s="1434">
        <f>IF(Data!L32=1,IF('Eng. Cutter Entry'!C4&lt;&gt;"",'ARDT Cutter Entry'!BI65,'ARDT Cutter Entry'!BI9),"")</f>
        <v>0</v>
      </c>
      <c r="H34" s="1434"/>
      <c r="I34" s="1434"/>
      <c r="J34" s="1434">
        <f>IF(Data!L32=1,IF('Eng. Cutter Entry'!C4&lt;&gt;"",'ARDT Cutter Entry'!BI64,'ARDT Cutter Entry'!BI8),"")</f>
        <v>0</v>
      </c>
      <c r="K34" s="1434"/>
      <c r="L34" s="1434"/>
      <c r="M34" s="1434">
        <f>IF(Data!L32=1,IF('Eng. Cutter Entry'!C4&lt;&gt;"",'ARDT Cutter Entry'!BI58+'ARDT Cutter Entry'!BI59,'ARDT Cutter Entry'!BI2+'ARDT Cutter Entry'!BI3),"")</f>
        <v>33</v>
      </c>
      <c r="N34" s="1434"/>
      <c r="O34" s="1434"/>
      <c r="P34" s="1434">
        <f>IF(Data!L32=1,IF('Eng. Cutter Entry'!C4&lt;&gt;"",'ARDT Cutter Entry'!BI60+'ARDT Cutter Entry'!BI61,'ARDT Cutter Entry'!BI4+'ARDT Cutter Entry'!BI5),"")</f>
        <v>0</v>
      </c>
      <c r="Q34" s="1434"/>
      <c r="R34" s="1434"/>
      <c r="S34" s="1434">
        <f>IF(Data!BO63&lt;&gt;"",Data!BO63," ")</f>
        <v>62</v>
      </c>
      <c r="T34" s="1434"/>
      <c r="U34" s="1434"/>
      <c r="V34" s="1119"/>
      <c r="W34" s="1436" t="s">
        <v>38</v>
      </c>
      <c r="X34" s="1436"/>
      <c r="Y34" s="1459"/>
      <c r="Z34" s="1106" t="str">
        <f>IF(Instructions!U58&lt;&gt;"","√",IF(Data!L32=1,IF(OR(Data!L4=1,Data!L5=1),"√",""),""))</f>
        <v/>
      </c>
      <c r="AA34" s="1117"/>
    </row>
    <row r="35" spans="1:66" ht="3.75" customHeight="1" thickBot="1" x14ac:dyDescent="0.4">
      <c r="A35" s="407"/>
      <c r="B35" s="408"/>
      <c r="C35" s="408"/>
      <c r="D35" s="408"/>
      <c r="E35" s="408"/>
      <c r="F35" s="408"/>
      <c r="G35" s="408"/>
      <c r="H35" s="408"/>
      <c r="I35" s="408"/>
      <c r="J35" s="408"/>
      <c r="K35" s="408"/>
      <c r="L35" s="408"/>
      <c r="M35" s="408"/>
      <c r="N35" s="408"/>
      <c r="O35" s="408"/>
      <c r="P35" s="409"/>
      <c r="Q35" s="409"/>
      <c r="R35" s="409"/>
      <c r="S35" s="408"/>
      <c r="T35" s="408"/>
      <c r="U35" s="408"/>
      <c r="V35" s="408"/>
      <c r="W35" s="408"/>
      <c r="X35" s="408"/>
      <c r="Y35" s="406"/>
      <c r="Z35" s="406"/>
      <c r="AA35" s="405"/>
    </row>
    <row r="36" spans="1:66" ht="15" customHeight="1" thickBot="1" x14ac:dyDescent="0.4">
      <c r="A36" s="1450" t="s">
        <v>19</v>
      </c>
      <c r="B36" s="1451"/>
      <c r="C36" s="1452"/>
      <c r="D36" s="1442" t="str">
        <f>IF(AND(Z34="√",Instructions!U58&lt;&gt;""),"Scrapped after completing four runs. "&amp;'ARDT Cutter Entry'!D21,IF(Data!L32=1,IF(Data!L2=1,"The bit is Rerunable, No need for repair. ",IF('ARDT Cutter Entry'!Y57=1,"Accepted as rerun by engineer",IF('ARDT Cutter Entry'!D21&lt;&gt;"",'ARDT Cutter Entry'!D21," "))),""))</f>
        <v xml:space="preserve">Shank need clean. Pinface and mud seal need buffing.  </v>
      </c>
      <c r="E36" s="1442"/>
      <c r="F36" s="1442"/>
      <c r="G36" s="1442"/>
      <c r="H36" s="1442"/>
      <c r="I36" s="1442"/>
      <c r="J36" s="1442"/>
      <c r="K36" s="1442"/>
      <c r="L36" s="1442"/>
      <c r="M36" s="1442"/>
      <c r="N36" s="1442"/>
      <c r="O36" s="1442"/>
      <c r="P36" s="1442"/>
      <c r="Q36" s="1442"/>
      <c r="R36" s="1442"/>
      <c r="S36" s="1442"/>
      <c r="T36" s="1442"/>
      <c r="U36" s="1442"/>
      <c r="V36" s="1442"/>
      <c r="W36" s="1442"/>
      <c r="X36" s="1442"/>
      <c r="Y36" s="1442"/>
      <c r="Z36" s="1442"/>
      <c r="AA36" s="1443"/>
    </row>
    <row r="37" spans="1:66" ht="15" customHeight="1" x14ac:dyDescent="0.35">
      <c r="A37" s="1453" t="str">
        <f>IF(Instructions!$L$1&lt;&gt;"",Instructions!$L$1,"")</f>
        <v/>
      </c>
      <c r="B37" s="1454"/>
      <c r="C37" s="1455"/>
      <c r="D37" s="1444"/>
      <c r="E37" s="1444"/>
      <c r="F37" s="1444"/>
      <c r="G37" s="1444"/>
      <c r="H37" s="1444"/>
      <c r="I37" s="1444"/>
      <c r="J37" s="1444"/>
      <c r="K37" s="1444"/>
      <c r="L37" s="1444"/>
      <c r="M37" s="1444"/>
      <c r="N37" s="1444"/>
      <c r="O37" s="1444"/>
      <c r="P37" s="1444"/>
      <c r="Q37" s="1444"/>
      <c r="R37" s="1444"/>
      <c r="S37" s="1444"/>
      <c r="T37" s="1444"/>
      <c r="U37" s="1444"/>
      <c r="V37" s="1444"/>
      <c r="W37" s="1444"/>
      <c r="X37" s="1444"/>
      <c r="Y37" s="1444"/>
      <c r="Z37" s="1444"/>
      <c r="AA37" s="1445"/>
    </row>
    <row r="38" spans="1:66" ht="15" customHeight="1" thickBot="1" x14ac:dyDescent="0.4">
      <c r="A38" s="1456"/>
      <c r="B38" s="1457"/>
      <c r="C38" s="1458"/>
      <c r="D38" s="1446"/>
      <c r="E38" s="1446"/>
      <c r="F38" s="1446"/>
      <c r="G38" s="1446"/>
      <c r="H38" s="1446"/>
      <c r="I38" s="1446"/>
      <c r="J38" s="1446"/>
      <c r="K38" s="1446"/>
      <c r="L38" s="1446"/>
      <c r="M38" s="1446"/>
      <c r="N38" s="1446"/>
      <c r="O38" s="1446"/>
      <c r="P38" s="1446"/>
      <c r="Q38" s="1446"/>
      <c r="R38" s="1446"/>
      <c r="S38" s="1446"/>
      <c r="T38" s="1446"/>
      <c r="U38" s="1446"/>
      <c r="V38" s="1446"/>
      <c r="W38" s="1446"/>
      <c r="X38" s="1446"/>
      <c r="Y38" s="1446"/>
      <c r="Z38" s="1446"/>
      <c r="AA38" s="1447"/>
    </row>
    <row r="39" spans="1:66" s="5" customFormat="1" ht="17.25" customHeight="1" x14ac:dyDescent="0.35">
      <c r="A39" s="1435" t="s">
        <v>1119</v>
      </c>
      <c r="B39" s="1436"/>
      <c r="C39" s="1436"/>
      <c r="D39" s="1437"/>
      <c r="E39" s="1437"/>
      <c r="F39" s="1437"/>
      <c r="G39" s="1437"/>
      <c r="H39" s="1437"/>
      <c r="I39" s="1437"/>
      <c r="J39" s="1438" t="str">
        <f>IF(Data!L32=1,IF(Data!B14&lt;&gt;"",Data!B14,"")&amp;"  "&amp;IF(Data!B14&lt;&gt;"N/A",IF(Data!B15&lt;&gt;"",TEXT(Data!B15,"MM/DD/YYYY"),""),""),"")</f>
        <v xml:space="preserve">  </v>
      </c>
      <c r="K39" s="1438"/>
      <c r="L39" s="1438"/>
      <c r="M39" s="1438"/>
      <c r="N39" s="1438"/>
      <c r="O39" s="1438"/>
      <c r="P39" s="1437" t="s">
        <v>1059</v>
      </c>
      <c r="Q39" s="1437"/>
      <c r="R39" s="1437"/>
      <c r="S39" s="1437"/>
      <c r="T39" s="1437"/>
      <c r="U39" s="1437"/>
      <c r="V39" s="1501"/>
      <c r="W39" s="1501"/>
      <c r="X39" s="1501"/>
      <c r="Y39" s="1501"/>
      <c r="Z39" s="1501"/>
      <c r="AA39" s="1502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</row>
    <row r="40" spans="1:66" ht="3.75" customHeight="1" thickBot="1" x14ac:dyDescent="0.4">
      <c r="A40" s="407"/>
      <c r="B40" s="408"/>
      <c r="C40" s="408"/>
      <c r="D40" s="408"/>
      <c r="E40" s="408"/>
      <c r="F40" s="408"/>
      <c r="G40" s="408"/>
      <c r="H40" s="408"/>
      <c r="I40" s="408"/>
      <c r="J40" s="408"/>
      <c r="K40" s="408"/>
      <c r="L40" s="408"/>
      <c r="M40" s="408"/>
      <c r="N40" s="408"/>
      <c r="O40" s="408"/>
      <c r="P40" s="409"/>
      <c r="Q40" s="409"/>
      <c r="R40" s="409"/>
      <c r="S40" s="408"/>
      <c r="T40" s="408"/>
      <c r="U40" s="408"/>
      <c r="V40" s="408"/>
      <c r="W40" s="408"/>
      <c r="X40" s="408"/>
      <c r="Y40" s="406"/>
      <c r="Z40" s="406"/>
      <c r="AA40" s="405"/>
    </row>
    <row r="41" spans="1:66" ht="11.25" customHeight="1" thickBot="1" x14ac:dyDescent="0.4">
      <c r="A41" s="1460" t="s">
        <v>39</v>
      </c>
      <c r="B41" s="1461"/>
      <c r="C41" s="1461"/>
      <c r="D41" s="1461"/>
      <c r="E41" s="1461"/>
      <c r="F41" s="1461"/>
      <c r="G41" s="1461"/>
      <c r="H41" s="1461"/>
      <c r="I41" s="1461"/>
      <c r="J41" s="1461"/>
      <c r="K41" s="1461"/>
      <c r="L41" s="1461"/>
      <c r="M41" s="1461"/>
      <c r="N41" s="1461"/>
      <c r="O41" s="1461"/>
      <c r="P41" s="1461"/>
      <c r="Q41" s="1461"/>
      <c r="R41" s="1461"/>
      <c r="S41" s="1461"/>
      <c r="T41" s="1461"/>
      <c r="U41" s="1461"/>
      <c r="V41" s="1461"/>
      <c r="W41" s="1461"/>
      <c r="X41" s="1461"/>
      <c r="Y41" s="1461"/>
      <c r="Z41" s="1461"/>
      <c r="AA41" s="1462"/>
    </row>
    <row r="42" spans="1:66" ht="10.5" customHeight="1" x14ac:dyDescent="0.35">
      <c r="A42" s="1473" t="s">
        <v>108</v>
      </c>
      <c r="B42" s="1467"/>
      <c r="C42" s="1467" t="s">
        <v>40</v>
      </c>
      <c r="D42" s="1467"/>
      <c r="E42" s="1467" t="s">
        <v>41</v>
      </c>
      <c r="F42" s="1467"/>
      <c r="G42" s="1467"/>
      <c r="H42" s="1467" t="s">
        <v>730</v>
      </c>
      <c r="I42" s="1467"/>
      <c r="J42" s="1467"/>
      <c r="K42" s="1467" t="s">
        <v>43</v>
      </c>
      <c r="L42" s="1467"/>
      <c r="M42" s="1467"/>
      <c r="N42" s="1467"/>
      <c r="O42" s="1467"/>
      <c r="P42" s="1467"/>
      <c r="Q42" s="1467"/>
      <c r="R42" s="1463" t="s">
        <v>44</v>
      </c>
      <c r="S42" s="1463"/>
      <c r="T42" s="1463"/>
      <c r="U42" s="1463"/>
      <c r="V42" s="1463"/>
      <c r="W42" s="1463"/>
      <c r="X42" s="1463"/>
      <c r="Y42" s="1463"/>
      <c r="Z42" s="1463"/>
      <c r="AA42" s="1464"/>
      <c r="AJ42" t="s">
        <v>2488</v>
      </c>
    </row>
    <row r="43" spans="1:66" ht="12" customHeight="1" x14ac:dyDescent="0.35">
      <c r="A43" s="1474"/>
      <c r="B43" s="1468"/>
      <c r="C43" s="1468"/>
      <c r="D43" s="1468"/>
      <c r="E43" s="1468"/>
      <c r="F43" s="1468"/>
      <c r="G43" s="1468"/>
      <c r="H43" s="1468"/>
      <c r="I43" s="1468"/>
      <c r="J43" s="1468"/>
      <c r="K43" s="1468"/>
      <c r="L43" s="1468"/>
      <c r="M43" s="1468"/>
      <c r="N43" s="1468"/>
      <c r="O43" s="1468"/>
      <c r="P43" s="1468"/>
      <c r="Q43" s="1468"/>
      <c r="R43" s="1465"/>
      <c r="S43" s="1465"/>
      <c r="T43" s="1465"/>
      <c r="U43" s="1465"/>
      <c r="V43" s="1465"/>
      <c r="W43" s="1465"/>
      <c r="X43" s="1465"/>
      <c r="Y43" s="1465"/>
      <c r="Z43" s="1465"/>
      <c r="AA43" s="1466"/>
    </row>
    <row r="44" spans="1:66" ht="15" customHeight="1" x14ac:dyDescent="0.35">
      <c r="A44" s="1419">
        <f>IF(TRIM(H44)="","",IF(Data!CX60&gt;0,IF(Data!CX60&lt;&gt;"", Data!CX60, " ")," "))</f>
        <v>1</v>
      </c>
      <c r="B44" s="1420"/>
      <c r="C44" s="1420">
        <f>IF(Data!$G$32="Cutter Debraze",Data!O12,IF(Data!$L$32=1,IF(Quotation!$W$27=550,0,IF('Eng. Cutter Entry'!C4&lt;&gt;"",IF(Data!E12&gt;0,IF(Data!E12&lt;&gt;"", Data!E12,0),0),'ARDT Cutter Entry'!AQ2+'ARDT Cutter Entry'!AQ3+'ARDT Cutter Entry'!AQ4+'ARDT Cutter Entry'!AQ5)),""))</f>
        <v>0</v>
      </c>
      <c r="D44" s="1420"/>
      <c r="E44" s="1420">
        <f>IF(Data!GK2&gt;0,IF(Data!GK2&lt;&gt;"",Data!GK2," ")," ")</f>
        <v>1613</v>
      </c>
      <c r="F44" s="1420"/>
      <c r="G44" s="1420"/>
      <c r="H44" s="1420">
        <f>IF(Data!GG2&gt;0,IF(Data!GG2&lt;&gt;"",IF(Data!GG2&lt;&gt;"Add the cutter in list",Data!GG2,""),""),"")</f>
        <v>1039060</v>
      </c>
      <c r="I44" s="1420"/>
      <c r="J44" s="1420"/>
      <c r="K44" s="1420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CT138  0.018"</v>
      </c>
      <c r="L44" s="1420"/>
      <c r="M44" s="1420"/>
      <c r="N44" s="1420"/>
      <c r="O44" s="1420"/>
      <c r="P44" s="1420"/>
      <c r="Q44" s="1420"/>
      <c r="R44" s="1420" t="str">
        <f>IF(Data!M12&lt;&gt;"", Data!M12,
IF(H44=1228501, "[" &amp; INDEX(C:C, MATCH(1228502, H:H, 0)) &amp; " NEW]",
IF(OR(EXACT(Data!$G$32, "EDL"), EXACT(Data!$G$32, "Cutter Debraze"), EXACT(Data!$G$32, "Retrofit Bit Impact Arestor")), "",
IF(OR($Z$32="√", $Z$34="√"), "",
IF(IF(A44=Data!$D$4, Data!$G$4, IF(Evaluation!A44=Data!$D$5, Data!$G$5, IF(Evaluation!A44=Data!$D$6, Data!$G$6, IF(Data!BL46&lt;&gt;0, Data!BL46, " "))))=0, "",
IF(AND(A44=Data!$D$4, Data!$D$4&lt;&gt;""), "To Replace Cutter # " &amp; Data!$G$4,
IF(AND(Evaluation!A44=Data!$D$5, Data!$D$5&lt;&gt;""), "To Replace Cutter # " &amp; Data!$G$5,
IF(AND(Evaluation!A44=Data!$D$6, Data!$D$6&lt;&gt;""), "To Replace Cutter # " &amp; Data!$G$6,
IF(AND(Evaluation!A44=Data!$D$7, Data!$D$7&lt;&gt;""), "To Replace Cutter # " &amp; Data!$G$7,
IF(AND(Evaluation!A44=Data!$D$8, Data!$D$8&lt;&gt;""), "To Replace Cutter # " &amp; Data!$G$8,
IF(Data!BL46&lt;&gt;0, Data!BL46, " ")
))))))) &amp;
IF(Data!$L$32=1,
    IF('Eval-LSTK'!X45&lt;&gt;"", " [" &amp; 'Eval-LSTK'!X45 &amp; " New] ", "") &amp;
    IF('Eval-LSTK'!T45&lt;&gt;"", " [" &amp; 'Eval-LSTK'!T45 &amp; " Reclaim]", ""),
""))))</f>
        <v xml:space="preserve"> </v>
      </c>
      <c r="S44" s="1420"/>
      <c r="T44" s="1420"/>
      <c r="U44" s="1420"/>
      <c r="V44" s="1420"/>
      <c r="W44" s="1420"/>
      <c r="X44" s="1420"/>
      <c r="Y44" s="1420"/>
      <c r="Z44" s="1420"/>
      <c r="AA44" s="1421"/>
      <c r="AE44" t="str">
        <f>"["&amp;C44&amp;" ENO]"</f>
        <v>[0 ENO]</v>
      </c>
      <c r="AF44" t="str">
        <f>"[9 ENO]"</f>
        <v>[9 ENO]</v>
      </c>
      <c r="AG44" t="str">
        <f>"[33 New]"</f>
        <v>[33 New]</v>
      </c>
    </row>
    <row r="45" spans="1:66" ht="15" customHeight="1" x14ac:dyDescent="0.35">
      <c r="A45" s="1419">
        <f>IF(TRIM(H45)="","",IF(Data!CX61&gt;0,IF(Data!CX61&lt;&gt;"",Data!CX61," ")," "))</f>
        <v>2</v>
      </c>
      <c r="B45" s="1420"/>
      <c r="C45" s="1420">
        <f>IF(Data!$G$32="Cutter Debraze",Data!O13,IF(Data!$L$32=1,IF(Quotation!$W$27=550,0,IF('Eng. Cutter Entry'!C5&lt;&gt;"",IF(Data!E13&gt;0,IF(Data!E13&lt;&gt;"", Data!E13,0),0),'ARDT Cutter Entry'!$AR$2+'ARDT Cutter Entry'!$AR$3+'ARDT Cutter Entry'!$AR$4+'ARDT Cutter Entry'!$AR$5)),""))</f>
        <v>0</v>
      </c>
      <c r="D45" s="1420"/>
      <c r="E45" s="1420">
        <f>IF(Data!GK3&gt;0,IF(Data!GK3&lt;&gt;"",Data!GK3," ")," ")</f>
        <v>1608</v>
      </c>
      <c r="F45" s="1420"/>
      <c r="G45" s="1420"/>
      <c r="H45" s="1420">
        <f>IF(Data!GG3&gt;0,IF(Data!GG3&lt;&gt;"",IF(Data!GG3&lt;&gt;"Add the cutter in list",Data!GG3,""),""),"")</f>
        <v>1130197</v>
      </c>
      <c r="I45" s="1420"/>
      <c r="J45" s="1420"/>
      <c r="K45" s="1420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CT182  0.018</v>
      </c>
      <c r="L45" s="1420"/>
      <c r="M45" s="1420"/>
      <c r="N45" s="1420"/>
      <c r="O45" s="1420"/>
      <c r="P45" s="1420"/>
      <c r="Q45" s="1420"/>
      <c r="R45" s="1420" t="str">
        <f>IF(Data!M13&lt;&gt;"", Data!M13,
IF(H45=1228501, "[" &amp; INDEX(C:C, MATCH(1228502, H:H, 0)) &amp; " NEW]",
IF(OR(EXACT(Data!$G$32, "EDL"), EXACT(Data!$G$32, "Cutter Debraze"), EXACT(Data!$G$32, "Retrofit Bit Impact Arestor")), "",
IF(OR($Z$32="√", $Z$34="√"), "",
IF(IF(A45=Data!$D$4, Data!$G$4, IF(Evaluation!A45=Data!$D$5, Data!$G$5, IF(Evaluation!A45=Data!$D$6, Data!$G$6, IF(Data!BL47&lt;&gt;0, Data!BL47, " "))))=0, "",
IF(AND(A45=Data!$D$4, Data!$D$4&lt;&gt;""), "To Replace Cutter # " &amp; Data!$G$4,
IF(AND(Evaluation!A45=Data!$D$5, Data!$D$5&lt;&gt;""), "To Replace Cutter # " &amp; Data!$G$5,
IF(AND(Evaluation!A45=Data!$D$6, Data!$D$6&lt;&gt;""), "To Replace Cutter # " &amp; Data!$G$6,
IF(AND(Evaluation!A45=Data!$D$7, Data!$D$7&lt;&gt;""), "To Replace Cutter # " &amp; Data!$G$7,
IF(AND(Evaluation!A45=Data!$D$8, Data!$D$8&lt;&gt;""), "To Replace Cutter # " &amp; Data!$G$8,
IF(Data!BL47&lt;&gt;0, Data!BL47, " ")
))))))) &amp;
IF(Data!$L$32=1,
    IF('Eval-LSTK'!X46&lt;&gt;"", " [" &amp; 'Eval-LSTK'!X46 &amp; " New] ", "") &amp;
    IF('Eval-LSTK'!T46&lt;&gt;"", " [" &amp; 'Eval-LSTK'!T46 &amp; " Reclaim]", ""),
""))))</f>
        <v xml:space="preserve"> </v>
      </c>
      <c r="S45" s="1420"/>
      <c r="T45" s="1420"/>
      <c r="U45" s="1420"/>
      <c r="V45" s="1420"/>
      <c r="W45" s="1420"/>
      <c r="X45" s="1420"/>
      <c r="Y45" s="1420"/>
      <c r="Z45" s="1420"/>
      <c r="AA45" s="1421"/>
      <c r="AE45" t="str">
        <f t="shared" ref="AE45:AE60" si="0">"["&amp;C45&amp;" ENO]"</f>
        <v>[0 ENO]</v>
      </c>
    </row>
    <row r="46" spans="1:66" ht="15" customHeight="1" x14ac:dyDescent="0.35">
      <c r="A46" s="1419">
        <f>IF(TRIM(H46)="","",IF(Data!CX62&gt;0,IF(Data!CX62&lt;&gt;"",Data!CX62," ")," "))</f>
        <v>3</v>
      </c>
      <c r="B46" s="1420"/>
      <c r="C46" s="1420">
        <f>IF(Data!$G$32="Cutter Debraze",Data!O14,IF(Data!$L$32=1,IF(Quotation!$W$27=550,0,IF('Eng. Cutter Entry'!C6&lt;&gt;"",IF(Data!E14&gt;0,IF(Data!E14&lt;&gt;"", Data!E14,0),0),'ARDT Cutter Entry'!$AS$2+'ARDT Cutter Entry'!$AS$3+'ARDT Cutter Entry'!$AS$4+'ARDT Cutter Entry'!$AS$5)),""))</f>
        <v>6</v>
      </c>
      <c r="D46" s="1420"/>
      <c r="E46" s="1420">
        <f>IF(Data!GK4&gt;0,IF(Data!GK4&lt;&gt;"",Data!GK4," ")," ")</f>
        <v>1308</v>
      </c>
      <c r="F46" s="1420"/>
      <c r="G46" s="1420"/>
      <c r="H46" s="1420">
        <f>IF(Data!GG4&gt;0,IF(Data!GG4&lt;&gt;"",IF(Data!GG4&lt;&gt;"Add the cutter in list",Data!GG4,""),""),"")</f>
        <v>418525</v>
      </c>
      <c r="I46" s="1420"/>
      <c r="J46" s="1420"/>
      <c r="K46" s="1420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L46" s="1420"/>
      <c r="M46" s="1420"/>
      <c r="N46" s="1420"/>
      <c r="O46" s="1420"/>
      <c r="P46" s="1420"/>
      <c r="Q46" s="1420"/>
      <c r="R46" s="1420" t="str">
        <f>IF(Data!M14&lt;&gt;"", Data!M14,
IF(H46=1228501, "[" &amp; INDEX(C:C, MATCH(1228502, H:H, 0)) &amp; " NEW]",
IF(OR(EXACT(Data!$G$32, "EDL"), EXACT(Data!$G$32, "Cutter Debraze"), EXACT(Data!$G$32, "Retrofit Bit Impact Arestor")), "",
IF(OR($Z$32="√", $Z$34="√"), "",
IF(IF(A46=Data!$D$4, Data!$G$4, IF(Evaluation!A46=Data!$D$5, Data!$G$5, IF(Evaluation!A46=Data!$D$6, Data!$G$6, IF(Data!BL48&lt;&gt;0, Data!BL48, " "))))=0, "",
IF(AND(A46=Data!$D$4, Data!$D$4&lt;&gt;""), "To Replace Cutter # " &amp; Data!$G$4,
IF(AND(Evaluation!A46=Data!$D$5, Data!$D$5&lt;&gt;""), "To Replace Cutter # " &amp; Data!$G$5,
IF(AND(Evaluation!A46=Data!$D$6, Data!$D$6&lt;&gt;""), "To Replace Cutter # " &amp; Data!$G$6,
IF(AND(Evaluation!A46=Data!$D$7, Data!$D$7&lt;&gt;""), "To Replace Cutter # " &amp; Data!$G$7,
IF(AND(Evaluation!A46=Data!$D$8, Data!$D$8&lt;&gt;""), "To Replace Cutter # " &amp; Data!$G$8,
IF(Data!BL48&lt;&gt;0, Data!BL48, " ")
))))))) &amp;
IF(Data!$L$32=1,
    IF('Eval-LSTK'!X47&lt;&gt;"", " [" &amp; 'Eval-LSTK'!X47 &amp; " New] ", "") &amp;
    IF('Eval-LSTK'!T47&lt;&gt;"", " [" &amp; 'Eval-LSTK'!T47 &amp; " Reclaim]", ""),
""))))</f>
        <v xml:space="preserve">  [6 New] </v>
      </c>
      <c r="S46" s="1420"/>
      <c r="T46" s="1420"/>
      <c r="U46" s="1420"/>
      <c r="V46" s="1420"/>
      <c r="W46" s="1420"/>
      <c r="X46" s="1420"/>
      <c r="Y46" s="1420"/>
      <c r="Z46" s="1420"/>
      <c r="AA46" s="1421"/>
      <c r="AE46" t="str">
        <f t="shared" si="0"/>
        <v>[6 ENO]</v>
      </c>
      <c r="AG46" t="s">
        <v>2056</v>
      </c>
      <c r="AH46" t="s">
        <v>2055</v>
      </c>
    </row>
    <row r="47" spans="1:66" ht="15" customHeight="1" x14ac:dyDescent="0.35">
      <c r="A47" s="1419">
        <f>IF(TRIM(H47)="","",IF(Data!CX63&gt;0,IF(Data!CX63&lt;&gt;"",Data!CX63," ")," "))</f>
        <v>4</v>
      </c>
      <c r="B47" s="1420"/>
      <c r="C47" s="1420">
        <f>IF(Data!$G$32="Cutter Debraze",Data!O15,IF(Data!$L$32=1,IF(Quotation!$W$27=550,0,IF('Eng. Cutter Entry'!C7&lt;&gt;"",IF(Data!E15&gt;0,IF(Data!E15&lt;&gt;"", Data!E15,0),0),'ARDT Cutter Entry'!$AT$2+'ARDT Cutter Entry'!$AT$3+'ARDT Cutter Entry'!$AT$4+'ARDT Cutter Entry'!$AT$5)),""))</f>
        <v>6</v>
      </c>
      <c r="D47" s="1420"/>
      <c r="E47" s="1420">
        <f>IF(Data!GK5&gt;0,IF(Data!GK5&lt;&gt;"",Data!GK5," ")," ")</f>
        <v>1608</v>
      </c>
      <c r="F47" s="1420"/>
      <c r="G47" s="1420"/>
      <c r="H47" s="1420">
        <f>IF(Data!GG5&gt;0,IF(Data!GG5&lt;&gt;"",IF(Data!GG5&lt;&gt;"Add the cutter in list",Data!GG5,""),""),"")</f>
        <v>643738</v>
      </c>
      <c r="I47" s="1420"/>
      <c r="J47" s="1420"/>
      <c r="K47" s="1420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CT70  0.018"</v>
      </c>
      <c r="L47" s="1420"/>
      <c r="M47" s="1420"/>
      <c r="N47" s="1420"/>
      <c r="O47" s="1420"/>
      <c r="P47" s="1420"/>
      <c r="Q47" s="1420"/>
      <c r="R47" s="1420" t="str">
        <f>IF(Data!M15&lt;&gt;"", Data!M15,
IF(H47=1228501, "[" &amp; INDEX(C:C, MATCH(1228502, H:H, 0)) &amp; " NEW]",
IF(OR(EXACT(Data!$G$32, "EDL"), EXACT(Data!$G$32, "Cutter Debraze"), EXACT(Data!$G$32, "Retrofit Bit Impact Arestor")), "",
IF(OR($Z$32="√", $Z$34="√"), "",
IF(IF(A47=Data!$D$4, Data!$G$4, IF(Evaluation!A47=Data!$D$5, Data!$G$5, IF(Evaluation!A47=Data!$D$6, Data!$G$6, IF(Data!BL49&lt;&gt;0, Data!BL49, " "))))=0, "",
IF(AND(A47=Data!$D$4, Data!$D$4&lt;&gt;""), "To Replace Cutter # " &amp; Data!$G$4,
IF(AND(Evaluation!A47=Data!$D$5, Data!$D$5&lt;&gt;""), "To Replace Cutter # " &amp; Data!$G$5,
IF(AND(Evaluation!A47=Data!$D$6, Data!$D$6&lt;&gt;""), "To Replace Cutter # " &amp; Data!$G$6,
IF(AND(Evaluation!A47=Data!$D$7, Data!$D$7&lt;&gt;""), "To Replace Cutter # " &amp; Data!$G$7,
IF(AND(Evaluation!A47=Data!$D$8, Data!$D$8&lt;&gt;""), "To Replace Cutter # " &amp; Data!$G$8,
IF(Data!BL49&lt;&gt;0, Data!BL49, " ")
))))))) &amp;
IF(Data!$L$32=1,
    IF('Eval-LSTK'!X48&lt;&gt;"", " [" &amp; 'Eval-LSTK'!X48 &amp; " New] ", "") &amp;
    IF('Eval-LSTK'!T48&lt;&gt;"", " [" &amp; 'Eval-LSTK'!T48 &amp; " Reclaim]", ""),
""))))</f>
        <v>[ ENO GRD 6]</v>
      </c>
      <c r="S47" s="1420"/>
      <c r="T47" s="1420"/>
      <c r="U47" s="1420"/>
      <c r="V47" s="1420"/>
      <c r="W47" s="1420"/>
      <c r="X47" s="1420"/>
      <c r="Y47" s="1420"/>
      <c r="Z47" s="1420"/>
      <c r="AA47" s="1421"/>
      <c r="AE47" t="str">
        <f t="shared" si="0"/>
        <v>[6 ENO]</v>
      </c>
      <c r="AI47" t="str">
        <f>IF(H48=1228501, "[" &amp; INDEX(C:C, MATCH(1228502, H:H, 0)) &amp; " NEW]", "")</f>
        <v/>
      </c>
    </row>
    <row r="48" spans="1:66" ht="15" customHeight="1" x14ac:dyDescent="0.35">
      <c r="A48" s="1419">
        <f>IF(TRIM(H48)="","",IF(Data!CX64&gt;0,IF(Data!CX64&lt;&gt;"",Data!CX64," ")," "))</f>
        <v>5</v>
      </c>
      <c r="B48" s="1420"/>
      <c r="C48" s="1420">
        <f>IF(Data!$G$32="Cutter Debraze",Data!O16,IF(Data!$L$32=1,IF(Quotation!$W$27=550,0,IF('Eng. Cutter Entry'!C8&lt;&gt;"",IF(Data!E16&gt;0,IF(Data!E16&lt;&gt;"", Data!E16,0),0),'ARDT Cutter Entry'!$AU$2+'ARDT Cutter Entry'!$AU$3+'ARDT Cutter Entry'!$AU$4+'ARDT Cutter Entry'!$AU$5)),""))</f>
        <v>21</v>
      </c>
      <c r="D48" s="1420"/>
      <c r="E48" s="1420">
        <f>IF(Data!GK6&gt;0,IF(Data!GK6&lt;&gt;"",Data!GK6," ")," ")</f>
        <v>1613</v>
      </c>
      <c r="F48" s="1420"/>
      <c r="G48" s="1420"/>
      <c r="H48" s="1420">
        <f>IF(Data!GG6&gt;0,IF(Data!GG6&lt;&gt;"",IF(Data!GG6&lt;&gt;"Add the cutter in list",Data!GG6,""),""),"")</f>
        <v>1126402</v>
      </c>
      <c r="I48" s="1420"/>
      <c r="J48" s="1420"/>
      <c r="K48" s="1420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>CT421  18-60</v>
      </c>
      <c r="L48" s="1420"/>
      <c r="M48" s="1420"/>
      <c r="N48" s="1420"/>
      <c r="O48" s="1420"/>
      <c r="P48" s="1420"/>
      <c r="Q48" s="1420"/>
      <c r="R48" s="1420" t="str">
        <f>IF(Data!M16&lt;&gt;"", Data!M16,
IF(H48=1228501, "[" &amp; INDEX(C:C, MATCH(1228502, H:H, 0)) &amp; " NEW]",
IF(OR(EXACT(Data!$G$32, "EDL"), EXACT(Data!$G$32, "Cutter Debraze"), EXACT(Data!$G$32, "Retrofit Bit Impact Arestor")), "",
IF(OR($Z$32="√", $Z$34="√"), "",
IF(IF(A48=Data!$D$4, Data!$G$4, IF(Evaluation!A48=Data!$D$5, Data!$G$5, IF(Evaluation!A48=Data!$D$6, Data!$G$6, IF(Data!BL50&lt;&gt;0, Data!BL50, " "))))=0, "",
IF(AND(A48=Data!$D$4, Data!$D$4&lt;&gt;""), "To Replace Cutter # " &amp; Data!$G$4,
IF(AND(Evaluation!A48=Data!$D$5, Data!$D$5&lt;&gt;""), "To Replace Cutter # " &amp; Data!$G$5,
IF(AND(Evaluation!A48=Data!$D$6, Data!$D$6&lt;&gt;""), "To Replace Cutter # " &amp; Data!$G$6,
IF(AND(Evaluation!A48=Data!$D$7, Data!$D$7&lt;&gt;""), "To Replace Cutter # " &amp; Data!$G$7,
IF(AND(Evaluation!A48=Data!$D$8, Data!$D$8&lt;&gt;""), "To Replace Cutter # " &amp; Data!$G$8,
IF(Data!BL50&lt;&gt;0, Data!BL50, " ")
))))))) &amp;
IF(Data!$L$32=1,
    IF('Eval-LSTK'!X49&lt;&gt;"", " [" &amp; 'Eval-LSTK'!X49 &amp; " New] ", "") &amp;
    IF('Eval-LSTK'!T49&lt;&gt;"", " [" &amp; 'Eval-LSTK'!T49 &amp; " Reclaim]", ""),
""))))</f>
        <v xml:space="preserve">To Replace Cutter # 1 [21 New] </v>
      </c>
      <c r="S48" s="1420"/>
      <c r="T48" s="1420"/>
      <c r="U48" s="1420"/>
      <c r="V48" s="1420"/>
      <c r="W48" s="1420"/>
      <c r="X48" s="1420"/>
      <c r="Y48" s="1420"/>
      <c r="Z48" s="1420"/>
      <c r="AA48" s="1421"/>
      <c r="AE48" t="str">
        <f t="shared" si="0"/>
        <v>[21 ENO]</v>
      </c>
    </row>
    <row r="49" spans="1:33" ht="15" customHeight="1" x14ac:dyDescent="0.35">
      <c r="A49" s="1419" t="str">
        <f>IF(TRIM(H49)="","",IF(Data!CX65&gt;0,IF(Data!CX65&lt;&gt;"",Data!CX65," ")," "))</f>
        <v/>
      </c>
      <c r="B49" s="1420"/>
      <c r="C49" s="1420">
        <f>IF(Data!$G$32="Cutter Debraze",Data!O17,IF(Data!$L$32=1,IF(Quotation!$W$27=550,0,IF('Eng. Cutter Entry'!C9&lt;&gt;"",IF(Data!E17&gt;0,IF(Data!E17&lt;&gt;"", Data!E17,0),0),'ARDT Cutter Entry'!$AV$2+'ARDT Cutter Entry'!$AV$3+'ARDT Cutter Entry'!$AV$4+'ARDT Cutter Entry'!$AV$5)),""))</f>
        <v>0</v>
      </c>
      <c r="D49" s="1420"/>
      <c r="E49" s="1420" t="str">
        <f>IF(Data!GK7&gt;0,IF(Data!GK7&lt;&gt;"",Data!GK7," ")," ")</f>
        <v xml:space="preserve"> </v>
      </c>
      <c r="F49" s="1420"/>
      <c r="G49" s="1420"/>
      <c r="H49" s="1420" t="str">
        <f>IF(Data!GG7&gt;0,IF(Data!GG7&lt;&gt;"",IF(Data!GG7&lt;&gt;"Add the cutter in list",Data!GG7,""),""),"")</f>
        <v/>
      </c>
      <c r="I49" s="1420"/>
      <c r="J49" s="1420"/>
      <c r="K49" s="1420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L49" s="1420"/>
      <c r="M49" s="1420"/>
      <c r="N49" s="1420"/>
      <c r="O49" s="1420"/>
      <c r="P49" s="1420"/>
      <c r="Q49" s="1420"/>
      <c r="R49" s="1420" t="str">
        <f>IF(Data!M17&lt;&gt;"", Data!M17,
IF(H49=1228501, "[" &amp; INDEX(C:C, MATCH(1228502, H:H, 0)) &amp; " NEW]",
IF(OR(EXACT(Data!$G$32, "EDL"), EXACT(Data!$G$32, "Cutter Debraze"), EXACT(Data!$G$32, "Retrofit Bit Impact Arestor")), "",
IF(OR($Z$32="√", $Z$34="√"), "",
IF(IF(A49=Data!$D$4, Data!$G$4, IF(Evaluation!A49=Data!$D$5, Data!$G$5, IF(Evaluation!A49=Data!$D$6, Data!$G$6, IF(Data!BL51&lt;&gt;0, Data!BL51, " "))))=0, "",
IF(AND(A49=Data!$D$4, Data!$D$4&lt;&gt;""), "To Replace Cutter # " &amp; Data!$G$4,
IF(AND(Evaluation!A49=Data!$D$5, Data!$D$5&lt;&gt;""), "To Replace Cutter # " &amp; Data!$G$5,
IF(AND(Evaluation!A49=Data!$D$6, Data!$D$6&lt;&gt;""), "To Replace Cutter # " &amp; Data!$G$6,
IF(AND(Evaluation!A49=Data!$D$7, Data!$D$7&lt;&gt;""), "To Replace Cutter # " &amp; Data!$G$7,
IF(AND(Evaluation!A49=Data!$D$8, Data!$D$8&lt;&gt;""), "To Replace Cutter # " &amp; Data!$G$8,
IF(Data!BL51&lt;&gt;0, Data!BL51, " ")
))))))) &amp;
IF(Data!$L$32=1,
    IF('Eval-LSTK'!X50&lt;&gt;"", " [" &amp; 'Eval-LSTK'!X50 &amp; " New] ", "") &amp;
    IF('Eval-LSTK'!T50&lt;&gt;"", " [" &amp; 'Eval-LSTK'!T50 &amp; " Reclaim]", ""),
""))))</f>
        <v/>
      </c>
      <c r="S49" s="1420"/>
      <c r="T49" s="1420"/>
      <c r="U49" s="1420"/>
      <c r="V49" s="1420"/>
      <c r="W49" s="1420"/>
      <c r="X49" s="1420"/>
      <c r="Y49" s="1420"/>
      <c r="Z49" s="1420"/>
      <c r="AA49" s="1421"/>
      <c r="AE49" t="str">
        <f t="shared" si="0"/>
        <v>[0 ENO]</v>
      </c>
    </row>
    <row r="50" spans="1:33" ht="15" customHeight="1" x14ac:dyDescent="0.35">
      <c r="A50" s="1419" t="str">
        <f>IF(TRIM(H50)="","",IF(Data!CX66&gt;0,IF(Data!CX66&lt;&gt;"",Data!CX66," ")," "))</f>
        <v/>
      </c>
      <c r="B50" s="1420"/>
      <c r="C50" s="1420">
        <f>IF(Data!$G$32="Cutter Debraze",Data!O18,IF(Data!$L$32=1,IF(Quotation!$W$27=550,0,IF('Eng. Cutter Entry'!C10&lt;&gt;"",IF(Data!E18&gt;0,IF(Data!E18&lt;&gt;"", Data!E18,0),0),'ARDT Cutter Entry'!$AW$2+'ARDT Cutter Entry'!$AW$3+'ARDT Cutter Entry'!$AW$4+'ARDT Cutter Entry'!$AW$5)),""))</f>
        <v>0</v>
      </c>
      <c r="D50" s="1420"/>
      <c r="E50" s="1420" t="str">
        <f>IF(Data!GK8&gt;0,IF(Data!GK8&lt;&gt;"",Data!GK8," ")," ")</f>
        <v xml:space="preserve"> </v>
      </c>
      <c r="F50" s="1420"/>
      <c r="G50" s="1420"/>
      <c r="H50" s="1420" t="str">
        <f>IF(Data!GG8&gt;0,IF(Data!GG8&lt;&gt;"",IF(Data!GG8&lt;&gt;"Add the cutter in list",Data!GG8,""),""),"")</f>
        <v/>
      </c>
      <c r="I50" s="1420"/>
      <c r="J50" s="1420"/>
      <c r="K50" s="1420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L50" s="1420"/>
      <c r="M50" s="1420"/>
      <c r="N50" s="1420"/>
      <c r="O50" s="1420"/>
      <c r="P50" s="1420"/>
      <c r="Q50" s="1420"/>
      <c r="R50" s="1420" t="str">
        <f>IF(Data!M18&lt;&gt;"", Data!M18,
IF(H50=1228501, "[" &amp; INDEX(C:C, MATCH(1228502, H:H, 0)) &amp; " NEW]",
IF(OR(EXACT(Data!$G$32, "EDL"), EXACT(Data!$G$32, "Cutter Debraze"), EXACT(Data!$G$32, "Retrofit Bit Impact Arestor")), "",
IF(OR($Z$32="√", $Z$34="√"), "",
IF(IF(A50=Data!$D$4, Data!$G$4, IF(Evaluation!A50=Data!$D$5, Data!$G$5, IF(Evaluation!A50=Data!$D$6, Data!$G$6, IF(Data!BL52&lt;&gt;0, Data!BL52, " "))))=0, "",
IF(AND(A50=Data!$D$4, Data!$D$4&lt;&gt;""), "To Replace Cutter # " &amp; Data!$G$4,
IF(AND(Evaluation!A50=Data!$D$5, Data!$D$5&lt;&gt;""), "To Replace Cutter # " &amp; Data!$G$5,
IF(AND(Evaluation!A50=Data!$D$6, Data!$D$6&lt;&gt;""), "To Replace Cutter # " &amp; Data!$G$6,
IF(AND(Evaluation!A50=Data!$D$7, Data!$D$7&lt;&gt;""), "To Replace Cutter # " &amp; Data!$G$7,
IF(AND(Evaluation!A50=Data!$D$8, Data!$D$8&lt;&gt;""), "To Replace Cutter # " &amp; Data!$G$8,
IF(Data!BL52&lt;&gt;0, Data!BL52, " ")
))))))) &amp;
IF(Data!$L$32=1,
    IF('Eval-LSTK'!X51&lt;&gt;"", " [" &amp; 'Eval-LSTK'!X51 &amp; " New] ", "") &amp;
    IF('Eval-LSTK'!T51&lt;&gt;"", " [" &amp; 'Eval-LSTK'!T51 &amp; " Reclaim]", ""),
""))))</f>
        <v/>
      </c>
      <c r="S50" s="1420"/>
      <c r="T50" s="1420"/>
      <c r="U50" s="1420"/>
      <c r="V50" s="1420"/>
      <c r="W50" s="1420"/>
      <c r="X50" s="1420"/>
      <c r="Y50" s="1420"/>
      <c r="Z50" s="1420"/>
      <c r="AA50" s="1421"/>
      <c r="AE50" t="str">
        <f t="shared" si="0"/>
        <v>[0 ENO]</v>
      </c>
      <c r="AG50" t="s">
        <v>2489</v>
      </c>
    </row>
    <row r="51" spans="1:33" ht="15" customHeight="1" x14ac:dyDescent="0.35">
      <c r="A51" s="1419" t="str">
        <f>IF(TRIM(H51)="","",IF(Data!CX67&gt;0,IF(Data!CX67&lt;&gt;"",Data!CX67," ")," "))</f>
        <v/>
      </c>
      <c r="B51" s="1420"/>
      <c r="C51" s="1420">
        <f>IF(Data!$G$32="Cutter Debraze",Data!O16,IF(Data!$L$32=1,IF(Quotation!$W$27=550,0,IF('Eng. Cutter Entry'!C8&lt;&gt;"",IF(Data!E16&gt;0,IF(Data!E16&lt;&gt;"", Data!E16,0),0),'ARDT Cutter Entry'!$AX$2+'ARDT Cutter Entry'!$AX$3+'ARDT Cutter Entry'!$AX$4+'ARDT Cutter Entry'!$AX$5)),""))</f>
        <v>0</v>
      </c>
      <c r="D51" s="1420"/>
      <c r="E51" s="1420" t="str">
        <f>IF(Data!GK9&gt;0,IF(Data!GK9&lt;&gt;"",Data!GK9," ")," ")</f>
        <v xml:space="preserve"> </v>
      </c>
      <c r="F51" s="1420"/>
      <c r="G51" s="1420"/>
      <c r="H51" s="1420" t="str">
        <f>IF(Data!GG9&gt;0,IF(Data!GG9&lt;&gt;"",IF(Data!GG9&lt;&gt;"Add the cutter in list",Data!GG9,""),""),"")</f>
        <v/>
      </c>
      <c r="I51" s="1420"/>
      <c r="J51" s="1420"/>
      <c r="K51" s="1420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L51" s="1420"/>
      <c r="M51" s="1420"/>
      <c r="N51" s="1420"/>
      <c r="O51" s="1420"/>
      <c r="P51" s="1420"/>
      <c r="Q51" s="1420"/>
      <c r="R51" s="1420" t="str">
        <f>IF(Data!M19&lt;&gt;"", Data!M19,
IF(H51=1228501, "[" &amp; INDEX(C:C, MATCH(1228502, H:H, 0)) &amp; " NEW]",
IF(OR(EXACT(Data!$G$32, "EDL"), EXACT(Data!$G$32, "Cutter Debraze"), EXACT(Data!$G$32, "Retrofit Bit Impact Arestor")), "",
IF(OR($Z$32="√", $Z$34="√"), "",
IF(IF(A51=Data!$D$4, Data!$G$4, IF(Evaluation!A51=Data!$D$5, Data!$G$5, IF(Evaluation!A51=Data!$D$6, Data!$G$6, IF(Data!BL53&lt;&gt;0, Data!BL53, " "))))=0, "",
IF(AND(A51=Data!$D$4, Data!$D$4&lt;&gt;""), "To Replace Cutter # " &amp; Data!$G$4,
IF(AND(Evaluation!A51=Data!$D$5, Data!$D$5&lt;&gt;""), "To Replace Cutter # " &amp; Data!$G$5,
IF(AND(Evaluation!A51=Data!$D$6, Data!$D$6&lt;&gt;""), "To Replace Cutter # " &amp; Data!$G$6,
IF(AND(Evaluation!A51=Data!$D$7, Data!$D$7&lt;&gt;""), "To Replace Cutter # " &amp; Data!$G$7,
IF(AND(Evaluation!A51=Data!$D$8, Data!$D$8&lt;&gt;""), "To Replace Cutter # " &amp; Data!$G$8,
IF(Data!BL53&lt;&gt;0, Data!BL53, " ")
))))))) &amp;
IF(Data!$L$32=1,
    IF('Eval-LSTK'!X52&lt;&gt;"", " [" &amp; 'Eval-LSTK'!X52 &amp; " New] ", "") &amp;
    IF('Eval-LSTK'!T52&lt;&gt;"", " [" &amp; 'Eval-LSTK'!T52 &amp; " Reclaim]", ""),
""))))</f>
        <v/>
      </c>
      <c r="S51" s="1420"/>
      <c r="T51" s="1420"/>
      <c r="U51" s="1420"/>
      <c r="V51" s="1420"/>
      <c r="W51" s="1420"/>
      <c r="X51" s="1420"/>
      <c r="Y51" s="1420"/>
      <c r="Z51" s="1420"/>
      <c r="AA51" s="1421"/>
      <c r="AE51" t="str">
        <f t="shared" ref="AE51:AE56" si="1">"["&amp;C51&amp;" ENO]"</f>
        <v>[0 ENO]</v>
      </c>
      <c r="AG51" t="s">
        <v>2514</v>
      </c>
    </row>
    <row r="52" spans="1:33" ht="15" customHeight="1" x14ac:dyDescent="0.35">
      <c r="A52" s="1419" t="str">
        <f>IF(TRIM(H52)="","",IF(Data!CX68&gt;0,IF(Data!CX68&lt;&gt;"",Data!CX68," ")," "))</f>
        <v/>
      </c>
      <c r="B52" s="1420"/>
      <c r="C52" s="1420">
        <f>IF(Data!$G$32="Cutter Debraze",Data!O17,IF(Data!$L$32=1,IF(Quotation!$W$27=550,0,IF('Eng. Cutter Entry'!C9&lt;&gt;"",IF(Data!E17&gt;0,IF(Data!E17&lt;&gt;"", Data!E17,0),0),'ARDT Cutter Entry'!$AY$2+'ARDT Cutter Entry'!$AY$3+'ARDT Cutter Entry'!$AY$4+'ARDT Cutter Entry'!$AY$5)),""))</f>
        <v>0</v>
      </c>
      <c r="D52" s="1420"/>
      <c r="E52" s="1420" t="str">
        <f>IF(Data!GK10&gt;0,IF(Data!GK10&lt;&gt;"",Data!GK10," ")," ")</f>
        <v xml:space="preserve"> </v>
      </c>
      <c r="F52" s="1420"/>
      <c r="G52" s="1420"/>
      <c r="H52" s="1420" t="str">
        <f>IF(Data!GG10&gt;0,IF(Data!GG10&lt;&gt;"",IF(Data!GG10&lt;&gt;"Add the cutter in list",Data!GG10,""),""),"")</f>
        <v/>
      </c>
      <c r="I52" s="1420"/>
      <c r="J52" s="1420"/>
      <c r="K52" s="1420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L52" s="1420"/>
      <c r="M52" s="1420"/>
      <c r="N52" s="1420"/>
      <c r="O52" s="1420"/>
      <c r="P52" s="1420"/>
      <c r="Q52" s="1420"/>
      <c r="R52" s="1420" t="str">
        <f>IF(Data!M20&lt;&gt;"", Data!M20,
IF(H52=1228501, "[" &amp; INDEX(C:C, MATCH(1228502, H:H, 0)) &amp; " NEW]",
IF(OR(EXACT(Data!$G$32, "EDL"), EXACT(Data!$G$32, "Cutter Debraze"), EXACT(Data!$G$32, "Retrofit Bit Impact Arestor")), "",
IF(OR($Z$32="√", $Z$34="√"), "",
IF(IF(A52=Data!$D$4, Data!$G$4, IF(Evaluation!A52=Data!$D$5, Data!$G$5, IF(Evaluation!A52=Data!$D$6, Data!$G$6, IF(Data!BL54&lt;&gt;0, Data!BL54, " "))))=0, "",
IF(AND(A52=Data!$D$4, Data!$D$4&lt;&gt;""), "To Replace Cutter # " &amp; Data!$G$4,
IF(AND(Evaluation!A52=Data!$D$5, Data!$D$5&lt;&gt;""), "To Replace Cutter # " &amp; Data!$G$5,
IF(AND(Evaluation!A52=Data!$D$6, Data!$D$6&lt;&gt;""), "To Replace Cutter # " &amp; Data!$G$6,
IF(AND(Evaluation!A52=Data!$D$7, Data!$D$7&lt;&gt;""), "To Replace Cutter # " &amp; Data!$G$7,
IF(AND(Evaluation!A52=Data!$D$8, Data!$D$8&lt;&gt;""), "To Replace Cutter # " &amp; Data!$G$8,
IF(Data!BL54&lt;&gt;0, Data!BL54, " ")
))))))) &amp;
IF(Data!$L$32=1,
    IF('Eval-LSTK'!X53&lt;&gt;"", " [" &amp; 'Eval-LSTK'!X53 &amp; " New] ", "") &amp;
    IF('Eval-LSTK'!T53&lt;&gt;"", " [" &amp; 'Eval-LSTK'!T53 &amp; " Reclaim]", ""),
""))))</f>
        <v/>
      </c>
      <c r="S52" s="1420"/>
      <c r="T52" s="1420"/>
      <c r="U52" s="1420"/>
      <c r="V52" s="1420"/>
      <c r="W52" s="1420"/>
      <c r="X52" s="1420"/>
      <c r="Y52" s="1420"/>
      <c r="Z52" s="1420"/>
      <c r="AA52" s="1421"/>
      <c r="AE52" t="str">
        <f t="shared" si="1"/>
        <v>[0 ENO]</v>
      </c>
    </row>
    <row r="53" spans="1:33" ht="15" customHeight="1" x14ac:dyDescent="0.35">
      <c r="A53" s="1419" t="str">
        <f>IF(TRIM(H53)="","",IF(Data!CX69&gt;0,IF(Data!CX69&lt;&gt;"",Data!CX69," ")," "))</f>
        <v/>
      </c>
      <c r="B53" s="1420"/>
      <c r="C53" s="1420">
        <f>IF(Data!$G$32="Cutter Debraze",Data!O18,IF(Data!$L$32=1,IF(Quotation!$W$27=550,0,IF('Eng. Cutter Entry'!C10&lt;&gt;"",IF(Data!E18&gt;0,IF(Data!E18&lt;&gt;"", Data!E18,0),0),'ARDT Cutter Entry'!$AZ$2+'ARDT Cutter Entry'!$AZ$3+'ARDT Cutter Entry'!$AZ$4+'ARDT Cutter Entry'!$AZ$5)),""))</f>
        <v>0</v>
      </c>
      <c r="D53" s="1420"/>
      <c r="E53" s="1420" t="str">
        <f>IF(Data!GK11&gt;0,IF(Data!GK11&lt;&gt;"",Data!GK11," ")," ")</f>
        <v xml:space="preserve"> </v>
      </c>
      <c r="F53" s="1420"/>
      <c r="G53" s="1420"/>
      <c r="H53" s="1420" t="str">
        <f>IF(Data!GG11&gt;0,IF(Data!GG11&lt;&gt;"",IF(Data!GG11&lt;&gt;"Add the cutter in list",Data!GG11,""),""),"")</f>
        <v/>
      </c>
      <c r="I53" s="1420"/>
      <c r="J53" s="1420"/>
      <c r="K53" s="1420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L53" s="1420"/>
      <c r="M53" s="1420"/>
      <c r="N53" s="1420"/>
      <c r="O53" s="1420"/>
      <c r="P53" s="1420"/>
      <c r="Q53" s="1420"/>
      <c r="R53" s="1420" t="str">
        <f>IF(Data!M21&lt;&gt;"", Data!M21,
IF(H53=1228501, "[" &amp; INDEX(C:C, MATCH(1228502, H:H, 0)) &amp; " NEW]",
IF(OR(EXACT(Data!$G$32, "EDL"), EXACT(Data!$G$32, "Cutter Debraze"), EXACT(Data!$G$32, "Retrofit Bit Impact Arestor")), "",
IF(OR($Z$32="√", $Z$34="√"), "",
IF(IF(A53=Data!$D$4, Data!$G$4, IF(Evaluation!A53=Data!$D$5, Data!$G$5, IF(Evaluation!A53=Data!$D$6, Data!$G$6, IF(Data!BL55&lt;&gt;0, Data!BL55, " "))))=0, "",
IF(AND(A53=Data!$D$4, Data!$D$4&lt;&gt;""), "To Replace Cutter # " &amp; Data!$G$4,
IF(AND(Evaluation!A53=Data!$D$5, Data!$D$5&lt;&gt;""), "To Replace Cutter # " &amp; Data!$G$5,
IF(AND(Evaluation!A53=Data!$D$6, Data!$D$6&lt;&gt;""), "To Replace Cutter # " &amp; Data!$G$6,
IF(AND(Evaluation!A53=Data!$D$7, Data!$D$7&lt;&gt;""), "To Replace Cutter # " &amp; Data!$G$7,
IF(AND(Evaluation!A53=Data!$D$8, Data!$D$8&lt;&gt;""), "To Replace Cutter # " &amp; Data!$G$8,
IF(Data!BL55&lt;&gt;0, Data!BL55, " ")
))))))) &amp;
IF(Data!$L$32=1,
    IF('Eval-LSTK'!X54&lt;&gt;"", " [" &amp; 'Eval-LSTK'!X54 &amp; " New] ", "") &amp;
    IF('Eval-LSTK'!T54&lt;&gt;"", " [" &amp; 'Eval-LSTK'!T54 &amp; " Reclaim]", ""),
""))))</f>
        <v/>
      </c>
      <c r="S53" s="1420"/>
      <c r="T53" s="1420"/>
      <c r="U53" s="1420"/>
      <c r="V53" s="1420"/>
      <c r="W53" s="1420"/>
      <c r="X53" s="1420"/>
      <c r="Y53" s="1420"/>
      <c r="Z53" s="1420"/>
      <c r="AA53" s="1421"/>
      <c r="AE53" t="str">
        <f t="shared" si="1"/>
        <v>[0 ENO]</v>
      </c>
    </row>
    <row r="54" spans="1:33" ht="15" customHeight="1" x14ac:dyDescent="0.35">
      <c r="A54" s="1419" t="str">
        <f>IF(TRIM(H54)="","",IF(Data!CX70&gt;0,IF(Data!CX70&lt;&gt;"",Data!CX70," ")," "))</f>
        <v/>
      </c>
      <c r="B54" s="1420"/>
      <c r="C54" s="1420">
        <f>IF(Data!$G$32="Cutter Debraze",Data!O19,IF(Data!$L$32=1,IF(Quotation!$W$27=550,0,IF('Eng. Cutter Entry'!C11&lt;&gt;"",IF(Data!E19&gt;0,IF(Data!E19&lt;&gt;"", Data!E19,0),0),'ARDT Cutter Entry'!$BA$2+'ARDT Cutter Entry'!$BA$3+'ARDT Cutter Entry'!$BA$4+'ARDT Cutter Entry'!$BA$5)),""))</f>
        <v>0</v>
      </c>
      <c r="D54" s="1420"/>
      <c r="E54" s="1420" t="str">
        <f>IF(Data!GK12&gt;0,IF(Data!GK12&lt;&gt;"",Data!GK12," ")," ")</f>
        <v xml:space="preserve"> </v>
      </c>
      <c r="F54" s="1420"/>
      <c r="G54" s="1420"/>
      <c r="H54" s="1420" t="str">
        <f>IF(Data!GG12&gt;0,IF(Data!GG12&lt;&gt;"",IF(Data!GG12&lt;&gt;"Add the cutter in list",Data!GG12,""),""),"")</f>
        <v/>
      </c>
      <c r="I54" s="1420"/>
      <c r="J54" s="1420"/>
      <c r="K54" s="1420" t="str">
        <f>IF(TRIM(IF(AND(Data!GL12&lt;&gt;"",Data!GL12&lt;&gt;0),Data!GL12,"")&amp;"  "&amp;IF(AND(Data!GN12&lt;&gt;"",Data!GN12&lt;&gt;0),Data!GN12,""))="",IF(AND(Data!GM12&lt;&gt;"",Data!GM12&lt;&gt;0),Data!GM12,""),IF(AND(Data!GL12&lt;&gt;"",Data!GL12&lt;&gt;0),Data!GL12,"")&amp;"  "&amp;IF(AND(Data!GN12&lt;&gt;"",Data!GN12&lt;&gt;0),Data!GN12,""))</f>
        <v/>
      </c>
      <c r="L54" s="1420"/>
      <c r="M54" s="1420"/>
      <c r="N54" s="1420"/>
      <c r="O54" s="1420"/>
      <c r="P54" s="1420"/>
      <c r="Q54" s="1420"/>
      <c r="R54" s="1420" t="str">
        <f>IF(Data!M22&lt;&gt;"", Data!M22,
IF(H54=1228501, "[" &amp; INDEX(C:C, MATCH(1228502, H:H, 0)) &amp; " NEW]",
IF(OR(EXACT(Data!$G$32, "EDL"), EXACT(Data!$G$32, "Cutter Debraze"), EXACT(Data!$G$32, "Retrofit Bit Impact Arestor")), "",
IF(OR($Z$32="√", $Z$34="√"), "",
IF(IF(A54=Data!$D$4, Data!$G$4, IF(Evaluation!A54=Data!$D$5, Data!$G$5, IF(Evaluation!A54=Data!$D$6, Data!$G$6, IF(Data!BL56&lt;&gt;0, Data!BL56, " "))))=0, "",
IF(AND(A54=Data!$D$4, Data!$D$4&lt;&gt;""), "To Replace Cutter # " &amp; Data!$G$4,
IF(AND(Evaluation!A54=Data!$D$5, Data!$D$5&lt;&gt;""), "To Replace Cutter # " &amp; Data!$G$5,
IF(AND(Evaluation!A54=Data!$D$6, Data!$D$6&lt;&gt;""), "To Replace Cutter # " &amp; Data!$G$6,
IF(AND(Evaluation!A54=Data!$D$7, Data!$D$7&lt;&gt;""), "To Replace Cutter # " &amp; Data!$G$7,
IF(AND(Evaluation!A54=Data!$D$8, Data!$D$8&lt;&gt;""), "To Replace Cutter # " &amp; Data!$G$8,
IF(Data!BL56&lt;&gt;0, Data!BL56, " ")
))))))) &amp;
IF(Data!$L$32=1,
    IF('Eval-LSTK'!X55&lt;&gt;"", " [" &amp; 'Eval-LSTK'!X55 &amp; " New] ", "") &amp;
    IF('Eval-LSTK'!T55&lt;&gt;"", " [" &amp; 'Eval-LSTK'!T55 &amp; " Reclaim]", ""),
""))))</f>
        <v/>
      </c>
      <c r="S54" s="1420"/>
      <c r="T54" s="1420"/>
      <c r="U54" s="1420"/>
      <c r="V54" s="1420"/>
      <c r="W54" s="1420"/>
      <c r="X54" s="1420"/>
      <c r="Y54" s="1420"/>
      <c r="Z54" s="1420"/>
      <c r="AA54" s="1421"/>
      <c r="AE54" t="str">
        <f t="shared" si="1"/>
        <v>[0 ENO]</v>
      </c>
      <c r="AG54" t="s">
        <v>2490</v>
      </c>
    </row>
    <row r="55" spans="1:33" ht="15" customHeight="1" x14ac:dyDescent="0.35">
      <c r="A55" s="1419" t="str">
        <f>IF(TRIM(H55)="","",IF(Data!CX71&gt;0,IF(Data!CX71&lt;&gt;"",Data!CX71," ")," "))</f>
        <v/>
      </c>
      <c r="B55" s="1420"/>
      <c r="C55" s="1420">
        <f>IF(Data!$G$32="Cutter Debraze",Data!O20,IF(Data!$L$32=1,IF(Quotation!$W$27=550,0,IF('Eng. Cutter Entry'!C12&lt;&gt;"",IF(Data!E20&gt;0,IF(Data!E20&lt;&gt;"", Data!E20,0),0),'ARDT Cutter Entry'!$BB$2+'ARDT Cutter Entry'!$BB$3+'ARDT Cutter Entry'!$BB$4+'ARDT Cutter Entry'!$BB$5)),""))</f>
        <v>0</v>
      </c>
      <c r="D55" s="1420"/>
      <c r="E55" s="1420" t="str">
        <f>IF(Data!GK13&gt;0,IF(Data!GK13&lt;&gt;"",Data!GK13," ")," ")</f>
        <v xml:space="preserve"> </v>
      </c>
      <c r="F55" s="1420"/>
      <c r="G55" s="1420"/>
      <c r="H55" s="1420" t="str">
        <f>IF(Data!GG13&gt;0,IF(Data!GG13&lt;&gt;"",IF(Data!GG13&lt;&gt;"Add the cutter in list",Data!GG13,""),""),"")</f>
        <v/>
      </c>
      <c r="I55" s="1420"/>
      <c r="J55" s="1420"/>
      <c r="K55" s="1420" t="str">
        <f>IF(TRIM(IF(AND(Data!GL13&lt;&gt;"",Data!GL13&lt;&gt;0),Data!GL13,"")&amp;"  "&amp;IF(AND(Data!GN13&lt;&gt;"",Data!GN13&lt;&gt;0),Data!GN13,""))="",IF(AND(Data!GM13&lt;&gt;"",Data!GM13&lt;&gt;0),Data!GM13,""),IF(AND(Data!GL13&lt;&gt;"",Data!GL13&lt;&gt;0),Data!GL13,"")&amp;"  "&amp;IF(AND(Data!GN13&lt;&gt;"",Data!GN13&lt;&gt;0),Data!GN13,""))</f>
        <v/>
      </c>
      <c r="L55" s="1420"/>
      <c r="M55" s="1420"/>
      <c r="N55" s="1420"/>
      <c r="O55" s="1420"/>
      <c r="P55" s="1420"/>
      <c r="Q55" s="1420"/>
      <c r="R55" s="1420" t="str">
        <f>IF(Data!M23&lt;&gt;"", Data!M23,
IF(H55=1228501, "[" &amp; INDEX(C:C, MATCH(1228502, H:H, 0)) &amp; " NEW]",
IF(OR(EXACT(Data!$G$32, "EDL"), EXACT(Data!$G$32, "Cutter Debraze"), EXACT(Data!$G$32, "Retrofit Bit Impact Arestor")), "",
IF(OR($Z$32="√", $Z$34="√"), "",
IF(IF(A55=Data!$D$4, Data!$G$4, IF(Evaluation!A55=Data!$D$5, Data!$G$5, IF(Evaluation!A55=Data!$D$6, Data!$G$6, IF(Data!BL57&lt;&gt;0, Data!BL57, " "))))=0, "",
IF(AND(A55=Data!$D$4, Data!$D$4&lt;&gt;""), "To Replace Cutter # " &amp; Data!$G$4,
IF(AND(Evaluation!A55=Data!$D$5, Data!$D$5&lt;&gt;""), "To Replace Cutter # " &amp; Data!$G$5,
IF(AND(Evaluation!A55=Data!$D$6, Data!$D$6&lt;&gt;""), "To Replace Cutter # " &amp; Data!$G$6,
IF(AND(Evaluation!A55=Data!$D$7, Data!$D$7&lt;&gt;""), "To Replace Cutter # " &amp; Data!$G$7,
IF(AND(Evaluation!A55=Data!$D$8, Data!$D$8&lt;&gt;""), "To Replace Cutter # " &amp; Data!$G$8,
IF(Data!BL57&lt;&gt;0, Data!BL57, " ")
))))))) &amp;
IF(Data!$L$32=1,
    IF('Eval-LSTK'!X56&lt;&gt;"", " [" &amp; 'Eval-LSTK'!X56 &amp; " New] ", "") &amp;
    IF('Eval-LSTK'!T56&lt;&gt;"", " [" &amp; 'Eval-LSTK'!T56 &amp; " Reclaim]", ""),
""))))</f>
        <v/>
      </c>
      <c r="S55" s="1420"/>
      <c r="T55" s="1420"/>
      <c r="U55" s="1420"/>
      <c r="V55" s="1420"/>
      <c r="W55" s="1420"/>
      <c r="X55" s="1420"/>
      <c r="Y55" s="1420"/>
      <c r="Z55" s="1420"/>
      <c r="AA55" s="1421"/>
      <c r="AE55" t="str">
        <f t="shared" si="1"/>
        <v>[0 ENO]</v>
      </c>
    </row>
    <row r="56" spans="1:33" ht="15" customHeight="1" x14ac:dyDescent="0.35">
      <c r="A56" s="1419" t="str">
        <f>IF(TRIM(H56)="","",IF(Data!CX72&gt;0,IF(Data!CX72&lt;&gt;"",Data!CX72," ")," "))</f>
        <v/>
      </c>
      <c r="B56" s="1420"/>
      <c r="C56" s="1420">
        <f>IF(Data!$G$32="Cutter Debraze",Data!O21,IF(Data!$L$32=1,IF(Quotation!$W$27=550,0,IF('Eng. Cutter Entry'!C13&lt;&gt;"",IF(Data!E21&gt;0,IF(Data!E21&lt;&gt;"", Data!E21,0),0),'ARDT Cutter Entry'!$BC$2+'ARDT Cutter Entry'!$BC$3+'ARDT Cutter Entry'!$BC$4+'ARDT Cutter Entry'!$BC$5)),""))</f>
        <v>0</v>
      </c>
      <c r="D56" s="1420"/>
      <c r="E56" s="1420" t="str">
        <f>IF(Data!GK14&gt;0,IF(Data!GK14&lt;&gt;"",Data!GK14," ")," ")</f>
        <v xml:space="preserve"> </v>
      </c>
      <c r="F56" s="1420"/>
      <c r="G56" s="1420"/>
      <c r="H56" s="1420" t="str">
        <f>IF(Data!GG14&gt;0,IF(Data!GG14&lt;&gt;"",IF(Data!GG14&lt;&gt;"Add the cutter in list",Data!GG14,""),""),"")</f>
        <v/>
      </c>
      <c r="I56" s="1420"/>
      <c r="J56" s="1420"/>
      <c r="K56" s="1420" t="str">
        <f>IF(TRIM(IF(AND(Data!GL14&lt;&gt;"",Data!GL14&lt;&gt;0),Data!GL14,"")&amp;"  "&amp;IF(AND(Data!GN14&lt;&gt;"",Data!GN14&lt;&gt;0),Data!GN14,""))="",IF(AND(Data!GM14&lt;&gt;"",Data!GM14&lt;&gt;0),Data!GM14,""),IF(AND(Data!GL14&lt;&gt;"",Data!GL14&lt;&gt;0),Data!GL14,"")&amp;"  "&amp;IF(AND(Data!GN14&lt;&gt;"",Data!GN14&lt;&gt;0),Data!GN14,""))</f>
        <v/>
      </c>
      <c r="L56" s="1420"/>
      <c r="M56" s="1420"/>
      <c r="N56" s="1420"/>
      <c r="O56" s="1420"/>
      <c r="P56" s="1420"/>
      <c r="Q56" s="1420"/>
      <c r="R56" s="1420" t="str">
        <f>IF(Data!M24&lt;&gt;"", Data!M24,
IF(H56=1228501, "[" &amp; INDEX(C:C, MATCH(1228502, H:H, 0)) &amp; " NEW]",
IF(OR(EXACT(Data!$G$32, "EDL"), EXACT(Data!$G$32, "Cutter Debraze"), EXACT(Data!$G$32, "Retrofit Bit Impact Arestor")), "",
IF(OR($Z$32="√", $Z$34="√"), "",
IF(IF(A56=Data!$D$4, Data!$G$4, IF(Evaluation!A56=Data!$D$5, Data!$G$5, IF(Evaluation!A56=Data!$D$6, Data!$G$6, IF(Data!BL58&lt;&gt;0, Data!BL58, " "))))=0, "",
IF(AND(A56=Data!$D$4, Data!$D$4&lt;&gt;""), "To Replace Cutter # " &amp; Data!$G$4,
IF(AND(Evaluation!A56=Data!$D$5, Data!$D$5&lt;&gt;""), "To Replace Cutter # " &amp; Data!$G$5,
IF(AND(Evaluation!A56=Data!$D$6, Data!$D$6&lt;&gt;""), "To Replace Cutter # " &amp; Data!$G$6,
IF(AND(Evaluation!A56=Data!$D$7, Data!$D$7&lt;&gt;""), "To Replace Cutter # " &amp; Data!$G$7,
IF(AND(Evaluation!A56=Data!$D$8, Data!$D$8&lt;&gt;""), "To Replace Cutter # " &amp; Data!$G$8,
IF(Data!BL58&lt;&gt;0, Data!BL58, " ")
))))))) &amp;
IF(Data!$L$32=1,
    IF('Eval-LSTK'!X57&lt;&gt;"", " [" &amp; 'Eval-LSTK'!X57 &amp; " New] ", "") &amp;
    IF('Eval-LSTK'!T57&lt;&gt;"", " [" &amp; 'Eval-LSTK'!T57 &amp; " Reclaim]", ""),
""))))</f>
        <v/>
      </c>
      <c r="S56" s="1420"/>
      <c r="T56" s="1420"/>
      <c r="U56" s="1420"/>
      <c r="V56" s="1420"/>
      <c r="W56" s="1420"/>
      <c r="X56" s="1420"/>
      <c r="Y56" s="1420"/>
      <c r="Z56" s="1420"/>
      <c r="AA56" s="1421"/>
      <c r="AE56" t="str">
        <f t="shared" si="1"/>
        <v>[0 ENO]</v>
      </c>
    </row>
    <row r="57" spans="1:33" ht="15" customHeight="1" x14ac:dyDescent="0.35">
      <c r="A57" s="1419" t="str">
        <f>IF(TRIM(H57)="","",IF(Data!CX73&gt;0,IF(Data!CX73&lt;&gt;"",Data!CX73," ")," "))</f>
        <v/>
      </c>
      <c r="B57" s="1420"/>
      <c r="C57" s="1420">
        <f>IF(Data!$G$32="Cutter Debraze",Data!O22,IF(Data!$L$32=1,IF(Quotation!$W$27=550,0,IF('Eng. Cutter Entry'!C14&lt;&gt;"",IF(Data!E22&gt;0,IF(Data!E22&lt;&gt;"", Data!E22,0),0),'ARDT Cutter Entry'!$BD$2+'ARDT Cutter Entry'!$BD$3+'ARDT Cutter Entry'!$BD$4+'ARDT Cutter Entry'!$BD$5)),""))</f>
        <v>0</v>
      </c>
      <c r="D57" s="1420"/>
      <c r="E57" s="1420" t="str">
        <f>IF(Data!GK15&gt;0,IF(Data!GK15&lt;&gt;"",Data!GK15," ")," ")</f>
        <v xml:space="preserve"> </v>
      </c>
      <c r="F57" s="1420"/>
      <c r="G57" s="1420"/>
      <c r="H57" s="1420" t="str">
        <f>IF(Data!GG15&gt;0,IF(Data!GG15&lt;&gt;"",IF(Data!GG15&lt;&gt;"Add the cutter in list",Data!GG15,""),""),"")</f>
        <v/>
      </c>
      <c r="I57" s="1420"/>
      <c r="J57" s="1420"/>
      <c r="K57" s="1420" t="str">
        <f>IF(TRIM(IF(AND(Data!GL15&lt;&gt;"",Data!GL15&lt;&gt;0),Data!GL15,"")&amp;"  "&amp;IF(AND(Data!GN15&lt;&gt;"",Data!GN15&lt;&gt;0),Data!GN15,""))="",IF(AND(Data!GM15&lt;&gt;"",Data!GM15&lt;&gt;0),Data!GM15,""),IF(AND(Data!GL15&lt;&gt;"",Data!GL15&lt;&gt;0),Data!GL15,"")&amp;"  "&amp;IF(AND(Data!GN15&lt;&gt;"",Data!GN15&lt;&gt;0),Data!GN15,""))</f>
        <v/>
      </c>
      <c r="L57" s="1420"/>
      <c r="M57" s="1420"/>
      <c r="N57" s="1420"/>
      <c r="O57" s="1420"/>
      <c r="P57" s="1420"/>
      <c r="Q57" s="1420"/>
      <c r="R57" s="1420" t="str">
        <f>IF(Data!M25&lt;&gt;"", Data!M25,
IF(H57=1228501, "[" &amp; INDEX(C:C, MATCH(1228502, H:H, 0)) &amp; " NEW]",
IF(OR(EXACT(Data!$G$32, "EDL"), EXACT(Data!$G$32, "Cutter Debraze"), EXACT(Data!$G$32, "Retrofit Bit Impact Arestor")), "",
IF(OR($Z$32="√", $Z$34="√"), "",
IF(IF(A57=Data!$D$4, Data!$G$4, IF(Evaluation!A57=Data!$D$5, Data!$G$5, IF(Evaluation!A57=Data!$D$6, Data!$G$6, IF(Data!BL59&lt;&gt;0, Data!BL59, " "))))=0, "",
IF(AND(A57=Data!$D$4, Data!$D$4&lt;&gt;""), "To Replace Cutter # " &amp; Data!$G$4,
IF(AND(Evaluation!A57=Data!$D$5, Data!$D$5&lt;&gt;""), "To Replace Cutter # " &amp; Data!$G$5,
IF(AND(Evaluation!A57=Data!$D$6, Data!$D$6&lt;&gt;""), "To Replace Cutter # " &amp; Data!$G$6,
IF(AND(Evaluation!A57=Data!$D$7, Data!$D$7&lt;&gt;""), "To Replace Cutter # " &amp; Data!$G$7,
IF(AND(Evaluation!A57=Data!$D$8, Data!$D$8&lt;&gt;""), "To Replace Cutter # " &amp; Data!$G$8,
IF(Data!BL59&lt;&gt;0, Data!BL59, " ")
))))))) &amp;
IF(Data!$L$32=1,
    IF('Eval-LSTK'!X58&lt;&gt;"", " [" &amp; 'Eval-LSTK'!X58 &amp; " New] ", "") &amp;
    IF('Eval-LSTK'!T58&lt;&gt;"", " [" &amp; 'Eval-LSTK'!T58 &amp; " Reclaim]", ""),
""))))</f>
        <v/>
      </c>
      <c r="S57" s="1420"/>
      <c r="T57" s="1420"/>
      <c r="U57" s="1420"/>
      <c r="V57" s="1420"/>
      <c r="W57" s="1420"/>
      <c r="X57" s="1420"/>
      <c r="Y57" s="1420"/>
      <c r="Z57" s="1420"/>
      <c r="AA57" s="1421"/>
      <c r="AE57" t="str">
        <f t="shared" si="0"/>
        <v>[0 ENO]</v>
      </c>
      <c r="AG57" t="s">
        <v>2490</v>
      </c>
    </row>
    <row r="58" spans="1:33" ht="15" customHeight="1" x14ac:dyDescent="0.35">
      <c r="A58" s="1419" t="str">
        <f>IF(TRIM(H58)="","",IF(Data!CX74&gt;0,IF(Data!CX74&lt;&gt;"",Data!CX74," ")," "))</f>
        <v/>
      </c>
      <c r="B58" s="1420"/>
      <c r="C58" s="1420">
        <f>IF(Data!$G$32="Cutter Debraze",Data!O23,IF(Data!$L$32=1,IF(Quotation!$W$27=550,0,IF('Eng. Cutter Entry'!C15&lt;&gt;"",IF(Data!E23&gt;0,IF(Data!E23&lt;&gt;"", Data!E23,0),0),'ARDT Cutter Entry'!$BE$2+'ARDT Cutter Entry'!$BE$3+'ARDT Cutter Entry'!$BE$4+'ARDT Cutter Entry'!$BE$5)),""))</f>
        <v>0</v>
      </c>
      <c r="D58" s="1420"/>
      <c r="E58" s="1420" t="str">
        <f>IF(Data!GK16&gt;0,IF(Data!GK16&lt;&gt;"",Data!GK16," ")," ")</f>
        <v xml:space="preserve"> </v>
      </c>
      <c r="F58" s="1420"/>
      <c r="G58" s="1420"/>
      <c r="H58" s="1420" t="str">
        <f>IF(Data!GG16&gt;0,IF(Data!GG16&lt;&gt;"",IF(Data!GG16&lt;&gt;"Add the cutter in list",Data!GG16,""),""),"")</f>
        <v/>
      </c>
      <c r="I58" s="1420"/>
      <c r="J58" s="1420"/>
      <c r="K58" s="1420" t="str">
        <f>IF(TRIM(IF(AND(Data!GL16&lt;&gt;"",Data!GL16&lt;&gt;0),Data!GL16,"")&amp;"  "&amp;IF(AND(Data!GN16&lt;&gt;"",Data!GN16&lt;&gt;0),Data!GN16,""))="",IF(AND(Data!GM16&lt;&gt;"",Data!GM16&lt;&gt;0),Data!GM16,""),IF(AND(Data!GL16&lt;&gt;"",Data!GL16&lt;&gt;0),Data!GL16,"")&amp;"  "&amp;IF(AND(Data!GN16&lt;&gt;"",Data!GN16&lt;&gt;0),Data!GN16,""))</f>
        <v/>
      </c>
      <c r="L58" s="1420"/>
      <c r="M58" s="1420"/>
      <c r="N58" s="1420"/>
      <c r="O58" s="1420"/>
      <c r="P58" s="1420"/>
      <c r="Q58" s="1420"/>
      <c r="R58" s="1420" t="str">
        <f>IF(Data!M26&lt;&gt;"", Data!M26,
IF(H58=1228501, "[" &amp; INDEX(C:C, MATCH(1228502, H:H, 0)) &amp; " NEW]",
IF(OR(EXACT(Data!$G$32, "EDL"), EXACT(Data!$G$32, "Cutter Debraze"), EXACT(Data!$G$32, "Retrofit Bit Impact Arestor")), "",
IF(OR($Z$32="√", $Z$34="√"), "",
IF(IF(A58=Data!$D$4, Data!$G$4, IF(Evaluation!A58=Data!$D$5, Data!$G$5, IF(Evaluation!A58=Data!$D$6, Data!$G$6, IF(Data!BL60&lt;&gt;0, Data!BL60, " "))))=0, "",
IF(AND(A58=Data!$D$4, Data!$D$4&lt;&gt;""), "To Replace Cutter # " &amp; Data!$G$4,
IF(AND(Evaluation!A58=Data!$D$5, Data!$D$5&lt;&gt;""), "To Replace Cutter # " &amp; Data!$G$5,
IF(AND(Evaluation!A58=Data!$D$6, Data!$D$6&lt;&gt;""), "To Replace Cutter # " &amp; Data!$G$6,
IF(AND(Evaluation!A58=Data!$D$7, Data!$D$7&lt;&gt;""), "To Replace Cutter # " &amp; Data!$G$7,
IF(AND(Evaluation!A58=Data!$D$8, Data!$D$8&lt;&gt;""), "To Replace Cutter # " &amp; Data!$G$8,
IF(Data!BL60&lt;&gt;0, Data!BL60, " ")
))))))) &amp;
IF(Data!$L$32=1,
    IF('Eval-LSTK'!X59&lt;&gt;"", " [" &amp; 'Eval-LSTK'!X59 &amp; " New] ", "") &amp;
    IF('Eval-LSTK'!T59&lt;&gt;"", " [" &amp; 'Eval-LSTK'!T59 &amp; " Reclaim]", ""),
""))))</f>
        <v/>
      </c>
      <c r="S58" s="1420"/>
      <c r="T58" s="1420"/>
      <c r="U58" s="1420"/>
      <c r="V58" s="1420"/>
      <c r="W58" s="1420"/>
      <c r="X58" s="1420"/>
      <c r="Y58" s="1420"/>
      <c r="Z58" s="1420"/>
      <c r="AA58" s="1421"/>
      <c r="AE58" t="str">
        <f t="shared" si="0"/>
        <v>[0 ENO]</v>
      </c>
    </row>
    <row r="59" spans="1:33" ht="15" customHeight="1" x14ac:dyDescent="0.35">
      <c r="A59" s="1419" t="str">
        <f>IF(TRIM(H59)="","",IF(Data!CX75&gt;0,IF(Data!CX75&lt;&gt;"",Data!CX75," ")," "))</f>
        <v/>
      </c>
      <c r="B59" s="1420"/>
      <c r="C59" s="1420">
        <f>IF(Data!$G$32="Cutter Debraze",Data!O24,IF(Data!$L$32=1,IF(Quotation!$W$27=550,0,IF('Eng. Cutter Entry'!C16&lt;&gt;"",IF(Data!E24&gt;0,IF(Data!E24&lt;&gt;"", Data!E24,0),0),'ARDT Cutter Entry'!$BF$2+'ARDT Cutter Entry'!$BF$3+'ARDT Cutter Entry'!$BF$4+'ARDT Cutter Entry'!$BF$5)),""))</f>
        <v>0</v>
      </c>
      <c r="D59" s="1420"/>
      <c r="E59" s="1420" t="str">
        <f>IF(Data!GK17&gt;0,IF(Data!GK17&lt;&gt;"",Data!GK17," ")," ")</f>
        <v xml:space="preserve"> </v>
      </c>
      <c r="F59" s="1420"/>
      <c r="G59" s="1420"/>
      <c r="H59" s="1420" t="str">
        <f>IF(Data!GG17&gt;0,IF(Data!GG17&lt;&gt;"",IF(Data!GG17&lt;&gt;"Add the cutter in list",Data!GG17,""),""),"")</f>
        <v/>
      </c>
      <c r="I59" s="1420"/>
      <c r="J59" s="1420"/>
      <c r="K59" s="1420" t="str">
        <f>IF(TRIM(IF(AND(Data!GL17&lt;&gt;"",Data!GL17&lt;&gt;0),Data!GL17,"")&amp;"  "&amp;IF(AND(Data!GN17&lt;&gt;"",Data!GN17&lt;&gt;0),Data!GN17,""))="",IF(AND(Data!GM17&lt;&gt;"",Data!GM17&lt;&gt;0),Data!GM17,""),IF(AND(Data!GL17&lt;&gt;"",Data!GL17&lt;&gt;0),Data!GL17,"")&amp;"  "&amp;IF(AND(Data!GN17&lt;&gt;"",Data!GN17&lt;&gt;0),Data!GN17,""))</f>
        <v/>
      </c>
      <c r="L59" s="1420"/>
      <c r="M59" s="1420"/>
      <c r="N59" s="1420"/>
      <c r="O59" s="1420"/>
      <c r="P59" s="1420"/>
      <c r="Q59" s="1420"/>
      <c r="R59" s="1420" t="str">
        <f>IF(Data!M27&lt;&gt;"", Data!M27,
IF(H59=1228501, "[" &amp; INDEX(C:C, MATCH(1228502, H:H, 0)) &amp; " NEW]",
IF(OR(EXACT(Data!$G$32, "EDL"), EXACT(Data!$G$32, "Cutter Debraze"), EXACT(Data!$G$32, "Retrofit Bit Impact Arestor")), "",
IF(OR($Z$32="√", $Z$34="√"), "",
IF(IF(A59=Data!$D$4, Data!$G$4, IF(Evaluation!A59=Data!$D$5, Data!$G$5, IF(Evaluation!A59=Data!$D$6, Data!$G$6, IF(Data!BL61&lt;&gt;0, Data!BL61, " "))))=0, "",
IF(AND(A59=Data!$D$4, Data!$D$4&lt;&gt;""), "To Replace Cutter # " &amp; Data!$G$4,
IF(AND(Evaluation!A59=Data!$D$5, Data!$D$5&lt;&gt;""), "To Replace Cutter # " &amp; Data!$G$5,
IF(AND(Evaluation!A59=Data!$D$6, Data!$D$6&lt;&gt;""), "To Replace Cutter # " &amp; Data!$G$6,
IF(AND(Evaluation!A59=Data!$D$7, Data!$D$7&lt;&gt;""), "To Replace Cutter # " &amp; Data!$G$7,
IF(AND(Evaluation!A59=Data!$D$8, Data!$D$8&lt;&gt;""), "To Replace Cutter # " &amp; Data!$G$8,
IF(Data!BL61&lt;&gt;0, Data!BL61, " ")
))))))) &amp;
IF(Data!$L$32=1,
    IF('Eval-LSTK'!X60&lt;&gt;"", " [" &amp; 'Eval-LSTK'!X60 &amp; " New] ", "") &amp;
    IF('Eval-LSTK'!T60&lt;&gt;"", " [" &amp; 'Eval-LSTK'!T60 &amp; " Reclaim]", ""),
""))))</f>
        <v/>
      </c>
      <c r="S59" s="1420"/>
      <c r="T59" s="1420"/>
      <c r="U59" s="1420"/>
      <c r="V59" s="1420"/>
      <c r="W59" s="1420"/>
      <c r="X59" s="1420"/>
      <c r="Y59" s="1420"/>
      <c r="Z59" s="1420"/>
      <c r="AA59" s="1421"/>
      <c r="AE59" t="str">
        <f t="shared" ref="AE59" si="2">"["&amp;C59&amp;" ENO]"</f>
        <v>[0 ENO]</v>
      </c>
    </row>
    <row r="60" spans="1:33" ht="15" customHeight="1" thickBot="1" x14ac:dyDescent="0.4">
      <c r="A60" s="1504" t="str">
        <f>IF(TRIM(H60)="","",IF(Data!CX76&gt;0,IF(Data!CX76&lt;&gt;"",Data!CX76," ")," "))</f>
        <v/>
      </c>
      <c r="B60" s="1505"/>
      <c r="C60" s="1505">
        <f>IF(Data!$G$32="Cutter Debraze",Data!O25,IF(Data!$L$32=1,IF(Quotation!$W$27=550,0,IF('Eng. Cutter Entry'!C17&lt;&gt;"",IF(Data!E25&gt;0,IF(Data!E25&lt;&gt;"", Data!E25,0),0),'ARDT Cutter Entry'!$BG$2+'ARDT Cutter Entry'!$BG$3+'ARDT Cutter Entry'!$BG$4+'ARDT Cutter Entry'!$BG$5)),""))</f>
        <v>0</v>
      </c>
      <c r="D60" s="1505"/>
      <c r="E60" s="1505" t="str">
        <f>IF(Data!GK18&gt;0,IF(Data!GK18&lt;&gt;"",Data!GK18," ")," ")</f>
        <v xml:space="preserve"> </v>
      </c>
      <c r="F60" s="1505"/>
      <c r="G60" s="1505"/>
      <c r="H60" s="1505" t="str">
        <f>IF(Data!GG18&gt;0,IF(Data!GG18&lt;&gt;"",IF(Data!GG18&lt;&gt;"Add the cutter in list",Data!GG18,""),""),"")</f>
        <v/>
      </c>
      <c r="I60" s="1505"/>
      <c r="J60" s="1505"/>
      <c r="K60" s="1505" t="str">
        <f>IF(TRIM(IF(AND(Data!GL18&lt;&gt;"",Data!GL18&lt;&gt;0),Data!GL18,"")&amp;"  "&amp;IF(AND(Data!GN18&lt;&gt;"",Data!GN18&lt;&gt;0),Data!GN18,""))="",IF(AND(Data!GM18&lt;&gt;"",Data!GM18&lt;&gt;0),Data!GM18,""),IF(AND(Data!GL18&lt;&gt;"",Data!GL18&lt;&gt;0),Data!GL18,"")&amp;"  "&amp;IF(AND(Data!GN18&lt;&gt;"",Data!GN18&lt;&gt;0),Data!GN18,""))</f>
        <v/>
      </c>
      <c r="L60" s="1505"/>
      <c r="M60" s="1505"/>
      <c r="N60" s="1505"/>
      <c r="O60" s="1505"/>
      <c r="P60" s="1505"/>
      <c r="Q60" s="1505"/>
      <c r="R60" s="1505" t="str">
        <f>IF(Data!M28&lt;&gt;"", Data!M28,
IF(H60=1228501, "[" &amp; INDEX(C:C, MATCH(1228502, H:H, 0)) &amp; " NEW]",
IF(OR(EXACT(Data!$G$32, "EDL"), EXACT(Data!$G$32, "Cutter Debraze"), EXACT(Data!$G$32, "Retrofit Bit Impact Arestor")), "",
IF(OR($Z$32="√", $Z$34="√"), "",
IF(IF(A60=Data!$D$4, Data!$G$4, IF(Evaluation!A60=Data!$D$5, Data!$G$5, IF(Evaluation!A60=Data!$D$6, Data!$G$6, IF(Data!BL62&lt;&gt;0, Data!BL62, " "))))=0, "",
IF(AND(A60=Data!$D$4, Data!$D$4&lt;&gt;""), "To Replace Cutter # " &amp; Data!$G$4,
IF(AND(Evaluation!A60=Data!$D$5, Data!$D$5&lt;&gt;""), "To Replace Cutter # " &amp; Data!$G$5,
IF(AND(Evaluation!A60=Data!$D$6, Data!$D$6&lt;&gt;""), "To Replace Cutter # " &amp; Data!$G$6,
IF(AND(Evaluation!A60=Data!$D$7, Data!$D$7&lt;&gt;""), "To Replace Cutter # " &amp; Data!$G$7,
IF(AND(Evaluation!A60=Data!$D$8, Data!$D$8&lt;&gt;""), "To Replace Cutter # " &amp; Data!$G$8,
IF(Data!BL62&lt;&gt;0, Data!BL62, " ")
))))))) &amp;
IF(Data!$L$32=1,
    IF('Eval-LSTK'!X61&lt;&gt;"", " [" &amp; 'Eval-LSTK'!X61 &amp; " New] ", "") &amp;
    IF('Eval-LSTK'!T61&lt;&gt;"", " [" &amp; 'Eval-LSTK'!T61 &amp; " Reclaim]", ""),
""))))</f>
        <v/>
      </c>
      <c r="S60" s="1505"/>
      <c r="T60" s="1505"/>
      <c r="U60" s="1505"/>
      <c r="V60" s="1505"/>
      <c r="W60" s="1505"/>
      <c r="X60" s="1505"/>
      <c r="Y60" s="1505"/>
      <c r="Z60" s="1505"/>
      <c r="AA60" s="1506"/>
      <c r="AE60" t="str">
        <f t="shared" si="0"/>
        <v>[0 ENO]</v>
      </c>
    </row>
    <row r="61" spans="1:33" ht="3" customHeight="1" x14ac:dyDescent="0.35">
      <c r="A61" s="395"/>
      <c r="B61" s="395"/>
      <c r="C61" s="395"/>
      <c r="D61" s="395"/>
      <c r="E61" s="395"/>
      <c r="F61" s="395"/>
      <c r="G61" s="395"/>
      <c r="H61" s="395"/>
      <c r="I61" s="395"/>
      <c r="J61" s="395"/>
      <c r="K61" s="395"/>
      <c r="L61" s="395"/>
      <c r="M61" s="395"/>
      <c r="N61" s="395"/>
      <c r="O61" s="395"/>
      <c r="P61" s="395"/>
      <c r="Q61" s="395"/>
      <c r="R61" s="395"/>
      <c r="S61" s="395"/>
      <c r="T61" s="395"/>
      <c r="U61" s="395"/>
      <c r="V61" s="395"/>
      <c r="W61" s="395"/>
      <c r="X61" s="395"/>
      <c r="Y61" s="395"/>
      <c r="Z61" s="404"/>
      <c r="AA61" s="395"/>
    </row>
    <row r="62" spans="1:33" ht="30" customHeight="1" x14ac:dyDescent="0.35">
      <c r="A62" s="1469" t="s">
        <v>1056</v>
      </c>
      <c r="B62" s="1469"/>
      <c r="C62" s="1469"/>
      <c r="D62" s="1469"/>
      <c r="E62" s="1470" t="str">
        <f>IF(Data!B16&lt;&gt;"",Data!B16," ")</f>
        <v>SAUDI ARAMCO</v>
      </c>
      <c r="F62" s="1470"/>
      <c r="G62" s="1470"/>
      <c r="H62" s="1470"/>
      <c r="I62" s="396"/>
      <c r="J62" s="1471" t="s">
        <v>2513</v>
      </c>
      <c r="K62" s="1471"/>
      <c r="L62" s="1471"/>
      <c r="M62" s="1471"/>
      <c r="N62" s="1471"/>
      <c r="O62" s="1471"/>
      <c r="P62" s="1471"/>
      <c r="Q62" s="1472"/>
      <c r="R62" s="1472"/>
      <c r="S62" s="1472"/>
      <c r="T62" s="1472"/>
      <c r="U62" s="1472"/>
      <c r="V62" s="1472"/>
      <c r="W62" s="1472"/>
      <c r="X62" s="1472"/>
      <c r="Y62" s="1472"/>
      <c r="Z62" s="1472"/>
      <c r="AA62" s="1472"/>
    </row>
    <row r="63" spans="1:33" ht="4.5" customHeight="1" x14ac:dyDescent="0.35">
      <c r="A63" s="397"/>
      <c r="B63" s="397"/>
      <c r="C63" s="397"/>
      <c r="D63" s="397"/>
      <c r="E63" s="397"/>
      <c r="F63" s="396"/>
      <c r="G63" s="396"/>
      <c r="H63" s="396"/>
      <c r="I63" s="396"/>
      <c r="J63" s="396"/>
      <c r="K63" s="397"/>
      <c r="L63" s="397"/>
      <c r="M63" s="397"/>
      <c r="N63" s="397"/>
      <c r="O63" s="397"/>
      <c r="P63" s="397"/>
      <c r="Q63" s="397"/>
      <c r="R63" s="397"/>
      <c r="S63" s="397"/>
      <c r="T63" s="397"/>
      <c r="U63" s="397"/>
      <c r="V63" s="397"/>
      <c r="W63" s="397"/>
      <c r="X63" s="397"/>
      <c r="Y63" s="397"/>
      <c r="Z63" s="397"/>
      <c r="AA63" s="397"/>
    </row>
    <row r="64" spans="1:33" ht="5.15" customHeight="1" x14ac:dyDescent="0.35">
      <c r="A64" s="395"/>
      <c r="B64" s="395"/>
      <c r="C64" s="395"/>
      <c r="D64" s="395"/>
      <c r="E64" s="395"/>
      <c r="F64" s="395"/>
      <c r="G64" s="395"/>
      <c r="H64" s="395"/>
      <c r="I64" s="395"/>
      <c r="J64" s="395"/>
      <c r="K64" s="395"/>
      <c r="L64" s="395"/>
      <c r="M64" s="395"/>
      <c r="N64" s="395"/>
      <c r="O64" s="395"/>
      <c r="P64" s="395"/>
      <c r="Q64" s="395"/>
      <c r="R64" s="395"/>
      <c r="S64" s="395"/>
      <c r="T64" s="395"/>
      <c r="U64" s="395"/>
      <c r="V64" s="395"/>
      <c r="W64" s="395"/>
      <c r="X64" s="395"/>
      <c r="Y64" s="395"/>
      <c r="Z64" s="395"/>
      <c r="AA64" s="395"/>
    </row>
    <row r="67" spans="22:63" ht="15" thickBot="1" x14ac:dyDescent="0.4">
      <c r="V67" s="403"/>
      <c r="W67" s="403"/>
      <c r="X67" s="403"/>
      <c r="Y67" s="403"/>
      <c r="Z67" s="403"/>
      <c r="AA67" s="403"/>
      <c r="AB67" s="403"/>
      <c r="AC67" s="403"/>
      <c r="AD67" s="403"/>
      <c r="AE67" s="403"/>
      <c r="AF67" s="403"/>
      <c r="AG67" s="403"/>
    </row>
    <row r="68" spans="22:63" ht="15" thickBot="1" x14ac:dyDescent="0.4">
      <c r="V68" s="403"/>
      <c r="W68" s="403"/>
      <c r="X68" s="403"/>
      <c r="Y68" s="403"/>
      <c r="Z68" s="403"/>
      <c r="AA68" s="403"/>
      <c r="AB68" s="403"/>
      <c r="AC68" s="403"/>
      <c r="AD68" s="403"/>
      <c r="AE68" s="403"/>
      <c r="AF68" s="403"/>
      <c r="AG68" s="403"/>
      <c r="AL68" s="46" t="s">
        <v>2334</v>
      </c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8"/>
    </row>
    <row r="69" spans="22:63" x14ac:dyDescent="0.35">
      <c r="AJ69" t="s">
        <v>2328</v>
      </c>
      <c r="AL69" s="1065"/>
      <c r="AM69" s="1060" t="s">
        <v>2432</v>
      </c>
      <c r="AN69" s="1060" t="s">
        <v>2433</v>
      </c>
      <c r="AO69" s="1060" t="s">
        <v>2434</v>
      </c>
      <c r="AP69" s="1060" t="s">
        <v>2435</v>
      </c>
      <c r="AQ69" s="1060" t="s">
        <v>2436</v>
      </c>
      <c r="AR69" s="1060" t="s">
        <v>2437</v>
      </c>
      <c r="AS69" s="1060" t="s">
        <v>2438</v>
      </c>
      <c r="AT69" s="1060" t="s">
        <v>2439</v>
      </c>
      <c r="AU69" s="1060" t="s">
        <v>2440</v>
      </c>
      <c r="AV69" s="1060" t="s">
        <v>2441</v>
      </c>
      <c r="AW69" s="1060" t="s">
        <v>2442</v>
      </c>
      <c r="AX69" s="1060" t="s">
        <v>2443</v>
      </c>
      <c r="AY69" s="1060" t="s">
        <v>2440</v>
      </c>
      <c r="AZ69" s="1060" t="s">
        <v>2440</v>
      </c>
      <c r="BA69" s="1060" t="s">
        <v>2440</v>
      </c>
      <c r="BB69" s="1060" t="s">
        <v>2440</v>
      </c>
      <c r="BC69" s="1060" t="s">
        <v>2440</v>
      </c>
      <c r="BD69" s="1060" t="s">
        <v>2440</v>
      </c>
      <c r="BE69" s="1060" t="s">
        <v>2440</v>
      </c>
      <c r="BF69" s="1060" t="s">
        <v>2440</v>
      </c>
      <c r="BG69" s="1060" t="s">
        <v>2440</v>
      </c>
      <c r="BH69" s="1060" t="s">
        <v>2440</v>
      </c>
      <c r="BI69" s="1060" t="s">
        <v>2440</v>
      </c>
      <c r="BJ69" s="1060" t="s">
        <v>2440</v>
      </c>
      <c r="BK69" s="1061" t="s">
        <v>2440</v>
      </c>
    </row>
    <row r="70" spans="22:63" x14ac:dyDescent="0.35">
      <c r="AJ70" t="s">
        <v>2329</v>
      </c>
      <c r="AL70" s="1059">
        <v>1</v>
      </c>
      <c r="AM70" s="167"/>
      <c r="AN70" s="167"/>
      <c r="AO70" s="167"/>
      <c r="AP70" s="167"/>
      <c r="AQ70" s="167"/>
      <c r="AR70" s="167"/>
      <c r="AS70" s="167"/>
      <c r="AT70" s="167"/>
      <c r="AU70" s="167"/>
      <c r="AV70" s="167"/>
      <c r="AW70" s="167"/>
      <c r="AX70" s="167"/>
      <c r="AY70" s="167"/>
      <c r="AZ70" s="167"/>
      <c r="BA70" s="167"/>
      <c r="BB70" s="167"/>
      <c r="BC70" s="167"/>
      <c r="BD70" s="167"/>
      <c r="BE70" s="167"/>
      <c r="BF70" s="167"/>
      <c r="BG70" s="167"/>
      <c r="BH70" s="167"/>
      <c r="BI70" s="167"/>
      <c r="BJ70" s="167"/>
      <c r="BK70" s="248"/>
    </row>
    <row r="71" spans="22:63" x14ac:dyDescent="0.35">
      <c r="AJ71" t="s">
        <v>2330</v>
      </c>
      <c r="AL71" s="1059">
        <v>2</v>
      </c>
      <c r="AM71" s="167"/>
      <c r="AN71" s="167"/>
      <c r="AO71" s="167"/>
      <c r="AP71" s="167"/>
      <c r="AQ71" s="167"/>
      <c r="AR71" s="167"/>
      <c r="AS71" s="167"/>
      <c r="AT71" s="167"/>
      <c r="AU71" s="167"/>
      <c r="AV71" s="167"/>
      <c r="AW71" s="167"/>
      <c r="AX71" s="167"/>
      <c r="AY71" s="167"/>
      <c r="AZ71" s="167"/>
      <c r="BA71" s="167"/>
      <c r="BB71" s="167"/>
      <c r="BC71" s="167"/>
      <c r="BD71" s="167"/>
      <c r="BE71" s="167"/>
      <c r="BF71" s="167"/>
      <c r="BG71" s="167"/>
      <c r="BH71" s="167"/>
      <c r="BI71" s="167"/>
      <c r="BJ71" s="167"/>
      <c r="BK71" s="248"/>
    </row>
    <row r="72" spans="22:63" x14ac:dyDescent="0.35">
      <c r="AJ72" t="s">
        <v>2331</v>
      </c>
      <c r="AL72" s="1059">
        <v>3</v>
      </c>
      <c r="AM72" s="167"/>
      <c r="AN72" s="167"/>
      <c r="AO72" s="167"/>
      <c r="AP72" s="167"/>
      <c r="AQ72" s="167"/>
      <c r="AR72" s="167"/>
      <c r="AS72" s="167"/>
      <c r="AT72" s="167"/>
      <c r="AU72" s="167"/>
      <c r="AV72" s="167"/>
      <c r="AW72" s="167"/>
      <c r="AX72" s="167"/>
      <c r="AY72" s="167"/>
      <c r="AZ72" s="167"/>
      <c r="BA72" s="167"/>
      <c r="BB72" s="167"/>
      <c r="BC72" s="167"/>
      <c r="BD72" s="167"/>
      <c r="BE72" s="167"/>
      <c r="BF72" s="167"/>
      <c r="BG72" s="167"/>
      <c r="BH72" s="167"/>
      <c r="BI72" s="167"/>
      <c r="BJ72" s="167"/>
      <c r="BK72" s="248"/>
    </row>
    <row r="73" spans="22:63" x14ac:dyDescent="0.35">
      <c r="AJ73" t="s">
        <v>2332</v>
      </c>
      <c r="AL73" s="1059">
        <v>4</v>
      </c>
      <c r="AM73" s="167"/>
      <c r="AN73" s="167"/>
      <c r="AO73" s="167"/>
      <c r="AP73" s="167"/>
      <c r="AQ73" s="167"/>
      <c r="AR73" s="167"/>
      <c r="AS73" s="167"/>
      <c r="AT73" s="167"/>
      <c r="AU73" s="167"/>
      <c r="AV73" s="167"/>
      <c r="AW73" s="167"/>
      <c r="AX73" s="167"/>
      <c r="AY73" s="167"/>
      <c r="AZ73" s="167"/>
      <c r="BA73" s="167"/>
      <c r="BB73" s="167"/>
      <c r="BC73" s="167"/>
      <c r="BD73" s="167"/>
      <c r="BE73" s="167"/>
      <c r="BF73" s="167"/>
      <c r="BG73" s="167"/>
      <c r="BH73" s="167"/>
      <c r="BI73" s="167"/>
      <c r="BJ73" s="167"/>
      <c r="BK73" s="248"/>
    </row>
    <row r="74" spans="22:63" x14ac:dyDescent="0.35">
      <c r="AJ74" t="s">
        <v>2333</v>
      </c>
      <c r="AL74" s="1059">
        <v>5</v>
      </c>
      <c r="AM74" s="167"/>
      <c r="AN74" s="167"/>
      <c r="AO74" s="167"/>
      <c r="AP74" s="167"/>
      <c r="AQ74" s="167"/>
      <c r="AR74" s="167"/>
      <c r="AS74" s="167"/>
      <c r="AT74" s="167"/>
      <c r="AU74" s="167"/>
      <c r="AV74" s="167"/>
      <c r="AW74" s="167"/>
      <c r="AX74" s="167"/>
      <c r="AY74" s="167"/>
      <c r="AZ74" s="167"/>
      <c r="BA74" s="167"/>
      <c r="BB74" s="167"/>
      <c r="BC74" s="167"/>
      <c r="BD74" s="167"/>
      <c r="BE74" s="167"/>
      <c r="BF74" s="167"/>
      <c r="BG74" s="167"/>
      <c r="BH74" s="167"/>
      <c r="BI74" s="167"/>
      <c r="BJ74" s="167"/>
      <c r="BK74" s="248"/>
    </row>
    <row r="75" spans="22:63" x14ac:dyDescent="0.35">
      <c r="AL75" s="1059">
        <v>6</v>
      </c>
      <c r="AM75" s="167"/>
      <c r="AN75" s="167"/>
      <c r="AO75" s="167"/>
      <c r="AP75" s="167"/>
      <c r="AQ75" s="167"/>
      <c r="AR75" s="167"/>
      <c r="AS75" s="167"/>
      <c r="AT75" s="167"/>
      <c r="AU75" s="167"/>
      <c r="AV75" s="167"/>
      <c r="AW75" s="167"/>
      <c r="AX75" s="167"/>
      <c r="AY75" s="167"/>
      <c r="AZ75" s="167"/>
      <c r="BA75" s="167"/>
      <c r="BB75" s="167"/>
      <c r="BC75" s="167"/>
      <c r="BD75" s="167"/>
      <c r="BE75" s="167"/>
      <c r="BF75" s="167"/>
      <c r="BG75" s="167"/>
      <c r="BH75" s="167"/>
      <c r="BI75" s="167"/>
      <c r="BJ75" s="167"/>
      <c r="BK75" s="248"/>
    </row>
    <row r="76" spans="22:63" x14ac:dyDescent="0.35">
      <c r="AL76" s="1059">
        <v>7</v>
      </c>
      <c r="AM76" s="167"/>
      <c r="AN76" s="167"/>
      <c r="AO76" s="167"/>
      <c r="AP76" s="167"/>
      <c r="AQ76" s="167"/>
      <c r="AR76" s="167"/>
      <c r="AS76" s="167"/>
      <c r="AT76" s="167"/>
      <c r="AU76" s="167"/>
      <c r="AV76" s="167"/>
      <c r="AW76" s="167"/>
      <c r="AX76" s="167"/>
      <c r="AY76" s="167"/>
      <c r="AZ76" s="167"/>
      <c r="BA76" s="167"/>
      <c r="BB76" s="167"/>
      <c r="BC76" s="167"/>
      <c r="BD76" s="167"/>
      <c r="BE76" s="167"/>
      <c r="BF76" s="167"/>
      <c r="BG76" s="167"/>
      <c r="BH76" s="167"/>
      <c r="BI76" s="167"/>
      <c r="BJ76" s="167"/>
      <c r="BK76" s="248"/>
    </row>
    <row r="77" spans="22:63" x14ac:dyDescent="0.35">
      <c r="AL77" s="1059">
        <v>8</v>
      </c>
      <c r="AM77" s="167"/>
      <c r="AN77" s="167"/>
      <c r="AO77" s="167"/>
      <c r="AP77" s="167"/>
      <c r="AQ77" s="167"/>
      <c r="AR77" s="167"/>
      <c r="AS77" s="167"/>
      <c r="AT77" s="167"/>
      <c r="AU77" s="167"/>
      <c r="AV77" s="167"/>
      <c r="AW77" s="167"/>
      <c r="AX77" s="167"/>
      <c r="AY77" s="167"/>
      <c r="AZ77" s="167"/>
      <c r="BA77" s="167"/>
      <c r="BB77" s="167"/>
      <c r="BC77" s="167"/>
      <c r="BD77" s="167"/>
      <c r="BE77" s="167"/>
      <c r="BF77" s="167"/>
      <c r="BG77" s="167"/>
      <c r="BH77" s="167"/>
      <c r="BI77" s="167"/>
      <c r="BJ77" s="167"/>
      <c r="BK77" s="248"/>
    </row>
    <row r="78" spans="22:63" x14ac:dyDescent="0.35">
      <c r="AL78" s="1059">
        <v>9</v>
      </c>
      <c r="AM78" s="167"/>
      <c r="AN78" s="167"/>
      <c r="AO78" s="167"/>
      <c r="AP78" s="167"/>
      <c r="AQ78" s="167"/>
      <c r="AR78" s="167"/>
      <c r="AS78" s="167"/>
      <c r="AT78" s="167"/>
      <c r="AU78" s="167"/>
      <c r="AV78" s="167"/>
      <c r="AW78" s="167"/>
      <c r="AX78" s="167"/>
      <c r="AY78" s="167"/>
      <c r="AZ78" s="167"/>
      <c r="BA78" s="167"/>
      <c r="BB78" s="167"/>
      <c r="BC78" s="167"/>
      <c r="BD78" s="167"/>
      <c r="BE78" s="167"/>
      <c r="BF78" s="167"/>
      <c r="BG78" s="167"/>
      <c r="BH78" s="167"/>
      <c r="BI78" s="167"/>
      <c r="BJ78" s="167"/>
      <c r="BK78" s="248"/>
    </row>
    <row r="79" spans="22:63" x14ac:dyDescent="0.35">
      <c r="AL79" s="1059">
        <v>10</v>
      </c>
      <c r="AM79" s="167"/>
      <c r="AN79" s="167"/>
      <c r="AO79" s="167"/>
      <c r="AP79" s="167"/>
      <c r="AQ79" s="167"/>
      <c r="AR79" s="167"/>
      <c r="AS79" s="167"/>
      <c r="AT79" s="167"/>
      <c r="AU79" s="167"/>
      <c r="AV79" s="167"/>
      <c r="AW79" s="167"/>
      <c r="AX79" s="167"/>
      <c r="AY79" s="167"/>
      <c r="AZ79" s="167"/>
      <c r="BA79" s="167"/>
      <c r="BB79" s="167"/>
      <c r="BC79" s="167"/>
      <c r="BD79" s="167"/>
      <c r="BE79" s="167"/>
      <c r="BF79" s="167"/>
      <c r="BG79" s="167"/>
      <c r="BH79" s="167"/>
      <c r="BI79" s="167"/>
      <c r="BJ79" s="167"/>
      <c r="BK79" s="248"/>
    </row>
    <row r="80" spans="22:63" x14ac:dyDescent="0.35">
      <c r="AL80" s="1059">
        <v>11</v>
      </c>
      <c r="AM80" s="167"/>
      <c r="AN80" s="167"/>
      <c r="AO80" s="167"/>
      <c r="AP80" s="167"/>
      <c r="AQ80" s="167"/>
      <c r="AR80" s="167"/>
      <c r="AS80" s="167"/>
      <c r="AT80" s="167"/>
      <c r="AU80" s="167"/>
      <c r="AV80" s="167"/>
      <c r="AW80" s="167"/>
      <c r="AX80" s="167"/>
      <c r="AY80" s="167"/>
      <c r="AZ80" s="167"/>
      <c r="BA80" s="167"/>
      <c r="BB80" s="167"/>
      <c r="BC80" s="167"/>
      <c r="BD80" s="167"/>
      <c r="BE80" s="167"/>
      <c r="BF80" s="167"/>
      <c r="BG80" s="167"/>
      <c r="BH80" s="167"/>
      <c r="BI80" s="167"/>
      <c r="BJ80" s="167"/>
      <c r="BK80" s="248"/>
    </row>
    <row r="81" spans="38:63" ht="15" thickBot="1" x14ac:dyDescent="0.4">
      <c r="AL81" s="1066">
        <v>12</v>
      </c>
      <c r="AM81" s="250"/>
      <c r="AN81" s="250"/>
      <c r="AO81" s="250"/>
      <c r="AP81" s="250"/>
      <c r="AQ81" s="250"/>
      <c r="AR81" s="250"/>
      <c r="AS81" s="250"/>
      <c r="AT81" s="250"/>
      <c r="AU81" s="250"/>
      <c r="AV81" s="250"/>
      <c r="AW81" s="250"/>
      <c r="AX81" s="250"/>
      <c r="AY81" s="250"/>
      <c r="AZ81" s="250"/>
      <c r="BA81" s="250"/>
      <c r="BB81" s="250"/>
      <c r="BC81" s="250"/>
      <c r="BD81" s="250"/>
      <c r="BE81" s="250"/>
      <c r="BF81" s="250"/>
      <c r="BG81" s="250"/>
      <c r="BH81" s="250"/>
      <c r="BI81" s="250"/>
      <c r="BJ81" s="250"/>
      <c r="BK81" s="251"/>
    </row>
  </sheetData>
  <sheetProtection formatCells="0" formatColumns="0" formatRows="0" insertColumns="0" insertRows="0" insertHyperlinks="0" deleteColumns="0" deleteRows="0" sort="0" autoFilter="0" pivotTables="0"/>
  <mergeCells count="172">
    <mergeCell ref="K50:Q50"/>
    <mergeCell ref="R50:AA50"/>
    <mergeCell ref="H48:J48"/>
    <mergeCell ref="C47:D47"/>
    <mergeCell ref="K58:Q58"/>
    <mergeCell ref="R58:AA58"/>
    <mergeCell ref="L2:S2"/>
    <mergeCell ref="A30:E30"/>
    <mergeCell ref="A60:B60"/>
    <mergeCell ref="C60:D60"/>
    <mergeCell ref="E60:G60"/>
    <mergeCell ref="H60:J60"/>
    <mergeCell ref="A57:B57"/>
    <mergeCell ref="C57:D57"/>
    <mergeCell ref="E57:G57"/>
    <mergeCell ref="H57:J57"/>
    <mergeCell ref="A58:B58"/>
    <mergeCell ref="C58:D58"/>
    <mergeCell ref="E58:G58"/>
    <mergeCell ref="H58:J58"/>
    <mergeCell ref="K60:Q60"/>
    <mergeCell ref="R60:AA60"/>
    <mergeCell ref="K48:Q48"/>
    <mergeCell ref="R48:AA48"/>
    <mergeCell ref="K49:Q49"/>
    <mergeCell ref="R49:AA49"/>
    <mergeCell ref="D1:AA1"/>
    <mergeCell ref="D2:K2"/>
    <mergeCell ref="D3:S3"/>
    <mergeCell ref="A31:AA31"/>
    <mergeCell ref="A1:C3"/>
    <mergeCell ref="A32:C33"/>
    <mergeCell ref="D32:F33"/>
    <mergeCell ref="G32:I33"/>
    <mergeCell ref="J32:L33"/>
    <mergeCell ref="M32:O33"/>
    <mergeCell ref="P32:R33"/>
    <mergeCell ref="S32:U33"/>
    <mergeCell ref="A11:AA14"/>
    <mergeCell ref="T2:AA2"/>
    <mergeCell ref="T3:AA3"/>
    <mergeCell ref="W5:AA5"/>
    <mergeCell ref="S5:V5"/>
    <mergeCell ref="W7:AA7"/>
    <mergeCell ref="W9:AA9"/>
    <mergeCell ref="S6:V8"/>
    <mergeCell ref="V39:AA39"/>
    <mergeCell ref="M34:O34"/>
    <mergeCell ref="A62:D62"/>
    <mergeCell ref="E62:H62"/>
    <mergeCell ref="J62:P62"/>
    <mergeCell ref="Q62:AA62"/>
    <mergeCell ref="C48:D48"/>
    <mergeCell ref="H42:J43"/>
    <mergeCell ref="E42:G43"/>
    <mergeCell ref="E49:G49"/>
    <mergeCell ref="E50:G50"/>
    <mergeCell ref="K45:Q45"/>
    <mergeCell ref="R45:AA45"/>
    <mergeCell ref="K46:Q46"/>
    <mergeCell ref="R46:AA46"/>
    <mergeCell ref="K47:Q47"/>
    <mergeCell ref="R47:AA47"/>
    <mergeCell ref="C42:D43"/>
    <mergeCell ref="C44:D44"/>
    <mergeCell ref="C45:D45"/>
    <mergeCell ref="A48:B48"/>
    <mergeCell ref="A49:B49"/>
    <mergeCell ref="K57:Q57"/>
    <mergeCell ref="R57:AA57"/>
    <mergeCell ref="A50:B50"/>
    <mergeCell ref="A42:B43"/>
    <mergeCell ref="H50:J50"/>
    <mergeCell ref="E48:G48"/>
    <mergeCell ref="H45:J45"/>
    <mergeCell ref="H49:J49"/>
    <mergeCell ref="C49:D49"/>
    <mergeCell ref="C50:D50"/>
    <mergeCell ref="S9:V9"/>
    <mergeCell ref="E47:G47"/>
    <mergeCell ref="A47:B47"/>
    <mergeCell ref="C46:D46"/>
    <mergeCell ref="H46:J46"/>
    <mergeCell ref="H47:J47"/>
    <mergeCell ref="A41:AA41"/>
    <mergeCell ref="H44:J44"/>
    <mergeCell ref="E44:G44"/>
    <mergeCell ref="E45:G45"/>
    <mergeCell ref="E46:G46"/>
    <mergeCell ref="R42:AA43"/>
    <mergeCell ref="R44:AA44"/>
    <mergeCell ref="K44:Q44"/>
    <mergeCell ref="K42:Q43"/>
    <mergeCell ref="A46:B46"/>
    <mergeCell ref="A44:B44"/>
    <mergeCell ref="A45:B45"/>
    <mergeCell ref="P34:R34"/>
    <mergeCell ref="S34:U34"/>
    <mergeCell ref="A39:I39"/>
    <mergeCell ref="J39:O39"/>
    <mergeCell ref="P39:U39"/>
    <mergeCell ref="Q30:R30"/>
    <mergeCell ref="M30:P30"/>
    <mergeCell ref="J30:L30"/>
    <mergeCell ref="F30:I30"/>
    <mergeCell ref="G34:I34"/>
    <mergeCell ref="J34:L34"/>
    <mergeCell ref="D36:AA38"/>
    <mergeCell ref="D34:F34"/>
    <mergeCell ref="A34:C34"/>
    <mergeCell ref="A36:C36"/>
    <mergeCell ref="A37:C38"/>
    <mergeCell ref="W30:Y30"/>
    <mergeCell ref="W32:Y32"/>
    <mergeCell ref="W34:Y34"/>
    <mergeCell ref="S30:V30"/>
    <mergeCell ref="A17:A28"/>
    <mergeCell ref="N9:R9"/>
    <mergeCell ref="B5:E5"/>
    <mergeCell ref="K5:M5"/>
    <mergeCell ref="K7:M7"/>
    <mergeCell ref="L9:M9"/>
    <mergeCell ref="D9:E9"/>
    <mergeCell ref="D7:E7"/>
    <mergeCell ref="A15:AA15"/>
    <mergeCell ref="F5:J5"/>
    <mergeCell ref="F7:J7"/>
    <mergeCell ref="F9:J9"/>
    <mergeCell ref="N7:R7"/>
    <mergeCell ref="N5:R5"/>
    <mergeCell ref="A51:B51"/>
    <mergeCell ref="C51:D51"/>
    <mergeCell ref="E51:G51"/>
    <mergeCell ref="H51:J51"/>
    <mergeCell ref="K51:Q51"/>
    <mergeCell ref="R51:AA51"/>
    <mergeCell ref="A52:B52"/>
    <mergeCell ref="C52:D52"/>
    <mergeCell ref="E52:G52"/>
    <mergeCell ref="H52:J52"/>
    <mergeCell ref="K52:Q52"/>
    <mergeCell ref="R52:AA52"/>
    <mergeCell ref="A53:B53"/>
    <mergeCell ref="C53:D53"/>
    <mergeCell ref="E53:G53"/>
    <mergeCell ref="H53:J53"/>
    <mergeCell ref="K53:Q53"/>
    <mergeCell ref="R53:AA53"/>
    <mergeCell ref="A54:B54"/>
    <mergeCell ref="C54:D54"/>
    <mergeCell ref="E54:G54"/>
    <mergeCell ref="H54:J54"/>
    <mergeCell ref="K54:Q54"/>
    <mergeCell ref="R54:AA54"/>
    <mergeCell ref="A59:B59"/>
    <mergeCell ref="C59:D59"/>
    <mergeCell ref="E59:G59"/>
    <mergeCell ref="H59:J59"/>
    <mergeCell ref="K59:Q59"/>
    <mergeCell ref="R59:AA59"/>
    <mergeCell ref="A55:B55"/>
    <mergeCell ref="C55:D55"/>
    <mergeCell ref="E55:G55"/>
    <mergeCell ref="H55:J55"/>
    <mergeCell ref="K55:Q55"/>
    <mergeCell ref="R55:AA55"/>
    <mergeCell ref="A56:B56"/>
    <mergeCell ref="C56:D56"/>
    <mergeCell ref="E56:G56"/>
    <mergeCell ref="H56:J56"/>
    <mergeCell ref="K56:Q56"/>
    <mergeCell ref="R56:AA56"/>
  </mergeCells>
  <conditionalFormatting sqref="A44">
    <cfRule type="expression" dxfId="491" priority="222">
      <formula>COUNTIF($A$44,"1")</formula>
    </cfRule>
  </conditionalFormatting>
  <conditionalFormatting sqref="A45">
    <cfRule type="expression" dxfId="490" priority="213">
      <formula>COUNTIF($A$45,"2")</formula>
    </cfRule>
  </conditionalFormatting>
  <conditionalFormatting sqref="A46">
    <cfRule type="expression" dxfId="489" priority="206">
      <formula>COUNTIF($A$46,"3")</formula>
    </cfRule>
  </conditionalFormatting>
  <conditionalFormatting sqref="A47">
    <cfRule type="expression" dxfId="488" priority="198">
      <formula>COUNTIF($A$47,"4")</formula>
    </cfRule>
  </conditionalFormatting>
  <conditionalFormatting sqref="A48">
    <cfRule type="expression" dxfId="487" priority="190">
      <formula>COUNTIF($A$48,"5")</formula>
    </cfRule>
  </conditionalFormatting>
  <conditionalFormatting sqref="A49">
    <cfRule type="expression" dxfId="486" priority="182">
      <formula>COUNTIF($A$49,"6")</formula>
    </cfRule>
  </conditionalFormatting>
  <conditionalFormatting sqref="A50">
    <cfRule type="expression" dxfId="485" priority="174">
      <formula>COUNTIF($A$50,"7")</formula>
    </cfRule>
  </conditionalFormatting>
  <conditionalFormatting sqref="A51">
    <cfRule type="expression" dxfId="484" priority="11">
      <formula>COUNTIF($A51,"8")</formula>
    </cfRule>
  </conditionalFormatting>
  <conditionalFormatting sqref="A52">
    <cfRule type="expression" dxfId="483" priority="7">
      <formula>COUNTIF($A52,"9")</formula>
    </cfRule>
  </conditionalFormatting>
  <conditionalFormatting sqref="A53">
    <cfRule type="expression" dxfId="482" priority="9">
      <formula>COUNTIF($A53,"10")</formula>
    </cfRule>
  </conditionalFormatting>
  <conditionalFormatting sqref="A54">
    <cfRule type="expression" dxfId="481" priority="8">
      <formula>COUNTIF($A$54,"11")</formula>
    </cfRule>
  </conditionalFormatting>
  <conditionalFormatting sqref="A55">
    <cfRule type="expression" dxfId="480" priority="4">
      <formula>COUNTIF($A$54,"11")</formula>
    </cfRule>
  </conditionalFormatting>
  <conditionalFormatting sqref="A44:B52">
    <cfRule type="expression" dxfId="479" priority="6">
      <formula>COUNTIF($A55,"12")</formula>
    </cfRule>
  </conditionalFormatting>
  <conditionalFormatting sqref="A53:B53">
    <cfRule type="expression" dxfId="478" priority="25053">
      <formula>COUNTIF(#REF!,"12")</formula>
    </cfRule>
  </conditionalFormatting>
  <conditionalFormatting sqref="A54:B60">
    <cfRule type="expression" dxfId="477" priority="25052">
      <formula>COUNTIF($A64,"12")</formula>
    </cfRule>
  </conditionalFormatting>
  <conditionalFormatting sqref="A37:C38">
    <cfRule type="expression" dxfId="476" priority="122">
      <formula>$A$37&lt;&gt;""</formula>
    </cfRule>
  </conditionalFormatting>
  <conditionalFormatting sqref="A34:U34">
    <cfRule type="cellIs" dxfId="475" priority="157" operator="equal">
      <formula>0</formula>
    </cfRule>
  </conditionalFormatting>
  <conditionalFormatting sqref="C44:D60">
    <cfRule type="cellIs" dxfId="473" priority="158" operator="equal">
      <formula>0</formula>
    </cfRule>
  </conditionalFormatting>
  <conditionalFormatting sqref="C16:AA16">
    <cfRule type="beginsWith" dxfId="472" priority="261" operator="beginsWith" text="0a">
      <formula>LEFT(C16,LEN("0a"))="0a"</formula>
    </cfRule>
  </conditionalFormatting>
  <conditionalFormatting sqref="C17:AA28">
    <cfRule type="expression" dxfId="468" priority="154">
      <formula>COUNTIF(C17,"*10*")</formula>
    </cfRule>
    <cfRule type="expression" dxfId="467" priority="155">
      <formula>COUNTIF(C17,"*9*")</formula>
    </cfRule>
    <cfRule type="expression" dxfId="466" priority="156">
      <formula>COUNTIF(C17,"*8*")</formula>
    </cfRule>
    <cfRule type="expression" dxfId="465" priority="159">
      <formula>AND(COUNTIF(C17,"*V*"),AND(NOT(COUNTIF(B17,"*V*")),NOT(COUNTIF(D17,"*V*"))))</formula>
    </cfRule>
    <cfRule type="expression" dxfId="464" priority="160">
      <formula>COUNTIF(C17,"*7*")</formula>
    </cfRule>
    <cfRule type="expression" dxfId="463" priority="162">
      <formula>COUNTIF(C17,"*5*")</formula>
    </cfRule>
    <cfRule type="expression" dxfId="462" priority="163">
      <formula>COUNTIF(C17,"*4*")</formula>
    </cfRule>
    <cfRule type="expression" dxfId="461" priority="164">
      <formula>COUNTIF(C17,"*3*")</formula>
    </cfRule>
    <cfRule type="expression" dxfId="460" priority="165">
      <formula>COUNTIF(C17,"*2*")</formula>
    </cfRule>
    <cfRule type="expression" dxfId="459" priority="166">
      <formula>COUNTIF(C17,"*1*")</formula>
    </cfRule>
    <cfRule type="expression" dxfId="455" priority="161">
      <formula>COUNTIF(C17,"*6*")</formula>
    </cfRule>
    <cfRule type="expression" dxfId="450" priority="2">
      <formula>COUNTIF(C17,"*12*")</formula>
    </cfRule>
    <cfRule type="expression" dxfId="448" priority="5">
      <formula>COUNTIF(C17,"*11*")</formula>
    </cfRule>
  </conditionalFormatting>
  <conditionalFormatting sqref="D36">
    <cfRule type="beginsWith" dxfId="446" priority="27" operator="beginsWith" text="Scrapped after completing four runs.">
      <formula>LEFT(D36,LEN("Scrapped after completing four runs."))="Scrapped after completing four runs."</formula>
    </cfRule>
  </conditionalFormatting>
  <conditionalFormatting sqref="M34:O34">
    <cfRule type="expression" dxfId="445" priority="1">
      <formula>$AB$1="❌ Mismatch – check table / M34 / remarks / Quantity"</formula>
    </cfRule>
  </conditionalFormatting>
  <conditionalFormatting sqref="W9:AA9">
    <cfRule type="cellIs" dxfId="442" priority="123" operator="equal">
      <formula>0</formula>
    </cfRule>
  </conditionalFormatting>
  <conditionalFormatting sqref="AM69:BK69">
    <cfRule type="beginsWith" dxfId="440" priority="72" operator="beginsWith" text="0a">
      <formula>LEFT(AM69,LEN("0a"))="0a"</formula>
    </cfRule>
  </conditionalFormatting>
  <conditionalFormatting sqref="AM70:BK81">
    <cfRule type="expression" dxfId="436" priority="24726">
      <formula>COUNTIF(AM70,"*10*")</formula>
    </cfRule>
    <cfRule type="expression" dxfId="435" priority="24727">
      <formula>COUNTIF(AM70,"*9*")</formula>
    </cfRule>
    <cfRule type="expression" dxfId="434" priority="24729">
      <formula>AND(COUNTIF(AM70,"*V*"),AND(NOT(COUNTIF(AL70,"*V*")),NOT(COUNTIF(AN70,"*V*"))))</formula>
    </cfRule>
    <cfRule type="expression" dxfId="433" priority="24730">
      <formula>COUNTIF(AM70,"*7*")</formula>
    </cfRule>
    <cfRule type="expression" dxfId="432" priority="24731">
      <formula>COUNTIF(AM70,"*6*")</formula>
    </cfRule>
    <cfRule type="expression" dxfId="431" priority="24732">
      <formula>COUNTIF(AM70,"*5*")</formula>
    </cfRule>
    <cfRule type="expression" dxfId="430" priority="24733">
      <formula>COUNTIF(AM70,"*4*")</formula>
    </cfRule>
    <cfRule type="expression" dxfId="429" priority="24734">
      <formula>COUNTIF(AM70,"*3*")</formula>
    </cfRule>
    <cfRule type="expression" dxfId="428" priority="24735">
      <formula>COUNTIF(AM70,"*2*")</formula>
    </cfRule>
    <cfRule type="expression" dxfId="427" priority="24736">
      <formula>COUNTIF(AM70,"*1*")</formula>
    </cfRule>
    <cfRule type="expression" dxfId="426" priority="24728">
      <formula>COUNTIF(AM70,"*8*")</formula>
    </cfRule>
  </conditionalFormatting>
  <pageMargins left="0.25" right="0" top="0.25" bottom="0" header="0.05" footer="0.05"/>
  <pageSetup paperSize="9" orientation="portrait" r:id="rId1"/>
  <rowBreaks count="1" manualBreakCount="1">
    <brk id="73" max="26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950" id="{5601EAD1-8654-450C-9916-12DE571A4B65}">
            <xm:f>SUM(Data!$BR46:$CV46)=0</xm:f>
            <x14:dxf>
              <font>
                <color theme="0"/>
              </font>
            </x14:dxf>
          </x14:cfRule>
          <xm:sqref>B17:B28</xm:sqref>
        </x14:conditionalFormatting>
        <x14:conditionalFormatting xmlns:xm="http://schemas.microsoft.com/office/excel/2006/main">
          <x14:cfRule type="expression" priority="26" id="{7DD139FC-FBDD-450E-AACE-42F4E2984F72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151" id="{B0682BB8-EFAC-4847-BC5C-DA7B2A4710ED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153" id="{8F6B45A6-D3FB-4E49-8822-67308681992B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67" id="{CE6D0A2D-886C-4707-B1ED-1FC1C7919207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68" id="{AF98FE72-E6D2-4C09-A6D6-5158BC3B8AA3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69" id="{AFD32F80-52CE-474C-9098-C0E421DB8148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71" id="{25DE9C52-7F13-4ACE-B4E7-A7409C1F558E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172" id="{9FF2DCBB-AB1B-4005-8C10-7E27FA26B4DD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173" id="{FBFD04F8-EDD3-4348-A297-228824CDD861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70" id="{81ABCB2F-C5B8-40CA-9D52-FDB77ED17884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3" id="{66FF2303-CEB2-43E3-AFEC-EAC9FA69B4B4}">
            <xm:f>COUNTIF(Data!BR46,"12")</xm:f>
            <x14:dxf>
              <fill>
                <patternFill>
                  <bgColor rgb="FFEA0688"/>
                </patternFill>
              </fill>
            </x14:dxf>
          </x14:cfRule>
          <x14:cfRule type="expression" priority="152" id="{691E4F31-F268-438A-9CFE-07104112D0AE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m:sqref>C17:AA28</xm:sqref>
        </x14:conditionalFormatting>
        <x14:conditionalFormatting xmlns:xm="http://schemas.microsoft.com/office/excel/2006/main">
          <x14:cfRule type="expression" priority="121" id="{F6013733-A4B4-4A99-B338-E073DFFC3454}">
            <xm:f>AND(OR(Data!B7="ARDT-LV3", Data!B7="ARDT-LV4"), $M$34&lt;&gt;$S$34)</xm:f>
            <x14:dxf>
              <fill>
                <patternFill>
                  <bgColor rgb="FFFF0000"/>
                </patternFill>
              </fill>
            </x14:dxf>
          </x14:cfRule>
          <xm:sqref>M34:O34</xm:sqref>
        </x14:conditionalFormatting>
        <x14:conditionalFormatting xmlns:xm="http://schemas.microsoft.com/office/excel/2006/main">
          <x14:cfRule type="expression" priority="120" id="{9B473FBA-7B52-4AD1-994D-78138D5212E2}">
            <xm:f>AND(Data!$B$7="UR",ISNUMBER(VALUE(LEFT(Data!$B$2,8))), MID(Data!$B$2,9,1)="R", RIGHT(Data!B2,1)="4")</xm:f>
            <x14:dxf>
              <fill>
                <patternFill>
                  <bgColor rgb="FFFF0000"/>
                </patternFill>
              </fill>
            </x14:dxf>
          </x14:cfRule>
          <xm:sqref>N5:R5</xm:sqref>
        </x14:conditionalFormatting>
        <x14:conditionalFormatting xmlns:xm="http://schemas.microsoft.com/office/excel/2006/main">
          <x14:cfRule type="expression" priority="264" id="{5601EAD1-8654-450C-9916-12DE571A4B65}">
            <xm:f>SUM(Data!$BR93:$CV93)=0</xm:f>
            <x14:dxf>
              <font>
                <color theme="0"/>
              </font>
            </x14:dxf>
          </x14:cfRule>
          <xm:sqref>AL70:AL81</xm:sqref>
        </x14:conditionalFormatting>
        <x14:conditionalFormatting xmlns:xm="http://schemas.microsoft.com/office/excel/2006/main">
          <x14:cfRule type="expression" priority="24723" id="{B0682BB8-EFAC-4847-BC5C-DA7B2A4710ED}">
            <xm:f>COUNTIF(Data!DB89,"10")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24724" id="{691E4F31-F268-438A-9CFE-07104112D0AE}">
            <xm:f>COUNTIF(Data!DB89,"9")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24725" id="{8F6B45A6-D3FB-4E49-8822-67308681992B}">
            <xm:f>COUNTIF(Data!DB89,"8")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24738" id="{AF98FE72-E6D2-4C09-A6D6-5158BC3B8AA3}">
            <xm:f>COUNTIF(Data!DB89,"6")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24739" id="{AFD32F80-52CE-474C-9098-C0E421DB8148}">
            <xm:f>COUNTIF(Data!DB89,"5")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24740" id="{81ABCB2F-C5B8-40CA-9D52-FDB77ED17884}">
            <xm:f>COUNTIF(Data!DB89,"4")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24741" id="{25DE9C52-7F13-4ACE-B4E7-A7409C1F558E}">
            <xm:f>COUNTIF(Data!DB89,"3")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24742" id="{9FF2DCBB-AB1B-4005-8C10-7E27FA26B4DD}">
            <xm:f>COUNTIF(Data!DB89,"2")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4743" id="{FBFD04F8-EDD3-4348-A297-228824CDD861}">
            <xm:f>COUNTIF(Data!DB89,"1")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4737" id="{CE6D0A2D-886C-4707-B1ED-1FC1C7919207}">
            <xm:f>COUNTIF(Data!DB89,"7")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m:sqref>AM70:BK81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>
    <tabColor rgb="FF92D050"/>
    <pageSetUpPr fitToPage="1"/>
  </sheetPr>
  <dimension ref="A1:V31"/>
  <sheetViews>
    <sheetView view="pageBreakPreview" zoomScaleNormal="100" zoomScaleSheetLayoutView="100" workbookViewId="0">
      <selection activeCell="G7" sqref="G7:J9"/>
    </sheetView>
  </sheetViews>
  <sheetFormatPr defaultColWidth="9.1796875" defaultRowHeight="15.5" x14ac:dyDescent="0.35"/>
  <cols>
    <col min="1" max="1" width="4.7265625" style="412" customWidth="1"/>
    <col min="2" max="2" width="10.7265625" style="412" customWidth="1"/>
    <col min="3" max="3" width="15.7265625" style="412" customWidth="1"/>
    <col min="4" max="4" width="3.7265625" style="412" customWidth="1"/>
    <col min="5" max="5" width="6.7265625" style="412" customWidth="1"/>
    <col min="6" max="6" width="14.7265625" style="412" customWidth="1"/>
    <col min="7" max="7" width="3.7265625" style="412" customWidth="1"/>
    <col min="8" max="8" width="6.7265625" style="412" customWidth="1"/>
    <col min="9" max="9" width="22.7265625" style="412" customWidth="1"/>
    <col min="10" max="27" width="3" style="412" customWidth="1"/>
    <col min="28" max="35" width="3.1796875" style="412" customWidth="1"/>
    <col min="36" max="16384" width="9.1796875" style="412"/>
  </cols>
  <sheetData>
    <row r="1" spans="1:22" ht="22" customHeight="1" x14ac:dyDescent="0.35">
      <c r="A1" s="417"/>
      <c r="B1" s="1521" t="s">
        <v>977</v>
      </c>
      <c r="C1" s="1521"/>
      <c r="D1" s="1521"/>
      <c r="E1" s="1521"/>
      <c r="F1" s="1521"/>
      <c r="G1" s="1513" t="s">
        <v>974</v>
      </c>
      <c r="H1" s="1513"/>
      <c r="I1" s="1513"/>
      <c r="J1" s="1514"/>
    </row>
    <row r="2" spans="1:22" ht="22" customHeight="1" x14ac:dyDescent="0.35">
      <c r="A2" s="418"/>
      <c r="B2" s="1522"/>
      <c r="C2" s="1522"/>
      <c r="D2" s="1522"/>
      <c r="E2" s="1522"/>
      <c r="F2" s="1522"/>
      <c r="G2" s="1515" t="s">
        <v>1063</v>
      </c>
      <c r="H2" s="1515"/>
      <c r="I2" s="1515"/>
      <c r="J2" s="1516"/>
    </row>
    <row r="3" spans="1:22" ht="22" customHeight="1" x14ac:dyDescent="0.35">
      <c r="A3" s="1523" t="s">
        <v>45</v>
      </c>
      <c r="B3" s="1524"/>
      <c r="C3" s="1524"/>
      <c r="D3" s="1524"/>
      <c r="E3" s="1524"/>
      <c r="F3" s="1525"/>
      <c r="G3" s="1515" t="s">
        <v>975</v>
      </c>
      <c r="H3" s="1515"/>
      <c r="I3" s="1515"/>
      <c r="J3" s="1516"/>
    </row>
    <row r="4" spans="1:22" ht="22" customHeight="1" thickBot="1" x14ac:dyDescent="0.4">
      <c r="A4" s="1526"/>
      <c r="B4" s="1527"/>
      <c r="C4" s="1527"/>
      <c r="D4" s="1527"/>
      <c r="E4" s="1527"/>
      <c r="F4" s="1528"/>
      <c r="G4" s="1517" t="s">
        <v>976</v>
      </c>
      <c r="H4" s="1517"/>
      <c r="I4" s="1517"/>
      <c r="J4" s="1518"/>
    </row>
    <row r="5" spans="1:22" ht="12.65" customHeight="1" thickBot="1" x14ac:dyDescent="0.4">
      <c r="A5" s="411"/>
      <c r="B5" s="411"/>
      <c r="C5" s="411"/>
      <c r="D5" s="411"/>
      <c r="E5" s="411"/>
      <c r="F5" s="411"/>
      <c r="G5" s="411"/>
      <c r="H5" s="411"/>
      <c r="I5" s="411"/>
    </row>
    <row r="6" spans="1:22" ht="28" customHeight="1" thickBot="1" x14ac:dyDescent="0.4">
      <c r="A6" s="1529" t="s">
        <v>27</v>
      </c>
      <c r="B6" s="1530"/>
      <c r="C6" s="531" t="str">
        <f>IF(Data!B1&lt;&gt;"", Data!B1, " ")</f>
        <v>2025-AR-105</v>
      </c>
      <c r="D6" s="1531" t="s">
        <v>28</v>
      </c>
      <c r="E6" s="1532"/>
      <c r="F6" s="427">
        <f>IF(Data!B2&lt;&gt;"",Data!B2," ")</f>
        <v>13753277</v>
      </c>
      <c r="H6" s="240" t="s">
        <v>845</v>
      </c>
      <c r="I6" s="1519" t="str">
        <f>IF(Data!B7&lt;&gt;"",Data!B7," ")</f>
        <v>SAUDI ARAMCO</v>
      </c>
      <c r="J6" s="1520"/>
    </row>
    <row r="7" spans="1:22" ht="12.65" customHeight="1" thickBot="1" x14ac:dyDescent="0.4">
      <c r="A7" s="413"/>
      <c r="B7" s="413"/>
      <c r="C7" s="413"/>
      <c r="D7" s="413"/>
      <c r="E7" s="413"/>
      <c r="F7" s="413"/>
      <c r="G7" s="1534" t="str">
        <f>IF(Instructions!$L$1&lt;&gt;"",Instructions!$L$1,"")</f>
        <v/>
      </c>
      <c r="H7" s="1534"/>
      <c r="I7" s="1534"/>
      <c r="J7" s="1534"/>
      <c r="V7" s="433"/>
    </row>
    <row r="8" spans="1:22" ht="25" customHeight="1" thickBot="1" x14ac:dyDescent="0.4">
      <c r="A8" s="1529" t="s">
        <v>29</v>
      </c>
      <c r="B8" s="1530"/>
      <c r="C8" s="423" t="str">
        <f>IF(LEN(Data!B3)&gt;3,IF(AND(Data!B43&lt;&gt;"",Data!B43&lt;&gt;"0 0/1"""),Data!B43,""),IF(Data!B3&lt;&gt;"",Data!B3&amp;"""",""))</f>
        <v>8 3/8"</v>
      </c>
      <c r="D8" s="1533" t="s">
        <v>31</v>
      </c>
      <c r="E8" s="1530"/>
      <c r="F8" s="419" t="str">
        <f>IF(Data!B4&lt;&gt;"",Data!B4," ")</f>
        <v>MM65DH</v>
      </c>
      <c r="G8" s="1534"/>
      <c r="H8" s="1534"/>
      <c r="I8" s="1534"/>
      <c r="J8" s="1534"/>
      <c r="M8" s="420"/>
    </row>
    <row r="9" spans="1:22" ht="12.65" customHeight="1" thickBot="1" x14ac:dyDescent="0.4">
      <c r="A9" s="421"/>
      <c r="B9" s="421"/>
      <c r="C9" s="421"/>
      <c r="D9" s="421"/>
      <c r="E9" s="421"/>
      <c r="F9" s="421"/>
      <c r="G9" s="1535"/>
      <c r="H9" s="1535"/>
      <c r="I9" s="1535"/>
      <c r="J9" s="1535"/>
    </row>
    <row r="10" spans="1:22" ht="35.15" customHeight="1" thickBot="1" x14ac:dyDescent="0.4">
      <c r="A10" s="428" t="s">
        <v>993</v>
      </c>
      <c r="B10" s="1509" t="s">
        <v>973</v>
      </c>
      <c r="C10" s="1509"/>
      <c r="D10" s="1509"/>
      <c r="E10" s="429" t="s">
        <v>46</v>
      </c>
      <c r="F10" s="429" t="s">
        <v>951</v>
      </c>
      <c r="G10" s="1509" t="s">
        <v>44</v>
      </c>
      <c r="H10" s="1509"/>
      <c r="I10" s="1509"/>
      <c r="J10" s="1510"/>
    </row>
    <row r="11" spans="1:22" s="422" customFormat="1" ht="32.15" customHeight="1" x14ac:dyDescent="0.35">
      <c r="A11" s="230">
        <v>1</v>
      </c>
      <c r="B11" s="1511" t="s">
        <v>994</v>
      </c>
      <c r="C11" s="1511"/>
      <c r="D11" s="1511"/>
      <c r="E11" s="430"/>
      <c r="F11" s="430"/>
      <c r="G11" s="1511"/>
      <c r="H11" s="1511"/>
      <c r="I11" s="1511"/>
      <c r="J11" s="1512"/>
    </row>
    <row r="12" spans="1:22" ht="25" customHeight="1" x14ac:dyDescent="0.35">
      <c r="A12" s="233">
        <v>2</v>
      </c>
      <c r="B12" s="1507" t="s">
        <v>783</v>
      </c>
      <c r="C12" s="1507"/>
      <c r="D12" s="1507"/>
      <c r="E12" s="431"/>
      <c r="F12" s="431"/>
      <c r="G12" s="1507"/>
      <c r="H12" s="1507"/>
      <c r="I12" s="1507"/>
      <c r="J12" s="1508"/>
    </row>
    <row r="13" spans="1:22" ht="25" customHeight="1" x14ac:dyDescent="0.35">
      <c r="A13" s="233">
        <v>3</v>
      </c>
      <c r="B13" s="1507" t="s">
        <v>978</v>
      </c>
      <c r="C13" s="1507"/>
      <c r="D13" s="1507"/>
      <c r="E13" s="431"/>
      <c r="F13" s="431"/>
      <c r="G13" s="1507"/>
      <c r="H13" s="1507"/>
      <c r="I13" s="1507"/>
      <c r="J13" s="1508"/>
    </row>
    <row r="14" spans="1:22" ht="25" customHeight="1" x14ac:dyDescent="0.35">
      <c r="A14" s="233">
        <v>4</v>
      </c>
      <c r="B14" s="1507" t="s">
        <v>979</v>
      </c>
      <c r="C14" s="1507"/>
      <c r="D14" s="1507"/>
      <c r="E14" s="431"/>
      <c r="F14" s="431"/>
      <c r="G14" s="1507"/>
      <c r="H14" s="1507"/>
      <c r="I14" s="1507"/>
      <c r="J14" s="1508"/>
    </row>
    <row r="15" spans="1:22" ht="25" customHeight="1" x14ac:dyDescent="0.35">
      <c r="A15" s="233">
        <v>5</v>
      </c>
      <c r="B15" s="1507" t="s">
        <v>980</v>
      </c>
      <c r="C15" s="1507"/>
      <c r="D15" s="1507"/>
      <c r="E15" s="431"/>
      <c r="F15" s="431"/>
      <c r="G15" s="1507"/>
      <c r="H15" s="1507"/>
      <c r="I15" s="1507"/>
      <c r="J15" s="1508"/>
    </row>
    <row r="16" spans="1:22" ht="25" customHeight="1" x14ac:dyDescent="0.35">
      <c r="A16" s="233">
        <v>6</v>
      </c>
      <c r="B16" s="1507" t="s">
        <v>981</v>
      </c>
      <c r="C16" s="1507"/>
      <c r="D16" s="1507"/>
      <c r="E16" s="431"/>
      <c r="F16" s="431"/>
      <c r="G16" s="1507"/>
      <c r="H16" s="1507"/>
      <c r="I16" s="1507"/>
      <c r="J16" s="1508"/>
    </row>
    <row r="17" spans="1:10" ht="32.15" customHeight="1" x14ac:dyDescent="0.35">
      <c r="A17" s="233">
        <v>7</v>
      </c>
      <c r="B17" s="1507" t="s">
        <v>982</v>
      </c>
      <c r="C17" s="1507"/>
      <c r="D17" s="1507"/>
      <c r="E17" s="431"/>
      <c r="F17" s="431"/>
      <c r="G17" s="1507"/>
      <c r="H17" s="1507"/>
      <c r="I17" s="1507"/>
      <c r="J17" s="1508"/>
    </row>
    <row r="18" spans="1:10" ht="25" customHeight="1" x14ac:dyDescent="0.35">
      <c r="A18" s="233">
        <v>8</v>
      </c>
      <c r="B18" s="1507" t="s">
        <v>983</v>
      </c>
      <c r="C18" s="1507"/>
      <c r="D18" s="1507"/>
      <c r="E18" s="431"/>
      <c r="F18" s="431"/>
      <c r="G18" s="1507"/>
      <c r="H18" s="1507"/>
      <c r="I18" s="1507"/>
      <c r="J18" s="1508"/>
    </row>
    <row r="19" spans="1:10" ht="25" customHeight="1" x14ac:dyDescent="0.35">
      <c r="A19" s="233">
        <v>9</v>
      </c>
      <c r="B19" s="1507" t="s">
        <v>784</v>
      </c>
      <c r="C19" s="1507"/>
      <c r="D19" s="1507"/>
      <c r="E19" s="431"/>
      <c r="F19" s="431"/>
      <c r="G19" s="1507"/>
      <c r="H19" s="1507"/>
      <c r="I19" s="1507"/>
      <c r="J19" s="1508"/>
    </row>
    <row r="20" spans="1:10" ht="25" customHeight="1" x14ac:dyDescent="0.35">
      <c r="A20" s="233">
        <v>10</v>
      </c>
      <c r="B20" s="1507" t="s">
        <v>984</v>
      </c>
      <c r="C20" s="1507"/>
      <c r="D20" s="1507"/>
      <c r="E20" s="431"/>
      <c r="F20" s="431"/>
      <c r="G20" s="1507"/>
      <c r="H20" s="1507"/>
      <c r="I20" s="1507"/>
      <c r="J20" s="1508"/>
    </row>
    <row r="21" spans="1:10" ht="25" customHeight="1" x14ac:dyDescent="0.35">
      <c r="A21" s="233">
        <v>11</v>
      </c>
      <c r="B21" s="1507" t="s">
        <v>985</v>
      </c>
      <c r="C21" s="1507"/>
      <c r="D21" s="1507"/>
      <c r="E21" s="431"/>
      <c r="F21" s="431"/>
      <c r="G21" s="1507"/>
      <c r="H21" s="1507"/>
      <c r="I21" s="1507"/>
      <c r="J21" s="1508"/>
    </row>
    <row r="22" spans="1:10" ht="25" customHeight="1" x14ac:dyDescent="0.35">
      <c r="A22" s="233">
        <v>12</v>
      </c>
      <c r="B22" s="1507" t="s">
        <v>986</v>
      </c>
      <c r="C22" s="1507"/>
      <c r="D22" s="1507"/>
      <c r="E22" s="431"/>
      <c r="F22" s="431"/>
      <c r="G22" s="1507"/>
      <c r="H22" s="1507"/>
      <c r="I22" s="1507"/>
      <c r="J22" s="1508"/>
    </row>
    <row r="23" spans="1:10" ht="25" customHeight="1" x14ac:dyDescent="0.35">
      <c r="A23" s="233">
        <v>13</v>
      </c>
      <c r="B23" s="1507" t="s">
        <v>987</v>
      </c>
      <c r="C23" s="1507"/>
      <c r="D23" s="1507"/>
      <c r="E23" s="431"/>
      <c r="F23" s="431"/>
      <c r="G23" s="1507"/>
      <c r="H23" s="1507"/>
      <c r="I23" s="1507"/>
      <c r="J23" s="1508"/>
    </row>
    <row r="24" spans="1:10" ht="25" customHeight="1" x14ac:dyDescent="0.35">
      <c r="A24" s="233">
        <v>14</v>
      </c>
      <c r="B24" s="1507" t="s">
        <v>988</v>
      </c>
      <c r="C24" s="1507"/>
      <c r="D24" s="1507"/>
      <c r="E24" s="431"/>
      <c r="F24" s="431"/>
      <c r="G24" s="1507"/>
      <c r="H24" s="1507"/>
      <c r="I24" s="1507"/>
      <c r="J24" s="1508"/>
    </row>
    <row r="25" spans="1:10" ht="25" customHeight="1" x14ac:dyDescent="0.35">
      <c r="A25" s="233">
        <v>15</v>
      </c>
      <c r="B25" s="1507" t="s">
        <v>989</v>
      </c>
      <c r="C25" s="1507"/>
      <c r="D25" s="1507"/>
      <c r="E25" s="431"/>
      <c r="F25" s="431"/>
      <c r="G25" s="1507"/>
      <c r="H25" s="1507"/>
      <c r="I25" s="1507"/>
      <c r="J25" s="1508"/>
    </row>
    <row r="26" spans="1:10" ht="25" customHeight="1" x14ac:dyDescent="0.35">
      <c r="A26" s="233">
        <v>16</v>
      </c>
      <c r="B26" s="1507" t="s">
        <v>1057</v>
      </c>
      <c r="C26" s="1507"/>
      <c r="D26" s="1507"/>
      <c r="E26" s="431"/>
      <c r="F26" s="431"/>
      <c r="G26" s="1507"/>
      <c r="H26" s="1507"/>
      <c r="I26" s="1507"/>
      <c r="J26" s="1508"/>
    </row>
    <row r="27" spans="1:10" ht="25" customHeight="1" x14ac:dyDescent="0.35">
      <c r="A27" s="233">
        <v>17</v>
      </c>
      <c r="B27" s="1507" t="s">
        <v>990</v>
      </c>
      <c r="C27" s="1507"/>
      <c r="D27" s="1507"/>
      <c r="E27" s="431"/>
      <c r="F27" s="431"/>
      <c r="G27" s="1507"/>
      <c r="H27" s="1507"/>
      <c r="I27" s="1507"/>
      <c r="J27" s="1508"/>
    </row>
    <row r="28" spans="1:10" ht="25" customHeight="1" thickBot="1" x14ac:dyDescent="0.4">
      <c r="A28" s="249">
        <v>18</v>
      </c>
      <c r="B28" s="1537" t="s">
        <v>991</v>
      </c>
      <c r="C28" s="1537"/>
      <c r="D28" s="1537"/>
      <c r="E28" s="432"/>
      <c r="F28" s="432"/>
      <c r="G28" s="1537"/>
      <c r="H28" s="1537"/>
      <c r="I28" s="1537"/>
      <c r="J28" s="1538"/>
    </row>
    <row r="29" spans="1:10" ht="12.65" customHeight="1" x14ac:dyDescent="0.35">
      <c r="A29" s="410"/>
      <c r="B29" s="410"/>
      <c r="C29" s="410"/>
      <c r="D29" s="410"/>
      <c r="E29" s="410"/>
      <c r="F29" s="410"/>
      <c r="G29" s="410"/>
      <c r="H29" s="410"/>
      <c r="I29" s="410"/>
    </row>
    <row r="30" spans="1:10" ht="25" customHeight="1" x14ac:dyDescent="0.35">
      <c r="A30" s="1536" t="s">
        <v>992</v>
      </c>
      <c r="B30" s="1536"/>
      <c r="C30" s="424"/>
      <c r="D30" s="410"/>
      <c r="E30" s="415" t="s">
        <v>65</v>
      </c>
      <c r="F30" s="410"/>
      <c r="G30" s="410"/>
      <c r="H30" s="416" t="s">
        <v>36</v>
      </c>
      <c r="I30" s="426"/>
    </row>
    <row r="31" spans="1:10" ht="12.65" customHeight="1" x14ac:dyDescent="0.35">
      <c r="E31" s="414"/>
      <c r="F31" s="425"/>
    </row>
  </sheetData>
  <sheetProtection formatCells="0" formatColumns="0" formatRows="0" insertColumns="0" insertRows="0" insertHyperlinks="0" deleteColumns="0" deleteRows="0" sort="0" autoFilter="0" pivotTables="0"/>
  <mergeCells count="51">
    <mergeCell ref="B24:D24"/>
    <mergeCell ref="G7:J9"/>
    <mergeCell ref="G12:J12"/>
    <mergeCell ref="A30:B30"/>
    <mergeCell ref="G21:J21"/>
    <mergeCell ref="G22:J22"/>
    <mergeCell ref="G23:J23"/>
    <mergeCell ref="G24:J24"/>
    <mergeCell ref="G25:J25"/>
    <mergeCell ref="G26:J26"/>
    <mergeCell ref="G27:J27"/>
    <mergeCell ref="G28:J28"/>
    <mergeCell ref="B26:D26"/>
    <mergeCell ref="B27:D27"/>
    <mergeCell ref="B28:D28"/>
    <mergeCell ref="G20:J20"/>
    <mergeCell ref="B1:F2"/>
    <mergeCell ref="A3:F4"/>
    <mergeCell ref="A6:B6"/>
    <mergeCell ref="A8:B8"/>
    <mergeCell ref="D6:E6"/>
    <mergeCell ref="D8:E8"/>
    <mergeCell ref="G1:J1"/>
    <mergeCell ref="G2:J2"/>
    <mergeCell ref="G3:J3"/>
    <mergeCell ref="G4:J4"/>
    <mergeCell ref="I6:J6"/>
    <mergeCell ref="B16:D16"/>
    <mergeCell ref="G17:J17"/>
    <mergeCell ref="B22:D22"/>
    <mergeCell ref="B23:D23"/>
    <mergeCell ref="B19:D19"/>
    <mergeCell ref="B20:D20"/>
    <mergeCell ref="G19:J19"/>
    <mergeCell ref="B21:D21"/>
    <mergeCell ref="G13:J13"/>
    <mergeCell ref="G14:J14"/>
    <mergeCell ref="G15:J15"/>
    <mergeCell ref="B25:D25"/>
    <mergeCell ref="G10:J10"/>
    <mergeCell ref="B11:D11"/>
    <mergeCell ref="B12:D12"/>
    <mergeCell ref="B17:D17"/>
    <mergeCell ref="B18:D18"/>
    <mergeCell ref="G18:J18"/>
    <mergeCell ref="G16:J16"/>
    <mergeCell ref="B10:D10"/>
    <mergeCell ref="G11:J11"/>
    <mergeCell ref="B14:D14"/>
    <mergeCell ref="B15:D15"/>
    <mergeCell ref="B13:D13"/>
  </mergeCells>
  <conditionalFormatting sqref="G7">
    <cfRule type="expression" dxfId="418" priority="24368">
      <formula>$G$7&lt;&gt;""</formula>
    </cfRule>
  </conditionalFormatting>
  <pageMargins left="0.5" right="0.5" top="0.5" bottom="0.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>
    <tabColor rgb="FF92D050"/>
    <pageSetUpPr fitToPage="1"/>
  </sheetPr>
  <dimension ref="A1:J62"/>
  <sheetViews>
    <sheetView zoomScaleNormal="100" zoomScaleSheetLayoutView="115" zoomScalePageLayoutView="40" workbookViewId="0">
      <selection activeCell="A3" sqref="A3:G4"/>
    </sheetView>
  </sheetViews>
  <sheetFormatPr defaultColWidth="9.1796875" defaultRowHeight="14.5" x14ac:dyDescent="0.35"/>
  <cols>
    <col min="1" max="1" width="4.54296875" customWidth="1"/>
    <col min="2" max="2" width="12.7265625" customWidth="1"/>
    <col min="3" max="3" width="30" customWidth="1"/>
    <col min="4" max="4" width="3.7265625" customWidth="1"/>
    <col min="5" max="5" width="9.7265625" customWidth="1"/>
    <col min="6" max="6" width="15" customWidth="1"/>
    <col min="7" max="7" width="3.7265625" customWidth="1"/>
    <col min="8" max="8" width="14.453125" customWidth="1"/>
    <col min="9" max="10" width="14.7265625" customWidth="1"/>
    <col min="11" max="11" width="3.26953125" customWidth="1"/>
    <col min="12" max="28" width="3" customWidth="1"/>
    <col min="29" max="36" width="3.1796875" customWidth="1"/>
  </cols>
  <sheetData>
    <row r="1" spans="1:10" ht="18" customHeight="1" x14ac:dyDescent="0.35">
      <c r="A1" s="761"/>
      <c r="B1" s="1580" t="s">
        <v>977</v>
      </c>
      <c r="C1" s="1580"/>
      <c r="D1" s="1580"/>
      <c r="E1" s="1580"/>
      <c r="F1" s="1580"/>
      <c r="G1" s="1581"/>
      <c r="H1" s="1584" t="s">
        <v>1025</v>
      </c>
      <c r="I1" s="1575"/>
      <c r="J1" s="1576"/>
    </row>
    <row r="2" spans="1:10" ht="18" customHeight="1" x14ac:dyDescent="0.35">
      <c r="A2" s="762"/>
      <c r="B2" s="1582"/>
      <c r="C2" s="1582"/>
      <c r="D2" s="1582"/>
      <c r="E2" s="1582"/>
      <c r="F2" s="1582"/>
      <c r="G2" s="1583"/>
      <c r="H2" s="1585" t="s">
        <v>1569</v>
      </c>
      <c r="I2" s="1515"/>
      <c r="J2" s="1516"/>
    </row>
    <row r="3" spans="1:10" ht="18" customHeight="1" x14ac:dyDescent="0.35">
      <c r="A3" s="1586" t="s">
        <v>47</v>
      </c>
      <c r="B3" s="1587"/>
      <c r="C3" s="1587"/>
      <c r="D3" s="1587"/>
      <c r="E3" s="1587"/>
      <c r="F3" s="1587"/>
      <c r="G3" s="1587"/>
      <c r="H3" s="1515" t="s">
        <v>975</v>
      </c>
      <c r="I3" s="1515"/>
      <c r="J3" s="1516"/>
    </row>
    <row r="4" spans="1:10" ht="18" customHeight="1" thickBot="1" x14ac:dyDescent="0.4">
      <c r="A4" s="1588"/>
      <c r="B4" s="1589"/>
      <c r="C4" s="1589"/>
      <c r="D4" s="1589"/>
      <c r="E4" s="1589"/>
      <c r="F4" s="1589"/>
      <c r="G4" s="1589"/>
      <c r="H4" s="1517" t="s">
        <v>976</v>
      </c>
      <c r="I4" s="1517"/>
      <c r="J4" s="1518"/>
    </row>
    <row r="5" spans="1:10" ht="7" customHeight="1" thickBot="1" x14ac:dyDescent="0.4">
      <c r="A5" s="630"/>
      <c r="B5" s="630"/>
      <c r="C5" s="630"/>
      <c r="D5" s="630"/>
      <c r="E5" s="630"/>
      <c r="F5" s="630"/>
      <c r="G5" s="630"/>
      <c r="H5" s="763"/>
      <c r="I5" s="763"/>
      <c r="J5" s="763"/>
    </row>
    <row r="6" spans="1:10" ht="20.149999999999999" customHeight="1" thickBot="1" x14ac:dyDescent="0.4">
      <c r="A6" s="1529" t="s">
        <v>27</v>
      </c>
      <c r="B6" s="1529"/>
      <c r="C6" s="764" t="str">
        <f>IF(Data!B1&lt;&gt;"",Data!B1 &amp;" "&amp; 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Entry'!AA2,""))),"")</f>
        <v xml:space="preserve">2025-AR-105 </v>
      </c>
      <c r="D6" s="1529" t="s">
        <v>28</v>
      </c>
      <c r="E6" s="1529"/>
      <c r="F6" s="1578">
        <f>IF(Data!B2&lt;&gt;"",Data!B2," ")</f>
        <v>13753277</v>
      </c>
      <c r="G6" s="1579"/>
      <c r="I6" s="765" t="s">
        <v>32</v>
      </c>
      <c r="J6" s="766" t="str">
        <f>IF(Data!B7&lt;&gt;"",Data!B7," ")</f>
        <v>SAUDI ARAMCO</v>
      </c>
    </row>
    <row r="7" spans="1:10" ht="7" customHeight="1" thickBot="1" x14ac:dyDescent="0.4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20.149999999999999" customHeight="1" thickBot="1" x14ac:dyDescent="0.4">
      <c r="A8" s="1529" t="s">
        <v>29</v>
      </c>
      <c r="B8" s="1529"/>
      <c r="C8" s="767" t="str">
        <f>IF(LEN(Data!B3)&gt;3,IF(AND(Data!B43&lt;&gt;"",Data!B43&lt;&gt;"0 0/1"""),Data!B43,""),IF(Data!B3&lt;&gt;"",Data!B3&amp;"""",""))</f>
        <v>8 3/8"</v>
      </c>
      <c r="D8" s="1529" t="s">
        <v>31</v>
      </c>
      <c r="E8" s="1529"/>
      <c r="F8" s="1578" t="str">
        <f>IF(Data!B4&lt;&gt;"",Data!B4," ")</f>
        <v>MM65DH</v>
      </c>
      <c r="G8" s="1579"/>
      <c r="H8" s="240"/>
      <c r="I8" s="240"/>
      <c r="J8" s="240"/>
    </row>
    <row r="9" spans="1:10" ht="7" customHeight="1" thickBot="1" x14ac:dyDescent="0.4">
      <c r="A9" s="13"/>
      <c r="B9" s="13"/>
      <c r="C9" s="13"/>
      <c r="D9" s="13"/>
      <c r="E9" s="13"/>
      <c r="F9" s="13"/>
      <c r="G9" s="5"/>
      <c r="H9" s="5"/>
      <c r="I9" s="5"/>
      <c r="J9" s="5"/>
    </row>
    <row r="10" spans="1:10" s="438" customFormat="1" ht="22" customHeight="1" thickBot="1" x14ac:dyDescent="0.4">
      <c r="A10" s="768" t="s">
        <v>1570</v>
      </c>
      <c r="B10" s="1590" t="s">
        <v>43</v>
      </c>
      <c r="C10" s="1590"/>
      <c r="D10" s="1590" t="s">
        <v>1571</v>
      </c>
      <c r="E10" s="1590"/>
      <c r="F10" s="769" t="s">
        <v>1572</v>
      </c>
      <c r="G10" s="1591" t="s">
        <v>1573</v>
      </c>
      <c r="H10" s="1591"/>
      <c r="I10" s="1590" t="s">
        <v>44</v>
      </c>
      <c r="J10" s="1592"/>
    </row>
    <row r="11" spans="1:10" ht="18" customHeight="1" x14ac:dyDescent="0.35">
      <c r="A11" s="261">
        <v>1</v>
      </c>
      <c r="B11" s="1573" t="s">
        <v>996</v>
      </c>
      <c r="C11" s="1573"/>
      <c r="D11" s="1574" t="str">
        <f>IF(OR(COUNTIF(Data!$B$1,"*LV3*"),COUNTIF(Data!$B$1,"*LV4*")),"---","")</f>
        <v/>
      </c>
      <c r="E11" s="1574"/>
      <c r="F11" s="705" t="str">
        <f>IF(OR(COUNTIF(Data!$B$1,"*LV3*"),COUNTIF(Data!$B$1,"*LV4*")),"---","")</f>
        <v/>
      </c>
      <c r="G11" s="1574" t="str">
        <f>IF(OR(COUNTIF(Data!$B$1,"*LV3*"),COUNTIF(Data!$B$1,"*LV4*")),"---","")</f>
        <v/>
      </c>
      <c r="H11" s="1574"/>
      <c r="I11" s="1575"/>
      <c r="J11" s="1576"/>
    </row>
    <row r="12" spans="1:10" ht="18" customHeight="1" x14ac:dyDescent="0.35">
      <c r="A12" s="233">
        <v>2</v>
      </c>
      <c r="B12" s="1577" t="s">
        <v>1574</v>
      </c>
      <c r="C12" s="1577"/>
      <c r="D12" s="1566" t="str">
        <f>IF(OR(COUNTIF(Data!$B$1,"*LV3*"),COUNTIF(Data!$B$1,"*LV4*")),"---","")</f>
        <v/>
      </c>
      <c r="E12" s="1566"/>
      <c r="F12" s="166" t="str">
        <f>IF(OR(COUNTIF(Data!$B$1,"*LV3*"),COUNTIF(Data!$B$1,"*LV4*")),"---","")</f>
        <v/>
      </c>
      <c r="G12" s="1566" t="str">
        <f>IF(OR(COUNTIF(Data!$B$1,"*LV3*"),COUNTIF(Data!$B$1,"*LV4*")),"---","")</f>
        <v/>
      </c>
      <c r="H12" s="1566"/>
      <c r="I12" s="1515"/>
      <c r="J12" s="1516"/>
    </row>
    <row r="13" spans="1:10" ht="18" customHeight="1" x14ac:dyDescent="0.35">
      <c r="A13" s="233">
        <v>3</v>
      </c>
      <c r="B13" s="1577" t="s">
        <v>1575</v>
      </c>
      <c r="C13" s="1577"/>
      <c r="D13" s="1566" t="str">
        <f>IF(OR(COUNTIF(Data!$B$1,"*LV3*"),COUNTIF(Data!$B$1,"*LV4*")),"---","")</f>
        <v/>
      </c>
      <c r="E13" s="1566"/>
      <c r="F13" s="166" t="str">
        <f>IF(OR(COUNTIF(Data!$B$1,"*LV3*"),COUNTIF(Data!$B$1,"*LV4*")),"---","")</f>
        <v/>
      </c>
      <c r="G13" s="1566" t="str">
        <f>IF(OR(COUNTIF(Data!$B$1,"*LV3*"),COUNTIF(Data!$B$1,"*LV4*")),"---","")</f>
        <v/>
      </c>
      <c r="H13" s="1566"/>
      <c r="I13" s="1515"/>
      <c r="J13" s="1516"/>
    </row>
    <row r="14" spans="1:10" ht="18" customHeight="1" x14ac:dyDescent="0.35">
      <c r="A14" s="233">
        <v>4</v>
      </c>
      <c r="B14" s="1567" t="s">
        <v>997</v>
      </c>
      <c r="C14" s="1567"/>
      <c r="D14" s="1566" t="str">
        <f>IF(OR(COUNTIF(Data!$B$1,"*LV3*"),COUNTIF(Data!$B$1,"*LV4*")),"---","")</f>
        <v/>
      </c>
      <c r="E14" s="1566"/>
      <c r="F14" s="166" t="str">
        <f>IF(OR(COUNTIF(Data!$B$1,"*LV3*"),COUNTIF(Data!$B$1,"*LV4*")),"---","")</f>
        <v/>
      </c>
      <c r="G14" s="1566" t="str">
        <f>IF(OR(COUNTIF(Data!$B$1,"*LV3*"),COUNTIF(Data!$B$1,"*LV4*")),"---","")</f>
        <v/>
      </c>
      <c r="H14" s="1566"/>
      <c r="I14" s="1515"/>
      <c r="J14" s="1516"/>
    </row>
    <row r="15" spans="1:10" ht="18" customHeight="1" x14ac:dyDescent="0.35">
      <c r="A15" s="233">
        <v>5</v>
      </c>
      <c r="B15" s="1567" t="s">
        <v>998</v>
      </c>
      <c r="C15" s="1567"/>
      <c r="D15" s="1566" t="str">
        <f>IF(OR(COUNTIF(Data!$B$1,"*LV3*"),COUNTIF(Data!$B$1,"*LV4*")),"---","")</f>
        <v/>
      </c>
      <c r="E15" s="1566"/>
      <c r="F15" s="166" t="str">
        <f>IF(OR(COUNTIF(Data!$B$1,"*LV3*"),COUNTIF(Data!$B$1,"*LV4*")),"---","")</f>
        <v/>
      </c>
      <c r="G15" s="1566" t="str">
        <f>IF(OR(COUNTIF(Data!$B$1,"*LV3*"),COUNTIF(Data!$B$1,"*LV4*")),"---","")</f>
        <v/>
      </c>
      <c r="H15" s="1566"/>
      <c r="I15" s="1515"/>
      <c r="J15" s="1516"/>
    </row>
    <row r="16" spans="1:10" ht="18" customHeight="1" x14ac:dyDescent="0.35">
      <c r="A16" s="233">
        <v>6</v>
      </c>
      <c r="B16" s="1567" t="s">
        <v>999</v>
      </c>
      <c r="C16" s="1567"/>
      <c r="D16" s="1566" t="str">
        <f>IF(OR(COUNTIF(Data!$B$1,"*LV3*"),COUNTIF(Data!$B$1,"*LV4*")),"---","")</f>
        <v/>
      </c>
      <c r="E16" s="1566"/>
      <c r="F16" s="166" t="str">
        <f>IF(OR(COUNTIF(Data!$B$1,"*LV3*"),COUNTIF(Data!$B$1,"*LV4*")),"---","")</f>
        <v/>
      </c>
      <c r="G16" s="1566" t="str">
        <f>IF(OR(COUNTIF(Data!$B$1,"*LV3*"),COUNTIF(Data!$B$1,"*LV4*")),"---","")</f>
        <v/>
      </c>
      <c r="H16" s="1566"/>
      <c r="I16" s="1515"/>
      <c r="J16" s="1516"/>
    </row>
    <row r="17" spans="1:10" ht="18" customHeight="1" x14ac:dyDescent="0.35">
      <c r="A17" s="233">
        <v>7</v>
      </c>
      <c r="B17" s="1567" t="s">
        <v>979</v>
      </c>
      <c r="C17" s="1567"/>
      <c r="D17" s="1566" t="str">
        <f>IF(OR(COUNTIF(Data!$B$1,"*LV3*"),COUNTIF(Data!$B$1,"*LV4*")),"---","")</f>
        <v/>
      </c>
      <c r="E17" s="1566"/>
      <c r="F17" s="166" t="str">
        <f>IF(OR(COUNTIF(Data!$B$1,"*LV3*"),COUNTIF(Data!$B$1,"*LV4*")),"---","")</f>
        <v/>
      </c>
      <c r="G17" s="1566" t="str">
        <f>IF(OR(COUNTIF(Data!$B$1,"*LV3*"),COUNTIF(Data!$B$1,"*LV4*")),"---","")</f>
        <v/>
      </c>
      <c r="H17" s="1566"/>
      <c r="I17" s="1515"/>
      <c r="J17" s="1516"/>
    </row>
    <row r="18" spans="1:10" ht="18" customHeight="1" thickBot="1" x14ac:dyDescent="0.4">
      <c r="A18" s="249">
        <v>8</v>
      </c>
      <c r="B18" s="1571" t="s">
        <v>1000</v>
      </c>
      <c r="C18" s="1571"/>
      <c r="D18" s="1572"/>
      <c r="E18" s="1572"/>
      <c r="F18" s="714"/>
      <c r="G18" s="1572"/>
      <c r="H18" s="1572"/>
      <c r="I18" s="1517"/>
      <c r="J18" s="1518"/>
    </row>
    <row r="19" spans="1:10" ht="18" customHeight="1" x14ac:dyDescent="0.35">
      <c r="A19" s="261">
        <v>9</v>
      </c>
      <c r="B19" s="1573" t="s">
        <v>1001</v>
      </c>
      <c r="C19" s="1573"/>
      <c r="D19" s="1574"/>
      <c r="E19" s="1574"/>
      <c r="F19" s="705"/>
      <c r="G19" s="1574"/>
      <c r="H19" s="1574"/>
      <c r="I19" s="1575"/>
      <c r="J19" s="1576"/>
    </row>
    <row r="20" spans="1:10" ht="18" customHeight="1" x14ac:dyDescent="0.35">
      <c r="A20" s="1570">
        <v>10</v>
      </c>
      <c r="B20" s="1567" t="s">
        <v>1016</v>
      </c>
      <c r="C20" s="1567"/>
      <c r="D20" s="1549"/>
      <c r="E20" s="1549"/>
      <c r="F20" s="770"/>
      <c r="G20" s="1515" t="s">
        <v>48</v>
      </c>
      <c r="H20" s="1515"/>
      <c r="I20" s="1515"/>
      <c r="J20" s="1516"/>
    </row>
    <row r="21" spans="1:10" ht="18" customHeight="1" x14ac:dyDescent="0.35">
      <c r="A21" s="1570"/>
      <c r="B21" s="1567"/>
      <c r="C21" s="1567"/>
      <c r="D21" s="1549"/>
      <c r="E21" s="1549"/>
      <c r="F21" s="770"/>
      <c r="G21" s="1515" t="s">
        <v>49</v>
      </c>
      <c r="H21" s="1515"/>
      <c r="I21" s="1515"/>
      <c r="J21" s="1516"/>
    </row>
    <row r="22" spans="1:10" ht="18" customHeight="1" x14ac:dyDescent="0.35">
      <c r="A22" s="233">
        <v>11</v>
      </c>
      <c r="B22" s="1565" t="s">
        <v>1576</v>
      </c>
      <c r="C22" s="1565"/>
      <c r="D22" s="1549"/>
      <c r="E22" s="1549"/>
      <c r="F22" s="166"/>
      <c r="G22" s="1549"/>
      <c r="H22" s="1549"/>
      <c r="I22" s="1515"/>
      <c r="J22" s="1516"/>
    </row>
    <row r="23" spans="1:10" ht="18" customHeight="1" x14ac:dyDescent="0.35">
      <c r="A23" s="233">
        <v>12</v>
      </c>
      <c r="B23" s="1507" t="s">
        <v>1004</v>
      </c>
      <c r="C23" s="1507"/>
      <c r="D23" s="1566"/>
      <c r="E23" s="1566"/>
      <c r="F23" s="166"/>
      <c r="G23" s="1549"/>
      <c r="H23" s="1549"/>
      <c r="I23" s="1568"/>
      <c r="J23" s="1569"/>
    </row>
    <row r="24" spans="1:10" ht="18" customHeight="1" x14ac:dyDescent="0.35">
      <c r="A24" s="233">
        <v>13</v>
      </c>
      <c r="B24" s="1567" t="s">
        <v>998</v>
      </c>
      <c r="C24" s="1567"/>
      <c r="D24" s="1566"/>
      <c r="E24" s="1566"/>
      <c r="F24" s="166"/>
      <c r="G24" s="1549"/>
      <c r="H24" s="1549"/>
      <c r="I24" s="1515"/>
      <c r="J24" s="1516"/>
    </row>
    <row r="25" spans="1:10" ht="18" customHeight="1" x14ac:dyDescent="0.35">
      <c r="A25" s="233">
        <v>14</v>
      </c>
      <c r="B25" s="1567" t="s">
        <v>1002</v>
      </c>
      <c r="C25" s="1567"/>
      <c r="D25" s="1566"/>
      <c r="E25" s="1566"/>
      <c r="F25" s="166"/>
      <c r="G25" s="1549"/>
      <c r="H25" s="1549"/>
      <c r="I25" s="1515"/>
      <c r="J25" s="1516"/>
    </row>
    <row r="26" spans="1:10" ht="18" customHeight="1" x14ac:dyDescent="0.35">
      <c r="A26" s="1570">
        <v>15</v>
      </c>
      <c r="B26" s="1567" t="s">
        <v>1003</v>
      </c>
      <c r="C26" s="1567"/>
      <c r="D26" s="1566"/>
      <c r="E26" s="1566"/>
      <c r="F26" s="770"/>
      <c r="G26" s="1515" t="s">
        <v>48</v>
      </c>
      <c r="H26" s="1515"/>
      <c r="I26" s="1515"/>
      <c r="J26" s="1516"/>
    </row>
    <row r="27" spans="1:10" ht="18" customHeight="1" x14ac:dyDescent="0.35">
      <c r="A27" s="1570"/>
      <c r="B27" s="1567"/>
      <c r="C27" s="1567"/>
      <c r="D27" s="1566"/>
      <c r="E27" s="1566"/>
      <c r="F27" s="770"/>
      <c r="G27" s="1515" t="s">
        <v>49</v>
      </c>
      <c r="H27" s="1515"/>
      <c r="I27" s="1515"/>
      <c r="J27" s="1516"/>
    </row>
    <row r="28" spans="1:10" ht="18" customHeight="1" x14ac:dyDescent="0.35">
      <c r="A28" s="233">
        <v>16</v>
      </c>
      <c r="B28" s="1567" t="s">
        <v>997</v>
      </c>
      <c r="C28" s="1567"/>
      <c r="D28" s="1566"/>
      <c r="E28" s="1566"/>
      <c r="F28" s="166"/>
      <c r="G28" s="1566"/>
      <c r="H28" s="1566"/>
      <c r="I28" s="1515"/>
      <c r="J28" s="1516"/>
    </row>
    <row r="29" spans="1:10" ht="18" customHeight="1" x14ac:dyDescent="0.35">
      <c r="A29" s="233">
        <v>17</v>
      </c>
      <c r="B29" s="1567" t="s">
        <v>998</v>
      </c>
      <c r="C29" s="1567"/>
      <c r="D29" s="1566"/>
      <c r="E29" s="1566"/>
      <c r="F29" s="166"/>
      <c r="G29" s="1566"/>
      <c r="H29" s="1566"/>
      <c r="I29" s="1515"/>
      <c r="J29" s="1516"/>
    </row>
    <row r="30" spans="1:10" ht="18" customHeight="1" x14ac:dyDescent="0.35">
      <c r="A30" s="233">
        <v>18</v>
      </c>
      <c r="B30" s="1567" t="s">
        <v>979</v>
      </c>
      <c r="C30" s="1567"/>
      <c r="D30" s="1566"/>
      <c r="E30" s="1566"/>
      <c r="F30" s="166"/>
      <c r="G30" s="1566"/>
      <c r="H30" s="1566"/>
      <c r="I30" s="1515"/>
      <c r="J30" s="1516"/>
    </row>
    <row r="31" spans="1:10" ht="18" customHeight="1" x14ac:dyDescent="0.35">
      <c r="A31" s="233">
        <v>19</v>
      </c>
      <c r="B31" s="1567" t="s">
        <v>1007</v>
      </c>
      <c r="C31" s="1567"/>
      <c r="D31" s="1566"/>
      <c r="E31" s="1566"/>
      <c r="F31" s="166"/>
      <c r="G31" s="1566"/>
      <c r="H31" s="1566"/>
      <c r="I31" s="1515"/>
      <c r="J31" s="1516"/>
    </row>
    <row r="32" spans="1:10" ht="18" customHeight="1" x14ac:dyDescent="0.35">
      <c r="A32" s="233">
        <v>20</v>
      </c>
      <c r="B32" s="1567" t="s">
        <v>1008</v>
      </c>
      <c r="C32" s="1567"/>
      <c r="D32" s="1566"/>
      <c r="E32" s="1566"/>
      <c r="F32" s="166"/>
      <c r="G32" s="1566"/>
      <c r="H32" s="1566"/>
      <c r="I32" s="1515"/>
      <c r="J32" s="1516"/>
    </row>
    <row r="33" spans="1:10" ht="18" customHeight="1" x14ac:dyDescent="0.35">
      <c r="A33" s="233">
        <v>21</v>
      </c>
      <c r="B33" s="1567" t="s">
        <v>997</v>
      </c>
      <c r="C33" s="1567"/>
      <c r="D33" s="1566"/>
      <c r="E33" s="1566"/>
      <c r="F33" s="166"/>
      <c r="G33" s="1566"/>
      <c r="H33" s="1566"/>
      <c r="I33" s="1515"/>
      <c r="J33" s="1516"/>
    </row>
    <row r="34" spans="1:10" ht="18" customHeight="1" x14ac:dyDescent="0.35">
      <c r="A34" s="233">
        <v>22</v>
      </c>
      <c r="B34" s="1567" t="s">
        <v>998</v>
      </c>
      <c r="C34" s="1567"/>
      <c r="D34" s="1566"/>
      <c r="E34" s="1566"/>
      <c r="F34" s="166"/>
      <c r="G34" s="1566"/>
      <c r="H34" s="1566"/>
      <c r="I34" s="1515"/>
      <c r="J34" s="1516"/>
    </row>
    <row r="35" spans="1:10" ht="18" customHeight="1" x14ac:dyDescent="0.35">
      <c r="A35" s="233">
        <v>23</v>
      </c>
      <c r="B35" s="1567" t="s">
        <v>979</v>
      </c>
      <c r="C35" s="1567"/>
      <c r="D35" s="1566"/>
      <c r="E35" s="1566"/>
      <c r="F35" s="166"/>
      <c r="G35" s="1566"/>
      <c r="H35" s="1566"/>
      <c r="I35" s="1515"/>
      <c r="J35" s="1516"/>
    </row>
    <row r="36" spans="1:10" ht="30" customHeight="1" x14ac:dyDescent="0.35">
      <c r="A36" s="233">
        <v>24</v>
      </c>
      <c r="B36" s="1507" t="s">
        <v>1577</v>
      </c>
      <c r="C36" s="1507"/>
      <c r="D36" s="1549"/>
      <c r="E36" s="1549"/>
      <c r="F36" s="166"/>
      <c r="G36" s="1566"/>
      <c r="H36" s="1566"/>
      <c r="I36" s="1568"/>
      <c r="J36" s="1569"/>
    </row>
    <row r="37" spans="1:10" ht="30" customHeight="1" x14ac:dyDescent="0.35">
      <c r="A37" s="233">
        <v>25</v>
      </c>
      <c r="B37" s="1507" t="s">
        <v>1005</v>
      </c>
      <c r="C37" s="1507"/>
      <c r="D37" s="1549"/>
      <c r="E37" s="1549"/>
      <c r="F37" s="166"/>
      <c r="G37" s="1566"/>
      <c r="H37" s="1566"/>
      <c r="I37" s="1568"/>
      <c r="J37" s="1569"/>
    </row>
    <row r="38" spans="1:10" ht="18" customHeight="1" x14ac:dyDescent="0.35">
      <c r="A38" s="233">
        <v>26</v>
      </c>
      <c r="B38" s="1507" t="s">
        <v>1006</v>
      </c>
      <c r="C38" s="1507"/>
      <c r="D38" s="1549"/>
      <c r="E38" s="1549"/>
      <c r="F38" s="166"/>
      <c r="G38" s="1566"/>
      <c r="H38" s="1566"/>
      <c r="I38" s="1568"/>
      <c r="J38" s="1569"/>
    </row>
    <row r="39" spans="1:10" ht="18" customHeight="1" x14ac:dyDescent="0.35">
      <c r="A39" s="233">
        <v>27</v>
      </c>
      <c r="B39" s="1567" t="s">
        <v>999</v>
      </c>
      <c r="C39" s="1567"/>
      <c r="D39" s="1566"/>
      <c r="E39" s="1566"/>
      <c r="F39" s="166"/>
      <c r="G39" s="1566"/>
      <c r="H39" s="1566"/>
      <c r="I39" s="1515"/>
      <c r="J39" s="1516"/>
    </row>
    <row r="40" spans="1:10" ht="18" customHeight="1" x14ac:dyDescent="0.35">
      <c r="A40" s="233">
        <v>28</v>
      </c>
      <c r="B40" s="1567" t="s">
        <v>1009</v>
      </c>
      <c r="C40" s="1567"/>
      <c r="D40" s="1566"/>
      <c r="E40" s="1566"/>
      <c r="F40" s="166"/>
      <c r="G40" s="1566"/>
      <c r="H40" s="1566"/>
      <c r="I40" s="1515"/>
      <c r="J40" s="1516"/>
    </row>
    <row r="41" spans="1:10" ht="18" customHeight="1" x14ac:dyDescent="0.35">
      <c r="A41" s="233">
        <v>29</v>
      </c>
      <c r="B41" s="1567" t="s">
        <v>1010</v>
      </c>
      <c r="C41" s="1567"/>
      <c r="D41" s="1566"/>
      <c r="E41" s="1566"/>
      <c r="F41" s="166"/>
      <c r="G41" s="1566"/>
      <c r="H41" s="1566"/>
      <c r="I41" s="1515"/>
      <c r="J41" s="1516"/>
    </row>
    <row r="42" spans="1:10" ht="18" customHeight="1" x14ac:dyDescent="0.35">
      <c r="A42" s="233">
        <v>30</v>
      </c>
      <c r="B42" s="1567" t="s">
        <v>1011</v>
      </c>
      <c r="C42" s="1567"/>
      <c r="D42" s="1566"/>
      <c r="E42" s="1566"/>
      <c r="F42" s="166"/>
      <c r="G42" s="1566"/>
      <c r="H42" s="1566"/>
      <c r="I42" s="1515"/>
      <c r="J42" s="1516"/>
    </row>
    <row r="43" spans="1:10" ht="18" customHeight="1" x14ac:dyDescent="0.35">
      <c r="A43" s="233">
        <v>31</v>
      </c>
      <c r="B43" s="1567" t="s">
        <v>1012</v>
      </c>
      <c r="C43" s="1567"/>
      <c r="D43" s="1566"/>
      <c r="E43" s="1566"/>
      <c r="F43" s="166"/>
      <c r="G43" s="1566"/>
      <c r="H43" s="1566"/>
      <c r="I43" s="1515"/>
      <c r="J43" s="1516"/>
    </row>
    <row r="44" spans="1:10" ht="18" customHeight="1" x14ac:dyDescent="0.35">
      <c r="A44" s="233">
        <v>32</v>
      </c>
      <c r="B44" s="1565" t="s">
        <v>1578</v>
      </c>
      <c r="C44" s="1565"/>
      <c r="D44" s="1566"/>
      <c r="E44" s="1566"/>
      <c r="F44" s="166"/>
      <c r="G44" s="1566"/>
      <c r="H44" s="1566"/>
      <c r="I44" s="1515"/>
      <c r="J44" s="1516"/>
    </row>
    <row r="45" spans="1:10" ht="18" customHeight="1" thickBot="1" x14ac:dyDescent="0.4">
      <c r="A45" s="233">
        <v>33</v>
      </c>
      <c r="B45" s="1565" t="s">
        <v>1579</v>
      </c>
      <c r="C45" s="1565"/>
      <c r="D45" s="1566"/>
      <c r="E45" s="1566"/>
      <c r="F45" s="166"/>
      <c r="G45" s="1566"/>
      <c r="H45" s="1566"/>
      <c r="I45" s="1515"/>
      <c r="J45" s="1516"/>
    </row>
    <row r="46" spans="1:10" ht="18" customHeight="1" thickBot="1" x14ac:dyDescent="0.4">
      <c r="A46" s="1560"/>
      <c r="B46" s="1509"/>
      <c r="C46" s="1509"/>
      <c r="D46" s="1509"/>
      <c r="E46" s="1509"/>
      <c r="F46" s="1509" t="s">
        <v>1013</v>
      </c>
      <c r="G46" s="1509"/>
      <c r="H46" s="1509"/>
      <c r="I46" s="1509" t="s">
        <v>1014</v>
      </c>
      <c r="J46" s="1510"/>
    </row>
    <row r="47" spans="1:10" ht="18" customHeight="1" x14ac:dyDescent="0.35">
      <c r="A47" s="1561" t="s">
        <v>1023</v>
      </c>
      <c r="B47" s="1562"/>
      <c r="C47" s="1562"/>
      <c r="D47" s="1562"/>
      <c r="E47" s="1562"/>
      <c r="F47" s="1563"/>
      <c r="G47" s="1563"/>
      <c r="H47" s="1563"/>
      <c r="I47" s="1562"/>
      <c r="J47" s="1564"/>
    </row>
    <row r="48" spans="1:10" ht="18" customHeight="1" x14ac:dyDescent="0.35">
      <c r="A48" s="1554" t="s">
        <v>1015</v>
      </c>
      <c r="B48" s="1555"/>
      <c r="C48" s="1555"/>
      <c r="D48" s="1555"/>
      <c r="E48" s="1555"/>
      <c r="F48" s="1549"/>
      <c r="G48" s="1549"/>
      <c r="H48" s="1549"/>
      <c r="I48" s="1555"/>
      <c r="J48" s="1556"/>
    </row>
    <row r="49" spans="1:10" ht="18" customHeight="1" x14ac:dyDescent="0.35">
      <c r="A49" s="1554" t="s">
        <v>1024</v>
      </c>
      <c r="B49" s="1555"/>
      <c r="C49" s="1555"/>
      <c r="D49" s="1555"/>
      <c r="E49" s="1555"/>
      <c r="F49" s="1549"/>
      <c r="G49" s="1549"/>
      <c r="H49" s="1549"/>
      <c r="I49" s="1555"/>
      <c r="J49" s="1556"/>
    </row>
    <row r="50" spans="1:10" ht="18" customHeight="1" x14ac:dyDescent="0.35">
      <c r="A50" s="1554" t="s">
        <v>1017</v>
      </c>
      <c r="B50" s="1555"/>
      <c r="C50" s="1555"/>
      <c r="D50" s="1555"/>
      <c r="E50" s="1555"/>
      <c r="F50" s="1549"/>
      <c r="G50" s="1549"/>
      <c r="H50" s="1549"/>
      <c r="I50" s="1555"/>
      <c r="J50" s="1556"/>
    </row>
    <row r="51" spans="1:10" ht="18" customHeight="1" thickBot="1" x14ac:dyDescent="0.4">
      <c r="A51" s="1557" t="s">
        <v>1018</v>
      </c>
      <c r="B51" s="1558"/>
      <c r="C51" s="1558"/>
      <c r="D51" s="1558"/>
      <c r="E51" s="1558"/>
      <c r="F51" s="1552"/>
      <c r="G51" s="1552"/>
      <c r="H51" s="1552"/>
      <c r="I51" s="1558"/>
      <c r="J51" s="1559"/>
    </row>
    <row r="52" spans="1:10" ht="18" customHeight="1" x14ac:dyDescent="0.35">
      <c r="A52" s="1539" t="s">
        <v>1019</v>
      </c>
      <c r="B52" s="1540"/>
      <c r="C52" s="1545" t="s">
        <v>1020</v>
      </c>
      <c r="D52" s="1545"/>
      <c r="E52" s="1545"/>
      <c r="F52" s="1546"/>
      <c r="G52" s="1546"/>
      <c r="H52" s="1546"/>
      <c r="I52" s="1546"/>
      <c r="J52" s="1547"/>
    </row>
    <row r="53" spans="1:10" ht="18" customHeight="1" x14ac:dyDescent="0.35">
      <c r="A53" s="1541"/>
      <c r="B53" s="1542"/>
      <c r="C53" s="1548" t="s">
        <v>1021</v>
      </c>
      <c r="D53" s="1548"/>
      <c r="E53" s="1548"/>
      <c r="F53" s="1549"/>
      <c r="G53" s="1549"/>
      <c r="H53" s="1549"/>
      <c r="I53" s="1549"/>
      <c r="J53" s="1550"/>
    </row>
    <row r="54" spans="1:10" ht="18" customHeight="1" thickBot="1" x14ac:dyDescent="0.4">
      <c r="A54" s="1543"/>
      <c r="B54" s="1544"/>
      <c r="C54" s="1551" t="s">
        <v>1022</v>
      </c>
      <c r="D54" s="1551"/>
      <c r="E54" s="1551"/>
      <c r="F54" s="1552"/>
      <c r="G54" s="1552"/>
      <c r="H54" s="1552"/>
      <c r="I54" s="1552"/>
      <c r="J54" s="1553"/>
    </row>
    <row r="55" spans="1:10" ht="12.75" hidden="1" customHeight="1" x14ac:dyDescent="0.35">
      <c r="E55" s="771"/>
    </row>
    <row r="56" spans="1:10" ht="12.75" hidden="1" customHeight="1" x14ac:dyDescent="0.35">
      <c r="E56" s="771"/>
    </row>
    <row r="57" spans="1:10" ht="12.75" hidden="1" customHeight="1" x14ac:dyDescent="0.35">
      <c r="E57" s="771"/>
    </row>
    <row r="58" spans="1:10" ht="12.75" hidden="1" customHeight="1" x14ac:dyDescent="0.35">
      <c r="E58" s="771"/>
    </row>
    <row r="59" spans="1:10" ht="12.75" hidden="1" customHeight="1" x14ac:dyDescent="0.35">
      <c r="E59" s="772"/>
      <c r="F59" s="773"/>
      <c r="G59" s="773"/>
      <c r="H59" s="773"/>
      <c r="I59" s="773"/>
      <c r="J59" s="773"/>
    </row>
    <row r="60" spans="1:10" ht="12.75" hidden="1" customHeight="1" x14ac:dyDescent="0.35">
      <c r="E60" s="771"/>
    </row>
    <row r="61" spans="1:10" ht="12.75" hidden="1" customHeight="1" x14ac:dyDescent="0.35">
      <c r="A61" s="773"/>
      <c r="B61" s="773"/>
      <c r="C61" s="773"/>
      <c r="D61" s="773"/>
      <c r="E61" s="771"/>
    </row>
    <row r="62" spans="1:10" ht="15.75" customHeight="1" x14ac:dyDescent="0.35"/>
  </sheetData>
  <sheetProtection formatCells="0" formatColumns="0" formatRows="0" insertColumns="0" insertRows="0" insertHyperlinks="0" deleteColumns="0" deleteRows="0" sort="0" autoFilter="0" pivotTables="0"/>
  <mergeCells count="182">
    <mergeCell ref="B1:G2"/>
    <mergeCell ref="H1:J1"/>
    <mergeCell ref="H2:J2"/>
    <mergeCell ref="A3:G4"/>
    <mergeCell ref="H3:J3"/>
    <mergeCell ref="H4:J4"/>
    <mergeCell ref="B10:C10"/>
    <mergeCell ref="D10:E10"/>
    <mergeCell ref="G10:H10"/>
    <mergeCell ref="I10:J10"/>
    <mergeCell ref="B11:C11"/>
    <mergeCell ref="D11:E11"/>
    <mergeCell ref="G11:H11"/>
    <mergeCell ref="I11:J11"/>
    <mergeCell ref="A6:B6"/>
    <mergeCell ref="D6:E6"/>
    <mergeCell ref="F6:G6"/>
    <mergeCell ref="A8:B8"/>
    <mergeCell ref="D8:E8"/>
    <mergeCell ref="F8:G8"/>
    <mergeCell ref="B14:C14"/>
    <mergeCell ref="D14:E14"/>
    <mergeCell ref="G14:H14"/>
    <mergeCell ref="I14:J14"/>
    <mergeCell ref="B15:C15"/>
    <mergeCell ref="D15:E15"/>
    <mergeCell ref="G15:H15"/>
    <mergeCell ref="I15:J15"/>
    <mergeCell ref="B12:C12"/>
    <mergeCell ref="D12:E12"/>
    <mergeCell ref="G12:H12"/>
    <mergeCell ref="I12:J12"/>
    <mergeCell ref="B13:C13"/>
    <mergeCell ref="D13:E13"/>
    <mergeCell ref="G13:H13"/>
    <mergeCell ref="I13:J13"/>
    <mergeCell ref="B18:C18"/>
    <mergeCell ref="D18:E18"/>
    <mergeCell ref="G18:H18"/>
    <mergeCell ref="I18:J18"/>
    <mergeCell ref="B19:C19"/>
    <mergeCell ref="D19:E19"/>
    <mergeCell ref="G19:H19"/>
    <mergeCell ref="I19:J19"/>
    <mergeCell ref="B16:C16"/>
    <mergeCell ref="D16:E16"/>
    <mergeCell ref="G16:H16"/>
    <mergeCell ref="I16:J16"/>
    <mergeCell ref="B17:C17"/>
    <mergeCell ref="D17:E17"/>
    <mergeCell ref="G17:H17"/>
    <mergeCell ref="I17:J17"/>
    <mergeCell ref="B22:C22"/>
    <mergeCell ref="D22:E22"/>
    <mergeCell ref="G22:H22"/>
    <mergeCell ref="I22:J22"/>
    <mergeCell ref="B23:C23"/>
    <mergeCell ref="D23:E23"/>
    <mergeCell ref="G23:H23"/>
    <mergeCell ref="I23:J23"/>
    <mergeCell ref="A20:A21"/>
    <mergeCell ref="B20:C21"/>
    <mergeCell ref="D20:E21"/>
    <mergeCell ref="G20:H20"/>
    <mergeCell ref="I20:J20"/>
    <mergeCell ref="G21:H21"/>
    <mergeCell ref="I21:J21"/>
    <mergeCell ref="A26:A27"/>
    <mergeCell ref="B26:C27"/>
    <mergeCell ref="D26:E27"/>
    <mergeCell ref="G26:H26"/>
    <mergeCell ref="I26:J26"/>
    <mergeCell ref="G27:H27"/>
    <mergeCell ref="I27:J27"/>
    <mergeCell ref="B24:C24"/>
    <mergeCell ref="D24:E24"/>
    <mergeCell ref="G24:H24"/>
    <mergeCell ref="I24:J24"/>
    <mergeCell ref="B25:C25"/>
    <mergeCell ref="D25:E25"/>
    <mergeCell ref="G25:H25"/>
    <mergeCell ref="I25:J25"/>
    <mergeCell ref="B30:C30"/>
    <mergeCell ref="D30:E30"/>
    <mergeCell ref="G30:H30"/>
    <mergeCell ref="I30:J30"/>
    <mergeCell ref="B31:C31"/>
    <mergeCell ref="D31:E31"/>
    <mergeCell ref="G31:H31"/>
    <mergeCell ref="I31:J31"/>
    <mergeCell ref="B28:C28"/>
    <mergeCell ref="D28:E28"/>
    <mergeCell ref="G28:H28"/>
    <mergeCell ref="I28:J28"/>
    <mergeCell ref="B29:C29"/>
    <mergeCell ref="D29:E29"/>
    <mergeCell ref="G29:H29"/>
    <mergeCell ref="I29:J29"/>
    <mergeCell ref="B34:C34"/>
    <mergeCell ref="D34:E34"/>
    <mergeCell ref="G34:H34"/>
    <mergeCell ref="I34:J34"/>
    <mergeCell ref="B35:C35"/>
    <mergeCell ref="D35:E35"/>
    <mergeCell ref="G35:H35"/>
    <mergeCell ref="I35:J35"/>
    <mergeCell ref="B32:C32"/>
    <mergeCell ref="D32:E32"/>
    <mergeCell ref="G32:H32"/>
    <mergeCell ref="I32:J32"/>
    <mergeCell ref="B33:C33"/>
    <mergeCell ref="D33:E33"/>
    <mergeCell ref="G33:H33"/>
    <mergeCell ref="I33:J33"/>
    <mergeCell ref="B38:C38"/>
    <mergeCell ref="D38:E38"/>
    <mergeCell ref="G38:H38"/>
    <mergeCell ref="I38:J38"/>
    <mergeCell ref="B39:C39"/>
    <mergeCell ref="D39:E39"/>
    <mergeCell ref="G39:H39"/>
    <mergeCell ref="I39:J39"/>
    <mergeCell ref="B36:C36"/>
    <mergeCell ref="D36:E36"/>
    <mergeCell ref="G36:H36"/>
    <mergeCell ref="I36:J36"/>
    <mergeCell ref="B37:C37"/>
    <mergeCell ref="D37:E37"/>
    <mergeCell ref="G37:H37"/>
    <mergeCell ref="I37:J37"/>
    <mergeCell ref="B42:C42"/>
    <mergeCell ref="D42:E42"/>
    <mergeCell ref="G42:H42"/>
    <mergeCell ref="I42:J42"/>
    <mergeCell ref="B43:C43"/>
    <mergeCell ref="D43:E43"/>
    <mergeCell ref="G43:H43"/>
    <mergeCell ref="I43:J43"/>
    <mergeCell ref="B40:C40"/>
    <mergeCell ref="D40:E40"/>
    <mergeCell ref="G40:H40"/>
    <mergeCell ref="I40:J40"/>
    <mergeCell ref="B41:C41"/>
    <mergeCell ref="D41:E41"/>
    <mergeCell ref="G41:H41"/>
    <mergeCell ref="I41:J41"/>
    <mergeCell ref="A46:E46"/>
    <mergeCell ref="F46:H46"/>
    <mergeCell ref="I46:J46"/>
    <mergeCell ref="A47:E47"/>
    <mergeCell ref="F47:H47"/>
    <mergeCell ref="I47:J47"/>
    <mergeCell ref="B44:C44"/>
    <mergeCell ref="D44:E44"/>
    <mergeCell ref="G44:H44"/>
    <mergeCell ref="I44:J44"/>
    <mergeCell ref="B45:C45"/>
    <mergeCell ref="D45:E45"/>
    <mergeCell ref="G45:H45"/>
    <mergeCell ref="I45:J45"/>
    <mergeCell ref="A50:E50"/>
    <mergeCell ref="F50:H50"/>
    <mergeCell ref="I50:J50"/>
    <mergeCell ref="A51:E51"/>
    <mergeCell ref="F51:H51"/>
    <mergeCell ref="I51:J51"/>
    <mergeCell ref="A48:E48"/>
    <mergeCell ref="F48:H48"/>
    <mergeCell ref="I48:J48"/>
    <mergeCell ref="A49:E49"/>
    <mergeCell ref="F49:H49"/>
    <mergeCell ref="I49:J49"/>
    <mergeCell ref="A52:B54"/>
    <mergeCell ref="C52:E52"/>
    <mergeCell ref="F52:H52"/>
    <mergeCell ref="I52:J52"/>
    <mergeCell ref="C53:E53"/>
    <mergeCell ref="F53:H53"/>
    <mergeCell ref="I53:J53"/>
    <mergeCell ref="C54:E54"/>
    <mergeCell ref="F54:H54"/>
    <mergeCell ref="I54:J54"/>
  </mergeCells>
  <pageMargins left="0.5" right="0.25" top="0.5" bottom="0.5" header="0.3" footer="0.3"/>
  <pageSetup paperSize="9" scale="77" orientation="portrait" r:id="rId1"/>
  <colBreaks count="1" manualBreakCount="1">
    <brk id="10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4">
    <tabColor rgb="FF92D050"/>
    <pageSetUpPr fitToPage="1"/>
  </sheetPr>
  <dimension ref="A1:H40"/>
  <sheetViews>
    <sheetView view="pageBreakPreview" zoomScaleNormal="100" zoomScaleSheetLayoutView="100" workbookViewId="0">
      <selection activeCell="A3" sqref="A3:E4"/>
    </sheetView>
  </sheetViews>
  <sheetFormatPr defaultColWidth="9.1796875" defaultRowHeight="18.5" x14ac:dyDescent="0.45"/>
  <cols>
    <col min="1" max="1" width="15.7265625" style="442" customWidth="1"/>
    <col min="2" max="2" width="16.7265625" style="442" customWidth="1"/>
    <col min="3" max="3" width="10.7265625" style="442" customWidth="1"/>
    <col min="4" max="4" width="14.7265625" style="442" customWidth="1"/>
    <col min="5" max="5" width="10.7265625" style="442" customWidth="1"/>
    <col min="6" max="6" width="14.7265625" style="442" customWidth="1"/>
    <col min="7" max="7" width="8.7265625" style="442" customWidth="1"/>
    <col min="8" max="8" width="16.7265625" style="442" customWidth="1"/>
    <col min="9" max="9" width="11.453125" style="442" customWidth="1"/>
    <col min="10" max="16384" width="9.1796875" style="442"/>
  </cols>
  <sheetData>
    <row r="1" spans="1:8" s="440" customFormat="1" ht="25" customHeight="1" x14ac:dyDescent="0.35">
      <c r="A1" s="443"/>
      <c r="B1" s="1614" t="s">
        <v>50</v>
      </c>
      <c r="C1" s="1614"/>
      <c r="D1" s="1614"/>
      <c r="E1" s="1615"/>
      <c r="F1" s="1584" t="s">
        <v>1027</v>
      </c>
      <c r="G1" s="1575"/>
      <c r="H1" s="1576"/>
    </row>
    <row r="2" spans="1:8" s="440" customFormat="1" ht="25" customHeight="1" x14ac:dyDescent="0.35">
      <c r="A2" s="444"/>
      <c r="B2" s="1616"/>
      <c r="C2" s="1616"/>
      <c r="D2" s="1616"/>
      <c r="E2" s="1617"/>
      <c r="F2" s="1585" t="s">
        <v>1568</v>
      </c>
      <c r="G2" s="1515"/>
      <c r="H2" s="1516"/>
    </row>
    <row r="3" spans="1:8" s="440" customFormat="1" ht="25" customHeight="1" x14ac:dyDescent="0.35">
      <c r="A3" s="1586" t="s">
        <v>51</v>
      </c>
      <c r="B3" s="1587"/>
      <c r="C3" s="1587"/>
      <c r="D3" s="1587"/>
      <c r="E3" s="1587"/>
      <c r="F3" s="1515" t="s">
        <v>975</v>
      </c>
      <c r="G3" s="1515"/>
      <c r="H3" s="1516"/>
    </row>
    <row r="4" spans="1:8" s="440" customFormat="1" ht="25" customHeight="1" thickBot="1" x14ac:dyDescent="0.4">
      <c r="A4" s="1588"/>
      <c r="B4" s="1589"/>
      <c r="C4" s="1589"/>
      <c r="D4" s="1589"/>
      <c r="E4" s="1589"/>
      <c r="F4" s="1517" t="s">
        <v>1028</v>
      </c>
      <c r="G4" s="1517"/>
      <c r="H4" s="1518"/>
    </row>
    <row r="5" spans="1:8" s="440" customFormat="1" ht="20.149999999999999" customHeight="1" thickBot="1" x14ac:dyDescent="0.4">
      <c r="A5" s="1618"/>
      <c r="B5" s="1618"/>
      <c r="C5" s="1618"/>
      <c r="D5" s="1618"/>
      <c r="E5" s="1618"/>
      <c r="F5" s="1618"/>
      <c r="G5" s="1618"/>
      <c r="H5" s="1618"/>
    </row>
    <row r="6" spans="1:8" s="441" customFormat="1" ht="25" customHeight="1" thickBot="1" x14ac:dyDescent="0.4">
      <c r="A6" s="629" t="s">
        <v>1026</v>
      </c>
      <c r="B6" s="756" t="str">
        <f>IF(Data!B1&lt;&gt;"",Data!B1 &amp;" "&amp; IF(COUNTBLANK('Rework Cutter Entry'!C47:AG58)&lt;372,'Rework Cutter Entry'!AA44,IF(COUNTBLANK('Rework Cutter Entry'!C26:AG37)&lt;372,'Rework Cutter Entry'!AA23,IF(COUNTBLANK('Rework Cutter Entry'!C5:AG16)&lt;372,'Rework Cutter Entry'!AA2,""))),"")</f>
        <v xml:space="preserve">2025-AR-105 </v>
      </c>
      <c r="C6" s="629" t="s">
        <v>1032</v>
      </c>
      <c r="D6" s="427">
        <f>IF(Data!B2&lt;&gt;"",Data!B2," ")</f>
        <v>13753277</v>
      </c>
      <c r="E6" s="629" t="s">
        <v>29</v>
      </c>
      <c r="F6" s="427" t="str">
        <f>IF(LEN(Data!B3)&gt;3,IF(AND(Data!B43&lt;&gt;"",Data!B43&lt;&gt;"0 0/1"""),Data!B43,""),IF(Data!B3&lt;&gt;"",Data!B3&amp;"""",""))</f>
        <v>8 3/8"</v>
      </c>
      <c r="G6" s="629" t="s">
        <v>31</v>
      </c>
      <c r="H6" s="427" t="str">
        <f>IF(Data!B4&lt;&gt;"",Data!B4," ")</f>
        <v>MM65DH</v>
      </c>
    </row>
    <row r="7" spans="1:8" s="441" customFormat="1" ht="20.149999999999999" customHeight="1" thickBot="1" x14ac:dyDescent="0.4">
      <c r="A7" s="1619"/>
      <c r="B7" s="1619"/>
      <c r="C7" s="1619"/>
      <c r="D7" s="1619"/>
      <c r="E7" s="1619"/>
      <c r="F7" s="1619"/>
      <c r="G7" s="1619"/>
      <c r="H7" s="1619"/>
    </row>
    <row r="8" spans="1:8" s="440" customFormat="1" ht="25" customHeight="1" thickBot="1" x14ac:dyDescent="0.4">
      <c r="A8" s="1560" t="s">
        <v>52</v>
      </c>
      <c r="B8" s="1509"/>
      <c r="C8" s="1509"/>
      <c r="D8" s="1509"/>
      <c r="E8" s="1509" t="s">
        <v>53</v>
      </c>
      <c r="F8" s="1509"/>
      <c r="G8" s="1509"/>
      <c r="H8" s="1510"/>
    </row>
    <row r="9" spans="1:8" s="440" customFormat="1" ht="20.149999999999999" customHeight="1" thickBot="1" x14ac:dyDescent="0.4">
      <c r="A9" s="1606"/>
      <c r="B9" s="1606"/>
      <c r="C9" s="1606"/>
      <c r="D9" s="1606"/>
      <c r="E9" s="1606"/>
      <c r="F9" s="1606"/>
      <c r="G9" s="1606"/>
      <c r="H9" s="1606"/>
    </row>
    <row r="10" spans="1:8" s="440" customFormat="1" ht="27" customHeight="1" thickBot="1" x14ac:dyDescent="0.4">
      <c r="A10" s="1607" t="s">
        <v>1138</v>
      </c>
      <c r="B10" s="1608"/>
      <c r="C10" s="1608"/>
      <c r="D10" s="1608"/>
      <c r="E10" s="1608"/>
      <c r="F10" s="1608"/>
      <c r="G10" s="1608"/>
      <c r="H10" s="1609"/>
    </row>
    <row r="11" spans="1:8" s="440" customFormat="1" ht="27" customHeight="1" x14ac:dyDescent="0.35">
      <c r="A11" s="1610" t="s">
        <v>1036</v>
      </c>
      <c r="B11" s="1611"/>
      <c r="C11" s="1612" t="s">
        <v>54</v>
      </c>
      <c r="D11" s="1612"/>
      <c r="E11" s="1612" t="s">
        <v>55</v>
      </c>
      <c r="F11" s="1612"/>
      <c r="G11" s="1612" t="s">
        <v>56</v>
      </c>
      <c r="H11" s="1613"/>
    </row>
    <row r="12" spans="1:8" s="440" customFormat="1" ht="27" customHeight="1" x14ac:dyDescent="0.35">
      <c r="A12" s="1602" t="s">
        <v>1037</v>
      </c>
      <c r="B12" s="1603"/>
      <c r="C12" s="1549" t="s">
        <v>57</v>
      </c>
      <c r="D12" s="1549"/>
      <c r="E12" s="1604" t="s">
        <v>58</v>
      </c>
      <c r="F12" s="1604"/>
      <c r="G12" s="1604" t="s">
        <v>58</v>
      </c>
      <c r="H12" s="1605"/>
    </row>
    <row r="13" spans="1:8" s="440" customFormat="1" ht="27" customHeight="1" x14ac:dyDescent="0.35">
      <c r="A13" s="1602" t="s">
        <v>1038</v>
      </c>
      <c r="B13" s="1603"/>
      <c r="C13" s="1549"/>
      <c r="D13" s="1549"/>
      <c r="E13" s="1549"/>
      <c r="F13" s="1549"/>
      <c r="G13" s="1549"/>
      <c r="H13" s="1550"/>
    </row>
    <row r="14" spans="1:8" s="440" customFormat="1" ht="27" customHeight="1" x14ac:dyDescent="0.35">
      <c r="A14" s="1602" t="s">
        <v>1039</v>
      </c>
      <c r="B14" s="1603"/>
      <c r="C14" s="1549"/>
      <c r="D14" s="1549"/>
      <c r="E14" s="1549"/>
      <c r="F14" s="1549"/>
      <c r="G14" s="1549"/>
      <c r="H14" s="1550"/>
    </row>
    <row r="15" spans="1:8" s="440" customFormat="1" ht="27" customHeight="1" x14ac:dyDescent="0.35">
      <c r="A15" s="1602" t="s">
        <v>59</v>
      </c>
      <c r="B15" s="1603"/>
      <c r="C15" s="1515"/>
      <c r="D15" s="1515"/>
      <c r="E15" s="1603" t="s">
        <v>60</v>
      </c>
      <c r="F15" s="1603"/>
      <c r="G15" s="1515"/>
      <c r="H15" s="1516"/>
    </row>
    <row r="16" spans="1:8" s="440" customFormat="1" ht="27" customHeight="1" x14ac:dyDescent="0.35">
      <c r="A16" s="1602" t="s">
        <v>61</v>
      </c>
      <c r="B16" s="1603"/>
      <c r="C16" s="1515"/>
      <c r="D16" s="1515"/>
      <c r="E16" s="1603" t="s">
        <v>62</v>
      </c>
      <c r="F16" s="1603"/>
      <c r="G16" s="1515"/>
      <c r="H16" s="1516"/>
    </row>
    <row r="17" spans="1:8" s="440" customFormat="1" ht="27" customHeight="1" x14ac:dyDescent="0.35">
      <c r="A17" s="757" t="s">
        <v>63</v>
      </c>
      <c r="B17" s="758" t="s">
        <v>64</v>
      </c>
      <c r="C17" s="1549"/>
      <c r="D17" s="1549"/>
      <c r="E17" s="758" t="s">
        <v>65</v>
      </c>
      <c r="F17" s="759"/>
      <c r="G17" s="758" t="s">
        <v>36</v>
      </c>
      <c r="H17" s="760"/>
    </row>
    <row r="18" spans="1:8" s="440" customFormat="1" ht="27" customHeight="1" x14ac:dyDescent="0.35">
      <c r="A18" s="1593" t="s">
        <v>952</v>
      </c>
      <c r="B18" s="1595" t="s">
        <v>67</v>
      </c>
      <c r="C18" s="1596"/>
      <c r="D18" s="1596"/>
      <c r="E18" s="1596"/>
      <c r="F18" s="1596"/>
      <c r="G18" s="1596"/>
      <c r="H18" s="1597"/>
    </row>
    <row r="19" spans="1:8" s="440" customFormat="1" ht="27" customHeight="1" x14ac:dyDescent="0.35">
      <c r="A19" s="1593"/>
      <c r="B19" s="1598"/>
      <c r="C19" s="1599"/>
      <c r="D19" s="1599"/>
      <c r="E19" s="1599"/>
      <c r="F19" s="1599"/>
      <c r="G19" s="1599"/>
      <c r="H19" s="1600"/>
    </row>
    <row r="20" spans="1:8" s="440" customFormat="1" ht="27" customHeight="1" thickBot="1" x14ac:dyDescent="0.4">
      <c r="A20" s="1594"/>
      <c r="B20" s="1601" t="s">
        <v>69</v>
      </c>
      <c r="C20" s="1601"/>
      <c r="D20" s="1552"/>
      <c r="E20" s="1552"/>
      <c r="F20" s="1552"/>
      <c r="G20" s="1552"/>
      <c r="H20" s="1553"/>
    </row>
    <row r="21" spans="1:8" s="440" customFormat="1" ht="20.149999999999999" customHeight="1" thickBot="1" x14ac:dyDescent="0.4">
      <c r="A21" s="1606"/>
      <c r="B21" s="1606"/>
      <c r="C21" s="1606"/>
      <c r="D21" s="1606"/>
      <c r="E21" s="1606"/>
      <c r="F21" s="1606"/>
      <c r="G21" s="1606"/>
      <c r="H21" s="1606"/>
    </row>
    <row r="22" spans="1:8" s="440" customFormat="1" ht="27" customHeight="1" thickBot="1" x14ac:dyDescent="0.4">
      <c r="A22" s="1607" t="s">
        <v>1112</v>
      </c>
      <c r="B22" s="1608"/>
      <c r="C22" s="1608"/>
      <c r="D22" s="1608"/>
      <c r="E22" s="1608"/>
      <c r="F22" s="1608"/>
      <c r="G22" s="1608"/>
      <c r="H22" s="1609"/>
    </row>
    <row r="23" spans="1:8" s="440" customFormat="1" ht="27" customHeight="1" x14ac:dyDescent="0.35">
      <c r="A23" s="1610" t="s">
        <v>1036</v>
      </c>
      <c r="B23" s="1611"/>
      <c r="C23" s="1612" t="s">
        <v>54</v>
      </c>
      <c r="D23" s="1612"/>
      <c r="E23" s="1612" t="s">
        <v>55</v>
      </c>
      <c r="F23" s="1612"/>
      <c r="G23" s="1612" t="s">
        <v>56</v>
      </c>
      <c r="H23" s="1613"/>
    </row>
    <row r="24" spans="1:8" s="440" customFormat="1" ht="27" customHeight="1" x14ac:dyDescent="0.35">
      <c r="A24" s="1602" t="s">
        <v>1037</v>
      </c>
      <c r="B24" s="1603"/>
      <c r="C24" s="1549" t="s">
        <v>57</v>
      </c>
      <c r="D24" s="1549"/>
      <c r="E24" s="1604" t="s">
        <v>58</v>
      </c>
      <c r="F24" s="1604"/>
      <c r="G24" s="1604" t="s">
        <v>58</v>
      </c>
      <c r="H24" s="1605"/>
    </row>
    <row r="25" spans="1:8" s="440" customFormat="1" ht="27" customHeight="1" x14ac:dyDescent="0.35">
      <c r="A25" s="1602" t="s">
        <v>1038</v>
      </c>
      <c r="B25" s="1603"/>
      <c r="C25" s="1549"/>
      <c r="D25" s="1549"/>
      <c r="E25" s="1549"/>
      <c r="F25" s="1549"/>
      <c r="G25" s="1549"/>
      <c r="H25" s="1550"/>
    </row>
    <row r="26" spans="1:8" s="440" customFormat="1" ht="27" customHeight="1" x14ac:dyDescent="0.35">
      <c r="A26" s="1602" t="s">
        <v>1039</v>
      </c>
      <c r="B26" s="1603"/>
      <c r="C26" s="1549"/>
      <c r="D26" s="1549"/>
      <c r="E26" s="1549"/>
      <c r="F26" s="1549"/>
      <c r="G26" s="1549"/>
      <c r="H26" s="1550"/>
    </row>
    <row r="27" spans="1:8" s="440" customFormat="1" ht="27" customHeight="1" x14ac:dyDescent="0.35">
      <c r="A27" s="1602" t="s">
        <v>59</v>
      </c>
      <c r="B27" s="1603"/>
      <c r="C27" s="1515"/>
      <c r="D27" s="1515"/>
      <c r="E27" s="1603" t="s">
        <v>60</v>
      </c>
      <c r="F27" s="1603"/>
      <c r="G27" s="1515"/>
      <c r="H27" s="1516"/>
    </row>
    <row r="28" spans="1:8" s="440" customFormat="1" ht="27" customHeight="1" x14ac:dyDescent="0.35">
      <c r="A28" s="1602" t="s">
        <v>61</v>
      </c>
      <c r="B28" s="1603"/>
      <c r="C28" s="1515"/>
      <c r="D28" s="1515"/>
      <c r="E28" s="1603" t="s">
        <v>62</v>
      </c>
      <c r="F28" s="1603"/>
      <c r="G28" s="1515"/>
      <c r="H28" s="1516"/>
    </row>
    <row r="29" spans="1:8" s="440" customFormat="1" ht="27" customHeight="1" x14ac:dyDescent="0.35">
      <c r="A29" s="757" t="s">
        <v>63</v>
      </c>
      <c r="B29" s="758" t="s">
        <v>64</v>
      </c>
      <c r="C29" s="1549"/>
      <c r="D29" s="1549"/>
      <c r="E29" s="758" t="s">
        <v>65</v>
      </c>
      <c r="F29" s="759"/>
      <c r="G29" s="758" t="s">
        <v>36</v>
      </c>
      <c r="H29" s="760"/>
    </row>
    <row r="30" spans="1:8" s="440" customFormat="1" ht="27" customHeight="1" x14ac:dyDescent="0.35">
      <c r="A30" s="1593" t="s">
        <v>952</v>
      </c>
      <c r="B30" s="1595" t="s">
        <v>67</v>
      </c>
      <c r="C30" s="1596"/>
      <c r="D30" s="1596"/>
      <c r="E30" s="1596"/>
      <c r="F30" s="1596"/>
      <c r="G30" s="1596"/>
      <c r="H30" s="1597"/>
    </row>
    <row r="31" spans="1:8" s="440" customFormat="1" ht="27" customHeight="1" x14ac:dyDescent="0.35">
      <c r="A31" s="1593"/>
      <c r="B31" s="1598"/>
      <c r="C31" s="1599"/>
      <c r="D31" s="1599"/>
      <c r="E31" s="1599"/>
      <c r="F31" s="1599"/>
      <c r="G31" s="1599"/>
      <c r="H31" s="1600"/>
    </row>
    <row r="32" spans="1:8" s="440" customFormat="1" ht="27" customHeight="1" thickBot="1" x14ac:dyDescent="0.4">
      <c r="A32" s="1594"/>
      <c r="B32" s="1601" t="s">
        <v>69</v>
      </c>
      <c r="C32" s="1601"/>
      <c r="D32" s="1552"/>
      <c r="E32" s="1552"/>
      <c r="F32" s="1552"/>
      <c r="G32" s="1552"/>
      <c r="H32" s="1553"/>
    </row>
    <row r="33" s="440" customFormat="1" ht="18" customHeight="1" x14ac:dyDescent="0.35"/>
    <row r="34" s="440" customFormat="1" ht="18" customHeight="1" x14ac:dyDescent="0.35"/>
    <row r="35" s="440" customFormat="1" ht="18" customHeight="1" x14ac:dyDescent="0.35"/>
    <row r="36" s="440" customFormat="1" ht="18" customHeight="1" x14ac:dyDescent="0.35"/>
    <row r="37" s="440" customFormat="1" ht="18" customHeight="1" x14ac:dyDescent="0.35"/>
    <row r="38" s="440" customFormat="1" ht="18" customHeight="1" x14ac:dyDescent="0.35"/>
    <row r="39" s="440" customFormat="1" ht="18" customHeight="1" x14ac:dyDescent="0.35"/>
    <row r="40" s="440" customFormat="1" ht="18" customHeight="1" x14ac:dyDescent="0.35"/>
  </sheetData>
  <sheetProtection formatCells="0" formatColumns="0" formatRows="0" insertColumns="0" insertRows="0" insertHyperlinks="0" deleteColumns="0" deleteRows="0" sort="0" autoFilter="0" pivotTables="0"/>
  <mergeCells count="72">
    <mergeCell ref="A10:H10"/>
    <mergeCell ref="B1:E2"/>
    <mergeCell ref="F1:H1"/>
    <mergeCell ref="F2:H2"/>
    <mergeCell ref="A3:E4"/>
    <mergeCell ref="F3:H3"/>
    <mergeCell ref="F4:H4"/>
    <mergeCell ref="A5:H5"/>
    <mergeCell ref="A7:H7"/>
    <mergeCell ref="A8:D8"/>
    <mergeCell ref="E8:H8"/>
    <mergeCell ref="A9:H9"/>
    <mergeCell ref="A11:B11"/>
    <mergeCell ref="C11:D11"/>
    <mergeCell ref="E11:F11"/>
    <mergeCell ref="G11:H11"/>
    <mergeCell ref="A12:B12"/>
    <mergeCell ref="C12:D12"/>
    <mergeCell ref="E12:F12"/>
    <mergeCell ref="G12:H12"/>
    <mergeCell ref="A13:B13"/>
    <mergeCell ref="C13:D13"/>
    <mergeCell ref="E13:F13"/>
    <mergeCell ref="G13:H13"/>
    <mergeCell ref="A14:B14"/>
    <mergeCell ref="C14:D14"/>
    <mergeCell ref="E14:F14"/>
    <mergeCell ref="G14:H14"/>
    <mergeCell ref="A15:B15"/>
    <mergeCell ref="C15:D15"/>
    <mergeCell ref="E15:F15"/>
    <mergeCell ref="G15:H15"/>
    <mergeCell ref="A16:B16"/>
    <mergeCell ref="C16:D16"/>
    <mergeCell ref="E16:F16"/>
    <mergeCell ref="G16:H16"/>
    <mergeCell ref="A24:B24"/>
    <mergeCell ref="C24:D24"/>
    <mergeCell ref="E24:F24"/>
    <mergeCell ref="G24:H24"/>
    <mergeCell ref="C17:D17"/>
    <mergeCell ref="A18:A20"/>
    <mergeCell ref="B18:H19"/>
    <mergeCell ref="B20:C20"/>
    <mergeCell ref="D20:H20"/>
    <mergeCell ref="A21:H21"/>
    <mergeCell ref="A22:H22"/>
    <mergeCell ref="A23:B23"/>
    <mergeCell ref="C23:D23"/>
    <mergeCell ref="E23:F23"/>
    <mergeCell ref="G23:H23"/>
    <mergeCell ref="A25:B25"/>
    <mergeCell ref="C25:D25"/>
    <mergeCell ref="E25:F25"/>
    <mergeCell ref="G25:H25"/>
    <mergeCell ref="A26:B26"/>
    <mergeCell ref="C26:D26"/>
    <mergeCell ref="E26:F26"/>
    <mergeCell ref="G26:H26"/>
    <mergeCell ref="A27:B27"/>
    <mergeCell ref="C27:D27"/>
    <mergeCell ref="E27:F27"/>
    <mergeCell ref="G27:H27"/>
    <mergeCell ref="A28:B28"/>
    <mergeCell ref="C28:D28"/>
    <mergeCell ref="E28:F28"/>
    <mergeCell ref="G28:H28"/>
    <mergeCell ref="C29:D29"/>
    <mergeCell ref="A30:A32"/>
    <mergeCell ref="B30:H31"/>
    <mergeCell ref="B32:C32"/>
    <mergeCell ref="D32:H32"/>
  </mergeCells>
  <pageMargins left="0.5" right="0.5" top="0.5" bottom="0.5" header="0.3" footer="0.3"/>
  <pageSetup paperSize="9" scale="85" orientation="portrait" r:id="rId1"/>
  <colBreaks count="1" manualBreakCount="1">
    <brk id="8" max="31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17E0-E763-483D-B9DD-AC07EE9A6E8A}">
  <sheetPr codeName="Sheet10"/>
  <dimension ref="A1:AI41"/>
  <sheetViews>
    <sheetView view="pageBreakPreview" zoomScaleNormal="100" zoomScaleSheetLayoutView="100" workbookViewId="0">
      <selection activeCell="X14" sqref="X14"/>
    </sheetView>
  </sheetViews>
  <sheetFormatPr defaultRowHeight="14.5" x14ac:dyDescent="0.35"/>
  <cols>
    <col min="1" max="2" width="6.81640625" customWidth="1"/>
    <col min="3" max="4" width="4.81640625" customWidth="1"/>
    <col min="5" max="5" width="5.453125" customWidth="1"/>
    <col min="6" max="7" width="4.81640625" customWidth="1"/>
    <col min="8" max="8" width="5.453125" customWidth="1"/>
    <col min="9" max="10" width="4.81640625" customWidth="1"/>
    <col min="11" max="11" width="8" customWidth="1"/>
    <col min="12" max="13" width="4.81640625" customWidth="1"/>
    <col min="14" max="14" width="8" customWidth="1"/>
    <col min="15" max="15" width="10" customWidth="1"/>
  </cols>
  <sheetData>
    <row r="1" spans="1:35" s="491" customFormat="1" ht="21.75" customHeight="1" x14ac:dyDescent="0.4">
      <c r="A1" s="924"/>
      <c r="B1" s="924"/>
      <c r="C1" s="1642" t="s">
        <v>22</v>
      </c>
      <c r="D1" s="1642"/>
      <c r="E1" s="1642"/>
      <c r="F1" s="1642"/>
      <c r="G1" s="1642"/>
      <c r="H1" s="1642"/>
      <c r="I1" s="1642"/>
      <c r="J1" s="1642"/>
      <c r="K1" s="1642"/>
      <c r="L1" s="1642"/>
      <c r="M1" s="1642"/>
      <c r="N1" s="1642"/>
      <c r="O1" s="1642"/>
      <c r="P1" s="925"/>
      <c r="Q1" s="925"/>
      <c r="R1" s="925"/>
      <c r="S1" s="925"/>
      <c r="T1" s="925"/>
      <c r="U1" s="925"/>
      <c r="V1" s="925"/>
      <c r="W1" s="925"/>
      <c r="X1" s="925"/>
      <c r="Y1" s="925"/>
      <c r="Z1" s="925"/>
      <c r="AA1" s="925"/>
      <c r="AB1" s="925"/>
      <c r="AC1" s="925"/>
      <c r="AD1" s="925"/>
      <c r="AE1" s="925"/>
      <c r="AF1" s="925"/>
      <c r="AG1" s="925"/>
      <c r="AH1" s="925"/>
      <c r="AI1" s="925"/>
    </row>
    <row r="2" spans="1:35" s="491" customFormat="1" ht="16.5" customHeight="1" x14ac:dyDescent="0.35">
      <c r="B2" s="926"/>
      <c r="C2" s="1643" t="s">
        <v>1067</v>
      </c>
      <c r="D2" s="1643"/>
      <c r="E2" s="1643"/>
      <c r="F2" s="1643"/>
      <c r="G2" s="1643"/>
      <c r="H2" s="1643"/>
      <c r="I2" s="1643"/>
      <c r="J2" s="1643"/>
      <c r="K2" s="1643"/>
      <c r="L2" s="1643"/>
      <c r="M2" s="1643"/>
      <c r="N2" s="1643"/>
      <c r="O2" s="1643"/>
      <c r="P2" s="926"/>
      <c r="Q2" s="926"/>
      <c r="R2" s="926"/>
      <c r="S2" s="926"/>
      <c r="T2" s="926"/>
      <c r="U2" s="926"/>
      <c r="V2" s="926"/>
      <c r="W2" s="926"/>
      <c r="X2" s="926"/>
      <c r="Y2" s="926"/>
      <c r="Z2" s="926"/>
      <c r="AA2" s="926"/>
      <c r="AB2" s="926"/>
      <c r="AC2" s="926"/>
      <c r="AD2" s="926"/>
      <c r="AE2" s="926"/>
      <c r="AF2" s="926"/>
      <c r="AG2" s="926"/>
      <c r="AH2" s="926"/>
      <c r="AI2" s="926"/>
    </row>
    <row r="3" spans="1:35" s="491" customFormat="1" ht="15.75" customHeight="1" x14ac:dyDescent="0.35">
      <c r="A3" s="927" t="s">
        <v>23</v>
      </c>
      <c r="B3" s="927"/>
      <c r="C3" s="1620" t="s">
        <v>1909</v>
      </c>
      <c r="D3" s="1620"/>
      <c r="E3" s="1620"/>
      <c r="F3" s="1620"/>
      <c r="G3" s="1620"/>
      <c r="H3" s="1621"/>
      <c r="I3" s="929"/>
      <c r="J3" s="1622" t="s">
        <v>1912</v>
      </c>
      <c r="K3" s="1620"/>
      <c r="L3" s="1620"/>
      <c r="M3" s="1620"/>
      <c r="N3" s="1620" t="s">
        <v>1913</v>
      </c>
      <c r="O3" s="1620"/>
      <c r="P3" s="928"/>
      <c r="Q3" s="928"/>
      <c r="R3" s="928"/>
      <c r="S3" s="928"/>
      <c r="T3" s="928"/>
      <c r="U3" s="928"/>
      <c r="V3" s="928"/>
      <c r="W3" s="928"/>
      <c r="X3" s="928"/>
      <c r="Y3" s="928"/>
      <c r="Z3" s="928"/>
      <c r="AA3" s="928"/>
      <c r="AB3" s="928"/>
      <c r="AC3" s="928"/>
      <c r="AD3" s="928"/>
      <c r="AE3" s="928"/>
      <c r="AF3" s="928"/>
      <c r="AG3" s="928"/>
      <c r="AH3" s="928"/>
      <c r="AI3" s="928"/>
    </row>
    <row r="4" spans="1:35" s="491" customFormat="1" ht="15.75" customHeight="1" x14ac:dyDescent="0.35">
      <c r="A4" s="927"/>
      <c r="B4" s="927"/>
      <c r="C4" s="507"/>
      <c r="D4" s="507"/>
      <c r="E4" s="507"/>
      <c r="F4" s="507"/>
      <c r="G4" s="507"/>
      <c r="H4" s="507"/>
      <c r="I4" s="507"/>
      <c r="J4" s="507"/>
      <c r="K4" s="507"/>
      <c r="L4" s="507"/>
      <c r="M4" s="507"/>
      <c r="N4" s="507"/>
      <c r="O4" s="507"/>
      <c r="P4" s="928"/>
      <c r="Q4" s="928"/>
      <c r="R4" s="928"/>
      <c r="S4" s="928"/>
      <c r="T4" s="928"/>
      <c r="U4" s="928"/>
      <c r="V4" s="928"/>
      <c r="W4" s="928"/>
      <c r="X4" s="928"/>
      <c r="Y4" s="928"/>
      <c r="Z4" s="928"/>
      <c r="AA4" s="928"/>
      <c r="AB4" s="928"/>
      <c r="AC4" s="928"/>
      <c r="AD4" s="928"/>
      <c r="AE4" s="928"/>
      <c r="AF4" s="928"/>
      <c r="AG4" s="928"/>
      <c r="AH4" s="928"/>
      <c r="AI4" s="928"/>
    </row>
    <row r="5" spans="1:35" s="491" customFormat="1" ht="15.75" customHeight="1" thickBot="1" x14ac:dyDescent="0.4">
      <c r="A5" s="927"/>
      <c r="B5" s="927"/>
      <c r="C5" s="507"/>
      <c r="D5" s="507"/>
      <c r="E5" s="507"/>
      <c r="F5" s="507"/>
      <c r="G5" s="507"/>
      <c r="H5" s="507"/>
      <c r="I5" s="507"/>
      <c r="J5" s="507"/>
      <c r="K5" s="507"/>
      <c r="L5" s="507"/>
      <c r="M5" s="507"/>
      <c r="N5" s="507"/>
      <c r="O5" s="507"/>
      <c r="P5" s="928"/>
      <c r="Q5" s="928"/>
      <c r="R5" s="928"/>
      <c r="S5" s="928"/>
      <c r="T5" s="928"/>
      <c r="U5" s="928"/>
      <c r="V5" s="928"/>
      <c r="W5" s="928"/>
      <c r="X5" s="928"/>
      <c r="Y5" s="928"/>
      <c r="Z5" s="928"/>
      <c r="AA5" s="928"/>
      <c r="AB5" s="928"/>
      <c r="AC5" s="928"/>
      <c r="AD5" s="928"/>
      <c r="AE5" s="928"/>
      <c r="AF5" s="928"/>
      <c r="AG5" s="928"/>
      <c r="AH5" s="928"/>
      <c r="AI5" s="928"/>
    </row>
    <row r="6" spans="1:35" ht="5.25" customHeight="1" x14ac:dyDescent="0.35">
      <c r="A6" s="46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8"/>
    </row>
    <row r="7" spans="1:35" x14ac:dyDescent="0.35">
      <c r="A7" s="28" t="s">
        <v>1914</v>
      </c>
      <c r="B7" s="1132" t="str">
        <f>IF(Data!B1&lt;&gt;"", Data!B1, " ")</f>
        <v>2025-AR-105</v>
      </c>
      <c r="C7" s="1132"/>
      <c r="D7" s="1132"/>
      <c r="E7" t="s">
        <v>1894</v>
      </c>
      <c r="F7" s="1633" t="str">
        <f>IF(LEN(Data!B3)&gt;3,IF(AND(Data!B43&lt;&gt;"",Data!B43&lt;&gt;"0 0/1"""),Data!B43,""),IF(Data!B3&lt;&gt;"",Data!B3&amp;"""",""))</f>
        <v>8 3/8"</v>
      </c>
      <c r="G7" s="1633"/>
      <c r="H7" t="s">
        <v>1895</v>
      </c>
      <c r="I7" s="1633" t="str">
        <f>IF(Data!B4&lt;&gt;"",Data!B4," ")</f>
        <v>MM65DH</v>
      </c>
      <c r="J7" s="1633"/>
      <c r="K7" t="s">
        <v>1896</v>
      </c>
      <c r="L7" s="1633">
        <f>IF(Data!B2&lt;&gt;"", Data!B2, " ")</f>
        <v>13753277</v>
      </c>
      <c r="M7" s="1633"/>
      <c r="N7" t="s">
        <v>1897</v>
      </c>
      <c r="O7" s="922"/>
    </row>
    <row r="8" spans="1:35" ht="8.25" customHeight="1" thickBot="1" x14ac:dyDescent="0.4">
      <c r="A8" s="815"/>
      <c r="B8" s="923"/>
      <c r="C8" s="923"/>
      <c r="D8" s="923"/>
      <c r="E8" s="58"/>
      <c r="F8" s="923"/>
      <c r="G8" s="923"/>
      <c r="H8" s="58"/>
      <c r="I8" s="923"/>
      <c r="J8" s="923"/>
      <c r="K8" s="58"/>
      <c r="L8" s="923"/>
      <c r="M8" s="923"/>
      <c r="N8" s="58"/>
      <c r="O8" s="669"/>
    </row>
    <row r="9" spans="1:35" ht="24" customHeight="1" x14ac:dyDescent="0.35">
      <c r="A9" s="1629" t="s">
        <v>1883</v>
      </c>
      <c r="B9" s="1629"/>
      <c r="C9" s="1629"/>
      <c r="D9" s="1629"/>
      <c r="E9" s="1629"/>
      <c r="F9" s="1629"/>
      <c r="G9" s="1629"/>
      <c r="H9" s="1629"/>
      <c r="I9" s="1629"/>
      <c r="J9" s="1629"/>
      <c r="K9" s="1629"/>
      <c r="L9" s="1629"/>
      <c r="M9" s="1629"/>
      <c r="N9" s="1629"/>
      <c r="O9" s="1629"/>
    </row>
    <row r="10" spans="1:35" ht="20.25" customHeight="1" x14ac:dyDescent="0.35">
      <c r="A10" s="1630" t="s">
        <v>1884</v>
      </c>
      <c r="B10" s="1631"/>
      <c r="C10" s="1631"/>
      <c r="D10" s="1631"/>
      <c r="E10" s="1632"/>
      <c r="F10" s="1630" t="s">
        <v>1885</v>
      </c>
      <c r="G10" s="1632"/>
      <c r="H10" s="1630" t="s">
        <v>1886</v>
      </c>
      <c r="I10" s="1632"/>
      <c r="J10" s="1630" t="s">
        <v>44</v>
      </c>
      <c r="K10" s="1631"/>
      <c r="L10" s="1631"/>
      <c r="M10" s="1631"/>
      <c r="N10" s="1631"/>
      <c r="O10" s="1632"/>
    </row>
    <row r="11" spans="1:35" ht="20.25" customHeight="1" x14ac:dyDescent="0.35">
      <c r="A11" s="1623" t="s">
        <v>1887</v>
      </c>
      <c r="B11" s="1624"/>
      <c r="C11" s="1624"/>
      <c r="D11" s="1624"/>
      <c r="E11" s="1625"/>
      <c r="F11" s="1626"/>
      <c r="G11" s="1627"/>
      <c r="H11" s="1626"/>
      <c r="I11" s="1627"/>
      <c r="J11" s="1626"/>
      <c r="K11" s="1628"/>
      <c r="L11" s="1628"/>
      <c r="M11" s="1628"/>
      <c r="N11" s="1628"/>
      <c r="O11" s="1627"/>
    </row>
    <row r="12" spans="1:35" ht="20.25" customHeight="1" x14ac:dyDescent="0.35">
      <c r="A12" s="1623" t="s">
        <v>1888</v>
      </c>
      <c r="B12" s="1624"/>
      <c r="C12" s="1624"/>
      <c r="D12" s="1624"/>
      <c r="E12" s="1625"/>
      <c r="F12" s="1626"/>
      <c r="G12" s="1627"/>
      <c r="H12" s="1626"/>
      <c r="I12" s="1627"/>
      <c r="J12" s="1626"/>
      <c r="K12" s="1628"/>
      <c r="L12" s="1628"/>
      <c r="M12" s="1628"/>
      <c r="N12" s="1628"/>
      <c r="O12" s="1627"/>
    </row>
    <row r="13" spans="1:35" ht="20.25" customHeight="1" x14ac:dyDescent="0.35">
      <c r="A13" s="1623" t="s">
        <v>1889</v>
      </c>
      <c r="B13" s="1624"/>
      <c r="C13" s="1624"/>
      <c r="D13" s="1624"/>
      <c r="E13" s="1625"/>
      <c r="F13" s="1626"/>
      <c r="G13" s="1627"/>
      <c r="H13" s="1626"/>
      <c r="I13" s="1627"/>
      <c r="J13" s="1626"/>
      <c r="K13" s="1628"/>
      <c r="L13" s="1628"/>
      <c r="M13" s="1628"/>
      <c r="N13" s="1628"/>
      <c r="O13" s="1627"/>
    </row>
    <row r="14" spans="1:35" ht="20.25" customHeight="1" x14ac:dyDescent="0.35">
      <c r="A14" s="1623" t="s">
        <v>1890</v>
      </c>
      <c r="B14" s="1624"/>
      <c r="C14" s="1624"/>
      <c r="D14" s="1624"/>
      <c r="E14" s="1625"/>
      <c r="F14" s="1626"/>
      <c r="G14" s="1627"/>
      <c r="H14" s="1626"/>
      <c r="I14" s="1627"/>
      <c r="J14" s="1626"/>
      <c r="K14" s="1628"/>
      <c r="L14" s="1628"/>
      <c r="M14" s="1628"/>
      <c r="N14" s="1628"/>
      <c r="O14" s="1627"/>
    </row>
    <row r="15" spans="1:35" ht="20.25" customHeight="1" x14ac:dyDescent="0.35">
      <c r="A15" s="1623" t="s">
        <v>1891</v>
      </c>
      <c r="B15" s="1624"/>
      <c r="C15" s="1624"/>
      <c r="D15" s="1624"/>
      <c r="E15" s="1625"/>
      <c r="F15" s="1626"/>
      <c r="G15" s="1627"/>
      <c r="H15" s="1626"/>
      <c r="I15" s="1627"/>
      <c r="J15" s="1626"/>
      <c r="K15" s="1628"/>
      <c r="L15" s="1628"/>
      <c r="M15" s="1628"/>
      <c r="N15" s="1628"/>
      <c r="O15" s="1627"/>
    </row>
    <row r="16" spans="1:35" ht="20.25" customHeight="1" x14ac:dyDescent="0.35">
      <c r="A16" s="1623" t="s">
        <v>1898</v>
      </c>
      <c r="B16" s="1624"/>
      <c r="C16" s="1624"/>
      <c r="D16" s="1624"/>
      <c r="E16" s="1625"/>
      <c r="F16" s="1626"/>
      <c r="G16" s="1627"/>
      <c r="H16" s="1626"/>
      <c r="I16" s="1627"/>
      <c r="J16" s="1626"/>
      <c r="K16" s="1628"/>
      <c r="L16" s="1628"/>
      <c r="M16" s="1628"/>
      <c r="N16" s="1628"/>
      <c r="O16" s="1627"/>
    </row>
    <row r="17" spans="1:15" x14ac:dyDescent="0.35">
      <c r="A17" s="1634"/>
      <c r="B17" s="1634"/>
      <c r="C17" s="1634"/>
      <c r="D17" s="1634"/>
      <c r="E17" s="1634"/>
      <c r="F17" s="1634"/>
      <c r="G17" s="1634"/>
      <c r="H17" s="1634"/>
      <c r="I17" s="1634"/>
      <c r="J17" s="1634"/>
      <c r="K17" s="1634"/>
      <c r="L17" s="1634"/>
      <c r="M17" s="1634"/>
      <c r="N17" s="1634"/>
      <c r="O17" s="1634"/>
    </row>
    <row r="18" spans="1:15" ht="15.5" x14ac:dyDescent="0.35">
      <c r="A18" s="1638" t="s">
        <v>1904</v>
      </c>
      <c r="B18" s="1638"/>
      <c r="C18" s="1638"/>
      <c r="G18" s="1132" t="s">
        <v>1905</v>
      </c>
      <c r="H18" s="1132"/>
      <c r="K18" s="1132" t="s">
        <v>1906</v>
      </c>
      <c r="L18" s="1132"/>
    </row>
    <row r="19" spans="1:15" ht="15.5" x14ac:dyDescent="0.35">
      <c r="A19" s="915"/>
      <c r="B19" s="915"/>
      <c r="G19" s="805"/>
      <c r="H19" s="805"/>
      <c r="K19" s="805"/>
      <c r="L19" s="805"/>
    </row>
    <row r="20" spans="1:15" ht="19.5" customHeight="1" x14ac:dyDescent="0.35">
      <c r="A20" s="1635" t="s">
        <v>1892</v>
      </c>
      <c r="B20" s="1635"/>
      <c r="C20" s="1635"/>
      <c r="D20" s="1635"/>
      <c r="E20" s="1635"/>
      <c r="F20" s="1637" t="s">
        <v>1907</v>
      </c>
      <c r="G20" s="1637"/>
      <c r="H20" s="1637"/>
      <c r="I20" s="1637"/>
      <c r="J20" s="1637"/>
      <c r="K20" s="1637"/>
      <c r="L20" s="1636" t="s">
        <v>1899</v>
      </c>
      <c r="M20" s="1636"/>
      <c r="N20" s="1633"/>
      <c r="O20" s="1633"/>
    </row>
    <row r="21" spans="1:15" ht="19.5" customHeight="1" x14ac:dyDescent="0.35">
      <c r="A21" s="1635"/>
      <c r="B21" s="1635"/>
      <c r="C21" s="1635"/>
      <c r="D21" s="1635"/>
      <c r="E21" s="1635"/>
      <c r="F21" s="1637" t="s">
        <v>1908</v>
      </c>
      <c r="G21" s="1637"/>
      <c r="H21" s="1637"/>
      <c r="I21" s="1637"/>
      <c r="J21" s="1637"/>
      <c r="K21" s="1637"/>
      <c r="L21" s="1636" t="s">
        <v>1079</v>
      </c>
      <c r="M21" s="1636"/>
      <c r="N21" s="1628"/>
      <c r="O21" s="1628"/>
    </row>
    <row r="24" spans="1:15" ht="24" customHeight="1" x14ac:dyDescent="0.35">
      <c r="A24" s="1629" t="s">
        <v>1893</v>
      </c>
      <c r="B24" s="1629"/>
      <c r="C24" s="1629"/>
      <c r="D24" s="1629"/>
      <c r="E24" s="1629"/>
      <c r="F24" s="1629"/>
      <c r="G24" s="1629"/>
      <c r="H24" s="1629"/>
      <c r="I24" s="1629"/>
      <c r="J24" s="1629"/>
      <c r="K24" s="1629"/>
      <c r="L24" s="1629"/>
      <c r="M24" s="1629"/>
      <c r="N24" s="1629"/>
      <c r="O24" s="1629"/>
    </row>
    <row r="25" spans="1:15" ht="20.25" customHeight="1" x14ac:dyDescent="0.35">
      <c r="A25" s="1630" t="s">
        <v>1884</v>
      </c>
      <c r="B25" s="1631"/>
      <c r="C25" s="1631"/>
      <c r="D25" s="1631"/>
      <c r="E25" s="1632"/>
      <c r="F25" s="1630" t="s">
        <v>1885</v>
      </c>
      <c r="G25" s="1632"/>
      <c r="H25" s="1630" t="s">
        <v>1886</v>
      </c>
      <c r="I25" s="1632"/>
      <c r="J25" s="1630" t="s">
        <v>44</v>
      </c>
      <c r="K25" s="1631"/>
      <c r="L25" s="1631"/>
      <c r="M25" s="1631"/>
      <c r="N25" s="1631"/>
      <c r="O25" s="1632"/>
    </row>
    <row r="26" spans="1:15" ht="20.25" customHeight="1" x14ac:dyDescent="0.35">
      <c r="A26" s="1623" t="s">
        <v>1887</v>
      </c>
      <c r="B26" s="1624"/>
      <c r="C26" s="1624"/>
      <c r="D26" s="1624"/>
      <c r="E26" s="1625"/>
      <c r="F26" s="1626"/>
      <c r="G26" s="1627"/>
      <c r="H26" s="1626"/>
      <c r="I26" s="1627"/>
      <c r="J26" s="1626"/>
      <c r="K26" s="1628"/>
      <c r="L26" s="1628"/>
      <c r="M26" s="1628"/>
      <c r="N26" s="1628"/>
      <c r="O26" s="1627"/>
    </row>
    <row r="27" spans="1:15" ht="20.25" customHeight="1" x14ac:dyDescent="0.35">
      <c r="A27" s="1623" t="s">
        <v>1888</v>
      </c>
      <c r="B27" s="1624"/>
      <c r="C27" s="1624"/>
      <c r="D27" s="1624"/>
      <c r="E27" s="1625"/>
      <c r="F27" s="1626"/>
      <c r="G27" s="1627"/>
      <c r="H27" s="1626"/>
      <c r="I27" s="1627"/>
      <c r="J27" s="1626"/>
      <c r="K27" s="1628"/>
      <c r="L27" s="1628"/>
      <c r="M27" s="1628"/>
      <c r="N27" s="1628"/>
      <c r="O27" s="1627"/>
    </row>
    <row r="28" spans="1:15" ht="20.25" customHeight="1" x14ac:dyDescent="0.35">
      <c r="A28" s="1623" t="s">
        <v>1889</v>
      </c>
      <c r="B28" s="1624"/>
      <c r="C28" s="1624"/>
      <c r="D28" s="1624"/>
      <c r="E28" s="1625"/>
      <c r="F28" s="1626"/>
      <c r="G28" s="1627"/>
      <c r="H28" s="1626"/>
      <c r="I28" s="1627"/>
      <c r="J28" s="1626"/>
      <c r="K28" s="1628"/>
      <c r="L28" s="1628"/>
      <c r="M28" s="1628"/>
      <c r="N28" s="1628"/>
      <c r="O28" s="1627"/>
    </row>
    <row r="29" spans="1:15" ht="20.25" customHeight="1" x14ac:dyDescent="0.35">
      <c r="A29" s="1623" t="s">
        <v>1890</v>
      </c>
      <c r="B29" s="1624"/>
      <c r="C29" s="1624"/>
      <c r="D29" s="1624"/>
      <c r="E29" s="1625"/>
      <c r="F29" s="1626"/>
      <c r="G29" s="1627"/>
      <c r="H29" s="1626"/>
      <c r="I29" s="1627"/>
      <c r="J29" s="1626"/>
      <c r="K29" s="1628"/>
      <c r="L29" s="1628"/>
      <c r="M29" s="1628"/>
      <c r="N29" s="1628"/>
      <c r="O29" s="1627"/>
    </row>
    <row r="30" spans="1:15" ht="20.25" customHeight="1" x14ac:dyDescent="0.35">
      <c r="A30" s="1623" t="s">
        <v>1891</v>
      </c>
      <c r="B30" s="1624"/>
      <c r="C30" s="1624"/>
      <c r="D30" s="1624"/>
      <c r="E30" s="1625"/>
      <c r="F30" s="1626"/>
      <c r="G30" s="1627"/>
      <c r="H30" s="1626"/>
      <c r="I30" s="1627"/>
      <c r="J30" s="1626"/>
      <c r="K30" s="1628"/>
      <c r="L30" s="1628"/>
      <c r="M30" s="1628"/>
      <c r="N30" s="1628"/>
      <c r="O30" s="1627"/>
    </row>
    <row r="31" spans="1:15" ht="20.25" customHeight="1" x14ac:dyDescent="0.35">
      <c r="A31" s="1623" t="s">
        <v>1898</v>
      </c>
      <c r="B31" s="1624"/>
      <c r="C31" s="1624"/>
      <c r="D31" s="1624"/>
      <c r="E31" s="1625"/>
      <c r="F31" s="1626"/>
      <c r="G31" s="1627"/>
      <c r="H31" s="1626"/>
      <c r="I31" s="1627"/>
      <c r="J31" s="1626"/>
      <c r="K31" s="1628"/>
      <c r="L31" s="1628"/>
      <c r="M31" s="1628"/>
      <c r="N31" s="1628"/>
      <c r="O31" s="1627"/>
    </row>
    <row r="33" spans="1:15" ht="9.75" customHeight="1" x14ac:dyDescent="0.35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3"/>
    </row>
    <row r="34" spans="1:15" ht="18.75" customHeight="1" x14ac:dyDescent="0.35">
      <c r="A34" s="916" t="s">
        <v>1900</v>
      </c>
      <c r="B34" s="917"/>
      <c r="O34" s="155"/>
    </row>
    <row r="35" spans="1:15" ht="7.5" customHeight="1" x14ac:dyDescent="0.35">
      <c r="A35" s="916"/>
      <c r="B35" s="917"/>
      <c r="O35" s="155"/>
    </row>
    <row r="36" spans="1:15" x14ac:dyDescent="0.35">
      <c r="A36" s="1644" t="s">
        <v>1901</v>
      </c>
      <c r="B36" s="1645"/>
      <c r="C36" s="1645"/>
      <c r="D36" s="1645"/>
      <c r="E36" s="1645"/>
      <c r="F36" s="1645"/>
      <c r="G36" s="1645"/>
      <c r="H36" s="1645"/>
      <c r="I36" s="1645"/>
      <c r="J36" s="1645"/>
      <c r="K36" s="1645"/>
      <c r="L36" s="1645"/>
      <c r="M36" s="1645"/>
      <c r="N36" s="1645"/>
      <c r="O36" s="1646"/>
    </row>
    <row r="37" spans="1:15" x14ac:dyDescent="0.35">
      <c r="A37" s="1644"/>
      <c r="B37" s="1645"/>
      <c r="C37" s="1645"/>
      <c r="D37" s="1645"/>
      <c r="E37" s="1645"/>
      <c r="F37" s="1645"/>
      <c r="G37" s="1645"/>
      <c r="H37" s="1645"/>
      <c r="I37" s="1645"/>
      <c r="J37" s="1645"/>
      <c r="K37" s="1645"/>
      <c r="L37" s="1645"/>
      <c r="M37" s="1645"/>
      <c r="N37" s="1645"/>
      <c r="O37" s="1646"/>
    </row>
    <row r="38" spans="1:15" x14ac:dyDescent="0.35">
      <c r="A38" s="918"/>
      <c r="B38" s="919"/>
      <c r="C38" s="919"/>
      <c r="D38" s="919"/>
      <c r="E38" s="919"/>
      <c r="F38" s="919"/>
      <c r="G38" s="919"/>
      <c r="H38" s="919"/>
      <c r="I38" s="919"/>
      <c r="J38" s="919"/>
      <c r="K38" s="919"/>
      <c r="L38" s="919"/>
      <c r="M38" s="919"/>
      <c r="N38" s="919"/>
      <c r="O38" s="920"/>
    </row>
    <row r="39" spans="1:15" ht="21" customHeight="1" x14ac:dyDescent="0.35">
      <c r="A39" s="1640" t="s">
        <v>1902</v>
      </c>
      <c r="B39" s="1641"/>
      <c r="C39" s="1641"/>
      <c r="D39" s="1641"/>
      <c r="E39" s="1633"/>
      <c r="F39" s="1633"/>
      <c r="G39" s="1633"/>
      <c r="H39" s="1633"/>
      <c r="I39" s="1132" t="s">
        <v>1903</v>
      </c>
      <c r="J39" s="1132"/>
      <c r="K39" s="157"/>
      <c r="L39" s="157"/>
      <c r="M39" s="157"/>
      <c r="N39" s="157"/>
      <c r="O39" s="155"/>
    </row>
    <row r="40" spans="1:15" ht="21" customHeight="1" x14ac:dyDescent="0.35">
      <c r="A40" s="921" t="s">
        <v>1079</v>
      </c>
      <c r="B40" s="1639"/>
      <c r="C40" s="1639"/>
      <c r="D40" s="1639"/>
      <c r="E40" s="1639"/>
      <c r="F40" s="157"/>
      <c r="G40" s="157"/>
      <c r="H40" s="157"/>
      <c r="I40" s="157"/>
      <c r="J40" s="157"/>
      <c r="K40" s="157"/>
      <c r="L40" s="157"/>
      <c r="M40" s="157"/>
      <c r="N40" s="157"/>
      <c r="O40" s="158"/>
    </row>
    <row r="41" spans="1:15" x14ac:dyDescent="0.35">
      <c r="A41" s="914"/>
      <c r="B41" s="914"/>
    </row>
  </sheetData>
  <mergeCells count="83">
    <mergeCell ref="C1:O1"/>
    <mergeCell ref="C2:O2"/>
    <mergeCell ref="A36:O37"/>
    <mergeCell ref="A28:E28"/>
    <mergeCell ref="F28:G28"/>
    <mergeCell ref="H28:I28"/>
    <mergeCell ref="J28:O28"/>
    <mergeCell ref="A29:E29"/>
    <mergeCell ref="F29:G29"/>
    <mergeCell ref="H29:I29"/>
    <mergeCell ref="J29:O29"/>
    <mergeCell ref="A26:E26"/>
    <mergeCell ref="F26:G26"/>
    <mergeCell ref="H26:I26"/>
    <mergeCell ref="J26:O26"/>
    <mergeCell ref="A27:E27"/>
    <mergeCell ref="I39:J39"/>
    <mergeCell ref="B40:E40"/>
    <mergeCell ref="A39:D39"/>
    <mergeCell ref="E39:H39"/>
    <mergeCell ref="A30:E30"/>
    <mergeCell ref="F30:G30"/>
    <mergeCell ref="H30:I30"/>
    <mergeCell ref="J30:O30"/>
    <mergeCell ref="A31:E31"/>
    <mergeCell ref="F31:G31"/>
    <mergeCell ref="H31:I31"/>
    <mergeCell ref="J31:O31"/>
    <mergeCell ref="F27:G27"/>
    <mergeCell ref="H27:I27"/>
    <mergeCell ref="J27:O27"/>
    <mergeCell ref="A25:E25"/>
    <mergeCell ref="F25:G25"/>
    <mergeCell ref="H25:I25"/>
    <mergeCell ref="J25:O25"/>
    <mergeCell ref="A24:O24"/>
    <mergeCell ref="A17:O17"/>
    <mergeCell ref="G18:H18"/>
    <mergeCell ref="K18:L18"/>
    <mergeCell ref="A20:E21"/>
    <mergeCell ref="L20:M20"/>
    <mergeCell ref="L21:M21"/>
    <mergeCell ref="N20:O20"/>
    <mergeCell ref="N21:O21"/>
    <mergeCell ref="F20:K20"/>
    <mergeCell ref="F21:K21"/>
    <mergeCell ref="A18:C18"/>
    <mergeCell ref="A16:E16"/>
    <mergeCell ref="F16:G16"/>
    <mergeCell ref="H16:I16"/>
    <mergeCell ref="J16:O16"/>
    <mergeCell ref="I7:J7"/>
    <mergeCell ref="F7:G7"/>
    <mergeCell ref="L7:M7"/>
    <mergeCell ref="A14:E14"/>
    <mergeCell ref="F14:G14"/>
    <mergeCell ref="H14:I14"/>
    <mergeCell ref="J14:O14"/>
    <mergeCell ref="A15:E15"/>
    <mergeCell ref="F15:G15"/>
    <mergeCell ref="H15:I15"/>
    <mergeCell ref="J15:O15"/>
    <mergeCell ref="A12:E12"/>
    <mergeCell ref="F12:G12"/>
    <mergeCell ref="H12:I12"/>
    <mergeCell ref="J12:O12"/>
    <mergeCell ref="A13:E13"/>
    <mergeCell ref="F13:G13"/>
    <mergeCell ref="H13:I13"/>
    <mergeCell ref="J13:O13"/>
    <mergeCell ref="C3:H3"/>
    <mergeCell ref="J3:M3"/>
    <mergeCell ref="N3:O3"/>
    <mergeCell ref="A11:E11"/>
    <mergeCell ref="F11:G11"/>
    <mergeCell ref="H11:I11"/>
    <mergeCell ref="J11:O11"/>
    <mergeCell ref="A9:O9"/>
    <mergeCell ref="J10:O10"/>
    <mergeCell ref="H10:I10"/>
    <mergeCell ref="F10:G10"/>
    <mergeCell ref="A10:E10"/>
    <mergeCell ref="B7:D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>
    <tabColor rgb="FF92D050"/>
  </sheetPr>
  <dimension ref="A1:AK50"/>
  <sheetViews>
    <sheetView view="pageBreakPreview" zoomScaleNormal="100" zoomScaleSheetLayoutView="100" workbookViewId="0">
      <selection activeCell="C45" sqref="C45:D45"/>
    </sheetView>
  </sheetViews>
  <sheetFormatPr defaultColWidth="9.1796875" defaultRowHeight="14.5" x14ac:dyDescent="0.35"/>
  <cols>
    <col min="1" max="2" width="2.7265625" customWidth="1"/>
    <col min="3" max="36" width="4" customWidth="1"/>
    <col min="130" max="130" width="9.1796875" customWidth="1"/>
  </cols>
  <sheetData>
    <row r="1" spans="1:36" ht="16.5" customHeight="1" x14ac:dyDescent="0.35">
      <c r="A1" s="1665" t="s">
        <v>23</v>
      </c>
      <c r="B1" s="1666"/>
      <c r="C1" s="1667"/>
      <c r="D1" s="1653" t="s">
        <v>967</v>
      </c>
      <c r="E1" s="1475"/>
      <c r="F1" s="1475"/>
      <c r="G1" s="1475"/>
      <c r="H1" s="1475"/>
      <c r="I1" s="1475"/>
      <c r="J1" s="1475"/>
      <c r="K1" s="1475"/>
      <c r="L1" s="1475"/>
      <c r="M1" s="1475"/>
      <c r="N1" s="1475"/>
      <c r="O1" s="1475"/>
      <c r="P1" s="1475"/>
      <c r="Q1" s="1475"/>
      <c r="R1" s="1475"/>
      <c r="S1" s="1475"/>
      <c r="T1" s="1475"/>
      <c r="U1" s="1475"/>
      <c r="V1" s="1475"/>
      <c r="W1" s="1475"/>
      <c r="X1" s="1475"/>
      <c r="Y1" s="1475"/>
      <c r="Z1" s="1475"/>
      <c r="AA1" s="1475"/>
      <c r="AB1" s="1475"/>
      <c r="AC1" s="1475"/>
      <c r="AD1" s="1475"/>
      <c r="AE1" s="1475"/>
      <c r="AF1" s="1475"/>
      <c r="AG1" s="1475"/>
      <c r="AH1" s="1475"/>
      <c r="AI1" s="1475"/>
      <c r="AJ1" s="1476"/>
    </row>
    <row r="2" spans="1:36" ht="15.75" customHeight="1" x14ac:dyDescent="0.35">
      <c r="A2" s="1668"/>
      <c r="B2" s="1428"/>
      <c r="C2" s="1482"/>
      <c r="D2" s="1666" t="s">
        <v>24</v>
      </c>
      <c r="E2" s="1666"/>
      <c r="F2" s="1666"/>
      <c r="G2" s="1666"/>
      <c r="H2" s="1666"/>
      <c r="I2" s="1666"/>
      <c r="J2" s="1666"/>
      <c r="K2" s="1666"/>
      <c r="L2" s="1665" t="s">
        <v>1062</v>
      </c>
      <c r="M2" s="1666"/>
      <c r="N2" s="1666"/>
      <c r="O2" s="1666"/>
      <c r="P2" s="1666"/>
      <c r="Q2" s="1666"/>
      <c r="R2" s="1666"/>
      <c r="S2" s="1666"/>
      <c r="T2" s="1477" t="s">
        <v>25</v>
      </c>
      <c r="U2" s="1477"/>
      <c r="V2" s="1477"/>
      <c r="W2" s="1477"/>
      <c r="X2" s="1477"/>
      <c r="Y2" s="1477"/>
      <c r="Z2" s="1477"/>
      <c r="AA2" s="1477"/>
      <c r="AB2" s="1477" t="s">
        <v>26</v>
      </c>
      <c r="AC2" s="1477"/>
      <c r="AD2" s="1477"/>
      <c r="AE2" s="1477"/>
      <c r="AF2" s="1477"/>
      <c r="AG2" s="1477"/>
      <c r="AH2" s="1477"/>
      <c r="AI2" s="1477"/>
      <c r="AJ2" s="1477"/>
    </row>
    <row r="3" spans="1:36" ht="13.5" customHeight="1" thickBot="1" x14ac:dyDescent="0.4">
      <c r="A3" s="1669"/>
      <c r="B3" s="1670"/>
      <c r="C3" s="1671"/>
      <c r="D3" s="1694" t="s">
        <v>1118</v>
      </c>
      <c r="E3" s="1695"/>
      <c r="F3" s="1695"/>
      <c r="G3" s="1695"/>
      <c r="H3" s="1695"/>
      <c r="I3" s="1695"/>
      <c r="J3" s="1695"/>
      <c r="K3" s="1695"/>
      <c r="L3" s="1695"/>
      <c r="M3" s="1695"/>
      <c r="N3" s="1695"/>
      <c r="O3" s="1695"/>
      <c r="P3" s="1695"/>
      <c r="Q3" s="1695"/>
      <c r="R3" s="1695"/>
      <c r="S3" s="1695"/>
      <c r="T3" s="1696"/>
      <c r="U3" s="1696"/>
      <c r="V3" s="1696"/>
      <c r="W3" s="1696"/>
      <c r="X3" s="1696"/>
      <c r="Y3" s="1696"/>
      <c r="Z3" s="1696"/>
      <c r="AA3" s="1673" t="s">
        <v>1043</v>
      </c>
      <c r="AB3" s="1673"/>
      <c r="AC3" s="1673"/>
      <c r="AD3" s="1674"/>
      <c r="AE3" s="1689"/>
      <c r="AF3" s="1690"/>
      <c r="AG3" s="1690"/>
      <c r="AH3" s="1690"/>
      <c r="AI3" s="1691"/>
      <c r="AJ3" s="650"/>
    </row>
    <row r="4" spans="1:36" ht="6" customHeight="1" thickBot="1" x14ac:dyDescent="0.4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W4" s="240"/>
      <c r="X4" s="240"/>
      <c r="Y4" s="450"/>
      <c r="Z4" s="450"/>
      <c r="AA4" s="1687" t="s">
        <v>1033</v>
      </c>
      <c r="AB4" s="1687"/>
      <c r="AC4" s="1687"/>
      <c r="AD4" s="1687"/>
      <c r="AE4" s="240"/>
      <c r="AF4" s="240"/>
      <c r="AG4" s="240"/>
      <c r="AH4" s="450"/>
      <c r="AI4" s="450"/>
    </row>
    <row r="5" spans="1:36" ht="15" customHeight="1" thickBot="1" x14ac:dyDescent="0.4">
      <c r="A5" s="240"/>
      <c r="B5" s="1673" t="s">
        <v>27</v>
      </c>
      <c r="C5" s="1673"/>
      <c r="D5" s="1673"/>
      <c r="E5" s="1674"/>
      <c r="F5" s="1578" t="str">
        <f>IF(Data!B1&lt;&gt;"", Data!B1, " ")</f>
        <v>2025-AR-105</v>
      </c>
      <c r="G5" s="1681"/>
      <c r="H5" s="1681"/>
      <c r="I5" s="1681"/>
      <c r="J5" s="1579"/>
      <c r="K5" s="1682" t="s">
        <v>28</v>
      </c>
      <c r="L5" s="1679"/>
      <c r="M5" s="1680"/>
      <c r="N5" s="1578">
        <f>IF(Data!B2&lt;&gt;"", Data!B2, " ")</f>
        <v>13753277</v>
      </c>
      <c r="O5" s="1681"/>
      <c r="P5" s="1681"/>
      <c r="Q5" s="1681"/>
      <c r="R5" s="1579"/>
      <c r="S5" s="1682" t="s">
        <v>1065</v>
      </c>
      <c r="T5" s="1679"/>
      <c r="U5" s="1680"/>
      <c r="V5" s="1578" t="str">
        <f>IF(Data!B5&lt;&gt;"",Data!B5," ")</f>
        <v>1061407M</v>
      </c>
      <c r="W5" s="1681"/>
      <c r="X5" s="1681"/>
      <c r="Y5" s="1681"/>
      <c r="Z5" s="1579"/>
      <c r="AA5" s="1687"/>
      <c r="AB5" s="1687"/>
      <c r="AC5" s="1687"/>
      <c r="AD5" s="1687"/>
      <c r="AE5" s="1654">
        <f>IF(Data!B6&lt;&gt;"",Data!B6," ")</f>
        <v>46002</v>
      </c>
      <c r="AF5" s="1655"/>
      <c r="AG5" s="1655"/>
      <c r="AH5" s="1655"/>
      <c r="AI5" s="1656"/>
    </row>
    <row r="6" spans="1:36" ht="6" customHeight="1" thickBot="1" x14ac:dyDescent="0.4">
      <c r="A6" s="240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AA6" s="1687"/>
      <c r="AB6" s="1687"/>
      <c r="AC6" s="1687"/>
      <c r="AD6" s="1687"/>
      <c r="AE6" s="449"/>
      <c r="AF6" s="449"/>
      <c r="AG6" s="450"/>
      <c r="AH6" s="450"/>
      <c r="AI6" s="450"/>
    </row>
    <row r="7" spans="1:36" ht="15" customHeight="1" thickBot="1" x14ac:dyDescent="0.4">
      <c r="D7" s="1679" t="s">
        <v>29</v>
      </c>
      <c r="E7" s="1680"/>
      <c r="F7" s="1578" t="str">
        <f>IF(LEN(Data!B3)&gt;3,IF(AND(Data!B43&lt;&gt;"",Data!B43&lt;&gt;"0 0/1"""),Data!B43,""),IF(Data!B3&lt;&gt;"",Data!B3&amp;"""",""))</f>
        <v>8 3/8"</v>
      </c>
      <c r="G7" s="1681"/>
      <c r="H7" s="1681"/>
      <c r="I7" s="1681"/>
      <c r="J7" s="1579"/>
      <c r="L7" s="1679" t="s">
        <v>31</v>
      </c>
      <c r="M7" s="1680"/>
      <c r="N7" s="1578" t="str">
        <f>IF(Data!B4&lt;&gt;"",Data!B4," ")</f>
        <v>MM65DH</v>
      </c>
      <c r="O7" s="1681"/>
      <c r="P7" s="1681"/>
      <c r="Q7" s="1681"/>
      <c r="R7" s="1579"/>
      <c r="S7" s="1682" t="s">
        <v>32</v>
      </c>
      <c r="T7" s="1679"/>
      <c r="U7" s="1680"/>
      <c r="V7" s="1578" t="str">
        <f>IF(Data!B7&lt;&gt;"",Data!B7, " ")</f>
        <v>SAUDI ARAMCO</v>
      </c>
      <c r="W7" s="1681"/>
      <c r="X7" s="1681"/>
      <c r="Y7" s="1681"/>
      <c r="Z7" s="1579"/>
      <c r="AA7" s="1672" t="s">
        <v>33</v>
      </c>
      <c r="AB7" s="1673"/>
      <c r="AC7" s="1673"/>
      <c r="AD7" s="1674"/>
      <c r="AE7" s="1578">
        <f>IF(Data!B24&lt;&gt;"",Data!B24," ")</f>
        <v>6600048646</v>
      </c>
      <c r="AF7" s="1681"/>
      <c r="AG7" s="1681"/>
      <c r="AH7" s="1681"/>
      <c r="AI7" s="1579"/>
    </row>
    <row r="8" spans="1:36" ht="32.25" customHeight="1" thickBot="1" x14ac:dyDescent="0.4">
      <c r="A8" s="1688" t="s">
        <v>1492</v>
      </c>
      <c r="B8" s="1688"/>
      <c r="C8" s="1688"/>
      <c r="D8" s="1688"/>
      <c r="E8" s="1688"/>
      <c r="F8" s="1688"/>
      <c r="G8" s="1688"/>
      <c r="H8" s="1688"/>
      <c r="I8" s="1688"/>
      <c r="J8" s="1688"/>
      <c r="K8" s="1688"/>
      <c r="L8" s="1688"/>
      <c r="M8" s="1688"/>
      <c r="N8" s="1688"/>
      <c r="O8" s="1688"/>
      <c r="P8" s="1688"/>
      <c r="Q8" s="1688"/>
      <c r="R8" s="1688"/>
      <c r="S8" s="1688"/>
      <c r="T8" s="1688"/>
      <c r="U8" s="1688"/>
      <c r="V8" s="1688"/>
      <c r="W8" s="1688"/>
      <c r="X8" s="1688"/>
      <c r="Y8" s="1688"/>
      <c r="Z8" s="1688"/>
      <c r="AA8" s="1688"/>
      <c r="AB8" s="1688"/>
      <c r="AC8" s="1688"/>
      <c r="AD8" s="1688"/>
      <c r="AE8" s="1688"/>
      <c r="AF8" s="1688"/>
      <c r="AG8" s="1688"/>
      <c r="AH8" s="1688"/>
      <c r="AI8" s="1688"/>
      <c r="AJ8" s="1688"/>
    </row>
    <row r="9" spans="1:36" ht="12" customHeight="1" x14ac:dyDescent="0.35">
      <c r="A9" s="1683" t="s">
        <v>17</v>
      </c>
      <c r="B9" s="1684"/>
      <c r="C9" s="1684"/>
      <c r="D9" s="1684"/>
      <c r="E9" s="1684"/>
      <c r="F9" s="1684"/>
      <c r="G9" s="1684"/>
      <c r="H9" s="1684"/>
      <c r="I9" s="1684"/>
      <c r="J9" s="1684"/>
      <c r="K9" s="1684"/>
      <c r="L9" s="1684"/>
      <c r="M9" s="1684"/>
      <c r="N9" s="1684"/>
      <c r="O9" s="1684"/>
      <c r="P9" s="1684"/>
      <c r="Q9" s="1684"/>
      <c r="R9" s="1684"/>
      <c r="S9" s="1684"/>
      <c r="T9" s="1684"/>
      <c r="U9" s="1684"/>
      <c r="V9" s="1684"/>
      <c r="W9" s="1684"/>
      <c r="X9" s="1684"/>
      <c r="Y9" s="1684"/>
      <c r="Z9" s="1684"/>
      <c r="AA9" s="1684"/>
      <c r="AB9" s="1684"/>
      <c r="AC9" s="1684"/>
      <c r="AD9" s="1684"/>
      <c r="AE9" s="1684"/>
      <c r="AF9" s="1684"/>
      <c r="AG9" s="1684"/>
      <c r="AH9" s="1684"/>
      <c r="AI9" s="1684"/>
      <c r="AJ9" s="1685"/>
    </row>
    <row r="10" spans="1:36" ht="12.75" customHeight="1" thickBot="1" x14ac:dyDescent="0.4">
      <c r="A10" s="484"/>
      <c r="B10" s="401"/>
      <c r="C10" s="396" t="str">
        <f>IF(Data!BR42&lt;&gt;"",Data!BR42,"")</f>
        <v>1a</v>
      </c>
      <c r="D10" s="396" t="str">
        <f>IF(Data!BS42&lt;&gt;"",Data!BS42,"")</f>
        <v>2a</v>
      </c>
      <c r="E10" s="396" t="str">
        <f>IF(Data!BT42&lt;&gt;"",Data!BT42,"")</f>
        <v>3a</v>
      </c>
      <c r="F10" s="396" t="str">
        <f>IF(Data!BU42&lt;&gt;"",Data!BU42,"")</f>
        <v>4a</v>
      </c>
      <c r="G10" s="396" t="str">
        <f>IF(Data!BV42&lt;&gt;"",Data!BV42,"")</f>
        <v>5a</v>
      </c>
      <c r="H10" s="396" t="str">
        <f>IF(Data!BW42&lt;&gt;"",Data!BW42,"")</f>
        <v>6a</v>
      </c>
      <c r="I10" s="396" t="str">
        <f>IF(Data!BX42&lt;&gt;"",Data!BX42,"")</f>
        <v>7a</v>
      </c>
      <c r="J10" s="396" t="str">
        <f>IF(Data!BY42&lt;&gt;"",Data!BY42,"")</f>
        <v>8a</v>
      </c>
      <c r="K10" s="396" t="str">
        <f>IF(Data!BZ42&lt;&gt;"",Data!BZ42,"")</f>
        <v>0a</v>
      </c>
      <c r="L10" s="396" t="str">
        <f>IF(Data!CA42&lt;&gt;"",Data!CA42,"")</f>
        <v>1b</v>
      </c>
      <c r="M10" s="396" t="str">
        <f>IF(Data!CB42&lt;&gt;"",Data!CB42,"")</f>
        <v>2b</v>
      </c>
      <c r="N10" s="396" t="str">
        <f>IF(Data!CC42&lt;&gt;"",Data!CC42,"")</f>
        <v>3b</v>
      </c>
      <c r="O10" s="396" t="str">
        <f>IF(Data!CD42&lt;&gt;"",Data!CD42,"")</f>
        <v>4b</v>
      </c>
      <c r="P10" s="396" t="str">
        <f>IF(Data!CE42&lt;&gt;"",Data!CE42,"")</f>
        <v>0a</v>
      </c>
      <c r="Q10" s="396" t="str">
        <f>IF(Data!CF42&lt;&gt;"",Data!CF42,"")</f>
        <v>0a</v>
      </c>
      <c r="R10" s="396" t="str">
        <f>IF(Data!CG42&lt;&gt;"",Data!CG42,"")</f>
        <v>0a</v>
      </c>
      <c r="S10" s="396" t="str">
        <f>IF(Data!CH42&lt;&gt;"",Data!CH42,"")</f>
        <v>0a</v>
      </c>
      <c r="T10" s="396" t="str">
        <f>IF(Data!CI42&lt;&gt;"",Data!CI42,"")</f>
        <v>0a</v>
      </c>
      <c r="U10" s="396" t="str">
        <f>IF(Data!CJ42&lt;&gt;"",Data!CJ42,"")</f>
        <v>0a</v>
      </c>
      <c r="V10" s="396" t="str">
        <f>IF(Data!CK42&lt;&gt;"",Data!CK42,"")</f>
        <v>0a</v>
      </c>
      <c r="W10" s="396" t="str">
        <f>IF(Data!CL42&lt;&gt;"",Data!CL42,"")</f>
        <v>0a</v>
      </c>
      <c r="X10" s="396" t="str">
        <f>IF(Data!CM42&lt;&gt;"",Data!CM42,"")</f>
        <v>0a</v>
      </c>
      <c r="Y10" s="396" t="str">
        <f>IF(Data!CN42&lt;&gt;"",Data!CN42,"")</f>
        <v>0a</v>
      </c>
      <c r="Z10" s="396" t="str">
        <f>IF(Data!CO42&lt;&gt;"",Data!CO42,"")</f>
        <v>0a</v>
      </c>
      <c r="AA10" s="396" t="str">
        <f>IF(Data!CP42&lt;&gt;"",Data!CP42,"")</f>
        <v>0a</v>
      </c>
      <c r="AB10" s="396" t="str">
        <f>IF(Data!CQ42&lt;&gt;"",Data!CQ42,"")</f>
        <v>0a</v>
      </c>
      <c r="AC10" s="396" t="str">
        <f>IF(Data!CR42&lt;&gt;"",Data!CR42,"")</f>
        <v>0a</v>
      </c>
      <c r="AD10" s="396" t="str">
        <f>IF(Data!CS42&lt;&gt;"",Data!CS42,"")</f>
        <v>0a</v>
      </c>
      <c r="AE10" s="396" t="str">
        <f>IF(Data!CT42&lt;&gt;"",Data!CT42,"")</f>
        <v>0a</v>
      </c>
      <c r="AF10" s="396" t="str">
        <f>IF(Data!CU42&lt;&gt;"",Data!CU42,"")</f>
        <v>0a</v>
      </c>
      <c r="AG10" s="396" t="str">
        <f>IF(Data!CV42&lt;&gt;"",Data!CV42,"")</f>
        <v>0a</v>
      </c>
      <c r="AH10" s="396" t="str">
        <f>IF(Data!CW42&lt;&gt;"",Data!CW42,"")</f>
        <v>0a</v>
      </c>
      <c r="AI10" s="396" t="str">
        <f>IF(Data!CX42&lt;&gt;"",Data!CX42,"")</f>
        <v>0a</v>
      </c>
      <c r="AJ10" s="481" t="str">
        <f>IF(Data!CY42&lt;&gt;"",Data!CY42,"")</f>
        <v>0a</v>
      </c>
    </row>
    <row r="11" spans="1:36" ht="15.25" customHeight="1" x14ac:dyDescent="0.35">
      <c r="A11" s="1699" t="s">
        <v>18</v>
      </c>
      <c r="B11" s="482">
        <v>1</v>
      </c>
      <c r="C11" s="261" t="str">
        <f>IF(Data!$L$32=1,IF(OR(Data!$L$2=1,Data!$L$3=1),IF(OR(Data!BR46=0,Data!BR46=""),"","O"&amp;Data!BR46),IF('ARDT Cutter Entry'!$C$111&lt;&gt;"",'ARDT Cutter Entry'!C111,'ARDT Cutter Entry'!C43)),"")</f>
        <v>R1</v>
      </c>
      <c r="D11" s="262" t="str">
        <f>IF(Data!$L$32=1,IF(OR(Data!$L$2=1,Data!$L$3=1),IF(OR(Data!BS46=0,Data!BS46=""),"","O"&amp;Data!BS46),IF('ARDT Cutter Entry'!$C$111&lt;&gt;"",'ARDT Cutter Entry'!D111,'ARDT Cutter Entry'!D43)),"")</f>
        <v>R1</v>
      </c>
      <c r="E11" s="262" t="str">
        <f>IF(Data!$L$32=1,IF(OR(Data!$L$2=1,Data!$L$3=1),IF(OR(Data!BT46=0,Data!BT46=""),"","O"&amp;Data!BT46),IF('ARDT Cutter Entry'!$C$111&lt;&gt;"",'ARDT Cutter Entry'!E111,'ARDT Cutter Entry'!E43)),"")</f>
        <v>X5</v>
      </c>
      <c r="F11" s="262" t="str">
        <f>IF(Data!$L$32=1,IF(OR(Data!$L$2=1,Data!$L$3=1),IF(OR(Data!BU46=0,Data!BU46=""),"","O"&amp;Data!BU46),IF('ARDT Cutter Entry'!$C$111&lt;&gt;"",'ARDT Cutter Entry'!F111,'ARDT Cutter Entry'!F43)),"")</f>
        <v>X5</v>
      </c>
      <c r="G11" s="262" t="str">
        <f>IF(Data!$L$32=1,IF(OR(Data!$L$2=1,Data!$L$3=1),IF(OR(Data!BV46=0,Data!BV46=""),"","O"&amp;Data!BV46),IF('ARDT Cutter Entry'!$C$111&lt;&gt;"",'ARDT Cutter Entry'!G111,'ARDT Cutter Entry'!G43)),"")</f>
        <v>X5</v>
      </c>
      <c r="H11" s="262" t="str">
        <f>IF(Data!$L$32=1,IF(OR(Data!$L$2=1,Data!$L$3=1),IF(OR(Data!BW46=0,Data!BW46=""),"","O"&amp;Data!BW46),IF('ARDT Cutter Entry'!$C$111&lt;&gt;"",'ARDT Cutter Entry'!H111,'ARDT Cutter Entry'!H43)),"")</f>
        <v>X5</v>
      </c>
      <c r="I11" s="262" t="str">
        <f>IF(Data!$L$32=1,IF(OR(Data!$L$2=1,Data!$L$3=1),IF(OR(Data!BX46=0,Data!BX46=""),"","O"&amp;Data!BX46),IF('ARDT Cutter Entry'!$C$111&lt;&gt;"",'ARDT Cutter Entry'!I111,'ARDT Cutter Entry'!I43)),"")</f>
        <v>R1</v>
      </c>
      <c r="J11" s="262" t="str">
        <f>IF(Data!$L$32=1,IF(OR(Data!$L$2=1,Data!$L$3=1),IF(OR(Data!BY46=0,Data!BY46=""),"","O"&amp;Data!BY46),IF('ARDT Cutter Entry'!$C$111&lt;&gt;"",'ARDT Cutter Entry'!J111,'ARDT Cutter Entry'!J43)),"")</f>
        <v>X3</v>
      </c>
      <c r="K11" s="262" t="str">
        <f>IF(Data!$L$32=1,IF(OR(Data!$L$2=1,Data!$L$3=1),IF(OR(Data!BZ46=0,Data!BZ46=""),"","O"&amp;Data!BZ46),IF('ARDT Cutter Entry'!$C$111&lt;&gt;"",'ARDT Cutter Entry'!K111,'ARDT Cutter Entry'!K43)),"")</f>
        <v/>
      </c>
      <c r="L11" s="262" t="str">
        <f>IF(Data!$L$32=1,IF(OR(Data!$L$2=1,Data!$L$3=1),IF(OR(Data!CA46=0,Data!CA46=""),"","O"&amp;Data!CA46),IF('ARDT Cutter Entry'!$C$111&lt;&gt;"",'ARDT Cutter Entry'!L111,'ARDT Cutter Entry'!L43)),"")</f>
        <v>S2</v>
      </c>
      <c r="M11" s="262" t="str">
        <f>IF(Data!$L$32=1,IF(OR(Data!$L$2=1,Data!$L$3=1),IF(OR(Data!CB46=0,Data!CB46=""),"","O"&amp;Data!CB46),IF('ARDT Cutter Entry'!$C$111&lt;&gt;"",'ARDT Cutter Entry'!M111,'ARDT Cutter Entry'!M43)),"")</f>
        <v>X4</v>
      </c>
      <c r="N11" s="262" t="str">
        <f>IF(Data!$L$32=1,IF(OR(Data!$L$2=1,Data!$L$3=1),IF(OR(Data!CC46=0,Data!CC46=""),"","O"&amp;Data!CC46),IF('ARDT Cutter Entry'!$C$111&lt;&gt;"",'ARDT Cutter Entry'!N111,'ARDT Cutter Entry'!N43)),"")</f>
        <v>X4</v>
      </c>
      <c r="O11" s="262" t="str">
        <f>IF(Data!$L$32=1,IF(OR(Data!$L$2=1,Data!$L$3=1),IF(OR(Data!CD46=0,Data!CD46=""),"","O"&amp;Data!CD46),IF('ARDT Cutter Entry'!$C$111&lt;&gt;"",'ARDT Cutter Entry'!O111,'ARDT Cutter Entry'!O43)),"")</f>
        <v>R2</v>
      </c>
      <c r="P11" s="262" t="str">
        <f>IF(Data!$L$32=1,IF(OR(Data!$L$2=1,Data!$L$3=1),IF(OR(Data!CE46=0,Data!CE46=""),"","O"&amp;Data!CE46),IF('ARDT Cutter Entry'!$C$111&lt;&gt;"",'ARDT Cutter Entry'!P111,'ARDT Cutter Entry'!P43)),"")</f>
        <v/>
      </c>
      <c r="Q11" s="262" t="str">
        <f>IF(Data!$L$32=1,IF(OR(Data!$L$2=1,Data!$L$3=1),IF(OR(Data!CF46=0,Data!CF46=""),"","O"&amp;Data!CF46),IF('ARDT Cutter Entry'!$C$111&lt;&gt;"",'ARDT Cutter Entry'!Q111,'ARDT Cutter Entry'!Q43)),"")</f>
        <v/>
      </c>
      <c r="R11" s="262" t="str">
        <f>IF(Data!$L$32=1,IF(OR(Data!$L$2=1,Data!$L$3=1),IF(OR(Data!CG46=0,Data!CG46=""),"","O"&amp;Data!CG46),IF('ARDT Cutter Entry'!$C$111&lt;&gt;"",'ARDT Cutter Entry'!R111,'ARDT Cutter Entry'!R43)),"")</f>
        <v/>
      </c>
      <c r="S11" s="262" t="str">
        <f>IF(Data!$L$32=1,IF(OR(Data!$L$2=1,Data!$L$3=1),IF(OR(Data!CH46=0,Data!CH46=""),"","O"&amp;Data!CH46),IF('ARDT Cutter Entry'!$C$111&lt;&gt;"",'ARDT Cutter Entry'!S111,'ARDT Cutter Entry'!S43)),"")</f>
        <v/>
      </c>
      <c r="T11" s="262" t="str">
        <f>IF(Data!$L$32=1,IF(OR(Data!$L$2=1,Data!$L$3=1),IF(OR(Data!CI46=0,Data!CI46=""),"","O"&amp;Data!CI46),IF('ARDT Cutter Entry'!$C$111&lt;&gt;"",'ARDT Cutter Entry'!T111,'ARDT Cutter Entry'!T43)),"")</f>
        <v/>
      </c>
      <c r="U11" s="262" t="str">
        <f>IF(Data!$L$32=1,IF(OR(Data!$L$2=1,Data!$L$3=1),IF(OR(Data!CJ46=0,Data!CJ46=""),"","O"&amp;Data!CJ46),IF('ARDT Cutter Entry'!$C$111&lt;&gt;"",'ARDT Cutter Entry'!U111,'ARDT Cutter Entry'!U43)),"")</f>
        <v/>
      </c>
      <c r="V11" s="262" t="str">
        <f>IF(Data!$L$32=1,IF(OR(Data!$L$2=1,Data!$L$3=1),IF(OR(Data!CK46=0,Data!CK46=""),"","O"&amp;Data!CK46),IF('ARDT Cutter Entry'!$C$111&lt;&gt;"",'ARDT Cutter Entry'!V111,'ARDT Cutter Entry'!V43)),"")</f>
        <v/>
      </c>
      <c r="W11" s="262" t="str">
        <f>IF(Data!$L$32=1,IF(OR(Data!$L$2=1,Data!$L$3=1),IF(OR(Data!CL46=0,Data!CL46=""),"","O"&amp;Data!CL46),IF('ARDT Cutter Entry'!$C$111&lt;&gt;"",'ARDT Cutter Entry'!W111,'ARDT Cutter Entry'!W43)),"")</f>
        <v/>
      </c>
      <c r="X11" s="262" t="str">
        <f>IF(Data!$L$32=1,IF(OR(Data!$L$2=1,Data!$L$3=1),IF(OR(Data!CM46=0,Data!CM46=""),"","O"&amp;Data!CM46),IF('ARDT Cutter Entry'!$C$111&lt;&gt;"",'ARDT Cutter Entry'!X111,'ARDT Cutter Entry'!X43)),"")</f>
        <v/>
      </c>
      <c r="Y11" s="262" t="str">
        <f>IF(Data!$L$32=1,IF(OR(Data!$L$2=1,Data!$L$3=1),IF(OR(Data!CN46=0,Data!CN46=""),"","O"&amp;Data!CN46),IF('ARDT Cutter Entry'!$C$111&lt;&gt;"",'ARDT Cutter Entry'!Y111,'ARDT Cutter Entry'!Y43)),"")</f>
        <v/>
      </c>
      <c r="Z11" s="262" t="str">
        <f>IF(Data!$L$32=1,IF(OR(Data!$L$2=1,Data!$L$3=1),IF(OR(Data!CO46=0,Data!CO46=""),"","O"&amp;Data!CO46),IF('ARDT Cutter Entry'!$C$111&lt;&gt;"",'ARDT Cutter Entry'!Z111,'ARDT Cutter Entry'!Z43)),"")</f>
        <v/>
      </c>
      <c r="AA11" s="262" t="str">
        <f>IF(Data!$L$32=1,IF(OR(Data!$L$2=1,Data!$L$3=1),IF(OR(Data!CP46=0,Data!CP46=""),"","O"&amp;Data!CP46),IF('ARDT Cutter Entry'!$C$111&lt;&gt;"",'ARDT Cutter Entry'!AA111,'ARDT Cutter Entry'!AA43)),"")</f>
        <v/>
      </c>
      <c r="AB11" s="262" t="str">
        <f>IF(Data!$L$32=1,IF(OR(Data!$L$2=1,Data!$L$3=1),IF(OR(Data!CQ46=0,Data!CQ46=""),"","O"&amp;Data!CQ46),IF('ARDT Cutter Entry'!$C$111&lt;&gt;"",'ARDT Cutter Entry'!AB111,'ARDT Cutter Entry'!AB43)),"")</f>
        <v/>
      </c>
      <c r="AC11" s="262" t="str">
        <f>IF(Data!$L$32=1,IF(OR(Data!$L$2=1,Data!$L$3=1),IF(OR(Data!CR46=0,Data!CR46=""),"","O"&amp;Data!CR46),IF('ARDT Cutter Entry'!$C$111&lt;&gt;"",'ARDT Cutter Entry'!AC111,'ARDT Cutter Entry'!AC43)),"")</f>
        <v/>
      </c>
      <c r="AD11" s="262" t="str">
        <f>IF(Data!$L$32=1,IF(OR(Data!$L$2=1,Data!$L$3=1),IF(OR(Data!CS46=0,Data!CS46=""),"","O"&amp;Data!CS46),IF('ARDT Cutter Entry'!$C$111&lt;&gt;"",'ARDT Cutter Entry'!AD111,'ARDT Cutter Entry'!AD43)),"")</f>
        <v/>
      </c>
      <c r="AE11" s="262" t="str">
        <f>IF(Data!$L$32=1,IF(OR(Data!$L$2=1,Data!$L$3=1),IF(OR(Data!CT46=0,Data!CT46=""),"","O"&amp;Data!CT46),IF('ARDT Cutter Entry'!$C$111&lt;&gt;"",'ARDT Cutter Entry'!AE111,'ARDT Cutter Entry'!AE43)),"")</f>
        <v/>
      </c>
      <c r="AF11" s="262" t="str">
        <f>IF(Data!$L$32=1,IF(OR(Data!$L$2=1,Data!$L$3=1),IF(OR(Data!CU46=0,Data!CU46=""),"","O"&amp;Data!CU46),IF('ARDT Cutter Entry'!$C$111&lt;&gt;"",'ARDT Cutter Entry'!AF111,'ARDT Cutter Entry'!AF43)),"")</f>
        <v/>
      </c>
      <c r="AG11" s="262" t="str">
        <f>IF(Data!$L$32=1,IF(OR(Data!$L$2=1,Data!$L$3=1),IF(OR(Data!CV46=0,Data!CV46=""),"","O"&amp;Data!CV46),IF('ARDT Cutter Entry'!$C$111&lt;&gt;"",'ARDT Cutter Entry'!AG111,'ARDT Cutter Entry'!AG43)),"")</f>
        <v/>
      </c>
      <c r="AH11" s="262" t="str">
        <f>IF(Data!$L$32=1,IF(OR(Data!$L$2=1,Data!$L$3=1),IF(OR(Data!CW46=0,Data!CW46=""),"","O"&amp;Data!CW46),IF('ARDT Cutter Entry'!$C$111&lt;&gt;"",'ARDT Cutter Entry'!AH111,'ARDT Cutter Entry'!AH43)),"")</f>
        <v/>
      </c>
      <c r="AI11" s="262" t="str">
        <f>IF(Data!$L$32=1,IF(OR(Data!$L$2=1,Data!$L$3=1),IF(OR(Data!CX46=0,Data!CX46=""),"","O"&amp;Data!CX46),IF('ARDT Cutter Entry'!$C$111&lt;&gt;"",'ARDT Cutter Entry'!AI111,'ARDT Cutter Entry'!AI43)),"")</f>
        <v/>
      </c>
      <c r="AJ11" s="262" t="str">
        <f>IF(Data!$L$32=1,IF(OR(Data!$L$2=1,Data!$L$3=1),IF(OR(Data!CY46=0,Data!CY46=""),"","O"&amp;Data!CY46),IF('ARDT Cutter Entry'!$C$111&lt;&gt;"",'ARDT Cutter Entry'!AJ111,'ARDT Cutter Entry'!AJ43)),"")</f>
        <v/>
      </c>
    </row>
    <row r="12" spans="1:36" ht="15.25" customHeight="1" x14ac:dyDescent="0.35">
      <c r="A12" s="1700"/>
      <c r="B12" s="396">
        <v>2</v>
      </c>
      <c r="C12" s="233" t="str">
        <f>IF(Data!$L$32=1,IF(OR(Data!$L$2=1,Data!$L$3=1),IF(OR(Data!BR47=0,Data!BR47=""),"","O"&amp;Data!BR47),IF('ARDT Cutter Entry'!$C$111&lt;&gt;"",'ARDT Cutter Entry'!C112,'ARDT Cutter Entry'!C44)),"")</f>
        <v>X5</v>
      </c>
      <c r="D12" s="167" t="str">
        <f>IF(Data!$L$32=1,IF(OR(Data!$L$2=1,Data!$L$3=1),IF(OR(Data!BS47=0,Data!BS47=""),"","O"&amp;Data!BS47),IF('ARDT Cutter Entry'!$C$111&lt;&gt;"",'ARDT Cutter Entry'!D112,'ARDT Cutter Entry'!D44)),"")</f>
        <v>X5</v>
      </c>
      <c r="E12" s="167" t="str">
        <f>IF(Data!$L$32=1,IF(OR(Data!$L$2=1,Data!$L$3=1),IF(OR(Data!BT47=0,Data!BT47=""),"","O"&amp;Data!BT47),IF('ARDT Cutter Entry'!$C$111&lt;&gt;"",'ARDT Cutter Entry'!E112,'ARDT Cutter Entry'!E44)),"")</f>
        <v>X5</v>
      </c>
      <c r="F12" s="167" t="str">
        <f>IF(Data!$L$32=1,IF(OR(Data!$L$2=1,Data!$L$3=1),IF(OR(Data!BU47=0,Data!BU47=""),"","O"&amp;Data!BU47),IF('ARDT Cutter Entry'!$C$111&lt;&gt;"",'ARDT Cutter Entry'!F112,'ARDT Cutter Entry'!F44)),"")</f>
        <v>R1</v>
      </c>
      <c r="G12" s="167" t="str">
        <f>IF(Data!$L$32=1,IF(OR(Data!$L$2=1,Data!$L$3=1),IF(OR(Data!BV47=0,Data!BV47=""),"","O"&amp;Data!BV47),IF('ARDT Cutter Entry'!$C$111&lt;&gt;"",'ARDT Cutter Entry'!G112,'ARDT Cutter Entry'!G44)),"")</f>
        <v>X3</v>
      </c>
      <c r="H12" s="167" t="str">
        <f>IF(Data!$L$32=1,IF(OR(Data!$L$2=1,Data!$L$3=1),IF(OR(Data!BW47=0,Data!BW47=""),"","O"&amp;Data!BW47),IF('ARDT Cutter Entry'!$C$111&lt;&gt;"",'ARDT Cutter Entry'!H112,'ARDT Cutter Entry'!H44)),"")</f>
        <v/>
      </c>
      <c r="I12" s="167" t="str">
        <f>IF(Data!$L$32=1,IF(OR(Data!$L$2=1,Data!$L$3=1),IF(OR(Data!BX47=0,Data!BX47=""),"","O"&amp;Data!BX47),IF('ARDT Cutter Entry'!$C$111&lt;&gt;"",'ARDT Cutter Entry'!I112,'ARDT Cutter Entry'!I44)),"")</f>
        <v/>
      </c>
      <c r="J12" s="167" t="str">
        <f>IF(Data!$L$32=1,IF(OR(Data!$L$2=1,Data!$L$3=1),IF(OR(Data!BY47=0,Data!BY47=""),"","O"&amp;Data!BY47),IF('ARDT Cutter Entry'!$C$111&lt;&gt;"",'ARDT Cutter Entry'!J112,'ARDT Cutter Entry'!J44)),"")</f>
        <v/>
      </c>
      <c r="K12" s="167" t="str">
        <f>IF(Data!$L$32=1,IF(OR(Data!$L$2=1,Data!$L$3=1),IF(OR(Data!BZ47=0,Data!BZ47=""),"","O"&amp;Data!BZ47),IF('ARDT Cutter Entry'!$C$111&lt;&gt;"",'ARDT Cutter Entry'!K112,'ARDT Cutter Entry'!K44)),"")</f>
        <v/>
      </c>
      <c r="L12" s="167" t="str">
        <f>IF(Data!$L$32=1,IF(OR(Data!$L$2=1,Data!$L$3=1),IF(OR(Data!CA47=0,Data!CA47=""),"","O"&amp;Data!CA47),IF('ARDT Cutter Entry'!$C$111&lt;&gt;"",'ARDT Cutter Entry'!L112,'ARDT Cutter Entry'!L44)),"")</f>
        <v>S2</v>
      </c>
      <c r="M12" s="167" t="str">
        <f>IF(Data!$L$32=1,IF(OR(Data!$L$2=1,Data!$L$3=1),IF(OR(Data!CB47=0,Data!CB47=""),"","O"&amp;Data!CB47),IF('ARDT Cutter Entry'!$C$111&lt;&gt;"",'ARDT Cutter Entry'!M112,'ARDT Cutter Entry'!M44)),"")</f>
        <v>R2</v>
      </c>
      <c r="N12" s="167" t="str">
        <f>IF(Data!$L$32=1,IF(OR(Data!$L$2=1,Data!$L$3=1),IF(OR(Data!CC47=0,Data!CC47=""),"","O"&amp;Data!CC47),IF('ARDT Cutter Entry'!$C$111&lt;&gt;"",'ARDT Cutter Entry'!N112,'ARDT Cutter Entry'!N44)),"")</f>
        <v>X4</v>
      </c>
      <c r="O12" s="167" t="str">
        <f>IF(Data!$L$32=1,IF(OR(Data!$L$2=1,Data!$L$3=1),IF(OR(Data!CD47=0,Data!CD47=""),"","O"&amp;Data!CD47),IF('ARDT Cutter Entry'!$C$111&lt;&gt;"",'ARDT Cutter Entry'!O112,'ARDT Cutter Entry'!O44)),"")</f>
        <v>R2</v>
      </c>
      <c r="P12" s="167" t="str">
        <f>IF(Data!$L$32=1,IF(OR(Data!$L$2=1,Data!$L$3=1),IF(OR(Data!CE47=0,Data!CE47=""),"","O"&amp;Data!CE47),IF('ARDT Cutter Entry'!$C$111&lt;&gt;"",'ARDT Cutter Entry'!P112,'ARDT Cutter Entry'!P44)),"")</f>
        <v/>
      </c>
      <c r="Q12" s="167" t="str">
        <f>IF(Data!$L$32=1,IF(OR(Data!$L$2=1,Data!$L$3=1),IF(OR(Data!CF47=0,Data!CF47=""),"","O"&amp;Data!CF47),IF('ARDT Cutter Entry'!$C$111&lt;&gt;"",'ARDT Cutter Entry'!Q112,'ARDT Cutter Entry'!Q44)),"")</f>
        <v/>
      </c>
      <c r="R12" s="167" t="str">
        <f>IF(Data!$L$32=1,IF(OR(Data!$L$2=1,Data!$L$3=1),IF(OR(Data!CG47=0,Data!CG47=""),"","O"&amp;Data!CG47),IF('ARDT Cutter Entry'!$C$111&lt;&gt;"",'ARDT Cutter Entry'!R112,'ARDT Cutter Entry'!R44)),"")</f>
        <v/>
      </c>
      <c r="S12" s="167" t="str">
        <f>IF(Data!$L$32=1,IF(OR(Data!$L$2=1,Data!$L$3=1),IF(OR(Data!CH47=0,Data!CH47=""),"","O"&amp;Data!CH47),IF('ARDT Cutter Entry'!$C$111&lt;&gt;"",'ARDT Cutter Entry'!S112,'ARDT Cutter Entry'!S44)),"")</f>
        <v/>
      </c>
      <c r="T12" s="167" t="str">
        <f>IF(Data!$L$32=1,IF(OR(Data!$L$2=1,Data!$L$3=1),IF(OR(Data!CI47=0,Data!CI47=""),"","O"&amp;Data!CI47),IF('ARDT Cutter Entry'!$C$111&lt;&gt;"",'ARDT Cutter Entry'!T112,'ARDT Cutter Entry'!T44)),"")</f>
        <v/>
      </c>
      <c r="U12" s="167" t="str">
        <f>IF(Data!$L$32=1,IF(OR(Data!$L$2=1,Data!$L$3=1),IF(OR(Data!CJ47=0,Data!CJ47=""),"","O"&amp;Data!CJ47),IF('ARDT Cutter Entry'!$C$111&lt;&gt;"",'ARDT Cutter Entry'!U112,'ARDT Cutter Entry'!U44)),"")</f>
        <v/>
      </c>
      <c r="V12" s="167" t="str">
        <f>IF(Data!$L$32=1,IF(OR(Data!$L$2=1,Data!$L$3=1),IF(OR(Data!CK47=0,Data!CK47=""),"","O"&amp;Data!CK47),IF('ARDT Cutter Entry'!$C$111&lt;&gt;"",'ARDT Cutter Entry'!V112,'ARDT Cutter Entry'!V44)),"")</f>
        <v/>
      </c>
      <c r="W12" s="167" t="str">
        <f>IF(Data!$L$32=1,IF(OR(Data!$L$2=1,Data!$L$3=1),IF(OR(Data!CL47=0,Data!CL47=""),"","O"&amp;Data!CL47),IF('ARDT Cutter Entry'!$C$111&lt;&gt;"",'ARDT Cutter Entry'!W112,'ARDT Cutter Entry'!W44)),"")</f>
        <v/>
      </c>
      <c r="X12" s="167" t="str">
        <f>IF(Data!$L$32=1,IF(OR(Data!$L$2=1,Data!$L$3=1),IF(OR(Data!CM47=0,Data!CM47=""),"","O"&amp;Data!CM47),IF('ARDT Cutter Entry'!$C$111&lt;&gt;"",'ARDT Cutter Entry'!X112,'ARDT Cutter Entry'!X44)),"")</f>
        <v/>
      </c>
      <c r="Y12" s="167" t="str">
        <f>IF(Data!$L$32=1,IF(OR(Data!$L$2=1,Data!$L$3=1),IF(OR(Data!CN47=0,Data!CN47=""),"","O"&amp;Data!CN47),IF('ARDT Cutter Entry'!$C$111&lt;&gt;"",'ARDT Cutter Entry'!Y112,'ARDT Cutter Entry'!Y44)),"")</f>
        <v/>
      </c>
      <c r="Z12" s="167" t="str">
        <f>IF(Data!$L$32=1,IF(OR(Data!$L$2=1,Data!$L$3=1),IF(OR(Data!CO47=0,Data!CO47=""),"","O"&amp;Data!CO47),IF('ARDT Cutter Entry'!$C$111&lt;&gt;"",'ARDT Cutter Entry'!Z112,'ARDT Cutter Entry'!Z44)),"")</f>
        <v/>
      </c>
      <c r="AA12" s="167" t="str">
        <f>IF(Data!$L$32=1,IF(OR(Data!$L$2=1,Data!$L$3=1),IF(OR(Data!CP47=0,Data!CP47=""),"","O"&amp;Data!CP47),IF('ARDT Cutter Entry'!$C$111&lt;&gt;"",'ARDT Cutter Entry'!AA112,'ARDT Cutter Entry'!AA44)),"")</f>
        <v/>
      </c>
      <c r="AB12" s="167" t="str">
        <f>IF(Data!$L$32=1,IF(OR(Data!$L$2=1,Data!$L$3=1),IF(OR(Data!CQ47=0,Data!CQ47=""),"","O"&amp;Data!CQ47),IF('ARDT Cutter Entry'!$C$111&lt;&gt;"",'ARDT Cutter Entry'!AB112,'ARDT Cutter Entry'!AB44)),"")</f>
        <v/>
      </c>
      <c r="AC12" s="167" t="str">
        <f>IF(Data!$L$32=1,IF(OR(Data!$L$2=1,Data!$L$3=1),IF(OR(Data!CR47=0,Data!CR47=""),"","O"&amp;Data!CR47),IF('ARDT Cutter Entry'!$C$111&lt;&gt;"",'ARDT Cutter Entry'!AC112,'ARDT Cutter Entry'!AC44)),"")</f>
        <v/>
      </c>
      <c r="AD12" s="167" t="str">
        <f>IF(Data!$L$32=1,IF(OR(Data!$L$2=1,Data!$L$3=1),IF(OR(Data!CS47=0,Data!CS47=""),"","O"&amp;Data!CS47),IF('ARDT Cutter Entry'!$C$111&lt;&gt;"",'ARDT Cutter Entry'!AD112,'ARDT Cutter Entry'!AD44)),"")</f>
        <v/>
      </c>
      <c r="AE12" s="167" t="str">
        <f>IF(Data!$L$32=1,IF(OR(Data!$L$2=1,Data!$L$3=1),IF(OR(Data!CT47=0,Data!CT47=""),"","O"&amp;Data!CT47),IF('ARDT Cutter Entry'!$C$111&lt;&gt;"",'ARDT Cutter Entry'!AE112,'ARDT Cutter Entry'!AE44)),"")</f>
        <v/>
      </c>
      <c r="AF12" s="167" t="str">
        <f>IF(Data!$L$32=1,IF(OR(Data!$L$2=1,Data!$L$3=1),IF(OR(Data!CU47=0,Data!CU47=""),"","O"&amp;Data!CU47),IF('ARDT Cutter Entry'!$C$111&lt;&gt;"",'ARDT Cutter Entry'!AF112,'ARDT Cutter Entry'!AF44)),"")</f>
        <v/>
      </c>
      <c r="AG12" s="167" t="str">
        <f>IF(Data!$L$32=1,IF(OR(Data!$L$2=1,Data!$L$3=1),IF(OR(Data!CV47=0,Data!CV47=""),"","O"&amp;Data!CV47),IF('ARDT Cutter Entry'!$C$111&lt;&gt;"",'ARDT Cutter Entry'!AG112,'ARDT Cutter Entry'!AG44)),"")</f>
        <v/>
      </c>
      <c r="AH12" s="167" t="str">
        <f>IF(Data!$L$32=1,IF(OR(Data!$L$2=1,Data!$L$3=1),IF(OR(Data!CW47=0,Data!CW47=""),"","O"&amp;Data!CW47),IF('ARDT Cutter Entry'!$C$111&lt;&gt;"",'ARDT Cutter Entry'!AH112,'ARDT Cutter Entry'!AH44)),"")</f>
        <v/>
      </c>
      <c r="AI12" s="167" t="str">
        <f>IF(Data!$L$32=1,IF(OR(Data!$L$2=1,Data!$L$3=1),IF(OR(Data!CX47=0,Data!CX47=""),"","O"&amp;Data!CX47),IF('ARDT Cutter Entry'!$C$111&lt;&gt;"",'ARDT Cutter Entry'!AI112,'ARDT Cutter Entry'!AI44)),"")</f>
        <v/>
      </c>
      <c r="AJ12" s="167" t="str">
        <f>IF(Data!$L$32=1,IF(OR(Data!$L$2=1,Data!$L$3=1),IF(OR(Data!CY47=0,Data!CY47=""),"","O"&amp;Data!CY47),IF('ARDT Cutter Entry'!$C$111&lt;&gt;"",'ARDT Cutter Entry'!AJ112,'ARDT Cutter Entry'!AJ44)),"")</f>
        <v/>
      </c>
    </row>
    <row r="13" spans="1:36" ht="15.25" customHeight="1" x14ac:dyDescent="0.35">
      <c r="A13" s="1700"/>
      <c r="B13" s="396">
        <v>3</v>
      </c>
      <c r="C13" s="233" t="str">
        <f>IF(Data!$L$32=1,IF(OR(Data!$L$2=1,Data!$L$3=1),IF(OR(Data!BR48=0,Data!BR48=""),"","O"&amp;Data!BR48),IF('ARDT Cutter Entry'!$C$111&lt;&gt;"",'ARDT Cutter Entry'!C113,'ARDT Cutter Entry'!C45)),"")</f>
        <v>R1</v>
      </c>
      <c r="D13" s="167" t="str">
        <f>IF(Data!$L$32=1,IF(OR(Data!$L$2=1,Data!$L$3=1),IF(OR(Data!BS48=0,Data!BS48=""),"","O"&amp;Data!BS48),IF('ARDT Cutter Entry'!$C$111&lt;&gt;"",'ARDT Cutter Entry'!D113,'ARDT Cutter Entry'!D45)),"")</f>
        <v>R1</v>
      </c>
      <c r="E13" s="167" t="str">
        <f>IF(Data!$L$32=1,IF(OR(Data!$L$2=1,Data!$L$3=1),IF(OR(Data!BT48=0,Data!BT48=""),"","O"&amp;Data!BT48),IF('ARDT Cutter Entry'!$C$111&lt;&gt;"",'ARDT Cutter Entry'!E113,'ARDT Cutter Entry'!E45)),"")</f>
        <v>R1</v>
      </c>
      <c r="F13" s="167" t="str">
        <f>IF(Data!$L$32=1,IF(OR(Data!$L$2=1,Data!$L$3=1),IF(OR(Data!BU48=0,Data!BU48=""),"","O"&amp;Data!BU48),IF('ARDT Cutter Entry'!$C$111&lt;&gt;"",'ARDT Cutter Entry'!F113,'ARDT Cutter Entry'!F45)),"")</f>
        <v>X5</v>
      </c>
      <c r="G13" s="167" t="str">
        <f>IF(Data!$L$32=1,IF(OR(Data!$L$2=1,Data!$L$3=1),IF(OR(Data!BV48=0,Data!BV48=""),"","O"&amp;Data!BV48),IF('ARDT Cutter Entry'!$C$111&lt;&gt;"",'ARDT Cutter Entry'!G113,'ARDT Cutter Entry'!G45)),"")</f>
        <v>X5</v>
      </c>
      <c r="H13" s="167" t="str">
        <f>IF(Data!$L$32=1,IF(OR(Data!$L$2=1,Data!$L$3=1),IF(OR(Data!BW48=0,Data!BW48=""),"","O"&amp;Data!BW48),IF('ARDT Cutter Entry'!$C$111&lt;&gt;"",'ARDT Cutter Entry'!H113,'ARDT Cutter Entry'!H45)),"")</f>
        <v>X5</v>
      </c>
      <c r="I13" s="167" t="str">
        <f>IF(Data!$L$32=1,IF(OR(Data!$L$2=1,Data!$L$3=1),IF(OR(Data!BX48=0,Data!BX48=""),"","O"&amp;Data!BX48),IF('ARDT Cutter Entry'!$C$111&lt;&gt;"",'ARDT Cutter Entry'!I113,'ARDT Cutter Entry'!I45)),"")</f>
        <v>X3</v>
      </c>
      <c r="J13" s="167" t="str">
        <f>IF(Data!$L$32=1,IF(OR(Data!$L$2=1,Data!$L$3=1),IF(OR(Data!BY48=0,Data!BY48=""),"","O"&amp;Data!BY48),IF('ARDT Cutter Entry'!$C$111&lt;&gt;"",'ARDT Cutter Entry'!J113,'ARDT Cutter Entry'!J45)),"")</f>
        <v/>
      </c>
      <c r="K13" s="167" t="str">
        <f>IF(Data!$L$32=1,IF(OR(Data!$L$2=1,Data!$L$3=1),IF(OR(Data!BZ48=0,Data!BZ48=""),"","O"&amp;Data!BZ48),IF('ARDT Cutter Entry'!$C$111&lt;&gt;"",'ARDT Cutter Entry'!K113,'ARDT Cutter Entry'!K45)),"")</f>
        <v/>
      </c>
      <c r="L13" s="167" t="str">
        <f>IF(Data!$L$32=1,IF(OR(Data!$L$2=1,Data!$L$3=1),IF(OR(Data!CA48=0,Data!CA48=""),"","O"&amp;Data!CA48),IF('ARDT Cutter Entry'!$C$111&lt;&gt;"",'ARDT Cutter Entry'!L113,'ARDT Cutter Entry'!L45)),"")</f>
        <v>R2</v>
      </c>
      <c r="M13" s="167" t="str">
        <f>IF(Data!$L$32=1,IF(OR(Data!$L$2=1,Data!$L$3=1),IF(OR(Data!CB48=0,Data!CB48=""),"","O"&amp;Data!CB48),IF('ARDT Cutter Entry'!$C$111&lt;&gt;"",'ARDT Cutter Entry'!M113,'ARDT Cutter Entry'!M45)),"")</f>
        <v>X4</v>
      </c>
      <c r="N13" s="167" t="str">
        <f>IF(Data!$L$32=1,IF(OR(Data!$L$2=1,Data!$L$3=1),IF(OR(Data!CC48=0,Data!CC48=""),"","O"&amp;Data!CC48),IF('ARDT Cutter Entry'!$C$111&lt;&gt;"",'ARDT Cutter Entry'!N113,'ARDT Cutter Entry'!N45)),"")</f>
        <v>X4</v>
      </c>
      <c r="O13" s="167" t="str">
        <f>IF(Data!$L$32=1,IF(OR(Data!$L$2=1,Data!$L$3=1),IF(OR(Data!CD48=0,Data!CD48=""),"","O"&amp;Data!CD48),IF('ARDT Cutter Entry'!$C$111&lt;&gt;"",'ARDT Cutter Entry'!O113,'ARDT Cutter Entry'!O45)),"")</f>
        <v/>
      </c>
      <c r="P13" s="167" t="str">
        <f>IF(Data!$L$32=1,IF(OR(Data!$L$2=1,Data!$L$3=1),IF(OR(Data!CE48=0,Data!CE48=""),"","O"&amp;Data!CE48),IF('ARDT Cutter Entry'!$C$111&lt;&gt;"",'ARDT Cutter Entry'!P113,'ARDT Cutter Entry'!P45)),"")</f>
        <v/>
      </c>
      <c r="Q13" s="167" t="str">
        <f>IF(Data!$L$32=1,IF(OR(Data!$L$2=1,Data!$L$3=1),IF(OR(Data!CF48=0,Data!CF48=""),"","O"&amp;Data!CF48),IF('ARDT Cutter Entry'!$C$111&lt;&gt;"",'ARDT Cutter Entry'!Q113,'ARDT Cutter Entry'!Q45)),"")</f>
        <v/>
      </c>
      <c r="R13" s="167" t="str">
        <f>IF(Data!$L$32=1,IF(OR(Data!$L$2=1,Data!$L$3=1),IF(OR(Data!CG48=0,Data!CG48=""),"","O"&amp;Data!CG48),IF('ARDT Cutter Entry'!$C$111&lt;&gt;"",'ARDT Cutter Entry'!R113,'ARDT Cutter Entry'!R45)),"")</f>
        <v/>
      </c>
      <c r="S13" s="167" t="str">
        <f>IF(Data!$L$32=1,IF(OR(Data!$L$2=1,Data!$L$3=1),IF(OR(Data!CH48=0,Data!CH48=""),"","O"&amp;Data!CH48),IF('ARDT Cutter Entry'!$C$111&lt;&gt;"",'ARDT Cutter Entry'!S113,'ARDT Cutter Entry'!S45)),"")</f>
        <v/>
      </c>
      <c r="T13" s="167" t="str">
        <f>IF(Data!$L$32=1,IF(OR(Data!$L$2=1,Data!$L$3=1),IF(OR(Data!CI48=0,Data!CI48=""),"","O"&amp;Data!CI48),IF('ARDT Cutter Entry'!$C$111&lt;&gt;"",'ARDT Cutter Entry'!T113,'ARDT Cutter Entry'!T45)),"")</f>
        <v/>
      </c>
      <c r="U13" s="167" t="str">
        <f>IF(Data!$L$32=1,IF(OR(Data!$L$2=1,Data!$L$3=1),IF(OR(Data!CJ48=0,Data!CJ48=""),"","O"&amp;Data!CJ48),IF('ARDT Cutter Entry'!$C$111&lt;&gt;"",'ARDT Cutter Entry'!U113,'ARDT Cutter Entry'!U45)),"")</f>
        <v/>
      </c>
      <c r="V13" s="167" t="str">
        <f>IF(Data!$L$32=1,IF(OR(Data!$L$2=1,Data!$L$3=1),IF(OR(Data!CK48=0,Data!CK48=""),"","O"&amp;Data!CK48),IF('ARDT Cutter Entry'!$C$111&lt;&gt;"",'ARDT Cutter Entry'!V113,'ARDT Cutter Entry'!V45)),"")</f>
        <v/>
      </c>
      <c r="W13" s="167" t="str">
        <f>IF(Data!$L$32=1,IF(OR(Data!$L$2=1,Data!$L$3=1),IF(OR(Data!CL48=0,Data!CL48=""),"","O"&amp;Data!CL48),IF('ARDT Cutter Entry'!$C$111&lt;&gt;"",'ARDT Cutter Entry'!W113,'ARDT Cutter Entry'!W45)),"")</f>
        <v/>
      </c>
      <c r="X13" s="167" t="str">
        <f>IF(Data!$L$32=1,IF(OR(Data!$L$2=1,Data!$L$3=1),IF(OR(Data!CM48=0,Data!CM48=""),"","O"&amp;Data!CM48),IF('ARDT Cutter Entry'!$C$111&lt;&gt;"",'ARDT Cutter Entry'!X113,'ARDT Cutter Entry'!X45)),"")</f>
        <v/>
      </c>
      <c r="Y13" s="167" t="str">
        <f>IF(Data!$L$32=1,IF(OR(Data!$L$2=1,Data!$L$3=1),IF(OR(Data!CN48=0,Data!CN48=""),"","O"&amp;Data!CN48),IF('ARDT Cutter Entry'!$C$111&lt;&gt;"",'ARDT Cutter Entry'!Y113,'ARDT Cutter Entry'!Y45)),"")</f>
        <v/>
      </c>
      <c r="Z13" s="167" t="str">
        <f>IF(Data!$L$32=1,IF(OR(Data!$L$2=1,Data!$L$3=1),IF(OR(Data!CO48=0,Data!CO48=""),"","O"&amp;Data!CO48),IF('ARDT Cutter Entry'!$C$111&lt;&gt;"",'ARDT Cutter Entry'!Z113,'ARDT Cutter Entry'!Z45)),"")</f>
        <v/>
      </c>
      <c r="AA13" s="167" t="str">
        <f>IF(Data!$L$32=1,IF(OR(Data!$L$2=1,Data!$L$3=1),IF(OR(Data!CP48=0,Data!CP48=""),"","O"&amp;Data!CP48),IF('ARDT Cutter Entry'!$C$111&lt;&gt;"",'ARDT Cutter Entry'!AA113,'ARDT Cutter Entry'!AA45)),"")</f>
        <v/>
      </c>
      <c r="AB13" s="167" t="str">
        <f>IF(Data!$L$32=1,IF(OR(Data!$L$2=1,Data!$L$3=1),IF(OR(Data!CQ48=0,Data!CQ48=""),"","O"&amp;Data!CQ48),IF('ARDT Cutter Entry'!$C$111&lt;&gt;"",'ARDT Cutter Entry'!AB113,'ARDT Cutter Entry'!AB45)),"")</f>
        <v/>
      </c>
      <c r="AC13" s="167" t="str">
        <f>IF(Data!$L$32=1,IF(OR(Data!$L$2=1,Data!$L$3=1),IF(OR(Data!CR48=0,Data!CR48=""),"","O"&amp;Data!CR48),IF('ARDT Cutter Entry'!$C$111&lt;&gt;"",'ARDT Cutter Entry'!AC113,'ARDT Cutter Entry'!AC45)),"")</f>
        <v/>
      </c>
      <c r="AD13" s="167" t="str">
        <f>IF(Data!$L$32=1,IF(OR(Data!$L$2=1,Data!$L$3=1),IF(OR(Data!CS48=0,Data!CS48=""),"","O"&amp;Data!CS48),IF('ARDT Cutter Entry'!$C$111&lt;&gt;"",'ARDT Cutter Entry'!AD113,'ARDT Cutter Entry'!AD45)),"")</f>
        <v/>
      </c>
      <c r="AE13" s="167" t="str">
        <f>IF(Data!$L$32=1,IF(OR(Data!$L$2=1,Data!$L$3=1),IF(OR(Data!CT48=0,Data!CT48=""),"","O"&amp;Data!CT48),IF('ARDT Cutter Entry'!$C$111&lt;&gt;"",'ARDT Cutter Entry'!AE113,'ARDT Cutter Entry'!AE45)),"")</f>
        <v/>
      </c>
      <c r="AF13" s="167" t="str">
        <f>IF(Data!$L$32=1,IF(OR(Data!$L$2=1,Data!$L$3=1),IF(OR(Data!CU48=0,Data!CU48=""),"","O"&amp;Data!CU48),IF('ARDT Cutter Entry'!$C$111&lt;&gt;"",'ARDT Cutter Entry'!AF113,'ARDT Cutter Entry'!AF45)),"")</f>
        <v/>
      </c>
      <c r="AG13" s="167" t="str">
        <f>IF(Data!$L$32=1,IF(OR(Data!$L$2=1,Data!$L$3=1),IF(OR(Data!CV48=0,Data!CV48=""),"","O"&amp;Data!CV48),IF('ARDT Cutter Entry'!$C$111&lt;&gt;"",'ARDT Cutter Entry'!AG113,'ARDT Cutter Entry'!AG45)),"")</f>
        <v/>
      </c>
      <c r="AH13" s="167" t="str">
        <f>IF(Data!$L$32=1,IF(OR(Data!$L$2=1,Data!$L$3=1),IF(OR(Data!CW48=0,Data!CW48=""),"","O"&amp;Data!CW48),IF('ARDT Cutter Entry'!$C$111&lt;&gt;"",'ARDT Cutter Entry'!AH113,'ARDT Cutter Entry'!AH45)),"")</f>
        <v/>
      </c>
      <c r="AI13" s="167" t="str">
        <f>IF(Data!$L$32=1,IF(OR(Data!$L$2=1,Data!$L$3=1),IF(OR(Data!CX48=0,Data!CX48=""),"","O"&amp;Data!CX48),IF('ARDT Cutter Entry'!$C$111&lt;&gt;"",'ARDT Cutter Entry'!AI113,'ARDT Cutter Entry'!AI45)),"")</f>
        <v/>
      </c>
      <c r="AJ13" s="167" t="str">
        <f>IF(Data!$L$32=1,IF(OR(Data!$L$2=1,Data!$L$3=1),IF(OR(Data!CY48=0,Data!CY48=""),"","O"&amp;Data!CY48),IF('ARDT Cutter Entry'!$C$111&lt;&gt;"",'ARDT Cutter Entry'!AJ113,'ARDT Cutter Entry'!AJ45)),"")</f>
        <v/>
      </c>
    </row>
    <row r="14" spans="1:36" ht="15.25" customHeight="1" x14ac:dyDescent="0.35">
      <c r="A14" s="1700"/>
      <c r="B14" s="396">
        <v>4</v>
      </c>
      <c r="C14" s="233" t="str">
        <f>IF(Data!$L$32=1,IF(OR(Data!$L$2=1,Data!$L$3=1),IF(OR(Data!BR49=0,Data!BR49=""),"","O"&amp;Data!BR49),IF('ARDT Cutter Entry'!$C$111&lt;&gt;"",'ARDT Cutter Entry'!C114,'ARDT Cutter Entry'!C46)),"")</f>
        <v>X5</v>
      </c>
      <c r="D14" s="167" t="str">
        <f>IF(Data!$L$32=1,IF(OR(Data!$L$2=1,Data!$L$3=1),IF(OR(Data!BS49=0,Data!BS49=""),"","O"&amp;Data!BS49),IF('ARDT Cutter Entry'!$C$111&lt;&gt;"",'ARDT Cutter Entry'!D114,'ARDT Cutter Entry'!D46)),"")</f>
        <v>X5</v>
      </c>
      <c r="E14" s="167" t="str">
        <f>IF(Data!$L$32=1,IF(OR(Data!$L$2=1,Data!$L$3=1),IF(OR(Data!BT49=0,Data!BT49=""),"","O"&amp;Data!BT49),IF('ARDT Cutter Entry'!$C$111&lt;&gt;"",'ARDT Cutter Entry'!E114,'ARDT Cutter Entry'!E46)),"")</f>
        <v>X5</v>
      </c>
      <c r="F14" s="167" t="str">
        <f>IF(Data!$L$32=1,IF(OR(Data!$L$2=1,Data!$L$3=1),IF(OR(Data!BU49=0,Data!BU49=""),"","O"&amp;Data!BU49),IF('ARDT Cutter Entry'!$C$111&lt;&gt;"",'ARDT Cutter Entry'!F114,'ARDT Cutter Entry'!F46)),"")</f>
        <v>X5</v>
      </c>
      <c r="G14" s="167" t="str">
        <f>IF(Data!$L$32=1,IF(OR(Data!$L$2=1,Data!$L$3=1),IF(OR(Data!BV49=0,Data!BV49=""),"","O"&amp;Data!BV49),IF('ARDT Cutter Entry'!$C$111&lt;&gt;"",'ARDT Cutter Entry'!G114,'ARDT Cutter Entry'!G46)),"")</f>
        <v>R1</v>
      </c>
      <c r="H14" s="167" t="str">
        <f>IF(Data!$L$32=1,IF(OR(Data!$L$2=1,Data!$L$3=1),IF(OR(Data!BW49=0,Data!BW49=""),"","O"&amp;Data!BW49),IF('ARDT Cutter Entry'!$C$111&lt;&gt;"",'ARDT Cutter Entry'!H114,'ARDT Cutter Entry'!H46)),"")</f>
        <v>X3</v>
      </c>
      <c r="I14" s="167" t="str">
        <f>IF(Data!$L$32=1,IF(OR(Data!$L$2=1,Data!$L$3=1),IF(OR(Data!BX49=0,Data!BX49=""),"","O"&amp;Data!BX49),IF('ARDT Cutter Entry'!$C$111&lt;&gt;"",'ARDT Cutter Entry'!I114,'ARDT Cutter Entry'!I46)),"")</f>
        <v/>
      </c>
      <c r="J14" s="167" t="str">
        <f>IF(Data!$L$32=1,IF(OR(Data!$L$2=1,Data!$L$3=1),IF(OR(Data!BY49=0,Data!BY49=""),"","O"&amp;Data!BY49),IF('ARDT Cutter Entry'!$C$111&lt;&gt;"",'ARDT Cutter Entry'!J114,'ARDT Cutter Entry'!J46)),"")</f>
        <v/>
      </c>
      <c r="K14" s="167" t="str">
        <f>IF(Data!$L$32=1,IF(OR(Data!$L$2=1,Data!$L$3=1),IF(OR(Data!BZ49=0,Data!BZ49=""),"","O"&amp;Data!BZ49),IF('ARDT Cutter Entry'!$C$111&lt;&gt;"",'ARDT Cutter Entry'!K114,'ARDT Cutter Entry'!K46)),"")</f>
        <v/>
      </c>
      <c r="L14" s="167" t="str">
        <f>IF(Data!$L$32=1,IF(OR(Data!$L$2=1,Data!$L$3=1),IF(OR(Data!CA49=0,Data!CA49=""),"","O"&amp;Data!CA49),IF('ARDT Cutter Entry'!$C$111&lt;&gt;"",'ARDT Cutter Entry'!L114,'ARDT Cutter Entry'!L46)),"")</f>
        <v>R2</v>
      </c>
      <c r="M14" s="167" t="str">
        <f>IF(Data!$L$32=1,IF(OR(Data!$L$2=1,Data!$L$3=1),IF(OR(Data!CB49=0,Data!CB49=""),"","O"&amp;Data!CB49),IF('ARDT Cutter Entry'!$C$111&lt;&gt;"",'ARDT Cutter Entry'!M114,'ARDT Cutter Entry'!M46)),"")</f>
        <v>R2</v>
      </c>
      <c r="N14" s="167" t="str">
        <f>IF(Data!$L$32=1,IF(OR(Data!$L$2=1,Data!$L$3=1),IF(OR(Data!CC49=0,Data!CC49=""),"","O"&amp;Data!CC49),IF('ARDT Cutter Entry'!$C$111&lt;&gt;"",'ARDT Cutter Entry'!N114,'ARDT Cutter Entry'!N46)),"")</f>
        <v>R2</v>
      </c>
      <c r="O14" s="167" t="str">
        <f>IF(Data!$L$32=1,IF(OR(Data!$L$2=1,Data!$L$3=1),IF(OR(Data!CD49=0,Data!CD49=""),"","O"&amp;Data!CD49),IF('ARDT Cutter Entry'!$C$111&lt;&gt;"",'ARDT Cutter Entry'!O114,'ARDT Cutter Entry'!O46)),"")</f>
        <v>S2</v>
      </c>
      <c r="P14" s="167" t="str">
        <f>IF(Data!$L$32=1,IF(OR(Data!$L$2=1,Data!$L$3=1),IF(OR(Data!CE49=0,Data!CE49=""),"","O"&amp;Data!CE49),IF('ARDT Cutter Entry'!$C$111&lt;&gt;"",'ARDT Cutter Entry'!P114,'ARDT Cutter Entry'!P46)),"")</f>
        <v/>
      </c>
      <c r="Q14" s="167" t="str">
        <f>IF(Data!$L$32=1,IF(OR(Data!$L$2=1,Data!$L$3=1),IF(OR(Data!CF49=0,Data!CF49=""),"","O"&amp;Data!CF49),IF('ARDT Cutter Entry'!$C$111&lt;&gt;"",'ARDT Cutter Entry'!Q114,'ARDT Cutter Entry'!Q46)),"")</f>
        <v/>
      </c>
      <c r="R14" s="167" t="str">
        <f>IF(Data!$L$32=1,IF(OR(Data!$L$2=1,Data!$L$3=1),IF(OR(Data!CG49=0,Data!CG49=""),"","O"&amp;Data!CG49),IF('ARDT Cutter Entry'!$C$111&lt;&gt;"",'ARDT Cutter Entry'!R114,'ARDT Cutter Entry'!R46)),"")</f>
        <v/>
      </c>
      <c r="S14" s="167" t="str">
        <f>IF(Data!$L$32=1,IF(OR(Data!$L$2=1,Data!$L$3=1),IF(OR(Data!CH49=0,Data!CH49=""),"","O"&amp;Data!CH49),IF('ARDT Cutter Entry'!$C$111&lt;&gt;"",'ARDT Cutter Entry'!S114,'ARDT Cutter Entry'!S46)),"")</f>
        <v/>
      </c>
      <c r="T14" s="167" t="str">
        <f>IF(Data!$L$32=1,IF(OR(Data!$L$2=1,Data!$L$3=1),IF(OR(Data!CI49=0,Data!CI49=""),"","O"&amp;Data!CI49),IF('ARDT Cutter Entry'!$C$111&lt;&gt;"",'ARDT Cutter Entry'!T114,'ARDT Cutter Entry'!T46)),"")</f>
        <v/>
      </c>
      <c r="U14" s="167" t="str">
        <f>IF(Data!$L$32=1,IF(OR(Data!$L$2=1,Data!$L$3=1),IF(OR(Data!CJ49=0,Data!CJ49=""),"","O"&amp;Data!CJ49),IF('ARDT Cutter Entry'!$C$111&lt;&gt;"",'ARDT Cutter Entry'!U114,'ARDT Cutter Entry'!U46)),"")</f>
        <v/>
      </c>
      <c r="V14" s="167" t="str">
        <f>IF(Data!$L$32=1,IF(OR(Data!$L$2=1,Data!$L$3=1),IF(OR(Data!CK49=0,Data!CK49=""),"","O"&amp;Data!CK49),IF('ARDT Cutter Entry'!$C$111&lt;&gt;"",'ARDT Cutter Entry'!V114,'ARDT Cutter Entry'!V46)),"")</f>
        <v/>
      </c>
      <c r="W14" s="167" t="str">
        <f>IF(Data!$L$32=1,IF(OR(Data!$L$2=1,Data!$L$3=1),IF(OR(Data!CL49=0,Data!CL49=""),"","O"&amp;Data!CL49),IF('ARDT Cutter Entry'!$C$111&lt;&gt;"",'ARDT Cutter Entry'!W114,'ARDT Cutter Entry'!W46)),"")</f>
        <v/>
      </c>
      <c r="X14" s="167" t="str">
        <f>IF(Data!$L$32=1,IF(OR(Data!$L$2=1,Data!$L$3=1),IF(OR(Data!CM49=0,Data!CM49=""),"","O"&amp;Data!CM49),IF('ARDT Cutter Entry'!$C$111&lt;&gt;"",'ARDT Cutter Entry'!X114,'ARDT Cutter Entry'!X46)),"")</f>
        <v/>
      </c>
      <c r="Y14" s="167" t="str">
        <f>IF(Data!$L$32=1,IF(OR(Data!$L$2=1,Data!$L$3=1),IF(OR(Data!CN49=0,Data!CN49=""),"","O"&amp;Data!CN49),IF('ARDT Cutter Entry'!$C$111&lt;&gt;"",'ARDT Cutter Entry'!Y114,'ARDT Cutter Entry'!Y46)),"")</f>
        <v/>
      </c>
      <c r="Z14" s="167" t="str">
        <f>IF(Data!$L$32=1,IF(OR(Data!$L$2=1,Data!$L$3=1),IF(OR(Data!CO49=0,Data!CO49=""),"","O"&amp;Data!CO49),IF('ARDT Cutter Entry'!$C$111&lt;&gt;"",'ARDT Cutter Entry'!Z114,'ARDT Cutter Entry'!Z46)),"")</f>
        <v/>
      </c>
      <c r="AA14" s="167" t="str">
        <f>IF(Data!$L$32=1,IF(OR(Data!$L$2=1,Data!$L$3=1),IF(OR(Data!CP49=0,Data!CP49=""),"","O"&amp;Data!CP49),IF('ARDT Cutter Entry'!$C$111&lt;&gt;"",'ARDT Cutter Entry'!AA114,'ARDT Cutter Entry'!AA46)),"")</f>
        <v/>
      </c>
      <c r="AB14" s="167" t="str">
        <f>IF(Data!$L$32=1,IF(OR(Data!$L$2=1,Data!$L$3=1),IF(OR(Data!CQ49=0,Data!CQ49=""),"","O"&amp;Data!CQ49),IF('ARDT Cutter Entry'!$C$111&lt;&gt;"",'ARDT Cutter Entry'!AB114,'ARDT Cutter Entry'!AB46)),"")</f>
        <v/>
      </c>
      <c r="AC14" s="167" t="str">
        <f>IF(Data!$L$32=1,IF(OR(Data!$L$2=1,Data!$L$3=1),IF(OR(Data!CR49=0,Data!CR49=""),"","O"&amp;Data!CR49),IF('ARDT Cutter Entry'!$C$111&lt;&gt;"",'ARDT Cutter Entry'!AC114,'ARDT Cutter Entry'!AC46)),"")</f>
        <v/>
      </c>
      <c r="AD14" s="167" t="str">
        <f>IF(Data!$L$32=1,IF(OR(Data!$L$2=1,Data!$L$3=1),IF(OR(Data!CS49=0,Data!CS49=""),"","O"&amp;Data!CS49),IF('ARDT Cutter Entry'!$C$111&lt;&gt;"",'ARDT Cutter Entry'!AD114,'ARDT Cutter Entry'!AD46)),"")</f>
        <v/>
      </c>
      <c r="AE14" s="167" t="str">
        <f>IF(Data!$L$32=1,IF(OR(Data!$L$2=1,Data!$L$3=1),IF(OR(Data!CT49=0,Data!CT49=""),"","O"&amp;Data!CT49),IF('ARDT Cutter Entry'!$C$111&lt;&gt;"",'ARDT Cutter Entry'!AE114,'ARDT Cutter Entry'!AE46)),"")</f>
        <v/>
      </c>
      <c r="AF14" s="167" t="str">
        <f>IF(Data!$L$32=1,IF(OR(Data!$L$2=1,Data!$L$3=1),IF(OR(Data!CU49=0,Data!CU49=""),"","O"&amp;Data!CU49),IF('ARDT Cutter Entry'!$C$111&lt;&gt;"",'ARDT Cutter Entry'!AF114,'ARDT Cutter Entry'!AF46)),"")</f>
        <v/>
      </c>
      <c r="AG14" s="167" t="str">
        <f>IF(Data!$L$32=1,IF(OR(Data!$L$2=1,Data!$L$3=1),IF(OR(Data!CV49=0,Data!CV49=""),"","O"&amp;Data!CV49),IF('ARDT Cutter Entry'!$C$111&lt;&gt;"",'ARDT Cutter Entry'!AG114,'ARDT Cutter Entry'!AG46)),"")</f>
        <v/>
      </c>
      <c r="AH14" s="167" t="str">
        <f>IF(Data!$L$32=1,IF(OR(Data!$L$2=1,Data!$L$3=1),IF(OR(Data!CW49=0,Data!CW49=""),"","O"&amp;Data!CW49),IF('ARDT Cutter Entry'!$C$111&lt;&gt;"",'ARDT Cutter Entry'!AH114,'ARDT Cutter Entry'!AH46)),"")</f>
        <v/>
      </c>
      <c r="AI14" s="167" t="str">
        <f>IF(Data!$L$32=1,IF(OR(Data!$L$2=1,Data!$L$3=1),IF(OR(Data!CX49=0,Data!CX49=""),"","O"&amp;Data!CX49),IF('ARDT Cutter Entry'!$C$111&lt;&gt;"",'ARDT Cutter Entry'!AI114,'ARDT Cutter Entry'!AI46)),"")</f>
        <v/>
      </c>
      <c r="AJ14" s="167" t="str">
        <f>IF(Data!$L$32=1,IF(OR(Data!$L$2=1,Data!$L$3=1),IF(OR(Data!CY49=0,Data!CY49=""),"","O"&amp;Data!CY49),IF('ARDT Cutter Entry'!$C$111&lt;&gt;"",'ARDT Cutter Entry'!AJ114,'ARDT Cutter Entry'!AJ46)),"")</f>
        <v/>
      </c>
    </row>
    <row r="15" spans="1:36" ht="15.25" customHeight="1" x14ac:dyDescent="0.35">
      <c r="A15" s="1700"/>
      <c r="B15" s="396">
        <v>5</v>
      </c>
      <c r="C15" s="233" t="str">
        <f>IF(Data!$L$32=1,IF(OR(Data!$L$2=1,Data!$L$3=1),IF(OR(Data!BR50=0,Data!BR50=""),"","O"&amp;Data!BR50),IF('ARDT Cutter Entry'!$C$111&lt;&gt;"",'ARDT Cutter Entry'!C115,'ARDT Cutter Entry'!C47)),"")</f>
        <v>R1</v>
      </c>
      <c r="D15" s="167" t="str">
        <f>IF(Data!$L$32=1,IF(OR(Data!$L$2=1,Data!$L$3=1),IF(OR(Data!BS50=0,Data!BS50=""),"","O"&amp;Data!BS50),IF('ARDT Cutter Entry'!$C$111&lt;&gt;"",'ARDT Cutter Entry'!D115,'ARDT Cutter Entry'!D47)),"")</f>
        <v>R1</v>
      </c>
      <c r="E15" s="167" t="str">
        <f>IF(Data!$L$32=1,IF(OR(Data!$L$2=1,Data!$L$3=1),IF(OR(Data!BT50=0,Data!BT50=""),"","O"&amp;Data!BT50),IF('ARDT Cutter Entry'!$C$111&lt;&gt;"",'ARDT Cutter Entry'!E115,'ARDT Cutter Entry'!E47)),"")</f>
        <v>X5</v>
      </c>
      <c r="F15" s="167" t="str">
        <f>IF(Data!$L$32=1,IF(OR(Data!$L$2=1,Data!$L$3=1),IF(OR(Data!BU50=0,Data!BU50=""),"","O"&amp;Data!BU50),IF('ARDT Cutter Entry'!$C$111&lt;&gt;"",'ARDT Cutter Entry'!F115,'ARDT Cutter Entry'!F47)),"")</f>
        <v>X5</v>
      </c>
      <c r="G15" s="167" t="str">
        <f>IF(Data!$L$32=1,IF(OR(Data!$L$2=1,Data!$L$3=1),IF(OR(Data!BV50=0,Data!BV50=""),"","O"&amp;Data!BV50),IF('ARDT Cutter Entry'!$C$111&lt;&gt;"",'ARDT Cutter Entry'!G115,'ARDT Cutter Entry'!G47)),"")</f>
        <v>X5</v>
      </c>
      <c r="H15" s="167" t="str">
        <f>IF(Data!$L$32=1,IF(OR(Data!$L$2=1,Data!$L$3=1),IF(OR(Data!BW50=0,Data!BW50=""),"","O"&amp;Data!BW50),IF('ARDT Cutter Entry'!$C$111&lt;&gt;"",'ARDT Cutter Entry'!H115,'ARDT Cutter Entry'!H47)),"")</f>
        <v>X5</v>
      </c>
      <c r="I15" s="167" t="str">
        <f>IF(Data!$L$32=1,IF(OR(Data!$L$2=1,Data!$L$3=1),IF(OR(Data!BX50=0,Data!BX50=""),"","O"&amp;Data!BX50),IF('ARDT Cutter Entry'!$C$111&lt;&gt;"",'ARDT Cutter Entry'!I115,'ARDT Cutter Entry'!I47)),"")</f>
        <v>R1</v>
      </c>
      <c r="J15" s="167" t="str">
        <f>IF(Data!$L$32=1,IF(OR(Data!$L$2=1,Data!$L$3=1),IF(OR(Data!BY50=0,Data!BY50=""),"","O"&amp;Data!BY50),IF('ARDT Cutter Entry'!$C$111&lt;&gt;"",'ARDT Cutter Entry'!J115,'ARDT Cutter Entry'!J47)),"")</f>
        <v>X3</v>
      </c>
      <c r="K15" s="167" t="str">
        <f>IF(Data!$L$32=1,IF(OR(Data!$L$2=1,Data!$L$3=1),IF(OR(Data!BZ50=0,Data!BZ50=""),"","O"&amp;Data!BZ50),IF('ARDT Cutter Entry'!$C$111&lt;&gt;"",'ARDT Cutter Entry'!K115,'ARDT Cutter Entry'!K47)),"")</f>
        <v/>
      </c>
      <c r="L15" s="167" t="str">
        <f>IF(Data!$L$32=1,IF(OR(Data!$L$2=1,Data!$L$3=1),IF(OR(Data!CA50=0,Data!CA50=""),"","O"&amp;Data!CA50),IF('ARDT Cutter Entry'!$C$111&lt;&gt;"",'ARDT Cutter Entry'!L115,'ARDT Cutter Entry'!L47)),"")</f>
        <v>R2</v>
      </c>
      <c r="M15" s="167" t="str">
        <f>IF(Data!$L$32=1,IF(OR(Data!$L$2=1,Data!$L$3=1),IF(OR(Data!CB50=0,Data!CB50=""),"","O"&amp;Data!CB50),IF('ARDT Cutter Entry'!$C$111&lt;&gt;"",'ARDT Cutter Entry'!M115,'ARDT Cutter Entry'!M47)),"")</f>
        <v>X4</v>
      </c>
      <c r="N15" s="167" t="str">
        <f>IF(Data!$L$32=1,IF(OR(Data!$L$2=1,Data!$L$3=1),IF(OR(Data!CC50=0,Data!CC50=""),"","O"&amp;Data!CC50),IF('ARDT Cutter Entry'!$C$111&lt;&gt;"",'ARDT Cutter Entry'!N115,'ARDT Cutter Entry'!N47)),"")</f>
        <v>R2</v>
      </c>
      <c r="O15" s="167" t="str">
        <f>IF(Data!$L$32=1,IF(OR(Data!$L$2=1,Data!$L$3=1),IF(OR(Data!CD50=0,Data!CD50=""),"","O"&amp;Data!CD50),IF('ARDT Cutter Entry'!$C$111&lt;&gt;"",'ARDT Cutter Entry'!O115,'ARDT Cutter Entry'!O47)),"")</f>
        <v>R2</v>
      </c>
      <c r="P15" s="167" t="str">
        <f>IF(Data!$L$32=1,IF(OR(Data!$L$2=1,Data!$L$3=1),IF(OR(Data!CE50=0,Data!CE50=""),"","O"&amp;Data!CE50),IF('ARDT Cutter Entry'!$C$111&lt;&gt;"",'ARDT Cutter Entry'!P115,'ARDT Cutter Entry'!P47)),"")</f>
        <v/>
      </c>
      <c r="Q15" s="167" t="str">
        <f>IF(Data!$L$32=1,IF(OR(Data!$L$2=1,Data!$L$3=1),IF(OR(Data!CF50=0,Data!CF50=""),"","O"&amp;Data!CF50),IF('ARDT Cutter Entry'!$C$111&lt;&gt;"",'ARDT Cutter Entry'!Q115,'ARDT Cutter Entry'!Q47)),"")</f>
        <v/>
      </c>
      <c r="R15" s="167" t="str">
        <f>IF(Data!$L$32=1,IF(OR(Data!$L$2=1,Data!$L$3=1),IF(OR(Data!CG50=0,Data!CG50=""),"","O"&amp;Data!CG50),IF('ARDT Cutter Entry'!$C$111&lt;&gt;"",'ARDT Cutter Entry'!R115,'ARDT Cutter Entry'!R47)),"")</f>
        <v/>
      </c>
      <c r="S15" s="167" t="str">
        <f>IF(Data!$L$32=1,IF(OR(Data!$L$2=1,Data!$L$3=1),IF(OR(Data!CH50=0,Data!CH50=""),"","O"&amp;Data!CH50),IF('ARDT Cutter Entry'!$C$111&lt;&gt;"",'ARDT Cutter Entry'!S115,'ARDT Cutter Entry'!S47)),"")</f>
        <v/>
      </c>
      <c r="T15" s="167" t="str">
        <f>IF(Data!$L$32=1,IF(OR(Data!$L$2=1,Data!$L$3=1),IF(OR(Data!CI50=0,Data!CI50=""),"","O"&amp;Data!CI50),IF('ARDT Cutter Entry'!$C$111&lt;&gt;"",'ARDT Cutter Entry'!T115,'ARDT Cutter Entry'!T47)),"")</f>
        <v/>
      </c>
      <c r="U15" s="167" t="str">
        <f>IF(Data!$L$32=1,IF(OR(Data!$L$2=1,Data!$L$3=1),IF(OR(Data!CJ50=0,Data!CJ50=""),"","O"&amp;Data!CJ50),IF('ARDT Cutter Entry'!$C$111&lt;&gt;"",'ARDT Cutter Entry'!U115,'ARDT Cutter Entry'!U47)),"")</f>
        <v/>
      </c>
      <c r="V15" s="167" t="str">
        <f>IF(Data!$L$32=1,IF(OR(Data!$L$2=1,Data!$L$3=1),IF(OR(Data!CK50=0,Data!CK50=""),"","O"&amp;Data!CK50),IF('ARDT Cutter Entry'!$C$111&lt;&gt;"",'ARDT Cutter Entry'!V115,'ARDT Cutter Entry'!V47)),"")</f>
        <v/>
      </c>
      <c r="W15" s="167" t="str">
        <f>IF(Data!$L$32=1,IF(OR(Data!$L$2=1,Data!$L$3=1),IF(OR(Data!CL50=0,Data!CL50=""),"","O"&amp;Data!CL50),IF('ARDT Cutter Entry'!$C$111&lt;&gt;"",'ARDT Cutter Entry'!W115,'ARDT Cutter Entry'!W47)),"")</f>
        <v/>
      </c>
      <c r="X15" s="167" t="str">
        <f>IF(Data!$L$32=1,IF(OR(Data!$L$2=1,Data!$L$3=1),IF(OR(Data!CM50=0,Data!CM50=""),"","O"&amp;Data!CM50),IF('ARDT Cutter Entry'!$C$111&lt;&gt;"",'ARDT Cutter Entry'!X115,'ARDT Cutter Entry'!X47)),"")</f>
        <v/>
      </c>
      <c r="Y15" s="167" t="str">
        <f>IF(Data!$L$32=1,IF(OR(Data!$L$2=1,Data!$L$3=1),IF(OR(Data!CN50=0,Data!CN50=""),"","O"&amp;Data!CN50),IF('ARDT Cutter Entry'!$C$111&lt;&gt;"",'ARDT Cutter Entry'!Y115,'ARDT Cutter Entry'!Y47)),"")</f>
        <v/>
      </c>
      <c r="Z15" s="167" t="str">
        <f>IF(Data!$L$32=1,IF(OR(Data!$L$2=1,Data!$L$3=1),IF(OR(Data!CO50=0,Data!CO50=""),"","O"&amp;Data!CO50),IF('ARDT Cutter Entry'!$C$111&lt;&gt;"",'ARDT Cutter Entry'!Z115,'ARDT Cutter Entry'!Z47)),"")</f>
        <v/>
      </c>
      <c r="AA15" s="167" t="str">
        <f>IF(Data!$L$32=1,IF(OR(Data!$L$2=1,Data!$L$3=1),IF(OR(Data!CP50=0,Data!CP50=""),"","O"&amp;Data!CP50),IF('ARDT Cutter Entry'!$C$111&lt;&gt;"",'ARDT Cutter Entry'!AA115,'ARDT Cutter Entry'!AA47)),"")</f>
        <v/>
      </c>
      <c r="AB15" s="167" t="str">
        <f>IF(Data!$L$32=1,IF(OR(Data!$L$2=1,Data!$L$3=1),IF(OR(Data!CQ50=0,Data!CQ50=""),"","O"&amp;Data!CQ50),IF('ARDT Cutter Entry'!$C$111&lt;&gt;"",'ARDT Cutter Entry'!AB115,'ARDT Cutter Entry'!AB47)),"")</f>
        <v/>
      </c>
      <c r="AC15" s="167" t="str">
        <f>IF(Data!$L$32=1,IF(OR(Data!$L$2=1,Data!$L$3=1),IF(OR(Data!CR50=0,Data!CR50=""),"","O"&amp;Data!CR50),IF('ARDT Cutter Entry'!$C$111&lt;&gt;"",'ARDT Cutter Entry'!AC115,'ARDT Cutter Entry'!AC47)),"")</f>
        <v/>
      </c>
      <c r="AD15" s="167" t="str">
        <f>IF(Data!$L$32=1,IF(OR(Data!$L$2=1,Data!$L$3=1),IF(OR(Data!CS50=0,Data!CS50=""),"","O"&amp;Data!CS50),IF('ARDT Cutter Entry'!$C$111&lt;&gt;"",'ARDT Cutter Entry'!AD115,'ARDT Cutter Entry'!AD47)),"")</f>
        <v/>
      </c>
      <c r="AE15" s="167" t="str">
        <f>IF(Data!$L$32=1,IF(OR(Data!$L$2=1,Data!$L$3=1),IF(OR(Data!CT50=0,Data!CT50=""),"","O"&amp;Data!CT50),IF('ARDT Cutter Entry'!$C$111&lt;&gt;"",'ARDT Cutter Entry'!AE115,'ARDT Cutter Entry'!AE47)),"")</f>
        <v/>
      </c>
      <c r="AF15" s="167" t="str">
        <f>IF(Data!$L$32=1,IF(OR(Data!$L$2=1,Data!$L$3=1),IF(OR(Data!CU50=0,Data!CU50=""),"","O"&amp;Data!CU50),IF('ARDT Cutter Entry'!$C$111&lt;&gt;"",'ARDT Cutter Entry'!AF115,'ARDT Cutter Entry'!AF47)),"")</f>
        <v/>
      </c>
      <c r="AG15" s="167" t="str">
        <f>IF(Data!$L$32=1,IF(OR(Data!$L$2=1,Data!$L$3=1),IF(OR(Data!CV50=0,Data!CV50=""),"","O"&amp;Data!CV50),IF('ARDT Cutter Entry'!$C$111&lt;&gt;"",'ARDT Cutter Entry'!AG115,'ARDT Cutter Entry'!AG47)),"")</f>
        <v/>
      </c>
      <c r="AH15" s="167" t="str">
        <f>IF(Data!$L$32=1,IF(OR(Data!$L$2=1,Data!$L$3=1),IF(OR(Data!CW50=0,Data!CW50=""),"","O"&amp;Data!CW50),IF('ARDT Cutter Entry'!$C$111&lt;&gt;"",'ARDT Cutter Entry'!AH115,'ARDT Cutter Entry'!AH47)),"")</f>
        <v/>
      </c>
      <c r="AI15" s="167" t="str">
        <f>IF(Data!$L$32=1,IF(OR(Data!$L$2=1,Data!$L$3=1),IF(OR(Data!CX50=0,Data!CX50=""),"","O"&amp;Data!CX50),IF('ARDT Cutter Entry'!$C$111&lt;&gt;"",'ARDT Cutter Entry'!AI115,'ARDT Cutter Entry'!AI47)),"")</f>
        <v/>
      </c>
      <c r="AJ15" s="167" t="str">
        <f>IF(Data!$L$32=1,IF(OR(Data!$L$2=1,Data!$L$3=1),IF(OR(Data!CY50=0,Data!CY50=""),"","O"&amp;Data!CY50),IF('ARDT Cutter Entry'!$C$111&lt;&gt;"",'ARDT Cutter Entry'!AJ115,'ARDT Cutter Entry'!AJ47)),"")</f>
        <v/>
      </c>
    </row>
    <row r="16" spans="1:36" ht="15.25" customHeight="1" x14ac:dyDescent="0.35">
      <c r="A16" s="1700"/>
      <c r="B16" s="396">
        <v>6</v>
      </c>
      <c r="C16" s="233" t="str">
        <f>IF(Data!$L$32=1,IF(OR(Data!$L$2=1,Data!$L$3=1),IF(OR(Data!BR51=0,Data!BR51=""),"","O"&amp;Data!BR51),IF('ARDT Cutter Entry'!$C$111&lt;&gt;"",'ARDT Cutter Entry'!C116,'ARDT Cutter Entry'!C48)),"")</f>
        <v>X5</v>
      </c>
      <c r="D16" s="167" t="str">
        <f>IF(Data!$L$32=1,IF(OR(Data!$L$2=1,Data!$L$3=1),IF(OR(Data!BS51=0,Data!BS51=""),"","O"&amp;Data!BS51),IF('ARDT Cutter Entry'!$C$111&lt;&gt;"",'ARDT Cutter Entry'!D116,'ARDT Cutter Entry'!D48)),"")</f>
        <v>X5</v>
      </c>
      <c r="E16" s="167" t="str">
        <f>IF(Data!$L$32=1,IF(OR(Data!$L$2=1,Data!$L$3=1),IF(OR(Data!BT51=0,Data!BT51=""),"","O"&amp;Data!BT51),IF('ARDT Cutter Entry'!$C$111&lt;&gt;"",'ARDT Cutter Entry'!E116,'ARDT Cutter Entry'!E48)),"")</f>
        <v>X5</v>
      </c>
      <c r="F16" s="167" t="str">
        <f>IF(Data!$L$32=1,IF(OR(Data!$L$2=1,Data!$L$3=1),IF(OR(Data!BU51=0,Data!BU51=""),"","O"&amp;Data!BU51),IF('ARDT Cutter Entry'!$C$111&lt;&gt;"",'ARDT Cutter Entry'!F116,'ARDT Cutter Entry'!F48)),"")</f>
        <v>R1</v>
      </c>
      <c r="G16" s="167" t="str">
        <f>IF(Data!$L$32=1,IF(OR(Data!$L$2=1,Data!$L$3=1),IF(OR(Data!BV51=0,Data!BV51=""),"","O"&amp;Data!BV51),IF('ARDT Cutter Entry'!$C$111&lt;&gt;"",'ARDT Cutter Entry'!G116,'ARDT Cutter Entry'!G48)),"")</f>
        <v>X3</v>
      </c>
      <c r="H16" s="167" t="str">
        <f>IF(Data!$L$32=1,IF(OR(Data!$L$2=1,Data!$L$3=1),IF(OR(Data!BW51=0,Data!BW51=""),"","O"&amp;Data!BW51),IF('ARDT Cutter Entry'!$C$111&lt;&gt;"",'ARDT Cutter Entry'!H116,'ARDT Cutter Entry'!H48)),"")</f>
        <v/>
      </c>
      <c r="I16" s="167" t="str">
        <f>IF(Data!$L$32=1,IF(OR(Data!$L$2=1,Data!$L$3=1),IF(OR(Data!BX51=0,Data!BX51=""),"","O"&amp;Data!BX51),IF('ARDT Cutter Entry'!$C$111&lt;&gt;"",'ARDT Cutter Entry'!I116,'ARDT Cutter Entry'!I48)),"")</f>
        <v/>
      </c>
      <c r="J16" s="167" t="str">
        <f>IF(Data!$L$32=1,IF(OR(Data!$L$2=1,Data!$L$3=1),IF(OR(Data!BY51=0,Data!BY51=""),"","O"&amp;Data!BY51),IF('ARDT Cutter Entry'!$C$111&lt;&gt;"",'ARDT Cutter Entry'!J116,'ARDT Cutter Entry'!J48)),"")</f>
        <v/>
      </c>
      <c r="K16" s="167" t="str">
        <f>IF(Data!$L$32=1,IF(OR(Data!$L$2=1,Data!$L$3=1),IF(OR(Data!BZ51=0,Data!BZ51=""),"","O"&amp;Data!BZ51),IF('ARDT Cutter Entry'!$C$111&lt;&gt;"",'ARDT Cutter Entry'!K116,'ARDT Cutter Entry'!K48)),"")</f>
        <v/>
      </c>
      <c r="L16" s="167" t="str">
        <f>IF(Data!$L$32=1,IF(OR(Data!$L$2=1,Data!$L$3=1),IF(OR(Data!CA51=0,Data!CA51=""),"","O"&amp;Data!CA51),IF('ARDT Cutter Entry'!$C$111&lt;&gt;"",'ARDT Cutter Entry'!L116,'ARDT Cutter Entry'!L48)),"")</f>
        <v>S2</v>
      </c>
      <c r="M16" s="167" t="str">
        <f>IF(Data!$L$32=1,IF(OR(Data!$L$2=1,Data!$L$3=1),IF(OR(Data!CB51=0,Data!CB51=""),"","O"&amp;Data!CB51),IF('ARDT Cutter Entry'!$C$111&lt;&gt;"",'ARDT Cutter Entry'!M116,'ARDT Cutter Entry'!M48)),"")</f>
        <v>R2</v>
      </c>
      <c r="N16" s="167" t="str">
        <f>IF(Data!$L$32=1,IF(OR(Data!$L$2=1,Data!$L$3=1),IF(OR(Data!CC51=0,Data!CC51=""),"","O"&amp;Data!CC51),IF('ARDT Cutter Entry'!$C$111&lt;&gt;"",'ARDT Cutter Entry'!N116,'ARDT Cutter Entry'!N48)),"")</f>
        <v>R2</v>
      </c>
      <c r="O16" s="167" t="str">
        <f>IF(Data!$L$32=1,IF(OR(Data!$L$2=1,Data!$L$3=1),IF(OR(Data!CD51=0,Data!CD51=""),"","O"&amp;Data!CD51),IF('ARDT Cutter Entry'!$C$111&lt;&gt;"",'ARDT Cutter Entry'!O116,'ARDT Cutter Entry'!O48)),"")</f>
        <v>R2</v>
      </c>
      <c r="P16" s="167" t="str">
        <f>IF(Data!$L$32=1,IF(OR(Data!$L$2=1,Data!$L$3=1),IF(OR(Data!CE51=0,Data!CE51=""),"","O"&amp;Data!CE51),IF('ARDT Cutter Entry'!$C$111&lt;&gt;"",'ARDT Cutter Entry'!P116,'ARDT Cutter Entry'!P48)),"")</f>
        <v/>
      </c>
      <c r="Q16" s="167" t="str">
        <f>IF(Data!$L$32=1,IF(OR(Data!$L$2=1,Data!$L$3=1),IF(OR(Data!CF51=0,Data!CF51=""),"","O"&amp;Data!CF51),IF('ARDT Cutter Entry'!$C$111&lt;&gt;"",'ARDT Cutter Entry'!Q116,'ARDT Cutter Entry'!Q48)),"")</f>
        <v/>
      </c>
      <c r="R16" s="167" t="str">
        <f>IF(Data!$L$32=1,IF(OR(Data!$L$2=1,Data!$L$3=1),IF(OR(Data!CG51=0,Data!CG51=""),"","O"&amp;Data!CG51),IF('ARDT Cutter Entry'!$C$111&lt;&gt;"",'ARDT Cutter Entry'!R116,'ARDT Cutter Entry'!R48)),"")</f>
        <v/>
      </c>
      <c r="S16" s="167" t="str">
        <f>IF(Data!$L$32=1,IF(OR(Data!$L$2=1,Data!$L$3=1),IF(OR(Data!CH51=0,Data!CH51=""),"","O"&amp;Data!CH51),IF('ARDT Cutter Entry'!$C$111&lt;&gt;"",'ARDT Cutter Entry'!S116,'ARDT Cutter Entry'!S48)),"")</f>
        <v/>
      </c>
      <c r="T16" s="167" t="str">
        <f>IF(Data!$L$32=1,IF(OR(Data!$L$2=1,Data!$L$3=1),IF(OR(Data!CI51=0,Data!CI51=""),"","O"&amp;Data!CI51),IF('ARDT Cutter Entry'!$C$111&lt;&gt;"",'ARDT Cutter Entry'!T116,'ARDT Cutter Entry'!T48)),"")</f>
        <v/>
      </c>
      <c r="U16" s="167" t="str">
        <f>IF(Data!$L$32=1,IF(OR(Data!$L$2=1,Data!$L$3=1),IF(OR(Data!CJ51=0,Data!CJ51=""),"","O"&amp;Data!CJ51),IF('ARDT Cutter Entry'!$C$111&lt;&gt;"",'ARDT Cutter Entry'!U116,'ARDT Cutter Entry'!U48)),"")</f>
        <v/>
      </c>
      <c r="V16" s="167" t="str">
        <f>IF(Data!$L$32=1,IF(OR(Data!$L$2=1,Data!$L$3=1),IF(OR(Data!CK51=0,Data!CK51=""),"","O"&amp;Data!CK51),IF('ARDT Cutter Entry'!$C$111&lt;&gt;"",'ARDT Cutter Entry'!V116,'ARDT Cutter Entry'!V48)),"")</f>
        <v/>
      </c>
      <c r="W16" s="167" t="str">
        <f>IF(Data!$L$32=1,IF(OR(Data!$L$2=1,Data!$L$3=1),IF(OR(Data!CL51=0,Data!CL51=""),"","O"&amp;Data!CL51),IF('ARDT Cutter Entry'!$C$111&lt;&gt;"",'ARDT Cutter Entry'!W116,'ARDT Cutter Entry'!W48)),"")</f>
        <v/>
      </c>
      <c r="X16" s="167" t="str">
        <f>IF(Data!$L$32=1,IF(OR(Data!$L$2=1,Data!$L$3=1),IF(OR(Data!CM51=0,Data!CM51=""),"","O"&amp;Data!CM51),IF('ARDT Cutter Entry'!$C$111&lt;&gt;"",'ARDT Cutter Entry'!X116,'ARDT Cutter Entry'!X48)),"")</f>
        <v/>
      </c>
      <c r="Y16" s="167" t="str">
        <f>IF(Data!$L$32=1,IF(OR(Data!$L$2=1,Data!$L$3=1),IF(OR(Data!CN51=0,Data!CN51=""),"","O"&amp;Data!CN51),IF('ARDT Cutter Entry'!$C$111&lt;&gt;"",'ARDT Cutter Entry'!Y116,'ARDT Cutter Entry'!Y48)),"")</f>
        <v/>
      </c>
      <c r="Z16" s="167" t="str">
        <f>IF(Data!$L$32=1,IF(OR(Data!$L$2=1,Data!$L$3=1),IF(OR(Data!CO51=0,Data!CO51=""),"","O"&amp;Data!CO51),IF('ARDT Cutter Entry'!$C$111&lt;&gt;"",'ARDT Cutter Entry'!Z116,'ARDT Cutter Entry'!Z48)),"")</f>
        <v/>
      </c>
      <c r="AA16" s="167" t="str">
        <f>IF(Data!$L$32=1,IF(OR(Data!$L$2=1,Data!$L$3=1),IF(OR(Data!CP51=0,Data!CP51=""),"","O"&amp;Data!CP51),IF('ARDT Cutter Entry'!$C$111&lt;&gt;"",'ARDT Cutter Entry'!AA116,'ARDT Cutter Entry'!AA48)),"")</f>
        <v/>
      </c>
      <c r="AB16" s="167" t="str">
        <f>IF(Data!$L$32=1,IF(OR(Data!$L$2=1,Data!$L$3=1),IF(OR(Data!CQ51=0,Data!CQ51=""),"","O"&amp;Data!CQ51),IF('ARDT Cutter Entry'!$C$111&lt;&gt;"",'ARDT Cutter Entry'!AB116,'ARDT Cutter Entry'!AB48)),"")</f>
        <v/>
      </c>
      <c r="AC16" s="167" t="str">
        <f>IF(Data!$L$32=1,IF(OR(Data!$L$2=1,Data!$L$3=1),IF(OR(Data!CR51=0,Data!CR51=""),"","O"&amp;Data!CR51),IF('ARDT Cutter Entry'!$C$111&lt;&gt;"",'ARDT Cutter Entry'!AC116,'ARDT Cutter Entry'!AC48)),"")</f>
        <v/>
      </c>
      <c r="AD16" s="167" t="str">
        <f>IF(Data!$L$32=1,IF(OR(Data!$L$2=1,Data!$L$3=1),IF(OR(Data!CS51=0,Data!CS51=""),"","O"&amp;Data!CS51),IF('ARDT Cutter Entry'!$C$111&lt;&gt;"",'ARDT Cutter Entry'!AD116,'ARDT Cutter Entry'!AD48)),"")</f>
        <v/>
      </c>
      <c r="AE16" s="167" t="str">
        <f>IF(Data!$L$32=1,IF(OR(Data!$L$2=1,Data!$L$3=1),IF(OR(Data!CT51=0,Data!CT51=""),"","O"&amp;Data!CT51),IF('ARDT Cutter Entry'!$C$111&lt;&gt;"",'ARDT Cutter Entry'!AE116,'ARDT Cutter Entry'!AE48)),"")</f>
        <v/>
      </c>
      <c r="AF16" s="167" t="str">
        <f>IF(Data!$L$32=1,IF(OR(Data!$L$2=1,Data!$L$3=1),IF(OR(Data!CU51=0,Data!CU51=""),"","O"&amp;Data!CU51),IF('ARDT Cutter Entry'!$C$111&lt;&gt;"",'ARDT Cutter Entry'!AF116,'ARDT Cutter Entry'!AF48)),"")</f>
        <v/>
      </c>
      <c r="AG16" s="167" t="str">
        <f>IF(Data!$L$32=1,IF(OR(Data!$L$2=1,Data!$L$3=1),IF(OR(Data!CV51=0,Data!CV51=""),"","O"&amp;Data!CV51),IF('ARDT Cutter Entry'!$C$111&lt;&gt;"",'ARDT Cutter Entry'!AG116,'ARDT Cutter Entry'!AG48)),"")</f>
        <v/>
      </c>
      <c r="AH16" s="167" t="str">
        <f>IF(Data!$L$32=1,IF(OR(Data!$L$2=1,Data!$L$3=1),IF(OR(Data!CW51=0,Data!CW51=""),"","O"&amp;Data!CW51),IF('ARDT Cutter Entry'!$C$111&lt;&gt;"",'ARDT Cutter Entry'!AH116,'ARDT Cutter Entry'!AH48)),"")</f>
        <v/>
      </c>
      <c r="AI16" s="167" t="str">
        <f>IF(Data!$L$32=1,IF(OR(Data!$L$2=1,Data!$L$3=1),IF(OR(Data!CX51=0,Data!CX51=""),"","O"&amp;Data!CX51),IF('ARDT Cutter Entry'!$C$111&lt;&gt;"",'ARDT Cutter Entry'!AI116,'ARDT Cutter Entry'!AI48)),"")</f>
        <v/>
      </c>
      <c r="AJ16" s="167" t="str">
        <f>IF(Data!$L$32=1,IF(OR(Data!$L$2=1,Data!$L$3=1),IF(OR(Data!CY51=0,Data!CY51=""),"","O"&amp;Data!CY51),IF('ARDT Cutter Entry'!$C$111&lt;&gt;"",'ARDT Cutter Entry'!AJ116,'ARDT Cutter Entry'!AJ48)),"")</f>
        <v/>
      </c>
    </row>
    <row r="17" spans="1:37" ht="15.25" customHeight="1" x14ac:dyDescent="0.35">
      <c r="A17" s="1700"/>
      <c r="B17" s="396">
        <v>7</v>
      </c>
      <c r="C17" s="233" t="str">
        <f>IF(Data!$L$32=1,IF(OR(Data!$L$2=1,Data!$L$3=1),IF(OR(Data!BR52=0,Data!BR52=""),"","O"&amp;Data!BR52),IF('ARDT Cutter Entry'!$C$111&lt;&gt;"",'ARDT Cutter Entry'!C117,'ARDT Cutter Entry'!C49)),"")</f>
        <v/>
      </c>
      <c r="D17" s="167" t="str">
        <f>IF(Data!$L$32=1,IF(OR(Data!$L$2=1,Data!$L$3=1),IF(OR(Data!BS52=0,Data!BS52=""),"","O"&amp;Data!BS52),IF('ARDT Cutter Entry'!$C$111&lt;&gt;"",'ARDT Cutter Entry'!D117,'ARDT Cutter Entry'!D49)),"")</f>
        <v/>
      </c>
      <c r="E17" s="167" t="str">
        <f>IF(Data!$L$32=1,IF(OR(Data!$L$2=1,Data!$L$3=1),IF(OR(Data!BT52=0,Data!BT52=""),"","O"&amp;Data!BT52),IF('ARDT Cutter Entry'!$C$111&lt;&gt;"",'ARDT Cutter Entry'!E117,'ARDT Cutter Entry'!E49)),"")</f>
        <v/>
      </c>
      <c r="F17" s="167" t="str">
        <f>IF(Data!$L$32=1,IF(OR(Data!$L$2=1,Data!$L$3=1),IF(OR(Data!BU52=0,Data!BU52=""),"","O"&amp;Data!BU52),IF('ARDT Cutter Entry'!$C$111&lt;&gt;"",'ARDT Cutter Entry'!F117,'ARDT Cutter Entry'!F49)),"")</f>
        <v/>
      </c>
      <c r="G17" s="167" t="str">
        <f>IF(Data!$L$32=1,IF(OR(Data!$L$2=1,Data!$L$3=1),IF(OR(Data!BV52=0,Data!BV52=""),"","O"&amp;Data!BV52),IF('ARDT Cutter Entry'!$C$111&lt;&gt;"",'ARDT Cutter Entry'!G117,'ARDT Cutter Entry'!G49)),"")</f>
        <v/>
      </c>
      <c r="H17" s="167" t="str">
        <f>IF(Data!$L$32=1,IF(OR(Data!$L$2=1,Data!$L$3=1),IF(OR(Data!BW52=0,Data!BW52=""),"","O"&amp;Data!BW52),IF('ARDT Cutter Entry'!$C$111&lt;&gt;"",'ARDT Cutter Entry'!H117,'ARDT Cutter Entry'!H49)),"")</f>
        <v/>
      </c>
      <c r="I17" s="167" t="str">
        <f>IF(Data!$L$32=1,IF(OR(Data!$L$2=1,Data!$L$3=1),IF(OR(Data!BX52=0,Data!BX52=""),"","O"&amp;Data!BX52),IF('ARDT Cutter Entry'!$C$111&lt;&gt;"",'ARDT Cutter Entry'!I117,'ARDT Cutter Entry'!I49)),"")</f>
        <v/>
      </c>
      <c r="J17" s="167" t="str">
        <f>IF(Data!$L$32=1,IF(OR(Data!$L$2=1,Data!$L$3=1),IF(OR(Data!BY52=0,Data!BY52=""),"","O"&amp;Data!BY52),IF('ARDT Cutter Entry'!$C$111&lt;&gt;"",'ARDT Cutter Entry'!J117,'ARDT Cutter Entry'!J49)),"")</f>
        <v/>
      </c>
      <c r="K17" s="167" t="str">
        <f>IF(Data!$L$32=1,IF(OR(Data!$L$2=1,Data!$L$3=1),IF(OR(Data!BZ52=0,Data!BZ52=""),"","O"&amp;Data!BZ52),IF('ARDT Cutter Entry'!$C$111&lt;&gt;"",'ARDT Cutter Entry'!K117,'ARDT Cutter Entry'!K49)),"")</f>
        <v/>
      </c>
      <c r="L17" s="167" t="str">
        <f>IF(Data!$L$32=1,IF(OR(Data!$L$2=1,Data!$L$3=1),IF(OR(Data!CA52=0,Data!CA52=""),"","O"&amp;Data!CA52),IF('ARDT Cutter Entry'!$C$111&lt;&gt;"",'ARDT Cutter Entry'!L117,'ARDT Cutter Entry'!L49)),"")</f>
        <v/>
      </c>
      <c r="M17" s="167" t="str">
        <f>IF(Data!$L$32=1,IF(OR(Data!$L$2=1,Data!$L$3=1),IF(OR(Data!CB52=0,Data!CB52=""),"","O"&amp;Data!CB52),IF('ARDT Cutter Entry'!$C$111&lt;&gt;"",'ARDT Cutter Entry'!M117,'ARDT Cutter Entry'!M49)),"")</f>
        <v/>
      </c>
      <c r="N17" s="167" t="str">
        <f>IF(Data!$L$32=1,IF(OR(Data!$L$2=1,Data!$L$3=1),IF(OR(Data!CC52=0,Data!CC52=""),"","O"&amp;Data!CC52),IF('ARDT Cutter Entry'!$C$111&lt;&gt;"",'ARDT Cutter Entry'!N117,'ARDT Cutter Entry'!N49)),"")</f>
        <v/>
      </c>
      <c r="O17" s="167" t="str">
        <f>IF(Data!$L$32=1,IF(OR(Data!$L$2=1,Data!$L$3=1),IF(OR(Data!CD52=0,Data!CD52=""),"","O"&amp;Data!CD52),IF('ARDT Cutter Entry'!$C$111&lt;&gt;"",'ARDT Cutter Entry'!O117,'ARDT Cutter Entry'!O49)),"")</f>
        <v/>
      </c>
      <c r="P17" s="167" t="str">
        <f>IF(Data!$L$32=1,IF(OR(Data!$L$2=1,Data!$L$3=1),IF(OR(Data!CE52=0,Data!CE52=""),"","O"&amp;Data!CE52),IF('ARDT Cutter Entry'!$C$111&lt;&gt;"",'ARDT Cutter Entry'!P117,'ARDT Cutter Entry'!P49)),"")</f>
        <v/>
      </c>
      <c r="Q17" s="167" t="str">
        <f>IF(Data!$L$32=1,IF(OR(Data!$L$2=1,Data!$L$3=1),IF(OR(Data!CF52=0,Data!CF52=""),"","O"&amp;Data!CF52),IF('ARDT Cutter Entry'!$C$111&lt;&gt;"",'ARDT Cutter Entry'!Q117,'ARDT Cutter Entry'!Q49)),"")</f>
        <v/>
      </c>
      <c r="R17" s="167" t="str">
        <f>IF(Data!$L$32=1,IF(OR(Data!$L$2=1,Data!$L$3=1),IF(OR(Data!CG52=0,Data!CG52=""),"","O"&amp;Data!CG52),IF('ARDT Cutter Entry'!$C$111&lt;&gt;"",'ARDT Cutter Entry'!R117,'ARDT Cutter Entry'!R49)),"")</f>
        <v/>
      </c>
      <c r="S17" s="167" t="str">
        <f>IF(Data!$L$32=1,IF(OR(Data!$L$2=1,Data!$L$3=1),IF(OR(Data!CH52=0,Data!CH52=""),"","O"&amp;Data!CH52),IF('ARDT Cutter Entry'!$C$111&lt;&gt;"",'ARDT Cutter Entry'!S117,'ARDT Cutter Entry'!S49)),"")</f>
        <v/>
      </c>
      <c r="T17" s="167" t="str">
        <f>IF(Data!$L$32=1,IF(OR(Data!$L$2=1,Data!$L$3=1),IF(OR(Data!CI52=0,Data!CI52=""),"","O"&amp;Data!CI52),IF('ARDT Cutter Entry'!$C$111&lt;&gt;"",'ARDT Cutter Entry'!T117,'ARDT Cutter Entry'!T49)),"")</f>
        <v/>
      </c>
      <c r="U17" s="167" t="str">
        <f>IF(Data!$L$32=1,IF(OR(Data!$L$2=1,Data!$L$3=1),IF(OR(Data!CJ52=0,Data!CJ52=""),"","O"&amp;Data!CJ52),IF('ARDT Cutter Entry'!$C$111&lt;&gt;"",'ARDT Cutter Entry'!U117,'ARDT Cutter Entry'!U49)),"")</f>
        <v/>
      </c>
      <c r="V17" s="167" t="str">
        <f>IF(Data!$L$32=1,IF(OR(Data!$L$2=1,Data!$L$3=1),IF(OR(Data!CK52=0,Data!CK52=""),"","O"&amp;Data!CK52),IF('ARDT Cutter Entry'!$C$111&lt;&gt;"",'ARDT Cutter Entry'!V117,'ARDT Cutter Entry'!V49)),"")</f>
        <v/>
      </c>
      <c r="W17" s="167" t="str">
        <f>IF(Data!$L$32=1,IF(OR(Data!$L$2=1,Data!$L$3=1),IF(OR(Data!CL52=0,Data!CL52=""),"","O"&amp;Data!CL52),IF('ARDT Cutter Entry'!$C$111&lt;&gt;"",'ARDT Cutter Entry'!W117,'ARDT Cutter Entry'!W49)),"")</f>
        <v/>
      </c>
      <c r="X17" s="167" t="str">
        <f>IF(Data!$L$32=1,IF(OR(Data!$L$2=1,Data!$L$3=1),IF(OR(Data!CM52=0,Data!CM52=""),"","O"&amp;Data!CM52),IF('ARDT Cutter Entry'!$C$111&lt;&gt;"",'ARDT Cutter Entry'!X117,'ARDT Cutter Entry'!X49)),"")</f>
        <v/>
      </c>
      <c r="Y17" s="167" t="str">
        <f>IF(Data!$L$32=1,IF(OR(Data!$L$2=1,Data!$L$3=1),IF(OR(Data!CN52=0,Data!CN52=""),"","O"&amp;Data!CN52),IF('ARDT Cutter Entry'!$C$111&lt;&gt;"",'ARDT Cutter Entry'!Y117,'ARDT Cutter Entry'!Y49)),"")</f>
        <v/>
      </c>
      <c r="Z17" s="167" t="str">
        <f>IF(Data!$L$32=1,IF(OR(Data!$L$2=1,Data!$L$3=1),IF(OR(Data!CO52=0,Data!CO52=""),"","O"&amp;Data!CO52),IF('ARDT Cutter Entry'!$C$111&lt;&gt;"",'ARDT Cutter Entry'!Z117,'ARDT Cutter Entry'!Z49)),"")</f>
        <v/>
      </c>
      <c r="AA17" s="167" t="str">
        <f>IF(Data!$L$32=1,IF(OR(Data!$L$2=1,Data!$L$3=1),IF(OR(Data!CP52=0,Data!CP52=""),"","O"&amp;Data!CP52),IF('ARDT Cutter Entry'!$C$111&lt;&gt;"",'ARDT Cutter Entry'!AA117,'ARDT Cutter Entry'!AA49)),"")</f>
        <v/>
      </c>
      <c r="AB17" s="167" t="str">
        <f>IF(Data!$L$32=1,IF(OR(Data!$L$2=1,Data!$L$3=1),IF(OR(Data!CQ52=0,Data!CQ52=""),"","O"&amp;Data!CQ52),IF('ARDT Cutter Entry'!$C$111&lt;&gt;"",'ARDT Cutter Entry'!AB117,'ARDT Cutter Entry'!AB49)),"")</f>
        <v/>
      </c>
      <c r="AC17" s="167" t="str">
        <f>IF(Data!$L$32=1,IF(OR(Data!$L$2=1,Data!$L$3=1),IF(OR(Data!CR52=0,Data!CR52=""),"","O"&amp;Data!CR52),IF('ARDT Cutter Entry'!$C$111&lt;&gt;"",'ARDT Cutter Entry'!AC117,'ARDT Cutter Entry'!AC49)),"")</f>
        <v/>
      </c>
      <c r="AD17" s="167" t="str">
        <f>IF(Data!$L$32=1,IF(OR(Data!$L$2=1,Data!$L$3=1),IF(OR(Data!CS52=0,Data!CS52=""),"","O"&amp;Data!CS52),IF('ARDT Cutter Entry'!$C$111&lt;&gt;"",'ARDT Cutter Entry'!AD117,'ARDT Cutter Entry'!AD49)),"")</f>
        <v/>
      </c>
      <c r="AE17" s="167" t="str">
        <f>IF(Data!$L$32=1,IF(OR(Data!$L$2=1,Data!$L$3=1),IF(OR(Data!CT52=0,Data!CT52=""),"","O"&amp;Data!CT52),IF('ARDT Cutter Entry'!$C$111&lt;&gt;"",'ARDT Cutter Entry'!AE117,'ARDT Cutter Entry'!AE49)),"")</f>
        <v/>
      </c>
      <c r="AF17" s="167" t="str">
        <f>IF(Data!$L$32=1,IF(OR(Data!$L$2=1,Data!$L$3=1),IF(OR(Data!CU52=0,Data!CU52=""),"","O"&amp;Data!CU52),IF('ARDT Cutter Entry'!$C$111&lt;&gt;"",'ARDT Cutter Entry'!AF117,'ARDT Cutter Entry'!AF49)),"")</f>
        <v/>
      </c>
      <c r="AG17" s="167" t="str">
        <f>IF(Data!$L$32=1,IF(OR(Data!$L$2=1,Data!$L$3=1),IF(OR(Data!CV52=0,Data!CV52=""),"","O"&amp;Data!CV52),IF('ARDT Cutter Entry'!$C$111&lt;&gt;"",'ARDT Cutter Entry'!AG117,'ARDT Cutter Entry'!AG49)),"")</f>
        <v/>
      </c>
      <c r="AH17" s="167" t="str">
        <f>IF(Data!$L$32=1,IF(OR(Data!$L$2=1,Data!$L$3=1),IF(OR(Data!CW52=0,Data!CW52=""),"","O"&amp;Data!CW52),IF('ARDT Cutter Entry'!$C$111&lt;&gt;"",'ARDT Cutter Entry'!AH117,'ARDT Cutter Entry'!AH49)),"")</f>
        <v/>
      </c>
      <c r="AI17" s="167" t="str">
        <f>IF(Data!$L$32=1,IF(OR(Data!$L$2=1,Data!$L$3=1),IF(OR(Data!CX52=0,Data!CX52=""),"","O"&amp;Data!CX52),IF('ARDT Cutter Entry'!$C$111&lt;&gt;"",'ARDT Cutter Entry'!AI117,'ARDT Cutter Entry'!AI49)),"")</f>
        <v/>
      </c>
      <c r="AJ17" s="167" t="str">
        <f>IF(Data!$L$32=1,IF(OR(Data!$L$2=1,Data!$L$3=1),IF(OR(Data!CY52=0,Data!CY52=""),"","O"&amp;Data!CY52),IF('ARDT Cutter Entry'!$C$111&lt;&gt;"",'ARDT Cutter Entry'!AJ117,'ARDT Cutter Entry'!AJ49)),"")</f>
        <v/>
      </c>
    </row>
    <row r="18" spans="1:37" ht="15.25" customHeight="1" x14ac:dyDescent="0.35">
      <c r="A18" s="1700"/>
      <c r="B18" s="396">
        <v>8</v>
      </c>
      <c r="C18" s="233" t="str">
        <f>IF(Data!$L$32=1,IF(OR(Data!$L$2=1,Data!$L$3=1),IF(OR(Data!BR53=0,Data!BR53=""),"","O"&amp;Data!BR53),IF('ARDT Cutter Entry'!$C$111&lt;&gt;"",'ARDT Cutter Entry'!C118,'ARDT Cutter Entry'!C50)),"")</f>
        <v/>
      </c>
      <c r="D18" s="167" t="str">
        <f>IF(Data!$L$32=1,IF(OR(Data!$L$2=1,Data!$L$3=1),IF(OR(Data!BS53=0,Data!BS53=""),"","O"&amp;Data!BS53),IF('ARDT Cutter Entry'!$C$111&lt;&gt;"",'ARDT Cutter Entry'!D118,'ARDT Cutter Entry'!D50)),"")</f>
        <v/>
      </c>
      <c r="E18" s="167" t="str">
        <f>IF(Data!$L$32=1,IF(OR(Data!$L$2=1,Data!$L$3=1),IF(OR(Data!BT53=0,Data!BT53=""),"","O"&amp;Data!BT53),IF('ARDT Cutter Entry'!$C$111&lt;&gt;"",'ARDT Cutter Entry'!E118,'ARDT Cutter Entry'!E50)),"")</f>
        <v/>
      </c>
      <c r="F18" s="167" t="str">
        <f>IF(Data!$L$32=1,IF(OR(Data!$L$2=1,Data!$L$3=1),IF(OR(Data!BU53=0,Data!BU53=""),"","O"&amp;Data!BU53),IF('ARDT Cutter Entry'!$C$111&lt;&gt;"",'ARDT Cutter Entry'!F118,'ARDT Cutter Entry'!F50)),"")</f>
        <v/>
      </c>
      <c r="G18" s="167" t="str">
        <f>IF(Data!$L$32=1,IF(OR(Data!$L$2=1,Data!$L$3=1),IF(OR(Data!BV53=0,Data!BV53=""),"","O"&amp;Data!BV53),IF('ARDT Cutter Entry'!$C$111&lt;&gt;"",'ARDT Cutter Entry'!G118,'ARDT Cutter Entry'!G50)),"")</f>
        <v/>
      </c>
      <c r="H18" s="167" t="str">
        <f>IF(Data!$L$32=1,IF(OR(Data!$L$2=1,Data!$L$3=1),IF(OR(Data!BW53=0,Data!BW53=""),"","O"&amp;Data!BW53),IF('ARDT Cutter Entry'!$C$111&lt;&gt;"",'ARDT Cutter Entry'!H118,'ARDT Cutter Entry'!H50)),"")</f>
        <v/>
      </c>
      <c r="I18" s="167" t="str">
        <f>IF(Data!$L$32=1,IF(OR(Data!$L$2=1,Data!$L$3=1),IF(OR(Data!BX53=0,Data!BX53=""),"","O"&amp;Data!BX53),IF('ARDT Cutter Entry'!$C$111&lt;&gt;"",'ARDT Cutter Entry'!I118,'ARDT Cutter Entry'!I50)),"")</f>
        <v/>
      </c>
      <c r="J18" s="167" t="str">
        <f>IF(Data!$L$32=1,IF(OR(Data!$L$2=1,Data!$L$3=1),IF(OR(Data!BY53=0,Data!BY53=""),"","O"&amp;Data!BY53),IF('ARDT Cutter Entry'!$C$111&lt;&gt;"",'ARDT Cutter Entry'!J118,'ARDT Cutter Entry'!J50)),"")</f>
        <v/>
      </c>
      <c r="K18" s="167" t="str">
        <f>IF(Data!$L$32=1,IF(OR(Data!$L$2=1,Data!$L$3=1),IF(OR(Data!BZ53=0,Data!BZ53=""),"","O"&amp;Data!BZ53),IF('ARDT Cutter Entry'!$C$111&lt;&gt;"",'ARDT Cutter Entry'!K118,'ARDT Cutter Entry'!K50)),"")</f>
        <v/>
      </c>
      <c r="L18" s="167" t="str">
        <f>IF(Data!$L$32=1,IF(OR(Data!$L$2=1,Data!$L$3=1),IF(OR(Data!CA53=0,Data!CA53=""),"","O"&amp;Data!CA53),IF('ARDT Cutter Entry'!$C$111&lt;&gt;"",'ARDT Cutter Entry'!L118,'ARDT Cutter Entry'!L50)),"")</f>
        <v/>
      </c>
      <c r="M18" s="167" t="str">
        <f>IF(Data!$L$32=1,IF(OR(Data!$L$2=1,Data!$L$3=1),IF(OR(Data!CB53=0,Data!CB53=""),"","O"&amp;Data!CB53),IF('ARDT Cutter Entry'!$C$111&lt;&gt;"",'ARDT Cutter Entry'!M118,'ARDT Cutter Entry'!M50)),"")</f>
        <v/>
      </c>
      <c r="N18" s="167" t="str">
        <f>IF(Data!$L$32=1,IF(OR(Data!$L$2=1,Data!$L$3=1),IF(OR(Data!CC53=0,Data!CC53=""),"","O"&amp;Data!CC53),IF('ARDT Cutter Entry'!$C$111&lt;&gt;"",'ARDT Cutter Entry'!N118,'ARDT Cutter Entry'!N50)),"")</f>
        <v/>
      </c>
      <c r="O18" s="167" t="str">
        <f>IF(Data!$L$32=1,IF(OR(Data!$L$2=1,Data!$L$3=1),IF(OR(Data!CD53=0,Data!CD53=""),"","O"&amp;Data!CD53),IF('ARDT Cutter Entry'!$C$111&lt;&gt;"",'ARDT Cutter Entry'!O118,'ARDT Cutter Entry'!O50)),"")</f>
        <v/>
      </c>
      <c r="P18" s="167" t="str">
        <f>IF(Data!$L$32=1,IF(OR(Data!$L$2=1,Data!$L$3=1),IF(OR(Data!CE53=0,Data!CE53=""),"","O"&amp;Data!CE53),IF('ARDT Cutter Entry'!$C$111&lt;&gt;"",'ARDT Cutter Entry'!P118,'ARDT Cutter Entry'!P50)),"")</f>
        <v/>
      </c>
      <c r="Q18" s="167" t="str">
        <f>IF(Data!$L$32=1,IF(OR(Data!$L$2=1,Data!$L$3=1),IF(OR(Data!CF53=0,Data!CF53=""),"","O"&amp;Data!CF53),IF('ARDT Cutter Entry'!$C$111&lt;&gt;"",'ARDT Cutter Entry'!Q118,'ARDT Cutter Entry'!Q50)),"")</f>
        <v/>
      </c>
      <c r="R18" s="167" t="str">
        <f>IF(Data!$L$32=1,IF(OR(Data!$L$2=1,Data!$L$3=1),IF(OR(Data!CG53=0,Data!CG53=""),"","O"&amp;Data!CG53),IF('ARDT Cutter Entry'!$C$111&lt;&gt;"",'ARDT Cutter Entry'!R118,'ARDT Cutter Entry'!R50)),"")</f>
        <v/>
      </c>
      <c r="S18" s="167" t="str">
        <f>IF(Data!$L$32=1,IF(OR(Data!$L$2=1,Data!$L$3=1),IF(OR(Data!CH53=0,Data!CH53=""),"","O"&amp;Data!CH53),IF('ARDT Cutter Entry'!$C$111&lt;&gt;"",'ARDT Cutter Entry'!S118,'ARDT Cutter Entry'!S50)),"")</f>
        <v/>
      </c>
      <c r="T18" s="167" t="str">
        <f>IF(Data!$L$32=1,IF(OR(Data!$L$2=1,Data!$L$3=1),IF(OR(Data!CI53=0,Data!CI53=""),"","O"&amp;Data!CI53),IF('ARDT Cutter Entry'!$C$111&lt;&gt;"",'ARDT Cutter Entry'!T118,'ARDT Cutter Entry'!T50)),"")</f>
        <v/>
      </c>
      <c r="U18" s="167" t="str">
        <f>IF(Data!$L$32=1,IF(OR(Data!$L$2=1,Data!$L$3=1),IF(OR(Data!CJ53=0,Data!CJ53=""),"","O"&amp;Data!CJ53),IF('ARDT Cutter Entry'!$C$111&lt;&gt;"",'ARDT Cutter Entry'!U118,'ARDT Cutter Entry'!U50)),"")</f>
        <v/>
      </c>
      <c r="V18" s="167" t="str">
        <f>IF(Data!$L$32=1,IF(OR(Data!$L$2=1,Data!$L$3=1),IF(OR(Data!CK53=0,Data!CK53=""),"","O"&amp;Data!CK53),IF('ARDT Cutter Entry'!$C$111&lt;&gt;"",'ARDT Cutter Entry'!V118,'ARDT Cutter Entry'!V50)),"")</f>
        <v/>
      </c>
      <c r="W18" s="167" t="str">
        <f>IF(Data!$L$32=1,IF(OR(Data!$L$2=1,Data!$L$3=1),IF(OR(Data!CL53=0,Data!CL53=""),"","O"&amp;Data!CL53),IF('ARDT Cutter Entry'!$C$111&lt;&gt;"",'ARDT Cutter Entry'!W118,'ARDT Cutter Entry'!W50)),"")</f>
        <v/>
      </c>
      <c r="X18" s="167" t="str">
        <f>IF(Data!$L$32=1,IF(OR(Data!$L$2=1,Data!$L$3=1),IF(OR(Data!CM53=0,Data!CM53=""),"","O"&amp;Data!CM53),IF('ARDT Cutter Entry'!$C$111&lt;&gt;"",'ARDT Cutter Entry'!X118,'ARDT Cutter Entry'!X50)),"")</f>
        <v/>
      </c>
      <c r="Y18" s="167" t="str">
        <f>IF(Data!$L$32=1,IF(OR(Data!$L$2=1,Data!$L$3=1),IF(OR(Data!CN53=0,Data!CN53=""),"","O"&amp;Data!CN53),IF('ARDT Cutter Entry'!$C$111&lt;&gt;"",'ARDT Cutter Entry'!Y118,'ARDT Cutter Entry'!Y50)),"")</f>
        <v/>
      </c>
      <c r="Z18" s="167" t="str">
        <f>IF(Data!$L$32=1,IF(OR(Data!$L$2=1,Data!$L$3=1),IF(OR(Data!CO53=0,Data!CO53=""),"","O"&amp;Data!CO53),IF('ARDT Cutter Entry'!$C$111&lt;&gt;"",'ARDT Cutter Entry'!Z118,'ARDT Cutter Entry'!Z50)),"")</f>
        <v/>
      </c>
      <c r="AA18" s="167" t="str">
        <f>IF(Data!$L$32=1,IF(OR(Data!$L$2=1,Data!$L$3=1),IF(OR(Data!CP53=0,Data!CP53=""),"","O"&amp;Data!CP53),IF('ARDT Cutter Entry'!$C$111&lt;&gt;"",'ARDT Cutter Entry'!AA118,'ARDT Cutter Entry'!AA50)),"")</f>
        <v/>
      </c>
      <c r="AB18" s="167" t="str">
        <f>IF(Data!$L$32=1,IF(OR(Data!$L$2=1,Data!$L$3=1),IF(OR(Data!CQ53=0,Data!CQ53=""),"","O"&amp;Data!CQ53),IF('ARDT Cutter Entry'!$C$111&lt;&gt;"",'ARDT Cutter Entry'!AB118,'ARDT Cutter Entry'!AB50)),"")</f>
        <v/>
      </c>
      <c r="AC18" s="167" t="str">
        <f>IF(Data!$L$32=1,IF(OR(Data!$L$2=1,Data!$L$3=1),IF(OR(Data!CR53=0,Data!CR53=""),"","O"&amp;Data!CR53),IF('ARDT Cutter Entry'!$C$111&lt;&gt;"",'ARDT Cutter Entry'!AC118,'ARDT Cutter Entry'!AC50)),"")</f>
        <v/>
      </c>
      <c r="AD18" s="167" t="str">
        <f>IF(Data!$L$32=1,IF(OR(Data!$L$2=1,Data!$L$3=1),IF(OR(Data!CS53=0,Data!CS53=""),"","O"&amp;Data!CS53),IF('ARDT Cutter Entry'!$C$111&lt;&gt;"",'ARDT Cutter Entry'!AD118,'ARDT Cutter Entry'!AD50)),"")</f>
        <v/>
      </c>
      <c r="AE18" s="167" t="str">
        <f>IF(Data!$L$32=1,IF(OR(Data!$L$2=1,Data!$L$3=1),IF(OR(Data!CT53=0,Data!CT53=""),"","O"&amp;Data!CT53),IF('ARDT Cutter Entry'!$C$111&lt;&gt;"",'ARDT Cutter Entry'!AE118,'ARDT Cutter Entry'!AE50)),"")</f>
        <v/>
      </c>
      <c r="AF18" s="167" t="str">
        <f>IF(Data!$L$32=1,IF(OR(Data!$L$2=1,Data!$L$3=1),IF(OR(Data!CU53=0,Data!CU53=""),"","O"&amp;Data!CU53),IF('ARDT Cutter Entry'!$C$111&lt;&gt;"",'ARDT Cutter Entry'!AF118,'ARDT Cutter Entry'!AF50)),"")</f>
        <v/>
      </c>
      <c r="AG18" s="167" t="str">
        <f>IF(Data!$L$32=1,IF(OR(Data!$L$2=1,Data!$L$3=1),IF(OR(Data!CV53=0,Data!CV53=""),"","O"&amp;Data!CV53),IF('ARDT Cutter Entry'!$C$111&lt;&gt;"",'ARDT Cutter Entry'!AG118,'ARDT Cutter Entry'!AG50)),"")</f>
        <v/>
      </c>
      <c r="AH18" s="167" t="str">
        <f>IF(Data!$L$32=1,IF(OR(Data!$L$2=1,Data!$L$3=1),IF(OR(Data!CW53=0,Data!CW53=""),"","O"&amp;Data!CW53),IF('ARDT Cutter Entry'!$C$111&lt;&gt;"",'ARDT Cutter Entry'!AH118,'ARDT Cutter Entry'!AH50)),"")</f>
        <v/>
      </c>
      <c r="AI18" s="167" t="str">
        <f>IF(Data!$L$32=1,IF(OR(Data!$L$2=1,Data!$L$3=1),IF(OR(Data!CX53=0,Data!CX53=""),"","O"&amp;Data!CX53),IF('ARDT Cutter Entry'!$C$111&lt;&gt;"",'ARDT Cutter Entry'!AI118,'ARDT Cutter Entry'!AI50)),"")</f>
        <v/>
      </c>
      <c r="AJ18" s="167" t="str">
        <f>IF(Data!$L$32=1,IF(OR(Data!$L$2=1,Data!$L$3=1),IF(OR(Data!CY53=0,Data!CY53=""),"","O"&amp;Data!CY53),IF('ARDT Cutter Entry'!$C$111&lt;&gt;"",'ARDT Cutter Entry'!AJ118,'ARDT Cutter Entry'!AJ50)),"")</f>
        <v/>
      </c>
    </row>
    <row r="19" spans="1:37" ht="15.25" customHeight="1" x14ac:dyDescent="0.35">
      <c r="A19" s="1700"/>
      <c r="B19" s="396">
        <v>9</v>
      </c>
      <c r="C19" s="233" t="str">
        <f>IF(Data!$L$32=1,IF(OR(Data!$L$2=1,Data!$L$3=1),IF(OR(Data!BR54=0,Data!BR54=""),"","O"&amp;Data!BR54),IF('ARDT Cutter Entry'!$C$111&lt;&gt;"",'ARDT Cutter Entry'!C119,'ARDT Cutter Entry'!C51)),"")</f>
        <v/>
      </c>
      <c r="D19" s="167" t="str">
        <f>IF(Data!$L$32=1,IF(OR(Data!$L$2=1,Data!$L$3=1),IF(OR(Data!BS54=0,Data!BS54=""),"","O"&amp;Data!BS54),IF('ARDT Cutter Entry'!$C$111&lt;&gt;"",'ARDT Cutter Entry'!D119,'ARDT Cutter Entry'!D51)),"")</f>
        <v/>
      </c>
      <c r="E19" s="167" t="str">
        <f>IF(Data!$L$32=1,IF(OR(Data!$L$2=1,Data!$L$3=1),IF(OR(Data!BT54=0,Data!BT54=""),"","O"&amp;Data!BT54),IF('ARDT Cutter Entry'!$C$111&lt;&gt;"",'ARDT Cutter Entry'!E119,'ARDT Cutter Entry'!E51)),"")</f>
        <v/>
      </c>
      <c r="F19" s="167" t="str">
        <f>IF(Data!$L$32=1,IF(OR(Data!$L$2=1,Data!$L$3=1),IF(OR(Data!BU54=0,Data!BU54=""),"","O"&amp;Data!BU54),IF('ARDT Cutter Entry'!$C$111&lt;&gt;"",'ARDT Cutter Entry'!F119,'ARDT Cutter Entry'!F51)),"")</f>
        <v/>
      </c>
      <c r="G19" s="167" t="str">
        <f>IF(Data!$L$32=1,IF(OR(Data!$L$2=1,Data!$L$3=1),IF(OR(Data!BV54=0,Data!BV54=""),"","O"&amp;Data!BV54),IF('ARDT Cutter Entry'!$C$111&lt;&gt;"",'ARDT Cutter Entry'!G119,'ARDT Cutter Entry'!G51)),"")</f>
        <v/>
      </c>
      <c r="H19" s="167" t="str">
        <f>IF(Data!$L$32=1,IF(OR(Data!$L$2=1,Data!$L$3=1),IF(OR(Data!BW54=0,Data!BW54=""),"","O"&amp;Data!BW54),IF('ARDT Cutter Entry'!$C$111&lt;&gt;"",'ARDT Cutter Entry'!H119,'ARDT Cutter Entry'!H51)),"")</f>
        <v/>
      </c>
      <c r="I19" s="167" t="str">
        <f>IF(Data!$L$32=1,IF(OR(Data!$L$2=1,Data!$L$3=1),IF(OR(Data!BX54=0,Data!BX54=""),"","O"&amp;Data!BX54),IF('ARDT Cutter Entry'!$C$111&lt;&gt;"",'ARDT Cutter Entry'!I119,'ARDT Cutter Entry'!I51)),"")</f>
        <v/>
      </c>
      <c r="J19" s="167" t="str">
        <f>IF(Data!$L$32=1,IF(OR(Data!$L$2=1,Data!$L$3=1),IF(OR(Data!BY54=0,Data!BY54=""),"","O"&amp;Data!BY54),IF('ARDT Cutter Entry'!$C$111&lt;&gt;"",'ARDT Cutter Entry'!J119,'ARDT Cutter Entry'!J51)),"")</f>
        <v/>
      </c>
      <c r="K19" s="167" t="str">
        <f>IF(Data!$L$32=1,IF(OR(Data!$L$2=1,Data!$L$3=1),IF(OR(Data!BZ54=0,Data!BZ54=""),"","O"&amp;Data!BZ54),IF('ARDT Cutter Entry'!$C$111&lt;&gt;"",'ARDT Cutter Entry'!K119,'ARDT Cutter Entry'!K51)),"")</f>
        <v/>
      </c>
      <c r="L19" s="167" t="str">
        <f>IF(Data!$L$32=1,IF(OR(Data!$L$2=1,Data!$L$3=1),IF(OR(Data!CA54=0,Data!CA54=""),"","O"&amp;Data!CA54),IF('ARDT Cutter Entry'!$C$111&lt;&gt;"",'ARDT Cutter Entry'!L119,'ARDT Cutter Entry'!L51)),"")</f>
        <v/>
      </c>
      <c r="M19" s="167" t="str">
        <f>IF(Data!$L$32=1,IF(OR(Data!$L$2=1,Data!$L$3=1),IF(OR(Data!CB54=0,Data!CB54=""),"","O"&amp;Data!CB54),IF('ARDT Cutter Entry'!$C$111&lt;&gt;"",'ARDT Cutter Entry'!M119,'ARDT Cutter Entry'!M51)),"")</f>
        <v/>
      </c>
      <c r="N19" s="167" t="str">
        <f>IF(Data!$L$32=1,IF(OR(Data!$L$2=1,Data!$L$3=1),IF(OR(Data!CC54=0,Data!CC54=""),"","O"&amp;Data!CC54),IF('ARDT Cutter Entry'!$C$111&lt;&gt;"",'ARDT Cutter Entry'!N119,'ARDT Cutter Entry'!N51)),"")</f>
        <v/>
      </c>
      <c r="O19" s="167" t="str">
        <f>IF(Data!$L$32=1,IF(OR(Data!$L$2=1,Data!$L$3=1),IF(OR(Data!CD54=0,Data!CD54=""),"","O"&amp;Data!CD54),IF('ARDT Cutter Entry'!$C$111&lt;&gt;"",'ARDT Cutter Entry'!O119,'ARDT Cutter Entry'!O51)),"")</f>
        <v/>
      </c>
      <c r="P19" s="167" t="str">
        <f>IF(Data!$L$32=1,IF(OR(Data!$L$2=1,Data!$L$3=1),IF(OR(Data!CE54=0,Data!CE54=""),"","O"&amp;Data!CE54),IF('ARDT Cutter Entry'!$C$111&lt;&gt;"",'ARDT Cutter Entry'!P119,'ARDT Cutter Entry'!P51)),"")</f>
        <v/>
      </c>
      <c r="Q19" s="167" t="str">
        <f>IF(Data!$L$32=1,IF(OR(Data!$L$2=1,Data!$L$3=1),IF(OR(Data!CF54=0,Data!CF54=""),"","O"&amp;Data!CF54),IF('ARDT Cutter Entry'!$C$111&lt;&gt;"",'ARDT Cutter Entry'!Q119,'ARDT Cutter Entry'!Q51)),"")</f>
        <v/>
      </c>
      <c r="R19" s="167" t="str">
        <f>IF(Data!$L$32=1,IF(OR(Data!$L$2=1,Data!$L$3=1),IF(OR(Data!CG54=0,Data!CG54=""),"","O"&amp;Data!CG54),IF('ARDT Cutter Entry'!$C$111&lt;&gt;"",'ARDT Cutter Entry'!R119,'ARDT Cutter Entry'!R51)),"")</f>
        <v/>
      </c>
      <c r="S19" s="167" t="str">
        <f>IF(Data!$L$32=1,IF(OR(Data!$L$2=1,Data!$L$3=1),IF(OR(Data!CH54=0,Data!CH54=""),"","O"&amp;Data!CH54),IF('ARDT Cutter Entry'!$C$111&lt;&gt;"",'ARDT Cutter Entry'!S119,'ARDT Cutter Entry'!S51)),"")</f>
        <v/>
      </c>
      <c r="T19" s="167" t="str">
        <f>IF(Data!$L$32=1,IF(OR(Data!$L$2=1,Data!$L$3=1),IF(OR(Data!CI54=0,Data!CI54=""),"","O"&amp;Data!CI54),IF('ARDT Cutter Entry'!$C$111&lt;&gt;"",'ARDT Cutter Entry'!T119,'ARDT Cutter Entry'!T51)),"")</f>
        <v/>
      </c>
      <c r="U19" s="167" t="str">
        <f>IF(Data!$L$32=1,IF(OR(Data!$L$2=1,Data!$L$3=1),IF(OR(Data!CJ54=0,Data!CJ54=""),"","O"&amp;Data!CJ54),IF('ARDT Cutter Entry'!$C$111&lt;&gt;"",'ARDT Cutter Entry'!U119,'ARDT Cutter Entry'!U51)),"")</f>
        <v/>
      </c>
      <c r="V19" s="167" t="str">
        <f>IF(Data!$L$32=1,IF(OR(Data!$L$2=1,Data!$L$3=1),IF(OR(Data!CK54=0,Data!CK54=""),"","O"&amp;Data!CK54),IF('ARDT Cutter Entry'!$C$111&lt;&gt;"",'ARDT Cutter Entry'!V119,'ARDT Cutter Entry'!V51)),"")</f>
        <v/>
      </c>
      <c r="W19" s="167" t="str">
        <f>IF(Data!$L$32=1,IF(OR(Data!$L$2=1,Data!$L$3=1),IF(OR(Data!CL54=0,Data!CL54=""),"","O"&amp;Data!CL54),IF('ARDT Cutter Entry'!$C$111&lt;&gt;"",'ARDT Cutter Entry'!W119,'ARDT Cutter Entry'!W51)),"")</f>
        <v/>
      </c>
      <c r="X19" s="167" t="str">
        <f>IF(Data!$L$32=1,IF(OR(Data!$L$2=1,Data!$L$3=1),IF(OR(Data!CM54=0,Data!CM54=""),"","O"&amp;Data!CM54),IF('ARDT Cutter Entry'!$C$111&lt;&gt;"",'ARDT Cutter Entry'!X119,'ARDT Cutter Entry'!X51)),"")</f>
        <v/>
      </c>
      <c r="Y19" s="167" t="str">
        <f>IF(Data!$L$32=1,IF(OR(Data!$L$2=1,Data!$L$3=1),IF(OR(Data!CN54=0,Data!CN54=""),"","O"&amp;Data!CN54),IF('ARDT Cutter Entry'!$C$111&lt;&gt;"",'ARDT Cutter Entry'!Y119,'ARDT Cutter Entry'!Y51)),"")</f>
        <v/>
      </c>
      <c r="Z19" s="167" t="str">
        <f>IF(Data!$L$32=1,IF(OR(Data!$L$2=1,Data!$L$3=1),IF(OR(Data!CO54=0,Data!CO54=""),"","O"&amp;Data!CO54),IF('ARDT Cutter Entry'!$C$111&lt;&gt;"",'ARDT Cutter Entry'!Z119,'ARDT Cutter Entry'!Z51)),"")</f>
        <v/>
      </c>
      <c r="AA19" s="167" t="str">
        <f>IF(Data!$L$32=1,IF(OR(Data!$L$2=1,Data!$L$3=1),IF(OR(Data!CP54=0,Data!CP54=""),"","O"&amp;Data!CP54),IF('ARDT Cutter Entry'!$C$111&lt;&gt;"",'ARDT Cutter Entry'!AA119,'ARDT Cutter Entry'!AA51)),"")</f>
        <v/>
      </c>
      <c r="AB19" s="167" t="str">
        <f>IF(Data!$L$32=1,IF(OR(Data!$L$2=1,Data!$L$3=1),IF(OR(Data!CQ54=0,Data!CQ54=""),"","O"&amp;Data!CQ54),IF('ARDT Cutter Entry'!$C$111&lt;&gt;"",'ARDT Cutter Entry'!AB119,'ARDT Cutter Entry'!AB51)),"")</f>
        <v/>
      </c>
      <c r="AC19" s="167" t="str">
        <f>IF(Data!$L$32=1,IF(OR(Data!$L$2=1,Data!$L$3=1),IF(OR(Data!CR54=0,Data!CR54=""),"","O"&amp;Data!CR54),IF('ARDT Cutter Entry'!$C$111&lt;&gt;"",'ARDT Cutter Entry'!AC119,'ARDT Cutter Entry'!AC51)),"")</f>
        <v/>
      </c>
      <c r="AD19" s="167" t="str">
        <f>IF(Data!$L$32=1,IF(OR(Data!$L$2=1,Data!$L$3=1),IF(OR(Data!CS54=0,Data!CS54=""),"","O"&amp;Data!CS54),IF('ARDT Cutter Entry'!$C$111&lt;&gt;"",'ARDT Cutter Entry'!AD119,'ARDT Cutter Entry'!AD51)),"")</f>
        <v/>
      </c>
      <c r="AE19" s="167" t="str">
        <f>IF(Data!$L$32=1,IF(OR(Data!$L$2=1,Data!$L$3=1),IF(OR(Data!CT54=0,Data!CT54=""),"","O"&amp;Data!CT54),IF('ARDT Cutter Entry'!$C$111&lt;&gt;"",'ARDT Cutter Entry'!AE119,'ARDT Cutter Entry'!AE51)),"")</f>
        <v/>
      </c>
      <c r="AF19" s="167" t="str">
        <f>IF(Data!$L$32=1,IF(OR(Data!$L$2=1,Data!$L$3=1),IF(OR(Data!CU54=0,Data!CU54=""),"","O"&amp;Data!CU54),IF('ARDT Cutter Entry'!$C$111&lt;&gt;"",'ARDT Cutter Entry'!AF119,'ARDT Cutter Entry'!AF51)),"")</f>
        <v/>
      </c>
      <c r="AG19" s="167" t="str">
        <f>IF(Data!$L$32=1,IF(OR(Data!$L$2=1,Data!$L$3=1),IF(OR(Data!CV54=0,Data!CV54=""),"","O"&amp;Data!CV54),IF('ARDT Cutter Entry'!$C$111&lt;&gt;"",'ARDT Cutter Entry'!AG119,'ARDT Cutter Entry'!AG51)),"")</f>
        <v/>
      </c>
      <c r="AH19" s="167" t="str">
        <f>IF(Data!$L$32=1,IF(OR(Data!$L$2=1,Data!$L$3=1),IF(OR(Data!CW54=0,Data!CW54=""),"","O"&amp;Data!CW54),IF('ARDT Cutter Entry'!$C$111&lt;&gt;"",'ARDT Cutter Entry'!AH119,'ARDT Cutter Entry'!AH51)),"")</f>
        <v/>
      </c>
      <c r="AI19" s="167" t="str">
        <f>IF(Data!$L$32=1,IF(OR(Data!$L$2=1,Data!$L$3=1),IF(OR(Data!CX54=0,Data!CX54=""),"","O"&amp;Data!CX54),IF('ARDT Cutter Entry'!$C$111&lt;&gt;"",'ARDT Cutter Entry'!AI119,'ARDT Cutter Entry'!AI51)),"")</f>
        <v/>
      </c>
      <c r="AJ19" s="167" t="str">
        <f>IF(Data!$L$32=1,IF(OR(Data!$L$2=1,Data!$L$3=1),IF(OR(Data!CY54=0,Data!CY54=""),"","O"&amp;Data!CY54),IF('ARDT Cutter Entry'!$C$111&lt;&gt;"",'ARDT Cutter Entry'!AJ119,'ARDT Cutter Entry'!AJ51)),"")</f>
        <v/>
      </c>
    </row>
    <row r="20" spans="1:37" ht="15.25" customHeight="1" x14ac:dyDescent="0.35">
      <c r="A20" s="1700"/>
      <c r="B20" s="396">
        <v>10</v>
      </c>
      <c r="C20" s="233" t="str">
        <f>IF(Data!$L$32=1,IF(OR(Data!$L$2=1,Data!$L$3=1),IF(OR(Data!BR55=0,Data!BR55=""),"","O"&amp;Data!BR55),IF('ARDT Cutter Entry'!$C$111&lt;&gt;"",'ARDT Cutter Entry'!C120,'ARDT Cutter Entry'!C52)),"")</f>
        <v/>
      </c>
      <c r="D20" s="167" t="str">
        <f>IF(Data!$L$32=1,IF(OR(Data!$L$2=1,Data!$L$3=1),IF(OR(Data!BS55=0,Data!BS55=""),"","O"&amp;Data!BS55),IF('ARDT Cutter Entry'!$C$111&lt;&gt;"",'ARDT Cutter Entry'!D120,'ARDT Cutter Entry'!D52)),"")</f>
        <v/>
      </c>
      <c r="E20" s="167" t="str">
        <f>IF(Data!$L$32=1,IF(OR(Data!$L$2=1,Data!$L$3=1),IF(OR(Data!BT55=0,Data!BT55=""),"","O"&amp;Data!BT55),IF('ARDT Cutter Entry'!$C$111&lt;&gt;"",'ARDT Cutter Entry'!E120,'ARDT Cutter Entry'!E52)),"")</f>
        <v/>
      </c>
      <c r="F20" s="167" t="str">
        <f>IF(Data!$L$32=1,IF(OR(Data!$L$2=1,Data!$L$3=1),IF(OR(Data!BU55=0,Data!BU55=""),"","O"&amp;Data!BU55),IF('ARDT Cutter Entry'!$C$111&lt;&gt;"",'ARDT Cutter Entry'!F120,'ARDT Cutter Entry'!F52)),"")</f>
        <v/>
      </c>
      <c r="G20" s="167" t="str">
        <f>IF(Data!$L$32=1,IF(OR(Data!$L$2=1,Data!$L$3=1),IF(OR(Data!BV55=0,Data!BV55=""),"","O"&amp;Data!BV55),IF('ARDT Cutter Entry'!$C$111&lt;&gt;"",'ARDT Cutter Entry'!G120,'ARDT Cutter Entry'!G52)),"")</f>
        <v/>
      </c>
      <c r="H20" s="167" t="str">
        <f>IF(Data!$L$32=1,IF(OR(Data!$L$2=1,Data!$L$3=1),IF(OR(Data!BW55=0,Data!BW55=""),"","O"&amp;Data!BW55),IF('ARDT Cutter Entry'!$C$111&lt;&gt;"",'ARDT Cutter Entry'!H120,'ARDT Cutter Entry'!H52)),"")</f>
        <v/>
      </c>
      <c r="I20" s="167" t="str">
        <f>IF(Data!$L$32=1,IF(OR(Data!$L$2=1,Data!$L$3=1),IF(OR(Data!BX55=0,Data!BX55=""),"","O"&amp;Data!BX55),IF('ARDT Cutter Entry'!$C$111&lt;&gt;"",'ARDT Cutter Entry'!I120,'ARDT Cutter Entry'!I52)),"")</f>
        <v/>
      </c>
      <c r="J20" s="167" t="str">
        <f>IF(Data!$L$32=1,IF(OR(Data!$L$2=1,Data!$L$3=1),IF(OR(Data!BY55=0,Data!BY55=""),"","O"&amp;Data!BY55),IF('ARDT Cutter Entry'!$C$111&lt;&gt;"",'ARDT Cutter Entry'!J120,'ARDT Cutter Entry'!J52)),"")</f>
        <v/>
      </c>
      <c r="K20" s="167" t="str">
        <f>IF(Data!$L$32=1,IF(OR(Data!$L$2=1,Data!$L$3=1),IF(OR(Data!BZ55=0,Data!BZ55=""),"","O"&amp;Data!BZ55),IF('ARDT Cutter Entry'!$C$111&lt;&gt;"",'ARDT Cutter Entry'!K120,'ARDT Cutter Entry'!K52)),"")</f>
        <v/>
      </c>
      <c r="L20" s="167" t="str">
        <f>IF(Data!$L$32=1,IF(OR(Data!$L$2=1,Data!$L$3=1),IF(OR(Data!CA55=0,Data!CA55=""),"","O"&amp;Data!CA55),IF('ARDT Cutter Entry'!$C$111&lt;&gt;"",'ARDT Cutter Entry'!L120,'ARDT Cutter Entry'!L52)),"")</f>
        <v/>
      </c>
      <c r="M20" s="167" t="str">
        <f>IF(Data!$L$32=1,IF(OR(Data!$L$2=1,Data!$L$3=1),IF(OR(Data!CB55=0,Data!CB55=""),"","O"&amp;Data!CB55),IF('ARDT Cutter Entry'!$C$111&lt;&gt;"",'ARDT Cutter Entry'!M120,'ARDT Cutter Entry'!M52)),"")</f>
        <v/>
      </c>
      <c r="N20" s="167" t="str">
        <f>IF(Data!$L$32=1,IF(OR(Data!$L$2=1,Data!$L$3=1),IF(OR(Data!CC55=0,Data!CC55=""),"","O"&amp;Data!CC55),IF('ARDT Cutter Entry'!$C$111&lt;&gt;"",'ARDT Cutter Entry'!N120,'ARDT Cutter Entry'!N52)),"")</f>
        <v/>
      </c>
      <c r="O20" s="167" t="str">
        <f>IF(Data!$L$32=1,IF(OR(Data!$L$2=1,Data!$L$3=1),IF(OR(Data!CD55=0,Data!CD55=""),"","O"&amp;Data!CD55),IF('ARDT Cutter Entry'!$C$111&lt;&gt;"",'ARDT Cutter Entry'!O120,'ARDT Cutter Entry'!O52)),"")</f>
        <v/>
      </c>
      <c r="P20" s="167" t="str">
        <f>IF(Data!$L$32=1,IF(OR(Data!$L$2=1,Data!$L$3=1),IF(OR(Data!CE55=0,Data!CE55=""),"","O"&amp;Data!CE55),IF('ARDT Cutter Entry'!$C$111&lt;&gt;"",'ARDT Cutter Entry'!P120,'ARDT Cutter Entry'!P52)),"")</f>
        <v/>
      </c>
      <c r="Q20" s="167" t="str">
        <f>IF(Data!$L$32=1,IF(OR(Data!$L$2=1,Data!$L$3=1),IF(OR(Data!CF55=0,Data!CF55=""),"","O"&amp;Data!CF55),IF('ARDT Cutter Entry'!$C$111&lt;&gt;"",'ARDT Cutter Entry'!Q120,'ARDT Cutter Entry'!Q52)),"")</f>
        <v/>
      </c>
      <c r="R20" s="167" t="str">
        <f>IF(Data!$L$32=1,IF(OR(Data!$L$2=1,Data!$L$3=1),IF(OR(Data!CG55=0,Data!CG55=""),"","O"&amp;Data!CG55),IF('ARDT Cutter Entry'!$C$111&lt;&gt;"",'ARDT Cutter Entry'!R120,'ARDT Cutter Entry'!R52)),"")</f>
        <v/>
      </c>
      <c r="S20" s="167" t="str">
        <f>IF(Data!$L$32=1,IF(OR(Data!$L$2=1,Data!$L$3=1),IF(OR(Data!CH55=0,Data!CH55=""),"","O"&amp;Data!CH55),IF('ARDT Cutter Entry'!$C$111&lt;&gt;"",'ARDT Cutter Entry'!S120,'ARDT Cutter Entry'!S52)),"")</f>
        <v/>
      </c>
      <c r="T20" s="167" t="str">
        <f>IF(Data!$L$32=1,IF(OR(Data!$L$2=1,Data!$L$3=1),IF(OR(Data!CI55=0,Data!CI55=""),"","O"&amp;Data!CI55),IF('ARDT Cutter Entry'!$C$111&lt;&gt;"",'ARDT Cutter Entry'!T120,'ARDT Cutter Entry'!T52)),"")</f>
        <v/>
      </c>
      <c r="U20" s="167" t="str">
        <f>IF(Data!$L$32=1,IF(OR(Data!$L$2=1,Data!$L$3=1),IF(OR(Data!CJ55=0,Data!CJ55=""),"","O"&amp;Data!CJ55),IF('ARDT Cutter Entry'!$C$111&lt;&gt;"",'ARDT Cutter Entry'!U120,'ARDT Cutter Entry'!U52)),"")</f>
        <v/>
      </c>
      <c r="V20" s="167" t="str">
        <f>IF(Data!$L$32=1,IF(OR(Data!$L$2=1,Data!$L$3=1),IF(OR(Data!CK55=0,Data!CK55=""),"","O"&amp;Data!CK55),IF('ARDT Cutter Entry'!$C$111&lt;&gt;"",'ARDT Cutter Entry'!V120,'ARDT Cutter Entry'!V52)),"")</f>
        <v/>
      </c>
      <c r="W20" s="167" t="str">
        <f>IF(Data!$L$32=1,IF(OR(Data!$L$2=1,Data!$L$3=1),IF(OR(Data!CL55=0,Data!CL55=""),"","O"&amp;Data!CL55),IF('ARDT Cutter Entry'!$C$111&lt;&gt;"",'ARDT Cutter Entry'!W120,'ARDT Cutter Entry'!W52)),"")</f>
        <v/>
      </c>
      <c r="X20" s="167" t="str">
        <f>IF(Data!$L$32=1,IF(OR(Data!$L$2=1,Data!$L$3=1),IF(OR(Data!CM55=0,Data!CM55=""),"","O"&amp;Data!CM55),IF('ARDT Cutter Entry'!$C$111&lt;&gt;"",'ARDT Cutter Entry'!X120,'ARDT Cutter Entry'!X52)),"")</f>
        <v/>
      </c>
      <c r="Y20" s="167" t="str">
        <f>IF(Data!$L$32=1,IF(OR(Data!$L$2=1,Data!$L$3=1),IF(OR(Data!CN55=0,Data!CN55=""),"","O"&amp;Data!CN55),IF('ARDT Cutter Entry'!$C$111&lt;&gt;"",'ARDT Cutter Entry'!Y120,'ARDT Cutter Entry'!Y52)),"")</f>
        <v/>
      </c>
      <c r="Z20" s="167" t="str">
        <f>IF(Data!$L$32=1,IF(OR(Data!$L$2=1,Data!$L$3=1),IF(OR(Data!CO55=0,Data!CO55=""),"","O"&amp;Data!CO55),IF('ARDT Cutter Entry'!$C$111&lt;&gt;"",'ARDT Cutter Entry'!Z120,'ARDT Cutter Entry'!Z52)),"")</f>
        <v/>
      </c>
      <c r="AA20" s="167" t="str">
        <f>IF(Data!$L$32=1,IF(OR(Data!$L$2=1,Data!$L$3=1),IF(OR(Data!CP55=0,Data!CP55=""),"","O"&amp;Data!CP55),IF('ARDT Cutter Entry'!$C$111&lt;&gt;"",'ARDT Cutter Entry'!AA120,'ARDT Cutter Entry'!AA52)),"")</f>
        <v/>
      </c>
      <c r="AB20" s="167" t="str">
        <f>IF(Data!$L$32=1,IF(OR(Data!$L$2=1,Data!$L$3=1),IF(OR(Data!CQ55=0,Data!CQ55=""),"","O"&amp;Data!CQ55),IF('ARDT Cutter Entry'!$C$111&lt;&gt;"",'ARDT Cutter Entry'!AB120,'ARDT Cutter Entry'!AB52)),"")</f>
        <v/>
      </c>
      <c r="AC20" s="167" t="str">
        <f>IF(Data!$L$32=1,IF(OR(Data!$L$2=1,Data!$L$3=1),IF(OR(Data!CR55=0,Data!CR55=""),"","O"&amp;Data!CR55),IF('ARDT Cutter Entry'!$C$111&lt;&gt;"",'ARDT Cutter Entry'!AC120,'ARDT Cutter Entry'!AC52)),"")</f>
        <v/>
      </c>
      <c r="AD20" s="167" t="str">
        <f>IF(Data!$L$32=1,IF(OR(Data!$L$2=1,Data!$L$3=1),IF(OR(Data!CS55=0,Data!CS55=""),"","O"&amp;Data!CS55),IF('ARDT Cutter Entry'!$C$111&lt;&gt;"",'ARDT Cutter Entry'!AD120,'ARDT Cutter Entry'!AD52)),"")</f>
        <v/>
      </c>
      <c r="AE20" s="167" t="str">
        <f>IF(Data!$L$32=1,IF(OR(Data!$L$2=1,Data!$L$3=1),IF(OR(Data!CT55=0,Data!CT55=""),"","O"&amp;Data!CT55),IF('ARDT Cutter Entry'!$C$111&lt;&gt;"",'ARDT Cutter Entry'!AE120,'ARDT Cutter Entry'!AE52)),"")</f>
        <v/>
      </c>
      <c r="AF20" s="167" t="str">
        <f>IF(Data!$L$32=1,IF(OR(Data!$L$2=1,Data!$L$3=1),IF(OR(Data!CU55=0,Data!CU55=""),"","O"&amp;Data!CU55),IF('ARDT Cutter Entry'!$C$111&lt;&gt;"",'ARDT Cutter Entry'!AF120,'ARDT Cutter Entry'!AF52)),"")</f>
        <v/>
      </c>
      <c r="AG20" s="167" t="str">
        <f>IF(Data!$L$32=1,IF(OR(Data!$L$2=1,Data!$L$3=1),IF(OR(Data!CV55=0,Data!CV55=""),"","O"&amp;Data!CV55),IF('ARDT Cutter Entry'!$C$111&lt;&gt;"",'ARDT Cutter Entry'!AG120,'ARDT Cutter Entry'!AG52)),"")</f>
        <v/>
      </c>
      <c r="AH20" s="167" t="str">
        <f>IF(Data!$L$32=1,IF(OR(Data!$L$2=1,Data!$L$3=1),IF(OR(Data!CW55=0,Data!CW55=""),"","O"&amp;Data!CW55),IF('ARDT Cutter Entry'!$C$111&lt;&gt;"",'ARDT Cutter Entry'!AH120,'ARDT Cutter Entry'!AH52)),"")</f>
        <v/>
      </c>
      <c r="AI20" s="167" t="str">
        <f>IF(Data!$L$32=1,IF(OR(Data!$L$2=1,Data!$L$3=1),IF(OR(Data!CX55=0,Data!CX55=""),"","O"&amp;Data!CX55),IF('ARDT Cutter Entry'!$C$111&lt;&gt;"",'ARDT Cutter Entry'!AI120,'ARDT Cutter Entry'!AI52)),"")</f>
        <v/>
      </c>
      <c r="AJ20" s="167" t="str">
        <f>IF(Data!$L$32=1,IF(OR(Data!$L$2=1,Data!$L$3=1),IF(OR(Data!CY55=0,Data!CY55=""),"","O"&amp;Data!CY55),IF('ARDT Cutter Entry'!$C$111&lt;&gt;"",'ARDT Cutter Entry'!AJ120,'ARDT Cutter Entry'!AJ52)),"")</f>
        <v/>
      </c>
    </row>
    <row r="21" spans="1:37" ht="15.25" customHeight="1" x14ac:dyDescent="0.35">
      <c r="A21" s="1700"/>
      <c r="B21" s="396">
        <v>11</v>
      </c>
      <c r="C21" s="233" t="str">
        <f>IF(Data!$L$32=1,IF(OR(Data!$L$2=1,Data!$L$3=1),IF(OR(Data!BR56=0,Data!BR56=""),"","O"&amp;Data!BR56),IF('ARDT Cutter Entry'!$C$111&lt;&gt;"",'ARDT Cutter Entry'!C121,'ARDT Cutter Entry'!C53)),"")</f>
        <v/>
      </c>
      <c r="D21" s="167" t="str">
        <f>IF(Data!$L$32=1,IF(OR(Data!$L$2=1,Data!$L$3=1),IF(OR(Data!BS56=0,Data!BS56=""),"","O"&amp;Data!BS56),IF('ARDT Cutter Entry'!$C$111&lt;&gt;"",'ARDT Cutter Entry'!D121,'ARDT Cutter Entry'!D53)),"")</f>
        <v/>
      </c>
      <c r="E21" s="167" t="str">
        <f>IF(Data!$L$32=1,IF(OR(Data!$L$2=1,Data!$L$3=1),IF(OR(Data!BT56=0,Data!BT56=""),"","O"&amp;Data!BT56),IF('ARDT Cutter Entry'!$C$111&lt;&gt;"",'ARDT Cutter Entry'!E121,'ARDT Cutter Entry'!E53)),"")</f>
        <v/>
      </c>
      <c r="F21" s="167" t="str">
        <f>IF(Data!$L$32=1,IF(OR(Data!$L$2=1,Data!$L$3=1),IF(OR(Data!BU56=0,Data!BU56=""),"","O"&amp;Data!BU56),IF('ARDT Cutter Entry'!$C$111&lt;&gt;"",'ARDT Cutter Entry'!F121,'ARDT Cutter Entry'!F53)),"")</f>
        <v/>
      </c>
      <c r="G21" s="167" t="str">
        <f>IF(Data!$L$32=1,IF(OR(Data!$L$2=1,Data!$L$3=1),IF(OR(Data!BV56=0,Data!BV56=""),"","O"&amp;Data!BV56),IF('ARDT Cutter Entry'!$C$111&lt;&gt;"",'ARDT Cutter Entry'!G121,'ARDT Cutter Entry'!G53)),"")</f>
        <v/>
      </c>
      <c r="H21" s="167" t="str">
        <f>IF(Data!$L$32=1,IF(OR(Data!$L$2=1,Data!$L$3=1),IF(OR(Data!BW56=0,Data!BW56=""),"","O"&amp;Data!BW56),IF('ARDT Cutter Entry'!$C$111&lt;&gt;"",'ARDT Cutter Entry'!H121,'ARDT Cutter Entry'!H53)),"")</f>
        <v/>
      </c>
      <c r="I21" s="167" t="str">
        <f>IF(Data!$L$32=1,IF(OR(Data!$L$2=1,Data!$L$3=1),IF(OR(Data!BX56=0,Data!BX56=""),"","O"&amp;Data!BX56),IF('ARDT Cutter Entry'!$C$111&lt;&gt;"",'ARDT Cutter Entry'!I121,'ARDT Cutter Entry'!I53)),"")</f>
        <v/>
      </c>
      <c r="J21" s="167" t="str">
        <f>IF(Data!$L$32=1,IF(OR(Data!$L$2=1,Data!$L$3=1),IF(OR(Data!BY56=0,Data!BY56=""),"","O"&amp;Data!BY56),IF('ARDT Cutter Entry'!$C$111&lt;&gt;"",'ARDT Cutter Entry'!J121,'ARDT Cutter Entry'!J53)),"")</f>
        <v/>
      </c>
      <c r="K21" s="167" t="str">
        <f>IF(Data!$L$32=1,IF(OR(Data!$L$2=1,Data!$L$3=1),IF(OR(Data!BZ56=0,Data!BZ56=""),"","O"&amp;Data!BZ56),IF('ARDT Cutter Entry'!$C$111&lt;&gt;"",'ARDT Cutter Entry'!K121,'ARDT Cutter Entry'!K53)),"")</f>
        <v/>
      </c>
      <c r="L21" s="167" t="str">
        <f>IF(Data!$L$32=1,IF(OR(Data!$L$2=1,Data!$L$3=1),IF(OR(Data!CA56=0,Data!CA56=""),"","O"&amp;Data!CA56),IF('ARDT Cutter Entry'!$C$111&lt;&gt;"",'ARDT Cutter Entry'!L121,'ARDT Cutter Entry'!L53)),"")</f>
        <v/>
      </c>
      <c r="M21" s="167" t="str">
        <f>IF(Data!$L$32=1,IF(OR(Data!$L$2=1,Data!$L$3=1),IF(OR(Data!CB56=0,Data!CB56=""),"","O"&amp;Data!CB56),IF('ARDT Cutter Entry'!$C$111&lt;&gt;"",'ARDT Cutter Entry'!M121,'ARDT Cutter Entry'!M53)),"")</f>
        <v/>
      </c>
      <c r="N21" s="167" t="str">
        <f>IF(Data!$L$32=1,IF(OR(Data!$L$2=1,Data!$L$3=1),IF(OR(Data!CC56=0,Data!CC56=""),"","O"&amp;Data!CC56),IF('ARDT Cutter Entry'!$C$111&lt;&gt;"",'ARDT Cutter Entry'!N121,'ARDT Cutter Entry'!N53)),"")</f>
        <v/>
      </c>
      <c r="O21" s="167" t="str">
        <f>IF(Data!$L$32=1,IF(OR(Data!$L$2=1,Data!$L$3=1),IF(OR(Data!CD56=0,Data!CD56=""),"","O"&amp;Data!CD56),IF('ARDT Cutter Entry'!$C$111&lt;&gt;"",'ARDT Cutter Entry'!O121,'ARDT Cutter Entry'!O53)),"")</f>
        <v/>
      </c>
      <c r="P21" s="167" t="str">
        <f>IF(Data!$L$32=1,IF(OR(Data!$L$2=1,Data!$L$3=1),IF(OR(Data!CE56=0,Data!CE56=""),"","O"&amp;Data!CE56),IF('ARDT Cutter Entry'!$C$111&lt;&gt;"",'ARDT Cutter Entry'!P121,'ARDT Cutter Entry'!P53)),"")</f>
        <v/>
      </c>
      <c r="Q21" s="167" t="str">
        <f>IF(Data!$L$32=1,IF(OR(Data!$L$2=1,Data!$L$3=1),IF(OR(Data!CF56=0,Data!CF56=""),"","O"&amp;Data!CF56),IF('ARDT Cutter Entry'!$C$111&lt;&gt;"",'ARDT Cutter Entry'!Q121,'ARDT Cutter Entry'!Q53)),"")</f>
        <v/>
      </c>
      <c r="R21" s="167" t="str">
        <f>IF(Data!$L$32=1,IF(OR(Data!$L$2=1,Data!$L$3=1),IF(OR(Data!CG56=0,Data!CG56=""),"","O"&amp;Data!CG56),IF('ARDT Cutter Entry'!$C$111&lt;&gt;"",'ARDT Cutter Entry'!R121,'ARDT Cutter Entry'!R53)),"")</f>
        <v/>
      </c>
      <c r="S21" s="167" t="str">
        <f>IF(Data!$L$32=1,IF(OR(Data!$L$2=1,Data!$L$3=1),IF(OR(Data!CH56=0,Data!CH56=""),"","O"&amp;Data!CH56),IF('ARDT Cutter Entry'!$C$111&lt;&gt;"",'ARDT Cutter Entry'!S121,'ARDT Cutter Entry'!S53)),"")</f>
        <v/>
      </c>
      <c r="T21" s="167" t="str">
        <f>IF(Data!$L$32=1,IF(OR(Data!$L$2=1,Data!$L$3=1),IF(OR(Data!CI56=0,Data!CI56=""),"","O"&amp;Data!CI56),IF('ARDT Cutter Entry'!$C$111&lt;&gt;"",'ARDT Cutter Entry'!T121,'ARDT Cutter Entry'!T53)),"")</f>
        <v/>
      </c>
      <c r="U21" s="167" t="str">
        <f>IF(Data!$L$32=1,IF(OR(Data!$L$2=1,Data!$L$3=1),IF(OR(Data!CJ56=0,Data!CJ56=""),"","O"&amp;Data!CJ56),IF('ARDT Cutter Entry'!$C$111&lt;&gt;"",'ARDT Cutter Entry'!U121,'ARDT Cutter Entry'!U53)),"")</f>
        <v/>
      </c>
      <c r="V21" s="167" t="str">
        <f>IF(Data!$L$32=1,IF(OR(Data!$L$2=1,Data!$L$3=1),IF(OR(Data!CK56=0,Data!CK56=""),"","O"&amp;Data!CK56),IF('ARDT Cutter Entry'!$C$111&lt;&gt;"",'ARDT Cutter Entry'!V121,'ARDT Cutter Entry'!V53)),"")</f>
        <v/>
      </c>
      <c r="W21" s="167" t="str">
        <f>IF(Data!$L$32=1,IF(OR(Data!$L$2=1,Data!$L$3=1),IF(OR(Data!CL56=0,Data!CL56=""),"","O"&amp;Data!CL56),IF('ARDT Cutter Entry'!$C$111&lt;&gt;"",'ARDT Cutter Entry'!W121,'ARDT Cutter Entry'!W53)),"")</f>
        <v/>
      </c>
      <c r="X21" s="167" t="str">
        <f>IF(Data!$L$32=1,IF(OR(Data!$L$2=1,Data!$L$3=1),IF(OR(Data!CM56=0,Data!CM56=""),"","O"&amp;Data!CM56),IF('ARDT Cutter Entry'!$C$111&lt;&gt;"",'ARDT Cutter Entry'!X121,'ARDT Cutter Entry'!X53)),"")</f>
        <v/>
      </c>
      <c r="Y21" s="167" t="str">
        <f>IF(Data!$L$32=1,IF(OR(Data!$L$2=1,Data!$L$3=1),IF(OR(Data!CN56=0,Data!CN56=""),"","O"&amp;Data!CN56),IF('ARDT Cutter Entry'!$C$111&lt;&gt;"",'ARDT Cutter Entry'!Y121,'ARDT Cutter Entry'!Y53)),"")</f>
        <v/>
      </c>
      <c r="Z21" s="167" t="str">
        <f>IF(Data!$L$32=1,IF(OR(Data!$L$2=1,Data!$L$3=1),IF(OR(Data!CO56=0,Data!CO56=""),"","O"&amp;Data!CO56),IF('ARDT Cutter Entry'!$C$111&lt;&gt;"",'ARDT Cutter Entry'!Z121,'ARDT Cutter Entry'!Z53)),"")</f>
        <v/>
      </c>
      <c r="AA21" s="167" t="str">
        <f>IF(Data!$L$32=1,IF(OR(Data!$L$2=1,Data!$L$3=1),IF(OR(Data!CP56=0,Data!CP56=""),"","O"&amp;Data!CP56),IF('ARDT Cutter Entry'!$C$111&lt;&gt;"",'ARDT Cutter Entry'!AA121,'ARDT Cutter Entry'!AA53)),"")</f>
        <v/>
      </c>
      <c r="AB21" s="167" t="str">
        <f>IF(Data!$L$32=1,IF(OR(Data!$L$2=1,Data!$L$3=1),IF(OR(Data!CQ56=0,Data!CQ56=""),"","O"&amp;Data!CQ56),IF('ARDT Cutter Entry'!$C$111&lt;&gt;"",'ARDT Cutter Entry'!AB121,'ARDT Cutter Entry'!AB53)),"")</f>
        <v/>
      </c>
      <c r="AC21" s="167" t="str">
        <f>IF(Data!$L$32=1,IF(OR(Data!$L$2=1,Data!$L$3=1),IF(OR(Data!CR56=0,Data!CR56=""),"","O"&amp;Data!CR56),IF('ARDT Cutter Entry'!$C$111&lt;&gt;"",'ARDT Cutter Entry'!AC121,'ARDT Cutter Entry'!AC53)),"")</f>
        <v/>
      </c>
      <c r="AD21" s="167" t="str">
        <f>IF(Data!$L$32=1,IF(OR(Data!$L$2=1,Data!$L$3=1),IF(OR(Data!CS56=0,Data!CS56=""),"","O"&amp;Data!CS56),IF('ARDT Cutter Entry'!$C$111&lt;&gt;"",'ARDT Cutter Entry'!AD121,'ARDT Cutter Entry'!AD53)),"")</f>
        <v/>
      </c>
      <c r="AE21" s="167" t="str">
        <f>IF(Data!$L$32=1,IF(OR(Data!$L$2=1,Data!$L$3=1),IF(OR(Data!CT56=0,Data!CT56=""),"","O"&amp;Data!CT56),IF('ARDT Cutter Entry'!$C$111&lt;&gt;"",'ARDT Cutter Entry'!AE121,'ARDT Cutter Entry'!AE53)),"")</f>
        <v/>
      </c>
      <c r="AF21" s="167" t="str">
        <f>IF(Data!$L$32=1,IF(OR(Data!$L$2=1,Data!$L$3=1),IF(OR(Data!CU56=0,Data!CU56=""),"","O"&amp;Data!CU56),IF('ARDT Cutter Entry'!$C$111&lt;&gt;"",'ARDT Cutter Entry'!AF121,'ARDT Cutter Entry'!AF53)),"")</f>
        <v/>
      </c>
      <c r="AG21" s="167" t="str">
        <f>IF(Data!$L$32=1,IF(OR(Data!$L$2=1,Data!$L$3=1),IF(OR(Data!CV56=0,Data!CV56=""),"","O"&amp;Data!CV56),IF('ARDT Cutter Entry'!$C$111&lt;&gt;"",'ARDT Cutter Entry'!AG121,'ARDT Cutter Entry'!AG53)),"")</f>
        <v/>
      </c>
      <c r="AH21" s="167" t="str">
        <f>IF(Data!$L$32=1,IF(OR(Data!$L$2=1,Data!$L$3=1),IF(OR(Data!CW56=0,Data!CW56=""),"","O"&amp;Data!CW56),IF('ARDT Cutter Entry'!$C$111&lt;&gt;"",'ARDT Cutter Entry'!AH121,'ARDT Cutter Entry'!AH53)),"")</f>
        <v/>
      </c>
      <c r="AI21" s="167" t="str">
        <f>IF(Data!$L$32=1,IF(OR(Data!$L$2=1,Data!$L$3=1),IF(OR(Data!CX56=0,Data!CX56=""),"","O"&amp;Data!CX56),IF('ARDT Cutter Entry'!$C$111&lt;&gt;"",'ARDT Cutter Entry'!AI121,'ARDT Cutter Entry'!AI53)),"")</f>
        <v/>
      </c>
      <c r="AJ21" s="167" t="str">
        <f>IF(Data!$L$32=1,IF(OR(Data!$L$2=1,Data!$L$3=1),IF(OR(Data!CY56=0,Data!CY56=""),"","O"&amp;Data!CY56),IF('ARDT Cutter Entry'!$C$111&lt;&gt;"",'ARDT Cutter Entry'!AJ121,'ARDT Cutter Entry'!AJ53)),"")</f>
        <v/>
      </c>
    </row>
    <row r="22" spans="1:37" ht="15.25" customHeight="1" thickBot="1" x14ac:dyDescent="0.4">
      <c r="A22" s="1701"/>
      <c r="B22" s="483">
        <v>12</v>
      </c>
      <c r="C22" s="249" t="str">
        <f>IF(Data!$L$32=1,IF(OR(Data!$L$2=1,Data!$L$3=1),IF(OR(Data!BR57=0,Data!BR57=""),"","O"&amp;Data!BR57),IF('ARDT Cutter Entry'!$C$111&lt;&gt;"",'ARDT Cutter Entry'!C122,'ARDT Cutter Entry'!C54)),"")</f>
        <v/>
      </c>
      <c r="D22" s="250" t="str">
        <f>IF(Data!$L$32=1,IF(OR(Data!$L$2=1,Data!$L$3=1),IF(OR(Data!BS57=0,Data!BS57=""),"","O"&amp;Data!BS57),IF('ARDT Cutter Entry'!$C$111&lt;&gt;"",'ARDT Cutter Entry'!D122,'ARDT Cutter Entry'!D54)),"")</f>
        <v/>
      </c>
      <c r="E22" s="250" t="str">
        <f>IF(Data!$L$32=1,IF(OR(Data!$L$2=1,Data!$L$3=1),IF(OR(Data!BT57=0,Data!BT57=""),"","O"&amp;Data!BT57),IF('ARDT Cutter Entry'!$C$111&lt;&gt;"",'ARDT Cutter Entry'!E122,'ARDT Cutter Entry'!E54)),"")</f>
        <v/>
      </c>
      <c r="F22" s="250" t="str">
        <f>IF(Data!$L$32=1,IF(OR(Data!$L$2=1,Data!$L$3=1),IF(OR(Data!BU57=0,Data!BU57=""),"","O"&amp;Data!BU57),IF('ARDT Cutter Entry'!$C$111&lt;&gt;"",'ARDT Cutter Entry'!F122,'ARDT Cutter Entry'!F54)),"")</f>
        <v/>
      </c>
      <c r="G22" s="250" t="str">
        <f>IF(Data!$L$32=1,IF(OR(Data!$L$2=1,Data!$L$3=1),IF(OR(Data!BV57=0,Data!BV57=""),"","O"&amp;Data!BV57),IF('ARDT Cutter Entry'!$C$111&lt;&gt;"",'ARDT Cutter Entry'!G122,'ARDT Cutter Entry'!G54)),"")</f>
        <v/>
      </c>
      <c r="H22" s="250" t="str">
        <f>IF(Data!$L$32=1,IF(OR(Data!$L$2=1,Data!$L$3=1),IF(OR(Data!BW57=0,Data!BW57=""),"","O"&amp;Data!BW57),IF('ARDT Cutter Entry'!$C$111&lt;&gt;"",'ARDT Cutter Entry'!H122,'ARDT Cutter Entry'!H54)),"")</f>
        <v/>
      </c>
      <c r="I22" s="250" t="str">
        <f>IF(Data!$L$32=1,IF(OR(Data!$L$2=1,Data!$L$3=1),IF(OR(Data!BX57=0,Data!BX57=""),"","O"&amp;Data!BX57),IF('ARDT Cutter Entry'!$C$111&lt;&gt;"",'ARDT Cutter Entry'!I122,'ARDT Cutter Entry'!I54)),"")</f>
        <v/>
      </c>
      <c r="J22" s="250" t="str">
        <f>IF(Data!$L$32=1,IF(OR(Data!$L$2=1,Data!$L$3=1),IF(OR(Data!BY57=0,Data!BY57=""),"","O"&amp;Data!BY57),IF('ARDT Cutter Entry'!$C$111&lt;&gt;"",'ARDT Cutter Entry'!J122,'ARDT Cutter Entry'!J54)),"")</f>
        <v/>
      </c>
      <c r="K22" s="250" t="str">
        <f>IF(Data!$L$32=1,IF(OR(Data!$L$2=1,Data!$L$3=1),IF(OR(Data!BZ57=0,Data!BZ57=""),"","O"&amp;Data!BZ57),IF('ARDT Cutter Entry'!$C$111&lt;&gt;"",'ARDT Cutter Entry'!K122,'ARDT Cutter Entry'!K54)),"")</f>
        <v/>
      </c>
      <c r="L22" s="250" t="str">
        <f>IF(Data!$L$32=1,IF(OR(Data!$L$2=1,Data!$L$3=1),IF(OR(Data!CA57=0,Data!CA57=""),"","O"&amp;Data!CA57),IF('ARDT Cutter Entry'!$C$111&lt;&gt;"",'ARDT Cutter Entry'!L122,'ARDT Cutter Entry'!L54)),"")</f>
        <v/>
      </c>
      <c r="M22" s="250" t="str">
        <f>IF(Data!$L$32=1,IF(OR(Data!$L$2=1,Data!$L$3=1),IF(OR(Data!CB57=0,Data!CB57=""),"","O"&amp;Data!CB57),IF('ARDT Cutter Entry'!$C$111&lt;&gt;"",'ARDT Cutter Entry'!M122,'ARDT Cutter Entry'!M54)),"")</f>
        <v/>
      </c>
      <c r="N22" s="250" t="str">
        <f>IF(Data!$L$32=1,IF(OR(Data!$L$2=1,Data!$L$3=1),IF(OR(Data!CC57=0,Data!CC57=""),"","O"&amp;Data!CC57),IF('ARDT Cutter Entry'!$C$111&lt;&gt;"",'ARDT Cutter Entry'!N122,'ARDT Cutter Entry'!N54)),"")</f>
        <v/>
      </c>
      <c r="O22" s="250" t="str">
        <f>IF(Data!$L$32=1,IF(OR(Data!$L$2=1,Data!$L$3=1),IF(OR(Data!CD57=0,Data!CD57=""),"","O"&amp;Data!CD57),IF('ARDT Cutter Entry'!$C$111&lt;&gt;"",'ARDT Cutter Entry'!O122,'ARDT Cutter Entry'!O54)),"")</f>
        <v/>
      </c>
      <c r="P22" s="250" t="str">
        <f>IF(Data!$L$32=1,IF(OR(Data!$L$2=1,Data!$L$3=1),IF(OR(Data!CE57=0,Data!CE57=""),"","O"&amp;Data!CE57),IF('ARDT Cutter Entry'!$C$111&lt;&gt;"",'ARDT Cutter Entry'!P122,'ARDT Cutter Entry'!P54)),"")</f>
        <v/>
      </c>
      <c r="Q22" s="250" t="str">
        <f>IF(Data!$L$32=1,IF(OR(Data!$L$2=1,Data!$L$3=1),IF(OR(Data!CF57=0,Data!CF57=""),"","O"&amp;Data!CF57),IF('ARDT Cutter Entry'!$C$111&lt;&gt;"",'ARDT Cutter Entry'!Q122,'ARDT Cutter Entry'!Q54)),"")</f>
        <v/>
      </c>
      <c r="R22" s="250" t="str">
        <f>IF(Data!$L$32=1,IF(OR(Data!$L$2=1,Data!$L$3=1),IF(OR(Data!CG57=0,Data!CG57=""),"","O"&amp;Data!CG57),IF('ARDT Cutter Entry'!$C$111&lt;&gt;"",'ARDT Cutter Entry'!R122,'ARDT Cutter Entry'!R54)),"")</f>
        <v/>
      </c>
      <c r="S22" s="250" t="str">
        <f>IF(Data!$L$32=1,IF(OR(Data!$L$2=1,Data!$L$3=1),IF(OR(Data!CH57=0,Data!CH57=""),"","O"&amp;Data!CH57),IF('ARDT Cutter Entry'!$C$111&lt;&gt;"",'ARDT Cutter Entry'!S122,'ARDT Cutter Entry'!S54)),"")</f>
        <v/>
      </c>
      <c r="T22" s="250" t="str">
        <f>IF(Data!$L$32=1,IF(OR(Data!$L$2=1,Data!$L$3=1),IF(OR(Data!CI57=0,Data!CI57=""),"","O"&amp;Data!CI57),IF('ARDT Cutter Entry'!$C$111&lt;&gt;"",'ARDT Cutter Entry'!T122,'ARDT Cutter Entry'!T54)),"")</f>
        <v/>
      </c>
      <c r="U22" s="250" t="str">
        <f>IF(Data!$L$32=1,IF(OR(Data!$L$2=1,Data!$L$3=1),IF(OR(Data!CJ57=0,Data!CJ57=""),"","O"&amp;Data!CJ57),IF('ARDT Cutter Entry'!$C$111&lt;&gt;"",'ARDT Cutter Entry'!U122,'ARDT Cutter Entry'!U54)),"")</f>
        <v/>
      </c>
      <c r="V22" s="250" t="str">
        <f>IF(Data!$L$32=1,IF(OR(Data!$L$2=1,Data!$L$3=1),IF(OR(Data!CK57=0,Data!CK57=""),"","O"&amp;Data!CK57),IF('ARDT Cutter Entry'!$C$111&lt;&gt;"",'ARDT Cutter Entry'!V122,'ARDT Cutter Entry'!V54)),"")</f>
        <v/>
      </c>
      <c r="W22" s="250" t="str">
        <f>IF(Data!$L$32=1,IF(OR(Data!$L$2=1,Data!$L$3=1),IF(OR(Data!CL57=0,Data!CL57=""),"","O"&amp;Data!CL57),IF('ARDT Cutter Entry'!$C$111&lt;&gt;"",'ARDT Cutter Entry'!W122,'ARDT Cutter Entry'!W54)),"")</f>
        <v/>
      </c>
      <c r="X22" s="250" t="str">
        <f>IF(Data!$L$32=1,IF(OR(Data!$L$2=1,Data!$L$3=1),IF(OR(Data!CM57=0,Data!CM57=""),"","O"&amp;Data!CM57),IF('ARDT Cutter Entry'!$C$111&lt;&gt;"",'ARDT Cutter Entry'!X122,'ARDT Cutter Entry'!X54)),"")</f>
        <v/>
      </c>
      <c r="Y22" s="250" t="str">
        <f>IF(Data!$L$32=1,IF(OR(Data!$L$2=1,Data!$L$3=1),IF(OR(Data!CN57=0,Data!CN57=""),"","O"&amp;Data!CN57),IF('ARDT Cutter Entry'!$C$111&lt;&gt;"",'ARDT Cutter Entry'!Y122,'ARDT Cutter Entry'!Y54)),"")</f>
        <v/>
      </c>
      <c r="Z22" s="250" t="str">
        <f>IF(Data!$L$32=1,IF(OR(Data!$L$2=1,Data!$L$3=1),IF(OR(Data!CO57=0,Data!CO57=""),"","O"&amp;Data!CO57),IF('ARDT Cutter Entry'!$C$111&lt;&gt;"",'ARDT Cutter Entry'!Z122,'ARDT Cutter Entry'!Z54)),"")</f>
        <v/>
      </c>
      <c r="AA22" s="250" t="str">
        <f>IF(Data!$L$32=1,IF(OR(Data!$L$2=1,Data!$L$3=1),IF(OR(Data!CP57=0,Data!CP57=""),"","O"&amp;Data!CP57),IF('ARDT Cutter Entry'!$C$111&lt;&gt;"",'ARDT Cutter Entry'!AA122,'ARDT Cutter Entry'!AA54)),"")</f>
        <v/>
      </c>
      <c r="AB22" s="250" t="str">
        <f>IF(Data!$L$32=1,IF(OR(Data!$L$2=1,Data!$L$3=1),IF(OR(Data!CQ57=0,Data!CQ57=""),"","O"&amp;Data!CQ57),IF('ARDT Cutter Entry'!$C$111&lt;&gt;"",'ARDT Cutter Entry'!AB122,'ARDT Cutter Entry'!AB54)),"")</f>
        <v/>
      </c>
      <c r="AC22" s="250" t="str">
        <f>IF(Data!$L$32=1,IF(OR(Data!$L$2=1,Data!$L$3=1),IF(OR(Data!CR57=0,Data!CR57=""),"","O"&amp;Data!CR57),IF('ARDT Cutter Entry'!$C$111&lt;&gt;"",'ARDT Cutter Entry'!AC122,'ARDT Cutter Entry'!AC54)),"")</f>
        <v/>
      </c>
      <c r="AD22" s="250" t="str">
        <f>IF(Data!$L$32=1,IF(OR(Data!$L$2=1,Data!$L$3=1),IF(OR(Data!CS57=0,Data!CS57=""),"","O"&amp;Data!CS57),IF('ARDT Cutter Entry'!$C$111&lt;&gt;"",'ARDT Cutter Entry'!AD122,'ARDT Cutter Entry'!AD54)),"")</f>
        <v/>
      </c>
      <c r="AE22" s="250" t="str">
        <f>IF(Data!$L$32=1,IF(OR(Data!$L$2=1,Data!$L$3=1),IF(OR(Data!CT57=0,Data!CT57=""),"","O"&amp;Data!CT57),IF('ARDT Cutter Entry'!$C$111&lt;&gt;"",'ARDT Cutter Entry'!AE122,'ARDT Cutter Entry'!AE54)),"")</f>
        <v/>
      </c>
      <c r="AF22" s="250" t="str">
        <f>IF(Data!$L$32=1,IF(OR(Data!$L$2=1,Data!$L$3=1),IF(OR(Data!CU57=0,Data!CU57=""),"","O"&amp;Data!CU57),IF('ARDT Cutter Entry'!$C$111&lt;&gt;"",'ARDT Cutter Entry'!AF122,'ARDT Cutter Entry'!AF54)),"")</f>
        <v/>
      </c>
      <c r="AG22" s="250" t="str">
        <f>IF(Data!$L$32=1,IF(OR(Data!$L$2=1,Data!$L$3=1),IF(OR(Data!CV57=0,Data!CV57=""),"","O"&amp;Data!CV57),IF('ARDT Cutter Entry'!$C$111&lt;&gt;"",'ARDT Cutter Entry'!AG122,'ARDT Cutter Entry'!AG54)),"")</f>
        <v/>
      </c>
      <c r="AH22" s="250" t="str">
        <f>IF(Data!$L$32=1,IF(OR(Data!$L$2=1,Data!$L$3=1),IF(OR(Data!CW57=0,Data!CW57=""),"","O"&amp;Data!CW57),IF('ARDT Cutter Entry'!$C$111&lt;&gt;"",'ARDT Cutter Entry'!AH122,'ARDT Cutter Entry'!AH54)),"")</f>
        <v/>
      </c>
      <c r="AI22" s="250" t="str">
        <f>IF(Data!$L$32=1,IF(OR(Data!$L$2=1,Data!$L$3=1),IF(OR(Data!CX57=0,Data!CX57=""),"","O"&amp;Data!CX57),IF('ARDT Cutter Entry'!$C$111&lt;&gt;"",'ARDT Cutter Entry'!AI122,'ARDT Cutter Entry'!AI54)),"")</f>
        <v/>
      </c>
      <c r="AJ22" s="250" t="str">
        <f>IF(Data!$L$32=1,IF(OR(Data!$L$2=1,Data!$L$3=1),IF(OR(Data!CY57=0,Data!CY57=""),"","O"&amp;Data!CY57),IF('ARDT Cutter Entry'!$C$111&lt;&gt;"",'ARDT Cutter Entry'!AJ122,'ARDT Cutter Entry'!AJ54)),"")</f>
        <v/>
      </c>
    </row>
    <row r="23" spans="1:37" ht="6" customHeight="1" x14ac:dyDescent="0.35">
      <c r="A23" s="538"/>
      <c r="B23" s="393"/>
      <c r="C23" s="393"/>
      <c r="D23" s="393"/>
      <c r="E23" s="396"/>
      <c r="F23" s="396"/>
      <c r="G23" s="396"/>
      <c r="H23" s="396"/>
      <c r="I23" s="396"/>
      <c r="J23" s="396"/>
      <c r="K23" s="400"/>
      <c r="L23" s="400"/>
      <c r="M23" s="535"/>
      <c r="N23" s="535"/>
      <c r="O23" s="535"/>
      <c r="P23" s="535"/>
      <c r="Q23" s="535"/>
      <c r="R23" s="535"/>
      <c r="S23" s="536"/>
      <c r="T23" s="400"/>
      <c r="U23" s="400"/>
      <c r="V23" s="395"/>
      <c r="W23" s="396"/>
      <c r="X23" s="396"/>
      <c r="Y23" s="396"/>
      <c r="Z23" s="537"/>
      <c r="AA23" s="395"/>
      <c r="AB23" s="400"/>
      <c r="AC23" s="395"/>
      <c r="AD23" s="396"/>
      <c r="AE23" s="396"/>
      <c r="AF23" s="396"/>
      <c r="AG23" s="537"/>
      <c r="AH23" s="395"/>
      <c r="AI23" s="537"/>
      <c r="AJ23" s="402"/>
    </row>
    <row r="24" spans="1:37" ht="18" customHeight="1" x14ac:dyDescent="0.35">
      <c r="A24" s="1702" t="s">
        <v>34</v>
      </c>
      <c r="B24" s="1676"/>
      <c r="C24" s="1676"/>
      <c r="D24" s="1676"/>
      <c r="E24" s="1676"/>
      <c r="F24" s="1675"/>
      <c r="G24" s="1675"/>
      <c r="H24" s="1675"/>
      <c r="I24" s="1675"/>
      <c r="J24" s="1676" t="s">
        <v>35</v>
      </c>
      <c r="K24" s="1676"/>
      <c r="L24" s="1676"/>
      <c r="M24" s="1662"/>
      <c r="N24" s="1662"/>
      <c r="O24" s="1662"/>
      <c r="P24" s="1662"/>
      <c r="Q24" s="1676" t="s">
        <v>36</v>
      </c>
      <c r="R24" s="1676"/>
      <c r="S24" s="1662"/>
      <c r="T24" s="1662"/>
      <c r="U24" s="1662"/>
      <c r="V24" s="1662"/>
      <c r="W24" s="535"/>
      <c r="X24" s="1429" t="s">
        <v>37</v>
      </c>
      <c r="Y24" s="1429"/>
      <c r="Z24" s="1686"/>
      <c r="AA24" s="480" t="str">
        <f>IF(Data!G32&lt;&gt;"","",IF(Data!G32=1,"",IF(Data!L32=1,IF(Data!B5&lt;&gt;"",IF(OR(AE24="√",AI24="√"),"","√"),""),"")))</f>
        <v>√</v>
      </c>
      <c r="AB24" s="1429" t="s">
        <v>734</v>
      </c>
      <c r="AC24" s="1429"/>
      <c r="AD24" s="1686"/>
      <c r="AE24" s="480" t="str">
        <f>IF(Data!L32=1,IF(OR(Data!L2=1,Data!L3=1),"√",""),"")</f>
        <v/>
      </c>
      <c r="AF24" s="1429" t="s">
        <v>38</v>
      </c>
      <c r="AG24" s="1429"/>
      <c r="AH24" s="1429"/>
      <c r="AI24" s="480" t="str">
        <f>IF(Data!L32=1,IF(OR(Data!L4=1,Data!L5=1),"√",""),"")</f>
        <v/>
      </c>
      <c r="AJ24" s="26"/>
      <c r="AK24" s="396"/>
    </row>
    <row r="25" spans="1:37" ht="6" customHeight="1" x14ac:dyDescent="0.35">
      <c r="A25" s="1479"/>
      <c r="B25" s="1428"/>
      <c r="C25" s="1428"/>
      <c r="D25" s="1428"/>
      <c r="E25" s="1428"/>
      <c r="F25" s="1428"/>
      <c r="G25" s="1428"/>
      <c r="H25" s="1428"/>
      <c r="I25" s="1428"/>
      <c r="J25" s="1428"/>
      <c r="K25" s="1428"/>
      <c r="L25" s="1428"/>
      <c r="M25" s="1428"/>
      <c r="N25" s="1428"/>
      <c r="O25" s="1428"/>
      <c r="P25" s="1428"/>
      <c r="Q25" s="1428"/>
      <c r="R25" s="1428"/>
      <c r="S25" s="1428"/>
      <c r="T25" s="1428"/>
      <c r="U25" s="1428"/>
      <c r="V25" s="1428"/>
      <c r="W25" s="1428"/>
      <c r="X25" s="1428"/>
      <c r="Y25" s="1428"/>
      <c r="Z25" s="1428"/>
      <c r="AA25" s="1428"/>
      <c r="AJ25" s="26"/>
    </row>
    <row r="26" spans="1:37" ht="14.25" customHeight="1" x14ac:dyDescent="0.35">
      <c r="A26" s="1479" t="s">
        <v>20</v>
      </c>
      <c r="B26" s="1428"/>
      <c r="C26" s="1428"/>
      <c r="D26" s="1626">
        <f>IF(Evaluation!A34&lt;&gt;"",Evaluation!A34," ")</f>
        <v>23</v>
      </c>
      <c r="E26" s="1627"/>
      <c r="F26" s="1428" t="s">
        <v>968</v>
      </c>
      <c r="G26" s="1428"/>
      <c r="H26" s="1425">
        <f>IF(Evaluation!D34&lt;&gt;"",Evaluation!D34," ")</f>
        <v>4</v>
      </c>
      <c r="I26" s="1427"/>
      <c r="K26" s="1428" t="s">
        <v>969</v>
      </c>
      <c r="L26" s="1482"/>
      <c r="M26" s="1626">
        <f>IF(Evaluation!G34&lt;&gt;"",Evaluation!G34," ")</f>
        <v>0</v>
      </c>
      <c r="N26" s="1627"/>
      <c r="O26" s="1428" t="s">
        <v>970</v>
      </c>
      <c r="P26" s="1428"/>
      <c r="Q26" s="1425">
        <f>IF(Evaluation!J34&lt;&gt;"",Evaluation!J34," ")</f>
        <v>0</v>
      </c>
      <c r="R26" s="1427"/>
      <c r="S26" s="1428" t="s">
        <v>971</v>
      </c>
      <c r="T26" s="1428"/>
      <c r="U26" s="1482"/>
      <c r="V26" s="1626">
        <f>IF(Evaluation!M34&lt;&gt;"",Evaluation!M34," ")</f>
        <v>33</v>
      </c>
      <c r="W26" s="1627"/>
      <c r="X26" s="1428" t="s">
        <v>972</v>
      </c>
      <c r="Y26" s="1482"/>
      <c r="Z26" s="1626">
        <f>IF(Evaluation!P34&lt;&gt;"",Evaluation!P34," ")</f>
        <v>0</v>
      </c>
      <c r="AA26" s="1627"/>
      <c r="AC26" s="1663" t="s">
        <v>21</v>
      </c>
      <c r="AD26" s="1664"/>
      <c r="AE26" s="1425">
        <f>IF(Data!BO63&lt;&gt;"",Data!BO63," ")</f>
        <v>62</v>
      </c>
      <c r="AF26" s="1427"/>
      <c r="AJ26" s="26"/>
    </row>
    <row r="27" spans="1:37" ht="3.75" customHeight="1" thickBot="1" x14ac:dyDescent="0.4">
      <c r="A27" s="534"/>
      <c r="B27" s="533"/>
      <c r="C27" s="533"/>
      <c r="D27" s="533"/>
      <c r="E27" s="533"/>
      <c r="F27" s="533"/>
      <c r="G27" s="533"/>
      <c r="H27" s="533"/>
      <c r="I27" s="533"/>
      <c r="J27" s="533"/>
      <c r="K27" s="533"/>
      <c r="L27" s="533"/>
      <c r="M27" s="533"/>
      <c r="N27" s="533"/>
      <c r="O27" s="533"/>
      <c r="P27" s="395"/>
      <c r="Q27" s="395"/>
      <c r="R27" s="395"/>
      <c r="S27" s="533"/>
      <c r="T27" s="533"/>
      <c r="U27" s="533"/>
      <c r="V27" s="533"/>
      <c r="W27" s="533"/>
      <c r="X27" s="533"/>
      <c r="Y27" s="404"/>
      <c r="Z27" s="404"/>
      <c r="AA27" s="395"/>
      <c r="AB27" s="533"/>
      <c r="AC27" s="533"/>
      <c r="AD27" s="533"/>
      <c r="AE27" s="533"/>
      <c r="AF27" s="404"/>
      <c r="AG27" s="404"/>
      <c r="AH27" s="395"/>
      <c r="AI27" s="404"/>
      <c r="AJ27" s="402"/>
    </row>
    <row r="28" spans="1:37" ht="9" customHeight="1" x14ac:dyDescent="0.35">
      <c r="A28" s="1460" t="s">
        <v>19</v>
      </c>
      <c r="B28" s="1461"/>
      <c r="C28" s="1461"/>
      <c r="D28" s="1649" t="str">
        <f>IF(Data!L32=1,IF(Data!L2=1,"The bit is Rerunable, No need for repair. ",IF('ARDT Cutter Entry'!Y57=1,"Accepted as rerun by engineer",IF('ARDT Cutter Entry'!D21&lt;&gt;"",'ARDT Cutter Entry'!D21," "))),"")</f>
        <v xml:space="preserve">Shank need clean. Pinface and mud seal need buffing.  </v>
      </c>
      <c r="E28" s="1649"/>
      <c r="F28" s="1649"/>
      <c r="G28" s="1649"/>
      <c r="H28" s="1649"/>
      <c r="I28" s="1649"/>
      <c r="J28" s="1649"/>
      <c r="K28" s="1649"/>
      <c r="L28" s="1649"/>
      <c r="M28" s="1649"/>
      <c r="N28" s="1649"/>
      <c r="O28" s="1649"/>
      <c r="P28" s="1649"/>
      <c r="Q28" s="1649"/>
      <c r="R28" s="1649"/>
      <c r="S28" s="1649"/>
      <c r="T28" s="1649"/>
      <c r="U28" s="1649"/>
      <c r="V28" s="1649"/>
      <c r="W28" s="1649"/>
      <c r="X28" s="1649"/>
      <c r="Y28" s="1649"/>
      <c r="Z28" s="1649"/>
      <c r="AA28" s="1649"/>
      <c r="AB28" s="1649"/>
      <c r="AC28" s="1649"/>
      <c r="AD28" s="1649"/>
      <c r="AE28" s="1649"/>
      <c r="AF28" s="1649"/>
      <c r="AG28" s="1649"/>
      <c r="AH28" s="1649"/>
      <c r="AI28" s="1649"/>
      <c r="AJ28" s="1650"/>
    </row>
    <row r="29" spans="1:37" ht="9" customHeight="1" x14ac:dyDescent="0.35">
      <c r="A29" s="1677" t="str">
        <f>IF(Instructions!$L$1&lt;&gt;"",Instructions!$L$1,"")</f>
        <v/>
      </c>
      <c r="B29" s="1678"/>
      <c r="C29" s="1678"/>
      <c r="D29" s="1651"/>
      <c r="E29" s="1651"/>
      <c r="F29" s="1651"/>
      <c r="G29" s="1651"/>
      <c r="H29" s="1651"/>
      <c r="I29" s="1651"/>
      <c r="J29" s="1651"/>
      <c r="K29" s="1651"/>
      <c r="L29" s="1651"/>
      <c r="M29" s="1651"/>
      <c r="N29" s="1651"/>
      <c r="O29" s="1651"/>
      <c r="P29" s="1651"/>
      <c r="Q29" s="1651"/>
      <c r="R29" s="1651"/>
      <c r="S29" s="1651"/>
      <c r="T29" s="1651"/>
      <c r="U29" s="1651"/>
      <c r="V29" s="1651"/>
      <c r="W29" s="1651"/>
      <c r="X29" s="1651"/>
      <c r="Y29" s="1651"/>
      <c r="Z29" s="1651"/>
      <c r="AA29" s="1651"/>
      <c r="AB29" s="1651"/>
      <c r="AC29" s="1651"/>
      <c r="AD29" s="1651"/>
      <c r="AE29" s="1651"/>
      <c r="AF29" s="1651"/>
      <c r="AG29" s="1651"/>
      <c r="AH29" s="1651"/>
      <c r="AI29" s="1651"/>
      <c r="AJ29" s="1652"/>
    </row>
    <row r="30" spans="1:37" ht="9" customHeight="1" x14ac:dyDescent="0.35">
      <c r="A30" s="1677"/>
      <c r="B30" s="1678"/>
      <c r="C30" s="1678"/>
      <c r="D30" s="1651"/>
      <c r="E30" s="1651"/>
      <c r="F30" s="1651"/>
      <c r="G30" s="1651"/>
      <c r="H30" s="1651"/>
      <c r="I30" s="1651"/>
      <c r="J30" s="1651"/>
      <c r="K30" s="1651"/>
      <c r="L30" s="1651"/>
      <c r="M30" s="1651"/>
      <c r="N30" s="1651"/>
      <c r="O30" s="1651"/>
      <c r="P30" s="1651"/>
      <c r="Q30" s="1651"/>
      <c r="R30" s="1651"/>
      <c r="S30" s="1651"/>
      <c r="T30" s="1651"/>
      <c r="U30" s="1651"/>
      <c r="V30" s="1651"/>
      <c r="W30" s="1651"/>
      <c r="X30" s="1651"/>
      <c r="Y30" s="1651"/>
      <c r="Z30" s="1651"/>
      <c r="AA30" s="1651"/>
      <c r="AB30" s="1651"/>
      <c r="AC30" s="1651"/>
      <c r="AD30" s="1651"/>
      <c r="AE30" s="1651"/>
      <c r="AF30" s="1651"/>
      <c r="AG30" s="1651"/>
      <c r="AH30" s="1651"/>
      <c r="AI30" s="1651"/>
      <c r="AJ30" s="1652"/>
    </row>
    <row r="31" spans="1:37" s="5" customFormat="1" ht="17.25" customHeight="1" x14ac:dyDescent="0.3">
      <c r="A31" s="651" t="s">
        <v>1493</v>
      </c>
      <c r="B31" s="652"/>
      <c r="C31" s="652"/>
      <c r="D31" s="652"/>
      <c r="E31" s="652"/>
      <c r="F31" s="652"/>
      <c r="G31" s="652"/>
      <c r="H31" s="653"/>
      <c r="I31" s="1692"/>
      <c r="J31" s="1692"/>
      <c r="K31" s="1692"/>
      <c r="L31" s="1692"/>
      <c r="M31" s="1692"/>
      <c r="N31" s="1692"/>
      <c r="O31" s="1692"/>
      <c r="P31" s="1692"/>
      <c r="Q31" s="1692"/>
      <c r="R31" s="1692"/>
      <c r="S31" s="1692"/>
      <c r="T31" s="1692"/>
      <c r="U31" s="1692"/>
      <c r="V31" s="1692"/>
      <c r="W31" s="1697" t="s">
        <v>1059</v>
      </c>
      <c r="X31" s="1697"/>
      <c r="Y31" s="1697"/>
      <c r="Z31" s="1697"/>
      <c r="AA31" s="1697"/>
      <c r="AB31" s="1697"/>
      <c r="AC31" s="1692"/>
      <c r="AD31" s="1692"/>
      <c r="AE31" s="1692"/>
      <c r="AF31" s="1692"/>
      <c r="AG31" s="1692"/>
      <c r="AH31" s="1692"/>
      <c r="AI31" s="1692"/>
      <c r="AJ31" s="1698"/>
    </row>
    <row r="32" spans="1:37" ht="2.25" customHeight="1" thickBot="1" x14ac:dyDescent="0.4">
      <c r="A32" s="407"/>
      <c r="B32" s="408"/>
      <c r="C32" s="408"/>
      <c r="D32" s="408"/>
      <c r="E32" s="408"/>
      <c r="F32" s="408"/>
      <c r="G32" s="408"/>
      <c r="H32" s="408"/>
      <c r="I32" s="408"/>
      <c r="J32" s="408"/>
      <c r="K32" s="408"/>
      <c r="L32" s="408"/>
      <c r="M32" s="408"/>
      <c r="N32" s="408"/>
      <c r="O32" s="408"/>
      <c r="P32" s="409"/>
      <c r="Q32" s="409"/>
      <c r="R32" s="409"/>
      <c r="S32" s="408"/>
      <c r="T32" s="408"/>
      <c r="U32" s="408"/>
      <c r="V32" s="408"/>
      <c r="W32" s="408"/>
      <c r="X32" s="408"/>
      <c r="Y32" s="406"/>
      <c r="Z32" s="406"/>
      <c r="AA32" s="409"/>
      <c r="AB32" s="408"/>
      <c r="AC32" s="408"/>
      <c r="AD32" s="408"/>
      <c r="AE32" s="408"/>
      <c r="AF32" s="406"/>
      <c r="AG32" s="406"/>
      <c r="AH32" s="409"/>
      <c r="AI32" s="406"/>
      <c r="AJ32" s="405"/>
    </row>
    <row r="33" spans="1:36" ht="12.75" customHeight="1" thickBot="1" x14ac:dyDescent="0.4">
      <c r="A33" s="1479" t="s">
        <v>39</v>
      </c>
      <c r="B33" s="1428"/>
      <c r="C33" s="1428"/>
      <c r="D33" s="1428"/>
      <c r="E33" s="1428"/>
      <c r="F33" s="1428"/>
      <c r="G33" s="1428"/>
      <c r="H33" s="1428"/>
      <c r="I33" s="1428"/>
      <c r="J33" s="1428"/>
      <c r="K33" s="1428"/>
      <c r="L33" s="1428"/>
      <c r="M33" s="1428"/>
      <c r="N33" s="1428"/>
      <c r="O33" s="1428"/>
      <c r="P33" s="1428"/>
      <c r="Q33" s="1428"/>
      <c r="R33" s="1428"/>
      <c r="S33" s="1428"/>
      <c r="T33" s="1428"/>
      <c r="U33" s="1428"/>
      <c r="V33" s="1428"/>
      <c r="W33" s="1428"/>
      <c r="X33" s="1428"/>
      <c r="Y33" s="1428"/>
      <c r="Z33" s="1428"/>
      <c r="AA33" s="1428"/>
      <c r="AB33" s="1428"/>
      <c r="AC33" s="1428"/>
      <c r="AD33" s="1428"/>
      <c r="AE33" s="1428"/>
      <c r="AF33" s="1428"/>
      <c r="AG33" s="1428"/>
      <c r="AH33" s="1428"/>
      <c r="AI33" s="1428"/>
      <c r="AJ33" s="1480"/>
    </row>
    <row r="34" spans="1:36" ht="6" customHeight="1" x14ac:dyDescent="0.35">
      <c r="A34" s="1657" t="s">
        <v>108</v>
      </c>
      <c r="B34" s="1647"/>
      <c r="C34" s="1647" t="s">
        <v>40</v>
      </c>
      <c r="D34" s="1647"/>
      <c r="E34" s="1647" t="s">
        <v>41</v>
      </c>
      <c r="F34" s="1647"/>
      <c r="G34" s="1647"/>
      <c r="H34" s="1647"/>
      <c r="I34" s="1647"/>
      <c r="J34" s="1647" t="s">
        <v>730</v>
      </c>
      <c r="K34" s="1647"/>
      <c r="L34" s="1647"/>
      <c r="M34" s="1647"/>
      <c r="N34" s="1647"/>
      <c r="O34" s="1647" t="s">
        <v>43</v>
      </c>
      <c r="P34" s="1647"/>
      <c r="Q34" s="1647"/>
      <c r="R34" s="1647"/>
      <c r="S34" s="1647"/>
      <c r="T34" s="1647"/>
      <c r="U34" s="1647"/>
      <c r="V34" s="1659" t="s">
        <v>44</v>
      </c>
      <c r="W34" s="1659"/>
      <c r="X34" s="1659"/>
      <c r="Y34" s="1659"/>
      <c r="Z34" s="1659"/>
      <c r="AA34" s="1659"/>
      <c r="AB34" s="1659"/>
      <c r="AC34" s="1659"/>
      <c r="AD34" s="1659"/>
      <c r="AE34" s="1659"/>
      <c r="AF34" s="1659"/>
      <c r="AG34" s="1659"/>
      <c r="AH34" s="1659"/>
      <c r="AI34" s="1659"/>
      <c r="AJ34" s="1660"/>
    </row>
    <row r="35" spans="1:36" ht="6" customHeight="1" x14ac:dyDescent="0.35">
      <c r="A35" s="1658"/>
      <c r="B35" s="1648"/>
      <c r="C35" s="1648"/>
      <c r="D35" s="1648"/>
      <c r="E35" s="1648"/>
      <c r="F35" s="1648"/>
      <c r="G35" s="1648"/>
      <c r="H35" s="1648"/>
      <c r="I35" s="1648"/>
      <c r="J35" s="1648"/>
      <c r="K35" s="1648"/>
      <c r="L35" s="1648"/>
      <c r="M35" s="1648"/>
      <c r="N35" s="1648"/>
      <c r="O35" s="1648"/>
      <c r="P35" s="1648"/>
      <c r="Q35" s="1648"/>
      <c r="R35" s="1648"/>
      <c r="S35" s="1648"/>
      <c r="T35" s="1648"/>
      <c r="U35" s="1648"/>
      <c r="V35" s="1434"/>
      <c r="W35" s="1434"/>
      <c r="X35" s="1434"/>
      <c r="Y35" s="1434"/>
      <c r="Z35" s="1434"/>
      <c r="AA35" s="1434"/>
      <c r="AB35" s="1434"/>
      <c r="AC35" s="1434"/>
      <c r="AD35" s="1434"/>
      <c r="AE35" s="1434"/>
      <c r="AF35" s="1434"/>
      <c r="AG35" s="1434"/>
      <c r="AH35" s="1434"/>
      <c r="AI35" s="1434"/>
      <c r="AJ35" s="1661"/>
    </row>
    <row r="36" spans="1:36" ht="12" customHeight="1" x14ac:dyDescent="0.35">
      <c r="A36" s="1419">
        <f>IF(TRIM(J36)="","",IF(Data!CX60&gt;0,IF(Data!CX60&lt;&gt;"", Data!CX60, " ")," "))</f>
        <v>1</v>
      </c>
      <c r="B36" s="1420"/>
      <c r="C36" s="1420">
        <f>IF(Data!$G$32="Cutter Debraze",Data!O12,IF(Data!$L$32=1,IF(Quotation!$W$27=550,0,IF('Eng. Cutter Entry'!C4&lt;&gt;"",IF(Data!E12&gt;0,IF(Data!E12&lt;&gt;"", Data!E12,0),0),'ARDT Cutter Entry'!AQ2+'ARDT Cutter Entry'!AQ3+'ARDT Cutter Entry'!AQ4+'ARDT Cutter Entry'!AQ5)),""))</f>
        <v>0</v>
      </c>
      <c r="D36" s="1420"/>
      <c r="E36" s="1420">
        <f>IF(Data!GK2&gt;0,IF(Data!GK2&lt;&gt;"",Data!GK2," ")," ")</f>
        <v>1613</v>
      </c>
      <c r="F36" s="1420"/>
      <c r="G36" s="1420"/>
      <c r="H36" s="1420"/>
      <c r="I36" s="1420"/>
      <c r="J36" s="1420">
        <f>IF(Data!GG2&gt;0,IF(Data!GG2&lt;&gt;"",IF(Data!GG2&lt;&gt;"Add the cutter in list",Data!GG2," ")," "),"")</f>
        <v>1039060</v>
      </c>
      <c r="K36" s="1420"/>
      <c r="L36" s="1420"/>
      <c r="M36" s="1420"/>
      <c r="N36" s="1420"/>
      <c r="O36" s="1420" t="str">
        <f>IF(Data!H12&lt;&gt;"", Data!H12, " ")</f>
        <v xml:space="preserve"> CT138 0.018"</v>
      </c>
      <c r="P36" s="1420"/>
      <c r="Q36" s="1420"/>
      <c r="R36" s="1420"/>
      <c r="S36" s="1420"/>
      <c r="T36" s="1420"/>
      <c r="U36" s="1420"/>
      <c r="V36" s="1420" t="str">
        <f>IF(Evaluation!R44&lt;&gt;"",Evaluation!R44," ")</f>
        <v xml:space="preserve"> </v>
      </c>
      <c r="W36" s="1420"/>
      <c r="X36" s="1420"/>
      <c r="Y36" s="1420"/>
      <c r="Z36" s="1420"/>
      <c r="AA36" s="1420"/>
      <c r="AB36" s="1420"/>
      <c r="AC36" s="1420"/>
      <c r="AD36" s="1420"/>
      <c r="AE36" s="1420"/>
      <c r="AF36" s="1420"/>
      <c r="AG36" s="1420"/>
      <c r="AH36" s="1420"/>
      <c r="AI36" s="1420"/>
      <c r="AJ36" s="1421"/>
    </row>
    <row r="37" spans="1:36" ht="12" customHeight="1" x14ac:dyDescent="0.35">
      <c r="A37" s="1419">
        <f>IF(TRIM(J37)="","",IF(Data!CX61&gt;0,IF(Data!CX61&lt;&gt;"",Data!CX61," ")," "))</f>
        <v>2</v>
      </c>
      <c r="B37" s="1420"/>
      <c r="C37" s="1420">
        <f>IF(Data!$G$32="Cutter Debraze",Data!O13,IF(Data!$L$32=1,IF(Quotation!$W$27=550,0,IF('Eng. Cutter Entry'!C5&lt;&gt;"",IF(Data!E13&gt;0,IF(Data!E13&lt;&gt;"", Data!E13,0),0),'ARDT Cutter Entry'!$AR$2+'ARDT Cutter Entry'!$AR$3+'ARDT Cutter Entry'!$AR$4+'ARDT Cutter Entry'!$AR$5)),""))</f>
        <v>0</v>
      </c>
      <c r="D37" s="1420"/>
      <c r="E37" s="1420">
        <f>IF(Data!GK3&gt;0,IF(Data!GK3&lt;&gt;"",Data!GK3," ")," ")</f>
        <v>1608</v>
      </c>
      <c r="F37" s="1420"/>
      <c r="G37" s="1420"/>
      <c r="H37" s="1420"/>
      <c r="I37" s="1420"/>
      <c r="J37" s="1420">
        <f>IF(Data!GG3&gt;0,IF(Data!GG3&lt;&gt;"",IF(Data!GG3&lt;&gt;"Add the cutter in list",Data!GG3," ")," "),"")</f>
        <v>1130197</v>
      </c>
      <c r="K37" s="1420"/>
      <c r="L37" s="1420"/>
      <c r="M37" s="1420"/>
      <c r="N37" s="1420"/>
      <c r="O37" s="1420" t="str">
        <f>IF(Data!H13&lt;&gt;"", Data!H13, " ")</f>
        <v xml:space="preserve"> CT182 0.018</v>
      </c>
      <c r="P37" s="1420"/>
      <c r="Q37" s="1420"/>
      <c r="R37" s="1420"/>
      <c r="S37" s="1420"/>
      <c r="T37" s="1420"/>
      <c r="U37" s="1420"/>
      <c r="V37" s="1420" t="str">
        <f>IF(Evaluation!R45&lt;&gt;"",Evaluation!R45," ")</f>
        <v xml:space="preserve"> </v>
      </c>
      <c r="W37" s="1420"/>
      <c r="X37" s="1420"/>
      <c r="Y37" s="1420"/>
      <c r="Z37" s="1420"/>
      <c r="AA37" s="1420"/>
      <c r="AB37" s="1420"/>
      <c r="AC37" s="1420"/>
      <c r="AD37" s="1420"/>
      <c r="AE37" s="1420"/>
      <c r="AF37" s="1420"/>
      <c r="AG37" s="1420"/>
      <c r="AH37" s="1420"/>
      <c r="AI37" s="1420"/>
      <c r="AJ37" s="1421"/>
    </row>
    <row r="38" spans="1:36" ht="12" customHeight="1" x14ac:dyDescent="0.35">
      <c r="A38" s="1419">
        <f>IF(TRIM(J38)="","",IF(Data!CX62&gt;0,IF(Data!CX62&lt;&gt;"",Data!CX62," ")," "))</f>
        <v>3</v>
      </c>
      <c r="B38" s="1420"/>
      <c r="C38" s="1420">
        <f>IF(Data!$G$32="Cutter Debraze",Data!O14,IF(Data!$L$32=1,IF(Quotation!$W$27=550,0,IF('Eng. Cutter Entry'!C6&lt;&gt;"",IF(Data!E14&gt;0,IF(Data!E14&lt;&gt;"", Data!E14,0),0),'ARDT Cutter Entry'!$AS$2+'ARDT Cutter Entry'!$AS$3+'ARDT Cutter Entry'!$AS$4+'ARDT Cutter Entry'!$AS$5)),""))</f>
        <v>6</v>
      </c>
      <c r="D38" s="1420"/>
      <c r="E38" s="1420">
        <f>IF(Data!GK4&gt;0,IF(Data!GK4&lt;&gt;"",Data!GK4," ")," ")</f>
        <v>1308</v>
      </c>
      <c r="F38" s="1420"/>
      <c r="G38" s="1420"/>
      <c r="H38" s="1420"/>
      <c r="I38" s="1420"/>
      <c r="J38" s="1420">
        <f>IF(Data!GG4&gt;0,IF(Data!GG4&lt;&gt;"",IF(Data!GG4&lt;&gt;"Add the cutter in list",Data!GG4," ")," "),"")</f>
        <v>418525</v>
      </c>
      <c r="K38" s="1420"/>
      <c r="L38" s="1420"/>
      <c r="M38" s="1420"/>
      <c r="N38" s="1420"/>
      <c r="O38" s="1420" t="str">
        <f>IF(Data!H14&lt;&gt;"", Data!H14, " ")</f>
        <v>Drop in CT31</v>
      </c>
      <c r="P38" s="1420"/>
      <c r="Q38" s="1420"/>
      <c r="R38" s="1420"/>
      <c r="S38" s="1420"/>
      <c r="T38" s="1420"/>
      <c r="U38" s="1420"/>
      <c r="V38" s="1420" t="str">
        <f>IF(Evaluation!R46&lt;&gt;"",Evaluation!R46," ")</f>
        <v xml:space="preserve">  [6 New] </v>
      </c>
      <c r="W38" s="1420"/>
      <c r="X38" s="1420"/>
      <c r="Y38" s="1420"/>
      <c r="Z38" s="1420"/>
      <c r="AA38" s="1420"/>
      <c r="AB38" s="1420"/>
      <c r="AC38" s="1420"/>
      <c r="AD38" s="1420"/>
      <c r="AE38" s="1420"/>
      <c r="AF38" s="1420"/>
      <c r="AG38" s="1420"/>
      <c r="AH38" s="1420"/>
      <c r="AI38" s="1420"/>
      <c r="AJ38" s="1421"/>
    </row>
    <row r="39" spans="1:36" ht="12" customHeight="1" x14ac:dyDescent="0.35">
      <c r="A39" s="1419">
        <f>IF(TRIM(J39)="","",IF(Data!CX63&gt;0,IF(Data!CX63&lt;&gt;"",Data!CX63," ")," "))</f>
        <v>4</v>
      </c>
      <c r="B39" s="1420"/>
      <c r="C39" s="1420">
        <f>IF(Data!$G$32="Cutter Debraze",Data!O15,IF(Data!$L$32=1,IF(Quotation!$W$27=550,0,IF('Eng. Cutter Entry'!C7&lt;&gt;"",IF(Data!E15&gt;0,IF(Data!E15&lt;&gt;"", Data!E15,0),0),'ARDT Cutter Entry'!$AT$2+'ARDT Cutter Entry'!$AT$3+'ARDT Cutter Entry'!$AT$4+'ARDT Cutter Entry'!$AT$5)),""))</f>
        <v>6</v>
      </c>
      <c r="D39" s="1420"/>
      <c r="E39" s="1420">
        <f>IF(Data!GK5&gt;0,IF(Data!GK5&lt;&gt;"",Data!GK5," ")," ")</f>
        <v>1608</v>
      </c>
      <c r="F39" s="1420"/>
      <c r="G39" s="1420"/>
      <c r="H39" s="1420"/>
      <c r="I39" s="1420"/>
      <c r="J39" s="1420">
        <f>IF(Data!GG5&gt;0,IF(Data!GG5&lt;&gt;"",IF(Data!GG5&lt;&gt;"Add the cutter in list",Data!GG5," ")," "),"")</f>
        <v>643738</v>
      </c>
      <c r="K39" s="1420"/>
      <c r="L39" s="1420"/>
      <c r="M39" s="1420"/>
      <c r="N39" s="1420"/>
      <c r="O39" s="1420" t="str">
        <f>IF(Data!H15&lt;&gt;"", Data!H15, " ")</f>
        <v xml:space="preserve"> CT70 0.018"</v>
      </c>
      <c r="P39" s="1420"/>
      <c r="Q39" s="1420"/>
      <c r="R39" s="1420"/>
      <c r="S39" s="1420"/>
      <c r="T39" s="1420"/>
      <c r="U39" s="1420"/>
      <c r="V39" s="1420" t="str">
        <f>IF(Evaluation!R47&lt;&gt;"",Evaluation!R47," ")</f>
        <v>[ ENO GRD 6]</v>
      </c>
      <c r="W39" s="1420"/>
      <c r="X39" s="1420"/>
      <c r="Y39" s="1420"/>
      <c r="Z39" s="1420"/>
      <c r="AA39" s="1420"/>
      <c r="AB39" s="1420"/>
      <c r="AC39" s="1420"/>
      <c r="AD39" s="1420"/>
      <c r="AE39" s="1420"/>
      <c r="AF39" s="1420"/>
      <c r="AG39" s="1420"/>
      <c r="AH39" s="1420"/>
      <c r="AI39" s="1420"/>
      <c r="AJ39" s="1421"/>
    </row>
    <row r="40" spans="1:36" ht="12" customHeight="1" x14ac:dyDescent="0.35">
      <c r="A40" s="1419">
        <f>IF(TRIM(J40)="","",IF(Data!CX64&gt;0,IF(Data!CX64&lt;&gt;"",Data!CX64," ")," "))</f>
        <v>5</v>
      </c>
      <c r="B40" s="1420"/>
      <c r="C40" s="1420">
        <f>IF(Data!$G$32="Cutter Debraze",Data!O16,IF(Data!$L$32=1,IF(Quotation!$W$27=550,0,IF('Eng. Cutter Entry'!C8&lt;&gt;"",IF(Data!E16&gt;0,IF(Data!E16&lt;&gt;"", Data!E16,0),0),'ARDT Cutter Entry'!$AU$2+'ARDT Cutter Entry'!$AU$3+'ARDT Cutter Entry'!$AU$4+'ARDT Cutter Entry'!$AU$5)),""))</f>
        <v>21</v>
      </c>
      <c r="D40" s="1420"/>
      <c r="E40" s="1420">
        <f>IF(Data!GK6&gt;0,IF(Data!GK6&lt;&gt;"",Data!GK6," ")," ")</f>
        <v>1613</v>
      </c>
      <c r="F40" s="1420"/>
      <c r="G40" s="1420"/>
      <c r="H40" s="1420"/>
      <c r="I40" s="1420"/>
      <c r="J40" s="1420">
        <f>IF(Data!GG6&gt;0,IF(Data!GG6&lt;&gt;"",IF(Data!GG6&lt;&gt;"Add the cutter in list",Data!GG6," ")," "),"")</f>
        <v>1126402</v>
      </c>
      <c r="K40" s="1420"/>
      <c r="L40" s="1420"/>
      <c r="M40" s="1420"/>
      <c r="N40" s="1420"/>
      <c r="O40" s="1420" t="str">
        <f>IF(Data!H16&lt;&gt;"", Data!H16, " ")</f>
        <v xml:space="preserve"> CT421 18-60</v>
      </c>
      <c r="P40" s="1420"/>
      <c r="Q40" s="1420"/>
      <c r="R40" s="1420"/>
      <c r="S40" s="1420"/>
      <c r="T40" s="1420"/>
      <c r="U40" s="1420"/>
      <c r="V40" s="1420" t="str">
        <f>IF(Evaluation!R48&lt;&gt;"",Evaluation!R48," ")</f>
        <v xml:space="preserve">To Replace Cutter # 1 [21 New] </v>
      </c>
      <c r="W40" s="1420"/>
      <c r="X40" s="1420"/>
      <c r="Y40" s="1420"/>
      <c r="Z40" s="1420"/>
      <c r="AA40" s="1420"/>
      <c r="AB40" s="1420"/>
      <c r="AC40" s="1420"/>
      <c r="AD40" s="1420"/>
      <c r="AE40" s="1420"/>
      <c r="AF40" s="1420"/>
      <c r="AG40" s="1420"/>
      <c r="AH40" s="1420"/>
      <c r="AI40" s="1420"/>
      <c r="AJ40" s="1421"/>
    </row>
    <row r="41" spans="1:36" ht="12" customHeight="1" x14ac:dyDescent="0.35">
      <c r="A41" s="1419" t="str">
        <f>IF(TRIM(J41)="","",IF(Data!CX65&gt;0,IF(Data!CX65&lt;&gt;"",Data!CX65," ")," "))</f>
        <v/>
      </c>
      <c r="B41" s="1420"/>
      <c r="C41" s="1420">
        <f>IF(Data!$G$32="Cutter Debraze",Data!O17,IF(Data!$L$32=1,IF(Quotation!$W$27=550,0,IF('Eng. Cutter Entry'!C9&lt;&gt;"",IF(Data!E17&gt;0,IF(Data!E17&lt;&gt;"", Data!E17,0),0),'ARDT Cutter Entry'!$AV$2+'ARDT Cutter Entry'!$AV$3+'ARDT Cutter Entry'!$AV$4+'ARDT Cutter Entry'!$AV$5)),""))</f>
        <v>0</v>
      </c>
      <c r="D41" s="1420"/>
      <c r="E41" s="1420" t="str">
        <f>IF(Data!GK7&gt;0,IF(Data!GK7&lt;&gt;"",Data!GK7," ")," ")</f>
        <v xml:space="preserve"> </v>
      </c>
      <c r="F41" s="1420"/>
      <c r="G41" s="1420"/>
      <c r="H41" s="1420"/>
      <c r="I41" s="1420"/>
      <c r="J41" s="1420" t="str">
        <f>IF(Data!GG7&gt;0,IF(Data!GG7&lt;&gt;"",IF(Data!GG7&lt;&gt;"Add the cutter in list",Data!GG7," ")," "),"")</f>
        <v xml:space="preserve"> </v>
      </c>
      <c r="K41" s="1420"/>
      <c r="L41" s="1420"/>
      <c r="M41" s="1420"/>
      <c r="N41" s="1420"/>
      <c r="O41" s="1420" t="str">
        <f>IF(Data!H17&lt;&gt;"", Data!H17, " ")</f>
        <v xml:space="preserve"> </v>
      </c>
      <c r="P41" s="1420"/>
      <c r="Q41" s="1420"/>
      <c r="R41" s="1420"/>
      <c r="S41" s="1420"/>
      <c r="T41" s="1420"/>
      <c r="U41" s="1420"/>
      <c r="V41" s="1420" t="str">
        <f>IF(Evaluation!R49&lt;&gt;"",Evaluation!R49," ")</f>
        <v xml:space="preserve"> </v>
      </c>
      <c r="W41" s="1420"/>
      <c r="X41" s="1420"/>
      <c r="Y41" s="1420"/>
      <c r="Z41" s="1420"/>
      <c r="AA41" s="1420"/>
      <c r="AB41" s="1420"/>
      <c r="AC41" s="1420"/>
      <c r="AD41" s="1420"/>
      <c r="AE41" s="1420"/>
      <c r="AF41" s="1420"/>
      <c r="AG41" s="1420"/>
      <c r="AH41" s="1420"/>
      <c r="AI41" s="1420"/>
      <c r="AJ41" s="1421"/>
    </row>
    <row r="42" spans="1:36" ht="12" customHeight="1" x14ac:dyDescent="0.35">
      <c r="A42" s="1419" t="str">
        <f>IF(TRIM(J42)="","",IF(Data!CX66&gt;0,IF(Data!CX66&lt;&gt;"",Data!CX66," ")," "))</f>
        <v/>
      </c>
      <c r="B42" s="1420"/>
      <c r="C42" s="1420">
        <f>IF(Data!$G$32="Cutter Debraze",Data!O18,IF(Data!$L$32=1,IF(Quotation!$W$27=550,0,IF('Eng. Cutter Entry'!C10&lt;&gt;"",IF(Data!E18&gt;0,IF(Data!E18&lt;&gt;"", Data!E18,0),0),'ARDT Cutter Entry'!$AW$2+'ARDT Cutter Entry'!$AW$3+'ARDT Cutter Entry'!$AW$4+'ARDT Cutter Entry'!$AW$5)),""))</f>
        <v>0</v>
      </c>
      <c r="D42" s="1420"/>
      <c r="E42" s="1420" t="str">
        <f>IF(Data!GK8&gt;0,IF(Data!GK8&lt;&gt;"",Data!GK8," ")," ")</f>
        <v xml:space="preserve"> </v>
      </c>
      <c r="F42" s="1420"/>
      <c r="G42" s="1420"/>
      <c r="H42" s="1420"/>
      <c r="I42" s="1420"/>
      <c r="J42" s="1420" t="str">
        <f>IF(Data!GG8&gt;0,IF(Data!GG8&lt;&gt;"",IF(Data!GG8&lt;&gt;"Add the cutter in list",Data!GG8," ")," "),"")</f>
        <v xml:space="preserve"> </v>
      </c>
      <c r="K42" s="1420"/>
      <c r="L42" s="1420"/>
      <c r="M42" s="1420"/>
      <c r="N42" s="1420"/>
      <c r="O42" s="1420" t="str">
        <f>IF(Data!H18&lt;&gt;"", Data!H18, " ")</f>
        <v xml:space="preserve"> </v>
      </c>
      <c r="P42" s="1420"/>
      <c r="Q42" s="1420"/>
      <c r="R42" s="1420"/>
      <c r="S42" s="1420"/>
      <c r="T42" s="1420"/>
      <c r="U42" s="1420"/>
      <c r="V42" s="1420" t="str">
        <f>IF(Evaluation!R50&lt;&gt;"",Evaluation!R50," ")</f>
        <v xml:space="preserve"> </v>
      </c>
      <c r="W42" s="1420"/>
      <c r="X42" s="1420"/>
      <c r="Y42" s="1420"/>
      <c r="Z42" s="1420"/>
      <c r="AA42" s="1420"/>
      <c r="AB42" s="1420"/>
      <c r="AC42" s="1420"/>
      <c r="AD42" s="1420"/>
      <c r="AE42" s="1420"/>
      <c r="AF42" s="1420"/>
      <c r="AG42" s="1420"/>
      <c r="AH42" s="1420"/>
      <c r="AI42" s="1420"/>
      <c r="AJ42" s="1421"/>
    </row>
    <row r="43" spans="1:36" ht="12" customHeight="1" x14ac:dyDescent="0.35">
      <c r="A43" s="1419" t="str">
        <f>IF(TRIM(J43)="","",IF(Data!CX67&gt;0,IF(Data!CX67&lt;&gt;"",Data!CX67," ")," "))</f>
        <v/>
      </c>
      <c r="B43" s="1420"/>
      <c r="C43" s="1420">
        <f>IF(Data!$G$32="Cutter Debraze",Data!O19,IF(Data!$L$32=1,IF(Quotation!$W$27=550,0,IF('Eng. Cutter Entry'!C11&lt;&gt;"",IF(Data!E19&gt;0,IF(Data!E19&lt;&gt;"", Data!E19,0),0),'ARDT Cutter Entry'!$AX$2+'ARDT Cutter Entry'!$AX$3+'ARDT Cutter Entry'!$AX$4+'ARDT Cutter Entry'!$AX$5)),""))</f>
        <v>0</v>
      </c>
      <c r="D43" s="1420"/>
      <c r="E43" s="1420" t="str">
        <f>IF(Data!GK9&gt;0,IF(Data!GK9&lt;&gt;"",Data!GK9," ")," ")</f>
        <v xml:space="preserve"> </v>
      </c>
      <c r="F43" s="1420"/>
      <c r="G43" s="1420"/>
      <c r="H43" s="1420"/>
      <c r="I43" s="1420"/>
      <c r="J43" s="1420" t="str">
        <f>IF(Data!GG9&gt;0,IF(Data!GG9&lt;&gt;"",IF(Data!GG9&lt;&gt;"Add the cutter in list",Data!GG9," ")," "),"")</f>
        <v xml:space="preserve"> </v>
      </c>
      <c r="K43" s="1420"/>
      <c r="L43" s="1420"/>
      <c r="M43" s="1420"/>
      <c r="N43" s="1420"/>
      <c r="O43" s="1420" t="str">
        <f>IF(Data!H19&lt;&gt;"", Data!H19, " ")</f>
        <v xml:space="preserve"> </v>
      </c>
      <c r="P43" s="1420"/>
      <c r="Q43" s="1420"/>
      <c r="R43" s="1420"/>
      <c r="S43" s="1420"/>
      <c r="T43" s="1420"/>
      <c r="U43" s="1420"/>
      <c r="V43" s="1420" t="str">
        <f>IF(Evaluation!R57&lt;&gt;"",Evaluation!R57," ")</f>
        <v xml:space="preserve"> </v>
      </c>
      <c r="W43" s="1420"/>
      <c r="X43" s="1420"/>
      <c r="Y43" s="1420"/>
      <c r="Z43" s="1420"/>
      <c r="AA43" s="1420"/>
      <c r="AB43" s="1420"/>
      <c r="AC43" s="1420"/>
      <c r="AD43" s="1420"/>
      <c r="AE43" s="1420"/>
      <c r="AF43" s="1420"/>
      <c r="AG43" s="1420"/>
      <c r="AH43" s="1420"/>
      <c r="AI43" s="1420"/>
      <c r="AJ43" s="1421"/>
    </row>
    <row r="44" spans="1:36" ht="12" customHeight="1" x14ac:dyDescent="0.35">
      <c r="A44" s="1419" t="str">
        <f>IF(TRIM(J44)="","",IF(Data!CX68&gt;0,IF(Data!CX68&lt;&gt;"",Data!CX68," ")," "))</f>
        <v/>
      </c>
      <c r="B44" s="1420"/>
      <c r="C44" s="1420">
        <f>IF(Data!$G$32="Cutter Debraze",Data!O20,IF(Data!$L$32=1,IF(Quotation!$W$27=550,0,IF('Eng. Cutter Entry'!C12&lt;&gt;"",IF(Data!E20&gt;0,IF(Data!E20&lt;&gt;"", Data!E20,0),0),'ARDT Cutter Entry'!$AY$2+'ARDT Cutter Entry'!$AY$3+'ARDT Cutter Entry'!$AY$4+'ARDT Cutter Entry'!$AY$5)),""))</f>
        <v>0</v>
      </c>
      <c r="D44" s="1420"/>
      <c r="E44" s="1420" t="str">
        <f>IF(Data!GK10&gt;0,IF(Data!GK10&lt;&gt;"",Data!GK10," ")," ")</f>
        <v xml:space="preserve"> </v>
      </c>
      <c r="F44" s="1420"/>
      <c r="G44" s="1420"/>
      <c r="H44" s="1420"/>
      <c r="I44" s="1420"/>
      <c r="J44" s="1420" t="str">
        <f>IF(Data!GG10&gt;0,IF(Data!GG10&lt;&gt;"",IF(Data!GG10&lt;&gt;"Add the cutter in list",Data!GG10," ")," "),"")</f>
        <v xml:space="preserve"> </v>
      </c>
      <c r="K44" s="1420"/>
      <c r="L44" s="1420"/>
      <c r="M44" s="1420"/>
      <c r="N44" s="1420"/>
      <c r="O44" s="1420" t="str">
        <f>IF(Data!H20&lt;&gt;"", Data!H20, " ")</f>
        <v xml:space="preserve"> </v>
      </c>
      <c r="P44" s="1420"/>
      <c r="Q44" s="1420"/>
      <c r="R44" s="1420"/>
      <c r="S44" s="1420"/>
      <c r="T44" s="1420"/>
      <c r="U44" s="1420"/>
      <c r="V44" s="1420" t="str">
        <f>IF(Evaluation!R58&lt;&gt;"",Evaluation!R58," ")</f>
        <v xml:space="preserve"> </v>
      </c>
      <c r="W44" s="1420"/>
      <c r="X44" s="1420"/>
      <c r="Y44" s="1420"/>
      <c r="Z44" s="1420"/>
      <c r="AA44" s="1420"/>
      <c r="AB44" s="1420"/>
      <c r="AC44" s="1420"/>
      <c r="AD44" s="1420"/>
      <c r="AE44" s="1420"/>
      <c r="AF44" s="1420"/>
      <c r="AG44" s="1420"/>
      <c r="AH44" s="1420"/>
      <c r="AI44" s="1420"/>
      <c r="AJ44" s="1421"/>
    </row>
    <row r="45" spans="1:36" ht="12" customHeight="1" thickBot="1" x14ac:dyDescent="0.4">
      <c r="A45" s="1504" t="str">
        <f>IF(TRIM(J45)="","",IF(Data!CX69&gt;0,IF(Data!CX69&lt;&gt;"",Data!CX69," ")," "))</f>
        <v/>
      </c>
      <c r="B45" s="1505"/>
      <c r="C45" s="1505">
        <f>IF(Data!$G$32="Cutter Debraze",Data!O21,IF(Data!$L$32=1,IF(Quotation!$W$27=550,0,IF('Eng. Cutter Entry'!C13&lt;&gt;"",IF(Data!E21&gt;0,IF(Data!E21&lt;&gt;"", Data!E21,0),0),'ARDT Cutter Entry'!$AZ$2+'ARDT Cutter Entry'!$AZ$3+'ARDT Cutter Entry'!$AZ$4+'ARDT Cutter Entry'!$AZ$5)),""))</f>
        <v>0</v>
      </c>
      <c r="D45" s="1505"/>
      <c r="E45" s="1505" t="str">
        <f>IF(Data!GK11&gt;0,IF(Data!GK11&lt;&gt;"",Data!GK11," ")," ")</f>
        <v xml:space="preserve"> </v>
      </c>
      <c r="F45" s="1505"/>
      <c r="G45" s="1505"/>
      <c r="H45" s="1505"/>
      <c r="I45" s="1505"/>
      <c r="J45" s="1505" t="str">
        <f>IF(Data!GG11&gt;0,IF(Data!GG11&lt;&gt;"",IF(Data!GG11&lt;&gt;"Add the cutter in list",Data!GG11," ")," "),"")</f>
        <v xml:space="preserve"> </v>
      </c>
      <c r="K45" s="1505"/>
      <c r="L45" s="1505"/>
      <c r="M45" s="1505"/>
      <c r="N45" s="1505"/>
      <c r="O45" s="1505" t="str">
        <f>IF(Data!H21&lt;&gt;"", Data!H21, " ")</f>
        <v xml:space="preserve"> </v>
      </c>
      <c r="P45" s="1505"/>
      <c r="Q45" s="1505"/>
      <c r="R45" s="1505"/>
      <c r="S45" s="1505"/>
      <c r="T45" s="1505"/>
      <c r="U45" s="1505"/>
      <c r="V45" s="1505" t="str">
        <f>IF(Evaluation!R60&lt;&gt;"",Evaluation!R60," ")</f>
        <v xml:space="preserve"> </v>
      </c>
      <c r="W45" s="1505"/>
      <c r="X45" s="1505"/>
      <c r="Y45" s="1505"/>
      <c r="Z45" s="1505"/>
      <c r="AA45" s="1505"/>
      <c r="AB45" s="1505"/>
      <c r="AC45" s="1505"/>
      <c r="AD45" s="1505"/>
      <c r="AE45" s="1505"/>
      <c r="AF45" s="1505"/>
      <c r="AG45" s="1505"/>
      <c r="AH45" s="1505"/>
      <c r="AI45" s="1505"/>
      <c r="AJ45" s="1506"/>
    </row>
    <row r="46" spans="1:36" ht="10" customHeight="1" x14ac:dyDescent="0.35">
      <c r="A46" s="395"/>
      <c r="B46" s="395"/>
      <c r="C46" s="395"/>
      <c r="D46" s="395"/>
      <c r="E46" s="395"/>
      <c r="F46" s="395"/>
      <c r="G46" s="395"/>
      <c r="H46" s="395"/>
      <c r="I46" s="395"/>
      <c r="J46" s="395"/>
      <c r="K46" s="395"/>
      <c r="L46" s="395"/>
      <c r="M46" s="395"/>
      <c r="N46" s="395"/>
      <c r="O46" s="395"/>
      <c r="P46" s="395"/>
      <c r="Q46" s="395"/>
      <c r="R46" s="395"/>
      <c r="S46" s="395"/>
      <c r="T46" s="395"/>
      <c r="U46" s="395"/>
      <c r="V46" s="404"/>
      <c r="W46" s="395"/>
      <c r="X46" s="395"/>
      <c r="Y46" s="395"/>
      <c r="Z46" s="395"/>
      <c r="AA46" s="395"/>
      <c r="AB46" s="395"/>
      <c r="AC46" s="404"/>
      <c r="AD46" s="395"/>
    </row>
    <row r="47" spans="1:36" x14ac:dyDescent="0.35">
      <c r="A47" s="1692" t="s">
        <v>1056</v>
      </c>
      <c r="B47" s="1692"/>
      <c r="C47" s="1692"/>
      <c r="D47" s="1692"/>
      <c r="E47" s="1692"/>
      <c r="F47" s="1692"/>
      <c r="H47" s="1692" t="str">
        <f>IF(Data!B16&lt;&gt;"",Data!B16," ")</f>
        <v>SAUDI ARAMCO</v>
      </c>
      <c r="I47" s="1692"/>
      <c r="J47" s="1692"/>
      <c r="K47" s="1692"/>
      <c r="P47" s="1692" t="s">
        <v>1494</v>
      </c>
      <c r="Q47" s="1692"/>
      <c r="R47" s="1692"/>
      <c r="S47" s="1692"/>
      <c r="T47" s="1692"/>
      <c r="U47" s="1692"/>
      <c r="V47" s="1692"/>
      <c r="W47" s="1692"/>
      <c r="X47" s="1693"/>
      <c r="Y47" s="1693"/>
      <c r="Z47" s="1693"/>
      <c r="AA47" s="1693"/>
    </row>
    <row r="49" spans="22:36" x14ac:dyDescent="0.35">
      <c r="V49" s="403"/>
      <c r="W49" s="403"/>
      <c r="X49" s="403"/>
      <c r="Y49" s="403"/>
      <c r="Z49" s="403"/>
      <c r="AA49" s="403"/>
      <c r="AC49" s="403"/>
      <c r="AD49" s="403"/>
      <c r="AE49" s="403"/>
      <c r="AF49" s="403"/>
      <c r="AG49" s="403"/>
      <c r="AH49" s="403"/>
      <c r="AI49" s="403"/>
      <c r="AJ49" s="403"/>
    </row>
    <row r="50" spans="22:36" x14ac:dyDescent="0.35">
      <c r="V50" s="403"/>
      <c r="W50" s="403"/>
      <c r="X50" s="403"/>
      <c r="Y50" s="403"/>
      <c r="Z50" s="403"/>
      <c r="AA50" s="403"/>
      <c r="AC50" s="403"/>
      <c r="AD50" s="403"/>
      <c r="AE50" s="403"/>
      <c r="AF50" s="403"/>
      <c r="AG50" s="403"/>
      <c r="AH50" s="403"/>
      <c r="AI50" s="403"/>
      <c r="AJ50" s="403"/>
    </row>
  </sheetData>
  <sheetProtection formatCells="0" formatColumns="0" formatRows="0" insertColumns="0" insertRows="0" insertHyperlinks="0" deleteColumns="0" deleteRows="0" sort="0" autoFilter="0" pivotTables="0"/>
  <mergeCells count="129">
    <mergeCell ref="D3:Z3"/>
    <mergeCell ref="I31:V31"/>
    <mergeCell ref="W31:AB31"/>
    <mergeCell ref="AC31:AJ31"/>
    <mergeCell ref="A45:B45"/>
    <mergeCell ref="C45:D45"/>
    <mergeCell ref="E45:I45"/>
    <mergeCell ref="J45:N45"/>
    <mergeCell ref="O45:U45"/>
    <mergeCell ref="V45:AJ45"/>
    <mergeCell ref="AE7:AI7"/>
    <mergeCell ref="K5:M5"/>
    <mergeCell ref="N5:R5"/>
    <mergeCell ref="S5:U5"/>
    <mergeCell ref="V5:Z5"/>
    <mergeCell ref="V39:AJ39"/>
    <mergeCell ref="V40:AJ40"/>
    <mergeCell ref="V41:AJ41"/>
    <mergeCell ref="A25:AA25"/>
    <mergeCell ref="AB24:AD24"/>
    <mergeCell ref="A11:A22"/>
    <mergeCell ref="A42:B42"/>
    <mergeCell ref="C42:D42"/>
    <mergeCell ref="A24:E24"/>
    <mergeCell ref="A47:F47"/>
    <mergeCell ref="A43:B43"/>
    <mergeCell ref="C43:D43"/>
    <mergeCell ref="E43:I43"/>
    <mergeCell ref="J43:N43"/>
    <mergeCell ref="O43:U43"/>
    <mergeCell ref="V43:AJ43"/>
    <mergeCell ref="A44:B44"/>
    <mergeCell ref="C44:D44"/>
    <mergeCell ref="E44:I44"/>
    <mergeCell ref="J44:N44"/>
    <mergeCell ref="O44:U44"/>
    <mergeCell ref="V44:AJ44"/>
    <mergeCell ref="H47:K47"/>
    <mergeCell ref="X47:AA47"/>
    <mergeCell ref="P47:W47"/>
    <mergeCell ref="AB2:AJ2"/>
    <mergeCell ref="A36:B36"/>
    <mergeCell ref="C36:D36"/>
    <mergeCell ref="O36:U36"/>
    <mergeCell ref="H26:I26"/>
    <mergeCell ref="D7:E7"/>
    <mergeCell ref="F7:J7"/>
    <mergeCell ref="L7:M7"/>
    <mergeCell ref="N7:R7"/>
    <mergeCell ref="S7:U7"/>
    <mergeCell ref="V7:Z7"/>
    <mergeCell ref="A9:AJ9"/>
    <mergeCell ref="X26:Y26"/>
    <mergeCell ref="V26:W26"/>
    <mergeCell ref="S26:U26"/>
    <mergeCell ref="O26:P26"/>
    <mergeCell ref="Q26:R26"/>
    <mergeCell ref="X24:Z24"/>
    <mergeCell ref="AA4:AD6"/>
    <mergeCell ref="B5:E5"/>
    <mergeCell ref="F5:J5"/>
    <mergeCell ref="A8:AJ8"/>
    <mergeCell ref="AA3:AD3"/>
    <mergeCell ref="AE3:AI3"/>
    <mergeCell ref="J24:L24"/>
    <mergeCell ref="M24:P24"/>
    <mergeCell ref="Q24:R24"/>
    <mergeCell ref="A26:C26"/>
    <mergeCell ref="D26:E26"/>
    <mergeCell ref="E40:I40"/>
    <mergeCell ref="E41:I41"/>
    <mergeCell ref="O37:U37"/>
    <mergeCell ref="E36:I36"/>
    <mergeCell ref="E37:I37"/>
    <mergeCell ref="A41:B41"/>
    <mergeCell ref="C41:D41"/>
    <mergeCell ref="A40:B40"/>
    <mergeCell ref="C40:D40"/>
    <mergeCell ref="A39:B39"/>
    <mergeCell ref="C39:D39"/>
    <mergeCell ref="A38:B38"/>
    <mergeCell ref="C38:D38"/>
    <mergeCell ref="A28:C28"/>
    <mergeCell ref="A29:C30"/>
    <mergeCell ref="D1:AJ1"/>
    <mergeCell ref="A33:AJ33"/>
    <mergeCell ref="A37:B37"/>
    <mergeCell ref="C37:D37"/>
    <mergeCell ref="V36:AJ36"/>
    <mergeCell ref="V37:AJ37"/>
    <mergeCell ref="AF24:AH24"/>
    <mergeCell ref="AE5:AI5"/>
    <mergeCell ref="M26:N26"/>
    <mergeCell ref="O34:U35"/>
    <mergeCell ref="E34:I35"/>
    <mergeCell ref="A34:B35"/>
    <mergeCell ref="C34:D35"/>
    <mergeCell ref="V34:AJ35"/>
    <mergeCell ref="S24:V24"/>
    <mergeCell ref="AE26:AF26"/>
    <mergeCell ref="AC26:AD26"/>
    <mergeCell ref="Z26:AA26"/>
    <mergeCell ref="A1:C3"/>
    <mergeCell ref="AA7:AD7"/>
    <mergeCell ref="D2:K2"/>
    <mergeCell ref="L2:S2"/>
    <mergeCell ref="T2:AA2"/>
    <mergeCell ref="F24:I24"/>
    <mergeCell ref="V38:AJ38"/>
    <mergeCell ref="E38:I38"/>
    <mergeCell ref="E39:I39"/>
    <mergeCell ref="F26:G26"/>
    <mergeCell ref="K26:L26"/>
    <mergeCell ref="J34:N35"/>
    <mergeCell ref="J36:N36"/>
    <mergeCell ref="J37:N37"/>
    <mergeCell ref="E42:I42"/>
    <mergeCell ref="O38:U38"/>
    <mergeCell ref="O39:U39"/>
    <mergeCell ref="O40:U40"/>
    <mergeCell ref="O41:U41"/>
    <mergeCell ref="O42:U42"/>
    <mergeCell ref="J38:N38"/>
    <mergeCell ref="J39:N39"/>
    <mergeCell ref="J40:N40"/>
    <mergeCell ref="J41:N41"/>
    <mergeCell ref="J42:N42"/>
    <mergeCell ref="V42:AJ42"/>
    <mergeCell ref="D28:AJ30"/>
  </mergeCells>
  <conditionalFormatting sqref="A36:B45">
    <cfRule type="expression" dxfId="417" priority="54">
      <formula>COUNTIF($A36,"5")</formula>
    </cfRule>
    <cfRule type="expression" dxfId="416" priority="53">
      <formula>COUNTIF($A36,"6")</formula>
    </cfRule>
    <cfRule type="expression" dxfId="415" priority="52">
      <formula>COUNTIF($A36,"7")</formula>
    </cfRule>
    <cfRule type="expression" dxfId="414" priority="7">
      <formula>COUNTIF($A36,"10")</formula>
    </cfRule>
    <cfRule type="expression" dxfId="413" priority="8">
      <formula>COUNTIF($A36,"9")</formula>
    </cfRule>
    <cfRule type="expression" dxfId="412" priority="9">
      <formula>COUNTIF($A36,"8")</formula>
    </cfRule>
    <cfRule type="expression" dxfId="411" priority="55">
      <formula>COUNTIF($A36,"4")</formula>
    </cfRule>
    <cfRule type="expression" dxfId="410" priority="56">
      <formula>COUNTIF($A36,"3")</formula>
    </cfRule>
    <cfRule type="expression" dxfId="409" priority="57">
      <formula>COUNTIF($A36,"2")</formula>
    </cfRule>
    <cfRule type="expression" dxfId="408" priority="58">
      <formula>COUNTIF($A36,"1")</formula>
    </cfRule>
  </conditionalFormatting>
  <conditionalFormatting sqref="A29:C30">
    <cfRule type="expression" dxfId="407" priority="3">
      <formula>$A$29&lt;&gt;""</formula>
    </cfRule>
  </conditionalFormatting>
  <conditionalFormatting sqref="C36:D45">
    <cfRule type="cellIs" dxfId="406" priority="4" operator="equal">
      <formula>0</formula>
    </cfRule>
  </conditionalFormatting>
  <conditionalFormatting sqref="C10:AJ10">
    <cfRule type="beginsWith" dxfId="405" priority="124" operator="beginsWith" text="0a">
      <formula>LEFT(C10,LEN("0a"))="0a"</formula>
    </cfRule>
  </conditionalFormatting>
  <conditionalFormatting sqref="C11:AJ22">
    <cfRule type="expression" dxfId="402" priority="37">
      <formula>AND(COUNTIF(C11,"*V*"),AND(NOT(COUNTIF(B11,"*V*")),NOT(COUNTIF(D11,"*V*"))))</formula>
    </cfRule>
  </conditionalFormatting>
  <conditionalFormatting sqref="D26:E26 H26:I26 M26:N26 Q26:R26 V26:W26 Z26:AA26">
    <cfRule type="cellIs" dxfId="382" priority="6" operator="equal">
      <formula>0</formula>
    </cfRule>
  </conditionalFormatting>
  <conditionalFormatting sqref="AE7:AI7">
    <cfRule type="cellIs" dxfId="380" priority="5" operator="equal">
      <formula>0</formula>
    </cfRule>
  </conditionalFormatting>
  <pageMargins left="0.05" right="0" top="0.1" bottom="0" header="0" footer="0"/>
  <pageSetup paperSize="9" orientation="landscape" r:id="rId1"/>
  <rowBreaks count="1" manualBreakCount="1">
    <brk id="55" max="3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5" id="{8BEA08DC-9C5C-4DE0-A72A-EB1345E49523}">
            <xm:f>COUNTIF('ARDT Cutter Entry'!C4,"*9*")</xm:f>
            <x14:dxf>
              <fill>
                <patternFill>
                  <bgColor rgb="FF967200"/>
                </patternFill>
              </fill>
            </x14:dxf>
          </x14:cfRule>
          <x14:cfRule type="expression" priority="36" id="{880FB66D-ADC6-464D-B3C7-EB8801C6B081}">
            <xm:f>COUNTIF('ARDT Cutter Entry'!C4,"*8*")</xm:f>
            <x14:dxf>
              <fill>
                <patternFill>
                  <bgColor rgb="FF8F45C7"/>
                </patternFill>
              </fill>
            </x14:dxf>
          </x14:cfRule>
          <x14:cfRule type="expression" priority="38" id="{86BC9F22-6E29-4320-9A36-778CD6F14FB4}">
            <xm:f>COUNTIF('ARDT Cutter Entry'!C4,"*7*")</xm:f>
            <x14:dxf>
              <font>
                <color theme="1"/>
              </font>
              <fill>
                <patternFill>
                  <bgColor rgb="FFF2DCDB"/>
                </patternFill>
              </fill>
            </x14:dxf>
          </x14:cfRule>
          <x14:cfRule type="expression" priority="39" id="{571ABACB-816D-4C94-B023-3B414757CC10}">
            <xm:f>COUNTIF('ARDT Cutter Entry'!C4,"*6*")</xm:f>
            <x14:dxf>
              <font>
                <color theme="1"/>
              </font>
              <fill>
                <patternFill>
                  <bgColor rgb="FFDDD9C4"/>
                </patternFill>
              </fill>
            </x14:dxf>
          </x14:cfRule>
          <x14:cfRule type="expression" priority="40" id="{FEE44575-C117-49E6-A5FF-59B6FBBD850A}">
            <xm:f>COUNTIF('ARDT Cutter Entry'!C4,"*5*")</xm:f>
            <x14:dxf>
              <font>
                <color theme="1"/>
              </font>
              <fill>
                <patternFill>
                  <bgColor rgb="FFE4DFE6"/>
                </patternFill>
              </fill>
            </x14:dxf>
          </x14:cfRule>
          <x14:cfRule type="expression" priority="1" id="{CABECEC6-188C-4AA9-A49A-FB35B95045EC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42" id="{90431198-16FE-463C-AF87-CA709C8C88F1}">
            <xm:f>COUNTIF('ARDT Cutter Entry'!C4,"*3*")</xm:f>
            <x14:dxf>
              <font>
                <color theme="1"/>
              </font>
              <fill>
                <patternFill>
                  <bgColor rgb="FFFDE9D9"/>
                </patternFill>
              </fill>
            </x14:dxf>
          </x14:cfRule>
          <x14:cfRule type="expression" priority="43" id="{2C3A7469-42C3-400E-936A-8177859CCDBA}">
            <xm:f>COUNTIF('ARDT Cutter Entry'!C4,"*2*")</xm:f>
            <x14:dxf>
              <font>
                <color theme="1"/>
              </font>
              <fill>
                <patternFill>
                  <bgColor rgb="FFC4D79B"/>
                </patternFill>
              </fill>
            </x14:dxf>
          </x14:cfRule>
          <x14:cfRule type="expression" priority="44" id="{CC199699-73DA-4B46-8047-3DB284CBA97D}">
            <xm:f>COUNTIF('ARDT Cutter Entry'!C4,"*1*")</xm:f>
            <x14:dxf>
              <font>
                <color theme="1"/>
              </font>
              <fill>
                <patternFill>
                  <bgColor rgb="FF92CDDC"/>
                </patternFill>
              </fill>
            </x14:dxf>
          </x14:cfRule>
          <x14:cfRule type="expression" priority="45" id="{F726B3CE-4609-4C91-A32F-A6B9986ED168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46" id="{BD7CB98B-4055-48D4-8D43-DAB967AA2381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47" id="{74B48022-31EF-4963-92A7-63B961529541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48" id="{F88F3F54-2F8D-4946-BC34-98B8F5858232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49" id="{9A52DFB4-405A-46BF-B61A-80C5F5AE599B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50" id="{14AE37BF-392F-4A55-BC26-6672ADC2FFDE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51" id="{B155F17C-2D53-4E64-AF9C-F28FD79613B5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1" id="{24AEE98E-7591-48A1-ADF3-CFC1429A4C67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32" id="{B42D44D8-27AC-4EAC-9C76-21F1CE2F07AF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3" id="{0E382E65-BEE2-458F-979A-59D955E6D551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34" id="{02241C7E-D3B1-401C-BC94-B16B3AF0B6A6}">
            <xm:f>COUNTIF('ARDT Cutter Entry'!C4,"*10*")</xm:f>
            <x14:dxf>
              <fill>
                <patternFill>
                  <bgColor rgb="FFFF8181"/>
                </patternFill>
              </fill>
            </x14:dxf>
          </x14:cfRule>
          <x14:cfRule type="expression" priority="41" id="{9A2B8AFE-57CF-471A-A6A6-86B5C3D35270}">
            <xm:f>COUNTIF('ARDT Cutter Entry'!C4,"*4*")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C11:AJ22</xm:sqref>
        </x14:conditionalFormatting>
        <x14:conditionalFormatting xmlns:xm="http://schemas.microsoft.com/office/excel/2006/main">
          <x14:cfRule type="expression" priority="2" id="{E29D23E4-F4DB-47D2-AA61-7579951038E3}">
            <xm:f>AND(OR(Data!B7="ARDT-LV3", Data!B7="ARDT-LV4"), $V$26&lt;&gt;$AE$26)</xm:f>
            <x14:dxf>
              <fill>
                <patternFill>
                  <bgColor rgb="FFFF0000"/>
                </patternFill>
              </fill>
            </x14:dxf>
          </x14:cfRule>
          <xm:sqref>V26:W26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933E-DB2E-4EF3-BF18-090201641970}">
  <sheetPr codeName="Sheet27">
    <tabColor rgb="FF002060"/>
  </sheetPr>
  <dimension ref="A1:V320"/>
  <sheetViews>
    <sheetView zoomScale="70" zoomScaleNormal="70" workbookViewId="0">
      <pane ySplit="3" topLeftCell="A37" activePane="bottomLeft" state="frozen"/>
      <selection pane="bottomLeft" activeCell="E51" sqref="E51"/>
    </sheetView>
  </sheetViews>
  <sheetFormatPr defaultRowHeight="15.5" x14ac:dyDescent="0.35"/>
  <cols>
    <col min="1" max="1" width="18.1796875" style="1000" bestFit="1" customWidth="1"/>
    <col min="2" max="2" width="18.54296875" style="1000" bestFit="1" customWidth="1"/>
    <col min="3" max="3" width="11.54296875" style="1000" bestFit="1" customWidth="1"/>
    <col min="4" max="4" width="12.453125" style="1000" bestFit="1" customWidth="1"/>
    <col min="5" max="5" width="16.26953125" style="1000" bestFit="1" customWidth="1"/>
    <col min="6" max="6" width="13.54296875" style="1000" bestFit="1" customWidth="1"/>
    <col min="7" max="7" width="13.54296875" style="1000" customWidth="1"/>
    <col min="8" max="8" width="17.1796875" style="1000" bestFit="1" customWidth="1"/>
    <col min="9" max="9" width="13.81640625" style="10" customWidth="1"/>
    <col min="10" max="10" width="115.453125" style="13" bestFit="1" customWidth="1"/>
    <col min="11" max="11" width="16.54296875" bestFit="1" customWidth="1"/>
    <col min="12" max="12" width="14.54296875" customWidth="1"/>
    <col min="13" max="13" width="18.54296875" bestFit="1" customWidth="1"/>
    <col min="15" max="15" width="12" customWidth="1"/>
    <col min="17" max="17" width="13.54296875" bestFit="1" customWidth="1"/>
    <col min="18" max="18" width="13.54296875" customWidth="1"/>
    <col min="19" max="19" width="14.81640625" bestFit="1" customWidth="1"/>
    <col min="20" max="20" width="41.453125" style="10" customWidth="1"/>
    <col min="21" max="21" width="95.7265625" bestFit="1" customWidth="1"/>
    <col min="22" max="22" width="40.1796875" bestFit="1" customWidth="1"/>
  </cols>
  <sheetData>
    <row r="1" spans="1:22" x14ac:dyDescent="0.35">
      <c r="K1" s="1708" t="s">
        <v>2210</v>
      </c>
      <c r="L1" s="1703" t="str">
        <f>_xlfn.TEXTJOIN(". ", TRUE, U4:U320) &amp; IF(_xlfn.TEXTJOIN(". ", TRUE, U4:U320)&lt;&gt;"",".","")</f>
        <v/>
      </c>
      <c r="M1" s="1704"/>
      <c r="N1" s="1704"/>
      <c r="O1" s="1704"/>
      <c r="P1" s="1704"/>
      <c r="Q1" s="1704"/>
      <c r="R1" s="1704"/>
      <c r="S1" s="1705"/>
    </row>
    <row r="2" spans="1:22" ht="16" thickBot="1" x14ac:dyDescent="0.4">
      <c r="K2" s="1709"/>
      <c r="L2" s="1706"/>
      <c r="M2" s="1535"/>
      <c r="N2" s="1535"/>
      <c r="O2" s="1535"/>
      <c r="P2" s="1535"/>
      <c r="Q2" s="1535"/>
      <c r="R2" s="1535"/>
      <c r="S2" s="1707"/>
    </row>
    <row r="3" spans="1:22" x14ac:dyDescent="0.35">
      <c r="A3" s="991" t="s">
        <v>2206</v>
      </c>
      <c r="B3" s="991" t="s">
        <v>2207</v>
      </c>
      <c r="C3" s="992" t="s">
        <v>1165</v>
      </c>
      <c r="D3" s="991" t="s">
        <v>1166</v>
      </c>
      <c r="E3" s="991" t="s">
        <v>2242</v>
      </c>
      <c r="F3" s="991" t="s">
        <v>2208</v>
      </c>
      <c r="G3" s="991" t="s">
        <v>2241</v>
      </c>
      <c r="H3" s="991" t="s">
        <v>2214</v>
      </c>
      <c r="I3" s="991" t="s">
        <v>995</v>
      </c>
      <c r="J3" s="1002" t="s">
        <v>2209</v>
      </c>
      <c r="L3" s="993" t="s">
        <v>2206</v>
      </c>
      <c r="M3" s="994" t="s">
        <v>2207</v>
      </c>
      <c r="N3" s="995" t="s">
        <v>1165</v>
      </c>
      <c r="O3" s="994" t="s">
        <v>1166</v>
      </c>
      <c r="P3" s="994" t="s">
        <v>2242</v>
      </c>
      <c r="Q3" s="994" t="s">
        <v>2208</v>
      </c>
      <c r="R3" s="994" t="s">
        <v>2241</v>
      </c>
      <c r="S3" s="994" t="s">
        <v>2214</v>
      </c>
      <c r="T3" s="994" t="s">
        <v>995</v>
      </c>
      <c r="U3" s="997" t="s">
        <v>2211</v>
      </c>
      <c r="V3" s="994" t="s">
        <v>2213</v>
      </c>
    </row>
    <row r="4" spans="1:22" x14ac:dyDescent="0.35">
      <c r="B4" s="1000">
        <v>14081145</v>
      </c>
      <c r="I4" s="1000"/>
      <c r="J4" s="1003" t="s">
        <v>2212</v>
      </c>
      <c r="L4" s="998" t="str">
        <f>IF(AND(Table2[[#This Row],[ORDER NO.]]&lt;&gt;"", Table2[[#This Row],[ORDER NO.]]=Data!$B$1),1,"")</f>
        <v/>
      </c>
      <c r="M4" s="998" t="str">
        <f>IFERROR(IF(AND(Table2[[#This Row],[SEREAL NO.]]&lt;&gt;"", Table2[[#This Row],[SEREAL NO.]]=Data!$A$103),1,""),"")</f>
        <v/>
      </c>
      <c r="N4" s="998" t="str">
        <f>IF(AND(Table2[[#This Row],[SIZE]]&lt;&gt;"", Table2[[#This Row],[SIZE]]=Data!$B$3),1,"")</f>
        <v/>
      </c>
      <c r="O4" s="998" t="str">
        <f>IF(AND(Table2[[#This Row],[TYPE]]&lt;&gt;"", Table2[[#This Row],[TYPE]]=Data!$B$4),1,"")</f>
        <v/>
      </c>
      <c r="P4" s="998" t="str">
        <f>IF(AND(Table2[[#This Row],[LV5 MAT NO.]]&lt;&gt;"", Table2[[#This Row],[LV5 MAT NO.]]=Data!$B$5),1,"")</f>
        <v/>
      </c>
      <c r="Q4" s="998" t="str">
        <f>IF(AND(Table2[[#This Row],[FROM]]&lt;&gt;"", Table2[[#This Row],[FROM]]=Data!$B$7),1,"")</f>
        <v/>
      </c>
      <c r="R4" s="998" t="str">
        <f>IF(AND(Table2[[#This Row],[LV3 or LV4 MAT NO.]]&lt;&gt;"", Table2[[#This Row],[LV3 or LV4 MAT NO.]]=Data!$B$8),1,"")</f>
        <v/>
      </c>
      <c r="S4" s="998"/>
      <c r="T4" s="998"/>
      <c r="U4" s="804" t="str">
        <f>IF(Table4[[#This Row],[Write "N" To Remove The Default]]="N","",IF(AND(COUNTA(Table2[[#This Row],[SEREAL NO.]:[REMARKS]])=SUM( L4:T4),SUM( L4:T4)&lt;&gt;0),Table2[[#This Row],[Instruction]],""))</f>
        <v/>
      </c>
      <c r="V4" s="804"/>
    </row>
    <row r="5" spans="1:22" x14ac:dyDescent="0.35">
      <c r="E5" s="1000">
        <v>1257458</v>
      </c>
      <c r="I5" s="1000"/>
      <c r="J5" s="1003" t="s">
        <v>2215</v>
      </c>
      <c r="L5" s="998" t="str">
        <f>IF(AND(Table2[[#This Row],[ORDER NO.]]&lt;&gt;"", Table2[[#This Row],[ORDER NO.]]=Data!$B$1),1,"")</f>
        <v/>
      </c>
      <c r="M5" s="998" t="str">
        <f>IFERROR(IF(AND(Table2[[#This Row],[SEREAL NO.]]&lt;&gt;"", Table2[[#This Row],[SEREAL NO.]]=Data!$A$103),1,""),"")</f>
        <v/>
      </c>
      <c r="N5" s="998" t="str">
        <f>IF(AND(Table2[[#This Row],[SIZE]]&lt;&gt;"", Table2[[#This Row],[SIZE]]=Data!$B$3),1,"")</f>
        <v/>
      </c>
      <c r="O5" s="998" t="str">
        <f>IF(AND(Table2[[#This Row],[TYPE]]&lt;&gt;"", Table2[[#This Row],[TYPE]]=Data!$B$4),1,"")</f>
        <v/>
      </c>
      <c r="P5" s="998" t="str">
        <f>IF(AND(Table2[[#This Row],[LV5 MAT NO.]]&lt;&gt;"", Table2[[#This Row],[LV5 MAT NO.]]=Data!$B$5),1,"")</f>
        <v/>
      </c>
      <c r="Q5" s="998" t="str">
        <f>IF(AND(Table2[[#This Row],[FROM]]&lt;&gt;"", Table2[[#This Row],[FROM]]=Data!$B$7),1,"")</f>
        <v/>
      </c>
      <c r="R5" s="998" t="str">
        <f>IF(AND(Table2[[#This Row],[LV3 or LV4 MAT NO.]]&lt;&gt;"", Table2[[#This Row],[LV3 or LV4 MAT NO.]]=Data!$B$8),1,"")</f>
        <v/>
      </c>
      <c r="S5" s="998"/>
      <c r="T5" s="998"/>
      <c r="U5" s="804" t="str">
        <f>IF(Table4[[#This Row],[Write "N" To Remove The Default]]="N","",IF(AND(COUNTA(Table2[[#This Row],[SEREAL NO.]:[REMARKS]])=SUM( L5:T5),SUM( L5:T5)&lt;&gt;0),Table2[[#This Row],[Instruction]],""))</f>
        <v/>
      </c>
      <c r="V5" s="804"/>
    </row>
    <row r="6" spans="1:22" x14ac:dyDescent="0.35">
      <c r="E6" s="1000" t="s">
        <v>2183</v>
      </c>
      <c r="I6" s="1000"/>
      <c r="J6" s="1003" t="s">
        <v>2215</v>
      </c>
      <c r="L6" s="998" t="str">
        <f>IF(AND(Table2[[#This Row],[ORDER NO.]]&lt;&gt;"", Table2[[#This Row],[ORDER NO.]]=Data!$B$1),1,"")</f>
        <v/>
      </c>
      <c r="M6" s="998" t="str">
        <f>IFERROR(IF(AND(Table2[[#This Row],[SEREAL NO.]]&lt;&gt;"", Table2[[#This Row],[SEREAL NO.]]=Data!$A$103),1,""),"")</f>
        <v/>
      </c>
      <c r="N6" s="998" t="str">
        <f>IF(AND(Table2[[#This Row],[SIZE]]&lt;&gt;"", Table2[[#This Row],[SIZE]]=Data!$B$3),1,"")</f>
        <v/>
      </c>
      <c r="O6" s="998" t="str">
        <f>IF(AND(Table2[[#This Row],[TYPE]]&lt;&gt;"", Table2[[#This Row],[TYPE]]=Data!$B$4),1,"")</f>
        <v/>
      </c>
      <c r="P6" s="998" t="str">
        <f>IF(AND(Table2[[#This Row],[LV5 MAT NO.]]&lt;&gt;"", Table2[[#This Row],[LV5 MAT NO.]]=Data!$B$5),1,"")</f>
        <v/>
      </c>
      <c r="Q6" s="998" t="str">
        <f>IF(AND(Table2[[#This Row],[FROM]]&lt;&gt;"", Table2[[#This Row],[FROM]]=Data!$B$7),1,"")</f>
        <v/>
      </c>
      <c r="R6" s="998" t="str">
        <f>IF(AND(Table2[[#This Row],[LV3 or LV4 MAT NO.]]&lt;&gt;"", Table2[[#This Row],[LV3 or LV4 MAT NO.]]=Data!$B$8),1,"")</f>
        <v/>
      </c>
      <c r="S6" s="998"/>
      <c r="T6" s="998"/>
      <c r="U6" s="804" t="str">
        <f>IF(Table4[[#This Row],[Write "N" To Remove The Default]]="N","",IF(AND(COUNTA(Table2[[#This Row],[SEREAL NO.]:[REMARKS]])=SUM( L6:T6),SUM( L6:T6)&lt;&gt;0),Table2[[#This Row],[Instruction]],""))</f>
        <v/>
      </c>
      <c r="V6" s="804" t="s">
        <v>2487</v>
      </c>
    </row>
    <row r="7" spans="1:22" x14ac:dyDescent="0.35">
      <c r="G7" s="1000">
        <v>1212690</v>
      </c>
      <c r="I7" s="1000"/>
      <c r="J7" s="1003" t="s">
        <v>2218</v>
      </c>
      <c r="L7" s="998" t="str">
        <f>IF(AND(Table2[[#This Row],[ORDER NO.]]&lt;&gt;"", Table2[[#This Row],[ORDER NO.]]=Data!$B$1),1,"")</f>
        <v/>
      </c>
      <c r="M7" s="998" t="str">
        <f>IFERROR(IF(AND(Table2[[#This Row],[SEREAL NO.]]&lt;&gt;"", Table2[[#This Row],[SEREAL NO.]]=Data!$A$103),1,""),"")</f>
        <v/>
      </c>
      <c r="N7" s="998" t="str">
        <f>IF(AND(Table2[[#This Row],[SIZE]]&lt;&gt;"", Table2[[#This Row],[SIZE]]=Data!$B$3),1,"")</f>
        <v/>
      </c>
      <c r="O7" s="998" t="str">
        <f>IF(AND(Table2[[#This Row],[TYPE]]&lt;&gt;"", Table2[[#This Row],[TYPE]]=Data!$B$4),1,"")</f>
        <v/>
      </c>
      <c r="P7" s="998" t="str">
        <f>IF(AND(Table2[[#This Row],[LV5 MAT NO.]]&lt;&gt;"", Table2[[#This Row],[LV5 MAT NO.]]=Data!$B$5),1,"")</f>
        <v/>
      </c>
      <c r="Q7" s="998" t="str">
        <f>IF(AND(Table2[[#This Row],[FROM]]&lt;&gt;"", Table2[[#This Row],[FROM]]=Data!$B$7),1,"")</f>
        <v/>
      </c>
      <c r="R7" s="998" t="str">
        <f>IF(AND(Table2[[#This Row],[LV3 or LV4 MAT NO.]]&lt;&gt;"", Table2[[#This Row],[LV3 or LV4 MAT NO.]]=Data!$B$8),1,"")</f>
        <v/>
      </c>
      <c r="S7" s="998"/>
      <c r="T7" s="998"/>
      <c r="U7" s="804" t="str">
        <f>IF(Table4[[#This Row],[Write "N" To Remove The Default]]="N","",IF(AND(COUNTA(Table2[[#This Row],[SEREAL NO.]:[REMARKS]])=SUM( L7:T7),SUM( L7:T7)&lt;&gt;0),Table2[[#This Row],[Instruction]],""))</f>
        <v/>
      </c>
      <c r="V7" s="804"/>
    </row>
    <row r="8" spans="1:22" x14ac:dyDescent="0.35">
      <c r="F8" s="1000" t="s">
        <v>2219</v>
      </c>
      <c r="G8" s="1000">
        <v>1259957</v>
      </c>
      <c r="I8" s="1000"/>
      <c r="J8" s="1003" t="s">
        <v>2218</v>
      </c>
      <c r="L8" s="998" t="str">
        <f>IF(AND(Table2[[#This Row],[ORDER NO.]]&lt;&gt;"", Table2[[#This Row],[ORDER NO.]]=Data!$B$1),1,"")</f>
        <v/>
      </c>
      <c r="M8" s="998" t="str">
        <f>IFERROR(IF(AND(Table2[[#This Row],[SEREAL NO.]]&lt;&gt;"", Table2[[#This Row],[SEREAL NO.]]=Data!$A$103),1,""),"")</f>
        <v/>
      </c>
      <c r="N8" s="998" t="str">
        <f>IF(AND(Table2[[#This Row],[SIZE]]&lt;&gt;"", Table2[[#This Row],[SIZE]]=Data!$B$3),1,"")</f>
        <v/>
      </c>
      <c r="O8" s="998" t="str">
        <f>IF(AND(Table2[[#This Row],[TYPE]]&lt;&gt;"", Table2[[#This Row],[TYPE]]=Data!$B$4),1,"")</f>
        <v/>
      </c>
      <c r="P8" s="998" t="str">
        <f>IF(AND(Table2[[#This Row],[LV5 MAT NO.]]&lt;&gt;"", Table2[[#This Row],[LV5 MAT NO.]]=Data!$B$5),1,"")</f>
        <v/>
      </c>
      <c r="Q8" s="998" t="str">
        <f>IF(AND(Table2[[#This Row],[FROM]]&lt;&gt;"", Table2[[#This Row],[FROM]]=Data!$B$7),1,"")</f>
        <v/>
      </c>
      <c r="R8" s="998" t="str">
        <f>IF(AND(Table2[[#This Row],[LV3 or LV4 MAT NO.]]&lt;&gt;"", Table2[[#This Row],[LV3 or LV4 MAT NO.]]=Data!$B$8),1,"")</f>
        <v/>
      </c>
      <c r="S8" s="998"/>
      <c r="T8" s="998"/>
      <c r="U8" s="804" t="str">
        <f>IF(Table4[[#This Row],[Write "N" To Remove The Default]]="N","",IF(AND(COUNTA(Table2[[#This Row],[SEREAL NO.]:[REMARKS]])=SUM( L8:T8),SUM( L8:T8)&lt;&gt;0),Table2[[#This Row],[Instruction]],""))</f>
        <v/>
      </c>
      <c r="V8" s="804"/>
    </row>
    <row r="9" spans="1:22" x14ac:dyDescent="0.35">
      <c r="F9" s="1000" t="s">
        <v>2219</v>
      </c>
      <c r="G9" s="1000">
        <v>1158011</v>
      </c>
      <c r="I9" s="1000"/>
      <c r="J9" s="1003" t="s">
        <v>2220</v>
      </c>
      <c r="L9" s="998" t="str">
        <f>IF(AND(Table2[[#This Row],[ORDER NO.]]&lt;&gt;"", Table2[[#This Row],[ORDER NO.]]=Data!$B$1),1,"")</f>
        <v/>
      </c>
      <c r="M9" s="998" t="str">
        <f>IFERROR(IF(AND(Table2[[#This Row],[SEREAL NO.]]&lt;&gt;"", Table2[[#This Row],[SEREAL NO.]]=Data!$A$103),1,""),"")</f>
        <v/>
      </c>
      <c r="N9" s="998" t="str">
        <f>IF(AND(Table2[[#This Row],[SIZE]]&lt;&gt;"", Table2[[#This Row],[SIZE]]=Data!$B$3),1,"")</f>
        <v/>
      </c>
      <c r="O9" s="998" t="str">
        <f>IF(AND(Table2[[#This Row],[TYPE]]&lt;&gt;"", Table2[[#This Row],[TYPE]]=Data!$B$4),1,"")</f>
        <v/>
      </c>
      <c r="P9" s="998" t="str">
        <f>IF(AND(Table2[[#This Row],[LV5 MAT NO.]]&lt;&gt;"", Table2[[#This Row],[LV5 MAT NO.]]=Data!$B$5),1,"")</f>
        <v/>
      </c>
      <c r="Q9" s="998" t="str">
        <f>IF(AND(Table2[[#This Row],[FROM]]&lt;&gt;"", Table2[[#This Row],[FROM]]=Data!$B$7),1,"")</f>
        <v/>
      </c>
      <c r="R9" s="998" t="str">
        <f>IF(AND(Table2[[#This Row],[LV3 or LV4 MAT NO.]]&lt;&gt;"", Table2[[#This Row],[LV3 or LV4 MAT NO.]]=Data!$B$8),1,"")</f>
        <v/>
      </c>
      <c r="S9" s="998"/>
      <c r="T9" s="998"/>
      <c r="U9" s="804" t="str">
        <f>IF(Table4[[#This Row],[Write "N" To Remove The Default]]="N","",IF(AND(COUNTA(Table2[[#This Row],[SEREAL NO.]:[REMARKS]])=SUM( L9:T9),SUM( L9:T9)&lt;&gt;0),Table2[[#This Row],[Instruction]],""))</f>
        <v/>
      </c>
      <c r="V9" s="804"/>
    </row>
    <row r="10" spans="1:22" x14ac:dyDescent="0.35">
      <c r="F10" s="1000" t="s">
        <v>2219</v>
      </c>
      <c r="G10" s="1000">
        <v>1269498</v>
      </c>
      <c r="I10" s="1000"/>
      <c r="J10" s="1003" t="s">
        <v>2221</v>
      </c>
      <c r="L10" s="998" t="str">
        <f>IF(AND(Table2[[#This Row],[ORDER NO.]]&lt;&gt;"", Table2[[#This Row],[ORDER NO.]]=Data!$B$1),1,"")</f>
        <v/>
      </c>
      <c r="M10" s="998" t="str">
        <f>IFERROR(IF(AND(Table2[[#This Row],[SEREAL NO.]]&lt;&gt;"", Table2[[#This Row],[SEREAL NO.]]=Data!$A$103),1,""),"")</f>
        <v/>
      </c>
      <c r="N10" s="998" t="str">
        <f>IF(AND(Table2[[#This Row],[SIZE]]&lt;&gt;"", Table2[[#This Row],[SIZE]]=Data!$B$3),1,"")</f>
        <v/>
      </c>
      <c r="O10" s="998" t="str">
        <f>IF(AND(Table2[[#This Row],[TYPE]]&lt;&gt;"", Table2[[#This Row],[TYPE]]=Data!$B$4),1,"")</f>
        <v/>
      </c>
      <c r="P10" s="998" t="str">
        <f>IF(AND(Table2[[#This Row],[LV5 MAT NO.]]&lt;&gt;"", Table2[[#This Row],[LV5 MAT NO.]]=Data!$B$5),1,"")</f>
        <v/>
      </c>
      <c r="Q10" s="998" t="str">
        <f>IF(AND(Table2[[#This Row],[FROM]]&lt;&gt;"", Table2[[#This Row],[FROM]]=Data!$B$7),1,"")</f>
        <v/>
      </c>
      <c r="R10" s="998" t="str">
        <f>IF(AND(Table2[[#This Row],[LV3 or LV4 MAT NO.]]&lt;&gt;"", Table2[[#This Row],[LV3 or LV4 MAT NO.]]=Data!$B$8),1,"")</f>
        <v/>
      </c>
      <c r="S10" s="998"/>
      <c r="T10" s="998"/>
      <c r="U10" s="804" t="str">
        <f>IF(Table4[[#This Row],[Write "N" To Remove The Default]]="N","",IF(AND(COUNTA(Table2[[#This Row],[SEREAL NO.]:[REMARKS]])=SUM( L10:T10),SUM( L10:T10)&lt;&gt;0),Table2[[#This Row],[Instruction]],""))</f>
        <v/>
      </c>
      <c r="V10" s="804"/>
    </row>
    <row r="11" spans="1:22" x14ac:dyDescent="0.35">
      <c r="B11" s="1000">
        <v>13824396</v>
      </c>
      <c r="I11" s="1000"/>
      <c r="J11" s="13" t="s">
        <v>2223</v>
      </c>
      <c r="L11" s="998" t="str">
        <f>IF(AND(Table2[[#This Row],[ORDER NO.]]&lt;&gt;"", Table2[[#This Row],[ORDER NO.]]=Data!$B$1),1,"")</f>
        <v/>
      </c>
      <c r="M11" s="998" t="str">
        <f>IFERROR(IF(AND(Table2[[#This Row],[SEREAL NO.]]&lt;&gt;"", Table2[[#This Row],[SEREAL NO.]]=Data!$A$103),1,""),"")</f>
        <v/>
      </c>
      <c r="N11" s="998" t="str">
        <f>IF(AND(Table2[[#This Row],[SIZE]]&lt;&gt;"", Table2[[#This Row],[SIZE]]=Data!$B$3),1,"")</f>
        <v/>
      </c>
      <c r="O11" s="998" t="str">
        <f>IF(AND(Table2[[#This Row],[TYPE]]&lt;&gt;"", Table2[[#This Row],[TYPE]]=Data!$B$4),1,"")</f>
        <v/>
      </c>
      <c r="P11" s="998" t="str">
        <f>IF(AND(Table2[[#This Row],[LV5 MAT NO.]]&lt;&gt;"", Table2[[#This Row],[LV5 MAT NO.]]=Data!$B$5),1,"")</f>
        <v/>
      </c>
      <c r="Q11" s="998" t="str">
        <f>IF(AND(Table2[[#This Row],[FROM]]&lt;&gt;"", Table2[[#This Row],[FROM]]=Data!$B$7),1,"")</f>
        <v/>
      </c>
      <c r="R11" s="998" t="str">
        <f>IF(AND(Table2[[#This Row],[LV3 or LV4 MAT NO.]]&lt;&gt;"", Table2[[#This Row],[LV3 or LV4 MAT NO.]]=Data!$B$8),1,"")</f>
        <v/>
      </c>
      <c r="S11" s="998"/>
      <c r="T11" s="998"/>
      <c r="U11" s="804" t="str">
        <f>IF(Table4[[#This Row],[Write "N" To Remove The Default]]="N","",IF(AND(COUNTA(Table2[[#This Row],[SEREAL NO.]:[REMARKS]])=SUM( L11:T11),SUM( L11:T11)&lt;&gt;0),Table2[[#This Row],[Instruction]],""))</f>
        <v/>
      </c>
      <c r="V11" s="804"/>
    </row>
    <row r="12" spans="1:22" x14ac:dyDescent="0.35">
      <c r="B12" s="1000">
        <v>13955536</v>
      </c>
      <c r="I12" s="1000"/>
      <c r="J12" s="13" t="s">
        <v>2223</v>
      </c>
      <c r="L12" s="998" t="str">
        <f>IF(AND(Table2[[#This Row],[ORDER NO.]]&lt;&gt;"", Table2[[#This Row],[ORDER NO.]]=Data!$B$1),1,"")</f>
        <v/>
      </c>
      <c r="M12" s="998" t="str">
        <f>IFERROR(IF(AND(Table2[[#This Row],[SEREAL NO.]]&lt;&gt;"", Table2[[#This Row],[SEREAL NO.]]=Data!$A$103),1,""),"")</f>
        <v/>
      </c>
      <c r="N12" s="998" t="str">
        <f>IF(AND(Table2[[#This Row],[SIZE]]&lt;&gt;"", Table2[[#This Row],[SIZE]]=Data!$B$3),1,"")</f>
        <v/>
      </c>
      <c r="O12" s="998" t="str">
        <f>IF(AND(Table2[[#This Row],[TYPE]]&lt;&gt;"", Table2[[#This Row],[TYPE]]=Data!$B$4),1,"")</f>
        <v/>
      </c>
      <c r="P12" s="998" t="str">
        <f>IF(AND(Table2[[#This Row],[LV5 MAT NO.]]&lt;&gt;"", Table2[[#This Row],[LV5 MAT NO.]]=Data!$B$5),1,"")</f>
        <v/>
      </c>
      <c r="Q12" s="998" t="str">
        <f>IF(AND(Table2[[#This Row],[FROM]]&lt;&gt;"", Table2[[#This Row],[FROM]]=Data!$B$7),1,"")</f>
        <v/>
      </c>
      <c r="R12" s="998" t="str">
        <f>IF(AND(Table2[[#This Row],[LV3 or LV4 MAT NO.]]&lt;&gt;"", Table2[[#This Row],[LV3 or LV4 MAT NO.]]=Data!$B$8),1,"")</f>
        <v/>
      </c>
      <c r="S12" s="998"/>
      <c r="T12" s="998"/>
      <c r="U12" s="804" t="str">
        <f>IF(Table4[[#This Row],[Write "N" To Remove The Default]]="N","",IF(AND(COUNTA(Table2[[#This Row],[SEREAL NO.]:[REMARKS]])=SUM( L12:T12),SUM( L12:T12)&lt;&gt;0),Table2[[#This Row],[Instruction]],""))</f>
        <v/>
      </c>
      <c r="V12" s="804"/>
    </row>
    <row r="13" spans="1:22" x14ac:dyDescent="0.35">
      <c r="B13" s="1000">
        <v>13970758</v>
      </c>
      <c r="I13" s="1000"/>
      <c r="J13" s="13" t="s">
        <v>2223</v>
      </c>
      <c r="L13" s="998" t="str">
        <f>IF(AND(Table2[[#This Row],[ORDER NO.]]&lt;&gt;"", Table2[[#This Row],[ORDER NO.]]=Data!$B$1),1,"")</f>
        <v/>
      </c>
      <c r="M13" s="998" t="str">
        <f>IFERROR(IF(AND(Table2[[#This Row],[SEREAL NO.]]&lt;&gt;"", Table2[[#This Row],[SEREAL NO.]]=Data!$A$103),1,""),"")</f>
        <v/>
      </c>
      <c r="N13" s="998" t="str">
        <f>IF(AND(Table2[[#This Row],[SIZE]]&lt;&gt;"", Table2[[#This Row],[SIZE]]=Data!$B$3),1,"")</f>
        <v/>
      </c>
      <c r="O13" s="998" t="str">
        <f>IF(AND(Table2[[#This Row],[TYPE]]&lt;&gt;"", Table2[[#This Row],[TYPE]]=Data!$B$4),1,"")</f>
        <v/>
      </c>
      <c r="P13" s="998" t="str">
        <f>IF(AND(Table2[[#This Row],[LV5 MAT NO.]]&lt;&gt;"", Table2[[#This Row],[LV5 MAT NO.]]=Data!$B$5),1,"")</f>
        <v/>
      </c>
      <c r="Q13" s="998" t="str">
        <f>IF(AND(Table2[[#This Row],[FROM]]&lt;&gt;"", Table2[[#This Row],[FROM]]=Data!$B$7),1,"")</f>
        <v/>
      </c>
      <c r="R13" s="998" t="str">
        <f>IF(AND(Table2[[#This Row],[LV3 or LV4 MAT NO.]]&lt;&gt;"", Table2[[#This Row],[LV3 or LV4 MAT NO.]]=Data!$B$8),1,"")</f>
        <v/>
      </c>
      <c r="S13" s="998"/>
      <c r="T13" s="998"/>
      <c r="U13" s="804" t="str">
        <f>IF(Table4[[#This Row],[Write "N" To Remove The Default]]="N","",IF(AND(COUNTA(Table2[[#This Row],[SEREAL NO.]:[REMARKS]])=SUM( L13:T13),SUM( L13:T13)&lt;&gt;0),Table2[[#This Row],[Instruction]],""))</f>
        <v/>
      </c>
      <c r="V13" s="804"/>
    </row>
    <row r="14" spans="1:22" x14ac:dyDescent="0.35">
      <c r="E14" s="1000">
        <v>1092981</v>
      </c>
      <c r="F14" s="1000" t="s">
        <v>2219</v>
      </c>
      <c r="I14" s="1000"/>
      <c r="J14" s="13" t="s">
        <v>2243</v>
      </c>
      <c r="L14" s="998" t="str">
        <f>IF(AND(Table2[[#This Row],[ORDER NO.]]&lt;&gt;"", Table2[[#This Row],[ORDER NO.]]=Data!$B$1),1,"")</f>
        <v/>
      </c>
      <c r="M14" s="998" t="str">
        <f>IFERROR(IF(AND(Table2[[#This Row],[SEREAL NO.]]&lt;&gt;"", Table2[[#This Row],[SEREAL NO.]]=Data!$A$103),1,""),"")</f>
        <v/>
      </c>
      <c r="N14" s="998" t="str">
        <f>IF(AND(Table2[[#This Row],[SIZE]]&lt;&gt;"", Table2[[#This Row],[SIZE]]=Data!$B$3),1,"")</f>
        <v/>
      </c>
      <c r="O14" s="998" t="str">
        <f>IF(AND(Table2[[#This Row],[TYPE]]&lt;&gt;"", Table2[[#This Row],[TYPE]]=Data!$B$4),1,"")</f>
        <v/>
      </c>
      <c r="P14" s="998" t="str">
        <f>IF(AND(Table2[[#This Row],[LV5 MAT NO.]]&lt;&gt;"", Table2[[#This Row],[LV5 MAT NO.]]=Data!$B$5),1,"")</f>
        <v/>
      </c>
      <c r="Q14" s="998" t="str">
        <f>IF(AND(Table2[[#This Row],[FROM]]&lt;&gt;"", Table2[[#This Row],[FROM]]=Data!$B$7),1,"")</f>
        <v/>
      </c>
      <c r="R14" s="998" t="str">
        <f>IF(AND(Table2[[#This Row],[LV3 or LV4 MAT NO.]]&lt;&gt;"", Table2[[#This Row],[LV3 or LV4 MAT NO.]]=Data!$B$8),1,"")</f>
        <v/>
      </c>
      <c r="S14" s="998"/>
      <c r="T14" s="998"/>
      <c r="U14" s="804" t="str">
        <f>IF(Table4[[#This Row],[Write "N" To Remove The Default]]="N","",IF(AND(COUNTA(Table2[[#This Row],[SEREAL NO.]:[REMARKS]])=SUM( L14:T14),SUM( L14:T14)&lt;&gt;0),Table2[[#This Row],[Instruction]],""))</f>
        <v/>
      </c>
      <c r="V14" s="804"/>
    </row>
    <row r="15" spans="1:22" x14ac:dyDescent="0.35">
      <c r="E15" s="1000">
        <v>1083564</v>
      </c>
      <c r="F15" s="1000" t="s">
        <v>2219</v>
      </c>
      <c r="I15" s="1000"/>
      <c r="J15" s="13" t="s">
        <v>2243</v>
      </c>
      <c r="L15" s="998" t="str">
        <f>IF(AND(Table2[[#This Row],[ORDER NO.]]&lt;&gt;"", Table2[[#This Row],[ORDER NO.]]=Data!$B$1),1,"")</f>
        <v/>
      </c>
      <c r="M15" s="998" t="str">
        <f>IFERROR(IF(AND(Table2[[#This Row],[SEREAL NO.]]&lt;&gt;"", Table2[[#This Row],[SEREAL NO.]]=Data!$A$103),1,""),"")</f>
        <v/>
      </c>
      <c r="N15" s="998" t="str">
        <f>IF(AND(Table2[[#This Row],[SIZE]]&lt;&gt;"", Table2[[#This Row],[SIZE]]=Data!$B$3),1,"")</f>
        <v/>
      </c>
      <c r="O15" s="998" t="str">
        <f>IF(AND(Table2[[#This Row],[TYPE]]&lt;&gt;"", Table2[[#This Row],[TYPE]]=Data!$B$4),1,"")</f>
        <v/>
      </c>
      <c r="P15" s="998" t="str">
        <f>IF(AND(Table2[[#This Row],[LV5 MAT NO.]]&lt;&gt;"", Table2[[#This Row],[LV5 MAT NO.]]=Data!$B$5),1,"")</f>
        <v/>
      </c>
      <c r="Q15" s="998" t="str">
        <f>IF(AND(Table2[[#This Row],[FROM]]&lt;&gt;"", Table2[[#This Row],[FROM]]=Data!$B$7),1,"")</f>
        <v/>
      </c>
      <c r="R15" s="998" t="str">
        <f>IF(AND(Table2[[#This Row],[LV3 or LV4 MAT NO.]]&lt;&gt;"", Table2[[#This Row],[LV3 or LV4 MAT NO.]]=Data!$B$8),1,"")</f>
        <v/>
      </c>
      <c r="S15" s="998"/>
      <c r="T15" s="998"/>
      <c r="U15" s="804" t="str">
        <f>IF(Table4[[#This Row],[Write "N" To Remove The Default]]="N","",IF(AND(COUNTA(Table2[[#This Row],[SEREAL NO.]:[REMARKS]])=SUM( L15:T15),SUM( L15:T15)&lt;&gt;0),Table2[[#This Row],[Instruction]],""))</f>
        <v/>
      </c>
      <c r="V15" s="804"/>
    </row>
    <row r="16" spans="1:22" x14ac:dyDescent="0.35">
      <c r="E16" s="1000">
        <v>1176919</v>
      </c>
      <c r="F16" s="1000" t="s">
        <v>2219</v>
      </c>
      <c r="I16" s="1000"/>
      <c r="J16" s="13" t="s">
        <v>2243</v>
      </c>
      <c r="L16" s="998" t="str">
        <f>IF(AND(Table2[[#This Row],[ORDER NO.]]&lt;&gt;"", Table2[[#This Row],[ORDER NO.]]=Data!$B$1),1,"")</f>
        <v/>
      </c>
      <c r="M16" s="998" t="str">
        <f>IFERROR(IF(AND(Table2[[#This Row],[SEREAL NO.]]&lt;&gt;"", Table2[[#This Row],[SEREAL NO.]]=Data!$A$103),1,""),"")</f>
        <v/>
      </c>
      <c r="N16" s="998" t="str">
        <f>IF(AND(Table2[[#This Row],[SIZE]]&lt;&gt;"", Table2[[#This Row],[SIZE]]=Data!$B$3),1,"")</f>
        <v/>
      </c>
      <c r="O16" s="998" t="str">
        <f>IF(AND(Table2[[#This Row],[TYPE]]&lt;&gt;"", Table2[[#This Row],[TYPE]]=Data!$B$4),1,"")</f>
        <v/>
      </c>
      <c r="P16" s="998" t="str">
        <f>IF(AND(Table2[[#This Row],[LV5 MAT NO.]]&lt;&gt;"", Table2[[#This Row],[LV5 MAT NO.]]=Data!$B$5),1,"")</f>
        <v/>
      </c>
      <c r="Q16" s="998" t="str">
        <f>IF(AND(Table2[[#This Row],[FROM]]&lt;&gt;"", Table2[[#This Row],[FROM]]=Data!$B$7),1,"")</f>
        <v/>
      </c>
      <c r="R16" s="998" t="str">
        <f>IF(AND(Table2[[#This Row],[LV3 or LV4 MAT NO.]]&lt;&gt;"", Table2[[#This Row],[LV3 or LV4 MAT NO.]]=Data!$B$8),1,"")</f>
        <v/>
      </c>
      <c r="S16" s="998"/>
      <c r="T16" s="998"/>
      <c r="U16" s="804" t="str">
        <f>IF(Table4[[#This Row],[Write "N" To Remove The Default]]="N","",IF(AND(COUNTA(Table2[[#This Row],[SEREAL NO.]:[REMARKS]])=SUM( L16:T16),SUM( L16:T16)&lt;&gt;0),Table2[[#This Row],[Instruction]],""))</f>
        <v/>
      </c>
      <c r="V16" s="804"/>
    </row>
    <row r="17" spans="2:22" x14ac:dyDescent="0.35">
      <c r="E17" s="1000">
        <v>1269308</v>
      </c>
      <c r="F17" s="1000" t="s">
        <v>2219</v>
      </c>
      <c r="I17" s="1000"/>
      <c r="J17" s="13" t="s">
        <v>2243</v>
      </c>
      <c r="L17" s="998" t="str">
        <f>IF(AND(Table2[[#This Row],[ORDER NO.]]&lt;&gt;"", Table2[[#This Row],[ORDER NO.]]=Data!$B$1),1,"")</f>
        <v/>
      </c>
      <c r="M17" s="998" t="str">
        <f>IFERROR(IF(AND(Table2[[#This Row],[SEREAL NO.]]&lt;&gt;"", Table2[[#This Row],[SEREAL NO.]]=Data!$A$103),1,""),"")</f>
        <v/>
      </c>
      <c r="N17" s="998" t="str">
        <f>IF(AND(Table2[[#This Row],[SIZE]]&lt;&gt;"", Table2[[#This Row],[SIZE]]=Data!$B$3),1,"")</f>
        <v/>
      </c>
      <c r="O17" s="998" t="str">
        <f>IF(AND(Table2[[#This Row],[TYPE]]&lt;&gt;"", Table2[[#This Row],[TYPE]]=Data!$B$4),1,"")</f>
        <v/>
      </c>
      <c r="P17" s="998" t="str">
        <f>IF(AND(Table2[[#This Row],[LV5 MAT NO.]]&lt;&gt;"", Table2[[#This Row],[LV5 MAT NO.]]=Data!$B$5),1,"")</f>
        <v/>
      </c>
      <c r="Q17" s="998" t="str">
        <f>IF(AND(Table2[[#This Row],[FROM]]&lt;&gt;"", Table2[[#This Row],[FROM]]=Data!$B$7),1,"")</f>
        <v/>
      </c>
      <c r="R17" s="998" t="str">
        <f>IF(AND(Table2[[#This Row],[LV3 or LV4 MAT NO.]]&lt;&gt;"", Table2[[#This Row],[LV3 or LV4 MAT NO.]]=Data!$B$8),1,"")</f>
        <v/>
      </c>
      <c r="S17" s="998"/>
      <c r="T17" s="998"/>
      <c r="U17" s="804" t="str">
        <f>IF(Table4[[#This Row],[Write "N" To Remove The Default]]="N","",IF(AND(COUNTA(Table2[[#This Row],[SEREAL NO.]:[REMARKS]])=SUM( L17:T17),SUM( L17:T17)&lt;&gt;0),Table2[[#This Row],[Instruction]],""))</f>
        <v/>
      </c>
      <c r="V17" s="804"/>
    </row>
    <row r="18" spans="2:22" x14ac:dyDescent="0.35">
      <c r="E18" s="1000">
        <v>1092981</v>
      </c>
      <c r="F18" s="1000" t="s">
        <v>2222</v>
      </c>
      <c r="I18" s="1000"/>
      <c r="J18" s="13" t="s">
        <v>2243</v>
      </c>
      <c r="L18" s="998" t="str">
        <f>IF(AND(Table2[[#This Row],[ORDER NO.]]&lt;&gt;"", Table2[[#This Row],[ORDER NO.]]=Data!$B$1),1,"")</f>
        <v/>
      </c>
      <c r="M18" s="998" t="str">
        <f>IFERROR(IF(AND(Table2[[#This Row],[SEREAL NO.]]&lt;&gt;"", Table2[[#This Row],[SEREAL NO.]]=Data!$A$103),1,""),"")</f>
        <v/>
      </c>
      <c r="N18" s="998" t="str">
        <f>IF(AND(Table2[[#This Row],[SIZE]]&lt;&gt;"", Table2[[#This Row],[SIZE]]=Data!$B$3),1,"")</f>
        <v/>
      </c>
      <c r="O18" s="998" t="str">
        <f>IF(AND(Table2[[#This Row],[TYPE]]&lt;&gt;"", Table2[[#This Row],[TYPE]]=Data!$B$4),1,"")</f>
        <v/>
      </c>
      <c r="P18" s="998" t="str">
        <f>IF(AND(Table2[[#This Row],[LV5 MAT NO.]]&lt;&gt;"", Table2[[#This Row],[LV5 MAT NO.]]=Data!$B$5),1,"")</f>
        <v/>
      </c>
      <c r="Q18" s="998" t="str">
        <f>IF(AND(Table2[[#This Row],[FROM]]&lt;&gt;"", Table2[[#This Row],[FROM]]=Data!$B$7),1,"")</f>
        <v/>
      </c>
      <c r="R18" s="998" t="str">
        <f>IF(AND(Table2[[#This Row],[LV3 or LV4 MAT NO.]]&lt;&gt;"", Table2[[#This Row],[LV3 or LV4 MAT NO.]]=Data!$B$8),1,"")</f>
        <v/>
      </c>
      <c r="S18" s="998"/>
      <c r="T18" s="998"/>
      <c r="U18" s="804" t="str">
        <f>IF(Table4[[#This Row],[Write "N" To Remove The Default]]="N","",IF(AND(COUNTA(Table2[[#This Row],[SEREAL NO.]:[REMARKS]])=SUM( L18:T18),SUM( L18:T18)&lt;&gt;0),Table2[[#This Row],[Instruction]],""))</f>
        <v/>
      </c>
      <c r="V18" s="804"/>
    </row>
    <row r="19" spans="2:22" x14ac:dyDescent="0.35">
      <c r="E19" s="1000">
        <v>1083564</v>
      </c>
      <c r="F19" s="1000" t="s">
        <v>2222</v>
      </c>
      <c r="I19" s="1000"/>
      <c r="J19" s="13" t="s">
        <v>2243</v>
      </c>
      <c r="L19" s="998" t="str">
        <f>IF(AND(Table2[[#This Row],[ORDER NO.]]&lt;&gt;"", Table2[[#This Row],[ORDER NO.]]=Data!$B$1),1,"")</f>
        <v/>
      </c>
      <c r="M19" s="998" t="str">
        <f>IFERROR(IF(AND(Table2[[#This Row],[SEREAL NO.]]&lt;&gt;"", Table2[[#This Row],[SEREAL NO.]]=Data!$A$103),1,""),"")</f>
        <v/>
      </c>
      <c r="N19" s="998" t="str">
        <f>IF(AND(Table2[[#This Row],[SIZE]]&lt;&gt;"", Table2[[#This Row],[SIZE]]=Data!$B$3),1,"")</f>
        <v/>
      </c>
      <c r="O19" s="998" t="str">
        <f>IF(AND(Table2[[#This Row],[TYPE]]&lt;&gt;"", Table2[[#This Row],[TYPE]]=Data!$B$4),1,"")</f>
        <v/>
      </c>
      <c r="P19" s="998" t="str">
        <f>IF(AND(Table2[[#This Row],[LV5 MAT NO.]]&lt;&gt;"", Table2[[#This Row],[LV5 MAT NO.]]=Data!$B$5),1,"")</f>
        <v/>
      </c>
      <c r="Q19" s="998" t="str">
        <f>IF(AND(Table2[[#This Row],[FROM]]&lt;&gt;"", Table2[[#This Row],[FROM]]=Data!$B$7),1,"")</f>
        <v/>
      </c>
      <c r="R19" s="998" t="str">
        <f>IF(AND(Table2[[#This Row],[LV3 or LV4 MAT NO.]]&lt;&gt;"", Table2[[#This Row],[LV3 or LV4 MAT NO.]]=Data!$B$8),1,"")</f>
        <v/>
      </c>
      <c r="S19" s="998"/>
      <c r="T19" s="998"/>
      <c r="U19" s="804" t="str">
        <f>IF(Table4[[#This Row],[Write "N" To Remove The Default]]="N","",IF(AND(COUNTA(Table2[[#This Row],[SEREAL NO.]:[REMARKS]])=SUM( L19:T19),SUM( L19:T19)&lt;&gt;0),Table2[[#This Row],[Instruction]],""))</f>
        <v/>
      </c>
      <c r="V19" s="804"/>
    </row>
    <row r="20" spans="2:22" x14ac:dyDescent="0.35">
      <c r="E20" s="1000">
        <v>1176919</v>
      </c>
      <c r="F20" s="1000" t="s">
        <v>2222</v>
      </c>
      <c r="I20" s="1000"/>
      <c r="J20" s="13" t="s">
        <v>2243</v>
      </c>
      <c r="L20" s="998" t="str">
        <f>IF(AND(Table2[[#This Row],[ORDER NO.]]&lt;&gt;"", Table2[[#This Row],[ORDER NO.]]=Data!$B$1),1,"")</f>
        <v/>
      </c>
      <c r="M20" s="998" t="str">
        <f>IFERROR(IF(AND(Table2[[#This Row],[SEREAL NO.]]&lt;&gt;"", Table2[[#This Row],[SEREAL NO.]]=Data!$A$103),1,""),"")</f>
        <v/>
      </c>
      <c r="N20" s="998" t="str">
        <f>IF(AND(Table2[[#This Row],[SIZE]]&lt;&gt;"", Table2[[#This Row],[SIZE]]=Data!$B$3),1,"")</f>
        <v/>
      </c>
      <c r="O20" s="998" t="str">
        <f>IF(AND(Table2[[#This Row],[TYPE]]&lt;&gt;"", Table2[[#This Row],[TYPE]]=Data!$B$4),1,"")</f>
        <v/>
      </c>
      <c r="P20" s="998" t="str">
        <f>IF(AND(Table2[[#This Row],[LV5 MAT NO.]]&lt;&gt;"", Table2[[#This Row],[LV5 MAT NO.]]=Data!$B$5),1,"")</f>
        <v/>
      </c>
      <c r="Q20" s="998" t="str">
        <f>IF(AND(Table2[[#This Row],[FROM]]&lt;&gt;"", Table2[[#This Row],[FROM]]=Data!$B$7),1,"")</f>
        <v/>
      </c>
      <c r="R20" s="998" t="str">
        <f>IF(AND(Table2[[#This Row],[LV3 or LV4 MAT NO.]]&lt;&gt;"", Table2[[#This Row],[LV3 or LV4 MAT NO.]]=Data!$B$8),1,"")</f>
        <v/>
      </c>
      <c r="S20" s="998"/>
      <c r="T20" s="998"/>
      <c r="U20" s="804" t="str">
        <f>IF(Table4[[#This Row],[Write "N" To Remove The Default]]="N","",IF(AND(COUNTA(Table2[[#This Row],[SEREAL NO.]:[REMARKS]])=SUM( L20:T20),SUM( L20:T20)&lt;&gt;0),Table2[[#This Row],[Instruction]],""))</f>
        <v/>
      </c>
      <c r="V20" s="804"/>
    </row>
    <row r="21" spans="2:22" x14ac:dyDescent="0.35">
      <c r="E21" s="1000">
        <v>1269308</v>
      </c>
      <c r="F21" s="1000" t="s">
        <v>2222</v>
      </c>
      <c r="I21" s="1000"/>
      <c r="J21" s="13" t="s">
        <v>2243</v>
      </c>
      <c r="L21" s="998" t="str">
        <f>IF(AND(Table2[[#This Row],[ORDER NO.]]&lt;&gt;"", Table2[[#This Row],[ORDER NO.]]=Data!$B$1),1,"")</f>
        <v/>
      </c>
      <c r="M21" s="998" t="str">
        <f>IFERROR(IF(AND(Table2[[#This Row],[SEREAL NO.]]&lt;&gt;"", Table2[[#This Row],[SEREAL NO.]]=Data!$A$103),1,""),"")</f>
        <v/>
      </c>
      <c r="N21" s="998" t="str">
        <f>IF(AND(Table2[[#This Row],[SIZE]]&lt;&gt;"", Table2[[#This Row],[SIZE]]=Data!$B$3),1,"")</f>
        <v/>
      </c>
      <c r="O21" s="998" t="str">
        <f>IF(AND(Table2[[#This Row],[TYPE]]&lt;&gt;"", Table2[[#This Row],[TYPE]]=Data!$B$4),1,"")</f>
        <v/>
      </c>
      <c r="P21" s="998" t="str">
        <f>IF(AND(Table2[[#This Row],[LV5 MAT NO.]]&lt;&gt;"", Table2[[#This Row],[LV5 MAT NO.]]=Data!$B$5),1,"")</f>
        <v/>
      </c>
      <c r="Q21" s="998" t="str">
        <f>IF(AND(Table2[[#This Row],[FROM]]&lt;&gt;"", Table2[[#This Row],[FROM]]=Data!$B$7),1,"")</f>
        <v/>
      </c>
      <c r="R21" s="998" t="str">
        <f>IF(AND(Table2[[#This Row],[LV3 or LV4 MAT NO.]]&lt;&gt;"", Table2[[#This Row],[LV3 or LV4 MAT NO.]]=Data!$B$8),1,"")</f>
        <v/>
      </c>
      <c r="S21" s="998"/>
      <c r="T21" s="998"/>
      <c r="U21" s="804" t="str">
        <f>IF(Table4[[#This Row],[Write "N" To Remove The Default]]="N","",IF(AND(COUNTA(Table2[[#This Row],[SEREAL NO.]:[REMARKS]])=SUM( L21:T21),SUM( L21:T21)&lt;&gt;0),Table2[[#This Row],[Instruction]],""))</f>
        <v/>
      </c>
      <c r="V21" s="804"/>
    </row>
    <row r="22" spans="2:22" x14ac:dyDescent="0.35">
      <c r="E22" s="1000">
        <v>1092981</v>
      </c>
      <c r="F22" s="1000" t="s">
        <v>791</v>
      </c>
      <c r="I22" s="1000"/>
      <c r="J22" s="13" t="s">
        <v>2243</v>
      </c>
      <c r="L22" s="998" t="str">
        <f>IF(AND(Table2[[#This Row],[ORDER NO.]]&lt;&gt;"", Table2[[#This Row],[ORDER NO.]]=Data!$B$1),1,"")</f>
        <v/>
      </c>
      <c r="M22" s="998" t="str">
        <f>IFERROR(IF(AND(Table2[[#This Row],[SEREAL NO.]]&lt;&gt;"", Table2[[#This Row],[SEREAL NO.]]=Data!$A$103),1,""),"")</f>
        <v/>
      </c>
      <c r="N22" s="998" t="str">
        <f>IF(AND(Table2[[#This Row],[SIZE]]&lt;&gt;"", Table2[[#This Row],[SIZE]]=Data!$B$3),1,"")</f>
        <v/>
      </c>
      <c r="O22" s="998" t="str">
        <f>IF(AND(Table2[[#This Row],[TYPE]]&lt;&gt;"", Table2[[#This Row],[TYPE]]=Data!$B$4),1,"")</f>
        <v/>
      </c>
      <c r="P22" s="998" t="str">
        <f>IF(AND(Table2[[#This Row],[LV5 MAT NO.]]&lt;&gt;"", Table2[[#This Row],[LV5 MAT NO.]]=Data!$B$5),1,"")</f>
        <v/>
      </c>
      <c r="Q22" s="998" t="str">
        <f>IF(AND(Table2[[#This Row],[FROM]]&lt;&gt;"", Table2[[#This Row],[FROM]]=Data!$B$7),1,"")</f>
        <v/>
      </c>
      <c r="R22" s="998" t="str">
        <f>IF(AND(Table2[[#This Row],[LV3 or LV4 MAT NO.]]&lt;&gt;"", Table2[[#This Row],[LV3 or LV4 MAT NO.]]=Data!$B$8),1,"")</f>
        <v/>
      </c>
      <c r="S22" s="998"/>
      <c r="T22" s="998"/>
      <c r="U22" s="804" t="str">
        <f>IF(Table4[[#This Row],[Write "N" To Remove The Default]]="N","",IF(AND(COUNTA(Table2[[#This Row],[SEREAL NO.]:[REMARKS]])=SUM( L22:T22),SUM( L22:T22)&lt;&gt;0),Table2[[#This Row],[Instruction]],""))</f>
        <v/>
      </c>
      <c r="V22" s="804"/>
    </row>
    <row r="23" spans="2:22" x14ac:dyDescent="0.35">
      <c r="E23" s="1000">
        <v>1083564</v>
      </c>
      <c r="F23" s="1000" t="s">
        <v>791</v>
      </c>
      <c r="I23" s="1000"/>
      <c r="J23" s="13" t="s">
        <v>2243</v>
      </c>
      <c r="L23" s="998" t="str">
        <f>IF(AND(Table2[[#This Row],[ORDER NO.]]&lt;&gt;"", Table2[[#This Row],[ORDER NO.]]=Data!$B$1),1,"")</f>
        <v/>
      </c>
      <c r="M23" s="998" t="str">
        <f>IFERROR(IF(AND(Table2[[#This Row],[SEREAL NO.]]&lt;&gt;"", Table2[[#This Row],[SEREAL NO.]]=Data!$A$103),1,""),"")</f>
        <v/>
      </c>
      <c r="N23" s="998" t="str">
        <f>IF(AND(Table2[[#This Row],[SIZE]]&lt;&gt;"", Table2[[#This Row],[SIZE]]=Data!$B$3),1,"")</f>
        <v/>
      </c>
      <c r="O23" s="998" t="str">
        <f>IF(AND(Table2[[#This Row],[TYPE]]&lt;&gt;"", Table2[[#This Row],[TYPE]]=Data!$B$4),1,"")</f>
        <v/>
      </c>
      <c r="P23" s="998" t="str">
        <f>IF(AND(Table2[[#This Row],[LV5 MAT NO.]]&lt;&gt;"", Table2[[#This Row],[LV5 MAT NO.]]=Data!$B$5),1,"")</f>
        <v/>
      </c>
      <c r="Q23" s="998" t="str">
        <f>IF(AND(Table2[[#This Row],[FROM]]&lt;&gt;"", Table2[[#This Row],[FROM]]=Data!$B$7),1,"")</f>
        <v/>
      </c>
      <c r="R23" s="998" t="str">
        <f>IF(AND(Table2[[#This Row],[LV3 or LV4 MAT NO.]]&lt;&gt;"", Table2[[#This Row],[LV3 or LV4 MAT NO.]]=Data!$B$8),1,"")</f>
        <v/>
      </c>
      <c r="S23" s="998"/>
      <c r="T23" s="998"/>
      <c r="U23" s="804" t="str">
        <f>IF(Table4[[#This Row],[Write "N" To Remove The Default]]="N","",IF(AND(COUNTA(Table2[[#This Row],[SEREAL NO.]:[REMARKS]])=SUM( L23:T23),SUM( L23:T23)&lt;&gt;0),Table2[[#This Row],[Instruction]],""))</f>
        <v/>
      </c>
      <c r="V23" s="804"/>
    </row>
    <row r="24" spans="2:22" x14ac:dyDescent="0.35">
      <c r="E24" s="1000">
        <v>1176919</v>
      </c>
      <c r="F24" s="1000" t="s">
        <v>791</v>
      </c>
      <c r="I24" s="1000"/>
      <c r="J24" s="13" t="s">
        <v>2243</v>
      </c>
      <c r="L24" s="998" t="str">
        <f>IF(AND(Table2[[#This Row],[ORDER NO.]]&lt;&gt;"", Table2[[#This Row],[ORDER NO.]]=Data!$B$1),1,"")</f>
        <v/>
      </c>
      <c r="M24" s="998" t="str">
        <f>IFERROR(IF(AND(Table2[[#This Row],[SEREAL NO.]]&lt;&gt;"", Table2[[#This Row],[SEREAL NO.]]=Data!$A$103),1,""),"")</f>
        <v/>
      </c>
      <c r="N24" s="998" t="str">
        <f>IF(AND(Table2[[#This Row],[SIZE]]&lt;&gt;"", Table2[[#This Row],[SIZE]]=Data!$B$3),1,"")</f>
        <v/>
      </c>
      <c r="O24" s="998" t="str">
        <f>IF(AND(Table2[[#This Row],[TYPE]]&lt;&gt;"", Table2[[#This Row],[TYPE]]=Data!$B$4),1,"")</f>
        <v/>
      </c>
      <c r="P24" s="998" t="str">
        <f>IF(AND(Table2[[#This Row],[LV5 MAT NO.]]&lt;&gt;"", Table2[[#This Row],[LV5 MAT NO.]]=Data!$B$5),1,"")</f>
        <v/>
      </c>
      <c r="Q24" s="998" t="str">
        <f>IF(AND(Table2[[#This Row],[FROM]]&lt;&gt;"", Table2[[#This Row],[FROM]]=Data!$B$7),1,"")</f>
        <v/>
      </c>
      <c r="R24" s="998" t="str">
        <f>IF(AND(Table2[[#This Row],[LV3 or LV4 MAT NO.]]&lt;&gt;"", Table2[[#This Row],[LV3 or LV4 MAT NO.]]=Data!$B$8),1,"")</f>
        <v/>
      </c>
      <c r="S24" s="998"/>
      <c r="T24" s="998"/>
      <c r="U24" s="804" t="str">
        <f>IF(Table4[[#This Row],[Write "N" To Remove The Default]]="N","",IF(AND(COUNTA(Table2[[#This Row],[SEREAL NO.]:[REMARKS]])=SUM( L24:T24),SUM( L24:T24)&lt;&gt;0),Table2[[#This Row],[Instruction]],""))</f>
        <v/>
      </c>
      <c r="V24" s="804"/>
    </row>
    <row r="25" spans="2:22" x14ac:dyDescent="0.35">
      <c r="E25" s="1000">
        <v>1269308</v>
      </c>
      <c r="F25" s="1000" t="s">
        <v>791</v>
      </c>
      <c r="I25" s="1000"/>
      <c r="J25" s="13" t="s">
        <v>2243</v>
      </c>
      <c r="L25" s="998" t="str">
        <f>IF(AND(Table2[[#This Row],[ORDER NO.]]&lt;&gt;"", Table2[[#This Row],[ORDER NO.]]=Data!$B$1),1,"")</f>
        <v/>
      </c>
      <c r="M25" s="998" t="str">
        <f>IFERROR(IF(AND(Table2[[#This Row],[SEREAL NO.]]&lt;&gt;"", Table2[[#This Row],[SEREAL NO.]]=Data!$A$103),1,""),"")</f>
        <v/>
      </c>
      <c r="N25" s="998" t="str">
        <f>IF(AND(Table2[[#This Row],[SIZE]]&lt;&gt;"", Table2[[#This Row],[SIZE]]=Data!$B$3),1,"")</f>
        <v/>
      </c>
      <c r="O25" s="998" t="str">
        <f>IF(AND(Table2[[#This Row],[TYPE]]&lt;&gt;"", Table2[[#This Row],[TYPE]]=Data!$B$4),1,"")</f>
        <v/>
      </c>
      <c r="P25" s="998" t="str">
        <f>IF(AND(Table2[[#This Row],[LV5 MAT NO.]]&lt;&gt;"", Table2[[#This Row],[LV5 MAT NO.]]=Data!$B$5),1,"")</f>
        <v/>
      </c>
      <c r="Q25" s="998" t="str">
        <f>IF(AND(Table2[[#This Row],[FROM]]&lt;&gt;"", Table2[[#This Row],[FROM]]=Data!$B$7),1,"")</f>
        <v/>
      </c>
      <c r="R25" s="998" t="str">
        <f>IF(AND(Table2[[#This Row],[LV3 or LV4 MAT NO.]]&lt;&gt;"", Table2[[#This Row],[LV3 or LV4 MAT NO.]]=Data!$B$8),1,"")</f>
        <v/>
      </c>
      <c r="S25" s="998"/>
      <c r="T25" s="998"/>
      <c r="U25" s="804" t="str">
        <f>IF(Table4[[#This Row],[Write "N" To Remove The Default]]="N","",IF(AND(COUNTA(Table2[[#This Row],[SEREAL NO.]:[REMARKS]])=SUM( L25:T25),SUM( L25:T25)&lt;&gt;0),Table2[[#This Row],[Instruction]],""))</f>
        <v/>
      </c>
      <c r="V25" s="804"/>
    </row>
    <row r="26" spans="2:22" x14ac:dyDescent="0.35">
      <c r="B26" s="1000">
        <v>13844444</v>
      </c>
      <c r="I26" s="1000"/>
      <c r="J26" s="13" t="s">
        <v>2252</v>
      </c>
      <c r="L26" s="998" t="str">
        <f>IF(AND(Table2[[#This Row],[ORDER NO.]]&lt;&gt;"", Table2[[#This Row],[ORDER NO.]]=Data!$B$1),1,"")</f>
        <v/>
      </c>
      <c r="M26" s="998" t="str">
        <f>IFERROR(IF(AND(Table2[[#This Row],[SEREAL NO.]]&lt;&gt;"", Table2[[#This Row],[SEREAL NO.]]=Data!$A$103),1,""),"")</f>
        <v/>
      </c>
      <c r="N26" s="998" t="str">
        <f>IF(AND(Table2[[#This Row],[SIZE]]&lt;&gt;"", Table2[[#This Row],[SIZE]]=Data!$B$3),1,"")</f>
        <v/>
      </c>
      <c r="O26" s="998" t="str">
        <f>IF(AND(Table2[[#This Row],[TYPE]]&lt;&gt;"", Table2[[#This Row],[TYPE]]=Data!$B$4),1,"")</f>
        <v/>
      </c>
      <c r="P26" s="998" t="str">
        <f>IF(AND(Table2[[#This Row],[LV5 MAT NO.]]&lt;&gt;"", Table2[[#This Row],[LV5 MAT NO.]]=Data!$B$5),1,"")</f>
        <v/>
      </c>
      <c r="Q26" s="998" t="str">
        <f>IF(AND(Table2[[#This Row],[FROM]]&lt;&gt;"", Table2[[#This Row],[FROM]]=Data!$B$7),1,"")</f>
        <v/>
      </c>
      <c r="R26" s="998" t="str">
        <f>IF(AND(Table2[[#This Row],[LV3 or LV4 MAT NO.]]&lt;&gt;"", Table2[[#This Row],[LV3 or LV4 MAT NO.]]=Data!$B$8),1,"")</f>
        <v/>
      </c>
      <c r="S26" s="998"/>
      <c r="T26" s="998"/>
      <c r="U26" s="804" t="str">
        <f>IF(Table4[[#This Row],[Write "N" To Remove The Default]]="N","",IF(AND(COUNTA(Table2[[#This Row],[SEREAL NO.]:[REMARKS]])=SUM( L26:T26),SUM( L26:T26)&lt;&gt;0),Table2[[#This Row],[Instruction]],""))</f>
        <v/>
      </c>
      <c r="V26" s="804"/>
    </row>
    <row r="27" spans="2:22" x14ac:dyDescent="0.35">
      <c r="E27" s="1000">
        <v>1249569</v>
      </c>
      <c r="I27" s="1000"/>
      <c r="J27" s="13" t="s">
        <v>2255</v>
      </c>
      <c r="L27" s="998" t="str">
        <f>IF(AND(Table2[[#This Row],[ORDER NO.]]&lt;&gt;"", Table2[[#This Row],[ORDER NO.]]=Data!$B$1),1,"")</f>
        <v/>
      </c>
      <c r="M27" s="998" t="str">
        <f>IFERROR(IF(AND(Table2[[#This Row],[SEREAL NO.]]&lt;&gt;"", Table2[[#This Row],[SEREAL NO.]]=Data!$A$103),1,""),"")</f>
        <v/>
      </c>
      <c r="N27" s="998" t="str">
        <f>IF(AND(Table2[[#This Row],[SIZE]]&lt;&gt;"", Table2[[#This Row],[SIZE]]=Data!$B$3),1,"")</f>
        <v/>
      </c>
      <c r="O27" s="998" t="str">
        <f>IF(AND(Table2[[#This Row],[TYPE]]&lt;&gt;"", Table2[[#This Row],[TYPE]]=Data!$B$4),1,"")</f>
        <v/>
      </c>
      <c r="P27" s="998" t="str">
        <f>IF(AND(Table2[[#This Row],[LV5 MAT NO.]]&lt;&gt;"", Table2[[#This Row],[LV5 MAT NO.]]=Data!$B$5),1,"")</f>
        <v/>
      </c>
      <c r="Q27" s="998" t="str">
        <f>IF(AND(Table2[[#This Row],[FROM]]&lt;&gt;"", Table2[[#This Row],[FROM]]=Data!$B$7),1,"")</f>
        <v/>
      </c>
      <c r="R27" s="998" t="str">
        <f>IF(AND(Table2[[#This Row],[LV3 or LV4 MAT NO.]]&lt;&gt;"", Table2[[#This Row],[LV3 or LV4 MAT NO.]]=Data!$B$8),1,"")</f>
        <v/>
      </c>
      <c r="S27" s="998"/>
      <c r="T27" s="998"/>
      <c r="U27" s="804" t="str">
        <f>IF(Table4[[#This Row],[Write "N" To Remove The Default]]="N","",IF(AND(COUNTA(Table2[[#This Row],[SEREAL NO.]:[REMARKS]])=SUM( L27:T27),SUM( L27:T27)&lt;&gt;0),Table2[[#This Row],[Instruction]],""))</f>
        <v/>
      </c>
      <c r="V27" s="804"/>
    </row>
    <row r="28" spans="2:22" x14ac:dyDescent="0.35">
      <c r="H28" s="1000" t="s">
        <v>1488</v>
      </c>
      <c r="I28" s="1000"/>
      <c r="J28" s="13" t="s">
        <v>2253</v>
      </c>
      <c r="L28" s="998" t="str">
        <f>IF(AND(Table2[[#This Row],[ORDER NO.]]&lt;&gt;"", Table2[[#This Row],[ORDER NO.]]=Data!$B$1),1,"")</f>
        <v/>
      </c>
      <c r="M28" s="998" t="str">
        <f>IFERROR(IF(AND(Table2[[#This Row],[SEREAL NO.]]&lt;&gt;"", Table2[[#This Row],[SEREAL NO.]]=Data!$A$103),1,""),"")</f>
        <v/>
      </c>
      <c r="N28" s="998" t="str">
        <f>IF(AND(Table2[[#This Row],[SIZE]]&lt;&gt;"", Table2[[#This Row],[SIZE]]=Data!$B$3),1,"")</f>
        <v/>
      </c>
      <c r="O28" s="998" t="str">
        <f>IF(AND(Table2[[#This Row],[TYPE]]&lt;&gt;"", Table2[[#This Row],[TYPE]]=Data!$B$4),1,"")</f>
        <v/>
      </c>
      <c r="P28" s="998" t="str">
        <f>IF(AND(Table2[[#This Row],[LV5 MAT NO.]]&lt;&gt;"", Table2[[#This Row],[LV5 MAT NO.]]=Data!$B$5),1,"")</f>
        <v/>
      </c>
      <c r="Q28" s="998" t="str">
        <f>IF(AND(Table2[[#This Row],[FROM]]&lt;&gt;"", Table2[[#This Row],[FROM]]=Data!$B$7),1,"")</f>
        <v/>
      </c>
      <c r="R28" s="998" t="str">
        <f>IF(AND(Table2[[#This Row],[LV3 or LV4 MAT NO.]]&lt;&gt;"", Table2[[#This Row],[LV3 or LV4 MAT NO.]]=Data!$B$8),1,"")</f>
        <v/>
      </c>
      <c r="S28" s="998" cm="1">
        <f t="array" aca="1" ref="S28" ca="1">IF(SUMPRODUCT(--ISNUMBER(SEARCH(Table2[[#This Row],[Cutters]], INDIRECT("Data!H12:H21")))) &gt; 0, 1, 0)</f>
        <v>1</v>
      </c>
      <c r="T28" s="998"/>
      <c r="U28" s="804" t="str">
        <f>IF(Table4[[#This Row],[Write "N" To Remove The Default]]="N","",IF(AND(COUNTA(Table2[[#This Row],[SEREAL NO.]:[REMARKS]])=SUM( L28:T28),SUM( L28:T28)&lt;&gt;0),Table2[[#This Row],[Instruction]],""))</f>
        <v/>
      </c>
      <c r="V28" s="804" t="s">
        <v>2487</v>
      </c>
    </row>
    <row r="29" spans="2:22" x14ac:dyDescent="0.35">
      <c r="H29" s="1000" t="s">
        <v>1232</v>
      </c>
      <c r="I29" s="1000"/>
      <c r="J29" s="13" t="s">
        <v>2254</v>
      </c>
      <c r="L29" s="998" t="str">
        <f>IF(AND(Table2[[#This Row],[ORDER NO.]]&lt;&gt;"", Table2[[#This Row],[ORDER NO.]]=Data!$B$1),1,"")</f>
        <v/>
      </c>
      <c r="M29" s="998" t="str">
        <f>IFERROR(IF(AND(Table2[[#This Row],[SEREAL NO.]]&lt;&gt;"", Table2[[#This Row],[SEREAL NO.]]=Data!$A$103),1,""),"")</f>
        <v/>
      </c>
      <c r="N29" s="998" t="str">
        <f>IF(AND(Table2[[#This Row],[SIZE]]&lt;&gt;"", Table2[[#This Row],[SIZE]]=Data!$B$3),1,"")</f>
        <v/>
      </c>
      <c r="O29" s="998" t="str">
        <f>IF(AND(Table2[[#This Row],[TYPE]]&lt;&gt;"", Table2[[#This Row],[TYPE]]=Data!$B$4),1,"")</f>
        <v/>
      </c>
      <c r="P29" s="998" t="str">
        <f>IF(AND(Table2[[#This Row],[LV5 MAT NO.]]&lt;&gt;"", Table2[[#This Row],[LV5 MAT NO.]]=Data!$B$5),1,"")</f>
        <v/>
      </c>
      <c r="Q29" s="998" t="str">
        <f>IF(AND(Table2[[#This Row],[FROM]]&lt;&gt;"", Table2[[#This Row],[FROM]]=Data!$B$7),1,"")</f>
        <v/>
      </c>
      <c r="R29" s="998" t="str">
        <f>IF(AND(Table2[[#This Row],[LV3 or LV4 MAT NO.]]&lt;&gt;"", Table2[[#This Row],[LV3 or LV4 MAT NO.]]=Data!$B$8),1,"")</f>
        <v/>
      </c>
      <c r="S29" s="998" cm="1">
        <f t="array" aca="1" ref="S29" ca="1">IF(SUMPRODUCT(--ISNUMBER(SEARCH(Table2[[#This Row],[Cutters]], INDIRECT("Data!H12:H21")))) &gt; 0, 1, 0)</f>
        <v>1</v>
      </c>
      <c r="T29" s="998"/>
      <c r="U29" s="804" t="str">
        <f>IF(Table4[[#This Row],[Write "N" To Remove The Default]]="N","",IF(AND(COUNTA(Table2[[#This Row],[SEREAL NO.]:[REMARKS]])=SUM( L29:T29),SUM( L29:T29)&lt;&gt;0),Table2[[#This Row],[Instruction]],""))</f>
        <v/>
      </c>
      <c r="V29" s="804" t="s">
        <v>2426</v>
      </c>
    </row>
    <row r="30" spans="2:22" x14ac:dyDescent="0.35">
      <c r="E30" s="1000" t="s">
        <v>1325</v>
      </c>
      <c r="F30" s="1000" t="s">
        <v>2219</v>
      </c>
      <c r="I30" s="1000"/>
      <c r="J30" s="13" t="s">
        <v>2243</v>
      </c>
      <c r="L30" s="998" t="str">
        <f>IF(AND(Table2[[#This Row],[ORDER NO.]]&lt;&gt;"", Table2[[#This Row],[ORDER NO.]]=Data!$B$1),1,"")</f>
        <v/>
      </c>
      <c r="M30" s="998" t="str">
        <f>IFERROR(IF(AND(Table2[[#This Row],[SEREAL NO.]]&lt;&gt;"", Table2[[#This Row],[SEREAL NO.]]=Data!$A$103),1,""),"")</f>
        <v/>
      </c>
      <c r="N30" s="998" t="str">
        <f>IF(AND(Table2[[#This Row],[SIZE]]&lt;&gt;"", Table2[[#This Row],[SIZE]]=Data!$B$3),1,"")</f>
        <v/>
      </c>
      <c r="O30" s="998" t="str">
        <f>IF(AND(Table2[[#This Row],[TYPE]]&lt;&gt;"", Table2[[#This Row],[TYPE]]=Data!$B$4),1,"")</f>
        <v/>
      </c>
      <c r="P30" s="998" t="str">
        <f>IF(AND(Table2[[#This Row],[LV5 MAT NO.]]&lt;&gt;"", Table2[[#This Row],[LV5 MAT NO.]]=Data!$B$5),1,"")</f>
        <v/>
      </c>
      <c r="Q30" s="998" t="str">
        <f>IF(AND(Table2[[#This Row],[FROM]]&lt;&gt;"", Table2[[#This Row],[FROM]]=Data!$B$7),1,"")</f>
        <v/>
      </c>
      <c r="R30" s="998" t="str">
        <f>IF(AND(Table2[[#This Row],[LV3 or LV4 MAT NO.]]&lt;&gt;"", Table2[[#This Row],[LV3 or LV4 MAT NO.]]=Data!$B$8),1,"")</f>
        <v/>
      </c>
      <c r="S30" s="998"/>
      <c r="T30" s="998"/>
      <c r="U30" s="804" t="str">
        <f>IF(Table4[[#This Row],[Write "N" To Remove The Default]]="N","",IF(AND(COUNTA(Table2[[#This Row],[SEREAL NO.]:[REMARKS]])=SUM( L30:T30),SUM( L30:T30)&lt;&gt;0),Table2[[#This Row],[Instruction]],""))</f>
        <v/>
      </c>
      <c r="V30" s="804"/>
    </row>
    <row r="31" spans="2:22" x14ac:dyDescent="0.35">
      <c r="E31" s="1000" t="s">
        <v>1222</v>
      </c>
      <c r="F31" s="1000" t="s">
        <v>2219</v>
      </c>
      <c r="I31" s="1000"/>
      <c r="J31" s="13" t="s">
        <v>2243</v>
      </c>
      <c r="L31" s="998" t="str">
        <f>IF(AND(Table2[[#This Row],[ORDER NO.]]&lt;&gt;"", Table2[[#This Row],[ORDER NO.]]=Data!$B$1),1,"")</f>
        <v/>
      </c>
      <c r="M31" s="998" t="str">
        <f>IFERROR(IF(AND(Table2[[#This Row],[SEREAL NO.]]&lt;&gt;"", Table2[[#This Row],[SEREAL NO.]]=Data!$A$103),1,""),"")</f>
        <v/>
      </c>
      <c r="N31" s="998" t="str">
        <f>IF(AND(Table2[[#This Row],[SIZE]]&lt;&gt;"", Table2[[#This Row],[SIZE]]=Data!$B$3),1,"")</f>
        <v/>
      </c>
      <c r="O31" s="998" t="str">
        <f>IF(AND(Table2[[#This Row],[TYPE]]&lt;&gt;"", Table2[[#This Row],[TYPE]]=Data!$B$4),1,"")</f>
        <v/>
      </c>
      <c r="P31" s="998" t="str">
        <f>IF(AND(Table2[[#This Row],[LV5 MAT NO.]]&lt;&gt;"", Table2[[#This Row],[LV5 MAT NO.]]=Data!$B$5),1,"")</f>
        <v/>
      </c>
      <c r="Q31" s="998" t="str">
        <f>IF(AND(Table2[[#This Row],[FROM]]&lt;&gt;"", Table2[[#This Row],[FROM]]=Data!$B$7),1,"")</f>
        <v/>
      </c>
      <c r="R31" s="998" t="str">
        <f>IF(AND(Table2[[#This Row],[LV3 or LV4 MAT NO.]]&lt;&gt;"", Table2[[#This Row],[LV3 or LV4 MAT NO.]]=Data!$B$8),1,"")</f>
        <v/>
      </c>
      <c r="S31" s="998"/>
      <c r="T31" s="998"/>
      <c r="U31" s="804" t="str">
        <f>IF(Table4[[#This Row],[Write "N" To Remove The Default]]="N","",IF(AND(COUNTA(Table2[[#This Row],[SEREAL NO.]:[REMARKS]])=SUM( L31:T31),SUM( L31:T31)&lt;&gt;0),Table2[[#This Row],[Instruction]],""))</f>
        <v/>
      </c>
      <c r="V31" s="804"/>
    </row>
    <row r="32" spans="2:22" x14ac:dyDescent="0.35">
      <c r="E32" s="1000" t="s">
        <v>1838</v>
      </c>
      <c r="F32" s="1000" t="s">
        <v>2219</v>
      </c>
      <c r="I32" s="1000"/>
      <c r="J32" s="13" t="s">
        <v>2243</v>
      </c>
      <c r="L32" s="998" t="str">
        <f>IF(AND(Table2[[#This Row],[ORDER NO.]]&lt;&gt;"", Table2[[#This Row],[ORDER NO.]]=Data!$B$1),1,"")</f>
        <v/>
      </c>
      <c r="M32" s="998" t="str">
        <f>IFERROR(IF(AND(Table2[[#This Row],[SEREAL NO.]]&lt;&gt;"", Table2[[#This Row],[SEREAL NO.]]=Data!$A$103),1,""),"")</f>
        <v/>
      </c>
      <c r="N32" s="998" t="str">
        <f>IF(AND(Table2[[#This Row],[SIZE]]&lt;&gt;"", Table2[[#This Row],[SIZE]]=Data!$B$3),1,"")</f>
        <v/>
      </c>
      <c r="O32" s="998" t="str">
        <f>IF(AND(Table2[[#This Row],[TYPE]]&lt;&gt;"", Table2[[#This Row],[TYPE]]=Data!$B$4),1,"")</f>
        <v/>
      </c>
      <c r="P32" s="998" t="str">
        <f>IF(AND(Table2[[#This Row],[LV5 MAT NO.]]&lt;&gt;"", Table2[[#This Row],[LV5 MAT NO.]]=Data!$B$5),1,"")</f>
        <v/>
      </c>
      <c r="Q32" s="998" t="str">
        <f>IF(AND(Table2[[#This Row],[FROM]]&lt;&gt;"", Table2[[#This Row],[FROM]]=Data!$B$7),1,"")</f>
        <v/>
      </c>
      <c r="R32" s="998" t="str">
        <f>IF(AND(Table2[[#This Row],[LV3 or LV4 MAT NO.]]&lt;&gt;"", Table2[[#This Row],[LV3 or LV4 MAT NO.]]=Data!$B$8),1,"")</f>
        <v/>
      </c>
      <c r="S32" s="998"/>
      <c r="T32" s="998"/>
      <c r="U32" s="804" t="str">
        <f>IF(Table4[[#This Row],[Write "N" To Remove The Default]]="N","",IF(AND(COUNTA(Table2[[#This Row],[SEREAL NO.]:[REMARKS]])=SUM( L32:T32),SUM( L32:T32)&lt;&gt;0),Table2[[#This Row],[Instruction]],""))</f>
        <v/>
      </c>
      <c r="V32" s="804"/>
    </row>
    <row r="33" spans="5:22" x14ac:dyDescent="0.35">
      <c r="E33" s="1000" t="s">
        <v>2168</v>
      </c>
      <c r="F33" s="1000" t="s">
        <v>2219</v>
      </c>
      <c r="I33" s="1000"/>
      <c r="J33" s="13" t="s">
        <v>2243</v>
      </c>
      <c r="L33" s="998" t="str">
        <f>IF(AND(Table2[[#This Row],[ORDER NO.]]&lt;&gt;"", Table2[[#This Row],[ORDER NO.]]=Data!$B$1),1,"")</f>
        <v/>
      </c>
      <c r="M33" s="998" t="str">
        <f>IFERROR(IF(AND(Table2[[#This Row],[SEREAL NO.]]&lt;&gt;"", Table2[[#This Row],[SEREAL NO.]]=Data!$A$103),1,""),"")</f>
        <v/>
      </c>
      <c r="N33" s="998" t="str">
        <f>IF(AND(Table2[[#This Row],[SIZE]]&lt;&gt;"", Table2[[#This Row],[SIZE]]=Data!$B$3),1,"")</f>
        <v/>
      </c>
      <c r="O33" s="998" t="str">
        <f>IF(AND(Table2[[#This Row],[TYPE]]&lt;&gt;"", Table2[[#This Row],[TYPE]]=Data!$B$4),1,"")</f>
        <v/>
      </c>
      <c r="P33" s="998" t="str">
        <f>IF(AND(Table2[[#This Row],[LV5 MAT NO.]]&lt;&gt;"", Table2[[#This Row],[LV5 MAT NO.]]=Data!$B$5),1,"")</f>
        <v/>
      </c>
      <c r="Q33" s="998" t="str">
        <f>IF(AND(Table2[[#This Row],[FROM]]&lt;&gt;"", Table2[[#This Row],[FROM]]=Data!$B$7),1,"")</f>
        <v/>
      </c>
      <c r="R33" s="998" t="str">
        <f>IF(AND(Table2[[#This Row],[LV3 or LV4 MAT NO.]]&lt;&gt;"", Table2[[#This Row],[LV3 or LV4 MAT NO.]]=Data!$B$8),1,"")</f>
        <v/>
      </c>
      <c r="S33" s="998"/>
      <c r="T33" s="998"/>
      <c r="U33" s="804" t="str">
        <f>IF(Table4[[#This Row],[Write "N" To Remove The Default]]="N","",IF(AND(COUNTA(Table2[[#This Row],[SEREAL NO.]:[REMARKS]])=SUM( L33:T33),SUM( L33:T33)&lt;&gt;0),Table2[[#This Row],[Instruction]],""))</f>
        <v/>
      </c>
      <c r="V33" s="804"/>
    </row>
    <row r="34" spans="5:22" x14ac:dyDescent="0.35">
      <c r="E34" s="1000" t="s">
        <v>1325</v>
      </c>
      <c r="F34" s="1000" t="s">
        <v>2222</v>
      </c>
      <c r="I34" s="1000"/>
      <c r="J34" s="13" t="s">
        <v>2243</v>
      </c>
      <c r="L34" s="998" t="str">
        <f>IF(AND(Table2[[#This Row],[ORDER NO.]]&lt;&gt;"", Table2[[#This Row],[ORDER NO.]]=Data!$B$1),1,"")</f>
        <v/>
      </c>
      <c r="M34" s="998" t="str">
        <f>IFERROR(IF(AND(Table2[[#This Row],[SEREAL NO.]]&lt;&gt;"", Table2[[#This Row],[SEREAL NO.]]=Data!$A$103),1,""),"")</f>
        <v/>
      </c>
      <c r="N34" s="998" t="str">
        <f>IF(AND(Table2[[#This Row],[SIZE]]&lt;&gt;"", Table2[[#This Row],[SIZE]]=Data!$B$3),1,"")</f>
        <v/>
      </c>
      <c r="O34" s="998" t="str">
        <f>IF(AND(Table2[[#This Row],[TYPE]]&lt;&gt;"", Table2[[#This Row],[TYPE]]=Data!$B$4),1,"")</f>
        <v/>
      </c>
      <c r="P34" s="998" t="str">
        <f>IF(AND(Table2[[#This Row],[LV5 MAT NO.]]&lt;&gt;"", Table2[[#This Row],[LV5 MAT NO.]]=Data!$B$5),1,"")</f>
        <v/>
      </c>
      <c r="Q34" s="998" t="str">
        <f>IF(AND(Table2[[#This Row],[FROM]]&lt;&gt;"", Table2[[#This Row],[FROM]]=Data!$B$7),1,"")</f>
        <v/>
      </c>
      <c r="R34" s="998" t="str">
        <f>IF(AND(Table2[[#This Row],[LV3 or LV4 MAT NO.]]&lt;&gt;"", Table2[[#This Row],[LV3 or LV4 MAT NO.]]=Data!$B$8),1,"")</f>
        <v/>
      </c>
      <c r="S34" s="998"/>
      <c r="T34" s="998"/>
      <c r="U34" s="804" t="str">
        <f>IF(Table4[[#This Row],[Write "N" To Remove The Default]]="N","",IF(AND(COUNTA(Table2[[#This Row],[SEREAL NO.]:[REMARKS]])=SUM( L34:T34),SUM( L34:T34)&lt;&gt;0),Table2[[#This Row],[Instruction]],""))</f>
        <v/>
      </c>
      <c r="V34" s="804"/>
    </row>
    <row r="35" spans="5:22" x14ac:dyDescent="0.35">
      <c r="E35" s="1000" t="s">
        <v>1222</v>
      </c>
      <c r="F35" s="1000" t="s">
        <v>2222</v>
      </c>
      <c r="I35" s="1000"/>
      <c r="J35" s="13" t="s">
        <v>2243</v>
      </c>
      <c r="L35" s="998" t="str">
        <f>IF(AND(Table2[[#This Row],[ORDER NO.]]&lt;&gt;"", Table2[[#This Row],[ORDER NO.]]=Data!$B$1),1,"")</f>
        <v/>
      </c>
      <c r="M35" s="998" t="str">
        <f>IFERROR(IF(AND(Table2[[#This Row],[SEREAL NO.]]&lt;&gt;"", Table2[[#This Row],[SEREAL NO.]]=Data!$A$103),1,""),"")</f>
        <v/>
      </c>
      <c r="N35" s="998" t="str">
        <f>IF(AND(Table2[[#This Row],[SIZE]]&lt;&gt;"", Table2[[#This Row],[SIZE]]=Data!$B$3),1,"")</f>
        <v/>
      </c>
      <c r="O35" s="998" t="str">
        <f>IF(AND(Table2[[#This Row],[TYPE]]&lt;&gt;"", Table2[[#This Row],[TYPE]]=Data!$B$4),1,"")</f>
        <v/>
      </c>
      <c r="P35" s="998" t="str">
        <f>IF(AND(Table2[[#This Row],[LV5 MAT NO.]]&lt;&gt;"", Table2[[#This Row],[LV5 MAT NO.]]=Data!$B$5),1,"")</f>
        <v/>
      </c>
      <c r="Q35" s="998" t="str">
        <f>IF(AND(Table2[[#This Row],[FROM]]&lt;&gt;"", Table2[[#This Row],[FROM]]=Data!$B$7),1,"")</f>
        <v/>
      </c>
      <c r="R35" s="998" t="str">
        <f>IF(AND(Table2[[#This Row],[LV3 or LV4 MAT NO.]]&lt;&gt;"", Table2[[#This Row],[LV3 or LV4 MAT NO.]]=Data!$B$8),1,"")</f>
        <v/>
      </c>
      <c r="S35" s="998"/>
      <c r="T35" s="998"/>
      <c r="U35" s="804" t="str">
        <f>IF(Table4[[#This Row],[Write "N" To Remove The Default]]="N","",IF(AND(COUNTA(Table2[[#This Row],[SEREAL NO.]:[REMARKS]])=SUM( L35:T35),SUM( L35:T35)&lt;&gt;0),Table2[[#This Row],[Instruction]],""))</f>
        <v/>
      </c>
      <c r="V35" s="804"/>
    </row>
    <row r="36" spans="5:22" x14ac:dyDescent="0.35">
      <c r="E36" s="1000" t="s">
        <v>1838</v>
      </c>
      <c r="F36" s="1000" t="s">
        <v>2222</v>
      </c>
      <c r="I36" s="1000"/>
      <c r="J36" s="13" t="s">
        <v>2243</v>
      </c>
      <c r="L36" s="998" t="str">
        <f>IF(AND(Table2[[#This Row],[ORDER NO.]]&lt;&gt;"", Table2[[#This Row],[ORDER NO.]]=Data!$B$1),1,"")</f>
        <v/>
      </c>
      <c r="M36" s="998" t="str">
        <f>IFERROR(IF(AND(Table2[[#This Row],[SEREAL NO.]]&lt;&gt;"", Table2[[#This Row],[SEREAL NO.]]=Data!$A$103),1,""),"")</f>
        <v/>
      </c>
      <c r="N36" s="998" t="str">
        <f>IF(AND(Table2[[#This Row],[SIZE]]&lt;&gt;"", Table2[[#This Row],[SIZE]]=Data!$B$3),1,"")</f>
        <v/>
      </c>
      <c r="O36" s="998" t="str">
        <f>IF(AND(Table2[[#This Row],[TYPE]]&lt;&gt;"", Table2[[#This Row],[TYPE]]=Data!$B$4),1,"")</f>
        <v/>
      </c>
      <c r="P36" s="998" t="str">
        <f>IF(AND(Table2[[#This Row],[LV5 MAT NO.]]&lt;&gt;"", Table2[[#This Row],[LV5 MAT NO.]]=Data!$B$5),1,"")</f>
        <v/>
      </c>
      <c r="Q36" s="998" t="str">
        <f>IF(AND(Table2[[#This Row],[FROM]]&lt;&gt;"", Table2[[#This Row],[FROM]]=Data!$B$7),1,"")</f>
        <v/>
      </c>
      <c r="R36" s="998" t="str">
        <f>IF(AND(Table2[[#This Row],[LV3 or LV4 MAT NO.]]&lt;&gt;"", Table2[[#This Row],[LV3 or LV4 MAT NO.]]=Data!$B$8),1,"")</f>
        <v/>
      </c>
      <c r="S36" s="998"/>
      <c r="T36" s="998"/>
      <c r="U36" s="804" t="str">
        <f>IF(Table4[[#This Row],[Write "N" To Remove The Default]]="N","",IF(AND(COUNTA(Table2[[#This Row],[SEREAL NO.]:[REMARKS]])=SUM( L36:T36),SUM( L36:T36)&lt;&gt;0),Table2[[#This Row],[Instruction]],""))</f>
        <v/>
      </c>
      <c r="V36" s="804"/>
    </row>
    <row r="37" spans="5:22" x14ac:dyDescent="0.35">
      <c r="E37" s="1000" t="s">
        <v>2168</v>
      </c>
      <c r="F37" s="1000" t="s">
        <v>2222</v>
      </c>
      <c r="I37" s="1000"/>
      <c r="J37" s="13" t="s">
        <v>2243</v>
      </c>
      <c r="L37" s="998" t="str">
        <f>IF(AND(Table2[[#This Row],[ORDER NO.]]&lt;&gt;"", Table2[[#This Row],[ORDER NO.]]=Data!$B$1),1,"")</f>
        <v/>
      </c>
      <c r="M37" s="998" t="str">
        <f>IFERROR(IF(AND(Table2[[#This Row],[SEREAL NO.]]&lt;&gt;"", Table2[[#This Row],[SEREAL NO.]]=Data!$A$103),1,""),"")</f>
        <v/>
      </c>
      <c r="N37" s="998" t="str">
        <f>IF(AND(Table2[[#This Row],[SIZE]]&lt;&gt;"", Table2[[#This Row],[SIZE]]=Data!$B$3),1,"")</f>
        <v/>
      </c>
      <c r="O37" s="998" t="str">
        <f>IF(AND(Table2[[#This Row],[TYPE]]&lt;&gt;"", Table2[[#This Row],[TYPE]]=Data!$B$4),1,"")</f>
        <v/>
      </c>
      <c r="P37" s="998" t="str">
        <f>IF(AND(Table2[[#This Row],[LV5 MAT NO.]]&lt;&gt;"", Table2[[#This Row],[LV5 MAT NO.]]=Data!$B$5),1,"")</f>
        <v/>
      </c>
      <c r="Q37" s="998" t="str">
        <f>IF(AND(Table2[[#This Row],[FROM]]&lt;&gt;"", Table2[[#This Row],[FROM]]=Data!$B$7),1,"")</f>
        <v/>
      </c>
      <c r="R37" s="998" t="str">
        <f>IF(AND(Table2[[#This Row],[LV3 or LV4 MAT NO.]]&lt;&gt;"", Table2[[#This Row],[LV3 or LV4 MAT NO.]]=Data!$B$8),1,"")</f>
        <v/>
      </c>
      <c r="S37" s="998"/>
      <c r="T37" s="998"/>
      <c r="U37" s="804" t="str">
        <f>IF(Table4[[#This Row],[Write "N" To Remove The Default]]="N","",IF(AND(COUNTA(Table2[[#This Row],[SEREAL NO.]:[REMARKS]])=SUM( L37:T37),SUM( L37:T37)&lt;&gt;0),Table2[[#This Row],[Instruction]],""))</f>
        <v/>
      </c>
      <c r="V37" s="804"/>
    </row>
    <row r="38" spans="5:22" x14ac:dyDescent="0.35">
      <c r="E38" s="1000" t="s">
        <v>1325</v>
      </c>
      <c r="F38" s="1000" t="s">
        <v>791</v>
      </c>
      <c r="I38" s="1000"/>
      <c r="J38" s="13" t="s">
        <v>2243</v>
      </c>
      <c r="L38" s="998" t="str">
        <f>IF(AND(Table2[[#This Row],[ORDER NO.]]&lt;&gt;"", Table2[[#This Row],[ORDER NO.]]=Data!$B$1),1,"")</f>
        <v/>
      </c>
      <c r="M38" s="998" t="str">
        <f>IFERROR(IF(AND(Table2[[#This Row],[SEREAL NO.]]&lt;&gt;"", Table2[[#This Row],[SEREAL NO.]]=Data!$A$103),1,""),"")</f>
        <v/>
      </c>
      <c r="N38" s="998" t="str">
        <f>IF(AND(Table2[[#This Row],[SIZE]]&lt;&gt;"", Table2[[#This Row],[SIZE]]=Data!$B$3),1,"")</f>
        <v/>
      </c>
      <c r="O38" s="998" t="str">
        <f>IF(AND(Table2[[#This Row],[TYPE]]&lt;&gt;"", Table2[[#This Row],[TYPE]]=Data!$B$4),1,"")</f>
        <v/>
      </c>
      <c r="P38" s="998" t="str">
        <f>IF(AND(Table2[[#This Row],[LV5 MAT NO.]]&lt;&gt;"", Table2[[#This Row],[LV5 MAT NO.]]=Data!$B$5),1,"")</f>
        <v/>
      </c>
      <c r="Q38" s="998" t="str">
        <f>IF(AND(Table2[[#This Row],[FROM]]&lt;&gt;"", Table2[[#This Row],[FROM]]=Data!$B$7),1,"")</f>
        <v/>
      </c>
      <c r="R38" s="998" t="str">
        <f>IF(AND(Table2[[#This Row],[LV3 or LV4 MAT NO.]]&lt;&gt;"", Table2[[#This Row],[LV3 or LV4 MAT NO.]]=Data!$B$8),1,"")</f>
        <v/>
      </c>
      <c r="S38" s="998"/>
      <c r="T38" s="998"/>
      <c r="U38" s="804" t="str">
        <f>IF(Table4[[#This Row],[Write "N" To Remove The Default]]="N","",IF(AND(COUNTA(Table2[[#This Row],[SEREAL NO.]:[REMARKS]])=SUM( L38:T38),SUM( L38:T38)&lt;&gt;0),Table2[[#This Row],[Instruction]],""))</f>
        <v/>
      </c>
      <c r="V38" s="804"/>
    </row>
    <row r="39" spans="5:22" x14ac:dyDescent="0.35">
      <c r="E39" s="1000" t="s">
        <v>1222</v>
      </c>
      <c r="F39" s="1000" t="s">
        <v>791</v>
      </c>
      <c r="I39" s="1000"/>
      <c r="J39" s="13" t="s">
        <v>2243</v>
      </c>
      <c r="L39" s="998" t="str">
        <f>IF(AND(Table2[[#This Row],[ORDER NO.]]&lt;&gt;"", Table2[[#This Row],[ORDER NO.]]=Data!$B$1),1,"")</f>
        <v/>
      </c>
      <c r="M39" s="998" t="str">
        <f>IFERROR(IF(AND(Table2[[#This Row],[SEREAL NO.]]&lt;&gt;"", Table2[[#This Row],[SEREAL NO.]]=Data!$A$103),1,""),"")</f>
        <v/>
      </c>
      <c r="N39" s="998" t="str">
        <f>IF(AND(Table2[[#This Row],[SIZE]]&lt;&gt;"", Table2[[#This Row],[SIZE]]=Data!$B$3),1,"")</f>
        <v/>
      </c>
      <c r="O39" s="998" t="str">
        <f>IF(AND(Table2[[#This Row],[TYPE]]&lt;&gt;"", Table2[[#This Row],[TYPE]]=Data!$B$4),1,"")</f>
        <v/>
      </c>
      <c r="P39" s="998" t="str">
        <f>IF(AND(Table2[[#This Row],[LV5 MAT NO.]]&lt;&gt;"", Table2[[#This Row],[LV5 MAT NO.]]=Data!$B$5),1,"")</f>
        <v/>
      </c>
      <c r="Q39" s="998" t="str">
        <f>IF(AND(Table2[[#This Row],[FROM]]&lt;&gt;"", Table2[[#This Row],[FROM]]=Data!$B$7),1,"")</f>
        <v/>
      </c>
      <c r="R39" s="998" t="str">
        <f>IF(AND(Table2[[#This Row],[LV3 or LV4 MAT NO.]]&lt;&gt;"", Table2[[#This Row],[LV3 or LV4 MAT NO.]]=Data!$B$8),1,"")</f>
        <v/>
      </c>
      <c r="S39" s="998"/>
      <c r="T39" s="998"/>
      <c r="U39" s="804" t="str">
        <f>IF(Table4[[#This Row],[Write "N" To Remove The Default]]="N","",IF(AND(COUNTA(Table2[[#This Row],[SEREAL NO.]:[REMARKS]])=SUM( L39:T39),SUM( L39:T39)&lt;&gt;0),Table2[[#This Row],[Instruction]],""))</f>
        <v/>
      </c>
      <c r="V39" s="804"/>
    </row>
    <row r="40" spans="5:22" x14ac:dyDescent="0.35">
      <c r="E40" s="1000" t="s">
        <v>1838</v>
      </c>
      <c r="F40" s="1000" t="s">
        <v>791</v>
      </c>
      <c r="I40" s="1000"/>
      <c r="J40" s="13" t="s">
        <v>2243</v>
      </c>
      <c r="L40" s="998" t="str">
        <f>IF(AND(Table2[[#This Row],[ORDER NO.]]&lt;&gt;"", Table2[[#This Row],[ORDER NO.]]=Data!$B$1),1,"")</f>
        <v/>
      </c>
      <c r="M40" s="998" t="str">
        <f>IFERROR(IF(AND(Table2[[#This Row],[SEREAL NO.]]&lt;&gt;"", Table2[[#This Row],[SEREAL NO.]]=Data!$A$103),1,""),"")</f>
        <v/>
      </c>
      <c r="N40" s="998" t="str">
        <f>IF(AND(Table2[[#This Row],[SIZE]]&lt;&gt;"", Table2[[#This Row],[SIZE]]=Data!$B$3),1,"")</f>
        <v/>
      </c>
      <c r="O40" s="998" t="str">
        <f>IF(AND(Table2[[#This Row],[TYPE]]&lt;&gt;"", Table2[[#This Row],[TYPE]]=Data!$B$4),1,"")</f>
        <v/>
      </c>
      <c r="P40" s="998" t="str">
        <f>IF(AND(Table2[[#This Row],[LV5 MAT NO.]]&lt;&gt;"", Table2[[#This Row],[LV5 MAT NO.]]=Data!$B$5),1,"")</f>
        <v/>
      </c>
      <c r="Q40" s="998" t="str">
        <f>IF(AND(Table2[[#This Row],[FROM]]&lt;&gt;"", Table2[[#This Row],[FROM]]=Data!$B$7),1,"")</f>
        <v/>
      </c>
      <c r="R40" s="998" t="str">
        <f>IF(AND(Table2[[#This Row],[LV3 or LV4 MAT NO.]]&lt;&gt;"", Table2[[#This Row],[LV3 or LV4 MAT NO.]]=Data!$B$8),1,"")</f>
        <v/>
      </c>
      <c r="S40" s="998"/>
      <c r="T40" s="998"/>
      <c r="U40" s="804" t="str">
        <f>IF(Table4[[#This Row],[Write "N" To Remove The Default]]="N","",IF(AND(COUNTA(Table2[[#This Row],[SEREAL NO.]:[REMARKS]])=SUM( L40:T40),SUM( L40:T40)&lt;&gt;0),Table2[[#This Row],[Instruction]],""))</f>
        <v/>
      </c>
      <c r="V40" s="804"/>
    </row>
    <row r="41" spans="5:22" x14ac:dyDescent="0.35">
      <c r="E41" s="1000" t="s">
        <v>2168</v>
      </c>
      <c r="F41" s="1000" t="s">
        <v>791</v>
      </c>
      <c r="I41" s="1000"/>
      <c r="J41" s="13" t="s">
        <v>2243</v>
      </c>
      <c r="L41" s="998" t="str">
        <f>IF(AND(Table2[[#This Row],[ORDER NO.]]&lt;&gt;"", Table2[[#This Row],[ORDER NO.]]=Data!$B$1),1,"")</f>
        <v/>
      </c>
      <c r="M41" s="998" t="str">
        <f>IFERROR(IF(AND(Table2[[#This Row],[SEREAL NO.]]&lt;&gt;"", Table2[[#This Row],[SEREAL NO.]]=Data!$A$103),1,""),"")</f>
        <v/>
      </c>
      <c r="N41" s="998" t="str">
        <f>IF(AND(Table2[[#This Row],[SIZE]]&lt;&gt;"", Table2[[#This Row],[SIZE]]=Data!$B$3),1,"")</f>
        <v/>
      </c>
      <c r="O41" s="998" t="str">
        <f>IF(AND(Table2[[#This Row],[TYPE]]&lt;&gt;"", Table2[[#This Row],[TYPE]]=Data!$B$4),1,"")</f>
        <v/>
      </c>
      <c r="P41" s="998" t="str">
        <f>IF(AND(Table2[[#This Row],[LV5 MAT NO.]]&lt;&gt;"", Table2[[#This Row],[LV5 MAT NO.]]=Data!$B$5),1,"")</f>
        <v/>
      </c>
      <c r="Q41" s="998" t="str">
        <f>IF(AND(Table2[[#This Row],[FROM]]&lt;&gt;"", Table2[[#This Row],[FROM]]=Data!$B$7),1,"")</f>
        <v/>
      </c>
      <c r="R41" s="998" t="str">
        <f>IF(AND(Table2[[#This Row],[LV3 or LV4 MAT NO.]]&lt;&gt;"", Table2[[#This Row],[LV3 or LV4 MAT NO.]]=Data!$B$8),1,"")</f>
        <v/>
      </c>
      <c r="S41" s="998"/>
      <c r="T41" s="998"/>
      <c r="U41" s="804" t="str">
        <f>IF(Table4[[#This Row],[Write "N" To Remove The Default]]="N","",IF(AND(COUNTA(Table2[[#This Row],[SEREAL NO.]:[REMARKS]])=SUM( L41:T41),SUM( L41:T41)&lt;&gt;0),Table2[[#This Row],[Instruction]],""))</f>
        <v/>
      </c>
      <c r="V41" s="804"/>
    </row>
    <row r="42" spans="5:22" x14ac:dyDescent="0.35">
      <c r="E42" s="1000" t="s">
        <v>2137</v>
      </c>
      <c r="I42" s="1000"/>
      <c r="J42" s="13" t="s">
        <v>2255</v>
      </c>
      <c r="L42" s="998" t="str">
        <f>IF(AND(Table2[[#This Row],[ORDER NO.]]&lt;&gt;"", Table2[[#This Row],[ORDER NO.]]=Data!$B$1),1,"")</f>
        <v/>
      </c>
      <c r="M42" s="998" t="str">
        <f>IFERROR(IF(AND(Table2[[#This Row],[SEREAL NO.]]&lt;&gt;"", Table2[[#This Row],[SEREAL NO.]]=Data!$A$103),1,""),"")</f>
        <v/>
      </c>
      <c r="N42" s="998" t="str">
        <f>IF(AND(Table2[[#This Row],[SIZE]]&lt;&gt;"", Table2[[#This Row],[SIZE]]=Data!$B$3),1,"")</f>
        <v/>
      </c>
      <c r="O42" s="998" t="str">
        <f>IF(AND(Table2[[#This Row],[TYPE]]&lt;&gt;"", Table2[[#This Row],[TYPE]]=Data!$B$4),1,"")</f>
        <v/>
      </c>
      <c r="P42" s="998" t="str">
        <f>IF(AND(Table2[[#This Row],[LV5 MAT NO.]]&lt;&gt;"", Table2[[#This Row],[LV5 MAT NO.]]=Data!$B$5),1,"")</f>
        <v/>
      </c>
      <c r="Q42" s="998" t="str">
        <f>IF(AND(Table2[[#This Row],[FROM]]&lt;&gt;"", Table2[[#This Row],[FROM]]=Data!$B$7),1,"")</f>
        <v/>
      </c>
      <c r="R42" s="998" t="str">
        <f>IF(AND(Table2[[#This Row],[LV3 or LV4 MAT NO.]]&lt;&gt;"", Table2[[#This Row],[LV3 or LV4 MAT NO.]]=Data!$B$8),1,"")</f>
        <v/>
      </c>
      <c r="S42" s="998"/>
      <c r="T42" s="998"/>
      <c r="U42" s="804" t="str">
        <f>IF(Table4[[#This Row],[Write "N" To Remove The Default]]="N","",IF(AND(COUNTA(Table2[[#This Row],[SEREAL NO.]:[REMARKS]])=SUM( L42:T42),SUM( L42:T42)&lt;&gt;0),Table2[[#This Row],[Instruction]],""))</f>
        <v/>
      </c>
      <c r="V42" s="804"/>
    </row>
    <row r="43" spans="5:22" x14ac:dyDescent="0.35">
      <c r="E43" s="1000" t="s">
        <v>2305</v>
      </c>
      <c r="F43" s="1000" t="s">
        <v>2219</v>
      </c>
      <c r="I43" s="1000"/>
      <c r="J43" s="13" t="s">
        <v>2306</v>
      </c>
      <c r="L43" s="998" t="str">
        <f>IF(AND(Table2[[#This Row],[ORDER NO.]]&lt;&gt;"", Table2[[#This Row],[ORDER NO.]]=Data!$B$1),1,"")</f>
        <v/>
      </c>
      <c r="M43" s="998" t="str">
        <f>IFERROR(IF(AND(Table2[[#This Row],[SEREAL NO.]]&lt;&gt;"", Table2[[#This Row],[SEREAL NO.]]=Data!$A$103),1,""),"")</f>
        <v/>
      </c>
      <c r="N43" s="998" t="str">
        <f>IF(AND(Table2[[#This Row],[SIZE]]&lt;&gt;"", Table2[[#This Row],[SIZE]]=Data!$B$3),1,"")</f>
        <v/>
      </c>
      <c r="O43" s="998" t="str">
        <f>IF(AND(Table2[[#This Row],[TYPE]]&lt;&gt;"", Table2[[#This Row],[TYPE]]=Data!$B$4),1,"")</f>
        <v/>
      </c>
      <c r="P43" s="998" t="str">
        <f>IF(AND(Table2[[#This Row],[LV5 MAT NO.]]&lt;&gt;"", Table2[[#This Row],[LV5 MAT NO.]]=Data!$B$5),1,"")</f>
        <v/>
      </c>
      <c r="Q43" s="998" t="str">
        <f>IF(AND(Table2[[#This Row],[FROM]]&lt;&gt;"", Table2[[#This Row],[FROM]]=Data!$B$7),1,"")</f>
        <v/>
      </c>
      <c r="R43" s="998" t="str">
        <f>IF(AND(Table2[[#This Row],[LV3 or LV4 MAT NO.]]&lt;&gt;"", Table2[[#This Row],[LV3 or LV4 MAT NO.]]=Data!$B$8),1,"")</f>
        <v/>
      </c>
      <c r="S43" s="998"/>
      <c r="T43" s="998"/>
      <c r="U43" s="804" t="str">
        <f>IF(Table4[[#This Row],[Write "N" To Remove The Default]]="N","",IF(AND(COUNTA(Table2[[#This Row],[SEREAL NO.]:[REMARKS]])=SUM( L43:T43),SUM( L43:T43)&lt;&gt;0),Table2[[#This Row],[Instruction]],""))</f>
        <v/>
      </c>
      <c r="V43" s="804"/>
    </row>
    <row r="44" spans="5:22" x14ac:dyDescent="0.35">
      <c r="E44" s="1000" t="s">
        <v>2305</v>
      </c>
      <c r="F44" s="1000" t="s">
        <v>2222</v>
      </c>
      <c r="I44" s="1000"/>
      <c r="J44" s="13" t="s">
        <v>2306</v>
      </c>
      <c r="L44" s="998" t="str">
        <f>IF(AND(Table2[[#This Row],[ORDER NO.]]&lt;&gt;"", Table2[[#This Row],[ORDER NO.]]=Data!$B$1),1,"")</f>
        <v/>
      </c>
      <c r="M44" s="998" t="str">
        <f>IFERROR(IF(AND(Table2[[#This Row],[SEREAL NO.]]&lt;&gt;"", Table2[[#This Row],[SEREAL NO.]]=Data!$A$103),1,""),"")</f>
        <v/>
      </c>
      <c r="N44" s="998" t="str">
        <f>IF(AND(Table2[[#This Row],[SIZE]]&lt;&gt;"", Table2[[#This Row],[SIZE]]=Data!$B$3),1,"")</f>
        <v/>
      </c>
      <c r="O44" s="998" t="str">
        <f>IF(AND(Table2[[#This Row],[TYPE]]&lt;&gt;"", Table2[[#This Row],[TYPE]]=Data!$B$4),1,"")</f>
        <v/>
      </c>
      <c r="P44" s="998" t="str">
        <f>IF(AND(Table2[[#This Row],[LV5 MAT NO.]]&lt;&gt;"", Table2[[#This Row],[LV5 MAT NO.]]=Data!$B$5),1,"")</f>
        <v/>
      </c>
      <c r="Q44" s="998" t="str">
        <f>IF(AND(Table2[[#This Row],[FROM]]&lt;&gt;"", Table2[[#This Row],[FROM]]=Data!$B$7),1,"")</f>
        <v/>
      </c>
      <c r="R44" s="998" t="str">
        <f>IF(AND(Table2[[#This Row],[LV3 or LV4 MAT NO.]]&lt;&gt;"", Table2[[#This Row],[LV3 or LV4 MAT NO.]]=Data!$B$8),1,"")</f>
        <v/>
      </c>
      <c r="S44" s="998"/>
      <c r="T44" s="998"/>
      <c r="U44" s="804" t="str">
        <f>IF(Table4[[#This Row],[Write "N" To Remove The Default]]="N","",IF(AND(COUNTA(Table2[[#This Row],[SEREAL NO.]:[REMARKS]])=SUM( L44:T44),SUM( L44:T44)&lt;&gt;0),Table2[[#This Row],[Instruction]],""))</f>
        <v/>
      </c>
      <c r="V44" s="804"/>
    </row>
    <row r="45" spans="5:22" x14ac:dyDescent="0.35">
      <c r="E45" s="1000" t="s">
        <v>2305</v>
      </c>
      <c r="F45" s="1000" t="s">
        <v>791</v>
      </c>
      <c r="I45" s="1000"/>
      <c r="J45" s="13" t="s">
        <v>2306</v>
      </c>
      <c r="L45" s="998" t="str">
        <f>IF(AND(Table2[[#This Row],[ORDER NO.]]&lt;&gt;"", Table2[[#This Row],[ORDER NO.]]=Data!$B$1),1,"")</f>
        <v/>
      </c>
      <c r="M45" s="998" t="str">
        <f>IFERROR(IF(AND(Table2[[#This Row],[SEREAL NO.]]&lt;&gt;"", Table2[[#This Row],[SEREAL NO.]]=Data!$A$103),1,""),"")</f>
        <v/>
      </c>
      <c r="N45" s="998" t="str">
        <f>IF(AND(Table2[[#This Row],[SIZE]]&lt;&gt;"", Table2[[#This Row],[SIZE]]=Data!$B$3),1,"")</f>
        <v/>
      </c>
      <c r="O45" s="998" t="str">
        <f>IF(AND(Table2[[#This Row],[TYPE]]&lt;&gt;"", Table2[[#This Row],[TYPE]]=Data!$B$4),1,"")</f>
        <v/>
      </c>
      <c r="P45" s="998" t="str">
        <f>IF(AND(Table2[[#This Row],[LV5 MAT NO.]]&lt;&gt;"", Table2[[#This Row],[LV5 MAT NO.]]=Data!$B$5),1,"")</f>
        <v/>
      </c>
      <c r="Q45" s="998" t="str">
        <f>IF(AND(Table2[[#This Row],[FROM]]&lt;&gt;"", Table2[[#This Row],[FROM]]=Data!$B$7),1,"")</f>
        <v/>
      </c>
      <c r="R45" s="998" t="str">
        <f>IF(AND(Table2[[#This Row],[LV3 or LV4 MAT NO.]]&lt;&gt;"", Table2[[#This Row],[LV3 or LV4 MAT NO.]]=Data!$B$8),1,"")</f>
        <v/>
      </c>
      <c r="S45" s="998"/>
      <c r="T45" s="998"/>
      <c r="U45" s="804" t="str">
        <f>IF(Table4[[#This Row],[Write "N" To Remove The Default]]="N","",IF(AND(COUNTA(Table2[[#This Row],[SEREAL NO.]:[REMARKS]])=SUM( L45:T45),SUM( L45:T45)&lt;&gt;0),Table2[[#This Row],[Instruction]],""))</f>
        <v/>
      </c>
      <c r="V45" s="804"/>
    </row>
    <row r="46" spans="5:22" x14ac:dyDescent="0.35">
      <c r="E46" s="1000">
        <v>1246680</v>
      </c>
      <c r="F46" s="1000" t="s">
        <v>2219</v>
      </c>
      <c r="I46" s="1000"/>
      <c r="J46" s="13" t="s">
        <v>2307</v>
      </c>
      <c r="L46" s="998" t="str">
        <f>IF(AND(Table2[[#This Row],[ORDER NO.]]&lt;&gt;"", Table2[[#This Row],[ORDER NO.]]=Data!$B$1),1,"")</f>
        <v/>
      </c>
      <c r="M46" s="998" t="str">
        <f>IFERROR(IF(AND(Table2[[#This Row],[SEREAL NO.]]&lt;&gt;"", Table2[[#This Row],[SEREAL NO.]]=Data!$A$103),1,""),"")</f>
        <v/>
      </c>
      <c r="N46" s="998" t="str">
        <f>IF(AND(Table2[[#This Row],[SIZE]]&lt;&gt;"", Table2[[#This Row],[SIZE]]=Data!$B$3),1,"")</f>
        <v/>
      </c>
      <c r="O46" s="998" t="str">
        <f>IF(AND(Table2[[#This Row],[TYPE]]&lt;&gt;"", Table2[[#This Row],[TYPE]]=Data!$B$4),1,"")</f>
        <v/>
      </c>
      <c r="P46" s="998" t="str">
        <f>IF(AND(Table2[[#This Row],[LV5 MAT NO.]]&lt;&gt;"", Table2[[#This Row],[LV5 MAT NO.]]=Data!$B$5),1,"")</f>
        <v/>
      </c>
      <c r="Q46" s="998" t="str">
        <f>IF(AND(Table2[[#This Row],[FROM]]&lt;&gt;"", Table2[[#This Row],[FROM]]=Data!$B$7),1,"")</f>
        <v/>
      </c>
      <c r="R46" s="998" t="str">
        <f>IF(AND(Table2[[#This Row],[LV3 or LV4 MAT NO.]]&lt;&gt;"", Table2[[#This Row],[LV3 or LV4 MAT NO.]]=Data!$B$8),1,"")</f>
        <v/>
      </c>
      <c r="S46" s="998"/>
      <c r="T46" s="998"/>
      <c r="U46" s="804" t="str">
        <f>IF(Table4[[#This Row],[Write "N" To Remove The Default]]="N","",IF(AND(COUNTA(Table2[[#This Row],[SEREAL NO.]:[REMARKS]])=SUM( L46:T46),SUM( L46:T46)&lt;&gt;0),Table2[[#This Row],[Instruction]],""))</f>
        <v/>
      </c>
      <c r="V46" s="804"/>
    </row>
    <row r="47" spans="5:22" x14ac:dyDescent="0.35">
      <c r="E47" s="1000">
        <v>1246680</v>
      </c>
      <c r="F47" s="1000" t="s">
        <v>2222</v>
      </c>
      <c r="I47" s="1000"/>
      <c r="J47" s="13" t="s">
        <v>2307</v>
      </c>
      <c r="L47" s="998" t="str">
        <f>IF(AND(Table2[[#This Row],[ORDER NO.]]&lt;&gt;"", Table2[[#This Row],[ORDER NO.]]=Data!$B$1),1,"")</f>
        <v/>
      </c>
      <c r="M47" s="998" t="str">
        <f>IFERROR(IF(AND(Table2[[#This Row],[SEREAL NO.]]&lt;&gt;"", Table2[[#This Row],[SEREAL NO.]]=Data!$A$103),1,""),"")</f>
        <v/>
      </c>
      <c r="N47" s="998" t="str">
        <f>IF(AND(Table2[[#This Row],[SIZE]]&lt;&gt;"", Table2[[#This Row],[SIZE]]=Data!$B$3),1,"")</f>
        <v/>
      </c>
      <c r="O47" s="998" t="str">
        <f>IF(AND(Table2[[#This Row],[TYPE]]&lt;&gt;"", Table2[[#This Row],[TYPE]]=Data!$B$4),1,"")</f>
        <v/>
      </c>
      <c r="P47" s="998" t="str">
        <f>IF(AND(Table2[[#This Row],[LV5 MAT NO.]]&lt;&gt;"", Table2[[#This Row],[LV5 MAT NO.]]=Data!$B$5),1,"")</f>
        <v/>
      </c>
      <c r="Q47" s="998" t="str">
        <f>IF(AND(Table2[[#This Row],[FROM]]&lt;&gt;"", Table2[[#This Row],[FROM]]=Data!$B$7),1,"")</f>
        <v/>
      </c>
      <c r="R47" s="998" t="str">
        <f>IF(AND(Table2[[#This Row],[LV3 or LV4 MAT NO.]]&lt;&gt;"", Table2[[#This Row],[LV3 or LV4 MAT NO.]]=Data!$B$8),1,"")</f>
        <v/>
      </c>
      <c r="S47" s="998"/>
      <c r="T47" s="998"/>
      <c r="U47" s="804" t="str">
        <f>IF(Table4[[#This Row],[Write "N" To Remove The Default]]="N","",IF(AND(COUNTA(Table2[[#This Row],[SEREAL NO.]:[REMARKS]])=SUM( L47:T47),SUM( L47:T47)&lt;&gt;0),Table2[[#This Row],[Instruction]],""))</f>
        <v/>
      </c>
      <c r="V47" s="804"/>
    </row>
    <row r="48" spans="5:22" x14ac:dyDescent="0.35">
      <c r="E48" s="1000">
        <v>1246680</v>
      </c>
      <c r="F48" s="1000" t="s">
        <v>791</v>
      </c>
      <c r="I48" s="1000"/>
      <c r="J48" s="13" t="s">
        <v>2307</v>
      </c>
      <c r="L48" s="998" t="str">
        <f>IF(AND(Table2[[#This Row],[ORDER NO.]]&lt;&gt;"", Table2[[#This Row],[ORDER NO.]]=Data!$B$1),1,"")</f>
        <v/>
      </c>
      <c r="M48" s="998" t="str">
        <f>IFERROR(IF(AND(Table2[[#This Row],[SEREAL NO.]]&lt;&gt;"", Table2[[#This Row],[SEREAL NO.]]=Data!$A$103),1,""),"")</f>
        <v/>
      </c>
      <c r="N48" s="998" t="str">
        <f>IF(AND(Table2[[#This Row],[SIZE]]&lt;&gt;"", Table2[[#This Row],[SIZE]]=Data!$B$3),1,"")</f>
        <v/>
      </c>
      <c r="O48" s="998" t="str">
        <f>IF(AND(Table2[[#This Row],[TYPE]]&lt;&gt;"", Table2[[#This Row],[TYPE]]=Data!$B$4),1,"")</f>
        <v/>
      </c>
      <c r="P48" s="998" t="str">
        <f>IF(AND(Table2[[#This Row],[LV5 MAT NO.]]&lt;&gt;"", Table2[[#This Row],[LV5 MAT NO.]]=Data!$B$5),1,"")</f>
        <v/>
      </c>
      <c r="Q48" s="998" t="str">
        <f>IF(AND(Table2[[#This Row],[FROM]]&lt;&gt;"", Table2[[#This Row],[FROM]]=Data!$B$7),1,"")</f>
        <v/>
      </c>
      <c r="R48" s="998" t="str">
        <f>IF(AND(Table2[[#This Row],[LV3 or LV4 MAT NO.]]&lt;&gt;"", Table2[[#This Row],[LV3 or LV4 MAT NO.]]=Data!$B$8),1,"")</f>
        <v/>
      </c>
      <c r="S48" s="998"/>
      <c r="T48" s="998"/>
      <c r="U48" s="804" t="str">
        <f>IF(Table4[[#This Row],[Write "N" To Remove The Default]]="N","",IF(AND(COUNTA(Table2[[#This Row],[SEREAL NO.]:[REMARKS]])=SUM( L48:T48),SUM( L48:T48)&lt;&gt;0),Table2[[#This Row],[Instruction]],""))</f>
        <v/>
      </c>
      <c r="V48" s="804"/>
    </row>
    <row r="49" spans="2:22" x14ac:dyDescent="0.35">
      <c r="E49" s="1000">
        <v>1267829</v>
      </c>
      <c r="F49" s="1000" t="s">
        <v>2311</v>
      </c>
      <c r="I49" s="1000"/>
      <c r="J49" s="13" t="s">
        <v>2327</v>
      </c>
      <c r="L49" s="998" t="str">
        <f>IF(AND(Table2[[#This Row],[ORDER NO.]]&lt;&gt;"", Table2[[#This Row],[ORDER NO.]]=Data!$B$1),1,"")</f>
        <v/>
      </c>
      <c r="M49" s="998" t="str">
        <f>IFERROR(IF(AND(Table2[[#This Row],[SEREAL NO.]]&lt;&gt;"", Table2[[#This Row],[SEREAL NO.]]=Data!$A$103),1,""),"")</f>
        <v/>
      </c>
      <c r="N49" s="998" t="str">
        <f>IF(AND(Table2[[#This Row],[SIZE]]&lt;&gt;"", Table2[[#This Row],[SIZE]]=Data!$B$3),1,"")</f>
        <v/>
      </c>
      <c r="O49" s="998" t="str">
        <f>IF(AND(Table2[[#This Row],[TYPE]]&lt;&gt;"", Table2[[#This Row],[TYPE]]=Data!$B$4),1,"")</f>
        <v/>
      </c>
      <c r="P49" s="998" t="str">
        <f>IF(AND(Table2[[#This Row],[LV5 MAT NO.]]&lt;&gt;"", Table2[[#This Row],[LV5 MAT NO.]]=Data!$B$5),1,"")</f>
        <v/>
      </c>
      <c r="Q49" s="998" t="str">
        <f>IF(AND(Table2[[#This Row],[FROM]]&lt;&gt;"", Table2[[#This Row],[FROM]]=Data!$B$7),1,"")</f>
        <v/>
      </c>
      <c r="R49" s="998" t="str">
        <f>IF(AND(Table2[[#This Row],[LV3 or LV4 MAT NO.]]&lt;&gt;"", Table2[[#This Row],[LV3 or LV4 MAT NO.]]=Data!$B$8),1,"")</f>
        <v/>
      </c>
      <c r="S49" s="998"/>
      <c r="T49" s="998"/>
      <c r="U49" s="804" t="str">
        <f>IF(Table4[[#This Row],[Write "N" To Remove The Default]]="N","",IF(AND(COUNTA(Table2[[#This Row],[SEREAL NO.]:[REMARKS]])=SUM( L49:T49),SUM( L49:T49)&lt;&gt;0),Table2[[#This Row],[Instruction]],""))</f>
        <v/>
      </c>
      <c r="V49" s="804" t="s">
        <v>2426</v>
      </c>
    </row>
    <row r="50" spans="2:22" x14ac:dyDescent="0.35">
      <c r="E50" s="1000">
        <v>1276939</v>
      </c>
      <c r="F50" s="1000" t="s">
        <v>2311</v>
      </c>
      <c r="I50" s="1000"/>
      <c r="J50" s="13" t="s">
        <v>2327</v>
      </c>
      <c r="L50" s="998" t="str">
        <f>IF(AND(Table2[[#This Row],[ORDER NO.]]&lt;&gt;"", Table2[[#This Row],[ORDER NO.]]=Data!$B$1),1,"")</f>
        <v/>
      </c>
      <c r="M50" s="998" t="str">
        <f>IFERROR(IF(AND(Table2[[#This Row],[SEREAL NO.]]&lt;&gt;"", Table2[[#This Row],[SEREAL NO.]]=Data!$A$103),1,""),"")</f>
        <v/>
      </c>
      <c r="N50" s="998" t="str">
        <f>IF(AND(Table2[[#This Row],[SIZE]]&lt;&gt;"", Table2[[#This Row],[SIZE]]=Data!$B$3),1,"")</f>
        <v/>
      </c>
      <c r="O50" s="998" t="str">
        <f>IF(AND(Table2[[#This Row],[TYPE]]&lt;&gt;"", Table2[[#This Row],[TYPE]]=Data!$B$4),1,"")</f>
        <v/>
      </c>
      <c r="P50" s="998" t="str">
        <f>IF(AND(Table2[[#This Row],[LV5 MAT NO.]]&lt;&gt;"", Table2[[#This Row],[LV5 MAT NO.]]=Data!$B$5),1,"")</f>
        <v/>
      </c>
      <c r="Q50" s="998" t="str">
        <f>IF(AND(Table2[[#This Row],[FROM]]&lt;&gt;"", Table2[[#This Row],[FROM]]=Data!$B$7),1,"")</f>
        <v/>
      </c>
      <c r="R50" s="998" t="str">
        <f>IF(AND(Table2[[#This Row],[LV3 or LV4 MAT NO.]]&lt;&gt;"", Table2[[#This Row],[LV3 or LV4 MAT NO.]]=Data!$B$8),1,"")</f>
        <v/>
      </c>
      <c r="S50" s="998"/>
      <c r="T50" s="998"/>
      <c r="U50" s="804" t="str">
        <f>IF(Table4[[#This Row],[Write "N" To Remove The Default]]="N","",IF(AND(COUNTA(Table2[[#This Row],[SEREAL NO.]:[REMARKS]])=SUM( L50:T50),SUM( L50:T50)&lt;&gt;0),Table2[[#This Row],[Instruction]],""))</f>
        <v/>
      </c>
      <c r="V50" s="804" t="s">
        <v>2426</v>
      </c>
    </row>
    <row r="51" spans="2:22" x14ac:dyDescent="0.35">
      <c r="E51" s="1000">
        <v>1255267</v>
      </c>
      <c r="F51" s="1000" t="s">
        <v>2311</v>
      </c>
      <c r="I51" s="1000"/>
      <c r="J51" s="13" t="s">
        <v>2327</v>
      </c>
      <c r="L51" s="998" t="str">
        <f>IF(AND(Table2[[#This Row],[ORDER NO.]]&lt;&gt;"", Table2[[#This Row],[ORDER NO.]]=Data!$B$1),1,"")</f>
        <v/>
      </c>
      <c r="M51" s="998" t="str">
        <f>IFERROR(IF(AND(Table2[[#This Row],[SEREAL NO.]]&lt;&gt;"", Table2[[#This Row],[SEREAL NO.]]=Data!$A$103),1,""),"")</f>
        <v/>
      </c>
      <c r="N51" s="998" t="str">
        <f>IF(AND(Table2[[#This Row],[SIZE]]&lt;&gt;"", Table2[[#This Row],[SIZE]]=Data!$B$3),1,"")</f>
        <v/>
      </c>
      <c r="O51" s="998" t="str">
        <f>IF(AND(Table2[[#This Row],[TYPE]]&lt;&gt;"", Table2[[#This Row],[TYPE]]=Data!$B$4),1,"")</f>
        <v/>
      </c>
      <c r="P51" s="998" t="str">
        <f>IF(AND(Table2[[#This Row],[LV5 MAT NO.]]&lt;&gt;"", Table2[[#This Row],[LV5 MAT NO.]]=Data!$B$5),1,"")</f>
        <v/>
      </c>
      <c r="Q51" s="998" t="str">
        <f>IF(AND(Table2[[#This Row],[FROM]]&lt;&gt;"", Table2[[#This Row],[FROM]]=Data!$B$7),1,"")</f>
        <v/>
      </c>
      <c r="R51" s="998" t="str">
        <f>IF(AND(Table2[[#This Row],[LV3 or LV4 MAT NO.]]&lt;&gt;"", Table2[[#This Row],[LV3 or LV4 MAT NO.]]=Data!$B$8),1,"")</f>
        <v/>
      </c>
      <c r="S51" s="998"/>
      <c r="T51" s="998"/>
      <c r="U51" s="804" t="str">
        <f>IF(Table4[[#This Row],[Write "N" To Remove The Default]]="N","",IF(AND(COUNTA(Table2[[#This Row],[SEREAL NO.]:[REMARKS]])=SUM( L51:T51),SUM( L51:T51)&lt;&gt;0),Table2[[#This Row],[Instruction]],""))</f>
        <v/>
      </c>
      <c r="V51" s="804" t="s">
        <v>2426</v>
      </c>
    </row>
    <row r="52" spans="2:22" x14ac:dyDescent="0.35">
      <c r="E52" s="1000" t="s">
        <v>2169</v>
      </c>
      <c r="F52" s="1000" t="s">
        <v>2311</v>
      </c>
      <c r="I52" s="1000"/>
      <c r="J52" s="13" t="s">
        <v>2327</v>
      </c>
      <c r="L52" s="998" t="str">
        <f>IF(AND(Table2[[#This Row],[ORDER NO.]]&lt;&gt;"", Table2[[#This Row],[ORDER NO.]]=Data!$B$1),1,"")</f>
        <v/>
      </c>
      <c r="M52" s="998" t="str">
        <f>IFERROR(IF(AND(Table2[[#This Row],[SEREAL NO.]]&lt;&gt;"", Table2[[#This Row],[SEREAL NO.]]=Data!$A$103),1,""),"")</f>
        <v/>
      </c>
      <c r="N52" s="998" t="str">
        <f>IF(AND(Table2[[#This Row],[SIZE]]&lt;&gt;"", Table2[[#This Row],[SIZE]]=Data!$B$3),1,"")</f>
        <v/>
      </c>
      <c r="O52" s="998" t="str">
        <f>IF(AND(Table2[[#This Row],[TYPE]]&lt;&gt;"", Table2[[#This Row],[TYPE]]=Data!$B$4),1,"")</f>
        <v/>
      </c>
      <c r="P52" s="998" t="str">
        <f>IF(AND(Table2[[#This Row],[LV5 MAT NO.]]&lt;&gt;"", Table2[[#This Row],[LV5 MAT NO.]]=Data!$B$5),1,"")</f>
        <v/>
      </c>
      <c r="Q52" s="998" t="str">
        <f>IF(AND(Table2[[#This Row],[FROM]]&lt;&gt;"", Table2[[#This Row],[FROM]]=Data!$B$7),1,"")</f>
        <v/>
      </c>
      <c r="R52" s="998" t="str">
        <f>IF(AND(Table2[[#This Row],[LV3 or LV4 MAT NO.]]&lt;&gt;"", Table2[[#This Row],[LV3 or LV4 MAT NO.]]=Data!$B$8),1,"")</f>
        <v/>
      </c>
      <c r="S52" s="998"/>
      <c r="T52" s="998"/>
      <c r="U52" s="804" t="str">
        <f>IF(Table4[[#This Row],[Write "N" To Remove The Default]]="N","",IF(AND(COUNTA(Table2[[#This Row],[SEREAL NO.]:[REMARKS]])=SUM( L52:T52),SUM( L52:T52)&lt;&gt;0),Table2[[#This Row],[Instruction]],""))</f>
        <v/>
      </c>
      <c r="V52" s="804" t="s">
        <v>2426</v>
      </c>
    </row>
    <row r="53" spans="2:22" x14ac:dyDescent="0.35">
      <c r="E53" s="1000" t="s">
        <v>2217</v>
      </c>
      <c r="F53" s="1000" t="s">
        <v>2311</v>
      </c>
      <c r="I53" s="1000"/>
      <c r="J53" s="13" t="s">
        <v>2327</v>
      </c>
      <c r="L53" s="998" t="str">
        <f>IF(AND(Table2[[#This Row],[ORDER NO.]]&lt;&gt;"", Table2[[#This Row],[ORDER NO.]]=Data!$B$1),1,"")</f>
        <v/>
      </c>
      <c r="M53" s="998" t="str">
        <f>IFERROR(IF(AND(Table2[[#This Row],[SEREAL NO.]]&lt;&gt;"", Table2[[#This Row],[SEREAL NO.]]=Data!$A$103),1,""),"")</f>
        <v/>
      </c>
      <c r="N53" s="998" t="str">
        <f>IF(AND(Table2[[#This Row],[SIZE]]&lt;&gt;"", Table2[[#This Row],[SIZE]]=Data!$B$3),1,"")</f>
        <v/>
      </c>
      <c r="O53" s="998" t="str">
        <f>IF(AND(Table2[[#This Row],[TYPE]]&lt;&gt;"", Table2[[#This Row],[TYPE]]=Data!$B$4),1,"")</f>
        <v/>
      </c>
      <c r="P53" s="998" t="str">
        <f>IF(AND(Table2[[#This Row],[LV5 MAT NO.]]&lt;&gt;"", Table2[[#This Row],[LV5 MAT NO.]]=Data!$B$5),1,"")</f>
        <v/>
      </c>
      <c r="Q53" s="998" t="str">
        <f>IF(AND(Table2[[#This Row],[FROM]]&lt;&gt;"", Table2[[#This Row],[FROM]]=Data!$B$7),1,"")</f>
        <v/>
      </c>
      <c r="R53" s="998" t="str">
        <f>IF(AND(Table2[[#This Row],[LV3 or LV4 MAT NO.]]&lt;&gt;"", Table2[[#This Row],[LV3 or LV4 MAT NO.]]=Data!$B$8),1,"")</f>
        <v/>
      </c>
      <c r="S53" s="998"/>
      <c r="T53" s="998"/>
      <c r="U53" s="804" t="str">
        <f>IF(Table4[[#This Row],[Write "N" To Remove The Default]]="N","",IF(AND(COUNTA(Table2[[#This Row],[SEREAL NO.]:[REMARKS]])=SUM( L53:T53),SUM( L53:T53)&lt;&gt;0),Table2[[#This Row],[Instruction]],""))</f>
        <v/>
      </c>
      <c r="V53" s="804" t="s">
        <v>2426</v>
      </c>
    </row>
    <row r="54" spans="2:22" x14ac:dyDescent="0.35">
      <c r="E54" s="1000" t="s">
        <v>2144</v>
      </c>
      <c r="F54" s="1000" t="s">
        <v>2311</v>
      </c>
      <c r="I54" s="1000"/>
      <c r="J54" s="13" t="s">
        <v>2327</v>
      </c>
      <c r="L54" s="998" t="str">
        <f>IF(AND(Table2[[#This Row],[ORDER NO.]]&lt;&gt;"", Table2[[#This Row],[ORDER NO.]]=Data!$B$1),1,"")</f>
        <v/>
      </c>
      <c r="M54" s="998" t="str">
        <f>IFERROR(IF(AND(Table2[[#This Row],[SEREAL NO.]]&lt;&gt;"", Table2[[#This Row],[SEREAL NO.]]=Data!$A$103),1,""),"")</f>
        <v/>
      </c>
      <c r="N54" s="998" t="str">
        <f>IF(AND(Table2[[#This Row],[SIZE]]&lt;&gt;"", Table2[[#This Row],[SIZE]]=Data!$B$3),1,"")</f>
        <v/>
      </c>
      <c r="O54" s="998" t="str">
        <f>IF(AND(Table2[[#This Row],[TYPE]]&lt;&gt;"", Table2[[#This Row],[TYPE]]=Data!$B$4),1,"")</f>
        <v/>
      </c>
      <c r="P54" s="998" t="str">
        <f>IF(AND(Table2[[#This Row],[LV5 MAT NO.]]&lt;&gt;"", Table2[[#This Row],[LV5 MAT NO.]]=Data!$B$5),1,"")</f>
        <v/>
      </c>
      <c r="Q54" s="998" t="str">
        <f>IF(AND(Table2[[#This Row],[FROM]]&lt;&gt;"", Table2[[#This Row],[FROM]]=Data!$B$7),1,"")</f>
        <v/>
      </c>
      <c r="R54" s="998" t="str">
        <f>IF(AND(Table2[[#This Row],[LV3 or LV4 MAT NO.]]&lt;&gt;"", Table2[[#This Row],[LV3 or LV4 MAT NO.]]=Data!$B$8),1,"")</f>
        <v/>
      </c>
      <c r="S54" s="998"/>
      <c r="T54" s="998"/>
      <c r="U54" s="804" t="str">
        <f>IF(Table4[[#This Row],[Write "N" To Remove The Default]]="N","",IF(AND(COUNTA(Table2[[#This Row],[SEREAL NO.]:[REMARKS]])=SUM( L54:T54),SUM( L54:T54)&lt;&gt;0),Table2[[#This Row],[Instruction]],""))</f>
        <v/>
      </c>
      <c r="V54" s="804" t="s">
        <v>2426</v>
      </c>
    </row>
    <row r="55" spans="2:22" x14ac:dyDescent="0.35">
      <c r="E55" s="1000" t="s">
        <v>2324</v>
      </c>
      <c r="F55" s="1000" t="s">
        <v>2311</v>
      </c>
      <c r="I55" s="1000"/>
      <c r="J55" s="13" t="s">
        <v>2327</v>
      </c>
      <c r="L55" s="998" t="str">
        <f>IF(AND(Table2[[#This Row],[ORDER NO.]]&lt;&gt;"", Table2[[#This Row],[ORDER NO.]]=Data!$B$1),1,"")</f>
        <v/>
      </c>
      <c r="M55" s="998" t="str">
        <f>IFERROR(IF(AND(Table2[[#This Row],[SEREAL NO.]]&lt;&gt;"", Table2[[#This Row],[SEREAL NO.]]=Data!$A$103),1,""),"")</f>
        <v/>
      </c>
      <c r="N55" s="998" t="str">
        <f>IF(AND(Table2[[#This Row],[SIZE]]&lt;&gt;"", Table2[[#This Row],[SIZE]]=Data!$B$3),1,"")</f>
        <v/>
      </c>
      <c r="O55" s="998" t="str">
        <f>IF(AND(Table2[[#This Row],[TYPE]]&lt;&gt;"", Table2[[#This Row],[TYPE]]=Data!$B$4),1,"")</f>
        <v/>
      </c>
      <c r="P55" s="998" t="str">
        <f>IF(AND(Table2[[#This Row],[LV5 MAT NO.]]&lt;&gt;"", Table2[[#This Row],[LV5 MAT NO.]]=Data!$B$5),1,"")</f>
        <v/>
      </c>
      <c r="Q55" s="998" t="str">
        <f>IF(AND(Table2[[#This Row],[FROM]]&lt;&gt;"", Table2[[#This Row],[FROM]]=Data!$B$7),1,"")</f>
        <v/>
      </c>
      <c r="R55" s="998" t="str">
        <f>IF(AND(Table2[[#This Row],[LV3 or LV4 MAT NO.]]&lt;&gt;"", Table2[[#This Row],[LV3 or LV4 MAT NO.]]=Data!$B$8),1,"")</f>
        <v/>
      </c>
      <c r="S55" s="998"/>
      <c r="T55" s="998"/>
      <c r="U55" s="804" t="str">
        <f>IF(Table4[[#This Row],[Write "N" To Remove The Default]]="N","",IF(AND(COUNTA(Table2[[#This Row],[SEREAL NO.]:[REMARKS]])=SUM( L55:T55),SUM( L55:T55)&lt;&gt;0),Table2[[#This Row],[Instruction]],""))</f>
        <v/>
      </c>
      <c r="V55" s="804" t="s">
        <v>2426</v>
      </c>
    </row>
    <row r="56" spans="2:22" x14ac:dyDescent="0.35">
      <c r="E56" s="1000" t="s">
        <v>2325</v>
      </c>
      <c r="F56" s="1000" t="s">
        <v>2311</v>
      </c>
      <c r="I56" s="1000"/>
      <c r="J56" s="13" t="s">
        <v>2327</v>
      </c>
      <c r="L56" s="998" t="str">
        <f>IF(AND(Table2[[#This Row],[ORDER NO.]]&lt;&gt;"", Table2[[#This Row],[ORDER NO.]]=Data!$B$1),1,"")</f>
        <v/>
      </c>
      <c r="M56" s="998" t="str">
        <f>IFERROR(IF(AND(Table2[[#This Row],[SEREAL NO.]]&lt;&gt;"", Table2[[#This Row],[SEREAL NO.]]=Data!$A$103),1,""),"")</f>
        <v/>
      </c>
      <c r="N56" s="998" t="str">
        <f>IF(AND(Table2[[#This Row],[SIZE]]&lt;&gt;"", Table2[[#This Row],[SIZE]]=Data!$B$3),1,"")</f>
        <v/>
      </c>
      <c r="O56" s="998" t="str">
        <f>IF(AND(Table2[[#This Row],[TYPE]]&lt;&gt;"", Table2[[#This Row],[TYPE]]=Data!$B$4),1,"")</f>
        <v/>
      </c>
      <c r="P56" s="998" t="str">
        <f>IF(AND(Table2[[#This Row],[LV5 MAT NO.]]&lt;&gt;"", Table2[[#This Row],[LV5 MAT NO.]]=Data!$B$5),1,"")</f>
        <v/>
      </c>
      <c r="Q56" s="998" t="str">
        <f>IF(AND(Table2[[#This Row],[FROM]]&lt;&gt;"", Table2[[#This Row],[FROM]]=Data!$B$7),1,"")</f>
        <v/>
      </c>
      <c r="R56" s="998" t="str">
        <f>IF(AND(Table2[[#This Row],[LV3 or LV4 MAT NO.]]&lt;&gt;"", Table2[[#This Row],[LV3 or LV4 MAT NO.]]=Data!$B$8),1,"")</f>
        <v/>
      </c>
      <c r="S56" s="998"/>
      <c r="T56" s="998"/>
      <c r="U56" s="804" t="str">
        <f>IF(Table4[[#This Row],[Write "N" To Remove The Default]]="N","",IF(AND(COUNTA(Table2[[#This Row],[SEREAL NO.]:[REMARKS]])=SUM( L56:T56),SUM( L56:T56)&lt;&gt;0),Table2[[#This Row],[Instruction]],""))</f>
        <v/>
      </c>
      <c r="V56" s="804" t="s">
        <v>2426</v>
      </c>
    </row>
    <row r="57" spans="2:22" x14ac:dyDescent="0.35">
      <c r="E57" s="1000" t="s">
        <v>2326</v>
      </c>
      <c r="F57" s="1000" t="s">
        <v>2311</v>
      </c>
      <c r="I57" s="1000"/>
      <c r="J57" s="13" t="s">
        <v>2327</v>
      </c>
      <c r="L57" s="998" t="str">
        <f>IF(AND(Table2[[#This Row],[ORDER NO.]]&lt;&gt;"", Table2[[#This Row],[ORDER NO.]]=Data!$B$1),1,"")</f>
        <v/>
      </c>
      <c r="M57" s="998" t="str">
        <f>IFERROR(IF(AND(Table2[[#This Row],[SEREAL NO.]]&lt;&gt;"", Table2[[#This Row],[SEREAL NO.]]=Data!$A$103),1,""),"")</f>
        <v/>
      </c>
      <c r="N57" s="998" t="str">
        <f>IF(AND(Table2[[#This Row],[SIZE]]&lt;&gt;"", Table2[[#This Row],[SIZE]]=Data!$B$3),1,"")</f>
        <v/>
      </c>
      <c r="O57" s="998" t="str">
        <f>IF(AND(Table2[[#This Row],[TYPE]]&lt;&gt;"", Table2[[#This Row],[TYPE]]=Data!$B$4),1,"")</f>
        <v/>
      </c>
      <c r="P57" s="998" t="str">
        <f>IF(AND(Table2[[#This Row],[LV5 MAT NO.]]&lt;&gt;"", Table2[[#This Row],[LV5 MAT NO.]]=Data!$B$5),1,"")</f>
        <v/>
      </c>
      <c r="Q57" s="998" t="str">
        <f>IF(AND(Table2[[#This Row],[FROM]]&lt;&gt;"", Table2[[#This Row],[FROM]]=Data!$B$7),1,"")</f>
        <v/>
      </c>
      <c r="R57" s="998" t="str">
        <f>IF(AND(Table2[[#This Row],[LV3 or LV4 MAT NO.]]&lt;&gt;"", Table2[[#This Row],[LV3 or LV4 MAT NO.]]=Data!$B$8),1,"")</f>
        <v/>
      </c>
      <c r="S57" s="998"/>
      <c r="T57" s="998"/>
      <c r="U57" s="804" t="str">
        <f>IF(Table4[[#This Row],[Write "N" To Remove The Default]]="N","",IF(AND(COUNTA(Table2[[#This Row],[SEREAL NO.]:[REMARKS]])=SUM( L57:T57),SUM( L57:T57)&lt;&gt;0),Table2[[#This Row],[Instruction]],""))</f>
        <v/>
      </c>
      <c r="V57" s="804" t="s">
        <v>2426</v>
      </c>
    </row>
    <row r="58" spans="2:22" x14ac:dyDescent="0.35">
      <c r="B58" s="1000" t="s">
        <v>2428</v>
      </c>
      <c r="F58" s="1000" t="s">
        <v>2311</v>
      </c>
      <c r="I58" s="1000"/>
      <c r="J58" s="13" t="s">
        <v>2429</v>
      </c>
      <c r="L58" s="998" t="str">
        <f>IF(AND(Table2[[#This Row],[ORDER NO.]]&lt;&gt;"", Table2[[#This Row],[ORDER NO.]]=Data!$B$1),1,"")</f>
        <v/>
      </c>
      <c r="M58" s="998">
        <f>IFERROR(IF(OR(AND(Table2[[#This Row],[SEREAL NO.]]&lt;&gt;"", Table2[[#This Row],[SEREAL NO.]]=Data!$A$103),
       AND(ISNUMBER(VALUE(LEFT(Data!$B$2,8))), MID(Data!$B$2,9,1)="R", RIGHT(Data!B2,1)="3")),
   1, 0),"")</f>
        <v>0</v>
      </c>
      <c r="N58" s="998" t="str">
        <f>IF(AND(Table2[[#This Row],[SIZE]]&lt;&gt;"", Table2[[#This Row],[SIZE]]=Data!$B$3),1,"")</f>
        <v/>
      </c>
      <c r="O58" s="998" t="str">
        <f>IF(AND(Table2[[#This Row],[TYPE]]&lt;&gt;"", Table2[[#This Row],[TYPE]]=Data!$B$4),1,"")</f>
        <v/>
      </c>
      <c r="P58" s="998" t="str">
        <f>IF(AND(Table2[[#This Row],[LV5 MAT NO.]]&lt;&gt;"", Table2[[#This Row],[LV5 MAT NO.]]=Data!$B$5),1,"")</f>
        <v/>
      </c>
      <c r="Q58" s="998" t="str">
        <f>IF(AND(Table2[[#This Row],[FROM]]&lt;&gt;"", Table2[[#This Row],[FROM]]=Data!$B$7),1,"")</f>
        <v/>
      </c>
      <c r="R58" s="998" t="str">
        <f>IF(AND(Table2[[#This Row],[LV3 or LV4 MAT NO.]]&lt;&gt;"", Table2[[#This Row],[LV3 or LV4 MAT NO.]]=Data!$B$8),1,"")</f>
        <v/>
      </c>
      <c r="S58" s="998"/>
      <c r="T58" s="998"/>
      <c r="U58" s="804" t="str">
        <f>IF(Table4[[#This Row],[Write "N" To Remove The Default]]="N","",IF(AND(COUNTA(Table2[[#This Row],[SEREAL NO.]:[REMARKS]])=SUM( L58:T58),SUM( L58:T58)&lt;&gt;0),Table2[[#This Row],[Instruction]],""))</f>
        <v/>
      </c>
      <c r="V58" s="804"/>
    </row>
    <row r="59" spans="2:22" x14ac:dyDescent="0.35">
      <c r="I59" s="1000"/>
      <c r="L59" s="998" t="str">
        <f>IF(AND(Table2[[#This Row],[ORDER NO.]]&lt;&gt;"", Table2[[#This Row],[ORDER NO.]]=Data!$B$1),1,"")</f>
        <v/>
      </c>
      <c r="M59" s="998" t="str">
        <f>IFERROR(IF(AND(Table2[[#This Row],[SEREAL NO.]]&lt;&gt;"", Table2[[#This Row],[SEREAL NO.]]=Data!$A$103),1,""),"")</f>
        <v/>
      </c>
      <c r="N59" s="998" t="str">
        <f>IF(AND(Table2[[#This Row],[SIZE]]&lt;&gt;"", Table2[[#This Row],[SIZE]]=Data!$B$3),1,"")</f>
        <v/>
      </c>
      <c r="O59" s="998" t="str">
        <f>IF(AND(Table2[[#This Row],[TYPE]]&lt;&gt;"", Table2[[#This Row],[TYPE]]=Data!$B$4),1,"")</f>
        <v/>
      </c>
      <c r="P59" s="998" t="str">
        <f>IF(AND(Table2[[#This Row],[LV5 MAT NO.]]&lt;&gt;"", Table2[[#This Row],[LV5 MAT NO.]]=Data!$B$5),1,"")</f>
        <v/>
      </c>
      <c r="Q59" s="998" t="str">
        <f>IF(AND(Table2[[#This Row],[FROM]]&lt;&gt;"", Table2[[#This Row],[FROM]]=Data!$B$7),1,"")</f>
        <v/>
      </c>
      <c r="R59" s="998" t="str">
        <f>IF(AND(Table2[[#This Row],[LV3 or LV4 MAT NO.]]&lt;&gt;"", Table2[[#This Row],[LV3 or LV4 MAT NO.]]=Data!$B$8),1,"")</f>
        <v/>
      </c>
      <c r="S59" s="998"/>
      <c r="T59" s="998"/>
      <c r="U59" s="804" t="str">
        <f>IF(Table4[[#This Row],[Write "N" To Remove The Default]]="N","",IF(AND(COUNTA(Table2[[#This Row],[SEREAL NO.]:[REMARKS]])=SUM( L59:T59),SUM( L59:T59)&lt;&gt;0),Table2[[#This Row],[Instruction]],""))</f>
        <v/>
      </c>
      <c r="V59" s="804"/>
    </row>
    <row r="60" spans="2:22" x14ac:dyDescent="0.35">
      <c r="I60" s="1000"/>
      <c r="L60" s="998" t="str">
        <f>IF(AND(Table2[[#This Row],[ORDER NO.]]&lt;&gt;"", Table2[[#This Row],[ORDER NO.]]=Data!$B$1),1,"")</f>
        <v/>
      </c>
      <c r="M60" s="998" t="str">
        <f>IFERROR(IF(AND(Table2[[#This Row],[SEREAL NO.]]&lt;&gt;"", Table2[[#This Row],[SEREAL NO.]]=Data!$A$103),1,""),"")</f>
        <v/>
      </c>
      <c r="N60" s="998" t="str">
        <f>IF(AND(Table2[[#This Row],[SIZE]]&lt;&gt;"", Table2[[#This Row],[SIZE]]=Data!$B$3),1,"")</f>
        <v/>
      </c>
      <c r="O60" s="998" t="str">
        <f>IF(AND(Table2[[#This Row],[TYPE]]&lt;&gt;"", Table2[[#This Row],[TYPE]]=Data!$B$4),1,"")</f>
        <v/>
      </c>
      <c r="P60" s="998" t="str">
        <f>IF(AND(Table2[[#This Row],[LV5 MAT NO.]]&lt;&gt;"", Table2[[#This Row],[LV5 MAT NO.]]=Data!$B$5),1,"")</f>
        <v/>
      </c>
      <c r="Q60" s="998" t="str">
        <f>IF(AND(Table2[[#This Row],[FROM]]&lt;&gt;"", Table2[[#This Row],[FROM]]=Data!$B$7),1,"")</f>
        <v/>
      </c>
      <c r="R60" s="998" t="str">
        <f>IF(AND(Table2[[#This Row],[LV3 or LV4 MAT NO.]]&lt;&gt;"", Table2[[#This Row],[LV3 or LV4 MAT NO.]]=Data!$B$8),1,"")</f>
        <v/>
      </c>
      <c r="S60" s="998"/>
      <c r="T60" s="998"/>
      <c r="U60" s="804" t="str">
        <f>IF(Table4[[#This Row],[Write "N" To Remove The Default]]="N","",IF(AND(COUNTA(Table2[[#This Row],[SEREAL NO.]:[REMARKS]])=SUM( L60:T60),SUM( L60:T60)&lt;&gt;0),Table2[[#This Row],[Instruction]],""))</f>
        <v/>
      </c>
      <c r="V60" s="804"/>
    </row>
    <row r="61" spans="2:22" x14ac:dyDescent="0.35">
      <c r="I61" s="1000"/>
      <c r="L61" s="998" t="str">
        <f>IF(AND(Table2[[#This Row],[ORDER NO.]]&lt;&gt;"", Table2[[#This Row],[ORDER NO.]]=Data!$B$1),1,"")</f>
        <v/>
      </c>
      <c r="M61" s="998" t="str">
        <f>IFERROR(IF(AND(Table2[[#This Row],[SEREAL NO.]]&lt;&gt;"", Table2[[#This Row],[SEREAL NO.]]=Data!$A$103),1,""),"")</f>
        <v/>
      </c>
      <c r="N61" s="998" t="str">
        <f>IF(AND(Table2[[#This Row],[SIZE]]&lt;&gt;"", Table2[[#This Row],[SIZE]]=Data!$B$3),1,"")</f>
        <v/>
      </c>
      <c r="O61" s="998" t="str">
        <f>IF(AND(Table2[[#This Row],[TYPE]]&lt;&gt;"", Table2[[#This Row],[TYPE]]=Data!$B$4),1,"")</f>
        <v/>
      </c>
      <c r="P61" s="998" t="str">
        <f>IF(AND(Table2[[#This Row],[LV5 MAT NO.]]&lt;&gt;"", Table2[[#This Row],[LV5 MAT NO.]]=Data!$B$5),1,"")</f>
        <v/>
      </c>
      <c r="Q61" s="998" t="str">
        <f>IF(AND(Table2[[#This Row],[FROM]]&lt;&gt;"", Table2[[#This Row],[FROM]]=Data!$B$7),1,"")</f>
        <v/>
      </c>
      <c r="R61" s="998" t="str">
        <f>IF(AND(Table2[[#This Row],[LV3 or LV4 MAT NO.]]&lt;&gt;"", Table2[[#This Row],[LV3 or LV4 MAT NO.]]=Data!$B$8),1,"")</f>
        <v/>
      </c>
      <c r="S61" s="998"/>
      <c r="T61" s="998"/>
      <c r="U61" s="804" t="str">
        <f>IF(Table4[[#This Row],[Write "N" To Remove The Default]]="N","",IF(AND(COUNTA(Table2[[#This Row],[SEREAL NO.]:[REMARKS]])=SUM( L61:T61),SUM( L61:T61)&lt;&gt;0),Table2[[#This Row],[Instruction]],""))</f>
        <v/>
      </c>
      <c r="V61" s="804"/>
    </row>
    <row r="62" spans="2:22" x14ac:dyDescent="0.35">
      <c r="I62" s="1000"/>
      <c r="L62" s="998" t="str">
        <f>IF(AND(Table2[[#This Row],[ORDER NO.]]&lt;&gt;"", Table2[[#This Row],[ORDER NO.]]=Data!$B$1),1,"")</f>
        <v/>
      </c>
      <c r="M62" s="998" t="str">
        <f>IFERROR(IF(AND(Table2[[#This Row],[SEREAL NO.]]&lt;&gt;"", Table2[[#This Row],[SEREAL NO.]]=Data!$A$103),1,""),"")</f>
        <v/>
      </c>
      <c r="N62" s="998" t="str">
        <f>IF(AND(Table2[[#This Row],[SIZE]]&lt;&gt;"", Table2[[#This Row],[SIZE]]=Data!$B$3),1,"")</f>
        <v/>
      </c>
      <c r="O62" s="998" t="str">
        <f>IF(AND(Table2[[#This Row],[TYPE]]&lt;&gt;"", Table2[[#This Row],[TYPE]]=Data!$B$4),1,"")</f>
        <v/>
      </c>
      <c r="P62" s="998" t="str">
        <f>IF(AND(Table2[[#This Row],[LV5 MAT NO.]]&lt;&gt;"", Table2[[#This Row],[LV5 MAT NO.]]=Data!$B$5),1,"")</f>
        <v/>
      </c>
      <c r="Q62" s="998" t="str">
        <f>IF(AND(Table2[[#This Row],[FROM]]&lt;&gt;"", Table2[[#This Row],[FROM]]=Data!$B$7),1,"")</f>
        <v/>
      </c>
      <c r="R62" s="998" t="str">
        <f>IF(AND(Table2[[#This Row],[LV3 or LV4 MAT NO.]]&lt;&gt;"", Table2[[#This Row],[LV3 or LV4 MAT NO.]]=Data!$B$8),1,"")</f>
        <v/>
      </c>
      <c r="S62" s="998"/>
      <c r="T62" s="998"/>
      <c r="U62" s="804" t="str">
        <f>IF(Table4[[#This Row],[Write "N" To Remove The Default]]="N","",IF(AND(COUNTA(Table2[[#This Row],[SEREAL NO.]:[REMARKS]])=SUM( L62:T62),SUM( L62:T62)&lt;&gt;0),Table2[[#This Row],[Instruction]],""))</f>
        <v/>
      </c>
      <c r="V62" s="804"/>
    </row>
    <row r="63" spans="2:22" x14ac:dyDescent="0.35">
      <c r="I63" s="1000"/>
      <c r="L63" s="998" t="str">
        <f>IF(AND(Table2[[#This Row],[ORDER NO.]]&lt;&gt;"", Table2[[#This Row],[ORDER NO.]]=Data!$B$1),1,"")</f>
        <v/>
      </c>
      <c r="M63" s="998" t="str">
        <f>IFERROR(IF(AND(Table2[[#This Row],[SEREAL NO.]]&lt;&gt;"", Table2[[#This Row],[SEREAL NO.]]=Data!$A$103),1,""),"")</f>
        <v/>
      </c>
      <c r="N63" s="998" t="str">
        <f>IF(AND(Table2[[#This Row],[SIZE]]&lt;&gt;"", Table2[[#This Row],[SIZE]]=Data!$B$3),1,"")</f>
        <v/>
      </c>
      <c r="O63" s="998" t="str">
        <f>IF(AND(Table2[[#This Row],[TYPE]]&lt;&gt;"", Table2[[#This Row],[TYPE]]=Data!$B$4),1,"")</f>
        <v/>
      </c>
      <c r="P63" s="998" t="str">
        <f>IF(AND(Table2[[#This Row],[LV5 MAT NO.]]&lt;&gt;"", Table2[[#This Row],[LV5 MAT NO.]]=Data!$B$5),1,"")</f>
        <v/>
      </c>
      <c r="Q63" s="998" t="str">
        <f>IF(AND(Table2[[#This Row],[FROM]]&lt;&gt;"", Table2[[#This Row],[FROM]]=Data!$B$7),1,"")</f>
        <v/>
      </c>
      <c r="R63" s="998" t="str">
        <f>IF(AND(Table2[[#This Row],[LV3 or LV4 MAT NO.]]&lt;&gt;"", Table2[[#This Row],[LV3 or LV4 MAT NO.]]=Data!$B$8),1,"")</f>
        <v/>
      </c>
      <c r="S63" s="998"/>
      <c r="T63" s="998"/>
      <c r="U63" s="804" t="str">
        <f>IF(Table4[[#This Row],[Write "N" To Remove The Default]]="N","",IF(AND(COUNTA(Table2[[#This Row],[SEREAL NO.]:[REMARKS]])=SUM( L63:T63),SUM( L63:T63)&lt;&gt;0),Table2[[#This Row],[Instruction]],""))</f>
        <v/>
      </c>
      <c r="V63" s="804"/>
    </row>
    <row r="64" spans="2:22" x14ac:dyDescent="0.35">
      <c r="I64" s="1000"/>
      <c r="L64" s="998" t="str">
        <f>IF(AND(Table2[[#This Row],[ORDER NO.]]&lt;&gt;"", Table2[[#This Row],[ORDER NO.]]=Data!$B$1),1,"")</f>
        <v/>
      </c>
      <c r="M64" s="998" t="str">
        <f>IFERROR(IF(AND(Table2[[#This Row],[SEREAL NO.]]&lt;&gt;"", Table2[[#This Row],[SEREAL NO.]]=Data!$A$103),1,""),"")</f>
        <v/>
      </c>
      <c r="N64" s="998" t="str">
        <f>IF(AND(Table2[[#This Row],[SIZE]]&lt;&gt;"", Table2[[#This Row],[SIZE]]=Data!$B$3),1,"")</f>
        <v/>
      </c>
      <c r="O64" s="998" t="str">
        <f>IF(AND(Table2[[#This Row],[TYPE]]&lt;&gt;"", Table2[[#This Row],[TYPE]]=Data!$B$4),1,"")</f>
        <v/>
      </c>
      <c r="P64" s="998" t="str">
        <f>IF(AND(Table2[[#This Row],[LV5 MAT NO.]]&lt;&gt;"", Table2[[#This Row],[LV5 MAT NO.]]=Data!$B$5),1,"")</f>
        <v/>
      </c>
      <c r="Q64" s="998" t="str">
        <f>IF(AND(Table2[[#This Row],[FROM]]&lt;&gt;"", Table2[[#This Row],[FROM]]=Data!$B$7),1,"")</f>
        <v/>
      </c>
      <c r="R64" s="998" t="str">
        <f>IF(AND(Table2[[#This Row],[LV3 or LV4 MAT NO.]]&lt;&gt;"", Table2[[#This Row],[LV3 or LV4 MAT NO.]]=Data!$B$8),1,"")</f>
        <v/>
      </c>
      <c r="S64" s="998"/>
      <c r="T64" s="998"/>
      <c r="U64" s="804" t="str">
        <f>IF(Table4[[#This Row],[Write "N" To Remove The Default]]="N","",IF(AND(COUNTA(Table2[[#This Row],[SEREAL NO.]:[REMARKS]])=SUM( L64:T64),SUM( L64:T64)&lt;&gt;0),Table2[[#This Row],[Instruction]],""))</f>
        <v/>
      </c>
      <c r="V64" s="804"/>
    </row>
    <row r="65" spans="9:22" x14ac:dyDescent="0.35">
      <c r="I65" s="1000"/>
      <c r="L65" s="998" t="str">
        <f>IF(AND(Table2[[#This Row],[ORDER NO.]]&lt;&gt;"", Table2[[#This Row],[ORDER NO.]]=Data!$B$1),1,"")</f>
        <v/>
      </c>
      <c r="M65" s="998" t="str">
        <f>IFERROR(IF(AND(Table2[[#This Row],[SEREAL NO.]]&lt;&gt;"", Table2[[#This Row],[SEREAL NO.]]=Data!$A$103),1,""),"")</f>
        <v/>
      </c>
      <c r="N65" s="998" t="str">
        <f>IF(AND(Table2[[#This Row],[SIZE]]&lt;&gt;"", Table2[[#This Row],[SIZE]]=Data!$B$3),1,"")</f>
        <v/>
      </c>
      <c r="O65" s="998" t="str">
        <f>IF(AND(Table2[[#This Row],[TYPE]]&lt;&gt;"", Table2[[#This Row],[TYPE]]=Data!$B$4),1,"")</f>
        <v/>
      </c>
      <c r="P65" s="998" t="str">
        <f>IF(AND(Table2[[#This Row],[LV5 MAT NO.]]&lt;&gt;"", Table2[[#This Row],[LV5 MAT NO.]]=Data!$B$5),1,"")</f>
        <v/>
      </c>
      <c r="Q65" s="998" t="str">
        <f>IF(AND(Table2[[#This Row],[FROM]]&lt;&gt;"", Table2[[#This Row],[FROM]]=Data!$B$7),1,"")</f>
        <v/>
      </c>
      <c r="R65" s="998" t="str">
        <f>IF(AND(Table2[[#This Row],[LV3 or LV4 MAT NO.]]&lt;&gt;"", Table2[[#This Row],[LV3 or LV4 MAT NO.]]=Data!$B$8),1,"")</f>
        <v/>
      </c>
      <c r="S65" s="998"/>
      <c r="T65" s="998"/>
      <c r="U65" s="804" t="str">
        <f>IF(Table4[[#This Row],[Write "N" To Remove The Default]]="N","",IF(AND(COUNTA(Table2[[#This Row],[SEREAL NO.]:[REMARKS]])=SUM( L65:T65),SUM( L65:T65)&lt;&gt;0),Table2[[#This Row],[Instruction]],""))</f>
        <v/>
      </c>
      <c r="V65" s="804"/>
    </row>
    <row r="66" spans="9:22" x14ac:dyDescent="0.35">
      <c r="I66" s="1000"/>
      <c r="L66" s="998" t="str">
        <f>IF(AND(Table2[[#This Row],[ORDER NO.]]&lt;&gt;"", Table2[[#This Row],[ORDER NO.]]=Data!$B$1),1,"")</f>
        <v/>
      </c>
      <c r="M66" s="998" t="str">
        <f>IFERROR(IF(AND(Table2[[#This Row],[SEREAL NO.]]&lt;&gt;"", Table2[[#This Row],[SEREAL NO.]]=Data!$A$103),1,""),"")</f>
        <v/>
      </c>
      <c r="N66" s="998" t="str">
        <f>IF(AND(Table2[[#This Row],[SIZE]]&lt;&gt;"", Table2[[#This Row],[SIZE]]=Data!$B$3),1,"")</f>
        <v/>
      </c>
      <c r="O66" s="998" t="str">
        <f>IF(AND(Table2[[#This Row],[TYPE]]&lt;&gt;"", Table2[[#This Row],[TYPE]]=Data!$B$4),1,"")</f>
        <v/>
      </c>
      <c r="P66" s="998" t="str">
        <f>IF(AND(Table2[[#This Row],[LV5 MAT NO.]]&lt;&gt;"", Table2[[#This Row],[LV5 MAT NO.]]=Data!$B$5),1,"")</f>
        <v/>
      </c>
      <c r="Q66" s="998" t="str">
        <f>IF(AND(Table2[[#This Row],[FROM]]&lt;&gt;"", Table2[[#This Row],[FROM]]=Data!$B$7),1,"")</f>
        <v/>
      </c>
      <c r="R66" s="998" t="str">
        <f>IF(AND(Table2[[#This Row],[LV3 or LV4 MAT NO.]]&lt;&gt;"", Table2[[#This Row],[LV3 or LV4 MAT NO.]]=Data!$B$8),1,"")</f>
        <v/>
      </c>
      <c r="S66" s="998"/>
      <c r="T66" s="998"/>
      <c r="U66" s="804" t="str">
        <f>IF(Table4[[#This Row],[Write "N" To Remove The Default]]="N","",IF(AND(COUNTA(Table2[[#This Row],[SEREAL NO.]:[REMARKS]])=SUM( L66:T66),SUM( L66:T66)&lt;&gt;0),Table2[[#This Row],[Instruction]],""))</f>
        <v/>
      </c>
      <c r="V66" s="804"/>
    </row>
    <row r="67" spans="9:22" x14ac:dyDescent="0.35">
      <c r="I67" s="1000"/>
      <c r="L67" s="998" t="str">
        <f>IF(AND(Table2[[#This Row],[ORDER NO.]]&lt;&gt;"", Table2[[#This Row],[ORDER NO.]]=Data!$B$1),1,"")</f>
        <v/>
      </c>
      <c r="M67" s="998" t="str">
        <f>IFERROR(IF(AND(Table2[[#This Row],[SEREAL NO.]]&lt;&gt;"", Table2[[#This Row],[SEREAL NO.]]=Data!$A$103),1,""),"")</f>
        <v/>
      </c>
      <c r="N67" s="998" t="str">
        <f>IF(AND(Table2[[#This Row],[SIZE]]&lt;&gt;"", Table2[[#This Row],[SIZE]]=Data!$B$3),1,"")</f>
        <v/>
      </c>
      <c r="O67" s="998" t="str">
        <f>IF(AND(Table2[[#This Row],[TYPE]]&lt;&gt;"", Table2[[#This Row],[TYPE]]=Data!$B$4),1,"")</f>
        <v/>
      </c>
      <c r="P67" s="998" t="str">
        <f>IF(AND(Table2[[#This Row],[LV5 MAT NO.]]&lt;&gt;"", Table2[[#This Row],[LV5 MAT NO.]]=Data!$B$5),1,"")</f>
        <v/>
      </c>
      <c r="Q67" s="998" t="str">
        <f>IF(AND(Table2[[#This Row],[FROM]]&lt;&gt;"", Table2[[#This Row],[FROM]]=Data!$B$7),1,"")</f>
        <v/>
      </c>
      <c r="R67" s="998" t="str">
        <f>IF(AND(Table2[[#This Row],[LV3 or LV4 MAT NO.]]&lt;&gt;"", Table2[[#This Row],[LV3 or LV4 MAT NO.]]=Data!$B$8),1,"")</f>
        <v/>
      </c>
      <c r="S67" s="998"/>
      <c r="T67" s="998"/>
      <c r="U67" s="804" t="str">
        <f>IF(Table4[[#This Row],[Write "N" To Remove The Default]]="N","",IF(AND(COUNTA(Table2[[#This Row],[SEREAL NO.]:[REMARKS]])=SUM( L67:T67),SUM( L67:T67)&lt;&gt;0),Table2[[#This Row],[Instruction]],""))</f>
        <v/>
      </c>
      <c r="V67" s="804"/>
    </row>
    <row r="68" spans="9:22" x14ac:dyDescent="0.35">
      <c r="I68" s="1000"/>
      <c r="L68" s="998" t="str">
        <f>IF(AND(Table2[[#This Row],[ORDER NO.]]&lt;&gt;"", Table2[[#This Row],[ORDER NO.]]=Data!$B$1),1,"")</f>
        <v/>
      </c>
      <c r="M68" s="998" t="str">
        <f>IFERROR(IF(AND(Table2[[#This Row],[SEREAL NO.]]&lt;&gt;"", Table2[[#This Row],[SEREAL NO.]]=Data!$A$103),1,""),"")</f>
        <v/>
      </c>
      <c r="N68" s="998" t="str">
        <f>IF(AND(Table2[[#This Row],[SIZE]]&lt;&gt;"", Table2[[#This Row],[SIZE]]=Data!$B$3),1,"")</f>
        <v/>
      </c>
      <c r="O68" s="998" t="str">
        <f>IF(AND(Table2[[#This Row],[TYPE]]&lt;&gt;"", Table2[[#This Row],[TYPE]]=Data!$B$4),1,"")</f>
        <v/>
      </c>
      <c r="P68" s="998" t="str">
        <f>IF(AND(Table2[[#This Row],[LV5 MAT NO.]]&lt;&gt;"", Table2[[#This Row],[LV5 MAT NO.]]=Data!$B$5),1,"")</f>
        <v/>
      </c>
      <c r="Q68" s="998" t="str">
        <f>IF(AND(Table2[[#This Row],[FROM]]&lt;&gt;"", Table2[[#This Row],[FROM]]=Data!$B$7),1,"")</f>
        <v/>
      </c>
      <c r="R68" s="998" t="str">
        <f>IF(AND(Table2[[#This Row],[LV3 or LV4 MAT NO.]]&lt;&gt;"", Table2[[#This Row],[LV3 or LV4 MAT NO.]]=Data!$B$8),1,"")</f>
        <v/>
      </c>
      <c r="S68" s="998"/>
      <c r="T68" s="998"/>
      <c r="U68" s="804" t="str">
        <f>IF(Table4[[#This Row],[Write "N" To Remove The Default]]="N","",IF(AND(COUNTA(Table2[[#This Row],[SEREAL NO.]:[REMARKS]])=SUM( L68:T68),SUM( L68:T68)&lt;&gt;0),Table2[[#This Row],[Instruction]],""))</f>
        <v/>
      </c>
      <c r="V68" s="804"/>
    </row>
    <row r="69" spans="9:22" x14ac:dyDescent="0.35">
      <c r="I69" s="1000"/>
      <c r="L69" s="998" t="str">
        <f>IF(AND(Table2[[#This Row],[ORDER NO.]]&lt;&gt;"", Table2[[#This Row],[ORDER NO.]]=Data!$B$1),1,"")</f>
        <v/>
      </c>
      <c r="M69" s="998" t="str">
        <f>IFERROR(IF(AND(Table2[[#This Row],[SEREAL NO.]]&lt;&gt;"", Table2[[#This Row],[SEREAL NO.]]=Data!$A$103),1,""),"")</f>
        <v/>
      </c>
      <c r="N69" s="998" t="str">
        <f>IF(AND(Table2[[#This Row],[SIZE]]&lt;&gt;"", Table2[[#This Row],[SIZE]]=Data!$B$3),1,"")</f>
        <v/>
      </c>
      <c r="O69" s="998" t="str">
        <f>IF(AND(Table2[[#This Row],[TYPE]]&lt;&gt;"", Table2[[#This Row],[TYPE]]=Data!$B$4),1,"")</f>
        <v/>
      </c>
      <c r="P69" s="998" t="str">
        <f>IF(AND(Table2[[#This Row],[LV5 MAT NO.]]&lt;&gt;"", Table2[[#This Row],[LV5 MAT NO.]]=Data!$B$5),1,"")</f>
        <v/>
      </c>
      <c r="Q69" s="998" t="str">
        <f>IF(AND(Table2[[#This Row],[FROM]]&lt;&gt;"", Table2[[#This Row],[FROM]]=Data!$B$7),1,"")</f>
        <v/>
      </c>
      <c r="R69" s="998" t="str">
        <f>IF(AND(Table2[[#This Row],[LV3 or LV4 MAT NO.]]&lt;&gt;"", Table2[[#This Row],[LV3 or LV4 MAT NO.]]=Data!$B$8),1,"")</f>
        <v/>
      </c>
      <c r="S69" s="998"/>
      <c r="T69" s="998"/>
      <c r="U69" s="804" t="str">
        <f>IF(Table4[[#This Row],[Write "N" To Remove The Default]]="N","",IF(AND(COUNTA(Table2[[#This Row],[SEREAL NO.]:[REMARKS]])=SUM( L69:T69),SUM( L69:T69)&lt;&gt;0),Table2[[#This Row],[Instruction]],""))</f>
        <v/>
      </c>
      <c r="V69" s="804"/>
    </row>
    <row r="70" spans="9:22" x14ac:dyDescent="0.35">
      <c r="I70" s="1000"/>
      <c r="L70" s="998" t="str">
        <f>IF(AND(Table2[[#This Row],[ORDER NO.]]&lt;&gt;"", Table2[[#This Row],[ORDER NO.]]=Data!$B$1),1,"")</f>
        <v/>
      </c>
      <c r="M70" s="998" t="str">
        <f>IFERROR(IF(AND(Table2[[#This Row],[SEREAL NO.]]&lt;&gt;"", Table2[[#This Row],[SEREAL NO.]]=Data!$A$103),1,""),"")</f>
        <v/>
      </c>
      <c r="N70" s="998" t="str">
        <f>IF(AND(Table2[[#This Row],[SIZE]]&lt;&gt;"", Table2[[#This Row],[SIZE]]=Data!$B$3),1,"")</f>
        <v/>
      </c>
      <c r="O70" s="998" t="str">
        <f>IF(AND(Table2[[#This Row],[TYPE]]&lt;&gt;"", Table2[[#This Row],[TYPE]]=Data!$B$4),1,"")</f>
        <v/>
      </c>
      <c r="P70" s="998" t="str">
        <f>IF(AND(Table2[[#This Row],[LV5 MAT NO.]]&lt;&gt;"", Table2[[#This Row],[LV5 MAT NO.]]=Data!$B$5),1,"")</f>
        <v/>
      </c>
      <c r="Q70" s="998" t="str">
        <f>IF(AND(Table2[[#This Row],[FROM]]&lt;&gt;"", Table2[[#This Row],[FROM]]=Data!$B$7),1,"")</f>
        <v/>
      </c>
      <c r="R70" s="998" t="str">
        <f>IF(AND(Table2[[#This Row],[LV3 or LV4 MAT NO.]]&lt;&gt;"", Table2[[#This Row],[LV3 or LV4 MAT NO.]]=Data!$B$8),1,"")</f>
        <v/>
      </c>
      <c r="S70" s="998"/>
      <c r="T70" s="998"/>
      <c r="U70" s="804" t="str">
        <f>IF(Table4[[#This Row],[Write "N" To Remove The Default]]="N","",IF(AND(COUNTA(Table2[[#This Row],[SEREAL NO.]:[REMARKS]])=SUM( L70:T70),SUM( L70:T70)&lt;&gt;0),Table2[[#This Row],[Instruction]],""))</f>
        <v/>
      </c>
      <c r="V70" s="804"/>
    </row>
    <row r="71" spans="9:22" x14ac:dyDescent="0.35">
      <c r="I71" s="1000"/>
      <c r="L71" s="998" t="str">
        <f>IF(AND(Table2[[#This Row],[ORDER NO.]]&lt;&gt;"", Table2[[#This Row],[ORDER NO.]]=Data!$B$1),1,"")</f>
        <v/>
      </c>
      <c r="M71" s="998" t="str">
        <f>IFERROR(IF(AND(Table2[[#This Row],[SEREAL NO.]]&lt;&gt;"", Table2[[#This Row],[SEREAL NO.]]=Data!$A$103),1,""),"")</f>
        <v/>
      </c>
      <c r="N71" s="998" t="str">
        <f>IF(AND(Table2[[#This Row],[SIZE]]&lt;&gt;"", Table2[[#This Row],[SIZE]]=Data!$B$3),1,"")</f>
        <v/>
      </c>
      <c r="O71" s="998" t="str">
        <f>IF(AND(Table2[[#This Row],[TYPE]]&lt;&gt;"", Table2[[#This Row],[TYPE]]=Data!$B$4),1,"")</f>
        <v/>
      </c>
      <c r="P71" s="998" t="str">
        <f>IF(AND(Table2[[#This Row],[LV5 MAT NO.]]&lt;&gt;"", Table2[[#This Row],[LV5 MAT NO.]]=Data!$B$5),1,"")</f>
        <v/>
      </c>
      <c r="Q71" s="998" t="str">
        <f>IF(AND(Table2[[#This Row],[FROM]]&lt;&gt;"", Table2[[#This Row],[FROM]]=Data!$B$7),1,"")</f>
        <v/>
      </c>
      <c r="R71" s="998" t="str">
        <f>IF(AND(Table2[[#This Row],[LV3 or LV4 MAT NO.]]&lt;&gt;"", Table2[[#This Row],[LV3 or LV4 MAT NO.]]=Data!$B$8),1,"")</f>
        <v/>
      </c>
      <c r="S71" s="998"/>
      <c r="T71" s="998"/>
      <c r="U71" s="804" t="str">
        <f>IF(Table4[[#This Row],[Write "N" To Remove The Default]]="N","",IF(AND(COUNTA(Table2[[#This Row],[SEREAL NO.]:[REMARKS]])=SUM( L71:T71),SUM( L71:T71)&lt;&gt;0),Table2[[#This Row],[Instruction]],""))</f>
        <v/>
      </c>
      <c r="V71" s="804"/>
    </row>
    <row r="72" spans="9:22" x14ac:dyDescent="0.35">
      <c r="I72" s="1000"/>
      <c r="L72" s="998" t="str">
        <f>IF(AND(Table2[[#This Row],[ORDER NO.]]&lt;&gt;"", Table2[[#This Row],[ORDER NO.]]=Data!$B$1),1,"")</f>
        <v/>
      </c>
      <c r="M72" s="998" t="str">
        <f>IFERROR(IF(AND(Table2[[#This Row],[SEREAL NO.]]&lt;&gt;"", Table2[[#This Row],[SEREAL NO.]]=Data!$A$103),1,""),"")</f>
        <v/>
      </c>
      <c r="N72" s="998" t="str">
        <f>IF(AND(Table2[[#This Row],[SIZE]]&lt;&gt;"", Table2[[#This Row],[SIZE]]=Data!$B$3),1,"")</f>
        <v/>
      </c>
      <c r="O72" s="998" t="str">
        <f>IF(AND(Table2[[#This Row],[TYPE]]&lt;&gt;"", Table2[[#This Row],[TYPE]]=Data!$B$4),1,"")</f>
        <v/>
      </c>
      <c r="P72" s="998" t="str">
        <f>IF(AND(Table2[[#This Row],[LV5 MAT NO.]]&lt;&gt;"", Table2[[#This Row],[LV5 MAT NO.]]=Data!$B$5),1,"")</f>
        <v/>
      </c>
      <c r="Q72" s="998" t="str">
        <f>IF(AND(Table2[[#This Row],[FROM]]&lt;&gt;"", Table2[[#This Row],[FROM]]=Data!$B$7),1,"")</f>
        <v/>
      </c>
      <c r="R72" s="998" t="str">
        <f>IF(AND(Table2[[#This Row],[LV3 or LV4 MAT NO.]]&lt;&gt;"", Table2[[#This Row],[LV3 or LV4 MAT NO.]]=Data!$B$8),1,"")</f>
        <v/>
      </c>
      <c r="S72" s="998"/>
      <c r="T72" s="998"/>
      <c r="U72" s="804" t="str">
        <f>IF(Table4[[#This Row],[Write "N" To Remove The Default]]="N","",IF(AND(COUNTA(Table2[[#This Row],[SEREAL NO.]:[REMARKS]])=SUM( L72:T72),SUM( L72:T72)&lt;&gt;0),Table2[[#This Row],[Instruction]],""))</f>
        <v/>
      </c>
      <c r="V72" s="804"/>
    </row>
    <row r="73" spans="9:22" x14ac:dyDescent="0.35">
      <c r="I73" s="1000"/>
      <c r="L73" s="998" t="str">
        <f>IF(AND(Table2[[#This Row],[ORDER NO.]]&lt;&gt;"", Table2[[#This Row],[ORDER NO.]]=Data!$B$1),1,"")</f>
        <v/>
      </c>
      <c r="M73" s="998" t="str">
        <f>IFERROR(IF(AND(Table2[[#This Row],[SEREAL NO.]]&lt;&gt;"", Table2[[#This Row],[SEREAL NO.]]=Data!$A$103),1,""),"")</f>
        <v/>
      </c>
      <c r="N73" s="998" t="str">
        <f>IF(AND(Table2[[#This Row],[SIZE]]&lt;&gt;"", Table2[[#This Row],[SIZE]]=Data!$B$3),1,"")</f>
        <v/>
      </c>
      <c r="O73" s="998" t="str">
        <f>IF(AND(Table2[[#This Row],[TYPE]]&lt;&gt;"", Table2[[#This Row],[TYPE]]=Data!$B$4),1,"")</f>
        <v/>
      </c>
      <c r="P73" s="998" t="str">
        <f>IF(AND(Table2[[#This Row],[LV5 MAT NO.]]&lt;&gt;"", Table2[[#This Row],[LV5 MAT NO.]]=Data!$B$5),1,"")</f>
        <v/>
      </c>
      <c r="Q73" s="998" t="str">
        <f>IF(AND(Table2[[#This Row],[FROM]]&lt;&gt;"", Table2[[#This Row],[FROM]]=Data!$B$7),1,"")</f>
        <v/>
      </c>
      <c r="R73" s="998" t="str">
        <f>IF(AND(Table2[[#This Row],[LV3 or LV4 MAT NO.]]&lt;&gt;"", Table2[[#This Row],[LV3 or LV4 MAT NO.]]=Data!$B$8),1,"")</f>
        <v/>
      </c>
      <c r="S73" s="998"/>
      <c r="T73" s="998"/>
      <c r="U73" s="804" t="str">
        <f>IF(Table4[[#This Row],[Write "N" To Remove The Default]]="N","",IF(AND(COUNTA(Table2[[#This Row],[SEREAL NO.]:[REMARKS]])=SUM( L73:T73),SUM( L73:T73)&lt;&gt;0),Table2[[#This Row],[Instruction]],""))</f>
        <v/>
      </c>
      <c r="V73" s="804"/>
    </row>
    <row r="74" spans="9:22" x14ac:dyDescent="0.35">
      <c r="I74" s="1000"/>
      <c r="L74" s="998" t="str">
        <f>IF(AND(Table2[[#This Row],[ORDER NO.]]&lt;&gt;"", Table2[[#This Row],[ORDER NO.]]=Data!$B$1),1,"")</f>
        <v/>
      </c>
      <c r="M74" s="998" t="str">
        <f>IFERROR(IF(AND(Table2[[#This Row],[SEREAL NO.]]&lt;&gt;"", Table2[[#This Row],[SEREAL NO.]]=Data!$A$103),1,""),"")</f>
        <v/>
      </c>
      <c r="N74" s="998" t="str">
        <f>IF(AND(Table2[[#This Row],[SIZE]]&lt;&gt;"", Table2[[#This Row],[SIZE]]=Data!$B$3),1,"")</f>
        <v/>
      </c>
      <c r="O74" s="998" t="str">
        <f>IF(AND(Table2[[#This Row],[TYPE]]&lt;&gt;"", Table2[[#This Row],[TYPE]]=Data!$B$4),1,"")</f>
        <v/>
      </c>
      <c r="P74" s="998" t="str">
        <f>IF(AND(Table2[[#This Row],[LV5 MAT NO.]]&lt;&gt;"", Table2[[#This Row],[LV5 MAT NO.]]=Data!$B$5),1,"")</f>
        <v/>
      </c>
      <c r="Q74" s="998" t="str">
        <f>IF(AND(Table2[[#This Row],[FROM]]&lt;&gt;"", Table2[[#This Row],[FROM]]=Data!$B$7),1,"")</f>
        <v/>
      </c>
      <c r="R74" s="998" t="str">
        <f>IF(AND(Table2[[#This Row],[LV3 or LV4 MAT NO.]]&lt;&gt;"", Table2[[#This Row],[LV3 or LV4 MAT NO.]]=Data!$B$8),1,"")</f>
        <v/>
      </c>
      <c r="S74" s="998"/>
      <c r="T74" s="998"/>
      <c r="U74" s="804" t="str">
        <f>IF(Table4[[#This Row],[Write "N" To Remove The Default]]="N","",IF(AND(COUNTA(Table2[[#This Row],[SEREAL NO.]:[REMARKS]])=SUM( L74:T74),SUM( L74:T74)&lt;&gt;0),Table2[[#This Row],[Instruction]],""))</f>
        <v/>
      </c>
      <c r="V74" s="804"/>
    </row>
    <row r="75" spans="9:22" x14ac:dyDescent="0.35">
      <c r="I75" s="1000"/>
      <c r="L75" s="998" t="str">
        <f>IF(AND(Table2[[#This Row],[ORDER NO.]]&lt;&gt;"", Table2[[#This Row],[ORDER NO.]]=Data!$B$1),1,"")</f>
        <v/>
      </c>
      <c r="M75" s="998" t="str">
        <f>IFERROR(IF(AND(Table2[[#This Row],[SEREAL NO.]]&lt;&gt;"", Table2[[#This Row],[SEREAL NO.]]=Data!$A$103),1,""),"")</f>
        <v/>
      </c>
      <c r="N75" s="998" t="str">
        <f>IF(AND(Table2[[#This Row],[SIZE]]&lt;&gt;"", Table2[[#This Row],[SIZE]]=Data!$B$3),1,"")</f>
        <v/>
      </c>
      <c r="O75" s="998" t="str">
        <f>IF(AND(Table2[[#This Row],[TYPE]]&lt;&gt;"", Table2[[#This Row],[TYPE]]=Data!$B$4),1,"")</f>
        <v/>
      </c>
      <c r="P75" s="998" t="str">
        <f>IF(AND(Table2[[#This Row],[LV5 MAT NO.]]&lt;&gt;"", Table2[[#This Row],[LV5 MAT NO.]]=Data!$B$5),1,"")</f>
        <v/>
      </c>
      <c r="Q75" s="998" t="str">
        <f>IF(AND(Table2[[#This Row],[FROM]]&lt;&gt;"", Table2[[#This Row],[FROM]]=Data!$B$7),1,"")</f>
        <v/>
      </c>
      <c r="R75" s="998" t="str">
        <f>IF(AND(Table2[[#This Row],[LV3 or LV4 MAT NO.]]&lt;&gt;"", Table2[[#This Row],[LV3 or LV4 MAT NO.]]=Data!$B$8),1,"")</f>
        <v/>
      </c>
      <c r="S75" s="998"/>
      <c r="T75" s="998"/>
      <c r="U75" s="804" t="str">
        <f>IF(Table4[[#This Row],[Write "N" To Remove The Default]]="N","",IF(AND(COUNTA(Table2[[#This Row],[SEREAL NO.]:[REMARKS]])=SUM( L75:T75),SUM( L75:T75)&lt;&gt;0),Table2[[#This Row],[Instruction]],""))</f>
        <v/>
      </c>
      <c r="V75" s="804"/>
    </row>
    <row r="76" spans="9:22" x14ac:dyDescent="0.35">
      <c r="I76" s="1000"/>
      <c r="L76" s="998" t="str">
        <f>IF(AND(Table2[[#This Row],[ORDER NO.]]&lt;&gt;"", Table2[[#This Row],[ORDER NO.]]=Data!$B$1),1,"")</f>
        <v/>
      </c>
      <c r="M76" s="998" t="str">
        <f>IFERROR(IF(AND(Table2[[#This Row],[SEREAL NO.]]&lt;&gt;"", Table2[[#This Row],[SEREAL NO.]]=Data!$A$103),1,""),"")</f>
        <v/>
      </c>
      <c r="N76" s="998" t="str">
        <f>IF(AND(Table2[[#This Row],[SIZE]]&lt;&gt;"", Table2[[#This Row],[SIZE]]=Data!$B$3),1,"")</f>
        <v/>
      </c>
      <c r="O76" s="998" t="str">
        <f>IF(AND(Table2[[#This Row],[TYPE]]&lt;&gt;"", Table2[[#This Row],[TYPE]]=Data!$B$4),1,"")</f>
        <v/>
      </c>
      <c r="P76" s="998" t="str">
        <f>IF(AND(Table2[[#This Row],[LV5 MAT NO.]]&lt;&gt;"", Table2[[#This Row],[LV5 MAT NO.]]=Data!$B$5),1,"")</f>
        <v/>
      </c>
      <c r="Q76" s="998" t="str">
        <f>IF(AND(Table2[[#This Row],[FROM]]&lt;&gt;"", Table2[[#This Row],[FROM]]=Data!$B$7),1,"")</f>
        <v/>
      </c>
      <c r="R76" s="998" t="str">
        <f>IF(AND(Table2[[#This Row],[LV3 or LV4 MAT NO.]]&lt;&gt;"", Table2[[#This Row],[LV3 or LV4 MAT NO.]]=Data!$B$8),1,"")</f>
        <v/>
      </c>
      <c r="S76" s="998"/>
      <c r="T76" s="998"/>
      <c r="U76" s="804" t="str">
        <f>IF(Table4[[#This Row],[Write "N" To Remove The Default]]="N","",IF(AND(COUNTA(Table2[[#This Row],[SEREAL NO.]:[REMARKS]])=SUM( L76:T76),SUM( L76:T76)&lt;&gt;0),Table2[[#This Row],[Instruction]],""))</f>
        <v/>
      </c>
      <c r="V76" s="804"/>
    </row>
    <row r="77" spans="9:22" x14ac:dyDescent="0.35">
      <c r="I77" s="1000"/>
      <c r="L77" s="998" t="str">
        <f>IF(AND(Table2[[#This Row],[ORDER NO.]]&lt;&gt;"", Table2[[#This Row],[ORDER NO.]]=Data!$B$1),1,"")</f>
        <v/>
      </c>
      <c r="M77" s="998" t="str">
        <f>IFERROR(IF(AND(Table2[[#This Row],[SEREAL NO.]]&lt;&gt;"", Table2[[#This Row],[SEREAL NO.]]=Data!$A$103),1,""),"")</f>
        <v/>
      </c>
      <c r="N77" s="998" t="str">
        <f>IF(AND(Table2[[#This Row],[SIZE]]&lt;&gt;"", Table2[[#This Row],[SIZE]]=Data!$B$3),1,"")</f>
        <v/>
      </c>
      <c r="O77" s="998" t="str">
        <f>IF(AND(Table2[[#This Row],[TYPE]]&lt;&gt;"", Table2[[#This Row],[TYPE]]=Data!$B$4),1,"")</f>
        <v/>
      </c>
      <c r="P77" s="998" t="str">
        <f>IF(AND(Table2[[#This Row],[LV5 MAT NO.]]&lt;&gt;"", Table2[[#This Row],[LV5 MAT NO.]]=Data!$B$5),1,"")</f>
        <v/>
      </c>
      <c r="Q77" s="998" t="str">
        <f>IF(AND(Table2[[#This Row],[FROM]]&lt;&gt;"", Table2[[#This Row],[FROM]]=Data!$B$7),1,"")</f>
        <v/>
      </c>
      <c r="R77" s="998" t="str">
        <f>IF(AND(Table2[[#This Row],[LV3 or LV4 MAT NO.]]&lt;&gt;"", Table2[[#This Row],[LV3 or LV4 MAT NO.]]=Data!$B$8),1,"")</f>
        <v/>
      </c>
      <c r="S77" s="998"/>
      <c r="T77" s="998"/>
      <c r="U77" s="804" t="str">
        <f>IF(Table4[[#This Row],[Write "N" To Remove The Default]]="N","",IF(AND(COUNTA(Table2[[#This Row],[SEREAL NO.]:[REMARKS]])=SUM( L77:T77),SUM( L77:T77)&lt;&gt;0),Table2[[#This Row],[Instruction]],""))</f>
        <v/>
      </c>
      <c r="V77" s="804"/>
    </row>
    <row r="78" spans="9:22" x14ac:dyDescent="0.35">
      <c r="I78" s="1000"/>
      <c r="L78" s="998" t="str">
        <f>IF(AND(Table2[[#This Row],[ORDER NO.]]&lt;&gt;"", Table2[[#This Row],[ORDER NO.]]=Data!$B$1),1,"")</f>
        <v/>
      </c>
      <c r="M78" s="998" t="str">
        <f>IFERROR(IF(AND(Table2[[#This Row],[SEREAL NO.]]&lt;&gt;"", Table2[[#This Row],[SEREAL NO.]]=Data!$A$103),1,""),"")</f>
        <v/>
      </c>
      <c r="N78" s="998" t="str">
        <f>IF(AND(Table2[[#This Row],[SIZE]]&lt;&gt;"", Table2[[#This Row],[SIZE]]=Data!$B$3),1,"")</f>
        <v/>
      </c>
      <c r="O78" s="998" t="str">
        <f>IF(AND(Table2[[#This Row],[TYPE]]&lt;&gt;"", Table2[[#This Row],[TYPE]]=Data!$B$4),1,"")</f>
        <v/>
      </c>
      <c r="P78" s="998" t="str">
        <f>IF(AND(Table2[[#This Row],[LV5 MAT NO.]]&lt;&gt;"", Table2[[#This Row],[LV5 MAT NO.]]=Data!$B$5),1,"")</f>
        <v/>
      </c>
      <c r="Q78" s="998" t="str">
        <f>IF(AND(Table2[[#This Row],[FROM]]&lt;&gt;"", Table2[[#This Row],[FROM]]=Data!$B$7),1,"")</f>
        <v/>
      </c>
      <c r="R78" s="998" t="str">
        <f>IF(AND(Table2[[#This Row],[LV3 or LV4 MAT NO.]]&lt;&gt;"", Table2[[#This Row],[LV3 or LV4 MAT NO.]]=Data!$B$8),1,"")</f>
        <v/>
      </c>
      <c r="S78" s="998"/>
      <c r="T78" s="998"/>
      <c r="U78" s="804" t="str">
        <f>IF(Table4[[#This Row],[Write "N" To Remove The Default]]="N","",IF(AND(COUNTA(Table2[[#This Row],[SEREAL NO.]:[REMARKS]])=SUM( L78:T78),SUM( L78:T78)&lt;&gt;0),Table2[[#This Row],[Instruction]],""))</f>
        <v/>
      </c>
      <c r="V78" s="804"/>
    </row>
    <row r="79" spans="9:22" x14ac:dyDescent="0.35">
      <c r="I79" s="1000"/>
      <c r="L79" s="998" t="str">
        <f>IF(AND(Table2[[#This Row],[ORDER NO.]]&lt;&gt;"", Table2[[#This Row],[ORDER NO.]]=Data!$B$1),1,"")</f>
        <v/>
      </c>
      <c r="M79" s="998" t="str">
        <f>IFERROR(IF(AND(Table2[[#This Row],[SEREAL NO.]]&lt;&gt;"", Table2[[#This Row],[SEREAL NO.]]=Data!$A$103),1,""),"")</f>
        <v/>
      </c>
      <c r="N79" s="998" t="str">
        <f>IF(AND(Table2[[#This Row],[SIZE]]&lt;&gt;"", Table2[[#This Row],[SIZE]]=Data!$B$3),1,"")</f>
        <v/>
      </c>
      <c r="O79" s="998" t="str">
        <f>IF(AND(Table2[[#This Row],[TYPE]]&lt;&gt;"", Table2[[#This Row],[TYPE]]=Data!$B$4),1,"")</f>
        <v/>
      </c>
      <c r="P79" s="998" t="str">
        <f>IF(AND(Table2[[#This Row],[LV5 MAT NO.]]&lt;&gt;"", Table2[[#This Row],[LV5 MAT NO.]]=Data!$B$5),1,"")</f>
        <v/>
      </c>
      <c r="Q79" s="998" t="str">
        <f>IF(AND(Table2[[#This Row],[FROM]]&lt;&gt;"", Table2[[#This Row],[FROM]]=Data!$B$7),1,"")</f>
        <v/>
      </c>
      <c r="R79" s="998" t="str">
        <f>IF(AND(Table2[[#This Row],[LV3 or LV4 MAT NO.]]&lt;&gt;"", Table2[[#This Row],[LV3 or LV4 MAT NO.]]=Data!$B$8),1,"")</f>
        <v/>
      </c>
      <c r="S79" s="998"/>
      <c r="T79" s="998"/>
      <c r="U79" s="804" t="str">
        <f>IF(Table4[[#This Row],[Write "N" To Remove The Default]]="N","",IF(AND(COUNTA(Table2[[#This Row],[SEREAL NO.]:[REMARKS]])=SUM( L79:T79),SUM( L79:T79)&lt;&gt;0),Table2[[#This Row],[Instruction]],""))</f>
        <v/>
      </c>
      <c r="V79" s="804"/>
    </row>
    <row r="80" spans="9:22" x14ac:dyDescent="0.35">
      <c r="I80" s="1000"/>
      <c r="L80" s="998" t="str">
        <f>IF(AND(Table2[[#This Row],[ORDER NO.]]&lt;&gt;"", Table2[[#This Row],[ORDER NO.]]=Data!$B$1),1,"")</f>
        <v/>
      </c>
      <c r="M80" s="998" t="str">
        <f>IFERROR(IF(AND(Table2[[#This Row],[SEREAL NO.]]&lt;&gt;"", Table2[[#This Row],[SEREAL NO.]]=Data!$A$103),1,""),"")</f>
        <v/>
      </c>
      <c r="N80" s="998" t="str">
        <f>IF(AND(Table2[[#This Row],[SIZE]]&lt;&gt;"", Table2[[#This Row],[SIZE]]=Data!$B$3),1,"")</f>
        <v/>
      </c>
      <c r="O80" s="998" t="str">
        <f>IF(AND(Table2[[#This Row],[TYPE]]&lt;&gt;"", Table2[[#This Row],[TYPE]]=Data!$B$4),1,"")</f>
        <v/>
      </c>
      <c r="P80" s="998" t="str">
        <f>IF(AND(Table2[[#This Row],[LV5 MAT NO.]]&lt;&gt;"", Table2[[#This Row],[LV5 MAT NO.]]=Data!$B$5),1,"")</f>
        <v/>
      </c>
      <c r="Q80" s="998" t="str">
        <f>IF(AND(Table2[[#This Row],[FROM]]&lt;&gt;"", Table2[[#This Row],[FROM]]=Data!$B$7),1,"")</f>
        <v/>
      </c>
      <c r="R80" s="998" t="str">
        <f>IF(AND(Table2[[#This Row],[LV3 or LV4 MAT NO.]]&lt;&gt;"", Table2[[#This Row],[LV3 or LV4 MAT NO.]]=Data!$B$8),1,"")</f>
        <v/>
      </c>
      <c r="S80" s="998"/>
      <c r="T80" s="998"/>
      <c r="U80" s="804" t="str">
        <f>IF(Table4[[#This Row],[Write "N" To Remove The Default]]="N","",IF(AND(COUNTA(Table2[[#This Row],[SEREAL NO.]:[REMARKS]])=SUM( L80:T80),SUM( L80:T80)&lt;&gt;0),Table2[[#This Row],[Instruction]],""))</f>
        <v/>
      </c>
      <c r="V80" s="804"/>
    </row>
    <row r="81" spans="9:22" x14ac:dyDescent="0.35">
      <c r="I81" s="1000"/>
      <c r="L81" s="998" t="str">
        <f>IF(AND(Table2[[#This Row],[ORDER NO.]]&lt;&gt;"", Table2[[#This Row],[ORDER NO.]]=Data!$B$1),1,"")</f>
        <v/>
      </c>
      <c r="M81" s="998" t="str">
        <f>IFERROR(IF(AND(Table2[[#This Row],[SEREAL NO.]]&lt;&gt;"", Table2[[#This Row],[SEREAL NO.]]=Data!$A$103),1,""),"")</f>
        <v/>
      </c>
      <c r="N81" s="998" t="str">
        <f>IF(AND(Table2[[#This Row],[SIZE]]&lt;&gt;"", Table2[[#This Row],[SIZE]]=Data!$B$3),1,"")</f>
        <v/>
      </c>
      <c r="O81" s="998" t="str">
        <f>IF(AND(Table2[[#This Row],[TYPE]]&lt;&gt;"", Table2[[#This Row],[TYPE]]=Data!$B$4),1,"")</f>
        <v/>
      </c>
      <c r="P81" s="998" t="str">
        <f>IF(AND(Table2[[#This Row],[LV5 MAT NO.]]&lt;&gt;"", Table2[[#This Row],[LV5 MAT NO.]]=Data!$B$5),1,"")</f>
        <v/>
      </c>
      <c r="Q81" s="998" t="str">
        <f>IF(AND(Table2[[#This Row],[FROM]]&lt;&gt;"", Table2[[#This Row],[FROM]]=Data!$B$7),1,"")</f>
        <v/>
      </c>
      <c r="R81" s="998" t="str">
        <f>IF(AND(Table2[[#This Row],[LV3 or LV4 MAT NO.]]&lt;&gt;"", Table2[[#This Row],[LV3 or LV4 MAT NO.]]=Data!$B$8),1,"")</f>
        <v/>
      </c>
      <c r="S81" s="998"/>
      <c r="T81" s="998"/>
      <c r="U81" s="804" t="str">
        <f>IF(Table4[[#This Row],[Write "N" To Remove The Default]]="N","",IF(AND(COUNTA(Table2[[#This Row],[SEREAL NO.]:[REMARKS]])=SUM( L81:T81),SUM( L81:T81)&lt;&gt;0),Table2[[#This Row],[Instruction]],""))</f>
        <v/>
      </c>
      <c r="V81" s="804"/>
    </row>
    <row r="82" spans="9:22" x14ac:dyDescent="0.35">
      <c r="I82" s="1000"/>
      <c r="L82" s="998" t="str">
        <f>IF(AND(Table2[[#This Row],[ORDER NO.]]&lt;&gt;"", Table2[[#This Row],[ORDER NO.]]=Data!$B$1),1,"")</f>
        <v/>
      </c>
      <c r="M82" s="998" t="str">
        <f>IFERROR(IF(AND(Table2[[#This Row],[SEREAL NO.]]&lt;&gt;"", Table2[[#This Row],[SEREAL NO.]]=Data!$A$103),1,""),"")</f>
        <v/>
      </c>
      <c r="N82" s="998" t="str">
        <f>IF(AND(Table2[[#This Row],[SIZE]]&lt;&gt;"", Table2[[#This Row],[SIZE]]=Data!$B$3),1,"")</f>
        <v/>
      </c>
      <c r="O82" s="998" t="str">
        <f>IF(AND(Table2[[#This Row],[TYPE]]&lt;&gt;"", Table2[[#This Row],[TYPE]]=Data!$B$4),1,"")</f>
        <v/>
      </c>
      <c r="P82" s="998" t="str">
        <f>IF(AND(Table2[[#This Row],[LV5 MAT NO.]]&lt;&gt;"", Table2[[#This Row],[LV5 MAT NO.]]=Data!$B$5),1,"")</f>
        <v/>
      </c>
      <c r="Q82" s="998" t="str">
        <f>IF(AND(Table2[[#This Row],[FROM]]&lt;&gt;"", Table2[[#This Row],[FROM]]=Data!$B$7),1,"")</f>
        <v/>
      </c>
      <c r="R82" s="998" t="str">
        <f>IF(AND(Table2[[#This Row],[LV3 or LV4 MAT NO.]]&lt;&gt;"", Table2[[#This Row],[LV3 or LV4 MAT NO.]]=Data!$B$8),1,"")</f>
        <v/>
      </c>
      <c r="S82" s="998"/>
      <c r="T82" s="998"/>
      <c r="U82" s="804" t="str">
        <f>IF(Table4[[#This Row],[Write "N" To Remove The Default]]="N","",IF(AND(COUNTA(Table2[[#This Row],[SEREAL NO.]:[REMARKS]])=SUM( L82:T82),SUM( L82:T82)&lt;&gt;0),Table2[[#This Row],[Instruction]],""))</f>
        <v/>
      </c>
      <c r="V82" s="804"/>
    </row>
    <row r="83" spans="9:22" x14ac:dyDescent="0.35">
      <c r="I83" s="1000"/>
      <c r="L83" s="998" t="str">
        <f>IF(AND(Table2[[#This Row],[ORDER NO.]]&lt;&gt;"", Table2[[#This Row],[ORDER NO.]]=Data!$B$1),1,"")</f>
        <v/>
      </c>
      <c r="M83" s="998" t="str">
        <f>IFERROR(IF(AND(Table2[[#This Row],[SEREAL NO.]]&lt;&gt;"", Table2[[#This Row],[SEREAL NO.]]=Data!$A$103),1,""),"")</f>
        <v/>
      </c>
      <c r="N83" s="998" t="str">
        <f>IF(AND(Table2[[#This Row],[SIZE]]&lt;&gt;"", Table2[[#This Row],[SIZE]]=Data!$B$3),1,"")</f>
        <v/>
      </c>
      <c r="O83" s="998" t="str">
        <f>IF(AND(Table2[[#This Row],[TYPE]]&lt;&gt;"", Table2[[#This Row],[TYPE]]=Data!$B$4),1,"")</f>
        <v/>
      </c>
      <c r="P83" s="998" t="str">
        <f>IF(AND(Table2[[#This Row],[LV5 MAT NO.]]&lt;&gt;"", Table2[[#This Row],[LV5 MAT NO.]]=Data!$B$5),1,"")</f>
        <v/>
      </c>
      <c r="Q83" s="998" t="str">
        <f>IF(AND(Table2[[#This Row],[FROM]]&lt;&gt;"", Table2[[#This Row],[FROM]]=Data!$B$7),1,"")</f>
        <v/>
      </c>
      <c r="R83" s="998" t="str">
        <f>IF(AND(Table2[[#This Row],[LV3 or LV4 MAT NO.]]&lt;&gt;"", Table2[[#This Row],[LV3 or LV4 MAT NO.]]=Data!$B$8),1,"")</f>
        <v/>
      </c>
      <c r="S83" s="998"/>
      <c r="T83" s="998"/>
      <c r="U83" s="804" t="str">
        <f>IF(Table4[[#This Row],[Write "N" To Remove The Default]]="N","",IF(AND(COUNTA(Table2[[#This Row],[SEREAL NO.]:[REMARKS]])=SUM( L83:T83),SUM( L83:T83)&lt;&gt;0),Table2[[#This Row],[Instruction]],""))</f>
        <v/>
      </c>
      <c r="V83" s="804"/>
    </row>
    <row r="84" spans="9:22" x14ac:dyDescent="0.35">
      <c r="I84" s="1000"/>
      <c r="L84" s="998" t="str">
        <f>IF(AND(Table2[[#This Row],[ORDER NO.]]&lt;&gt;"", Table2[[#This Row],[ORDER NO.]]=Data!$B$1),1,"")</f>
        <v/>
      </c>
      <c r="M84" s="998" t="str">
        <f>IFERROR(IF(AND(Table2[[#This Row],[SEREAL NO.]]&lt;&gt;"", Table2[[#This Row],[SEREAL NO.]]=Data!$A$103),1,""),"")</f>
        <v/>
      </c>
      <c r="N84" s="998" t="str">
        <f>IF(AND(Table2[[#This Row],[SIZE]]&lt;&gt;"", Table2[[#This Row],[SIZE]]=Data!$B$3),1,"")</f>
        <v/>
      </c>
      <c r="O84" s="998" t="str">
        <f>IF(AND(Table2[[#This Row],[TYPE]]&lt;&gt;"", Table2[[#This Row],[TYPE]]=Data!$B$4),1,"")</f>
        <v/>
      </c>
      <c r="P84" s="998" t="str">
        <f>IF(AND(Table2[[#This Row],[LV5 MAT NO.]]&lt;&gt;"", Table2[[#This Row],[LV5 MAT NO.]]=Data!$B$5),1,"")</f>
        <v/>
      </c>
      <c r="Q84" s="998" t="str">
        <f>IF(AND(Table2[[#This Row],[FROM]]&lt;&gt;"", Table2[[#This Row],[FROM]]=Data!$B$7),1,"")</f>
        <v/>
      </c>
      <c r="R84" s="998" t="str">
        <f>IF(AND(Table2[[#This Row],[LV3 or LV4 MAT NO.]]&lt;&gt;"", Table2[[#This Row],[LV3 or LV4 MAT NO.]]=Data!$B$8),1,"")</f>
        <v/>
      </c>
      <c r="S84" s="998"/>
      <c r="T84" s="998"/>
      <c r="U84" s="804" t="str">
        <f>IF(Table4[[#This Row],[Write "N" To Remove The Default]]="N","",IF(AND(COUNTA(Table2[[#This Row],[SEREAL NO.]:[REMARKS]])=SUM( L84:T84),SUM( L84:T84)&lt;&gt;0),Table2[[#This Row],[Instruction]],""))</f>
        <v/>
      </c>
      <c r="V84" s="804"/>
    </row>
    <row r="85" spans="9:22" x14ac:dyDescent="0.35">
      <c r="I85" s="1000"/>
      <c r="L85" s="998" t="str">
        <f>IF(AND(Table2[[#This Row],[ORDER NO.]]&lt;&gt;"", Table2[[#This Row],[ORDER NO.]]=Data!$B$1),1,"")</f>
        <v/>
      </c>
      <c r="M85" s="998" t="str">
        <f>IFERROR(IF(AND(Table2[[#This Row],[SEREAL NO.]]&lt;&gt;"", Table2[[#This Row],[SEREAL NO.]]=Data!$A$103),1,""),"")</f>
        <v/>
      </c>
      <c r="N85" s="998" t="str">
        <f>IF(AND(Table2[[#This Row],[SIZE]]&lt;&gt;"", Table2[[#This Row],[SIZE]]=Data!$B$3),1,"")</f>
        <v/>
      </c>
      <c r="O85" s="998" t="str">
        <f>IF(AND(Table2[[#This Row],[TYPE]]&lt;&gt;"", Table2[[#This Row],[TYPE]]=Data!$B$4),1,"")</f>
        <v/>
      </c>
      <c r="P85" s="998" t="str">
        <f>IF(AND(Table2[[#This Row],[LV5 MAT NO.]]&lt;&gt;"", Table2[[#This Row],[LV5 MAT NO.]]=Data!$B$5),1,"")</f>
        <v/>
      </c>
      <c r="Q85" s="998" t="str">
        <f>IF(AND(Table2[[#This Row],[FROM]]&lt;&gt;"", Table2[[#This Row],[FROM]]=Data!$B$7),1,"")</f>
        <v/>
      </c>
      <c r="R85" s="998" t="str">
        <f>IF(AND(Table2[[#This Row],[LV3 or LV4 MAT NO.]]&lt;&gt;"", Table2[[#This Row],[LV3 or LV4 MAT NO.]]=Data!$B$8),1,"")</f>
        <v/>
      </c>
      <c r="S85" s="998"/>
      <c r="T85" s="998"/>
      <c r="U85" s="804" t="str">
        <f>IF(Table4[[#This Row],[Write "N" To Remove The Default]]="N","",IF(AND(COUNTA(Table2[[#This Row],[SEREAL NO.]:[REMARKS]])=SUM( L85:T85),SUM( L85:T85)&lt;&gt;0),Table2[[#This Row],[Instruction]],""))</f>
        <v/>
      </c>
      <c r="V85" s="804"/>
    </row>
    <row r="86" spans="9:22" x14ac:dyDescent="0.35">
      <c r="I86" s="1000"/>
      <c r="L86" s="998" t="str">
        <f>IF(AND(Table2[[#This Row],[ORDER NO.]]&lt;&gt;"", Table2[[#This Row],[ORDER NO.]]=Data!$B$1),1,"")</f>
        <v/>
      </c>
      <c r="M86" s="998" t="str">
        <f>IFERROR(IF(AND(Table2[[#This Row],[SEREAL NO.]]&lt;&gt;"", Table2[[#This Row],[SEREAL NO.]]=Data!$A$103),1,""),"")</f>
        <v/>
      </c>
      <c r="N86" s="998" t="str">
        <f>IF(AND(Table2[[#This Row],[SIZE]]&lt;&gt;"", Table2[[#This Row],[SIZE]]=Data!$B$3),1,"")</f>
        <v/>
      </c>
      <c r="O86" s="998" t="str">
        <f>IF(AND(Table2[[#This Row],[TYPE]]&lt;&gt;"", Table2[[#This Row],[TYPE]]=Data!$B$4),1,"")</f>
        <v/>
      </c>
      <c r="P86" s="998" t="str">
        <f>IF(AND(Table2[[#This Row],[LV5 MAT NO.]]&lt;&gt;"", Table2[[#This Row],[LV5 MAT NO.]]=Data!$B$5),1,"")</f>
        <v/>
      </c>
      <c r="Q86" s="998" t="str">
        <f>IF(AND(Table2[[#This Row],[FROM]]&lt;&gt;"", Table2[[#This Row],[FROM]]=Data!$B$7),1,"")</f>
        <v/>
      </c>
      <c r="R86" s="998" t="str">
        <f>IF(AND(Table2[[#This Row],[LV3 or LV4 MAT NO.]]&lt;&gt;"", Table2[[#This Row],[LV3 or LV4 MAT NO.]]=Data!$B$8),1,"")</f>
        <v/>
      </c>
      <c r="S86" s="998"/>
      <c r="T86" s="998"/>
      <c r="U86" s="804" t="str">
        <f>IF(Table4[[#This Row],[Write "N" To Remove The Default]]="N","",IF(AND(COUNTA(Table2[[#This Row],[SEREAL NO.]:[REMARKS]])=SUM( L86:T86),SUM( L86:T86)&lt;&gt;0),Table2[[#This Row],[Instruction]],""))</f>
        <v/>
      </c>
      <c r="V86" s="804"/>
    </row>
    <row r="87" spans="9:22" x14ac:dyDescent="0.35">
      <c r="I87" s="1000"/>
      <c r="L87" s="998" t="str">
        <f>IF(AND(Table2[[#This Row],[ORDER NO.]]&lt;&gt;"", Table2[[#This Row],[ORDER NO.]]=Data!$B$1),1,"")</f>
        <v/>
      </c>
      <c r="M87" s="998" t="str">
        <f>IFERROR(IF(AND(Table2[[#This Row],[SEREAL NO.]]&lt;&gt;"", Table2[[#This Row],[SEREAL NO.]]=Data!$A$103),1,""),"")</f>
        <v/>
      </c>
      <c r="N87" s="998" t="str">
        <f>IF(AND(Table2[[#This Row],[SIZE]]&lt;&gt;"", Table2[[#This Row],[SIZE]]=Data!$B$3),1,"")</f>
        <v/>
      </c>
      <c r="O87" s="998" t="str">
        <f>IF(AND(Table2[[#This Row],[TYPE]]&lt;&gt;"", Table2[[#This Row],[TYPE]]=Data!$B$4),1,"")</f>
        <v/>
      </c>
      <c r="P87" s="998" t="str">
        <f>IF(AND(Table2[[#This Row],[LV5 MAT NO.]]&lt;&gt;"", Table2[[#This Row],[LV5 MAT NO.]]=Data!$B$5),1,"")</f>
        <v/>
      </c>
      <c r="Q87" s="998" t="str">
        <f>IF(AND(Table2[[#This Row],[FROM]]&lt;&gt;"", Table2[[#This Row],[FROM]]=Data!$B$7),1,"")</f>
        <v/>
      </c>
      <c r="R87" s="998" t="str">
        <f>IF(AND(Table2[[#This Row],[LV3 or LV4 MAT NO.]]&lt;&gt;"", Table2[[#This Row],[LV3 or LV4 MAT NO.]]=Data!$B$8),1,"")</f>
        <v/>
      </c>
      <c r="S87" s="998"/>
      <c r="T87" s="998"/>
      <c r="U87" s="804" t="str">
        <f>IF(Table4[[#This Row],[Write "N" To Remove The Default]]="N","",IF(AND(COUNTA(Table2[[#This Row],[SEREAL NO.]:[REMARKS]])=SUM( L87:T87),SUM( L87:T87)&lt;&gt;0),Table2[[#This Row],[Instruction]],""))</f>
        <v/>
      </c>
      <c r="V87" s="804"/>
    </row>
    <row r="88" spans="9:22" x14ac:dyDescent="0.35">
      <c r="I88" s="1000"/>
      <c r="L88" s="998" t="str">
        <f>IF(AND(Table2[[#This Row],[ORDER NO.]]&lt;&gt;"", Table2[[#This Row],[ORDER NO.]]=Data!$B$1),1,"")</f>
        <v/>
      </c>
      <c r="M88" s="998" t="str">
        <f>IFERROR(IF(AND(Table2[[#This Row],[SEREAL NO.]]&lt;&gt;"", Table2[[#This Row],[SEREAL NO.]]=Data!$A$103),1,""),"")</f>
        <v/>
      </c>
      <c r="N88" s="998" t="str">
        <f>IF(AND(Table2[[#This Row],[SIZE]]&lt;&gt;"", Table2[[#This Row],[SIZE]]=Data!$B$3),1,"")</f>
        <v/>
      </c>
      <c r="O88" s="998" t="str">
        <f>IF(AND(Table2[[#This Row],[TYPE]]&lt;&gt;"", Table2[[#This Row],[TYPE]]=Data!$B$4),1,"")</f>
        <v/>
      </c>
      <c r="P88" s="998" t="str">
        <f>IF(AND(Table2[[#This Row],[LV5 MAT NO.]]&lt;&gt;"", Table2[[#This Row],[LV5 MAT NO.]]=Data!$B$5),1,"")</f>
        <v/>
      </c>
      <c r="Q88" s="998" t="str">
        <f>IF(AND(Table2[[#This Row],[FROM]]&lt;&gt;"", Table2[[#This Row],[FROM]]=Data!$B$7),1,"")</f>
        <v/>
      </c>
      <c r="R88" s="998" t="str">
        <f>IF(AND(Table2[[#This Row],[LV3 or LV4 MAT NO.]]&lt;&gt;"", Table2[[#This Row],[LV3 or LV4 MAT NO.]]=Data!$B$8),1,"")</f>
        <v/>
      </c>
      <c r="S88" s="998"/>
      <c r="T88" s="998"/>
      <c r="U88" s="804" t="str">
        <f>IF(Table4[[#This Row],[Write "N" To Remove The Default]]="N","",IF(AND(COUNTA(Table2[[#This Row],[SEREAL NO.]:[REMARKS]])=SUM( L88:T88),SUM( L88:T88)&lt;&gt;0),Table2[[#This Row],[Instruction]],""))</f>
        <v/>
      </c>
      <c r="V88" s="804"/>
    </row>
    <row r="89" spans="9:22" x14ac:dyDescent="0.35">
      <c r="I89" s="1000"/>
      <c r="L89" s="998" t="str">
        <f>IF(AND(Table2[[#This Row],[ORDER NO.]]&lt;&gt;"", Table2[[#This Row],[ORDER NO.]]=Data!$B$1),1,"")</f>
        <v/>
      </c>
      <c r="M89" s="998" t="str">
        <f>IFERROR(IF(AND(Table2[[#This Row],[SEREAL NO.]]&lt;&gt;"", Table2[[#This Row],[SEREAL NO.]]=Data!$A$103),1,""),"")</f>
        <v/>
      </c>
      <c r="N89" s="998" t="str">
        <f>IF(AND(Table2[[#This Row],[SIZE]]&lt;&gt;"", Table2[[#This Row],[SIZE]]=Data!$B$3),1,"")</f>
        <v/>
      </c>
      <c r="O89" s="998" t="str">
        <f>IF(AND(Table2[[#This Row],[TYPE]]&lt;&gt;"", Table2[[#This Row],[TYPE]]=Data!$B$4),1,"")</f>
        <v/>
      </c>
      <c r="P89" s="998" t="str">
        <f>IF(AND(Table2[[#This Row],[LV5 MAT NO.]]&lt;&gt;"", Table2[[#This Row],[LV5 MAT NO.]]=Data!$B$5),1,"")</f>
        <v/>
      </c>
      <c r="Q89" s="998" t="str">
        <f>IF(AND(Table2[[#This Row],[FROM]]&lt;&gt;"", Table2[[#This Row],[FROM]]=Data!$B$7),1,"")</f>
        <v/>
      </c>
      <c r="R89" s="998" t="str">
        <f>IF(AND(Table2[[#This Row],[LV3 or LV4 MAT NO.]]&lt;&gt;"", Table2[[#This Row],[LV3 or LV4 MAT NO.]]=Data!$B$8),1,"")</f>
        <v/>
      </c>
      <c r="S89" s="998"/>
      <c r="T89" s="998"/>
      <c r="U89" s="804" t="str">
        <f>IF(Table4[[#This Row],[Write "N" To Remove The Default]]="N","",IF(AND(COUNTA(Table2[[#This Row],[SEREAL NO.]:[REMARKS]])=SUM( L89:T89),SUM( L89:T89)&lt;&gt;0),Table2[[#This Row],[Instruction]],""))</f>
        <v/>
      </c>
      <c r="V89" s="804"/>
    </row>
    <row r="90" spans="9:22" x14ac:dyDescent="0.35">
      <c r="I90" s="1000"/>
      <c r="L90" s="998" t="str">
        <f>IF(AND(Table2[[#This Row],[ORDER NO.]]&lt;&gt;"", Table2[[#This Row],[ORDER NO.]]=Data!$B$1),1,"")</f>
        <v/>
      </c>
      <c r="M90" s="998" t="str">
        <f>IFERROR(IF(AND(Table2[[#This Row],[SEREAL NO.]]&lt;&gt;"", Table2[[#This Row],[SEREAL NO.]]=Data!$A$103),1,""),"")</f>
        <v/>
      </c>
      <c r="N90" s="998" t="str">
        <f>IF(AND(Table2[[#This Row],[SIZE]]&lt;&gt;"", Table2[[#This Row],[SIZE]]=Data!$B$3),1,"")</f>
        <v/>
      </c>
      <c r="O90" s="998" t="str">
        <f>IF(AND(Table2[[#This Row],[TYPE]]&lt;&gt;"", Table2[[#This Row],[TYPE]]=Data!$B$4),1,"")</f>
        <v/>
      </c>
      <c r="P90" s="998" t="str">
        <f>IF(AND(Table2[[#This Row],[LV5 MAT NO.]]&lt;&gt;"", Table2[[#This Row],[LV5 MAT NO.]]=Data!$B$5),1,"")</f>
        <v/>
      </c>
      <c r="Q90" s="998" t="str">
        <f>IF(AND(Table2[[#This Row],[FROM]]&lt;&gt;"", Table2[[#This Row],[FROM]]=Data!$B$7),1,"")</f>
        <v/>
      </c>
      <c r="R90" s="998" t="str">
        <f>IF(AND(Table2[[#This Row],[LV3 or LV4 MAT NO.]]&lt;&gt;"", Table2[[#This Row],[LV3 or LV4 MAT NO.]]=Data!$B$8),1,"")</f>
        <v/>
      </c>
      <c r="S90" s="998"/>
      <c r="T90" s="998"/>
      <c r="U90" s="804" t="str">
        <f>IF(Table4[[#This Row],[Write "N" To Remove The Default]]="N","",IF(AND(COUNTA(Table2[[#This Row],[SEREAL NO.]:[REMARKS]])=SUM( L90:T90),SUM( L90:T90)&lt;&gt;0),Table2[[#This Row],[Instruction]],""))</f>
        <v/>
      </c>
      <c r="V90" s="804"/>
    </row>
    <row r="91" spans="9:22" x14ac:dyDescent="0.35">
      <c r="I91" s="1000"/>
      <c r="L91" s="998" t="str">
        <f>IF(AND(Table2[[#This Row],[ORDER NO.]]&lt;&gt;"", Table2[[#This Row],[ORDER NO.]]=Data!$B$1),1,"")</f>
        <v/>
      </c>
      <c r="M91" s="998" t="str">
        <f>IFERROR(IF(AND(Table2[[#This Row],[SEREAL NO.]]&lt;&gt;"", Table2[[#This Row],[SEREAL NO.]]=Data!$A$103),1,""),"")</f>
        <v/>
      </c>
      <c r="N91" s="998" t="str">
        <f>IF(AND(Table2[[#This Row],[SIZE]]&lt;&gt;"", Table2[[#This Row],[SIZE]]=Data!$B$3),1,"")</f>
        <v/>
      </c>
      <c r="O91" s="998" t="str">
        <f>IF(AND(Table2[[#This Row],[TYPE]]&lt;&gt;"", Table2[[#This Row],[TYPE]]=Data!$B$4),1,"")</f>
        <v/>
      </c>
      <c r="P91" s="998" t="str">
        <f>IF(AND(Table2[[#This Row],[LV5 MAT NO.]]&lt;&gt;"", Table2[[#This Row],[LV5 MAT NO.]]=Data!$B$5),1,"")</f>
        <v/>
      </c>
      <c r="Q91" s="998" t="str">
        <f>IF(AND(Table2[[#This Row],[FROM]]&lt;&gt;"", Table2[[#This Row],[FROM]]=Data!$B$7),1,"")</f>
        <v/>
      </c>
      <c r="R91" s="998" t="str">
        <f>IF(AND(Table2[[#This Row],[LV3 or LV4 MAT NO.]]&lt;&gt;"", Table2[[#This Row],[LV3 or LV4 MAT NO.]]=Data!$B$8),1,"")</f>
        <v/>
      </c>
      <c r="S91" s="998"/>
      <c r="T91" s="998"/>
      <c r="U91" s="804" t="str">
        <f>IF(Table4[[#This Row],[Write "N" To Remove The Default]]="N","",IF(AND(COUNTA(Table2[[#This Row],[SEREAL NO.]:[REMARKS]])=SUM( L91:T91),SUM( L91:T91)&lt;&gt;0),Table2[[#This Row],[Instruction]],""))</f>
        <v/>
      </c>
      <c r="V91" s="804"/>
    </row>
    <row r="92" spans="9:22" x14ac:dyDescent="0.35">
      <c r="I92" s="1000"/>
      <c r="L92" s="998" t="str">
        <f>IF(AND(Table2[[#This Row],[ORDER NO.]]&lt;&gt;"", Table2[[#This Row],[ORDER NO.]]=Data!$B$1),1,"")</f>
        <v/>
      </c>
      <c r="M92" s="998" t="str">
        <f>IFERROR(IF(AND(Table2[[#This Row],[SEREAL NO.]]&lt;&gt;"", Table2[[#This Row],[SEREAL NO.]]=Data!$A$103),1,""),"")</f>
        <v/>
      </c>
      <c r="N92" s="998" t="str">
        <f>IF(AND(Table2[[#This Row],[SIZE]]&lt;&gt;"", Table2[[#This Row],[SIZE]]=Data!$B$3),1,"")</f>
        <v/>
      </c>
      <c r="O92" s="998" t="str">
        <f>IF(AND(Table2[[#This Row],[TYPE]]&lt;&gt;"", Table2[[#This Row],[TYPE]]=Data!$B$4),1,"")</f>
        <v/>
      </c>
      <c r="P92" s="998" t="str">
        <f>IF(AND(Table2[[#This Row],[LV5 MAT NO.]]&lt;&gt;"", Table2[[#This Row],[LV5 MAT NO.]]=Data!$B$5),1,"")</f>
        <v/>
      </c>
      <c r="Q92" s="998" t="str">
        <f>IF(AND(Table2[[#This Row],[FROM]]&lt;&gt;"", Table2[[#This Row],[FROM]]=Data!$B$7),1,"")</f>
        <v/>
      </c>
      <c r="R92" s="998" t="str">
        <f>IF(AND(Table2[[#This Row],[LV3 or LV4 MAT NO.]]&lt;&gt;"", Table2[[#This Row],[LV3 or LV4 MAT NO.]]=Data!$B$8),1,"")</f>
        <v/>
      </c>
      <c r="S92" s="998"/>
      <c r="T92" s="998"/>
      <c r="U92" s="804" t="str">
        <f>IF(Table4[[#This Row],[Write "N" To Remove The Default]]="N","",IF(AND(COUNTA(Table2[[#This Row],[SEREAL NO.]:[REMARKS]])=SUM( L92:T92),SUM( L92:T92)&lt;&gt;0),Table2[[#This Row],[Instruction]],""))</f>
        <v/>
      </c>
      <c r="V92" s="804"/>
    </row>
    <row r="93" spans="9:22" x14ac:dyDescent="0.35">
      <c r="I93" s="1000"/>
      <c r="L93" s="998" t="str">
        <f>IF(AND(Table2[[#This Row],[ORDER NO.]]&lt;&gt;"", Table2[[#This Row],[ORDER NO.]]=Data!$B$1),1,"")</f>
        <v/>
      </c>
      <c r="M93" s="998" t="str">
        <f>IFERROR(IF(AND(Table2[[#This Row],[SEREAL NO.]]&lt;&gt;"", Table2[[#This Row],[SEREAL NO.]]=Data!$A$103),1,""),"")</f>
        <v/>
      </c>
      <c r="N93" s="998" t="str">
        <f>IF(AND(Table2[[#This Row],[SIZE]]&lt;&gt;"", Table2[[#This Row],[SIZE]]=Data!$B$3),1,"")</f>
        <v/>
      </c>
      <c r="O93" s="998" t="str">
        <f>IF(AND(Table2[[#This Row],[TYPE]]&lt;&gt;"", Table2[[#This Row],[TYPE]]=Data!$B$4),1,"")</f>
        <v/>
      </c>
      <c r="P93" s="998" t="str">
        <f>IF(AND(Table2[[#This Row],[LV5 MAT NO.]]&lt;&gt;"", Table2[[#This Row],[LV5 MAT NO.]]=Data!$B$5),1,"")</f>
        <v/>
      </c>
      <c r="Q93" s="998" t="str">
        <f>IF(AND(Table2[[#This Row],[FROM]]&lt;&gt;"", Table2[[#This Row],[FROM]]=Data!$B$7),1,"")</f>
        <v/>
      </c>
      <c r="R93" s="998" t="str">
        <f>IF(AND(Table2[[#This Row],[LV3 or LV4 MAT NO.]]&lt;&gt;"", Table2[[#This Row],[LV3 or LV4 MAT NO.]]=Data!$B$8),1,"")</f>
        <v/>
      </c>
      <c r="S93" s="998"/>
      <c r="T93" s="998"/>
      <c r="U93" s="804" t="str">
        <f>IF(Table4[[#This Row],[Write "N" To Remove The Default]]="N","",IF(AND(COUNTA(Table2[[#This Row],[SEREAL NO.]:[REMARKS]])=SUM( L93:T93),SUM( L93:T93)&lt;&gt;0),Table2[[#This Row],[Instruction]],""))</f>
        <v/>
      </c>
      <c r="V93" s="804"/>
    </row>
    <row r="94" spans="9:22" x14ac:dyDescent="0.35">
      <c r="I94" s="1000"/>
      <c r="L94" s="998" t="str">
        <f>IF(AND(Table2[[#This Row],[ORDER NO.]]&lt;&gt;"", Table2[[#This Row],[ORDER NO.]]=Data!$B$1),1,"")</f>
        <v/>
      </c>
      <c r="M94" s="998" t="str">
        <f>IFERROR(IF(AND(Table2[[#This Row],[SEREAL NO.]]&lt;&gt;"", Table2[[#This Row],[SEREAL NO.]]=Data!$A$103),1,""),"")</f>
        <v/>
      </c>
      <c r="N94" s="998" t="str">
        <f>IF(AND(Table2[[#This Row],[SIZE]]&lt;&gt;"", Table2[[#This Row],[SIZE]]=Data!$B$3),1,"")</f>
        <v/>
      </c>
      <c r="O94" s="998" t="str">
        <f>IF(AND(Table2[[#This Row],[TYPE]]&lt;&gt;"", Table2[[#This Row],[TYPE]]=Data!$B$4),1,"")</f>
        <v/>
      </c>
      <c r="P94" s="998" t="str">
        <f>IF(AND(Table2[[#This Row],[LV5 MAT NO.]]&lt;&gt;"", Table2[[#This Row],[LV5 MAT NO.]]=Data!$B$5),1,"")</f>
        <v/>
      </c>
      <c r="Q94" s="998" t="str">
        <f>IF(AND(Table2[[#This Row],[FROM]]&lt;&gt;"", Table2[[#This Row],[FROM]]=Data!$B$7),1,"")</f>
        <v/>
      </c>
      <c r="R94" s="998" t="str">
        <f>IF(AND(Table2[[#This Row],[LV3 or LV4 MAT NO.]]&lt;&gt;"", Table2[[#This Row],[LV3 or LV4 MAT NO.]]=Data!$B$8),1,"")</f>
        <v/>
      </c>
      <c r="S94" s="998"/>
      <c r="T94" s="998"/>
      <c r="U94" s="804" t="str">
        <f>IF(Table4[[#This Row],[Write "N" To Remove The Default]]="N","",IF(AND(COUNTA(Table2[[#This Row],[SEREAL NO.]:[REMARKS]])=SUM( L94:T94),SUM( L94:T94)&lt;&gt;0),Table2[[#This Row],[Instruction]],""))</f>
        <v/>
      </c>
      <c r="V94" s="804"/>
    </row>
    <row r="95" spans="9:22" x14ac:dyDescent="0.35">
      <c r="I95" s="1000"/>
      <c r="L95" s="998" t="str">
        <f>IF(AND(Table2[[#This Row],[ORDER NO.]]&lt;&gt;"", Table2[[#This Row],[ORDER NO.]]=Data!$B$1),1,"")</f>
        <v/>
      </c>
      <c r="M95" s="998" t="str">
        <f>IFERROR(IF(AND(Table2[[#This Row],[SEREAL NO.]]&lt;&gt;"", Table2[[#This Row],[SEREAL NO.]]=Data!$A$103),1,""),"")</f>
        <v/>
      </c>
      <c r="N95" s="998" t="str">
        <f>IF(AND(Table2[[#This Row],[SIZE]]&lt;&gt;"", Table2[[#This Row],[SIZE]]=Data!$B$3),1,"")</f>
        <v/>
      </c>
      <c r="O95" s="998" t="str">
        <f>IF(AND(Table2[[#This Row],[TYPE]]&lt;&gt;"", Table2[[#This Row],[TYPE]]=Data!$B$4),1,"")</f>
        <v/>
      </c>
      <c r="P95" s="998" t="str">
        <f>IF(AND(Table2[[#This Row],[LV5 MAT NO.]]&lt;&gt;"", Table2[[#This Row],[LV5 MAT NO.]]=Data!$B$5),1,"")</f>
        <v/>
      </c>
      <c r="Q95" s="998" t="str">
        <f>IF(AND(Table2[[#This Row],[FROM]]&lt;&gt;"", Table2[[#This Row],[FROM]]=Data!$B$7),1,"")</f>
        <v/>
      </c>
      <c r="R95" s="998" t="str">
        <f>IF(AND(Table2[[#This Row],[LV3 or LV4 MAT NO.]]&lt;&gt;"", Table2[[#This Row],[LV3 or LV4 MAT NO.]]=Data!$B$8),1,"")</f>
        <v/>
      </c>
      <c r="S95" s="998"/>
      <c r="T95" s="998"/>
      <c r="U95" s="804" t="str">
        <f>IF(Table4[[#This Row],[Write "N" To Remove The Default]]="N","",IF(AND(COUNTA(Table2[[#This Row],[SEREAL NO.]:[REMARKS]])=SUM( L95:T95),SUM( L95:T95)&lt;&gt;0),Table2[[#This Row],[Instruction]],""))</f>
        <v/>
      </c>
      <c r="V95" s="804"/>
    </row>
    <row r="96" spans="9:22" x14ac:dyDescent="0.35">
      <c r="I96" s="1000"/>
      <c r="L96" s="998" t="str">
        <f>IF(AND(Table2[[#This Row],[ORDER NO.]]&lt;&gt;"", Table2[[#This Row],[ORDER NO.]]=Data!$B$1),1,"")</f>
        <v/>
      </c>
      <c r="M96" s="998" t="str">
        <f>IFERROR(IF(AND(Table2[[#This Row],[SEREAL NO.]]&lt;&gt;"", Table2[[#This Row],[SEREAL NO.]]=Data!$A$103),1,""),"")</f>
        <v/>
      </c>
      <c r="N96" s="998" t="str">
        <f>IF(AND(Table2[[#This Row],[SIZE]]&lt;&gt;"", Table2[[#This Row],[SIZE]]=Data!$B$3),1,"")</f>
        <v/>
      </c>
      <c r="O96" s="998" t="str">
        <f>IF(AND(Table2[[#This Row],[TYPE]]&lt;&gt;"", Table2[[#This Row],[TYPE]]=Data!$B$4),1,"")</f>
        <v/>
      </c>
      <c r="P96" s="998" t="str">
        <f>IF(AND(Table2[[#This Row],[LV5 MAT NO.]]&lt;&gt;"", Table2[[#This Row],[LV5 MAT NO.]]=Data!$B$5),1,"")</f>
        <v/>
      </c>
      <c r="Q96" s="998" t="str">
        <f>IF(AND(Table2[[#This Row],[FROM]]&lt;&gt;"", Table2[[#This Row],[FROM]]=Data!$B$7),1,"")</f>
        <v/>
      </c>
      <c r="R96" s="998" t="str">
        <f>IF(AND(Table2[[#This Row],[LV3 or LV4 MAT NO.]]&lt;&gt;"", Table2[[#This Row],[LV3 or LV4 MAT NO.]]=Data!$B$8),1,"")</f>
        <v/>
      </c>
      <c r="S96" s="998"/>
      <c r="T96" s="998"/>
      <c r="U96" s="804" t="str">
        <f>IF(Table4[[#This Row],[Write "N" To Remove The Default]]="N","",IF(AND(COUNTA(Table2[[#This Row],[SEREAL NO.]:[REMARKS]])=SUM( L96:T96),SUM( L96:T96)&lt;&gt;0),Table2[[#This Row],[Instruction]],""))</f>
        <v/>
      </c>
      <c r="V96" s="804"/>
    </row>
    <row r="97" spans="9:22" x14ac:dyDescent="0.35">
      <c r="I97" s="1000"/>
      <c r="L97" s="998" t="str">
        <f>IF(AND(Table2[[#This Row],[ORDER NO.]]&lt;&gt;"", Table2[[#This Row],[ORDER NO.]]=Data!$B$1),1,"")</f>
        <v/>
      </c>
      <c r="M97" s="998" t="str">
        <f>IFERROR(IF(AND(Table2[[#This Row],[SEREAL NO.]]&lt;&gt;"", Table2[[#This Row],[SEREAL NO.]]=Data!$A$103),1,""),"")</f>
        <v/>
      </c>
      <c r="N97" s="998" t="str">
        <f>IF(AND(Table2[[#This Row],[SIZE]]&lt;&gt;"", Table2[[#This Row],[SIZE]]=Data!$B$3),1,"")</f>
        <v/>
      </c>
      <c r="O97" s="998" t="str">
        <f>IF(AND(Table2[[#This Row],[TYPE]]&lt;&gt;"", Table2[[#This Row],[TYPE]]=Data!$B$4),1,"")</f>
        <v/>
      </c>
      <c r="P97" s="998" t="str">
        <f>IF(AND(Table2[[#This Row],[LV5 MAT NO.]]&lt;&gt;"", Table2[[#This Row],[LV5 MAT NO.]]=Data!$B$5),1,"")</f>
        <v/>
      </c>
      <c r="Q97" s="998" t="str">
        <f>IF(AND(Table2[[#This Row],[FROM]]&lt;&gt;"", Table2[[#This Row],[FROM]]=Data!$B$7),1,"")</f>
        <v/>
      </c>
      <c r="R97" s="998" t="str">
        <f>IF(AND(Table2[[#This Row],[LV3 or LV4 MAT NO.]]&lt;&gt;"", Table2[[#This Row],[LV3 or LV4 MAT NO.]]=Data!$B$8),1,"")</f>
        <v/>
      </c>
      <c r="S97" s="998"/>
      <c r="T97" s="998"/>
      <c r="U97" s="804" t="str">
        <f>IF(Table4[[#This Row],[Write "N" To Remove The Default]]="N","",IF(AND(COUNTA(Table2[[#This Row],[SEREAL NO.]:[REMARKS]])=SUM( L97:T97),SUM( L97:T97)&lt;&gt;0),Table2[[#This Row],[Instruction]],""))</f>
        <v/>
      </c>
      <c r="V97" s="804"/>
    </row>
    <row r="98" spans="9:22" x14ac:dyDescent="0.35">
      <c r="I98" s="1000"/>
      <c r="L98" s="998" t="str">
        <f>IF(AND(Table2[[#This Row],[ORDER NO.]]&lt;&gt;"", Table2[[#This Row],[ORDER NO.]]=Data!$B$1),1,"")</f>
        <v/>
      </c>
      <c r="M98" s="998" t="str">
        <f>IFERROR(IF(AND(Table2[[#This Row],[SEREAL NO.]]&lt;&gt;"", Table2[[#This Row],[SEREAL NO.]]=Data!$A$103),1,""),"")</f>
        <v/>
      </c>
      <c r="N98" s="998" t="str">
        <f>IF(AND(Table2[[#This Row],[SIZE]]&lt;&gt;"", Table2[[#This Row],[SIZE]]=Data!$B$3),1,"")</f>
        <v/>
      </c>
      <c r="O98" s="998" t="str">
        <f>IF(AND(Table2[[#This Row],[TYPE]]&lt;&gt;"", Table2[[#This Row],[TYPE]]=Data!$B$4),1,"")</f>
        <v/>
      </c>
      <c r="P98" s="998" t="str">
        <f>IF(AND(Table2[[#This Row],[LV5 MAT NO.]]&lt;&gt;"", Table2[[#This Row],[LV5 MAT NO.]]=Data!$B$5),1,"")</f>
        <v/>
      </c>
      <c r="Q98" s="998" t="str">
        <f>IF(AND(Table2[[#This Row],[FROM]]&lt;&gt;"", Table2[[#This Row],[FROM]]=Data!$B$7),1,"")</f>
        <v/>
      </c>
      <c r="R98" s="998" t="str">
        <f>IF(AND(Table2[[#This Row],[LV3 or LV4 MAT NO.]]&lt;&gt;"", Table2[[#This Row],[LV3 or LV4 MAT NO.]]=Data!$B$8),1,"")</f>
        <v/>
      </c>
      <c r="S98" s="998"/>
      <c r="T98" s="998"/>
      <c r="U98" s="804" t="str">
        <f>IF(Table4[[#This Row],[Write "N" To Remove The Default]]="N","",IF(AND(COUNTA(Table2[[#This Row],[SEREAL NO.]:[REMARKS]])=SUM( L98:T98),SUM( L98:T98)&lt;&gt;0),Table2[[#This Row],[Instruction]],""))</f>
        <v/>
      </c>
      <c r="V98" s="804"/>
    </row>
    <row r="99" spans="9:22" x14ac:dyDescent="0.35">
      <c r="I99" s="1000"/>
      <c r="L99" s="998" t="str">
        <f>IF(AND(Table2[[#This Row],[ORDER NO.]]&lt;&gt;"", Table2[[#This Row],[ORDER NO.]]=Data!$B$1),1,"")</f>
        <v/>
      </c>
      <c r="M99" s="998" t="str">
        <f>IFERROR(IF(AND(Table2[[#This Row],[SEREAL NO.]]&lt;&gt;"", Table2[[#This Row],[SEREAL NO.]]=Data!$A$103),1,""),"")</f>
        <v/>
      </c>
      <c r="N99" s="998" t="str">
        <f>IF(AND(Table2[[#This Row],[SIZE]]&lt;&gt;"", Table2[[#This Row],[SIZE]]=Data!$B$3),1,"")</f>
        <v/>
      </c>
      <c r="O99" s="998" t="str">
        <f>IF(AND(Table2[[#This Row],[TYPE]]&lt;&gt;"", Table2[[#This Row],[TYPE]]=Data!$B$4),1,"")</f>
        <v/>
      </c>
      <c r="P99" s="998" t="str">
        <f>IF(AND(Table2[[#This Row],[LV5 MAT NO.]]&lt;&gt;"", Table2[[#This Row],[LV5 MAT NO.]]=Data!$B$5),1,"")</f>
        <v/>
      </c>
      <c r="Q99" s="998" t="str">
        <f>IF(AND(Table2[[#This Row],[FROM]]&lt;&gt;"", Table2[[#This Row],[FROM]]=Data!$B$7),1,"")</f>
        <v/>
      </c>
      <c r="R99" s="998" t="str">
        <f>IF(AND(Table2[[#This Row],[LV3 or LV4 MAT NO.]]&lt;&gt;"", Table2[[#This Row],[LV3 or LV4 MAT NO.]]=Data!$B$8),1,"")</f>
        <v/>
      </c>
      <c r="S99" s="998"/>
      <c r="T99" s="998"/>
      <c r="U99" s="804" t="str">
        <f>IF(Table4[[#This Row],[Write "N" To Remove The Default]]="N","",IF(AND(COUNTA(Table2[[#This Row],[SEREAL NO.]:[REMARKS]])=SUM( L99:T99),SUM( L99:T99)&lt;&gt;0),Table2[[#This Row],[Instruction]],""))</f>
        <v/>
      </c>
      <c r="V99" s="804"/>
    </row>
    <row r="100" spans="9:22" x14ac:dyDescent="0.35">
      <c r="I100" s="1000"/>
      <c r="L100" s="998" t="str">
        <f>IF(AND(Table2[[#This Row],[ORDER NO.]]&lt;&gt;"", Table2[[#This Row],[ORDER NO.]]=Data!$B$1),1,"")</f>
        <v/>
      </c>
      <c r="M100" s="998" t="str">
        <f>IFERROR(IF(AND(Table2[[#This Row],[SEREAL NO.]]&lt;&gt;"", Table2[[#This Row],[SEREAL NO.]]=Data!$A$103),1,""),"")</f>
        <v/>
      </c>
      <c r="N100" s="998" t="str">
        <f>IF(AND(Table2[[#This Row],[SIZE]]&lt;&gt;"", Table2[[#This Row],[SIZE]]=Data!$B$3),1,"")</f>
        <v/>
      </c>
      <c r="O100" s="998" t="str">
        <f>IF(AND(Table2[[#This Row],[TYPE]]&lt;&gt;"", Table2[[#This Row],[TYPE]]=Data!$B$4),1,"")</f>
        <v/>
      </c>
      <c r="P100" s="998" t="str">
        <f>IF(AND(Table2[[#This Row],[LV5 MAT NO.]]&lt;&gt;"", Table2[[#This Row],[LV5 MAT NO.]]=Data!$B$5),1,"")</f>
        <v/>
      </c>
      <c r="Q100" s="998" t="str">
        <f>IF(AND(Table2[[#This Row],[FROM]]&lt;&gt;"", Table2[[#This Row],[FROM]]=Data!$B$7),1,"")</f>
        <v/>
      </c>
      <c r="R100" s="998" t="str">
        <f>IF(AND(Table2[[#This Row],[LV3 or LV4 MAT NO.]]&lt;&gt;"", Table2[[#This Row],[LV3 or LV4 MAT NO.]]=Data!$B$8),1,"")</f>
        <v/>
      </c>
      <c r="S100" s="998"/>
      <c r="T100" s="998"/>
      <c r="U100" s="804" t="str">
        <f>IF(Table4[[#This Row],[Write "N" To Remove The Default]]="N","",IF(AND(COUNTA(Table2[[#This Row],[SEREAL NO.]:[REMARKS]])=SUM( L100:T100),SUM( L100:T100)&lt;&gt;0),Table2[[#This Row],[Instruction]],""))</f>
        <v/>
      </c>
      <c r="V100" s="804"/>
    </row>
    <row r="101" spans="9:22" x14ac:dyDescent="0.35">
      <c r="I101" s="1000"/>
      <c r="L101" s="998" t="str">
        <f>IF(AND(Table2[[#This Row],[ORDER NO.]]&lt;&gt;"", Table2[[#This Row],[ORDER NO.]]=Data!$B$1),1,"")</f>
        <v/>
      </c>
      <c r="M101" s="998" t="str">
        <f>IFERROR(IF(AND(Table2[[#This Row],[SEREAL NO.]]&lt;&gt;"", Table2[[#This Row],[SEREAL NO.]]=Data!$A$103),1,""),"")</f>
        <v/>
      </c>
      <c r="N101" s="998" t="str">
        <f>IF(AND(Table2[[#This Row],[SIZE]]&lt;&gt;"", Table2[[#This Row],[SIZE]]=Data!$B$3),1,"")</f>
        <v/>
      </c>
      <c r="O101" s="998" t="str">
        <f>IF(AND(Table2[[#This Row],[TYPE]]&lt;&gt;"", Table2[[#This Row],[TYPE]]=Data!$B$4),1,"")</f>
        <v/>
      </c>
      <c r="P101" s="998" t="str">
        <f>IF(AND(Table2[[#This Row],[LV5 MAT NO.]]&lt;&gt;"", Table2[[#This Row],[LV5 MAT NO.]]=Data!$B$5),1,"")</f>
        <v/>
      </c>
      <c r="Q101" s="998" t="str">
        <f>IF(AND(Table2[[#This Row],[FROM]]&lt;&gt;"", Table2[[#This Row],[FROM]]=Data!$B$7),1,"")</f>
        <v/>
      </c>
      <c r="R101" s="998" t="str">
        <f>IF(AND(Table2[[#This Row],[LV3 or LV4 MAT NO.]]&lt;&gt;"", Table2[[#This Row],[LV3 or LV4 MAT NO.]]=Data!$B$8),1,"")</f>
        <v/>
      </c>
      <c r="S101" s="998"/>
      <c r="T101" s="998"/>
      <c r="U101" s="804" t="str">
        <f>IF(Table4[[#This Row],[Write "N" To Remove The Default]]="N","",IF(AND(COUNTA(Table2[[#This Row],[SEREAL NO.]:[REMARKS]])=SUM( L101:T101),SUM( L101:T101)&lt;&gt;0),Table2[[#This Row],[Instruction]],""))</f>
        <v/>
      </c>
      <c r="V101" s="804"/>
    </row>
    <row r="102" spans="9:22" x14ac:dyDescent="0.35">
      <c r="I102" s="1000"/>
      <c r="L102" s="998" t="str">
        <f>IF(AND(Table2[[#This Row],[ORDER NO.]]&lt;&gt;"", Table2[[#This Row],[ORDER NO.]]=Data!$B$1),1,"")</f>
        <v/>
      </c>
      <c r="M102" s="998" t="str">
        <f>IFERROR(IF(AND(Table2[[#This Row],[SEREAL NO.]]&lt;&gt;"", Table2[[#This Row],[SEREAL NO.]]=Data!$A$103),1,""),"")</f>
        <v/>
      </c>
      <c r="N102" s="998" t="str">
        <f>IF(AND(Table2[[#This Row],[SIZE]]&lt;&gt;"", Table2[[#This Row],[SIZE]]=Data!$B$3),1,"")</f>
        <v/>
      </c>
      <c r="O102" s="998" t="str">
        <f>IF(AND(Table2[[#This Row],[TYPE]]&lt;&gt;"", Table2[[#This Row],[TYPE]]=Data!$B$4),1,"")</f>
        <v/>
      </c>
      <c r="P102" s="998" t="str">
        <f>IF(AND(Table2[[#This Row],[LV5 MAT NO.]]&lt;&gt;"", Table2[[#This Row],[LV5 MAT NO.]]=Data!$B$5),1,"")</f>
        <v/>
      </c>
      <c r="Q102" s="998" t="str">
        <f>IF(AND(Table2[[#This Row],[FROM]]&lt;&gt;"", Table2[[#This Row],[FROM]]=Data!$B$7),1,"")</f>
        <v/>
      </c>
      <c r="R102" s="998" t="str">
        <f>IF(AND(Table2[[#This Row],[LV3 or LV4 MAT NO.]]&lt;&gt;"", Table2[[#This Row],[LV3 or LV4 MAT NO.]]=Data!$B$8),1,"")</f>
        <v/>
      </c>
      <c r="S102" s="998"/>
      <c r="T102" s="998"/>
      <c r="U102" s="804" t="str">
        <f>IF(Table4[[#This Row],[Write "N" To Remove The Default]]="N","",IF(AND(COUNTA(Table2[[#This Row],[SEREAL NO.]:[REMARKS]])=SUM( L102:T102),SUM( L102:T102)&lt;&gt;0),Table2[[#This Row],[Instruction]],""))</f>
        <v/>
      </c>
      <c r="V102" s="804"/>
    </row>
    <row r="103" spans="9:22" x14ac:dyDescent="0.35">
      <c r="I103" s="1000"/>
      <c r="L103" s="998" t="str">
        <f>IF(AND(Table2[[#This Row],[ORDER NO.]]&lt;&gt;"", Table2[[#This Row],[ORDER NO.]]=Data!$B$1),1,"")</f>
        <v/>
      </c>
      <c r="M103" s="998" t="str">
        <f>IFERROR(IF(AND(Table2[[#This Row],[SEREAL NO.]]&lt;&gt;"", Table2[[#This Row],[SEREAL NO.]]=Data!$A$103),1,""),"")</f>
        <v/>
      </c>
      <c r="N103" s="998" t="str">
        <f>IF(AND(Table2[[#This Row],[SIZE]]&lt;&gt;"", Table2[[#This Row],[SIZE]]=Data!$B$3),1,"")</f>
        <v/>
      </c>
      <c r="O103" s="998" t="str">
        <f>IF(AND(Table2[[#This Row],[TYPE]]&lt;&gt;"", Table2[[#This Row],[TYPE]]=Data!$B$4),1,"")</f>
        <v/>
      </c>
      <c r="P103" s="998" t="str">
        <f>IF(AND(Table2[[#This Row],[LV5 MAT NO.]]&lt;&gt;"", Table2[[#This Row],[LV5 MAT NO.]]=Data!$B$5),1,"")</f>
        <v/>
      </c>
      <c r="Q103" s="998" t="str">
        <f>IF(AND(Table2[[#This Row],[FROM]]&lt;&gt;"", Table2[[#This Row],[FROM]]=Data!$B$7),1,"")</f>
        <v/>
      </c>
      <c r="R103" s="998" t="str">
        <f>IF(AND(Table2[[#This Row],[LV3 or LV4 MAT NO.]]&lt;&gt;"", Table2[[#This Row],[LV3 or LV4 MAT NO.]]=Data!$B$8),1,"")</f>
        <v/>
      </c>
      <c r="S103" s="998"/>
      <c r="T103" s="998"/>
      <c r="U103" s="804" t="str">
        <f>IF(Table4[[#This Row],[Write "N" To Remove The Default]]="N","",IF(AND(COUNTA(Table2[[#This Row],[SEREAL NO.]:[REMARKS]])=SUM( L103:T103),SUM( L103:T103)&lt;&gt;0),Table2[[#This Row],[Instruction]],""))</f>
        <v/>
      </c>
      <c r="V103" s="804"/>
    </row>
    <row r="104" spans="9:22" x14ac:dyDescent="0.35">
      <c r="I104" s="1000"/>
      <c r="L104" s="998" t="str">
        <f>IF(AND(Table2[[#This Row],[ORDER NO.]]&lt;&gt;"", Table2[[#This Row],[ORDER NO.]]=Data!$B$1),1,"")</f>
        <v/>
      </c>
      <c r="M104" s="998" t="str">
        <f>IFERROR(IF(AND(Table2[[#This Row],[SEREAL NO.]]&lt;&gt;"", Table2[[#This Row],[SEREAL NO.]]=Data!$A$103),1,""),"")</f>
        <v/>
      </c>
      <c r="N104" s="998" t="str">
        <f>IF(AND(Table2[[#This Row],[SIZE]]&lt;&gt;"", Table2[[#This Row],[SIZE]]=Data!$B$3),1,"")</f>
        <v/>
      </c>
      <c r="O104" s="998" t="str">
        <f>IF(AND(Table2[[#This Row],[TYPE]]&lt;&gt;"", Table2[[#This Row],[TYPE]]=Data!$B$4),1,"")</f>
        <v/>
      </c>
      <c r="P104" s="998" t="str">
        <f>IF(AND(Table2[[#This Row],[LV5 MAT NO.]]&lt;&gt;"", Table2[[#This Row],[LV5 MAT NO.]]=Data!$B$5),1,"")</f>
        <v/>
      </c>
      <c r="Q104" s="998" t="str">
        <f>IF(AND(Table2[[#This Row],[FROM]]&lt;&gt;"", Table2[[#This Row],[FROM]]=Data!$B$7),1,"")</f>
        <v/>
      </c>
      <c r="R104" s="998" t="str">
        <f>IF(AND(Table2[[#This Row],[LV3 or LV4 MAT NO.]]&lt;&gt;"", Table2[[#This Row],[LV3 or LV4 MAT NO.]]=Data!$B$8),1,"")</f>
        <v/>
      </c>
      <c r="S104" s="998"/>
      <c r="T104" s="998"/>
      <c r="U104" s="804" t="str">
        <f>IF(Table4[[#This Row],[Write "N" To Remove The Default]]="N","",IF(AND(COUNTA(Table2[[#This Row],[SEREAL NO.]:[REMARKS]])=SUM( L104:T104),SUM( L104:T104)&lt;&gt;0),Table2[[#This Row],[Instruction]],""))</f>
        <v/>
      </c>
      <c r="V104" s="804"/>
    </row>
    <row r="105" spans="9:22" x14ac:dyDescent="0.35">
      <c r="I105" s="1000"/>
      <c r="L105" s="998" t="str">
        <f>IF(AND(Table2[[#This Row],[ORDER NO.]]&lt;&gt;"", Table2[[#This Row],[ORDER NO.]]=Data!$B$1),1,"")</f>
        <v/>
      </c>
      <c r="M105" s="998" t="str">
        <f>IFERROR(IF(AND(Table2[[#This Row],[SEREAL NO.]]&lt;&gt;"", Table2[[#This Row],[SEREAL NO.]]=Data!$A$103),1,""),"")</f>
        <v/>
      </c>
      <c r="N105" s="998" t="str">
        <f>IF(AND(Table2[[#This Row],[SIZE]]&lt;&gt;"", Table2[[#This Row],[SIZE]]=Data!$B$3),1,"")</f>
        <v/>
      </c>
      <c r="O105" s="998" t="str">
        <f>IF(AND(Table2[[#This Row],[TYPE]]&lt;&gt;"", Table2[[#This Row],[TYPE]]=Data!$B$4),1,"")</f>
        <v/>
      </c>
      <c r="P105" s="998" t="str">
        <f>IF(AND(Table2[[#This Row],[LV5 MAT NO.]]&lt;&gt;"", Table2[[#This Row],[LV5 MAT NO.]]=Data!$B$5),1,"")</f>
        <v/>
      </c>
      <c r="Q105" s="998" t="str">
        <f>IF(AND(Table2[[#This Row],[FROM]]&lt;&gt;"", Table2[[#This Row],[FROM]]=Data!$B$7),1,"")</f>
        <v/>
      </c>
      <c r="R105" s="998" t="str">
        <f>IF(AND(Table2[[#This Row],[LV3 or LV4 MAT NO.]]&lt;&gt;"", Table2[[#This Row],[LV3 or LV4 MAT NO.]]=Data!$B$8),1,"")</f>
        <v/>
      </c>
      <c r="S105" s="998"/>
      <c r="T105" s="998"/>
      <c r="U105" s="804" t="str">
        <f>IF(Table4[[#This Row],[Write "N" To Remove The Default]]="N","",IF(AND(COUNTA(Table2[[#This Row],[SEREAL NO.]:[REMARKS]])=SUM( L105:T105),SUM( L105:T105)&lt;&gt;0),Table2[[#This Row],[Instruction]],""))</f>
        <v/>
      </c>
      <c r="V105" s="804"/>
    </row>
    <row r="106" spans="9:22" x14ac:dyDescent="0.35">
      <c r="I106" s="1000"/>
      <c r="L106" s="998" t="str">
        <f>IF(AND(Table2[[#This Row],[ORDER NO.]]&lt;&gt;"", Table2[[#This Row],[ORDER NO.]]=Data!$B$1),1,"")</f>
        <v/>
      </c>
      <c r="M106" s="998" t="str">
        <f>IFERROR(IF(AND(Table2[[#This Row],[SEREAL NO.]]&lt;&gt;"", Table2[[#This Row],[SEREAL NO.]]=Data!$A$103),1,""),"")</f>
        <v/>
      </c>
      <c r="N106" s="998" t="str">
        <f>IF(AND(Table2[[#This Row],[SIZE]]&lt;&gt;"", Table2[[#This Row],[SIZE]]=Data!$B$3),1,"")</f>
        <v/>
      </c>
      <c r="O106" s="998" t="str">
        <f>IF(AND(Table2[[#This Row],[TYPE]]&lt;&gt;"", Table2[[#This Row],[TYPE]]=Data!$B$4),1,"")</f>
        <v/>
      </c>
      <c r="P106" s="998" t="str">
        <f>IF(AND(Table2[[#This Row],[LV5 MAT NO.]]&lt;&gt;"", Table2[[#This Row],[LV5 MAT NO.]]=Data!$B$5),1,"")</f>
        <v/>
      </c>
      <c r="Q106" s="998" t="str">
        <f>IF(AND(Table2[[#This Row],[FROM]]&lt;&gt;"", Table2[[#This Row],[FROM]]=Data!$B$7),1,"")</f>
        <v/>
      </c>
      <c r="R106" s="998" t="str">
        <f>IF(AND(Table2[[#This Row],[LV3 or LV4 MAT NO.]]&lt;&gt;"", Table2[[#This Row],[LV3 or LV4 MAT NO.]]=Data!$B$8),1,"")</f>
        <v/>
      </c>
      <c r="S106" s="998"/>
      <c r="T106" s="998"/>
      <c r="U106" s="804" t="str">
        <f>IF(Table4[[#This Row],[Write "N" To Remove The Default]]="N","",IF(AND(COUNTA(Table2[[#This Row],[SEREAL NO.]:[REMARKS]])=SUM( L106:T106),SUM( L106:T106)&lt;&gt;0),Table2[[#This Row],[Instruction]],""))</f>
        <v/>
      </c>
      <c r="V106" s="804"/>
    </row>
    <row r="107" spans="9:22" x14ac:dyDescent="0.35">
      <c r="I107" s="1000"/>
      <c r="L107" s="998" t="str">
        <f>IF(AND(Table2[[#This Row],[ORDER NO.]]&lt;&gt;"", Table2[[#This Row],[ORDER NO.]]=Data!$B$1),1,"")</f>
        <v/>
      </c>
      <c r="M107" s="998" t="str">
        <f>IFERROR(IF(AND(Table2[[#This Row],[SEREAL NO.]]&lt;&gt;"", Table2[[#This Row],[SEREAL NO.]]=Data!$A$103),1,""),"")</f>
        <v/>
      </c>
      <c r="N107" s="998" t="str">
        <f>IF(AND(Table2[[#This Row],[SIZE]]&lt;&gt;"", Table2[[#This Row],[SIZE]]=Data!$B$3),1,"")</f>
        <v/>
      </c>
      <c r="O107" s="998" t="str">
        <f>IF(AND(Table2[[#This Row],[TYPE]]&lt;&gt;"", Table2[[#This Row],[TYPE]]=Data!$B$4),1,"")</f>
        <v/>
      </c>
      <c r="P107" s="998" t="str">
        <f>IF(AND(Table2[[#This Row],[LV5 MAT NO.]]&lt;&gt;"", Table2[[#This Row],[LV5 MAT NO.]]=Data!$B$5),1,"")</f>
        <v/>
      </c>
      <c r="Q107" s="998" t="str">
        <f>IF(AND(Table2[[#This Row],[FROM]]&lt;&gt;"", Table2[[#This Row],[FROM]]=Data!$B$7),1,"")</f>
        <v/>
      </c>
      <c r="R107" s="998" t="str">
        <f>IF(AND(Table2[[#This Row],[LV3 or LV4 MAT NO.]]&lt;&gt;"", Table2[[#This Row],[LV3 or LV4 MAT NO.]]=Data!$B$8),1,"")</f>
        <v/>
      </c>
      <c r="S107" s="998"/>
      <c r="T107" s="998"/>
      <c r="U107" s="804" t="str">
        <f>IF(Table4[[#This Row],[Write "N" To Remove The Default]]="N","",IF(AND(COUNTA(Table2[[#This Row],[SEREAL NO.]:[REMARKS]])=SUM( L107:T107),SUM( L107:T107)&lt;&gt;0),Table2[[#This Row],[Instruction]],""))</f>
        <v/>
      </c>
      <c r="V107" s="804"/>
    </row>
    <row r="108" spans="9:22" x14ac:dyDescent="0.35">
      <c r="I108" s="1000"/>
      <c r="L108" s="998" t="str">
        <f>IF(AND(Table2[[#This Row],[ORDER NO.]]&lt;&gt;"", Table2[[#This Row],[ORDER NO.]]=Data!$B$1),1,"")</f>
        <v/>
      </c>
      <c r="M108" s="998" t="str">
        <f>IFERROR(IF(AND(Table2[[#This Row],[SEREAL NO.]]&lt;&gt;"", Table2[[#This Row],[SEREAL NO.]]=Data!$A$103),1,""),"")</f>
        <v/>
      </c>
      <c r="N108" s="998" t="str">
        <f>IF(AND(Table2[[#This Row],[SIZE]]&lt;&gt;"", Table2[[#This Row],[SIZE]]=Data!$B$3),1,"")</f>
        <v/>
      </c>
      <c r="O108" s="998" t="str">
        <f>IF(AND(Table2[[#This Row],[TYPE]]&lt;&gt;"", Table2[[#This Row],[TYPE]]=Data!$B$4),1,"")</f>
        <v/>
      </c>
      <c r="P108" s="998" t="str">
        <f>IF(AND(Table2[[#This Row],[LV5 MAT NO.]]&lt;&gt;"", Table2[[#This Row],[LV5 MAT NO.]]=Data!$B$5),1,"")</f>
        <v/>
      </c>
      <c r="Q108" s="998" t="str">
        <f>IF(AND(Table2[[#This Row],[FROM]]&lt;&gt;"", Table2[[#This Row],[FROM]]=Data!$B$7),1,"")</f>
        <v/>
      </c>
      <c r="R108" s="998" t="str">
        <f>IF(AND(Table2[[#This Row],[LV3 or LV4 MAT NO.]]&lt;&gt;"", Table2[[#This Row],[LV3 or LV4 MAT NO.]]=Data!$B$8),1,"")</f>
        <v/>
      </c>
      <c r="S108" s="998"/>
      <c r="T108" s="998"/>
      <c r="U108" s="804" t="str">
        <f>IF(Table4[[#This Row],[Write "N" To Remove The Default]]="N","",IF(AND(COUNTA(Table2[[#This Row],[SEREAL NO.]:[REMARKS]])=SUM( L108:T108),SUM( L108:T108)&lt;&gt;0),Table2[[#This Row],[Instruction]],""))</f>
        <v/>
      </c>
      <c r="V108" s="804"/>
    </row>
    <row r="109" spans="9:22" x14ac:dyDescent="0.35">
      <c r="I109" s="1000"/>
      <c r="L109" s="998" t="str">
        <f>IF(AND(Table2[[#This Row],[ORDER NO.]]&lt;&gt;"", Table2[[#This Row],[ORDER NO.]]=Data!$B$1),1,"")</f>
        <v/>
      </c>
      <c r="M109" s="998" t="str">
        <f>IFERROR(IF(AND(Table2[[#This Row],[SEREAL NO.]]&lt;&gt;"", Table2[[#This Row],[SEREAL NO.]]=Data!$A$103),1,""),"")</f>
        <v/>
      </c>
      <c r="N109" s="998" t="str">
        <f>IF(AND(Table2[[#This Row],[SIZE]]&lt;&gt;"", Table2[[#This Row],[SIZE]]=Data!$B$3),1,"")</f>
        <v/>
      </c>
      <c r="O109" s="998" t="str">
        <f>IF(AND(Table2[[#This Row],[TYPE]]&lt;&gt;"", Table2[[#This Row],[TYPE]]=Data!$B$4),1,"")</f>
        <v/>
      </c>
      <c r="P109" s="998" t="str">
        <f>IF(AND(Table2[[#This Row],[LV5 MAT NO.]]&lt;&gt;"", Table2[[#This Row],[LV5 MAT NO.]]=Data!$B$5),1,"")</f>
        <v/>
      </c>
      <c r="Q109" s="998" t="str">
        <f>IF(AND(Table2[[#This Row],[FROM]]&lt;&gt;"", Table2[[#This Row],[FROM]]=Data!$B$7),1,"")</f>
        <v/>
      </c>
      <c r="R109" s="998" t="str">
        <f>IF(AND(Table2[[#This Row],[LV3 or LV4 MAT NO.]]&lt;&gt;"", Table2[[#This Row],[LV3 or LV4 MAT NO.]]=Data!$B$8),1,"")</f>
        <v/>
      </c>
      <c r="S109" s="998"/>
      <c r="T109" s="998"/>
      <c r="U109" s="804" t="str">
        <f>IF(Table4[[#This Row],[Write "N" To Remove The Default]]="N","",IF(AND(COUNTA(Table2[[#This Row],[SEREAL NO.]:[REMARKS]])=SUM( L109:T109),SUM( L109:T109)&lt;&gt;0),Table2[[#This Row],[Instruction]],""))</f>
        <v/>
      </c>
      <c r="V109" s="804"/>
    </row>
    <row r="110" spans="9:22" x14ac:dyDescent="0.35">
      <c r="I110" s="1000"/>
      <c r="L110" s="998" t="str">
        <f>IF(AND(Table2[[#This Row],[ORDER NO.]]&lt;&gt;"", Table2[[#This Row],[ORDER NO.]]=Data!$B$1),1,"")</f>
        <v/>
      </c>
      <c r="M110" s="998" t="str">
        <f>IFERROR(IF(AND(Table2[[#This Row],[SEREAL NO.]]&lt;&gt;"", Table2[[#This Row],[SEREAL NO.]]=Data!$A$103),1,""),"")</f>
        <v/>
      </c>
      <c r="N110" s="998" t="str">
        <f>IF(AND(Table2[[#This Row],[SIZE]]&lt;&gt;"", Table2[[#This Row],[SIZE]]=Data!$B$3),1,"")</f>
        <v/>
      </c>
      <c r="O110" s="998" t="str">
        <f>IF(AND(Table2[[#This Row],[TYPE]]&lt;&gt;"", Table2[[#This Row],[TYPE]]=Data!$B$4),1,"")</f>
        <v/>
      </c>
      <c r="P110" s="998" t="str">
        <f>IF(AND(Table2[[#This Row],[LV5 MAT NO.]]&lt;&gt;"", Table2[[#This Row],[LV5 MAT NO.]]=Data!$B$5),1,"")</f>
        <v/>
      </c>
      <c r="Q110" s="998" t="str">
        <f>IF(AND(Table2[[#This Row],[FROM]]&lt;&gt;"", Table2[[#This Row],[FROM]]=Data!$B$7),1,"")</f>
        <v/>
      </c>
      <c r="R110" s="998" t="str">
        <f>IF(AND(Table2[[#This Row],[LV3 or LV4 MAT NO.]]&lt;&gt;"", Table2[[#This Row],[LV3 or LV4 MAT NO.]]=Data!$B$8),1,"")</f>
        <v/>
      </c>
      <c r="S110" s="998"/>
      <c r="T110" s="998"/>
      <c r="U110" s="804" t="str">
        <f>IF(Table4[[#This Row],[Write "N" To Remove The Default]]="N","",IF(AND(COUNTA(Table2[[#This Row],[SEREAL NO.]:[REMARKS]])=SUM( L110:T110),SUM( L110:T110)&lt;&gt;0),Table2[[#This Row],[Instruction]],""))</f>
        <v/>
      </c>
      <c r="V110" s="804"/>
    </row>
    <row r="111" spans="9:22" x14ac:dyDescent="0.35">
      <c r="I111" s="1000"/>
      <c r="L111" s="998" t="str">
        <f>IF(AND(Table2[[#This Row],[ORDER NO.]]&lt;&gt;"", Table2[[#This Row],[ORDER NO.]]=Data!$B$1),1,"")</f>
        <v/>
      </c>
      <c r="M111" s="998" t="str">
        <f>IFERROR(IF(AND(Table2[[#This Row],[SEREAL NO.]]&lt;&gt;"", Table2[[#This Row],[SEREAL NO.]]=Data!$A$103),1,""),"")</f>
        <v/>
      </c>
      <c r="N111" s="998" t="str">
        <f>IF(AND(Table2[[#This Row],[SIZE]]&lt;&gt;"", Table2[[#This Row],[SIZE]]=Data!$B$3),1,"")</f>
        <v/>
      </c>
      <c r="O111" s="998" t="str">
        <f>IF(AND(Table2[[#This Row],[TYPE]]&lt;&gt;"", Table2[[#This Row],[TYPE]]=Data!$B$4),1,"")</f>
        <v/>
      </c>
      <c r="P111" s="998" t="str">
        <f>IF(AND(Table2[[#This Row],[LV5 MAT NO.]]&lt;&gt;"", Table2[[#This Row],[LV5 MAT NO.]]=Data!$B$5),1,"")</f>
        <v/>
      </c>
      <c r="Q111" s="998" t="str">
        <f>IF(AND(Table2[[#This Row],[FROM]]&lt;&gt;"", Table2[[#This Row],[FROM]]=Data!$B$7),1,"")</f>
        <v/>
      </c>
      <c r="R111" s="998" t="str">
        <f>IF(AND(Table2[[#This Row],[LV3 or LV4 MAT NO.]]&lt;&gt;"", Table2[[#This Row],[LV3 or LV4 MAT NO.]]=Data!$B$8),1,"")</f>
        <v/>
      </c>
      <c r="S111" s="998"/>
      <c r="T111" s="998"/>
      <c r="U111" s="804" t="str">
        <f>IF(Table4[[#This Row],[Write "N" To Remove The Default]]="N","",IF(AND(COUNTA(Table2[[#This Row],[SEREAL NO.]:[REMARKS]])=SUM( L111:T111),SUM( L111:T111)&lt;&gt;0),Table2[[#This Row],[Instruction]],""))</f>
        <v/>
      </c>
      <c r="V111" s="804"/>
    </row>
    <row r="112" spans="9:22" x14ac:dyDescent="0.35">
      <c r="I112" s="1000"/>
      <c r="L112" s="998" t="str">
        <f>IF(AND(Table2[[#This Row],[ORDER NO.]]&lt;&gt;"", Table2[[#This Row],[ORDER NO.]]=Data!$B$1),1,"")</f>
        <v/>
      </c>
      <c r="M112" s="998" t="str">
        <f>IFERROR(IF(AND(Table2[[#This Row],[SEREAL NO.]]&lt;&gt;"", Table2[[#This Row],[SEREAL NO.]]=Data!$A$103),1,""),"")</f>
        <v/>
      </c>
      <c r="N112" s="998" t="str">
        <f>IF(AND(Table2[[#This Row],[SIZE]]&lt;&gt;"", Table2[[#This Row],[SIZE]]=Data!$B$3),1,"")</f>
        <v/>
      </c>
      <c r="O112" s="998" t="str">
        <f>IF(AND(Table2[[#This Row],[TYPE]]&lt;&gt;"", Table2[[#This Row],[TYPE]]=Data!$B$4),1,"")</f>
        <v/>
      </c>
      <c r="P112" s="998" t="str">
        <f>IF(AND(Table2[[#This Row],[LV5 MAT NO.]]&lt;&gt;"", Table2[[#This Row],[LV5 MAT NO.]]=Data!$B$5),1,"")</f>
        <v/>
      </c>
      <c r="Q112" s="998" t="str">
        <f>IF(AND(Table2[[#This Row],[FROM]]&lt;&gt;"", Table2[[#This Row],[FROM]]=Data!$B$7),1,"")</f>
        <v/>
      </c>
      <c r="R112" s="998" t="str">
        <f>IF(AND(Table2[[#This Row],[LV3 or LV4 MAT NO.]]&lt;&gt;"", Table2[[#This Row],[LV3 or LV4 MAT NO.]]=Data!$B$8),1,"")</f>
        <v/>
      </c>
      <c r="S112" s="998"/>
      <c r="T112" s="998"/>
      <c r="U112" s="804" t="str">
        <f>IF(Table4[[#This Row],[Write "N" To Remove The Default]]="N","",IF(AND(COUNTA(Table2[[#This Row],[SEREAL NO.]:[REMARKS]])=SUM( L112:T112),SUM( L112:T112)&lt;&gt;0),Table2[[#This Row],[Instruction]],""))</f>
        <v/>
      </c>
      <c r="V112" s="804"/>
    </row>
    <row r="113" spans="9:22" x14ac:dyDescent="0.35">
      <c r="I113" s="1000"/>
      <c r="L113" s="998" t="str">
        <f>IF(AND(Table2[[#This Row],[ORDER NO.]]&lt;&gt;"", Table2[[#This Row],[ORDER NO.]]=Data!$B$1),1,"")</f>
        <v/>
      </c>
      <c r="M113" s="998" t="str">
        <f>IFERROR(IF(AND(Table2[[#This Row],[SEREAL NO.]]&lt;&gt;"", Table2[[#This Row],[SEREAL NO.]]=Data!$A$103),1,""),"")</f>
        <v/>
      </c>
      <c r="N113" s="998" t="str">
        <f>IF(AND(Table2[[#This Row],[SIZE]]&lt;&gt;"", Table2[[#This Row],[SIZE]]=Data!$B$3),1,"")</f>
        <v/>
      </c>
      <c r="O113" s="998" t="str">
        <f>IF(AND(Table2[[#This Row],[TYPE]]&lt;&gt;"", Table2[[#This Row],[TYPE]]=Data!$B$4),1,"")</f>
        <v/>
      </c>
      <c r="P113" s="998" t="str">
        <f>IF(AND(Table2[[#This Row],[LV5 MAT NO.]]&lt;&gt;"", Table2[[#This Row],[LV5 MAT NO.]]=Data!$B$5),1,"")</f>
        <v/>
      </c>
      <c r="Q113" s="998" t="str">
        <f>IF(AND(Table2[[#This Row],[FROM]]&lt;&gt;"", Table2[[#This Row],[FROM]]=Data!$B$7),1,"")</f>
        <v/>
      </c>
      <c r="R113" s="998" t="str">
        <f>IF(AND(Table2[[#This Row],[LV3 or LV4 MAT NO.]]&lt;&gt;"", Table2[[#This Row],[LV3 or LV4 MAT NO.]]=Data!$B$8),1,"")</f>
        <v/>
      </c>
      <c r="S113" s="998"/>
      <c r="T113" s="998"/>
      <c r="U113" s="804" t="str">
        <f>IF(Table4[[#This Row],[Write "N" To Remove The Default]]="N","",IF(AND(COUNTA(Table2[[#This Row],[SEREAL NO.]:[REMARKS]])=SUM( L113:T113),SUM( L113:T113)&lt;&gt;0),Table2[[#This Row],[Instruction]],""))</f>
        <v/>
      </c>
      <c r="V113" s="804"/>
    </row>
    <row r="114" spans="9:22" x14ac:dyDescent="0.35">
      <c r="I114" s="1000"/>
      <c r="L114" s="998" t="str">
        <f>IF(AND(Table2[[#This Row],[ORDER NO.]]&lt;&gt;"", Table2[[#This Row],[ORDER NO.]]=Data!$B$1),1,"")</f>
        <v/>
      </c>
      <c r="M114" s="998" t="str">
        <f>IFERROR(IF(AND(Table2[[#This Row],[SEREAL NO.]]&lt;&gt;"", Table2[[#This Row],[SEREAL NO.]]=Data!$A$103),1,""),"")</f>
        <v/>
      </c>
      <c r="N114" s="998" t="str">
        <f>IF(AND(Table2[[#This Row],[SIZE]]&lt;&gt;"", Table2[[#This Row],[SIZE]]=Data!$B$3),1,"")</f>
        <v/>
      </c>
      <c r="O114" s="998" t="str">
        <f>IF(AND(Table2[[#This Row],[TYPE]]&lt;&gt;"", Table2[[#This Row],[TYPE]]=Data!$B$4),1,"")</f>
        <v/>
      </c>
      <c r="P114" s="998" t="str">
        <f>IF(AND(Table2[[#This Row],[LV5 MAT NO.]]&lt;&gt;"", Table2[[#This Row],[LV5 MAT NO.]]=Data!$B$5),1,"")</f>
        <v/>
      </c>
      <c r="Q114" s="998" t="str">
        <f>IF(AND(Table2[[#This Row],[FROM]]&lt;&gt;"", Table2[[#This Row],[FROM]]=Data!$B$7),1,"")</f>
        <v/>
      </c>
      <c r="R114" s="998" t="str">
        <f>IF(AND(Table2[[#This Row],[LV3 or LV4 MAT NO.]]&lt;&gt;"", Table2[[#This Row],[LV3 or LV4 MAT NO.]]=Data!$B$8),1,"")</f>
        <v/>
      </c>
      <c r="S114" s="998"/>
      <c r="T114" s="998"/>
      <c r="U114" s="804" t="str">
        <f>IF(Table4[[#This Row],[Write "N" To Remove The Default]]="N","",IF(AND(COUNTA(Table2[[#This Row],[SEREAL NO.]:[REMARKS]])=SUM( L114:T114),SUM( L114:T114)&lt;&gt;0),Table2[[#This Row],[Instruction]],""))</f>
        <v/>
      </c>
      <c r="V114" s="804"/>
    </row>
    <row r="115" spans="9:22" x14ac:dyDescent="0.35">
      <c r="I115" s="1000"/>
      <c r="L115" s="998" t="str">
        <f>IF(AND(Table2[[#This Row],[ORDER NO.]]&lt;&gt;"", Table2[[#This Row],[ORDER NO.]]=Data!$B$1),1,"")</f>
        <v/>
      </c>
      <c r="M115" s="998" t="str">
        <f>IFERROR(IF(AND(Table2[[#This Row],[SEREAL NO.]]&lt;&gt;"", Table2[[#This Row],[SEREAL NO.]]=Data!$A$103),1,""),"")</f>
        <v/>
      </c>
      <c r="N115" s="998" t="str">
        <f>IF(AND(Table2[[#This Row],[SIZE]]&lt;&gt;"", Table2[[#This Row],[SIZE]]=Data!$B$3),1,"")</f>
        <v/>
      </c>
      <c r="O115" s="998" t="str">
        <f>IF(AND(Table2[[#This Row],[TYPE]]&lt;&gt;"", Table2[[#This Row],[TYPE]]=Data!$B$4),1,"")</f>
        <v/>
      </c>
      <c r="P115" s="998" t="str">
        <f>IF(AND(Table2[[#This Row],[LV5 MAT NO.]]&lt;&gt;"", Table2[[#This Row],[LV5 MAT NO.]]=Data!$B$5),1,"")</f>
        <v/>
      </c>
      <c r="Q115" s="998" t="str">
        <f>IF(AND(Table2[[#This Row],[FROM]]&lt;&gt;"", Table2[[#This Row],[FROM]]=Data!$B$7),1,"")</f>
        <v/>
      </c>
      <c r="R115" s="998" t="str">
        <f>IF(AND(Table2[[#This Row],[LV3 or LV4 MAT NO.]]&lt;&gt;"", Table2[[#This Row],[LV3 or LV4 MAT NO.]]=Data!$B$8),1,"")</f>
        <v/>
      </c>
      <c r="S115" s="998"/>
      <c r="T115" s="998"/>
      <c r="U115" s="804" t="str">
        <f>IF(Table4[[#This Row],[Write "N" To Remove The Default]]="N","",IF(AND(COUNTA(Table2[[#This Row],[SEREAL NO.]:[REMARKS]])=SUM( L115:T115),SUM( L115:T115)&lt;&gt;0),Table2[[#This Row],[Instruction]],""))</f>
        <v/>
      </c>
      <c r="V115" s="804"/>
    </row>
    <row r="116" spans="9:22" x14ac:dyDescent="0.35">
      <c r="I116" s="1000"/>
      <c r="L116" s="998" t="str">
        <f>IF(AND(Table2[[#This Row],[ORDER NO.]]&lt;&gt;"", Table2[[#This Row],[ORDER NO.]]=Data!$B$1),1,"")</f>
        <v/>
      </c>
      <c r="M116" s="998" t="str">
        <f>IFERROR(IF(AND(Table2[[#This Row],[SEREAL NO.]]&lt;&gt;"", Table2[[#This Row],[SEREAL NO.]]=Data!$A$103),1,""),"")</f>
        <v/>
      </c>
      <c r="N116" s="998" t="str">
        <f>IF(AND(Table2[[#This Row],[SIZE]]&lt;&gt;"", Table2[[#This Row],[SIZE]]=Data!$B$3),1,"")</f>
        <v/>
      </c>
      <c r="O116" s="998" t="str">
        <f>IF(AND(Table2[[#This Row],[TYPE]]&lt;&gt;"", Table2[[#This Row],[TYPE]]=Data!$B$4),1,"")</f>
        <v/>
      </c>
      <c r="P116" s="998" t="str">
        <f>IF(AND(Table2[[#This Row],[LV5 MAT NO.]]&lt;&gt;"", Table2[[#This Row],[LV5 MAT NO.]]=Data!$B$5),1,"")</f>
        <v/>
      </c>
      <c r="Q116" s="998" t="str">
        <f>IF(AND(Table2[[#This Row],[FROM]]&lt;&gt;"", Table2[[#This Row],[FROM]]=Data!$B$7),1,"")</f>
        <v/>
      </c>
      <c r="R116" s="998" t="str">
        <f>IF(AND(Table2[[#This Row],[LV3 or LV4 MAT NO.]]&lt;&gt;"", Table2[[#This Row],[LV3 or LV4 MAT NO.]]=Data!$B$8),1,"")</f>
        <v/>
      </c>
      <c r="S116" s="998"/>
      <c r="T116" s="998"/>
      <c r="U116" s="804" t="str">
        <f>IF(Table4[[#This Row],[Write "N" To Remove The Default]]="N","",IF(AND(COUNTA(Table2[[#This Row],[SEREAL NO.]:[REMARKS]])=SUM( L116:T116),SUM( L116:T116)&lt;&gt;0),Table2[[#This Row],[Instruction]],""))</f>
        <v/>
      </c>
      <c r="V116" s="804"/>
    </row>
    <row r="117" spans="9:22" x14ac:dyDescent="0.35">
      <c r="I117" s="1000"/>
      <c r="L117" s="998" t="str">
        <f>IF(AND(Table2[[#This Row],[ORDER NO.]]&lt;&gt;"", Table2[[#This Row],[ORDER NO.]]=Data!$B$1),1,"")</f>
        <v/>
      </c>
      <c r="M117" s="998" t="str">
        <f>IFERROR(IF(AND(Table2[[#This Row],[SEREAL NO.]]&lt;&gt;"", Table2[[#This Row],[SEREAL NO.]]=Data!$A$103),1,""),"")</f>
        <v/>
      </c>
      <c r="N117" s="998" t="str">
        <f>IF(AND(Table2[[#This Row],[SIZE]]&lt;&gt;"", Table2[[#This Row],[SIZE]]=Data!$B$3),1,"")</f>
        <v/>
      </c>
      <c r="O117" s="998" t="str">
        <f>IF(AND(Table2[[#This Row],[TYPE]]&lt;&gt;"", Table2[[#This Row],[TYPE]]=Data!$B$4),1,"")</f>
        <v/>
      </c>
      <c r="P117" s="998" t="str">
        <f>IF(AND(Table2[[#This Row],[LV5 MAT NO.]]&lt;&gt;"", Table2[[#This Row],[LV5 MAT NO.]]=Data!$B$5),1,"")</f>
        <v/>
      </c>
      <c r="Q117" s="998" t="str">
        <f>IF(AND(Table2[[#This Row],[FROM]]&lt;&gt;"", Table2[[#This Row],[FROM]]=Data!$B$7),1,"")</f>
        <v/>
      </c>
      <c r="R117" s="998" t="str">
        <f>IF(AND(Table2[[#This Row],[LV3 or LV4 MAT NO.]]&lt;&gt;"", Table2[[#This Row],[LV3 or LV4 MAT NO.]]=Data!$B$8),1,"")</f>
        <v/>
      </c>
      <c r="S117" s="998"/>
      <c r="T117" s="998"/>
      <c r="U117" s="804" t="str">
        <f>IF(Table4[[#This Row],[Write "N" To Remove The Default]]="N","",IF(AND(COUNTA(Table2[[#This Row],[SEREAL NO.]:[REMARKS]])=SUM( L117:T117),SUM( L117:T117)&lt;&gt;0),Table2[[#This Row],[Instruction]],""))</f>
        <v/>
      </c>
      <c r="V117" s="804"/>
    </row>
    <row r="118" spans="9:22" x14ac:dyDescent="0.35">
      <c r="I118" s="1000"/>
      <c r="L118" s="998" t="str">
        <f>IF(AND(Table2[[#This Row],[ORDER NO.]]&lt;&gt;"", Table2[[#This Row],[ORDER NO.]]=Data!$B$1),1,"")</f>
        <v/>
      </c>
      <c r="M118" s="998" t="str">
        <f>IFERROR(IF(AND(Table2[[#This Row],[SEREAL NO.]]&lt;&gt;"", Table2[[#This Row],[SEREAL NO.]]=Data!$A$103),1,""),"")</f>
        <v/>
      </c>
      <c r="N118" s="998" t="str">
        <f>IF(AND(Table2[[#This Row],[SIZE]]&lt;&gt;"", Table2[[#This Row],[SIZE]]=Data!$B$3),1,"")</f>
        <v/>
      </c>
      <c r="O118" s="998" t="str">
        <f>IF(AND(Table2[[#This Row],[TYPE]]&lt;&gt;"", Table2[[#This Row],[TYPE]]=Data!$B$4),1,"")</f>
        <v/>
      </c>
      <c r="P118" s="998" t="str">
        <f>IF(AND(Table2[[#This Row],[LV5 MAT NO.]]&lt;&gt;"", Table2[[#This Row],[LV5 MAT NO.]]=Data!$B$5),1,"")</f>
        <v/>
      </c>
      <c r="Q118" s="998" t="str">
        <f>IF(AND(Table2[[#This Row],[FROM]]&lt;&gt;"", Table2[[#This Row],[FROM]]=Data!$B$7),1,"")</f>
        <v/>
      </c>
      <c r="R118" s="998" t="str">
        <f>IF(AND(Table2[[#This Row],[LV3 or LV4 MAT NO.]]&lt;&gt;"", Table2[[#This Row],[LV3 or LV4 MAT NO.]]=Data!$B$8),1,"")</f>
        <v/>
      </c>
      <c r="S118" s="998"/>
      <c r="T118" s="998"/>
      <c r="U118" s="804" t="str">
        <f>IF(Table4[[#This Row],[Write "N" To Remove The Default]]="N","",IF(AND(COUNTA(Table2[[#This Row],[SEREAL NO.]:[REMARKS]])=SUM( L118:T118),SUM( L118:T118)&lt;&gt;0),Table2[[#This Row],[Instruction]],""))</f>
        <v/>
      </c>
      <c r="V118" s="804"/>
    </row>
    <row r="119" spans="9:22" x14ac:dyDescent="0.35">
      <c r="I119" s="1000"/>
      <c r="L119" s="998" t="str">
        <f>IF(AND(Table2[[#This Row],[ORDER NO.]]&lt;&gt;"", Table2[[#This Row],[ORDER NO.]]=Data!$B$1),1,"")</f>
        <v/>
      </c>
      <c r="M119" s="998" t="str">
        <f>IFERROR(IF(AND(Table2[[#This Row],[SEREAL NO.]]&lt;&gt;"", Table2[[#This Row],[SEREAL NO.]]=Data!$A$103),1,""),"")</f>
        <v/>
      </c>
      <c r="N119" s="998" t="str">
        <f>IF(AND(Table2[[#This Row],[SIZE]]&lt;&gt;"", Table2[[#This Row],[SIZE]]=Data!$B$3),1,"")</f>
        <v/>
      </c>
      <c r="O119" s="998" t="str">
        <f>IF(AND(Table2[[#This Row],[TYPE]]&lt;&gt;"", Table2[[#This Row],[TYPE]]=Data!$B$4),1,"")</f>
        <v/>
      </c>
      <c r="P119" s="998" t="str">
        <f>IF(AND(Table2[[#This Row],[LV5 MAT NO.]]&lt;&gt;"", Table2[[#This Row],[LV5 MAT NO.]]=Data!$B$5),1,"")</f>
        <v/>
      </c>
      <c r="Q119" s="998" t="str">
        <f>IF(AND(Table2[[#This Row],[FROM]]&lt;&gt;"", Table2[[#This Row],[FROM]]=Data!$B$7),1,"")</f>
        <v/>
      </c>
      <c r="R119" s="998" t="str">
        <f>IF(AND(Table2[[#This Row],[LV3 or LV4 MAT NO.]]&lt;&gt;"", Table2[[#This Row],[LV3 or LV4 MAT NO.]]=Data!$B$8),1,"")</f>
        <v/>
      </c>
      <c r="S119" s="998"/>
      <c r="T119" s="998"/>
      <c r="U119" s="804" t="str">
        <f>IF(Table4[[#This Row],[Write "N" To Remove The Default]]="N","",IF(AND(COUNTA(Table2[[#This Row],[SEREAL NO.]:[REMARKS]])=SUM( L119:T119),SUM( L119:T119)&lt;&gt;0),Table2[[#This Row],[Instruction]],""))</f>
        <v/>
      </c>
      <c r="V119" s="804"/>
    </row>
    <row r="120" spans="9:22" x14ac:dyDescent="0.35">
      <c r="I120" s="1000"/>
      <c r="L120" s="998" t="str">
        <f>IF(AND(Table2[[#This Row],[ORDER NO.]]&lt;&gt;"", Table2[[#This Row],[ORDER NO.]]=Data!$B$1),1,"")</f>
        <v/>
      </c>
      <c r="M120" s="998" t="str">
        <f>IFERROR(IF(AND(Table2[[#This Row],[SEREAL NO.]]&lt;&gt;"", Table2[[#This Row],[SEREAL NO.]]=Data!$A$103),1,""),"")</f>
        <v/>
      </c>
      <c r="N120" s="998" t="str">
        <f>IF(AND(Table2[[#This Row],[SIZE]]&lt;&gt;"", Table2[[#This Row],[SIZE]]=Data!$B$3),1,"")</f>
        <v/>
      </c>
      <c r="O120" s="998" t="str">
        <f>IF(AND(Table2[[#This Row],[TYPE]]&lt;&gt;"", Table2[[#This Row],[TYPE]]=Data!$B$4),1,"")</f>
        <v/>
      </c>
      <c r="P120" s="998" t="str">
        <f>IF(AND(Table2[[#This Row],[LV5 MAT NO.]]&lt;&gt;"", Table2[[#This Row],[LV5 MAT NO.]]=Data!$B$5),1,"")</f>
        <v/>
      </c>
      <c r="Q120" s="998" t="str">
        <f>IF(AND(Table2[[#This Row],[FROM]]&lt;&gt;"", Table2[[#This Row],[FROM]]=Data!$B$7),1,"")</f>
        <v/>
      </c>
      <c r="R120" s="998" t="str">
        <f>IF(AND(Table2[[#This Row],[LV3 or LV4 MAT NO.]]&lt;&gt;"", Table2[[#This Row],[LV3 or LV4 MAT NO.]]=Data!$B$8),1,"")</f>
        <v/>
      </c>
      <c r="S120" s="998"/>
      <c r="T120" s="998"/>
      <c r="U120" s="804" t="str">
        <f>IF(Table4[[#This Row],[Write "N" To Remove The Default]]="N","",IF(AND(COUNTA(Table2[[#This Row],[SEREAL NO.]:[REMARKS]])=SUM( L120:T120),SUM( L120:T120)&lt;&gt;0),Table2[[#This Row],[Instruction]],""))</f>
        <v/>
      </c>
      <c r="V120" s="804"/>
    </row>
    <row r="121" spans="9:22" x14ac:dyDescent="0.35">
      <c r="I121" s="1000"/>
      <c r="L121" s="998" t="str">
        <f>IF(AND(Table2[[#This Row],[ORDER NO.]]&lt;&gt;"", Table2[[#This Row],[ORDER NO.]]=Data!$B$1),1,"")</f>
        <v/>
      </c>
      <c r="M121" s="998" t="str">
        <f>IFERROR(IF(AND(Table2[[#This Row],[SEREAL NO.]]&lt;&gt;"", Table2[[#This Row],[SEREAL NO.]]=Data!$A$103),1,""),"")</f>
        <v/>
      </c>
      <c r="N121" s="998" t="str">
        <f>IF(AND(Table2[[#This Row],[SIZE]]&lt;&gt;"", Table2[[#This Row],[SIZE]]=Data!$B$3),1,"")</f>
        <v/>
      </c>
      <c r="O121" s="998" t="str">
        <f>IF(AND(Table2[[#This Row],[TYPE]]&lt;&gt;"", Table2[[#This Row],[TYPE]]=Data!$B$4),1,"")</f>
        <v/>
      </c>
      <c r="P121" s="998" t="str">
        <f>IF(AND(Table2[[#This Row],[LV5 MAT NO.]]&lt;&gt;"", Table2[[#This Row],[LV5 MAT NO.]]=Data!$B$5),1,"")</f>
        <v/>
      </c>
      <c r="Q121" s="998" t="str">
        <f>IF(AND(Table2[[#This Row],[FROM]]&lt;&gt;"", Table2[[#This Row],[FROM]]=Data!$B$7),1,"")</f>
        <v/>
      </c>
      <c r="R121" s="998" t="str">
        <f>IF(AND(Table2[[#This Row],[LV3 or LV4 MAT NO.]]&lt;&gt;"", Table2[[#This Row],[LV3 or LV4 MAT NO.]]=Data!$B$8),1,"")</f>
        <v/>
      </c>
      <c r="S121" s="998"/>
      <c r="T121" s="998"/>
      <c r="U121" s="804" t="str">
        <f>IF(Table4[[#This Row],[Write "N" To Remove The Default]]="N","",IF(AND(COUNTA(Table2[[#This Row],[SEREAL NO.]:[REMARKS]])=SUM( L121:T121),SUM( L121:T121)&lt;&gt;0),Table2[[#This Row],[Instruction]],""))</f>
        <v/>
      </c>
      <c r="V121" s="804"/>
    </row>
    <row r="122" spans="9:22" x14ac:dyDescent="0.35">
      <c r="I122" s="1000"/>
      <c r="L122" s="998" t="str">
        <f>IF(AND(Table2[[#This Row],[ORDER NO.]]&lt;&gt;"", Table2[[#This Row],[ORDER NO.]]=Data!$B$1),1,"")</f>
        <v/>
      </c>
      <c r="M122" s="998" t="str">
        <f>IFERROR(IF(AND(Table2[[#This Row],[SEREAL NO.]]&lt;&gt;"", Table2[[#This Row],[SEREAL NO.]]=Data!$A$103),1,""),"")</f>
        <v/>
      </c>
      <c r="N122" s="998" t="str">
        <f>IF(AND(Table2[[#This Row],[SIZE]]&lt;&gt;"", Table2[[#This Row],[SIZE]]=Data!$B$3),1,"")</f>
        <v/>
      </c>
      <c r="O122" s="998" t="str">
        <f>IF(AND(Table2[[#This Row],[TYPE]]&lt;&gt;"", Table2[[#This Row],[TYPE]]=Data!$B$4),1,"")</f>
        <v/>
      </c>
      <c r="P122" s="998" t="str">
        <f>IF(AND(Table2[[#This Row],[LV5 MAT NO.]]&lt;&gt;"", Table2[[#This Row],[LV5 MAT NO.]]=Data!$B$5),1,"")</f>
        <v/>
      </c>
      <c r="Q122" s="998" t="str">
        <f>IF(AND(Table2[[#This Row],[FROM]]&lt;&gt;"", Table2[[#This Row],[FROM]]=Data!$B$7),1,"")</f>
        <v/>
      </c>
      <c r="R122" s="998" t="str">
        <f>IF(AND(Table2[[#This Row],[LV3 or LV4 MAT NO.]]&lt;&gt;"", Table2[[#This Row],[LV3 or LV4 MAT NO.]]=Data!$B$8),1,"")</f>
        <v/>
      </c>
      <c r="S122" s="998"/>
      <c r="T122" s="998"/>
      <c r="U122" s="804" t="str">
        <f>IF(Table4[[#This Row],[Write "N" To Remove The Default]]="N","",IF(AND(COUNTA(Table2[[#This Row],[SEREAL NO.]:[REMARKS]])=SUM( L122:T122),SUM( L122:T122)&lt;&gt;0),Table2[[#This Row],[Instruction]],""))</f>
        <v/>
      </c>
      <c r="V122" s="804"/>
    </row>
    <row r="123" spans="9:22" x14ac:dyDescent="0.35">
      <c r="I123" s="1000"/>
      <c r="L123" s="998" t="str">
        <f>IF(AND(Table2[[#This Row],[ORDER NO.]]&lt;&gt;"", Table2[[#This Row],[ORDER NO.]]=Data!$B$1),1,"")</f>
        <v/>
      </c>
      <c r="M123" s="998" t="str">
        <f>IFERROR(IF(AND(Table2[[#This Row],[SEREAL NO.]]&lt;&gt;"", Table2[[#This Row],[SEREAL NO.]]=Data!$A$103),1,""),"")</f>
        <v/>
      </c>
      <c r="N123" s="998" t="str">
        <f>IF(AND(Table2[[#This Row],[SIZE]]&lt;&gt;"", Table2[[#This Row],[SIZE]]=Data!$B$3),1,"")</f>
        <v/>
      </c>
      <c r="O123" s="998" t="str">
        <f>IF(AND(Table2[[#This Row],[TYPE]]&lt;&gt;"", Table2[[#This Row],[TYPE]]=Data!$B$4),1,"")</f>
        <v/>
      </c>
      <c r="P123" s="998" t="str">
        <f>IF(AND(Table2[[#This Row],[LV5 MAT NO.]]&lt;&gt;"", Table2[[#This Row],[LV5 MAT NO.]]=Data!$B$5),1,"")</f>
        <v/>
      </c>
      <c r="Q123" s="998" t="str">
        <f>IF(AND(Table2[[#This Row],[FROM]]&lt;&gt;"", Table2[[#This Row],[FROM]]=Data!$B$7),1,"")</f>
        <v/>
      </c>
      <c r="R123" s="998" t="str">
        <f>IF(AND(Table2[[#This Row],[LV3 or LV4 MAT NO.]]&lt;&gt;"", Table2[[#This Row],[LV3 or LV4 MAT NO.]]=Data!$B$8),1,"")</f>
        <v/>
      </c>
      <c r="S123" s="998"/>
      <c r="T123" s="998"/>
      <c r="U123" s="804" t="str">
        <f>IF(Table4[[#This Row],[Write "N" To Remove The Default]]="N","",IF(AND(COUNTA(Table2[[#This Row],[SEREAL NO.]:[REMARKS]])=SUM( L123:T123),SUM( L123:T123)&lt;&gt;0),Table2[[#This Row],[Instruction]],""))</f>
        <v/>
      </c>
      <c r="V123" s="804"/>
    </row>
    <row r="124" spans="9:22" x14ac:dyDescent="0.35">
      <c r="I124" s="1000"/>
      <c r="L124" s="998" t="str">
        <f>IF(AND(Table2[[#This Row],[ORDER NO.]]&lt;&gt;"", Table2[[#This Row],[ORDER NO.]]=Data!$B$1),1,"")</f>
        <v/>
      </c>
      <c r="M124" s="998" t="str">
        <f>IFERROR(IF(AND(Table2[[#This Row],[SEREAL NO.]]&lt;&gt;"", Table2[[#This Row],[SEREAL NO.]]=Data!$A$103),1,""),"")</f>
        <v/>
      </c>
      <c r="N124" s="998" t="str">
        <f>IF(AND(Table2[[#This Row],[SIZE]]&lt;&gt;"", Table2[[#This Row],[SIZE]]=Data!$B$3),1,"")</f>
        <v/>
      </c>
      <c r="O124" s="998" t="str">
        <f>IF(AND(Table2[[#This Row],[TYPE]]&lt;&gt;"", Table2[[#This Row],[TYPE]]=Data!$B$4),1,"")</f>
        <v/>
      </c>
      <c r="P124" s="998" t="str">
        <f>IF(AND(Table2[[#This Row],[LV5 MAT NO.]]&lt;&gt;"", Table2[[#This Row],[LV5 MAT NO.]]=Data!$B$5),1,"")</f>
        <v/>
      </c>
      <c r="Q124" s="998" t="str">
        <f>IF(AND(Table2[[#This Row],[FROM]]&lt;&gt;"", Table2[[#This Row],[FROM]]=Data!$B$7),1,"")</f>
        <v/>
      </c>
      <c r="R124" s="998" t="str">
        <f>IF(AND(Table2[[#This Row],[LV3 or LV4 MAT NO.]]&lt;&gt;"", Table2[[#This Row],[LV3 or LV4 MAT NO.]]=Data!$B$8),1,"")</f>
        <v/>
      </c>
      <c r="S124" s="998"/>
      <c r="T124" s="998"/>
      <c r="U124" s="804" t="str">
        <f>IF(Table4[[#This Row],[Write "N" To Remove The Default]]="N","",IF(AND(COUNTA(Table2[[#This Row],[SEREAL NO.]:[REMARKS]])=SUM( L124:T124),SUM( L124:T124)&lt;&gt;0),Table2[[#This Row],[Instruction]],""))</f>
        <v/>
      </c>
      <c r="V124" s="804"/>
    </row>
    <row r="125" spans="9:22" x14ac:dyDescent="0.35">
      <c r="I125" s="1000"/>
      <c r="L125" s="998" t="str">
        <f>IF(AND(Table2[[#This Row],[ORDER NO.]]&lt;&gt;"", Table2[[#This Row],[ORDER NO.]]=Data!$B$1),1,"")</f>
        <v/>
      </c>
      <c r="M125" s="998" t="str">
        <f>IFERROR(IF(AND(Table2[[#This Row],[SEREAL NO.]]&lt;&gt;"", Table2[[#This Row],[SEREAL NO.]]=Data!$A$103),1,""),"")</f>
        <v/>
      </c>
      <c r="N125" s="998" t="str">
        <f>IF(AND(Table2[[#This Row],[SIZE]]&lt;&gt;"", Table2[[#This Row],[SIZE]]=Data!$B$3),1,"")</f>
        <v/>
      </c>
      <c r="O125" s="998" t="str">
        <f>IF(AND(Table2[[#This Row],[TYPE]]&lt;&gt;"", Table2[[#This Row],[TYPE]]=Data!$B$4),1,"")</f>
        <v/>
      </c>
      <c r="P125" s="998" t="str">
        <f>IF(AND(Table2[[#This Row],[LV5 MAT NO.]]&lt;&gt;"", Table2[[#This Row],[LV5 MAT NO.]]=Data!$B$5),1,"")</f>
        <v/>
      </c>
      <c r="Q125" s="998" t="str">
        <f>IF(AND(Table2[[#This Row],[FROM]]&lt;&gt;"", Table2[[#This Row],[FROM]]=Data!$B$7),1,"")</f>
        <v/>
      </c>
      <c r="R125" s="998" t="str">
        <f>IF(AND(Table2[[#This Row],[LV3 or LV4 MAT NO.]]&lt;&gt;"", Table2[[#This Row],[LV3 or LV4 MAT NO.]]=Data!$B$8),1,"")</f>
        <v/>
      </c>
      <c r="S125" s="998"/>
      <c r="T125" s="998"/>
      <c r="U125" s="804" t="str">
        <f>IF(Table4[[#This Row],[Write "N" To Remove The Default]]="N","",IF(AND(COUNTA(Table2[[#This Row],[SEREAL NO.]:[REMARKS]])=SUM( L125:T125),SUM( L125:T125)&lt;&gt;0),Table2[[#This Row],[Instruction]],""))</f>
        <v/>
      </c>
      <c r="V125" s="804"/>
    </row>
    <row r="126" spans="9:22" x14ac:dyDescent="0.35">
      <c r="I126" s="1000"/>
      <c r="L126" s="998" t="str">
        <f>IF(AND(Table2[[#This Row],[ORDER NO.]]&lt;&gt;"", Table2[[#This Row],[ORDER NO.]]=Data!$B$1),1,"")</f>
        <v/>
      </c>
      <c r="M126" s="998" t="str">
        <f>IFERROR(IF(AND(Table2[[#This Row],[SEREAL NO.]]&lt;&gt;"", Table2[[#This Row],[SEREAL NO.]]=Data!$A$103),1,""),"")</f>
        <v/>
      </c>
      <c r="N126" s="998" t="str">
        <f>IF(AND(Table2[[#This Row],[SIZE]]&lt;&gt;"", Table2[[#This Row],[SIZE]]=Data!$B$3),1,"")</f>
        <v/>
      </c>
      <c r="O126" s="998" t="str">
        <f>IF(AND(Table2[[#This Row],[TYPE]]&lt;&gt;"", Table2[[#This Row],[TYPE]]=Data!$B$4),1,"")</f>
        <v/>
      </c>
      <c r="P126" s="998" t="str">
        <f>IF(AND(Table2[[#This Row],[LV5 MAT NO.]]&lt;&gt;"", Table2[[#This Row],[LV5 MAT NO.]]=Data!$B$5),1,"")</f>
        <v/>
      </c>
      <c r="Q126" s="998" t="str">
        <f>IF(AND(Table2[[#This Row],[FROM]]&lt;&gt;"", Table2[[#This Row],[FROM]]=Data!$B$7),1,"")</f>
        <v/>
      </c>
      <c r="R126" s="998" t="str">
        <f>IF(AND(Table2[[#This Row],[LV3 or LV4 MAT NO.]]&lt;&gt;"", Table2[[#This Row],[LV3 or LV4 MAT NO.]]=Data!$B$8),1,"")</f>
        <v/>
      </c>
      <c r="S126" s="998"/>
      <c r="T126" s="998"/>
      <c r="U126" s="804" t="str">
        <f>IF(Table4[[#This Row],[Write "N" To Remove The Default]]="N","",IF(AND(COUNTA(Table2[[#This Row],[SEREAL NO.]:[REMARKS]])=SUM( L126:T126),SUM( L126:T126)&lt;&gt;0),Table2[[#This Row],[Instruction]],""))</f>
        <v/>
      </c>
      <c r="V126" s="804"/>
    </row>
    <row r="127" spans="9:22" x14ac:dyDescent="0.35">
      <c r="I127" s="1000"/>
      <c r="L127" s="998" t="str">
        <f>IF(AND(Table2[[#This Row],[ORDER NO.]]&lt;&gt;"", Table2[[#This Row],[ORDER NO.]]=Data!$B$1),1,"")</f>
        <v/>
      </c>
      <c r="M127" s="998" t="str">
        <f>IFERROR(IF(AND(Table2[[#This Row],[SEREAL NO.]]&lt;&gt;"", Table2[[#This Row],[SEREAL NO.]]=Data!$A$103),1,""),"")</f>
        <v/>
      </c>
      <c r="N127" s="998" t="str">
        <f>IF(AND(Table2[[#This Row],[SIZE]]&lt;&gt;"", Table2[[#This Row],[SIZE]]=Data!$B$3),1,"")</f>
        <v/>
      </c>
      <c r="O127" s="998" t="str">
        <f>IF(AND(Table2[[#This Row],[TYPE]]&lt;&gt;"", Table2[[#This Row],[TYPE]]=Data!$B$4),1,"")</f>
        <v/>
      </c>
      <c r="P127" s="998" t="str">
        <f>IF(AND(Table2[[#This Row],[LV5 MAT NO.]]&lt;&gt;"", Table2[[#This Row],[LV5 MAT NO.]]=Data!$B$5),1,"")</f>
        <v/>
      </c>
      <c r="Q127" s="998" t="str">
        <f>IF(AND(Table2[[#This Row],[FROM]]&lt;&gt;"", Table2[[#This Row],[FROM]]=Data!$B$7),1,"")</f>
        <v/>
      </c>
      <c r="R127" s="998" t="str">
        <f>IF(AND(Table2[[#This Row],[LV3 or LV4 MAT NO.]]&lt;&gt;"", Table2[[#This Row],[LV3 or LV4 MAT NO.]]=Data!$B$8),1,"")</f>
        <v/>
      </c>
      <c r="S127" s="998"/>
      <c r="T127" s="998"/>
      <c r="U127" s="804" t="str">
        <f>IF(Table4[[#This Row],[Write "N" To Remove The Default]]="N","",IF(AND(COUNTA(Table2[[#This Row],[SEREAL NO.]:[REMARKS]])=SUM( L127:T127),SUM( L127:T127)&lt;&gt;0),Table2[[#This Row],[Instruction]],""))</f>
        <v/>
      </c>
      <c r="V127" s="804"/>
    </row>
    <row r="128" spans="9:22" x14ac:dyDescent="0.35">
      <c r="I128" s="1000"/>
      <c r="L128" s="998" t="str">
        <f>IF(AND(Table2[[#This Row],[ORDER NO.]]&lt;&gt;"", Table2[[#This Row],[ORDER NO.]]=Data!$B$1),1,"")</f>
        <v/>
      </c>
      <c r="M128" s="998" t="str">
        <f>IFERROR(IF(AND(Table2[[#This Row],[SEREAL NO.]]&lt;&gt;"", Table2[[#This Row],[SEREAL NO.]]=Data!$A$103),1,""),"")</f>
        <v/>
      </c>
      <c r="N128" s="998" t="str">
        <f>IF(AND(Table2[[#This Row],[SIZE]]&lt;&gt;"", Table2[[#This Row],[SIZE]]=Data!$B$3),1,"")</f>
        <v/>
      </c>
      <c r="O128" s="998" t="str">
        <f>IF(AND(Table2[[#This Row],[TYPE]]&lt;&gt;"", Table2[[#This Row],[TYPE]]=Data!$B$4),1,"")</f>
        <v/>
      </c>
      <c r="P128" s="998" t="str">
        <f>IF(AND(Table2[[#This Row],[LV5 MAT NO.]]&lt;&gt;"", Table2[[#This Row],[LV5 MAT NO.]]=Data!$B$5),1,"")</f>
        <v/>
      </c>
      <c r="Q128" s="998" t="str">
        <f>IF(AND(Table2[[#This Row],[FROM]]&lt;&gt;"", Table2[[#This Row],[FROM]]=Data!$B$7),1,"")</f>
        <v/>
      </c>
      <c r="R128" s="998" t="str">
        <f>IF(AND(Table2[[#This Row],[LV3 or LV4 MAT NO.]]&lt;&gt;"", Table2[[#This Row],[LV3 or LV4 MAT NO.]]=Data!$B$8),1,"")</f>
        <v/>
      </c>
      <c r="S128" s="998"/>
      <c r="T128" s="998"/>
      <c r="U128" s="804" t="str">
        <f>IF(Table4[[#This Row],[Write "N" To Remove The Default]]="N","",IF(AND(COUNTA(Table2[[#This Row],[SEREAL NO.]:[REMARKS]])=SUM( L128:T128),SUM( L128:T128)&lt;&gt;0),Table2[[#This Row],[Instruction]],""))</f>
        <v/>
      </c>
      <c r="V128" s="804"/>
    </row>
    <row r="129" spans="9:22" x14ac:dyDescent="0.35">
      <c r="I129" s="1000"/>
      <c r="L129" s="998" t="str">
        <f>IF(AND(Table2[[#This Row],[ORDER NO.]]&lt;&gt;"", Table2[[#This Row],[ORDER NO.]]=Data!$B$1),1,"")</f>
        <v/>
      </c>
      <c r="M129" s="998" t="str">
        <f>IFERROR(IF(AND(Table2[[#This Row],[SEREAL NO.]]&lt;&gt;"", Table2[[#This Row],[SEREAL NO.]]=Data!$A$103),1,""),"")</f>
        <v/>
      </c>
      <c r="N129" s="998" t="str">
        <f>IF(AND(Table2[[#This Row],[SIZE]]&lt;&gt;"", Table2[[#This Row],[SIZE]]=Data!$B$3),1,"")</f>
        <v/>
      </c>
      <c r="O129" s="998" t="str">
        <f>IF(AND(Table2[[#This Row],[TYPE]]&lt;&gt;"", Table2[[#This Row],[TYPE]]=Data!$B$4),1,"")</f>
        <v/>
      </c>
      <c r="P129" s="998" t="str">
        <f>IF(AND(Table2[[#This Row],[LV5 MAT NO.]]&lt;&gt;"", Table2[[#This Row],[LV5 MAT NO.]]=Data!$B$5),1,"")</f>
        <v/>
      </c>
      <c r="Q129" s="998" t="str">
        <f>IF(AND(Table2[[#This Row],[FROM]]&lt;&gt;"", Table2[[#This Row],[FROM]]=Data!$B$7),1,"")</f>
        <v/>
      </c>
      <c r="R129" s="998" t="str">
        <f>IF(AND(Table2[[#This Row],[LV3 or LV4 MAT NO.]]&lt;&gt;"", Table2[[#This Row],[LV3 or LV4 MAT NO.]]=Data!$B$8),1,"")</f>
        <v/>
      </c>
      <c r="S129" s="998"/>
      <c r="T129" s="998"/>
      <c r="U129" s="804" t="str">
        <f>IF(Table4[[#This Row],[Write "N" To Remove The Default]]="N","",IF(AND(COUNTA(Table2[[#This Row],[SEREAL NO.]:[REMARKS]])=SUM( L129:T129),SUM( L129:T129)&lt;&gt;0),Table2[[#This Row],[Instruction]],""))</f>
        <v/>
      </c>
      <c r="V129" s="804"/>
    </row>
    <row r="130" spans="9:22" x14ac:dyDescent="0.35">
      <c r="I130" s="1000"/>
      <c r="L130" s="998" t="str">
        <f>IF(AND(Table2[[#This Row],[ORDER NO.]]&lt;&gt;"", Table2[[#This Row],[ORDER NO.]]=Data!$B$1),1,"")</f>
        <v/>
      </c>
      <c r="M130" s="998" t="str">
        <f>IFERROR(IF(AND(Table2[[#This Row],[SEREAL NO.]]&lt;&gt;"", Table2[[#This Row],[SEREAL NO.]]=Data!$A$103),1,""),"")</f>
        <v/>
      </c>
      <c r="N130" s="998" t="str">
        <f>IF(AND(Table2[[#This Row],[SIZE]]&lt;&gt;"", Table2[[#This Row],[SIZE]]=Data!$B$3),1,"")</f>
        <v/>
      </c>
      <c r="O130" s="998" t="str">
        <f>IF(AND(Table2[[#This Row],[TYPE]]&lt;&gt;"", Table2[[#This Row],[TYPE]]=Data!$B$4),1,"")</f>
        <v/>
      </c>
      <c r="P130" s="998" t="str">
        <f>IF(AND(Table2[[#This Row],[LV5 MAT NO.]]&lt;&gt;"", Table2[[#This Row],[LV5 MAT NO.]]=Data!$B$5),1,"")</f>
        <v/>
      </c>
      <c r="Q130" s="998" t="str">
        <f>IF(AND(Table2[[#This Row],[FROM]]&lt;&gt;"", Table2[[#This Row],[FROM]]=Data!$B$7),1,"")</f>
        <v/>
      </c>
      <c r="R130" s="998" t="str">
        <f>IF(AND(Table2[[#This Row],[LV3 or LV4 MAT NO.]]&lt;&gt;"", Table2[[#This Row],[LV3 or LV4 MAT NO.]]=Data!$B$8),1,"")</f>
        <v/>
      </c>
      <c r="S130" s="998"/>
      <c r="T130" s="998"/>
      <c r="U130" s="804" t="str">
        <f>IF(Table4[[#This Row],[Write "N" To Remove The Default]]="N","",IF(AND(COUNTA(Table2[[#This Row],[SEREAL NO.]:[REMARKS]])=SUM( L130:T130),SUM( L130:T130)&lt;&gt;0),Table2[[#This Row],[Instruction]],""))</f>
        <v/>
      </c>
      <c r="V130" s="804"/>
    </row>
    <row r="131" spans="9:22" x14ac:dyDescent="0.35">
      <c r="I131" s="1000"/>
      <c r="L131" s="998" t="str">
        <f>IF(AND(Table2[[#This Row],[ORDER NO.]]&lt;&gt;"", Table2[[#This Row],[ORDER NO.]]=Data!$B$1),1,"")</f>
        <v/>
      </c>
      <c r="M131" s="998" t="str">
        <f>IFERROR(IF(AND(Table2[[#This Row],[SEREAL NO.]]&lt;&gt;"", Table2[[#This Row],[SEREAL NO.]]=Data!$A$103),1,""),"")</f>
        <v/>
      </c>
      <c r="N131" s="998" t="str">
        <f>IF(AND(Table2[[#This Row],[SIZE]]&lt;&gt;"", Table2[[#This Row],[SIZE]]=Data!$B$3),1,"")</f>
        <v/>
      </c>
      <c r="O131" s="998" t="str">
        <f>IF(AND(Table2[[#This Row],[TYPE]]&lt;&gt;"", Table2[[#This Row],[TYPE]]=Data!$B$4),1,"")</f>
        <v/>
      </c>
      <c r="P131" s="998" t="str">
        <f>IF(AND(Table2[[#This Row],[LV5 MAT NO.]]&lt;&gt;"", Table2[[#This Row],[LV5 MAT NO.]]=Data!$B$5),1,"")</f>
        <v/>
      </c>
      <c r="Q131" s="998" t="str">
        <f>IF(AND(Table2[[#This Row],[FROM]]&lt;&gt;"", Table2[[#This Row],[FROM]]=Data!$B$7),1,"")</f>
        <v/>
      </c>
      <c r="R131" s="998" t="str">
        <f>IF(AND(Table2[[#This Row],[LV3 or LV4 MAT NO.]]&lt;&gt;"", Table2[[#This Row],[LV3 or LV4 MAT NO.]]=Data!$B$8),1,"")</f>
        <v/>
      </c>
      <c r="S131" s="998"/>
      <c r="T131" s="998"/>
      <c r="U131" s="804" t="str">
        <f>IF(Table4[[#This Row],[Write "N" To Remove The Default]]="N","",IF(AND(COUNTA(Table2[[#This Row],[SEREAL NO.]:[REMARKS]])=SUM( L131:T131),SUM( L131:T131)&lt;&gt;0),Table2[[#This Row],[Instruction]],""))</f>
        <v/>
      </c>
      <c r="V131" s="804"/>
    </row>
    <row r="132" spans="9:22" x14ac:dyDescent="0.35">
      <c r="I132" s="1000"/>
      <c r="L132" s="998" t="str">
        <f>IF(AND(Table2[[#This Row],[ORDER NO.]]&lt;&gt;"", Table2[[#This Row],[ORDER NO.]]=Data!$B$1),1,"")</f>
        <v/>
      </c>
      <c r="M132" s="998" t="str">
        <f>IFERROR(IF(AND(Table2[[#This Row],[SEREAL NO.]]&lt;&gt;"", Table2[[#This Row],[SEREAL NO.]]=Data!$A$103),1,""),"")</f>
        <v/>
      </c>
      <c r="N132" s="998" t="str">
        <f>IF(AND(Table2[[#This Row],[SIZE]]&lt;&gt;"", Table2[[#This Row],[SIZE]]=Data!$B$3),1,"")</f>
        <v/>
      </c>
      <c r="O132" s="998" t="str">
        <f>IF(AND(Table2[[#This Row],[TYPE]]&lt;&gt;"", Table2[[#This Row],[TYPE]]=Data!$B$4),1,"")</f>
        <v/>
      </c>
      <c r="P132" s="998" t="str">
        <f>IF(AND(Table2[[#This Row],[LV5 MAT NO.]]&lt;&gt;"", Table2[[#This Row],[LV5 MAT NO.]]=Data!$B$5),1,"")</f>
        <v/>
      </c>
      <c r="Q132" s="998" t="str">
        <f>IF(AND(Table2[[#This Row],[FROM]]&lt;&gt;"", Table2[[#This Row],[FROM]]=Data!$B$7),1,"")</f>
        <v/>
      </c>
      <c r="R132" s="998" t="str">
        <f>IF(AND(Table2[[#This Row],[LV3 or LV4 MAT NO.]]&lt;&gt;"", Table2[[#This Row],[LV3 or LV4 MAT NO.]]=Data!$B$8),1,"")</f>
        <v/>
      </c>
      <c r="S132" s="998"/>
      <c r="T132" s="998"/>
      <c r="U132" s="804" t="str">
        <f>IF(Table4[[#This Row],[Write "N" To Remove The Default]]="N","",IF(AND(COUNTA(Table2[[#This Row],[SEREAL NO.]:[REMARKS]])=SUM( L132:T132),SUM( L132:T132)&lt;&gt;0),Table2[[#This Row],[Instruction]],""))</f>
        <v/>
      </c>
      <c r="V132" s="804"/>
    </row>
    <row r="133" spans="9:22" x14ac:dyDescent="0.35">
      <c r="I133" s="1000"/>
      <c r="L133" s="998" t="str">
        <f>IF(AND(Table2[[#This Row],[ORDER NO.]]&lt;&gt;"", Table2[[#This Row],[ORDER NO.]]=Data!$B$1),1,"")</f>
        <v/>
      </c>
      <c r="M133" s="998" t="str">
        <f>IFERROR(IF(AND(Table2[[#This Row],[SEREAL NO.]]&lt;&gt;"", Table2[[#This Row],[SEREAL NO.]]=Data!$A$103),1,""),"")</f>
        <v/>
      </c>
      <c r="N133" s="998" t="str">
        <f>IF(AND(Table2[[#This Row],[SIZE]]&lt;&gt;"", Table2[[#This Row],[SIZE]]=Data!$B$3),1,"")</f>
        <v/>
      </c>
      <c r="O133" s="998" t="str">
        <f>IF(AND(Table2[[#This Row],[TYPE]]&lt;&gt;"", Table2[[#This Row],[TYPE]]=Data!$B$4),1,"")</f>
        <v/>
      </c>
      <c r="P133" s="998" t="str">
        <f>IF(AND(Table2[[#This Row],[LV5 MAT NO.]]&lt;&gt;"", Table2[[#This Row],[LV5 MAT NO.]]=Data!$B$5),1,"")</f>
        <v/>
      </c>
      <c r="Q133" s="998" t="str">
        <f>IF(AND(Table2[[#This Row],[FROM]]&lt;&gt;"", Table2[[#This Row],[FROM]]=Data!$B$7),1,"")</f>
        <v/>
      </c>
      <c r="R133" s="998" t="str">
        <f>IF(AND(Table2[[#This Row],[LV3 or LV4 MAT NO.]]&lt;&gt;"", Table2[[#This Row],[LV3 or LV4 MAT NO.]]=Data!$B$8),1,"")</f>
        <v/>
      </c>
      <c r="S133" s="998"/>
      <c r="T133" s="998"/>
      <c r="U133" s="804" t="str">
        <f>IF(Table4[[#This Row],[Write "N" To Remove The Default]]="N","",IF(AND(COUNTA(Table2[[#This Row],[SEREAL NO.]:[REMARKS]])=SUM( L133:T133),SUM( L133:T133)&lt;&gt;0),Table2[[#This Row],[Instruction]],""))</f>
        <v/>
      </c>
      <c r="V133" s="804"/>
    </row>
    <row r="134" spans="9:22" x14ac:dyDescent="0.35">
      <c r="I134" s="1000"/>
      <c r="L134" s="998" t="str">
        <f>IF(AND(Table2[[#This Row],[ORDER NO.]]&lt;&gt;"", Table2[[#This Row],[ORDER NO.]]=Data!$B$1),1,"")</f>
        <v/>
      </c>
      <c r="M134" s="998" t="str">
        <f>IFERROR(IF(AND(Table2[[#This Row],[SEREAL NO.]]&lt;&gt;"", Table2[[#This Row],[SEREAL NO.]]=Data!$A$103),1,""),"")</f>
        <v/>
      </c>
      <c r="N134" s="998" t="str">
        <f>IF(AND(Table2[[#This Row],[SIZE]]&lt;&gt;"", Table2[[#This Row],[SIZE]]=Data!$B$3),1,"")</f>
        <v/>
      </c>
      <c r="O134" s="998" t="str">
        <f>IF(AND(Table2[[#This Row],[TYPE]]&lt;&gt;"", Table2[[#This Row],[TYPE]]=Data!$B$4),1,"")</f>
        <v/>
      </c>
      <c r="P134" s="998" t="str">
        <f>IF(AND(Table2[[#This Row],[LV5 MAT NO.]]&lt;&gt;"", Table2[[#This Row],[LV5 MAT NO.]]=Data!$B$5),1,"")</f>
        <v/>
      </c>
      <c r="Q134" s="998" t="str">
        <f>IF(AND(Table2[[#This Row],[FROM]]&lt;&gt;"", Table2[[#This Row],[FROM]]=Data!$B$7),1,"")</f>
        <v/>
      </c>
      <c r="R134" s="998" t="str">
        <f>IF(AND(Table2[[#This Row],[LV3 or LV4 MAT NO.]]&lt;&gt;"", Table2[[#This Row],[LV3 or LV4 MAT NO.]]=Data!$B$8),1,"")</f>
        <v/>
      </c>
      <c r="S134" s="998"/>
      <c r="T134" s="998"/>
      <c r="U134" s="804" t="str">
        <f>IF(Table4[[#This Row],[Write "N" To Remove The Default]]="N","",IF(AND(COUNTA(Table2[[#This Row],[SEREAL NO.]:[REMARKS]])=SUM( L134:T134),SUM( L134:T134)&lt;&gt;0),Table2[[#This Row],[Instruction]],""))</f>
        <v/>
      </c>
      <c r="V134" s="804"/>
    </row>
    <row r="135" spans="9:22" x14ac:dyDescent="0.35">
      <c r="I135" s="1000"/>
      <c r="L135" s="998" t="str">
        <f>IF(AND(Table2[[#This Row],[ORDER NO.]]&lt;&gt;"", Table2[[#This Row],[ORDER NO.]]=Data!$B$1),1,"")</f>
        <v/>
      </c>
      <c r="M135" s="998" t="str">
        <f>IFERROR(IF(AND(Table2[[#This Row],[SEREAL NO.]]&lt;&gt;"", Table2[[#This Row],[SEREAL NO.]]=Data!$A$103),1,""),"")</f>
        <v/>
      </c>
      <c r="N135" s="998" t="str">
        <f>IF(AND(Table2[[#This Row],[SIZE]]&lt;&gt;"", Table2[[#This Row],[SIZE]]=Data!$B$3),1,"")</f>
        <v/>
      </c>
      <c r="O135" s="998" t="str">
        <f>IF(AND(Table2[[#This Row],[TYPE]]&lt;&gt;"", Table2[[#This Row],[TYPE]]=Data!$B$4),1,"")</f>
        <v/>
      </c>
      <c r="P135" s="998" t="str">
        <f>IF(AND(Table2[[#This Row],[LV5 MAT NO.]]&lt;&gt;"", Table2[[#This Row],[LV5 MAT NO.]]=Data!$B$5),1,"")</f>
        <v/>
      </c>
      <c r="Q135" s="998" t="str">
        <f>IF(AND(Table2[[#This Row],[FROM]]&lt;&gt;"", Table2[[#This Row],[FROM]]=Data!$B$7),1,"")</f>
        <v/>
      </c>
      <c r="R135" s="998" t="str">
        <f>IF(AND(Table2[[#This Row],[LV3 or LV4 MAT NO.]]&lt;&gt;"", Table2[[#This Row],[LV3 or LV4 MAT NO.]]=Data!$B$8),1,"")</f>
        <v/>
      </c>
      <c r="S135" s="998"/>
      <c r="T135" s="998"/>
      <c r="U135" s="804" t="str">
        <f>IF(Table4[[#This Row],[Write "N" To Remove The Default]]="N","",IF(AND(COUNTA(Table2[[#This Row],[SEREAL NO.]:[REMARKS]])=SUM( L135:T135),SUM( L135:T135)&lt;&gt;0),Table2[[#This Row],[Instruction]],""))</f>
        <v/>
      </c>
      <c r="V135" s="804"/>
    </row>
    <row r="136" spans="9:22" x14ac:dyDescent="0.35">
      <c r="I136" s="1000"/>
      <c r="L136" s="998" t="str">
        <f>IF(AND(Table2[[#This Row],[ORDER NO.]]&lt;&gt;"", Table2[[#This Row],[ORDER NO.]]=Data!$B$1),1,"")</f>
        <v/>
      </c>
      <c r="M136" s="998" t="str">
        <f>IFERROR(IF(AND(Table2[[#This Row],[SEREAL NO.]]&lt;&gt;"", Table2[[#This Row],[SEREAL NO.]]=Data!$A$103),1,""),"")</f>
        <v/>
      </c>
      <c r="N136" s="998" t="str">
        <f>IF(AND(Table2[[#This Row],[SIZE]]&lt;&gt;"", Table2[[#This Row],[SIZE]]=Data!$B$3),1,"")</f>
        <v/>
      </c>
      <c r="O136" s="998" t="str">
        <f>IF(AND(Table2[[#This Row],[TYPE]]&lt;&gt;"", Table2[[#This Row],[TYPE]]=Data!$B$4),1,"")</f>
        <v/>
      </c>
      <c r="P136" s="998" t="str">
        <f>IF(AND(Table2[[#This Row],[LV5 MAT NO.]]&lt;&gt;"", Table2[[#This Row],[LV5 MAT NO.]]=Data!$B$5),1,"")</f>
        <v/>
      </c>
      <c r="Q136" s="998" t="str">
        <f>IF(AND(Table2[[#This Row],[FROM]]&lt;&gt;"", Table2[[#This Row],[FROM]]=Data!$B$7),1,"")</f>
        <v/>
      </c>
      <c r="R136" s="998" t="str">
        <f>IF(AND(Table2[[#This Row],[LV3 or LV4 MAT NO.]]&lt;&gt;"", Table2[[#This Row],[LV3 or LV4 MAT NO.]]=Data!$B$8),1,"")</f>
        <v/>
      </c>
      <c r="S136" s="998"/>
      <c r="T136" s="998"/>
      <c r="U136" s="804" t="str">
        <f>IF(Table4[[#This Row],[Write "N" To Remove The Default]]="N","",IF(AND(COUNTA(Table2[[#This Row],[SEREAL NO.]:[REMARKS]])=SUM( L136:T136),SUM( L136:T136)&lt;&gt;0),Table2[[#This Row],[Instruction]],""))</f>
        <v/>
      </c>
      <c r="V136" s="804"/>
    </row>
    <row r="137" spans="9:22" x14ac:dyDescent="0.35">
      <c r="I137" s="1000"/>
      <c r="L137" s="998" t="str">
        <f>IF(AND(Table2[[#This Row],[ORDER NO.]]&lt;&gt;"", Table2[[#This Row],[ORDER NO.]]=Data!$B$1),1,"")</f>
        <v/>
      </c>
      <c r="M137" s="998" t="str">
        <f>IFERROR(IF(AND(Table2[[#This Row],[SEREAL NO.]]&lt;&gt;"", Table2[[#This Row],[SEREAL NO.]]=Data!$A$103),1,""),"")</f>
        <v/>
      </c>
      <c r="N137" s="998" t="str">
        <f>IF(AND(Table2[[#This Row],[SIZE]]&lt;&gt;"", Table2[[#This Row],[SIZE]]=Data!$B$3),1,"")</f>
        <v/>
      </c>
      <c r="O137" s="998" t="str">
        <f>IF(AND(Table2[[#This Row],[TYPE]]&lt;&gt;"", Table2[[#This Row],[TYPE]]=Data!$B$4),1,"")</f>
        <v/>
      </c>
      <c r="P137" s="998" t="str">
        <f>IF(AND(Table2[[#This Row],[LV5 MAT NO.]]&lt;&gt;"", Table2[[#This Row],[LV5 MAT NO.]]=Data!$B$5),1,"")</f>
        <v/>
      </c>
      <c r="Q137" s="998" t="str">
        <f>IF(AND(Table2[[#This Row],[FROM]]&lt;&gt;"", Table2[[#This Row],[FROM]]=Data!$B$7),1,"")</f>
        <v/>
      </c>
      <c r="R137" s="998" t="str">
        <f>IF(AND(Table2[[#This Row],[LV3 or LV4 MAT NO.]]&lt;&gt;"", Table2[[#This Row],[LV3 or LV4 MAT NO.]]=Data!$B$8),1,"")</f>
        <v/>
      </c>
      <c r="S137" s="998"/>
      <c r="T137" s="998"/>
      <c r="U137" s="804" t="str">
        <f>IF(Table4[[#This Row],[Write "N" To Remove The Default]]="N","",IF(AND(COUNTA(Table2[[#This Row],[SEREAL NO.]:[REMARKS]])=SUM( L137:T137),SUM( L137:T137)&lt;&gt;0),Table2[[#This Row],[Instruction]],""))</f>
        <v/>
      </c>
      <c r="V137" s="804"/>
    </row>
    <row r="138" spans="9:22" x14ac:dyDescent="0.35">
      <c r="I138" s="1000"/>
      <c r="L138" s="998" t="str">
        <f>IF(AND(Table2[[#This Row],[ORDER NO.]]&lt;&gt;"", Table2[[#This Row],[ORDER NO.]]=Data!$B$1),1,"")</f>
        <v/>
      </c>
      <c r="M138" s="998" t="str">
        <f>IFERROR(IF(AND(Table2[[#This Row],[SEREAL NO.]]&lt;&gt;"", Table2[[#This Row],[SEREAL NO.]]=Data!$A$103),1,""),"")</f>
        <v/>
      </c>
      <c r="N138" s="998" t="str">
        <f>IF(AND(Table2[[#This Row],[SIZE]]&lt;&gt;"", Table2[[#This Row],[SIZE]]=Data!$B$3),1,"")</f>
        <v/>
      </c>
      <c r="O138" s="998" t="str">
        <f>IF(AND(Table2[[#This Row],[TYPE]]&lt;&gt;"", Table2[[#This Row],[TYPE]]=Data!$B$4),1,"")</f>
        <v/>
      </c>
      <c r="P138" s="998" t="str">
        <f>IF(AND(Table2[[#This Row],[LV5 MAT NO.]]&lt;&gt;"", Table2[[#This Row],[LV5 MAT NO.]]=Data!$B$5),1,"")</f>
        <v/>
      </c>
      <c r="Q138" s="998" t="str">
        <f>IF(AND(Table2[[#This Row],[FROM]]&lt;&gt;"", Table2[[#This Row],[FROM]]=Data!$B$7),1,"")</f>
        <v/>
      </c>
      <c r="R138" s="998" t="str">
        <f>IF(AND(Table2[[#This Row],[LV3 or LV4 MAT NO.]]&lt;&gt;"", Table2[[#This Row],[LV3 or LV4 MAT NO.]]=Data!$B$8),1,"")</f>
        <v/>
      </c>
      <c r="S138" s="998"/>
      <c r="T138" s="998"/>
      <c r="U138" s="804" t="str">
        <f>IF(Table4[[#This Row],[Write "N" To Remove The Default]]="N","",IF(AND(COUNTA(Table2[[#This Row],[SEREAL NO.]:[REMARKS]])=SUM( L138:T138),SUM( L138:T138)&lt;&gt;0),Table2[[#This Row],[Instruction]],""))</f>
        <v/>
      </c>
      <c r="V138" s="804"/>
    </row>
    <row r="139" spans="9:22" x14ac:dyDescent="0.35">
      <c r="I139" s="1000"/>
      <c r="L139" s="998" t="str">
        <f>IF(AND(Table2[[#This Row],[ORDER NO.]]&lt;&gt;"", Table2[[#This Row],[ORDER NO.]]=Data!$B$1),1,"")</f>
        <v/>
      </c>
      <c r="M139" s="998" t="str">
        <f>IFERROR(IF(AND(Table2[[#This Row],[SEREAL NO.]]&lt;&gt;"", Table2[[#This Row],[SEREAL NO.]]=Data!$A$103),1,""),"")</f>
        <v/>
      </c>
      <c r="N139" s="998" t="str">
        <f>IF(AND(Table2[[#This Row],[SIZE]]&lt;&gt;"", Table2[[#This Row],[SIZE]]=Data!$B$3),1,"")</f>
        <v/>
      </c>
      <c r="O139" s="998" t="str">
        <f>IF(AND(Table2[[#This Row],[TYPE]]&lt;&gt;"", Table2[[#This Row],[TYPE]]=Data!$B$4),1,"")</f>
        <v/>
      </c>
      <c r="P139" s="998" t="str">
        <f>IF(AND(Table2[[#This Row],[LV5 MAT NO.]]&lt;&gt;"", Table2[[#This Row],[LV5 MAT NO.]]=Data!$B$5),1,"")</f>
        <v/>
      </c>
      <c r="Q139" s="998" t="str">
        <f>IF(AND(Table2[[#This Row],[FROM]]&lt;&gt;"", Table2[[#This Row],[FROM]]=Data!$B$7),1,"")</f>
        <v/>
      </c>
      <c r="R139" s="998" t="str">
        <f>IF(AND(Table2[[#This Row],[LV3 or LV4 MAT NO.]]&lt;&gt;"", Table2[[#This Row],[LV3 or LV4 MAT NO.]]=Data!$B$8),1,"")</f>
        <v/>
      </c>
      <c r="S139" s="998"/>
      <c r="T139" s="998"/>
      <c r="U139" s="804" t="str">
        <f>IF(Table4[[#This Row],[Write "N" To Remove The Default]]="N","",IF(AND(COUNTA(Table2[[#This Row],[SEREAL NO.]:[REMARKS]])=SUM( L139:T139),SUM( L139:T139)&lt;&gt;0),Table2[[#This Row],[Instruction]],""))</f>
        <v/>
      </c>
      <c r="V139" s="804"/>
    </row>
    <row r="140" spans="9:22" x14ac:dyDescent="0.35">
      <c r="I140" s="1000"/>
      <c r="L140" s="998" t="str">
        <f>IF(AND(Table2[[#This Row],[ORDER NO.]]&lt;&gt;"", Table2[[#This Row],[ORDER NO.]]=Data!$B$1),1,"")</f>
        <v/>
      </c>
      <c r="M140" s="998" t="str">
        <f>IFERROR(IF(AND(Table2[[#This Row],[SEREAL NO.]]&lt;&gt;"", Table2[[#This Row],[SEREAL NO.]]=Data!$A$103),1,""),"")</f>
        <v/>
      </c>
      <c r="N140" s="998" t="str">
        <f>IF(AND(Table2[[#This Row],[SIZE]]&lt;&gt;"", Table2[[#This Row],[SIZE]]=Data!$B$3),1,"")</f>
        <v/>
      </c>
      <c r="O140" s="998" t="str">
        <f>IF(AND(Table2[[#This Row],[TYPE]]&lt;&gt;"", Table2[[#This Row],[TYPE]]=Data!$B$4),1,"")</f>
        <v/>
      </c>
      <c r="P140" s="998" t="str">
        <f>IF(AND(Table2[[#This Row],[LV5 MAT NO.]]&lt;&gt;"", Table2[[#This Row],[LV5 MAT NO.]]=Data!$B$5),1,"")</f>
        <v/>
      </c>
      <c r="Q140" s="998" t="str">
        <f>IF(AND(Table2[[#This Row],[FROM]]&lt;&gt;"", Table2[[#This Row],[FROM]]=Data!$B$7),1,"")</f>
        <v/>
      </c>
      <c r="R140" s="998" t="str">
        <f>IF(AND(Table2[[#This Row],[LV3 or LV4 MAT NO.]]&lt;&gt;"", Table2[[#This Row],[LV3 or LV4 MAT NO.]]=Data!$B$8),1,"")</f>
        <v/>
      </c>
      <c r="S140" s="998"/>
      <c r="T140" s="998"/>
      <c r="U140" s="804" t="str">
        <f>IF(Table4[[#This Row],[Write "N" To Remove The Default]]="N","",IF(AND(COUNTA(Table2[[#This Row],[SEREAL NO.]:[REMARKS]])=SUM( L140:T140),SUM( L140:T140)&lt;&gt;0),Table2[[#This Row],[Instruction]],""))</f>
        <v/>
      </c>
      <c r="V140" s="804"/>
    </row>
    <row r="141" spans="9:22" x14ac:dyDescent="0.35">
      <c r="I141" s="1000"/>
      <c r="L141" s="998" t="str">
        <f>IF(AND(Table2[[#This Row],[ORDER NO.]]&lt;&gt;"", Table2[[#This Row],[ORDER NO.]]=Data!$B$1),1,"")</f>
        <v/>
      </c>
      <c r="M141" s="998" t="str">
        <f>IFERROR(IF(AND(Table2[[#This Row],[SEREAL NO.]]&lt;&gt;"", Table2[[#This Row],[SEREAL NO.]]=Data!$A$103),1,""),"")</f>
        <v/>
      </c>
      <c r="N141" s="998" t="str">
        <f>IF(AND(Table2[[#This Row],[SIZE]]&lt;&gt;"", Table2[[#This Row],[SIZE]]=Data!$B$3),1,"")</f>
        <v/>
      </c>
      <c r="O141" s="998" t="str">
        <f>IF(AND(Table2[[#This Row],[TYPE]]&lt;&gt;"", Table2[[#This Row],[TYPE]]=Data!$B$4),1,"")</f>
        <v/>
      </c>
      <c r="P141" s="998" t="str">
        <f>IF(AND(Table2[[#This Row],[LV5 MAT NO.]]&lt;&gt;"", Table2[[#This Row],[LV5 MAT NO.]]=Data!$B$5),1,"")</f>
        <v/>
      </c>
      <c r="Q141" s="998" t="str">
        <f>IF(AND(Table2[[#This Row],[FROM]]&lt;&gt;"", Table2[[#This Row],[FROM]]=Data!$B$7),1,"")</f>
        <v/>
      </c>
      <c r="R141" s="998" t="str">
        <f>IF(AND(Table2[[#This Row],[LV3 or LV4 MAT NO.]]&lt;&gt;"", Table2[[#This Row],[LV3 or LV4 MAT NO.]]=Data!$B$8),1,"")</f>
        <v/>
      </c>
      <c r="S141" s="998"/>
      <c r="T141" s="998"/>
      <c r="U141" s="804" t="str">
        <f>IF(Table4[[#This Row],[Write "N" To Remove The Default]]="N","",IF(AND(COUNTA(Table2[[#This Row],[SEREAL NO.]:[REMARKS]])=SUM( L141:T141),SUM( L141:T141)&lt;&gt;0),Table2[[#This Row],[Instruction]],""))</f>
        <v/>
      </c>
      <c r="V141" s="804"/>
    </row>
    <row r="142" spans="9:22" x14ac:dyDescent="0.35">
      <c r="I142" s="1000"/>
      <c r="L142" s="998" t="str">
        <f>IF(AND(Table2[[#This Row],[ORDER NO.]]&lt;&gt;"", Table2[[#This Row],[ORDER NO.]]=Data!$B$1),1,"")</f>
        <v/>
      </c>
      <c r="M142" s="998" t="str">
        <f>IFERROR(IF(AND(Table2[[#This Row],[SEREAL NO.]]&lt;&gt;"", Table2[[#This Row],[SEREAL NO.]]=Data!$A$103),1,""),"")</f>
        <v/>
      </c>
      <c r="N142" s="998" t="str">
        <f>IF(AND(Table2[[#This Row],[SIZE]]&lt;&gt;"", Table2[[#This Row],[SIZE]]=Data!$B$3),1,"")</f>
        <v/>
      </c>
      <c r="O142" s="998" t="str">
        <f>IF(AND(Table2[[#This Row],[TYPE]]&lt;&gt;"", Table2[[#This Row],[TYPE]]=Data!$B$4),1,"")</f>
        <v/>
      </c>
      <c r="P142" s="998" t="str">
        <f>IF(AND(Table2[[#This Row],[LV5 MAT NO.]]&lt;&gt;"", Table2[[#This Row],[LV5 MAT NO.]]=Data!$B$5),1,"")</f>
        <v/>
      </c>
      <c r="Q142" s="998" t="str">
        <f>IF(AND(Table2[[#This Row],[FROM]]&lt;&gt;"", Table2[[#This Row],[FROM]]=Data!$B$7),1,"")</f>
        <v/>
      </c>
      <c r="R142" s="998" t="str">
        <f>IF(AND(Table2[[#This Row],[LV3 or LV4 MAT NO.]]&lt;&gt;"", Table2[[#This Row],[LV3 or LV4 MAT NO.]]=Data!$B$8),1,"")</f>
        <v/>
      </c>
      <c r="S142" s="998"/>
      <c r="T142" s="998"/>
      <c r="U142" s="804" t="str">
        <f>IF(Table4[[#This Row],[Write "N" To Remove The Default]]="N","",IF(AND(COUNTA(Table2[[#This Row],[SEREAL NO.]:[REMARKS]])=SUM( L142:T142),SUM( L142:T142)&lt;&gt;0),Table2[[#This Row],[Instruction]],""))</f>
        <v/>
      </c>
      <c r="V142" s="804"/>
    </row>
    <row r="143" spans="9:22" x14ac:dyDescent="0.35">
      <c r="I143" s="1000"/>
      <c r="L143" s="998" t="str">
        <f>IF(AND(Table2[[#This Row],[ORDER NO.]]&lt;&gt;"", Table2[[#This Row],[ORDER NO.]]=Data!$B$1),1,"")</f>
        <v/>
      </c>
      <c r="M143" s="998" t="str">
        <f>IFERROR(IF(AND(Table2[[#This Row],[SEREAL NO.]]&lt;&gt;"", Table2[[#This Row],[SEREAL NO.]]=Data!$A$103),1,""),"")</f>
        <v/>
      </c>
      <c r="N143" s="998" t="str">
        <f>IF(AND(Table2[[#This Row],[SIZE]]&lt;&gt;"", Table2[[#This Row],[SIZE]]=Data!$B$3),1,"")</f>
        <v/>
      </c>
      <c r="O143" s="998" t="str">
        <f>IF(AND(Table2[[#This Row],[TYPE]]&lt;&gt;"", Table2[[#This Row],[TYPE]]=Data!$B$4),1,"")</f>
        <v/>
      </c>
      <c r="P143" s="998" t="str">
        <f>IF(AND(Table2[[#This Row],[LV5 MAT NO.]]&lt;&gt;"", Table2[[#This Row],[LV5 MAT NO.]]=Data!$B$5),1,"")</f>
        <v/>
      </c>
      <c r="Q143" s="998" t="str">
        <f>IF(AND(Table2[[#This Row],[FROM]]&lt;&gt;"", Table2[[#This Row],[FROM]]=Data!$B$7),1,"")</f>
        <v/>
      </c>
      <c r="R143" s="998" t="str">
        <f>IF(AND(Table2[[#This Row],[LV3 or LV4 MAT NO.]]&lt;&gt;"", Table2[[#This Row],[LV3 or LV4 MAT NO.]]=Data!$B$8),1,"")</f>
        <v/>
      </c>
      <c r="S143" s="998"/>
      <c r="T143" s="998"/>
      <c r="U143" s="804" t="str">
        <f>IF(Table4[[#This Row],[Write "N" To Remove The Default]]="N","",IF(AND(COUNTA(Table2[[#This Row],[SEREAL NO.]:[REMARKS]])=SUM( L143:T143),SUM( L143:T143)&lt;&gt;0),Table2[[#This Row],[Instruction]],""))</f>
        <v/>
      </c>
      <c r="V143" s="804"/>
    </row>
    <row r="144" spans="9:22" x14ac:dyDescent="0.35">
      <c r="I144" s="1000"/>
      <c r="L144" s="998" t="str">
        <f>IF(AND(Table2[[#This Row],[ORDER NO.]]&lt;&gt;"", Table2[[#This Row],[ORDER NO.]]=Data!$B$1),1,"")</f>
        <v/>
      </c>
      <c r="M144" s="998" t="str">
        <f>IFERROR(IF(AND(Table2[[#This Row],[SEREAL NO.]]&lt;&gt;"", Table2[[#This Row],[SEREAL NO.]]=Data!$A$103),1,""),"")</f>
        <v/>
      </c>
      <c r="N144" s="998" t="str">
        <f>IF(AND(Table2[[#This Row],[SIZE]]&lt;&gt;"", Table2[[#This Row],[SIZE]]=Data!$B$3),1,"")</f>
        <v/>
      </c>
      <c r="O144" s="998" t="str">
        <f>IF(AND(Table2[[#This Row],[TYPE]]&lt;&gt;"", Table2[[#This Row],[TYPE]]=Data!$B$4),1,"")</f>
        <v/>
      </c>
      <c r="P144" s="998" t="str">
        <f>IF(AND(Table2[[#This Row],[LV5 MAT NO.]]&lt;&gt;"", Table2[[#This Row],[LV5 MAT NO.]]=Data!$B$5),1,"")</f>
        <v/>
      </c>
      <c r="Q144" s="998" t="str">
        <f>IF(AND(Table2[[#This Row],[FROM]]&lt;&gt;"", Table2[[#This Row],[FROM]]=Data!$B$7),1,"")</f>
        <v/>
      </c>
      <c r="R144" s="998" t="str">
        <f>IF(AND(Table2[[#This Row],[LV3 or LV4 MAT NO.]]&lt;&gt;"", Table2[[#This Row],[LV3 or LV4 MAT NO.]]=Data!$B$8),1,"")</f>
        <v/>
      </c>
      <c r="S144" s="998"/>
      <c r="T144" s="998"/>
      <c r="U144" s="804" t="str">
        <f>IF(Table4[[#This Row],[Write "N" To Remove The Default]]="N","",IF(AND(COUNTA(Table2[[#This Row],[SEREAL NO.]:[REMARKS]])=SUM( L144:T144),SUM( L144:T144)&lt;&gt;0),Table2[[#This Row],[Instruction]],""))</f>
        <v/>
      </c>
      <c r="V144" s="804"/>
    </row>
    <row r="145" spans="9:22" x14ac:dyDescent="0.35">
      <c r="I145" s="1000"/>
      <c r="L145" s="998" t="str">
        <f>IF(AND(Table2[[#This Row],[ORDER NO.]]&lt;&gt;"", Table2[[#This Row],[ORDER NO.]]=Data!$B$1),1,"")</f>
        <v/>
      </c>
      <c r="M145" s="998" t="str">
        <f>IFERROR(IF(AND(Table2[[#This Row],[SEREAL NO.]]&lt;&gt;"", Table2[[#This Row],[SEREAL NO.]]=Data!$A$103),1,""),"")</f>
        <v/>
      </c>
      <c r="N145" s="998" t="str">
        <f>IF(AND(Table2[[#This Row],[SIZE]]&lt;&gt;"", Table2[[#This Row],[SIZE]]=Data!$B$3),1,"")</f>
        <v/>
      </c>
      <c r="O145" s="998" t="str">
        <f>IF(AND(Table2[[#This Row],[TYPE]]&lt;&gt;"", Table2[[#This Row],[TYPE]]=Data!$B$4),1,"")</f>
        <v/>
      </c>
      <c r="P145" s="998" t="str">
        <f>IF(AND(Table2[[#This Row],[LV5 MAT NO.]]&lt;&gt;"", Table2[[#This Row],[LV5 MAT NO.]]=Data!$B$5),1,"")</f>
        <v/>
      </c>
      <c r="Q145" s="998" t="str">
        <f>IF(AND(Table2[[#This Row],[FROM]]&lt;&gt;"", Table2[[#This Row],[FROM]]=Data!$B$7),1,"")</f>
        <v/>
      </c>
      <c r="R145" s="998" t="str">
        <f>IF(AND(Table2[[#This Row],[LV3 or LV4 MAT NO.]]&lt;&gt;"", Table2[[#This Row],[LV3 or LV4 MAT NO.]]=Data!$B$8),1,"")</f>
        <v/>
      </c>
      <c r="S145" s="998"/>
      <c r="T145" s="998"/>
      <c r="U145" s="804" t="str">
        <f>IF(Table4[[#This Row],[Write "N" To Remove The Default]]="N","",IF(AND(COUNTA(Table2[[#This Row],[SEREAL NO.]:[REMARKS]])=SUM( L145:T145),SUM( L145:T145)&lt;&gt;0),Table2[[#This Row],[Instruction]],""))</f>
        <v/>
      </c>
      <c r="V145" s="804"/>
    </row>
    <row r="146" spans="9:22" x14ac:dyDescent="0.35">
      <c r="I146" s="1000"/>
      <c r="L146" s="998" t="str">
        <f>IF(AND(Table2[[#This Row],[ORDER NO.]]&lt;&gt;"", Table2[[#This Row],[ORDER NO.]]=Data!$B$1),1,"")</f>
        <v/>
      </c>
      <c r="M146" s="998" t="str">
        <f>IFERROR(IF(AND(Table2[[#This Row],[SEREAL NO.]]&lt;&gt;"", Table2[[#This Row],[SEREAL NO.]]=Data!$A$103),1,""),"")</f>
        <v/>
      </c>
      <c r="N146" s="998" t="str">
        <f>IF(AND(Table2[[#This Row],[SIZE]]&lt;&gt;"", Table2[[#This Row],[SIZE]]=Data!$B$3),1,"")</f>
        <v/>
      </c>
      <c r="O146" s="998" t="str">
        <f>IF(AND(Table2[[#This Row],[TYPE]]&lt;&gt;"", Table2[[#This Row],[TYPE]]=Data!$B$4),1,"")</f>
        <v/>
      </c>
      <c r="P146" s="998" t="str">
        <f>IF(AND(Table2[[#This Row],[LV5 MAT NO.]]&lt;&gt;"", Table2[[#This Row],[LV5 MAT NO.]]=Data!$B$5),1,"")</f>
        <v/>
      </c>
      <c r="Q146" s="998" t="str">
        <f>IF(AND(Table2[[#This Row],[FROM]]&lt;&gt;"", Table2[[#This Row],[FROM]]=Data!$B$7),1,"")</f>
        <v/>
      </c>
      <c r="R146" s="998" t="str">
        <f>IF(AND(Table2[[#This Row],[LV3 or LV4 MAT NO.]]&lt;&gt;"", Table2[[#This Row],[LV3 or LV4 MAT NO.]]=Data!$B$8),1,"")</f>
        <v/>
      </c>
      <c r="S146" s="998"/>
      <c r="T146" s="998"/>
      <c r="U146" s="804" t="str">
        <f>IF(Table4[[#This Row],[Write "N" To Remove The Default]]="N","",IF(AND(COUNTA(Table2[[#This Row],[SEREAL NO.]:[REMARKS]])=SUM( L146:T146),SUM( L146:T146)&lt;&gt;0),Table2[[#This Row],[Instruction]],""))</f>
        <v/>
      </c>
      <c r="V146" s="804"/>
    </row>
    <row r="147" spans="9:22" x14ac:dyDescent="0.35">
      <c r="I147" s="1000"/>
      <c r="L147" s="998" t="str">
        <f>IF(AND(Table2[[#This Row],[ORDER NO.]]&lt;&gt;"", Table2[[#This Row],[ORDER NO.]]=Data!$B$1),1,"")</f>
        <v/>
      </c>
      <c r="M147" s="998" t="str">
        <f>IFERROR(IF(AND(Table2[[#This Row],[SEREAL NO.]]&lt;&gt;"", Table2[[#This Row],[SEREAL NO.]]=Data!$A$103),1,""),"")</f>
        <v/>
      </c>
      <c r="N147" s="998" t="str">
        <f>IF(AND(Table2[[#This Row],[SIZE]]&lt;&gt;"", Table2[[#This Row],[SIZE]]=Data!$B$3),1,"")</f>
        <v/>
      </c>
      <c r="O147" s="998" t="str">
        <f>IF(AND(Table2[[#This Row],[TYPE]]&lt;&gt;"", Table2[[#This Row],[TYPE]]=Data!$B$4),1,"")</f>
        <v/>
      </c>
      <c r="P147" s="998" t="str">
        <f>IF(AND(Table2[[#This Row],[LV5 MAT NO.]]&lt;&gt;"", Table2[[#This Row],[LV5 MAT NO.]]=Data!$B$5),1,"")</f>
        <v/>
      </c>
      <c r="Q147" s="998" t="str">
        <f>IF(AND(Table2[[#This Row],[FROM]]&lt;&gt;"", Table2[[#This Row],[FROM]]=Data!$B$7),1,"")</f>
        <v/>
      </c>
      <c r="R147" s="998" t="str">
        <f>IF(AND(Table2[[#This Row],[LV3 or LV4 MAT NO.]]&lt;&gt;"", Table2[[#This Row],[LV3 or LV4 MAT NO.]]=Data!$B$8),1,"")</f>
        <v/>
      </c>
      <c r="S147" s="998"/>
      <c r="T147" s="998"/>
      <c r="U147" s="804" t="str">
        <f>IF(Table4[[#This Row],[Write "N" To Remove The Default]]="N","",IF(AND(COUNTA(Table2[[#This Row],[SEREAL NO.]:[REMARKS]])=SUM( L147:T147),SUM( L147:T147)&lt;&gt;0),Table2[[#This Row],[Instruction]],""))</f>
        <v/>
      </c>
      <c r="V147" s="804"/>
    </row>
    <row r="148" spans="9:22" x14ac:dyDescent="0.35">
      <c r="I148" s="1000"/>
      <c r="L148" s="998" t="str">
        <f>IF(AND(Table2[[#This Row],[ORDER NO.]]&lt;&gt;"", Table2[[#This Row],[ORDER NO.]]=Data!$B$1),1,"")</f>
        <v/>
      </c>
      <c r="M148" s="998" t="str">
        <f>IFERROR(IF(AND(Table2[[#This Row],[SEREAL NO.]]&lt;&gt;"", Table2[[#This Row],[SEREAL NO.]]=Data!$A$103),1,""),"")</f>
        <v/>
      </c>
      <c r="N148" s="998" t="str">
        <f>IF(AND(Table2[[#This Row],[SIZE]]&lt;&gt;"", Table2[[#This Row],[SIZE]]=Data!$B$3),1,"")</f>
        <v/>
      </c>
      <c r="O148" s="998" t="str">
        <f>IF(AND(Table2[[#This Row],[TYPE]]&lt;&gt;"", Table2[[#This Row],[TYPE]]=Data!$B$4),1,"")</f>
        <v/>
      </c>
      <c r="P148" s="998" t="str">
        <f>IF(AND(Table2[[#This Row],[LV5 MAT NO.]]&lt;&gt;"", Table2[[#This Row],[LV5 MAT NO.]]=Data!$B$5),1,"")</f>
        <v/>
      </c>
      <c r="Q148" s="998" t="str">
        <f>IF(AND(Table2[[#This Row],[FROM]]&lt;&gt;"", Table2[[#This Row],[FROM]]=Data!$B$7),1,"")</f>
        <v/>
      </c>
      <c r="R148" s="998" t="str">
        <f>IF(AND(Table2[[#This Row],[LV3 or LV4 MAT NO.]]&lt;&gt;"", Table2[[#This Row],[LV3 or LV4 MAT NO.]]=Data!$B$8),1,"")</f>
        <v/>
      </c>
      <c r="S148" s="998"/>
      <c r="T148" s="998"/>
      <c r="U148" s="804" t="str">
        <f>IF(Table4[[#This Row],[Write "N" To Remove The Default]]="N","",IF(AND(COUNTA(Table2[[#This Row],[SEREAL NO.]:[REMARKS]])=SUM( L148:T148),SUM( L148:T148)&lt;&gt;0),Table2[[#This Row],[Instruction]],""))</f>
        <v/>
      </c>
      <c r="V148" s="804"/>
    </row>
    <row r="149" spans="9:22" x14ac:dyDescent="0.35">
      <c r="I149" s="1000"/>
      <c r="L149" s="998" t="str">
        <f>IF(AND(Table2[[#This Row],[ORDER NO.]]&lt;&gt;"", Table2[[#This Row],[ORDER NO.]]=Data!$B$1),1,"")</f>
        <v/>
      </c>
      <c r="M149" s="998" t="str">
        <f>IFERROR(IF(AND(Table2[[#This Row],[SEREAL NO.]]&lt;&gt;"", Table2[[#This Row],[SEREAL NO.]]=Data!$A$103),1,""),"")</f>
        <v/>
      </c>
      <c r="N149" s="998" t="str">
        <f>IF(AND(Table2[[#This Row],[SIZE]]&lt;&gt;"", Table2[[#This Row],[SIZE]]=Data!$B$3),1,"")</f>
        <v/>
      </c>
      <c r="O149" s="998" t="str">
        <f>IF(AND(Table2[[#This Row],[TYPE]]&lt;&gt;"", Table2[[#This Row],[TYPE]]=Data!$B$4),1,"")</f>
        <v/>
      </c>
      <c r="P149" s="998" t="str">
        <f>IF(AND(Table2[[#This Row],[LV5 MAT NO.]]&lt;&gt;"", Table2[[#This Row],[LV5 MAT NO.]]=Data!$B$5),1,"")</f>
        <v/>
      </c>
      <c r="Q149" s="998" t="str">
        <f>IF(AND(Table2[[#This Row],[FROM]]&lt;&gt;"", Table2[[#This Row],[FROM]]=Data!$B$7),1,"")</f>
        <v/>
      </c>
      <c r="R149" s="998" t="str">
        <f>IF(AND(Table2[[#This Row],[LV3 or LV4 MAT NO.]]&lt;&gt;"", Table2[[#This Row],[LV3 or LV4 MAT NO.]]=Data!$B$8),1,"")</f>
        <v/>
      </c>
      <c r="S149" s="998"/>
      <c r="T149" s="998"/>
      <c r="U149" s="804" t="str">
        <f>IF(Table4[[#This Row],[Write "N" To Remove The Default]]="N","",IF(AND(COUNTA(Table2[[#This Row],[SEREAL NO.]:[REMARKS]])=SUM( L149:T149),SUM( L149:T149)&lt;&gt;0),Table2[[#This Row],[Instruction]],""))</f>
        <v/>
      </c>
      <c r="V149" s="804"/>
    </row>
    <row r="150" spans="9:22" x14ac:dyDescent="0.35">
      <c r="I150" s="1000"/>
      <c r="L150" s="998" t="str">
        <f>IF(AND(Table2[[#This Row],[ORDER NO.]]&lt;&gt;"", Table2[[#This Row],[ORDER NO.]]=Data!$B$1),1,"")</f>
        <v/>
      </c>
      <c r="M150" s="998" t="str">
        <f>IFERROR(IF(AND(Table2[[#This Row],[SEREAL NO.]]&lt;&gt;"", Table2[[#This Row],[SEREAL NO.]]=Data!$A$103),1,""),"")</f>
        <v/>
      </c>
      <c r="N150" s="998" t="str">
        <f>IF(AND(Table2[[#This Row],[SIZE]]&lt;&gt;"", Table2[[#This Row],[SIZE]]=Data!$B$3),1,"")</f>
        <v/>
      </c>
      <c r="O150" s="998" t="str">
        <f>IF(AND(Table2[[#This Row],[TYPE]]&lt;&gt;"", Table2[[#This Row],[TYPE]]=Data!$B$4),1,"")</f>
        <v/>
      </c>
      <c r="P150" s="998" t="str">
        <f>IF(AND(Table2[[#This Row],[LV5 MAT NO.]]&lt;&gt;"", Table2[[#This Row],[LV5 MAT NO.]]=Data!$B$5),1,"")</f>
        <v/>
      </c>
      <c r="Q150" s="998" t="str">
        <f>IF(AND(Table2[[#This Row],[FROM]]&lt;&gt;"", Table2[[#This Row],[FROM]]=Data!$B$7),1,"")</f>
        <v/>
      </c>
      <c r="R150" s="998" t="str">
        <f>IF(AND(Table2[[#This Row],[LV3 or LV4 MAT NO.]]&lt;&gt;"", Table2[[#This Row],[LV3 or LV4 MAT NO.]]=Data!$B$8),1,"")</f>
        <v/>
      </c>
      <c r="S150" s="998"/>
      <c r="T150" s="998"/>
      <c r="U150" s="804" t="str">
        <f>IF(Table4[[#This Row],[Write "N" To Remove The Default]]="N","",IF(AND(COUNTA(Table2[[#This Row],[SEREAL NO.]:[REMARKS]])=SUM( L150:T150),SUM( L150:T150)&lt;&gt;0),Table2[[#This Row],[Instruction]],""))</f>
        <v/>
      </c>
      <c r="V150" s="804"/>
    </row>
    <row r="151" spans="9:22" x14ac:dyDescent="0.35">
      <c r="I151" s="1000"/>
      <c r="L151" s="998" t="str">
        <f>IF(AND(Table2[[#This Row],[ORDER NO.]]&lt;&gt;"", Table2[[#This Row],[ORDER NO.]]=Data!$B$1),1,"")</f>
        <v/>
      </c>
      <c r="M151" s="998" t="str">
        <f>IFERROR(IF(AND(Table2[[#This Row],[SEREAL NO.]]&lt;&gt;"", Table2[[#This Row],[SEREAL NO.]]=Data!$A$103),1,""),"")</f>
        <v/>
      </c>
      <c r="N151" s="998" t="str">
        <f>IF(AND(Table2[[#This Row],[SIZE]]&lt;&gt;"", Table2[[#This Row],[SIZE]]=Data!$B$3),1,"")</f>
        <v/>
      </c>
      <c r="O151" s="998" t="str">
        <f>IF(AND(Table2[[#This Row],[TYPE]]&lt;&gt;"", Table2[[#This Row],[TYPE]]=Data!$B$4),1,"")</f>
        <v/>
      </c>
      <c r="P151" s="998" t="str">
        <f>IF(AND(Table2[[#This Row],[LV5 MAT NO.]]&lt;&gt;"", Table2[[#This Row],[LV5 MAT NO.]]=Data!$B$5),1,"")</f>
        <v/>
      </c>
      <c r="Q151" s="998" t="str">
        <f>IF(AND(Table2[[#This Row],[FROM]]&lt;&gt;"", Table2[[#This Row],[FROM]]=Data!$B$7),1,"")</f>
        <v/>
      </c>
      <c r="R151" s="998" t="str">
        <f>IF(AND(Table2[[#This Row],[LV3 or LV4 MAT NO.]]&lt;&gt;"", Table2[[#This Row],[LV3 or LV4 MAT NO.]]=Data!$B$8),1,"")</f>
        <v/>
      </c>
      <c r="S151" s="998"/>
      <c r="T151" s="998"/>
      <c r="U151" s="804" t="str">
        <f>IF(Table4[[#This Row],[Write "N" To Remove The Default]]="N","",IF(AND(COUNTA(Table2[[#This Row],[SEREAL NO.]:[REMARKS]])=SUM( L151:T151),SUM( L151:T151)&lt;&gt;0),Table2[[#This Row],[Instruction]],""))</f>
        <v/>
      </c>
      <c r="V151" s="804"/>
    </row>
    <row r="152" spans="9:22" x14ac:dyDescent="0.35">
      <c r="I152" s="1000"/>
      <c r="L152" s="998" t="str">
        <f>IF(AND(Table2[[#This Row],[ORDER NO.]]&lt;&gt;"", Table2[[#This Row],[ORDER NO.]]=Data!$B$1),1,"")</f>
        <v/>
      </c>
      <c r="M152" s="998" t="str">
        <f>IFERROR(IF(AND(Table2[[#This Row],[SEREAL NO.]]&lt;&gt;"", Table2[[#This Row],[SEREAL NO.]]=Data!$A$103),1,""),"")</f>
        <v/>
      </c>
      <c r="N152" s="998" t="str">
        <f>IF(AND(Table2[[#This Row],[SIZE]]&lt;&gt;"", Table2[[#This Row],[SIZE]]=Data!$B$3),1,"")</f>
        <v/>
      </c>
      <c r="O152" s="998" t="str">
        <f>IF(AND(Table2[[#This Row],[TYPE]]&lt;&gt;"", Table2[[#This Row],[TYPE]]=Data!$B$4),1,"")</f>
        <v/>
      </c>
      <c r="P152" s="998" t="str">
        <f>IF(AND(Table2[[#This Row],[LV5 MAT NO.]]&lt;&gt;"", Table2[[#This Row],[LV5 MAT NO.]]=Data!$B$5),1,"")</f>
        <v/>
      </c>
      <c r="Q152" s="998" t="str">
        <f>IF(AND(Table2[[#This Row],[FROM]]&lt;&gt;"", Table2[[#This Row],[FROM]]=Data!$B$7),1,"")</f>
        <v/>
      </c>
      <c r="R152" s="998" t="str">
        <f>IF(AND(Table2[[#This Row],[LV3 or LV4 MAT NO.]]&lt;&gt;"", Table2[[#This Row],[LV3 or LV4 MAT NO.]]=Data!$B$8),1,"")</f>
        <v/>
      </c>
      <c r="S152" s="998"/>
      <c r="T152" s="998"/>
      <c r="U152" s="804" t="str">
        <f>IF(Table4[[#This Row],[Write "N" To Remove The Default]]="N","",IF(AND(COUNTA(Table2[[#This Row],[SEREAL NO.]:[REMARKS]])=SUM( L152:T152),SUM( L152:T152)&lt;&gt;0),Table2[[#This Row],[Instruction]],""))</f>
        <v/>
      </c>
      <c r="V152" s="804"/>
    </row>
    <row r="153" spans="9:22" x14ac:dyDescent="0.35">
      <c r="I153" s="1000"/>
      <c r="L153" s="998" t="str">
        <f>IF(AND(Table2[[#This Row],[ORDER NO.]]&lt;&gt;"", Table2[[#This Row],[ORDER NO.]]=Data!$B$1),1,"")</f>
        <v/>
      </c>
      <c r="M153" s="998" t="str">
        <f>IFERROR(IF(AND(Table2[[#This Row],[SEREAL NO.]]&lt;&gt;"", Table2[[#This Row],[SEREAL NO.]]=Data!$A$103),1,""),"")</f>
        <v/>
      </c>
      <c r="N153" s="998" t="str">
        <f>IF(AND(Table2[[#This Row],[SIZE]]&lt;&gt;"", Table2[[#This Row],[SIZE]]=Data!$B$3),1,"")</f>
        <v/>
      </c>
      <c r="O153" s="998" t="str">
        <f>IF(AND(Table2[[#This Row],[TYPE]]&lt;&gt;"", Table2[[#This Row],[TYPE]]=Data!$B$4),1,"")</f>
        <v/>
      </c>
      <c r="P153" s="998" t="str">
        <f>IF(AND(Table2[[#This Row],[LV5 MAT NO.]]&lt;&gt;"", Table2[[#This Row],[LV5 MAT NO.]]=Data!$B$5),1,"")</f>
        <v/>
      </c>
      <c r="Q153" s="998" t="str">
        <f>IF(AND(Table2[[#This Row],[FROM]]&lt;&gt;"", Table2[[#This Row],[FROM]]=Data!$B$7),1,"")</f>
        <v/>
      </c>
      <c r="R153" s="998" t="str">
        <f>IF(AND(Table2[[#This Row],[LV3 or LV4 MAT NO.]]&lt;&gt;"", Table2[[#This Row],[LV3 or LV4 MAT NO.]]=Data!$B$8),1,"")</f>
        <v/>
      </c>
      <c r="S153" s="998"/>
      <c r="T153" s="998"/>
      <c r="U153" s="804" t="str">
        <f>IF(Table4[[#This Row],[Write "N" To Remove The Default]]="N","",IF(AND(COUNTA(Table2[[#This Row],[SEREAL NO.]:[REMARKS]])=SUM( L153:T153),SUM( L153:T153)&lt;&gt;0),Table2[[#This Row],[Instruction]],""))</f>
        <v/>
      </c>
      <c r="V153" s="804"/>
    </row>
    <row r="154" spans="9:22" x14ac:dyDescent="0.35">
      <c r="I154" s="1000"/>
      <c r="L154" s="998" t="str">
        <f>IF(AND(Table2[[#This Row],[ORDER NO.]]&lt;&gt;"", Table2[[#This Row],[ORDER NO.]]=Data!$B$1),1,"")</f>
        <v/>
      </c>
      <c r="M154" s="998" t="str">
        <f>IFERROR(IF(AND(Table2[[#This Row],[SEREAL NO.]]&lt;&gt;"", Table2[[#This Row],[SEREAL NO.]]=Data!$A$103),1,""),"")</f>
        <v/>
      </c>
      <c r="N154" s="998" t="str">
        <f>IF(AND(Table2[[#This Row],[SIZE]]&lt;&gt;"", Table2[[#This Row],[SIZE]]=Data!$B$3),1,"")</f>
        <v/>
      </c>
      <c r="O154" s="998" t="str">
        <f>IF(AND(Table2[[#This Row],[TYPE]]&lt;&gt;"", Table2[[#This Row],[TYPE]]=Data!$B$4),1,"")</f>
        <v/>
      </c>
      <c r="P154" s="998" t="str">
        <f>IF(AND(Table2[[#This Row],[LV5 MAT NO.]]&lt;&gt;"", Table2[[#This Row],[LV5 MAT NO.]]=Data!$B$5),1,"")</f>
        <v/>
      </c>
      <c r="Q154" s="998" t="str">
        <f>IF(AND(Table2[[#This Row],[FROM]]&lt;&gt;"", Table2[[#This Row],[FROM]]=Data!$B$7),1,"")</f>
        <v/>
      </c>
      <c r="R154" s="998" t="str">
        <f>IF(AND(Table2[[#This Row],[LV3 or LV4 MAT NO.]]&lt;&gt;"", Table2[[#This Row],[LV3 or LV4 MAT NO.]]=Data!$B$8),1,"")</f>
        <v/>
      </c>
      <c r="S154" s="998"/>
      <c r="T154" s="998"/>
      <c r="U154" s="804" t="str">
        <f>IF(Table4[[#This Row],[Write "N" To Remove The Default]]="N","",IF(AND(COUNTA(Table2[[#This Row],[SEREAL NO.]:[REMARKS]])=SUM( L154:T154),SUM( L154:T154)&lt;&gt;0),Table2[[#This Row],[Instruction]],""))</f>
        <v/>
      </c>
      <c r="V154" s="804"/>
    </row>
    <row r="155" spans="9:22" x14ac:dyDescent="0.35">
      <c r="I155" s="1000"/>
      <c r="L155" s="998" t="str">
        <f>IF(AND(Table2[[#This Row],[ORDER NO.]]&lt;&gt;"", Table2[[#This Row],[ORDER NO.]]=Data!$B$1),1,"")</f>
        <v/>
      </c>
      <c r="M155" s="998" t="str">
        <f>IFERROR(IF(AND(Table2[[#This Row],[SEREAL NO.]]&lt;&gt;"", Table2[[#This Row],[SEREAL NO.]]=Data!$A$103),1,""),"")</f>
        <v/>
      </c>
      <c r="N155" s="998" t="str">
        <f>IF(AND(Table2[[#This Row],[SIZE]]&lt;&gt;"", Table2[[#This Row],[SIZE]]=Data!$B$3),1,"")</f>
        <v/>
      </c>
      <c r="O155" s="998" t="str">
        <f>IF(AND(Table2[[#This Row],[TYPE]]&lt;&gt;"", Table2[[#This Row],[TYPE]]=Data!$B$4),1,"")</f>
        <v/>
      </c>
      <c r="P155" s="998" t="str">
        <f>IF(AND(Table2[[#This Row],[LV5 MAT NO.]]&lt;&gt;"", Table2[[#This Row],[LV5 MAT NO.]]=Data!$B$5),1,"")</f>
        <v/>
      </c>
      <c r="Q155" s="998" t="str">
        <f>IF(AND(Table2[[#This Row],[FROM]]&lt;&gt;"", Table2[[#This Row],[FROM]]=Data!$B$7),1,"")</f>
        <v/>
      </c>
      <c r="R155" s="998" t="str">
        <f>IF(AND(Table2[[#This Row],[LV3 or LV4 MAT NO.]]&lt;&gt;"", Table2[[#This Row],[LV3 or LV4 MAT NO.]]=Data!$B$8),1,"")</f>
        <v/>
      </c>
      <c r="S155" s="998"/>
      <c r="T155" s="998"/>
      <c r="U155" s="804" t="str">
        <f>IF(Table4[[#This Row],[Write "N" To Remove The Default]]="N","",IF(AND(COUNTA(Table2[[#This Row],[SEREAL NO.]:[REMARKS]])=SUM( L155:T155),SUM( L155:T155)&lt;&gt;0),Table2[[#This Row],[Instruction]],""))</f>
        <v/>
      </c>
      <c r="V155" s="804"/>
    </row>
    <row r="156" spans="9:22" x14ac:dyDescent="0.35">
      <c r="I156" s="1000"/>
      <c r="L156" s="998" t="str">
        <f>IF(AND(Table2[[#This Row],[ORDER NO.]]&lt;&gt;"", Table2[[#This Row],[ORDER NO.]]=Data!$B$1),1,"")</f>
        <v/>
      </c>
      <c r="M156" s="998" t="str">
        <f>IFERROR(IF(AND(Table2[[#This Row],[SEREAL NO.]]&lt;&gt;"", Table2[[#This Row],[SEREAL NO.]]=Data!$A$103),1,""),"")</f>
        <v/>
      </c>
      <c r="N156" s="998" t="str">
        <f>IF(AND(Table2[[#This Row],[SIZE]]&lt;&gt;"", Table2[[#This Row],[SIZE]]=Data!$B$3),1,"")</f>
        <v/>
      </c>
      <c r="O156" s="998" t="str">
        <f>IF(AND(Table2[[#This Row],[TYPE]]&lt;&gt;"", Table2[[#This Row],[TYPE]]=Data!$B$4),1,"")</f>
        <v/>
      </c>
      <c r="P156" s="998" t="str">
        <f>IF(AND(Table2[[#This Row],[LV5 MAT NO.]]&lt;&gt;"", Table2[[#This Row],[LV5 MAT NO.]]=Data!$B$5),1,"")</f>
        <v/>
      </c>
      <c r="Q156" s="998" t="str">
        <f>IF(AND(Table2[[#This Row],[FROM]]&lt;&gt;"", Table2[[#This Row],[FROM]]=Data!$B$7),1,"")</f>
        <v/>
      </c>
      <c r="R156" s="998" t="str">
        <f>IF(AND(Table2[[#This Row],[LV3 or LV4 MAT NO.]]&lt;&gt;"", Table2[[#This Row],[LV3 or LV4 MAT NO.]]=Data!$B$8),1,"")</f>
        <v/>
      </c>
      <c r="S156" s="998"/>
      <c r="T156" s="998"/>
      <c r="U156" s="804" t="str">
        <f>IF(Table4[[#This Row],[Write "N" To Remove The Default]]="N","",IF(AND(COUNTA(Table2[[#This Row],[SEREAL NO.]:[REMARKS]])=SUM( L156:T156),SUM( L156:T156)&lt;&gt;0),Table2[[#This Row],[Instruction]],""))</f>
        <v/>
      </c>
      <c r="V156" s="804"/>
    </row>
    <row r="157" spans="9:22" x14ac:dyDescent="0.35">
      <c r="I157" s="1000"/>
      <c r="L157" s="998" t="str">
        <f>IF(AND(Table2[[#This Row],[ORDER NO.]]&lt;&gt;"", Table2[[#This Row],[ORDER NO.]]=Data!$B$1),1,"")</f>
        <v/>
      </c>
      <c r="M157" s="998" t="str">
        <f>IFERROR(IF(AND(Table2[[#This Row],[SEREAL NO.]]&lt;&gt;"", Table2[[#This Row],[SEREAL NO.]]=Data!$A$103),1,""),"")</f>
        <v/>
      </c>
      <c r="N157" s="998" t="str">
        <f>IF(AND(Table2[[#This Row],[SIZE]]&lt;&gt;"", Table2[[#This Row],[SIZE]]=Data!$B$3),1,"")</f>
        <v/>
      </c>
      <c r="O157" s="998" t="str">
        <f>IF(AND(Table2[[#This Row],[TYPE]]&lt;&gt;"", Table2[[#This Row],[TYPE]]=Data!$B$4),1,"")</f>
        <v/>
      </c>
      <c r="P157" s="998" t="str">
        <f>IF(AND(Table2[[#This Row],[LV5 MAT NO.]]&lt;&gt;"", Table2[[#This Row],[LV5 MAT NO.]]=Data!$B$5),1,"")</f>
        <v/>
      </c>
      <c r="Q157" s="998" t="str">
        <f>IF(AND(Table2[[#This Row],[FROM]]&lt;&gt;"", Table2[[#This Row],[FROM]]=Data!$B$7),1,"")</f>
        <v/>
      </c>
      <c r="R157" s="998" t="str">
        <f>IF(AND(Table2[[#This Row],[LV3 or LV4 MAT NO.]]&lt;&gt;"", Table2[[#This Row],[LV3 or LV4 MAT NO.]]=Data!$B$8),1,"")</f>
        <v/>
      </c>
      <c r="S157" s="998"/>
      <c r="T157" s="998"/>
      <c r="U157" s="804" t="str">
        <f>IF(Table4[[#This Row],[Write "N" To Remove The Default]]="N","",IF(AND(COUNTA(Table2[[#This Row],[SEREAL NO.]:[REMARKS]])=SUM( L157:T157),SUM( L157:T157)&lt;&gt;0),Table2[[#This Row],[Instruction]],""))</f>
        <v/>
      </c>
      <c r="V157" s="804"/>
    </row>
    <row r="158" spans="9:22" x14ac:dyDescent="0.35">
      <c r="I158" s="1000"/>
      <c r="L158" s="998" t="str">
        <f>IF(AND(Table2[[#This Row],[ORDER NO.]]&lt;&gt;"", Table2[[#This Row],[ORDER NO.]]=Data!$B$1),1,"")</f>
        <v/>
      </c>
      <c r="M158" s="998" t="str">
        <f>IFERROR(IF(AND(Table2[[#This Row],[SEREAL NO.]]&lt;&gt;"", Table2[[#This Row],[SEREAL NO.]]=Data!$A$103),1,""),"")</f>
        <v/>
      </c>
      <c r="N158" s="998" t="str">
        <f>IF(AND(Table2[[#This Row],[SIZE]]&lt;&gt;"", Table2[[#This Row],[SIZE]]=Data!$B$3),1,"")</f>
        <v/>
      </c>
      <c r="O158" s="998" t="str">
        <f>IF(AND(Table2[[#This Row],[TYPE]]&lt;&gt;"", Table2[[#This Row],[TYPE]]=Data!$B$4),1,"")</f>
        <v/>
      </c>
      <c r="P158" s="998" t="str">
        <f>IF(AND(Table2[[#This Row],[LV5 MAT NO.]]&lt;&gt;"", Table2[[#This Row],[LV5 MAT NO.]]=Data!$B$5),1,"")</f>
        <v/>
      </c>
      <c r="Q158" s="998" t="str">
        <f>IF(AND(Table2[[#This Row],[FROM]]&lt;&gt;"", Table2[[#This Row],[FROM]]=Data!$B$7),1,"")</f>
        <v/>
      </c>
      <c r="R158" s="998" t="str">
        <f>IF(AND(Table2[[#This Row],[LV3 or LV4 MAT NO.]]&lt;&gt;"", Table2[[#This Row],[LV3 or LV4 MAT NO.]]=Data!$B$8),1,"")</f>
        <v/>
      </c>
      <c r="S158" s="998"/>
      <c r="T158" s="998"/>
      <c r="U158" s="804" t="str">
        <f>IF(Table4[[#This Row],[Write "N" To Remove The Default]]="N","",IF(AND(COUNTA(Table2[[#This Row],[SEREAL NO.]:[REMARKS]])=SUM( L158:T158),SUM( L158:T158)&lt;&gt;0),Table2[[#This Row],[Instruction]],""))</f>
        <v/>
      </c>
      <c r="V158" s="804"/>
    </row>
    <row r="159" spans="9:22" x14ac:dyDescent="0.35">
      <c r="I159" s="1000"/>
      <c r="L159" s="998" t="str">
        <f>IF(AND(Table2[[#This Row],[ORDER NO.]]&lt;&gt;"", Table2[[#This Row],[ORDER NO.]]=Data!$B$1),1,"")</f>
        <v/>
      </c>
      <c r="M159" s="998" t="str">
        <f>IFERROR(IF(AND(Table2[[#This Row],[SEREAL NO.]]&lt;&gt;"", Table2[[#This Row],[SEREAL NO.]]=Data!$A$103),1,""),"")</f>
        <v/>
      </c>
      <c r="N159" s="998" t="str">
        <f>IF(AND(Table2[[#This Row],[SIZE]]&lt;&gt;"", Table2[[#This Row],[SIZE]]=Data!$B$3),1,"")</f>
        <v/>
      </c>
      <c r="O159" s="998" t="str">
        <f>IF(AND(Table2[[#This Row],[TYPE]]&lt;&gt;"", Table2[[#This Row],[TYPE]]=Data!$B$4),1,"")</f>
        <v/>
      </c>
      <c r="P159" s="998" t="str">
        <f>IF(AND(Table2[[#This Row],[LV5 MAT NO.]]&lt;&gt;"", Table2[[#This Row],[LV5 MAT NO.]]=Data!$B$5),1,"")</f>
        <v/>
      </c>
      <c r="Q159" s="998" t="str">
        <f>IF(AND(Table2[[#This Row],[FROM]]&lt;&gt;"", Table2[[#This Row],[FROM]]=Data!$B$7),1,"")</f>
        <v/>
      </c>
      <c r="R159" s="998" t="str">
        <f>IF(AND(Table2[[#This Row],[LV3 or LV4 MAT NO.]]&lt;&gt;"", Table2[[#This Row],[LV3 or LV4 MAT NO.]]=Data!$B$8),1,"")</f>
        <v/>
      </c>
      <c r="S159" s="998"/>
      <c r="T159" s="998"/>
      <c r="U159" s="804" t="str">
        <f>IF(Table4[[#This Row],[Write "N" To Remove The Default]]="N","",IF(AND(COUNTA(Table2[[#This Row],[SEREAL NO.]:[REMARKS]])=SUM( L159:T159),SUM( L159:T159)&lt;&gt;0),Table2[[#This Row],[Instruction]],""))</f>
        <v/>
      </c>
      <c r="V159" s="804"/>
    </row>
    <row r="160" spans="9:22" x14ac:dyDescent="0.35">
      <c r="I160" s="1000"/>
      <c r="L160" s="998" t="str">
        <f>IF(AND(Table2[[#This Row],[ORDER NO.]]&lt;&gt;"", Table2[[#This Row],[ORDER NO.]]=Data!$B$1),1,"")</f>
        <v/>
      </c>
      <c r="M160" s="998" t="str">
        <f>IFERROR(IF(AND(Table2[[#This Row],[SEREAL NO.]]&lt;&gt;"", Table2[[#This Row],[SEREAL NO.]]=Data!$A$103),1,""),"")</f>
        <v/>
      </c>
      <c r="N160" s="998" t="str">
        <f>IF(AND(Table2[[#This Row],[SIZE]]&lt;&gt;"", Table2[[#This Row],[SIZE]]=Data!$B$3),1,"")</f>
        <v/>
      </c>
      <c r="O160" s="998" t="str">
        <f>IF(AND(Table2[[#This Row],[TYPE]]&lt;&gt;"", Table2[[#This Row],[TYPE]]=Data!$B$4),1,"")</f>
        <v/>
      </c>
      <c r="P160" s="998" t="str">
        <f>IF(AND(Table2[[#This Row],[LV5 MAT NO.]]&lt;&gt;"", Table2[[#This Row],[LV5 MAT NO.]]=Data!$B$5),1,"")</f>
        <v/>
      </c>
      <c r="Q160" s="998" t="str">
        <f>IF(AND(Table2[[#This Row],[FROM]]&lt;&gt;"", Table2[[#This Row],[FROM]]=Data!$B$7),1,"")</f>
        <v/>
      </c>
      <c r="R160" s="998" t="str">
        <f>IF(AND(Table2[[#This Row],[LV3 or LV4 MAT NO.]]&lt;&gt;"", Table2[[#This Row],[LV3 or LV4 MAT NO.]]=Data!$B$8),1,"")</f>
        <v/>
      </c>
      <c r="S160" s="998"/>
      <c r="T160" s="998"/>
      <c r="U160" s="804" t="str">
        <f>IF(Table4[[#This Row],[Write "N" To Remove The Default]]="N","",IF(AND(COUNTA(Table2[[#This Row],[SEREAL NO.]:[REMARKS]])=SUM( L160:T160),SUM( L160:T160)&lt;&gt;0),Table2[[#This Row],[Instruction]],""))</f>
        <v/>
      </c>
      <c r="V160" s="804"/>
    </row>
    <row r="161" spans="9:22" x14ac:dyDescent="0.35">
      <c r="I161" s="1000"/>
      <c r="L161" s="998" t="str">
        <f>IF(AND(Table2[[#This Row],[ORDER NO.]]&lt;&gt;"", Table2[[#This Row],[ORDER NO.]]=Data!$B$1),1,"")</f>
        <v/>
      </c>
      <c r="M161" s="998" t="str">
        <f>IFERROR(IF(AND(Table2[[#This Row],[SEREAL NO.]]&lt;&gt;"", Table2[[#This Row],[SEREAL NO.]]=Data!$A$103),1,""),"")</f>
        <v/>
      </c>
      <c r="N161" s="998" t="str">
        <f>IF(AND(Table2[[#This Row],[SIZE]]&lt;&gt;"", Table2[[#This Row],[SIZE]]=Data!$B$3),1,"")</f>
        <v/>
      </c>
      <c r="O161" s="998" t="str">
        <f>IF(AND(Table2[[#This Row],[TYPE]]&lt;&gt;"", Table2[[#This Row],[TYPE]]=Data!$B$4),1,"")</f>
        <v/>
      </c>
      <c r="P161" s="998" t="str">
        <f>IF(AND(Table2[[#This Row],[LV5 MAT NO.]]&lt;&gt;"", Table2[[#This Row],[LV5 MAT NO.]]=Data!$B$5),1,"")</f>
        <v/>
      </c>
      <c r="Q161" s="998" t="str">
        <f>IF(AND(Table2[[#This Row],[FROM]]&lt;&gt;"", Table2[[#This Row],[FROM]]=Data!$B$7),1,"")</f>
        <v/>
      </c>
      <c r="R161" s="998" t="str">
        <f>IF(AND(Table2[[#This Row],[LV3 or LV4 MAT NO.]]&lt;&gt;"", Table2[[#This Row],[LV3 or LV4 MAT NO.]]=Data!$B$8),1,"")</f>
        <v/>
      </c>
      <c r="S161" s="998"/>
      <c r="T161" s="998"/>
      <c r="U161" s="804" t="str">
        <f>IF(Table4[[#This Row],[Write "N" To Remove The Default]]="N","",IF(AND(COUNTA(Table2[[#This Row],[SEREAL NO.]:[REMARKS]])=SUM( L161:T161),SUM( L161:T161)&lt;&gt;0),Table2[[#This Row],[Instruction]],""))</f>
        <v/>
      </c>
      <c r="V161" s="804"/>
    </row>
    <row r="162" spans="9:22" x14ac:dyDescent="0.35">
      <c r="I162" s="1000"/>
      <c r="L162" s="998" t="str">
        <f>IF(AND(Table2[[#This Row],[ORDER NO.]]&lt;&gt;"", Table2[[#This Row],[ORDER NO.]]=Data!$B$1),1,"")</f>
        <v/>
      </c>
      <c r="M162" s="998" t="str">
        <f>IFERROR(IF(AND(Table2[[#This Row],[SEREAL NO.]]&lt;&gt;"", Table2[[#This Row],[SEREAL NO.]]=Data!$A$103),1,""),"")</f>
        <v/>
      </c>
      <c r="N162" s="998" t="str">
        <f>IF(AND(Table2[[#This Row],[SIZE]]&lt;&gt;"", Table2[[#This Row],[SIZE]]=Data!$B$3),1,"")</f>
        <v/>
      </c>
      <c r="O162" s="998" t="str">
        <f>IF(AND(Table2[[#This Row],[TYPE]]&lt;&gt;"", Table2[[#This Row],[TYPE]]=Data!$B$4),1,"")</f>
        <v/>
      </c>
      <c r="P162" s="998" t="str">
        <f>IF(AND(Table2[[#This Row],[LV5 MAT NO.]]&lt;&gt;"", Table2[[#This Row],[LV5 MAT NO.]]=Data!$B$5),1,"")</f>
        <v/>
      </c>
      <c r="Q162" s="998" t="str">
        <f>IF(AND(Table2[[#This Row],[FROM]]&lt;&gt;"", Table2[[#This Row],[FROM]]=Data!$B$7),1,"")</f>
        <v/>
      </c>
      <c r="R162" s="998" t="str">
        <f>IF(AND(Table2[[#This Row],[LV3 or LV4 MAT NO.]]&lt;&gt;"", Table2[[#This Row],[LV3 or LV4 MAT NO.]]=Data!$B$8),1,"")</f>
        <v/>
      </c>
      <c r="S162" s="998"/>
      <c r="T162" s="998"/>
      <c r="U162" s="804" t="str">
        <f>IF(Table4[[#This Row],[Write "N" To Remove The Default]]="N","",IF(AND(COUNTA(Table2[[#This Row],[SEREAL NO.]:[REMARKS]])=SUM( L162:T162),SUM( L162:T162)&lt;&gt;0),Table2[[#This Row],[Instruction]],""))</f>
        <v/>
      </c>
      <c r="V162" s="804"/>
    </row>
    <row r="163" spans="9:22" x14ac:dyDescent="0.35">
      <c r="I163" s="1000"/>
      <c r="L163" s="998" t="str">
        <f>IF(AND(Table2[[#This Row],[ORDER NO.]]&lt;&gt;"", Table2[[#This Row],[ORDER NO.]]=Data!$B$1),1,"")</f>
        <v/>
      </c>
      <c r="M163" s="998" t="str">
        <f>IFERROR(IF(AND(Table2[[#This Row],[SEREAL NO.]]&lt;&gt;"", Table2[[#This Row],[SEREAL NO.]]=Data!$A$103),1,""),"")</f>
        <v/>
      </c>
      <c r="N163" s="998" t="str">
        <f>IF(AND(Table2[[#This Row],[SIZE]]&lt;&gt;"", Table2[[#This Row],[SIZE]]=Data!$B$3),1,"")</f>
        <v/>
      </c>
      <c r="O163" s="998" t="str">
        <f>IF(AND(Table2[[#This Row],[TYPE]]&lt;&gt;"", Table2[[#This Row],[TYPE]]=Data!$B$4),1,"")</f>
        <v/>
      </c>
      <c r="P163" s="998" t="str">
        <f>IF(AND(Table2[[#This Row],[LV5 MAT NO.]]&lt;&gt;"", Table2[[#This Row],[LV5 MAT NO.]]=Data!$B$5),1,"")</f>
        <v/>
      </c>
      <c r="Q163" s="998" t="str">
        <f>IF(AND(Table2[[#This Row],[FROM]]&lt;&gt;"", Table2[[#This Row],[FROM]]=Data!$B$7),1,"")</f>
        <v/>
      </c>
      <c r="R163" s="998" t="str">
        <f>IF(AND(Table2[[#This Row],[LV3 or LV4 MAT NO.]]&lt;&gt;"", Table2[[#This Row],[LV3 or LV4 MAT NO.]]=Data!$B$8),1,"")</f>
        <v/>
      </c>
      <c r="S163" s="998"/>
      <c r="T163" s="998"/>
      <c r="U163" s="804" t="str">
        <f>IF(Table4[[#This Row],[Write "N" To Remove The Default]]="N","",IF(AND(COUNTA(Table2[[#This Row],[SEREAL NO.]:[REMARKS]])=SUM( L163:T163),SUM( L163:T163)&lt;&gt;0),Table2[[#This Row],[Instruction]],""))</f>
        <v/>
      </c>
      <c r="V163" s="804"/>
    </row>
    <row r="164" spans="9:22" x14ac:dyDescent="0.35">
      <c r="I164" s="1000"/>
      <c r="L164" s="998" t="str">
        <f>IF(AND(Table2[[#This Row],[ORDER NO.]]&lt;&gt;"", Table2[[#This Row],[ORDER NO.]]=Data!$B$1),1,"")</f>
        <v/>
      </c>
      <c r="M164" s="998" t="str">
        <f>IFERROR(IF(AND(Table2[[#This Row],[SEREAL NO.]]&lt;&gt;"", Table2[[#This Row],[SEREAL NO.]]=Data!$A$103),1,""),"")</f>
        <v/>
      </c>
      <c r="N164" s="998" t="str">
        <f>IF(AND(Table2[[#This Row],[SIZE]]&lt;&gt;"", Table2[[#This Row],[SIZE]]=Data!$B$3),1,"")</f>
        <v/>
      </c>
      <c r="O164" s="998" t="str">
        <f>IF(AND(Table2[[#This Row],[TYPE]]&lt;&gt;"", Table2[[#This Row],[TYPE]]=Data!$B$4),1,"")</f>
        <v/>
      </c>
      <c r="P164" s="998" t="str">
        <f>IF(AND(Table2[[#This Row],[LV5 MAT NO.]]&lt;&gt;"", Table2[[#This Row],[LV5 MAT NO.]]=Data!$B$5),1,"")</f>
        <v/>
      </c>
      <c r="Q164" s="998" t="str">
        <f>IF(AND(Table2[[#This Row],[FROM]]&lt;&gt;"", Table2[[#This Row],[FROM]]=Data!$B$7),1,"")</f>
        <v/>
      </c>
      <c r="R164" s="998" t="str">
        <f>IF(AND(Table2[[#This Row],[LV3 or LV4 MAT NO.]]&lt;&gt;"", Table2[[#This Row],[LV3 or LV4 MAT NO.]]=Data!$B$8),1,"")</f>
        <v/>
      </c>
      <c r="S164" s="998"/>
      <c r="T164" s="998"/>
      <c r="U164" s="804" t="str">
        <f>IF(Table4[[#This Row],[Write "N" To Remove The Default]]="N","",IF(AND(COUNTA(Table2[[#This Row],[SEREAL NO.]:[REMARKS]])=SUM( L164:T164),SUM( L164:T164)&lt;&gt;0),Table2[[#This Row],[Instruction]],""))</f>
        <v/>
      </c>
      <c r="V164" s="804"/>
    </row>
    <row r="165" spans="9:22" x14ac:dyDescent="0.35">
      <c r="I165" s="1000"/>
      <c r="L165" s="998" t="str">
        <f>IF(AND(Table2[[#This Row],[ORDER NO.]]&lt;&gt;"", Table2[[#This Row],[ORDER NO.]]=Data!$B$1),1,"")</f>
        <v/>
      </c>
      <c r="M165" s="998" t="str">
        <f>IFERROR(IF(AND(Table2[[#This Row],[SEREAL NO.]]&lt;&gt;"", Table2[[#This Row],[SEREAL NO.]]=Data!$A$103),1,""),"")</f>
        <v/>
      </c>
      <c r="N165" s="998" t="str">
        <f>IF(AND(Table2[[#This Row],[SIZE]]&lt;&gt;"", Table2[[#This Row],[SIZE]]=Data!$B$3),1,"")</f>
        <v/>
      </c>
      <c r="O165" s="998" t="str">
        <f>IF(AND(Table2[[#This Row],[TYPE]]&lt;&gt;"", Table2[[#This Row],[TYPE]]=Data!$B$4),1,"")</f>
        <v/>
      </c>
      <c r="P165" s="998" t="str">
        <f>IF(AND(Table2[[#This Row],[LV5 MAT NO.]]&lt;&gt;"", Table2[[#This Row],[LV5 MAT NO.]]=Data!$B$5),1,"")</f>
        <v/>
      </c>
      <c r="Q165" s="998" t="str">
        <f>IF(AND(Table2[[#This Row],[FROM]]&lt;&gt;"", Table2[[#This Row],[FROM]]=Data!$B$7),1,"")</f>
        <v/>
      </c>
      <c r="R165" s="998" t="str">
        <f>IF(AND(Table2[[#This Row],[LV3 or LV4 MAT NO.]]&lt;&gt;"", Table2[[#This Row],[LV3 or LV4 MAT NO.]]=Data!$B$8),1,"")</f>
        <v/>
      </c>
      <c r="S165" s="998"/>
      <c r="T165" s="998"/>
      <c r="U165" s="804" t="str">
        <f>IF(Table4[[#This Row],[Write "N" To Remove The Default]]="N","",IF(AND(COUNTA(Table2[[#This Row],[SEREAL NO.]:[REMARKS]])=SUM( L165:T165),SUM( L165:T165)&lt;&gt;0),Table2[[#This Row],[Instruction]],""))</f>
        <v/>
      </c>
      <c r="V165" s="804"/>
    </row>
    <row r="166" spans="9:22" x14ac:dyDescent="0.35">
      <c r="I166" s="1000"/>
      <c r="L166" s="998" t="str">
        <f>IF(AND(Table2[[#This Row],[ORDER NO.]]&lt;&gt;"", Table2[[#This Row],[ORDER NO.]]=Data!$B$1),1,"")</f>
        <v/>
      </c>
      <c r="M166" s="998" t="str">
        <f>IFERROR(IF(AND(Table2[[#This Row],[SEREAL NO.]]&lt;&gt;"", Table2[[#This Row],[SEREAL NO.]]=Data!$A$103),1,""),"")</f>
        <v/>
      </c>
      <c r="N166" s="998" t="str">
        <f>IF(AND(Table2[[#This Row],[SIZE]]&lt;&gt;"", Table2[[#This Row],[SIZE]]=Data!$B$3),1,"")</f>
        <v/>
      </c>
      <c r="O166" s="998" t="str">
        <f>IF(AND(Table2[[#This Row],[TYPE]]&lt;&gt;"", Table2[[#This Row],[TYPE]]=Data!$B$4),1,"")</f>
        <v/>
      </c>
      <c r="P166" s="998" t="str">
        <f>IF(AND(Table2[[#This Row],[LV5 MAT NO.]]&lt;&gt;"", Table2[[#This Row],[LV5 MAT NO.]]=Data!$B$5),1,"")</f>
        <v/>
      </c>
      <c r="Q166" s="998" t="str">
        <f>IF(AND(Table2[[#This Row],[FROM]]&lt;&gt;"", Table2[[#This Row],[FROM]]=Data!$B$7),1,"")</f>
        <v/>
      </c>
      <c r="R166" s="998" t="str">
        <f>IF(AND(Table2[[#This Row],[LV3 or LV4 MAT NO.]]&lt;&gt;"", Table2[[#This Row],[LV3 or LV4 MAT NO.]]=Data!$B$8),1,"")</f>
        <v/>
      </c>
      <c r="S166" s="998"/>
      <c r="T166" s="998"/>
      <c r="U166" s="804" t="str">
        <f>IF(Table4[[#This Row],[Write "N" To Remove The Default]]="N","",IF(AND(COUNTA(Table2[[#This Row],[SEREAL NO.]:[REMARKS]])=SUM( L166:T166),SUM( L166:T166)&lt;&gt;0),Table2[[#This Row],[Instruction]],""))</f>
        <v/>
      </c>
      <c r="V166" s="804"/>
    </row>
    <row r="167" spans="9:22" x14ac:dyDescent="0.35">
      <c r="I167" s="1000"/>
      <c r="L167" s="998" t="str">
        <f>IF(AND(Table2[[#This Row],[ORDER NO.]]&lt;&gt;"", Table2[[#This Row],[ORDER NO.]]=Data!$B$1),1,"")</f>
        <v/>
      </c>
      <c r="M167" s="998" t="str">
        <f>IFERROR(IF(AND(Table2[[#This Row],[SEREAL NO.]]&lt;&gt;"", Table2[[#This Row],[SEREAL NO.]]=Data!$A$103),1,""),"")</f>
        <v/>
      </c>
      <c r="N167" s="998" t="str">
        <f>IF(AND(Table2[[#This Row],[SIZE]]&lt;&gt;"", Table2[[#This Row],[SIZE]]=Data!$B$3),1,"")</f>
        <v/>
      </c>
      <c r="O167" s="998" t="str">
        <f>IF(AND(Table2[[#This Row],[TYPE]]&lt;&gt;"", Table2[[#This Row],[TYPE]]=Data!$B$4),1,"")</f>
        <v/>
      </c>
      <c r="P167" s="998" t="str">
        <f>IF(AND(Table2[[#This Row],[LV5 MAT NO.]]&lt;&gt;"", Table2[[#This Row],[LV5 MAT NO.]]=Data!$B$5),1,"")</f>
        <v/>
      </c>
      <c r="Q167" s="998" t="str">
        <f>IF(AND(Table2[[#This Row],[FROM]]&lt;&gt;"", Table2[[#This Row],[FROM]]=Data!$B$7),1,"")</f>
        <v/>
      </c>
      <c r="R167" s="998" t="str">
        <f>IF(AND(Table2[[#This Row],[LV3 or LV4 MAT NO.]]&lt;&gt;"", Table2[[#This Row],[LV3 or LV4 MAT NO.]]=Data!$B$8),1,"")</f>
        <v/>
      </c>
      <c r="S167" s="998"/>
      <c r="T167" s="998"/>
      <c r="U167" s="804" t="str">
        <f>IF(Table4[[#This Row],[Write "N" To Remove The Default]]="N","",IF(AND(COUNTA(Table2[[#This Row],[SEREAL NO.]:[REMARKS]])=SUM( L167:T167),SUM( L167:T167)&lt;&gt;0),Table2[[#This Row],[Instruction]],""))</f>
        <v/>
      </c>
      <c r="V167" s="804"/>
    </row>
    <row r="168" spans="9:22" x14ac:dyDescent="0.35">
      <c r="I168" s="1000"/>
      <c r="L168" s="998" t="str">
        <f>IF(AND(Table2[[#This Row],[ORDER NO.]]&lt;&gt;"", Table2[[#This Row],[ORDER NO.]]=Data!$B$1),1,"")</f>
        <v/>
      </c>
      <c r="M168" s="998" t="str">
        <f>IFERROR(IF(AND(Table2[[#This Row],[SEREAL NO.]]&lt;&gt;"", Table2[[#This Row],[SEREAL NO.]]=Data!$A$103),1,""),"")</f>
        <v/>
      </c>
      <c r="N168" s="998" t="str">
        <f>IF(AND(Table2[[#This Row],[SIZE]]&lt;&gt;"", Table2[[#This Row],[SIZE]]=Data!$B$3),1,"")</f>
        <v/>
      </c>
      <c r="O168" s="998" t="str">
        <f>IF(AND(Table2[[#This Row],[TYPE]]&lt;&gt;"", Table2[[#This Row],[TYPE]]=Data!$B$4),1,"")</f>
        <v/>
      </c>
      <c r="P168" s="998" t="str">
        <f>IF(AND(Table2[[#This Row],[LV5 MAT NO.]]&lt;&gt;"", Table2[[#This Row],[LV5 MAT NO.]]=Data!$B$5),1,"")</f>
        <v/>
      </c>
      <c r="Q168" s="998" t="str">
        <f>IF(AND(Table2[[#This Row],[FROM]]&lt;&gt;"", Table2[[#This Row],[FROM]]=Data!$B$7),1,"")</f>
        <v/>
      </c>
      <c r="R168" s="998" t="str">
        <f>IF(AND(Table2[[#This Row],[LV3 or LV4 MAT NO.]]&lt;&gt;"", Table2[[#This Row],[LV3 or LV4 MAT NO.]]=Data!$B$8),1,"")</f>
        <v/>
      </c>
      <c r="S168" s="998"/>
      <c r="T168" s="998"/>
      <c r="U168" s="804" t="str">
        <f>IF(Table4[[#This Row],[Write "N" To Remove The Default]]="N","",IF(AND(COUNTA(Table2[[#This Row],[SEREAL NO.]:[REMARKS]])=SUM( L168:T168),SUM( L168:T168)&lt;&gt;0),Table2[[#This Row],[Instruction]],""))</f>
        <v/>
      </c>
      <c r="V168" s="804"/>
    </row>
    <row r="169" spans="9:22" x14ac:dyDescent="0.35">
      <c r="I169" s="1000"/>
      <c r="L169" s="998" t="str">
        <f>IF(AND(Table2[[#This Row],[ORDER NO.]]&lt;&gt;"", Table2[[#This Row],[ORDER NO.]]=Data!$B$1),1,"")</f>
        <v/>
      </c>
      <c r="M169" s="998" t="str">
        <f>IFERROR(IF(AND(Table2[[#This Row],[SEREAL NO.]]&lt;&gt;"", Table2[[#This Row],[SEREAL NO.]]=Data!$A$103),1,""),"")</f>
        <v/>
      </c>
      <c r="N169" s="998" t="str">
        <f>IF(AND(Table2[[#This Row],[SIZE]]&lt;&gt;"", Table2[[#This Row],[SIZE]]=Data!$B$3),1,"")</f>
        <v/>
      </c>
      <c r="O169" s="998" t="str">
        <f>IF(AND(Table2[[#This Row],[TYPE]]&lt;&gt;"", Table2[[#This Row],[TYPE]]=Data!$B$4),1,"")</f>
        <v/>
      </c>
      <c r="P169" s="998" t="str">
        <f>IF(AND(Table2[[#This Row],[LV5 MAT NO.]]&lt;&gt;"", Table2[[#This Row],[LV5 MAT NO.]]=Data!$B$5),1,"")</f>
        <v/>
      </c>
      <c r="Q169" s="998" t="str">
        <f>IF(AND(Table2[[#This Row],[FROM]]&lt;&gt;"", Table2[[#This Row],[FROM]]=Data!$B$7),1,"")</f>
        <v/>
      </c>
      <c r="R169" s="998" t="str">
        <f>IF(AND(Table2[[#This Row],[LV3 or LV4 MAT NO.]]&lt;&gt;"", Table2[[#This Row],[LV3 or LV4 MAT NO.]]=Data!$B$8),1,"")</f>
        <v/>
      </c>
      <c r="S169" s="998"/>
      <c r="T169" s="998"/>
      <c r="U169" s="804" t="str">
        <f>IF(Table4[[#This Row],[Write "N" To Remove The Default]]="N","",IF(AND(COUNTA(Table2[[#This Row],[SEREAL NO.]:[REMARKS]])=SUM( L169:T169),SUM( L169:T169)&lt;&gt;0),Table2[[#This Row],[Instruction]],""))</f>
        <v/>
      </c>
      <c r="V169" s="804"/>
    </row>
    <row r="170" spans="9:22" x14ac:dyDescent="0.35">
      <c r="I170" s="1000"/>
      <c r="L170" s="998" t="str">
        <f>IF(AND(Table2[[#This Row],[ORDER NO.]]&lt;&gt;"", Table2[[#This Row],[ORDER NO.]]=Data!$B$1),1,"")</f>
        <v/>
      </c>
      <c r="M170" s="998" t="str">
        <f>IFERROR(IF(AND(Table2[[#This Row],[SEREAL NO.]]&lt;&gt;"", Table2[[#This Row],[SEREAL NO.]]=Data!$A$103),1,""),"")</f>
        <v/>
      </c>
      <c r="N170" s="998" t="str">
        <f>IF(AND(Table2[[#This Row],[SIZE]]&lt;&gt;"", Table2[[#This Row],[SIZE]]=Data!$B$3),1,"")</f>
        <v/>
      </c>
      <c r="O170" s="998" t="str">
        <f>IF(AND(Table2[[#This Row],[TYPE]]&lt;&gt;"", Table2[[#This Row],[TYPE]]=Data!$B$4),1,"")</f>
        <v/>
      </c>
      <c r="P170" s="998" t="str">
        <f>IF(AND(Table2[[#This Row],[LV5 MAT NO.]]&lt;&gt;"", Table2[[#This Row],[LV5 MAT NO.]]=Data!$B$5),1,"")</f>
        <v/>
      </c>
      <c r="Q170" s="998" t="str">
        <f>IF(AND(Table2[[#This Row],[FROM]]&lt;&gt;"", Table2[[#This Row],[FROM]]=Data!$B$7),1,"")</f>
        <v/>
      </c>
      <c r="R170" s="998" t="str">
        <f>IF(AND(Table2[[#This Row],[LV3 or LV4 MAT NO.]]&lt;&gt;"", Table2[[#This Row],[LV3 or LV4 MAT NO.]]=Data!$B$8),1,"")</f>
        <v/>
      </c>
      <c r="S170" s="998"/>
      <c r="T170" s="998"/>
      <c r="U170" s="804" t="str">
        <f>IF(Table4[[#This Row],[Write "N" To Remove The Default]]="N","",IF(AND(COUNTA(Table2[[#This Row],[SEREAL NO.]:[REMARKS]])=SUM( L170:T170),SUM( L170:T170)&lt;&gt;0),Table2[[#This Row],[Instruction]],""))</f>
        <v/>
      </c>
      <c r="V170" s="804"/>
    </row>
    <row r="171" spans="9:22" x14ac:dyDescent="0.35">
      <c r="I171" s="1000"/>
      <c r="L171" s="998" t="str">
        <f>IF(AND(Table2[[#This Row],[ORDER NO.]]&lt;&gt;"", Table2[[#This Row],[ORDER NO.]]=Data!$B$1),1,"")</f>
        <v/>
      </c>
      <c r="M171" s="998" t="str">
        <f>IFERROR(IF(AND(Table2[[#This Row],[SEREAL NO.]]&lt;&gt;"", Table2[[#This Row],[SEREAL NO.]]=Data!$A$103),1,""),"")</f>
        <v/>
      </c>
      <c r="N171" s="998" t="str">
        <f>IF(AND(Table2[[#This Row],[SIZE]]&lt;&gt;"", Table2[[#This Row],[SIZE]]=Data!$B$3),1,"")</f>
        <v/>
      </c>
      <c r="O171" s="998" t="str">
        <f>IF(AND(Table2[[#This Row],[TYPE]]&lt;&gt;"", Table2[[#This Row],[TYPE]]=Data!$B$4),1,"")</f>
        <v/>
      </c>
      <c r="P171" s="998" t="str">
        <f>IF(AND(Table2[[#This Row],[LV5 MAT NO.]]&lt;&gt;"", Table2[[#This Row],[LV5 MAT NO.]]=Data!$B$5),1,"")</f>
        <v/>
      </c>
      <c r="Q171" s="998" t="str">
        <f>IF(AND(Table2[[#This Row],[FROM]]&lt;&gt;"", Table2[[#This Row],[FROM]]=Data!$B$7),1,"")</f>
        <v/>
      </c>
      <c r="R171" s="998" t="str">
        <f>IF(AND(Table2[[#This Row],[LV3 or LV4 MAT NO.]]&lt;&gt;"", Table2[[#This Row],[LV3 or LV4 MAT NO.]]=Data!$B$8),1,"")</f>
        <v/>
      </c>
      <c r="S171" s="998"/>
      <c r="T171" s="998"/>
      <c r="U171" s="804" t="str">
        <f>IF(Table4[[#This Row],[Write "N" To Remove The Default]]="N","",IF(AND(COUNTA(Table2[[#This Row],[SEREAL NO.]:[REMARKS]])=SUM( L171:T171),SUM( L171:T171)&lt;&gt;0),Table2[[#This Row],[Instruction]],""))</f>
        <v/>
      </c>
      <c r="V171" s="804"/>
    </row>
    <row r="172" spans="9:22" x14ac:dyDescent="0.35">
      <c r="I172" s="1000"/>
      <c r="L172" s="998" t="str">
        <f>IF(AND(Table2[[#This Row],[ORDER NO.]]&lt;&gt;"", Table2[[#This Row],[ORDER NO.]]=Data!$B$1),1,"")</f>
        <v/>
      </c>
      <c r="M172" s="998" t="str">
        <f>IFERROR(IF(AND(Table2[[#This Row],[SEREAL NO.]]&lt;&gt;"", Table2[[#This Row],[SEREAL NO.]]=Data!$A$103),1,""),"")</f>
        <v/>
      </c>
      <c r="N172" s="998" t="str">
        <f>IF(AND(Table2[[#This Row],[SIZE]]&lt;&gt;"", Table2[[#This Row],[SIZE]]=Data!$B$3),1,"")</f>
        <v/>
      </c>
      <c r="O172" s="998" t="str">
        <f>IF(AND(Table2[[#This Row],[TYPE]]&lt;&gt;"", Table2[[#This Row],[TYPE]]=Data!$B$4),1,"")</f>
        <v/>
      </c>
      <c r="P172" s="998" t="str">
        <f>IF(AND(Table2[[#This Row],[LV5 MAT NO.]]&lt;&gt;"", Table2[[#This Row],[LV5 MAT NO.]]=Data!$B$5),1,"")</f>
        <v/>
      </c>
      <c r="Q172" s="998" t="str">
        <f>IF(AND(Table2[[#This Row],[FROM]]&lt;&gt;"", Table2[[#This Row],[FROM]]=Data!$B$7),1,"")</f>
        <v/>
      </c>
      <c r="R172" s="998" t="str">
        <f>IF(AND(Table2[[#This Row],[LV3 or LV4 MAT NO.]]&lt;&gt;"", Table2[[#This Row],[LV3 or LV4 MAT NO.]]=Data!$B$8),1,"")</f>
        <v/>
      </c>
      <c r="S172" s="998"/>
      <c r="T172" s="998"/>
      <c r="U172" s="804" t="str">
        <f>IF(Table4[[#This Row],[Write "N" To Remove The Default]]="N","",IF(AND(COUNTA(Table2[[#This Row],[SEREAL NO.]:[REMARKS]])=SUM( L172:T172),SUM( L172:T172)&lt;&gt;0),Table2[[#This Row],[Instruction]],""))</f>
        <v/>
      </c>
      <c r="V172" s="804"/>
    </row>
    <row r="173" spans="9:22" x14ac:dyDescent="0.35">
      <c r="I173" s="1000"/>
      <c r="L173" s="998" t="str">
        <f>IF(AND(Table2[[#This Row],[ORDER NO.]]&lt;&gt;"", Table2[[#This Row],[ORDER NO.]]=Data!$B$1),1,"")</f>
        <v/>
      </c>
      <c r="M173" s="998" t="str">
        <f>IFERROR(IF(AND(Table2[[#This Row],[SEREAL NO.]]&lt;&gt;"", Table2[[#This Row],[SEREAL NO.]]=Data!$A$103),1,""),"")</f>
        <v/>
      </c>
      <c r="N173" s="998" t="str">
        <f>IF(AND(Table2[[#This Row],[SIZE]]&lt;&gt;"", Table2[[#This Row],[SIZE]]=Data!$B$3),1,"")</f>
        <v/>
      </c>
      <c r="O173" s="998" t="str">
        <f>IF(AND(Table2[[#This Row],[TYPE]]&lt;&gt;"", Table2[[#This Row],[TYPE]]=Data!$B$4),1,"")</f>
        <v/>
      </c>
      <c r="P173" s="998" t="str">
        <f>IF(AND(Table2[[#This Row],[LV5 MAT NO.]]&lt;&gt;"", Table2[[#This Row],[LV5 MAT NO.]]=Data!$B$5),1,"")</f>
        <v/>
      </c>
      <c r="Q173" s="998" t="str">
        <f>IF(AND(Table2[[#This Row],[FROM]]&lt;&gt;"", Table2[[#This Row],[FROM]]=Data!$B$7),1,"")</f>
        <v/>
      </c>
      <c r="R173" s="998" t="str">
        <f>IF(AND(Table2[[#This Row],[LV3 or LV4 MAT NO.]]&lt;&gt;"", Table2[[#This Row],[LV3 or LV4 MAT NO.]]=Data!$B$8),1,"")</f>
        <v/>
      </c>
      <c r="S173" s="998"/>
      <c r="T173" s="998"/>
      <c r="U173" s="804" t="str">
        <f>IF(Table4[[#This Row],[Write "N" To Remove The Default]]="N","",IF(AND(COUNTA(Table2[[#This Row],[SEREAL NO.]:[REMARKS]])=SUM( L173:T173),SUM( L173:T173)&lt;&gt;0),Table2[[#This Row],[Instruction]],""))</f>
        <v/>
      </c>
      <c r="V173" s="804"/>
    </row>
    <row r="174" spans="9:22" x14ac:dyDescent="0.35">
      <c r="I174" s="1000"/>
      <c r="L174" s="998" t="str">
        <f>IF(AND(Table2[[#This Row],[ORDER NO.]]&lt;&gt;"", Table2[[#This Row],[ORDER NO.]]=Data!$B$1),1,"")</f>
        <v/>
      </c>
      <c r="M174" s="998" t="str">
        <f>IFERROR(IF(AND(Table2[[#This Row],[SEREAL NO.]]&lt;&gt;"", Table2[[#This Row],[SEREAL NO.]]=Data!$A$103),1,""),"")</f>
        <v/>
      </c>
      <c r="N174" s="998" t="str">
        <f>IF(AND(Table2[[#This Row],[SIZE]]&lt;&gt;"", Table2[[#This Row],[SIZE]]=Data!$B$3),1,"")</f>
        <v/>
      </c>
      <c r="O174" s="998" t="str">
        <f>IF(AND(Table2[[#This Row],[TYPE]]&lt;&gt;"", Table2[[#This Row],[TYPE]]=Data!$B$4),1,"")</f>
        <v/>
      </c>
      <c r="P174" s="998" t="str">
        <f>IF(AND(Table2[[#This Row],[LV5 MAT NO.]]&lt;&gt;"", Table2[[#This Row],[LV5 MAT NO.]]=Data!$B$5),1,"")</f>
        <v/>
      </c>
      <c r="Q174" s="998" t="str">
        <f>IF(AND(Table2[[#This Row],[FROM]]&lt;&gt;"", Table2[[#This Row],[FROM]]=Data!$B$7),1,"")</f>
        <v/>
      </c>
      <c r="R174" s="998" t="str">
        <f>IF(AND(Table2[[#This Row],[LV3 or LV4 MAT NO.]]&lt;&gt;"", Table2[[#This Row],[LV3 or LV4 MAT NO.]]=Data!$B$8),1,"")</f>
        <v/>
      </c>
      <c r="S174" s="998"/>
      <c r="T174" s="998"/>
      <c r="U174" s="804" t="str">
        <f>IF(Table4[[#This Row],[Write "N" To Remove The Default]]="N","",IF(AND(COUNTA(Table2[[#This Row],[SEREAL NO.]:[REMARKS]])=SUM( L174:T174),SUM( L174:T174)&lt;&gt;0),Table2[[#This Row],[Instruction]],""))</f>
        <v/>
      </c>
      <c r="V174" s="804"/>
    </row>
    <row r="175" spans="9:22" x14ac:dyDescent="0.35">
      <c r="I175" s="1000"/>
      <c r="L175" s="998" t="str">
        <f>IF(AND(Table2[[#This Row],[ORDER NO.]]&lt;&gt;"", Table2[[#This Row],[ORDER NO.]]=Data!$B$1),1,"")</f>
        <v/>
      </c>
      <c r="M175" s="998" t="str">
        <f>IFERROR(IF(AND(Table2[[#This Row],[SEREAL NO.]]&lt;&gt;"", Table2[[#This Row],[SEREAL NO.]]=Data!$A$103),1,""),"")</f>
        <v/>
      </c>
      <c r="N175" s="998" t="str">
        <f>IF(AND(Table2[[#This Row],[SIZE]]&lt;&gt;"", Table2[[#This Row],[SIZE]]=Data!$B$3),1,"")</f>
        <v/>
      </c>
      <c r="O175" s="998" t="str">
        <f>IF(AND(Table2[[#This Row],[TYPE]]&lt;&gt;"", Table2[[#This Row],[TYPE]]=Data!$B$4),1,"")</f>
        <v/>
      </c>
      <c r="P175" s="998" t="str">
        <f>IF(AND(Table2[[#This Row],[LV5 MAT NO.]]&lt;&gt;"", Table2[[#This Row],[LV5 MAT NO.]]=Data!$B$5),1,"")</f>
        <v/>
      </c>
      <c r="Q175" s="998" t="str">
        <f>IF(AND(Table2[[#This Row],[FROM]]&lt;&gt;"", Table2[[#This Row],[FROM]]=Data!$B$7),1,"")</f>
        <v/>
      </c>
      <c r="R175" s="998" t="str">
        <f>IF(AND(Table2[[#This Row],[LV3 or LV4 MAT NO.]]&lt;&gt;"", Table2[[#This Row],[LV3 or LV4 MAT NO.]]=Data!$B$8),1,"")</f>
        <v/>
      </c>
      <c r="S175" s="998"/>
      <c r="T175" s="998"/>
      <c r="U175" s="804" t="str">
        <f>IF(Table4[[#This Row],[Write "N" To Remove The Default]]="N","",IF(AND(COUNTA(Table2[[#This Row],[SEREAL NO.]:[REMARKS]])=SUM( L175:T175),SUM( L175:T175)&lt;&gt;0),Table2[[#This Row],[Instruction]],""))</f>
        <v/>
      </c>
      <c r="V175" s="804"/>
    </row>
    <row r="176" spans="9:22" x14ac:dyDescent="0.35">
      <c r="I176" s="1000"/>
      <c r="L176" s="998" t="str">
        <f>IF(AND(Table2[[#This Row],[ORDER NO.]]&lt;&gt;"", Table2[[#This Row],[ORDER NO.]]=Data!$B$1),1,"")</f>
        <v/>
      </c>
      <c r="M176" s="998" t="str">
        <f>IFERROR(IF(AND(Table2[[#This Row],[SEREAL NO.]]&lt;&gt;"", Table2[[#This Row],[SEREAL NO.]]=Data!$A$103),1,""),"")</f>
        <v/>
      </c>
      <c r="N176" s="998" t="str">
        <f>IF(AND(Table2[[#This Row],[SIZE]]&lt;&gt;"", Table2[[#This Row],[SIZE]]=Data!$B$3),1,"")</f>
        <v/>
      </c>
      <c r="O176" s="998" t="str">
        <f>IF(AND(Table2[[#This Row],[TYPE]]&lt;&gt;"", Table2[[#This Row],[TYPE]]=Data!$B$4),1,"")</f>
        <v/>
      </c>
      <c r="P176" s="998" t="str">
        <f>IF(AND(Table2[[#This Row],[LV5 MAT NO.]]&lt;&gt;"", Table2[[#This Row],[LV5 MAT NO.]]=Data!$B$5),1,"")</f>
        <v/>
      </c>
      <c r="Q176" s="998" t="str">
        <f>IF(AND(Table2[[#This Row],[FROM]]&lt;&gt;"", Table2[[#This Row],[FROM]]=Data!$B$7),1,"")</f>
        <v/>
      </c>
      <c r="R176" s="998" t="str">
        <f>IF(AND(Table2[[#This Row],[LV3 or LV4 MAT NO.]]&lt;&gt;"", Table2[[#This Row],[LV3 or LV4 MAT NO.]]=Data!$B$8),1,"")</f>
        <v/>
      </c>
      <c r="S176" s="998"/>
      <c r="T176" s="998"/>
      <c r="U176" s="804" t="str">
        <f>IF(Table4[[#This Row],[Write "N" To Remove The Default]]="N","",IF(AND(COUNTA(Table2[[#This Row],[SEREAL NO.]:[REMARKS]])=SUM( L176:T176),SUM( L176:T176)&lt;&gt;0),Table2[[#This Row],[Instruction]],""))</f>
        <v/>
      </c>
      <c r="V176" s="804"/>
    </row>
    <row r="177" spans="9:22" x14ac:dyDescent="0.35">
      <c r="I177" s="1000"/>
      <c r="L177" s="998" t="str">
        <f>IF(AND(Table2[[#This Row],[ORDER NO.]]&lt;&gt;"", Table2[[#This Row],[ORDER NO.]]=Data!$B$1),1,"")</f>
        <v/>
      </c>
      <c r="M177" s="998" t="str">
        <f>IFERROR(IF(AND(Table2[[#This Row],[SEREAL NO.]]&lt;&gt;"", Table2[[#This Row],[SEREAL NO.]]=Data!$A$103),1,""),"")</f>
        <v/>
      </c>
      <c r="N177" s="998" t="str">
        <f>IF(AND(Table2[[#This Row],[SIZE]]&lt;&gt;"", Table2[[#This Row],[SIZE]]=Data!$B$3),1,"")</f>
        <v/>
      </c>
      <c r="O177" s="998" t="str">
        <f>IF(AND(Table2[[#This Row],[TYPE]]&lt;&gt;"", Table2[[#This Row],[TYPE]]=Data!$B$4),1,"")</f>
        <v/>
      </c>
      <c r="P177" s="998" t="str">
        <f>IF(AND(Table2[[#This Row],[LV5 MAT NO.]]&lt;&gt;"", Table2[[#This Row],[LV5 MAT NO.]]=Data!$B$5),1,"")</f>
        <v/>
      </c>
      <c r="Q177" s="998" t="str">
        <f>IF(AND(Table2[[#This Row],[FROM]]&lt;&gt;"", Table2[[#This Row],[FROM]]=Data!$B$7),1,"")</f>
        <v/>
      </c>
      <c r="R177" s="998" t="str">
        <f>IF(AND(Table2[[#This Row],[LV3 or LV4 MAT NO.]]&lt;&gt;"", Table2[[#This Row],[LV3 or LV4 MAT NO.]]=Data!$B$8),1,"")</f>
        <v/>
      </c>
      <c r="S177" s="998"/>
      <c r="T177" s="998"/>
      <c r="U177" s="804" t="str">
        <f>IF(Table4[[#This Row],[Write "N" To Remove The Default]]="N","",IF(AND(COUNTA(Table2[[#This Row],[SEREAL NO.]:[REMARKS]])=SUM( L177:T177),SUM( L177:T177)&lt;&gt;0),Table2[[#This Row],[Instruction]],""))</f>
        <v/>
      </c>
      <c r="V177" s="804"/>
    </row>
    <row r="178" spans="9:22" x14ac:dyDescent="0.35">
      <c r="I178" s="1000"/>
      <c r="L178" s="998" t="str">
        <f>IF(AND(Table2[[#This Row],[ORDER NO.]]&lt;&gt;"", Table2[[#This Row],[ORDER NO.]]=Data!$B$1),1,"")</f>
        <v/>
      </c>
      <c r="M178" s="998" t="str">
        <f>IFERROR(IF(AND(Table2[[#This Row],[SEREAL NO.]]&lt;&gt;"", Table2[[#This Row],[SEREAL NO.]]=Data!$A$103),1,""),"")</f>
        <v/>
      </c>
      <c r="N178" s="998" t="str">
        <f>IF(AND(Table2[[#This Row],[SIZE]]&lt;&gt;"", Table2[[#This Row],[SIZE]]=Data!$B$3),1,"")</f>
        <v/>
      </c>
      <c r="O178" s="998" t="str">
        <f>IF(AND(Table2[[#This Row],[TYPE]]&lt;&gt;"", Table2[[#This Row],[TYPE]]=Data!$B$4),1,"")</f>
        <v/>
      </c>
      <c r="P178" s="998" t="str">
        <f>IF(AND(Table2[[#This Row],[LV5 MAT NO.]]&lt;&gt;"", Table2[[#This Row],[LV5 MAT NO.]]=Data!$B$5),1,"")</f>
        <v/>
      </c>
      <c r="Q178" s="998" t="str">
        <f>IF(AND(Table2[[#This Row],[FROM]]&lt;&gt;"", Table2[[#This Row],[FROM]]=Data!$B$7),1,"")</f>
        <v/>
      </c>
      <c r="R178" s="998" t="str">
        <f>IF(AND(Table2[[#This Row],[LV3 or LV4 MAT NO.]]&lt;&gt;"", Table2[[#This Row],[LV3 or LV4 MAT NO.]]=Data!$B$8),1,"")</f>
        <v/>
      </c>
      <c r="S178" s="998"/>
      <c r="T178" s="998"/>
      <c r="U178" s="804" t="str">
        <f>IF(Table4[[#This Row],[Write "N" To Remove The Default]]="N","",IF(AND(COUNTA(Table2[[#This Row],[SEREAL NO.]:[REMARKS]])=SUM( L178:T178),SUM( L178:T178)&lt;&gt;0),Table2[[#This Row],[Instruction]],""))</f>
        <v/>
      </c>
      <c r="V178" s="804"/>
    </row>
    <row r="179" spans="9:22" x14ac:dyDescent="0.35">
      <c r="I179" s="1000"/>
      <c r="L179" s="998" t="str">
        <f>IF(AND(Table2[[#This Row],[ORDER NO.]]&lt;&gt;"", Table2[[#This Row],[ORDER NO.]]=Data!$B$1),1,"")</f>
        <v/>
      </c>
      <c r="M179" s="998" t="str">
        <f>IFERROR(IF(AND(Table2[[#This Row],[SEREAL NO.]]&lt;&gt;"", Table2[[#This Row],[SEREAL NO.]]=Data!$A$103),1,""),"")</f>
        <v/>
      </c>
      <c r="N179" s="998" t="str">
        <f>IF(AND(Table2[[#This Row],[SIZE]]&lt;&gt;"", Table2[[#This Row],[SIZE]]=Data!$B$3),1,"")</f>
        <v/>
      </c>
      <c r="O179" s="998" t="str">
        <f>IF(AND(Table2[[#This Row],[TYPE]]&lt;&gt;"", Table2[[#This Row],[TYPE]]=Data!$B$4),1,"")</f>
        <v/>
      </c>
      <c r="P179" s="998" t="str">
        <f>IF(AND(Table2[[#This Row],[LV5 MAT NO.]]&lt;&gt;"", Table2[[#This Row],[LV5 MAT NO.]]=Data!$B$5),1,"")</f>
        <v/>
      </c>
      <c r="Q179" s="998" t="str">
        <f>IF(AND(Table2[[#This Row],[FROM]]&lt;&gt;"", Table2[[#This Row],[FROM]]=Data!$B$7),1,"")</f>
        <v/>
      </c>
      <c r="R179" s="998" t="str">
        <f>IF(AND(Table2[[#This Row],[LV3 or LV4 MAT NO.]]&lt;&gt;"", Table2[[#This Row],[LV3 or LV4 MAT NO.]]=Data!$B$8),1,"")</f>
        <v/>
      </c>
      <c r="S179" s="998"/>
      <c r="T179" s="998"/>
      <c r="U179" s="804" t="str">
        <f>IF(Table4[[#This Row],[Write "N" To Remove The Default]]="N","",IF(AND(COUNTA(Table2[[#This Row],[SEREAL NO.]:[REMARKS]])=SUM( L179:T179),SUM( L179:T179)&lt;&gt;0),Table2[[#This Row],[Instruction]],""))</f>
        <v/>
      </c>
      <c r="V179" s="804"/>
    </row>
    <row r="180" spans="9:22" x14ac:dyDescent="0.35">
      <c r="I180" s="1000"/>
      <c r="L180" s="998" t="str">
        <f>IF(AND(Table2[[#This Row],[ORDER NO.]]&lt;&gt;"", Table2[[#This Row],[ORDER NO.]]=Data!$B$1),1,"")</f>
        <v/>
      </c>
      <c r="M180" s="998" t="str">
        <f>IFERROR(IF(AND(Table2[[#This Row],[SEREAL NO.]]&lt;&gt;"", Table2[[#This Row],[SEREAL NO.]]=Data!$A$103),1,""),"")</f>
        <v/>
      </c>
      <c r="N180" s="998" t="str">
        <f>IF(AND(Table2[[#This Row],[SIZE]]&lt;&gt;"", Table2[[#This Row],[SIZE]]=Data!$B$3),1,"")</f>
        <v/>
      </c>
      <c r="O180" s="998" t="str">
        <f>IF(AND(Table2[[#This Row],[TYPE]]&lt;&gt;"", Table2[[#This Row],[TYPE]]=Data!$B$4),1,"")</f>
        <v/>
      </c>
      <c r="P180" s="998" t="str">
        <f>IF(AND(Table2[[#This Row],[LV5 MAT NO.]]&lt;&gt;"", Table2[[#This Row],[LV5 MAT NO.]]=Data!$B$5),1,"")</f>
        <v/>
      </c>
      <c r="Q180" s="998" t="str">
        <f>IF(AND(Table2[[#This Row],[FROM]]&lt;&gt;"", Table2[[#This Row],[FROM]]=Data!$B$7),1,"")</f>
        <v/>
      </c>
      <c r="R180" s="998" t="str">
        <f>IF(AND(Table2[[#This Row],[LV3 or LV4 MAT NO.]]&lt;&gt;"", Table2[[#This Row],[LV3 or LV4 MAT NO.]]=Data!$B$8),1,"")</f>
        <v/>
      </c>
      <c r="S180" s="998"/>
      <c r="T180" s="998"/>
      <c r="U180" s="804" t="str">
        <f>IF(Table4[[#This Row],[Write "N" To Remove The Default]]="N","",IF(AND(COUNTA(Table2[[#This Row],[SEREAL NO.]:[REMARKS]])=SUM( L180:T180),SUM( L180:T180)&lt;&gt;0),Table2[[#This Row],[Instruction]],""))</f>
        <v/>
      </c>
      <c r="V180" s="804"/>
    </row>
    <row r="181" spans="9:22" x14ac:dyDescent="0.35">
      <c r="I181" s="1000"/>
      <c r="L181" s="998" t="str">
        <f>IF(AND(Table2[[#This Row],[ORDER NO.]]&lt;&gt;"", Table2[[#This Row],[ORDER NO.]]=Data!$B$1),1,"")</f>
        <v/>
      </c>
      <c r="M181" s="998" t="str">
        <f>IFERROR(IF(AND(Table2[[#This Row],[SEREAL NO.]]&lt;&gt;"", Table2[[#This Row],[SEREAL NO.]]=Data!$A$103),1,""),"")</f>
        <v/>
      </c>
      <c r="N181" s="998" t="str">
        <f>IF(AND(Table2[[#This Row],[SIZE]]&lt;&gt;"", Table2[[#This Row],[SIZE]]=Data!$B$3),1,"")</f>
        <v/>
      </c>
      <c r="O181" s="998" t="str">
        <f>IF(AND(Table2[[#This Row],[TYPE]]&lt;&gt;"", Table2[[#This Row],[TYPE]]=Data!$B$4),1,"")</f>
        <v/>
      </c>
      <c r="P181" s="998" t="str">
        <f>IF(AND(Table2[[#This Row],[LV5 MAT NO.]]&lt;&gt;"", Table2[[#This Row],[LV5 MAT NO.]]=Data!$B$5),1,"")</f>
        <v/>
      </c>
      <c r="Q181" s="998" t="str">
        <f>IF(AND(Table2[[#This Row],[FROM]]&lt;&gt;"", Table2[[#This Row],[FROM]]=Data!$B$7),1,"")</f>
        <v/>
      </c>
      <c r="R181" s="998" t="str">
        <f>IF(AND(Table2[[#This Row],[LV3 or LV4 MAT NO.]]&lt;&gt;"", Table2[[#This Row],[LV3 or LV4 MAT NO.]]=Data!$B$8),1,"")</f>
        <v/>
      </c>
      <c r="S181" s="998"/>
      <c r="T181" s="998"/>
      <c r="U181" s="804" t="str">
        <f>IF(Table4[[#This Row],[Write "N" To Remove The Default]]="N","",IF(AND(COUNTA(Table2[[#This Row],[SEREAL NO.]:[REMARKS]])=SUM( L181:T181),SUM( L181:T181)&lt;&gt;0),Table2[[#This Row],[Instruction]],""))</f>
        <v/>
      </c>
      <c r="V181" s="804"/>
    </row>
    <row r="182" spans="9:22" x14ac:dyDescent="0.35">
      <c r="I182" s="1000"/>
      <c r="L182" s="998" t="str">
        <f>IF(AND(Table2[[#This Row],[ORDER NO.]]&lt;&gt;"", Table2[[#This Row],[ORDER NO.]]=Data!$B$1),1,"")</f>
        <v/>
      </c>
      <c r="M182" s="998" t="str">
        <f>IFERROR(IF(AND(Table2[[#This Row],[SEREAL NO.]]&lt;&gt;"", Table2[[#This Row],[SEREAL NO.]]=Data!$A$103),1,""),"")</f>
        <v/>
      </c>
      <c r="N182" s="998" t="str">
        <f>IF(AND(Table2[[#This Row],[SIZE]]&lt;&gt;"", Table2[[#This Row],[SIZE]]=Data!$B$3),1,"")</f>
        <v/>
      </c>
      <c r="O182" s="998" t="str">
        <f>IF(AND(Table2[[#This Row],[TYPE]]&lt;&gt;"", Table2[[#This Row],[TYPE]]=Data!$B$4),1,"")</f>
        <v/>
      </c>
      <c r="P182" s="998" t="str">
        <f>IF(AND(Table2[[#This Row],[LV5 MAT NO.]]&lt;&gt;"", Table2[[#This Row],[LV5 MAT NO.]]=Data!$B$5),1,"")</f>
        <v/>
      </c>
      <c r="Q182" s="998" t="str">
        <f>IF(AND(Table2[[#This Row],[FROM]]&lt;&gt;"", Table2[[#This Row],[FROM]]=Data!$B$7),1,"")</f>
        <v/>
      </c>
      <c r="R182" s="998" t="str">
        <f>IF(AND(Table2[[#This Row],[LV3 or LV4 MAT NO.]]&lt;&gt;"", Table2[[#This Row],[LV3 or LV4 MAT NO.]]=Data!$B$8),1,"")</f>
        <v/>
      </c>
      <c r="S182" s="998"/>
      <c r="T182" s="998"/>
      <c r="U182" s="804" t="str">
        <f>IF(Table4[[#This Row],[Write "N" To Remove The Default]]="N","",IF(AND(COUNTA(Table2[[#This Row],[SEREAL NO.]:[REMARKS]])=SUM( L182:T182),SUM( L182:T182)&lt;&gt;0),Table2[[#This Row],[Instruction]],""))</f>
        <v/>
      </c>
      <c r="V182" s="804"/>
    </row>
    <row r="183" spans="9:22" x14ac:dyDescent="0.35">
      <c r="I183" s="1000"/>
      <c r="L183" s="998" t="str">
        <f>IF(AND(Table2[[#This Row],[ORDER NO.]]&lt;&gt;"", Table2[[#This Row],[ORDER NO.]]=Data!$B$1),1,"")</f>
        <v/>
      </c>
      <c r="M183" s="998" t="str">
        <f>IFERROR(IF(AND(Table2[[#This Row],[SEREAL NO.]]&lt;&gt;"", Table2[[#This Row],[SEREAL NO.]]=Data!$A$103),1,""),"")</f>
        <v/>
      </c>
      <c r="N183" s="998" t="str">
        <f>IF(AND(Table2[[#This Row],[SIZE]]&lt;&gt;"", Table2[[#This Row],[SIZE]]=Data!$B$3),1,"")</f>
        <v/>
      </c>
      <c r="O183" s="998" t="str">
        <f>IF(AND(Table2[[#This Row],[TYPE]]&lt;&gt;"", Table2[[#This Row],[TYPE]]=Data!$B$4),1,"")</f>
        <v/>
      </c>
      <c r="P183" s="998" t="str">
        <f>IF(AND(Table2[[#This Row],[LV5 MAT NO.]]&lt;&gt;"", Table2[[#This Row],[LV5 MAT NO.]]=Data!$B$5),1,"")</f>
        <v/>
      </c>
      <c r="Q183" s="998" t="str">
        <f>IF(AND(Table2[[#This Row],[FROM]]&lt;&gt;"", Table2[[#This Row],[FROM]]=Data!$B$7),1,"")</f>
        <v/>
      </c>
      <c r="R183" s="998" t="str">
        <f>IF(AND(Table2[[#This Row],[LV3 or LV4 MAT NO.]]&lt;&gt;"", Table2[[#This Row],[LV3 or LV4 MAT NO.]]=Data!$B$8),1,"")</f>
        <v/>
      </c>
      <c r="S183" s="998"/>
      <c r="T183" s="998"/>
      <c r="U183" s="804" t="str">
        <f>IF(Table4[[#This Row],[Write "N" To Remove The Default]]="N","",IF(AND(COUNTA(Table2[[#This Row],[SEREAL NO.]:[REMARKS]])=SUM( L183:T183),SUM( L183:T183)&lt;&gt;0),Table2[[#This Row],[Instruction]],""))</f>
        <v/>
      </c>
      <c r="V183" s="804"/>
    </row>
    <row r="184" spans="9:22" x14ac:dyDescent="0.35">
      <c r="I184" s="1000"/>
      <c r="L184" s="998" t="str">
        <f>IF(AND(Table2[[#This Row],[ORDER NO.]]&lt;&gt;"", Table2[[#This Row],[ORDER NO.]]=Data!$B$1),1,"")</f>
        <v/>
      </c>
      <c r="M184" s="998" t="str">
        <f>IFERROR(IF(AND(Table2[[#This Row],[SEREAL NO.]]&lt;&gt;"", Table2[[#This Row],[SEREAL NO.]]=Data!$A$103),1,""),"")</f>
        <v/>
      </c>
      <c r="N184" s="998" t="str">
        <f>IF(AND(Table2[[#This Row],[SIZE]]&lt;&gt;"", Table2[[#This Row],[SIZE]]=Data!$B$3),1,"")</f>
        <v/>
      </c>
      <c r="O184" s="998" t="str">
        <f>IF(AND(Table2[[#This Row],[TYPE]]&lt;&gt;"", Table2[[#This Row],[TYPE]]=Data!$B$4),1,"")</f>
        <v/>
      </c>
      <c r="P184" s="998" t="str">
        <f>IF(AND(Table2[[#This Row],[LV5 MAT NO.]]&lt;&gt;"", Table2[[#This Row],[LV5 MAT NO.]]=Data!$B$5),1,"")</f>
        <v/>
      </c>
      <c r="Q184" s="998" t="str">
        <f>IF(AND(Table2[[#This Row],[FROM]]&lt;&gt;"", Table2[[#This Row],[FROM]]=Data!$B$7),1,"")</f>
        <v/>
      </c>
      <c r="R184" s="998" t="str">
        <f>IF(AND(Table2[[#This Row],[LV3 or LV4 MAT NO.]]&lt;&gt;"", Table2[[#This Row],[LV3 or LV4 MAT NO.]]=Data!$B$8),1,"")</f>
        <v/>
      </c>
      <c r="S184" s="998"/>
      <c r="T184" s="998"/>
      <c r="U184" s="804" t="str">
        <f>IF(Table4[[#This Row],[Write "N" To Remove The Default]]="N","",IF(AND(COUNTA(Table2[[#This Row],[SEREAL NO.]:[REMARKS]])=SUM( L184:T184),SUM( L184:T184)&lt;&gt;0),Table2[[#This Row],[Instruction]],""))</f>
        <v/>
      </c>
      <c r="V184" s="804"/>
    </row>
    <row r="185" spans="9:22" x14ac:dyDescent="0.35">
      <c r="I185" s="1000"/>
      <c r="L185" s="998" t="str">
        <f>IF(AND(Table2[[#This Row],[ORDER NO.]]&lt;&gt;"", Table2[[#This Row],[ORDER NO.]]=Data!$B$1),1,"")</f>
        <v/>
      </c>
      <c r="M185" s="998" t="str">
        <f>IFERROR(IF(AND(Table2[[#This Row],[SEREAL NO.]]&lt;&gt;"", Table2[[#This Row],[SEREAL NO.]]=Data!$A$103),1,""),"")</f>
        <v/>
      </c>
      <c r="N185" s="998" t="str">
        <f>IF(AND(Table2[[#This Row],[SIZE]]&lt;&gt;"", Table2[[#This Row],[SIZE]]=Data!$B$3),1,"")</f>
        <v/>
      </c>
      <c r="O185" s="998" t="str">
        <f>IF(AND(Table2[[#This Row],[TYPE]]&lt;&gt;"", Table2[[#This Row],[TYPE]]=Data!$B$4),1,"")</f>
        <v/>
      </c>
      <c r="P185" s="998" t="str">
        <f>IF(AND(Table2[[#This Row],[LV5 MAT NO.]]&lt;&gt;"", Table2[[#This Row],[LV5 MAT NO.]]=Data!$B$5),1,"")</f>
        <v/>
      </c>
      <c r="Q185" s="998" t="str">
        <f>IF(AND(Table2[[#This Row],[FROM]]&lt;&gt;"", Table2[[#This Row],[FROM]]=Data!$B$7),1,"")</f>
        <v/>
      </c>
      <c r="R185" s="998" t="str">
        <f>IF(AND(Table2[[#This Row],[LV3 or LV4 MAT NO.]]&lt;&gt;"", Table2[[#This Row],[LV3 or LV4 MAT NO.]]=Data!$B$8),1,"")</f>
        <v/>
      </c>
      <c r="S185" s="998"/>
      <c r="T185" s="998"/>
      <c r="U185" s="804" t="str">
        <f>IF(Table4[[#This Row],[Write "N" To Remove The Default]]="N","",IF(AND(COUNTA(Table2[[#This Row],[SEREAL NO.]:[REMARKS]])=SUM( L185:T185),SUM( L185:T185)&lt;&gt;0),Table2[[#This Row],[Instruction]],""))</f>
        <v/>
      </c>
      <c r="V185" s="804"/>
    </row>
    <row r="186" spans="9:22" x14ac:dyDescent="0.35">
      <c r="I186" s="1000"/>
      <c r="L186" s="998" t="str">
        <f>IF(AND(Table2[[#This Row],[ORDER NO.]]&lt;&gt;"", Table2[[#This Row],[ORDER NO.]]=Data!$B$1),1,"")</f>
        <v/>
      </c>
      <c r="M186" s="998" t="str">
        <f>IFERROR(IF(AND(Table2[[#This Row],[SEREAL NO.]]&lt;&gt;"", Table2[[#This Row],[SEREAL NO.]]=Data!$A$103),1,""),"")</f>
        <v/>
      </c>
      <c r="N186" s="998" t="str">
        <f>IF(AND(Table2[[#This Row],[SIZE]]&lt;&gt;"", Table2[[#This Row],[SIZE]]=Data!$B$3),1,"")</f>
        <v/>
      </c>
      <c r="O186" s="998" t="str">
        <f>IF(AND(Table2[[#This Row],[TYPE]]&lt;&gt;"", Table2[[#This Row],[TYPE]]=Data!$B$4),1,"")</f>
        <v/>
      </c>
      <c r="P186" s="998" t="str">
        <f>IF(AND(Table2[[#This Row],[LV5 MAT NO.]]&lt;&gt;"", Table2[[#This Row],[LV5 MAT NO.]]=Data!$B$5),1,"")</f>
        <v/>
      </c>
      <c r="Q186" s="998" t="str">
        <f>IF(AND(Table2[[#This Row],[FROM]]&lt;&gt;"", Table2[[#This Row],[FROM]]=Data!$B$7),1,"")</f>
        <v/>
      </c>
      <c r="R186" s="998" t="str">
        <f>IF(AND(Table2[[#This Row],[LV3 or LV4 MAT NO.]]&lt;&gt;"", Table2[[#This Row],[LV3 or LV4 MAT NO.]]=Data!$B$8),1,"")</f>
        <v/>
      </c>
      <c r="S186" s="998"/>
      <c r="T186" s="998"/>
      <c r="U186" s="804" t="str">
        <f>IF(Table4[[#This Row],[Write "N" To Remove The Default]]="N","",IF(AND(COUNTA(Table2[[#This Row],[SEREAL NO.]:[REMARKS]])=SUM( L186:T186),SUM( L186:T186)&lt;&gt;0),Table2[[#This Row],[Instruction]],""))</f>
        <v/>
      </c>
      <c r="V186" s="804"/>
    </row>
    <row r="187" spans="9:22" x14ac:dyDescent="0.35">
      <c r="I187" s="1000"/>
      <c r="L187" s="998" t="str">
        <f>IF(AND(Table2[[#This Row],[ORDER NO.]]&lt;&gt;"", Table2[[#This Row],[ORDER NO.]]=Data!$B$1),1,"")</f>
        <v/>
      </c>
      <c r="M187" s="998" t="str">
        <f>IFERROR(IF(AND(Table2[[#This Row],[SEREAL NO.]]&lt;&gt;"", Table2[[#This Row],[SEREAL NO.]]=Data!$A$103),1,""),"")</f>
        <v/>
      </c>
      <c r="N187" s="998" t="str">
        <f>IF(AND(Table2[[#This Row],[SIZE]]&lt;&gt;"", Table2[[#This Row],[SIZE]]=Data!$B$3),1,"")</f>
        <v/>
      </c>
      <c r="O187" s="998" t="str">
        <f>IF(AND(Table2[[#This Row],[TYPE]]&lt;&gt;"", Table2[[#This Row],[TYPE]]=Data!$B$4),1,"")</f>
        <v/>
      </c>
      <c r="P187" s="998" t="str">
        <f>IF(AND(Table2[[#This Row],[LV5 MAT NO.]]&lt;&gt;"", Table2[[#This Row],[LV5 MAT NO.]]=Data!$B$5),1,"")</f>
        <v/>
      </c>
      <c r="Q187" s="998" t="str">
        <f>IF(AND(Table2[[#This Row],[FROM]]&lt;&gt;"", Table2[[#This Row],[FROM]]=Data!$B$7),1,"")</f>
        <v/>
      </c>
      <c r="R187" s="998" t="str">
        <f>IF(AND(Table2[[#This Row],[LV3 or LV4 MAT NO.]]&lt;&gt;"", Table2[[#This Row],[LV3 or LV4 MAT NO.]]=Data!$B$8),1,"")</f>
        <v/>
      </c>
      <c r="S187" s="998"/>
      <c r="T187" s="998"/>
      <c r="U187" s="804" t="str">
        <f>IF(Table4[[#This Row],[Write "N" To Remove The Default]]="N","",IF(AND(COUNTA(Table2[[#This Row],[SEREAL NO.]:[REMARKS]])=SUM( L187:T187),SUM( L187:T187)&lt;&gt;0),Table2[[#This Row],[Instruction]],""))</f>
        <v/>
      </c>
      <c r="V187" s="804"/>
    </row>
    <row r="188" spans="9:22" x14ac:dyDescent="0.35">
      <c r="I188" s="1000"/>
      <c r="L188" s="998" t="str">
        <f>IF(AND(Table2[[#This Row],[ORDER NO.]]&lt;&gt;"", Table2[[#This Row],[ORDER NO.]]=Data!$B$1),1,"")</f>
        <v/>
      </c>
      <c r="M188" s="998" t="str">
        <f>IFERROR(IF(AND(Table2[[#This Row],[SEREAL NO.]]&lt;&gt;"", Table2[[#This Row],[SEREAL NO.]]=Data!$A$103),1,""),"")</f>
        <v/>
      </c>
      <c r="N188" s="998" t="str">
        <f>IF(AND(Table2[[#This Row],[SIZE]]&lt;&gt;"", Table2[[#This Row],[SIZE]]=Data!$B$3),1,"")</f>
        <v/>
      </c>
      <c r="O188" s="998" t="str">
        <f>IF(AND(Table2[[#This Row],[TYPE]]&lt;&gt;"", Table2[[#This Row],[TYPE]]=Data!$B$4),1,"")</f>
        <v/>
      </c>
      <c r="P188" s="998" t="str">
        <f>IF(AND(Table2[[#This Row],[LV5 MAT NO.]]&lt;&gt;"", Table2[[#This Row],[LV5 MAT NO.]]=Data!$B$5),1,"")</f>
        <v/>
      </c>
      <c r="Q188" s="998" t="str">
        <f>IF(AND(Table2[[#This Row],[FROM]]&lt;&gt;"", Table2[[#This Row],[FROM]]=Data!$B$7),1,"")</f>
        <v/>
      </c>
      <c r="R188" s="998" t="str">
        <f>IF(AND(Table2[[#This Row],[LV3 or LV4 MAT NO.]]&lt;&gt;"", Table2[[#This Row],[LV3 or LV4 MAT NO.]]=Data!$B$8),1,"")</f>
        <v/>
      </c>
      <c r="S188" s="998"/>
      <c r="T188" s="998"/>
      <c r="U188" s="804" t="str">
        <f>IF(Table4[[#This Row],[Write "N" To Remove The Default]]="N","",IF(AND(COUNTA(Table2[[#This Row],[SEREAL NO.]:[REMARKS]])=SUM( L188:T188),SUM( L188:T188)&lt;&gt;0),Table2[[#This Row],[Instruction]],""))</f>
        <v/>
      </c>
      <c r="V188" s="804"/>
    </row>
    <row r="189" spans="9:22" x14ac:dyDescent="0.35">
      <c r="I189" s="1000"/>
      <c r="L189" s="998" t="str">
        <f>IF(AND(Table2[[#This Row],[ORDER NO.]]&lt;&gt;"", Table2[[#This Row],[ORDER NO.]]=Data!$B$1),1,"")</f>
        <v/>
      </c>
      <c r="M189" s="998" t="str">
        <f>IFERROR(IF(AND(Table2[[#This Row],[SEREAL NO.]]&lt;&gt;"", Table2[[#This Row],[SEREAL NO.]]=Data!$A$103),1,""),"")</f>
        <v/>
      </c>
      <c r="N189" s="998" t="str">
        <f>IF(AND(Table2[[#This Row],[SIZE]]&lt;&gt;"", Table2[[#This Row],[SIZE]]=Data!$B$3),1,"")</f>
        <v/>
      </c>
      <c r="O189" s="998" t="str">
        <f>IF(AND(Table2[[#This Row],[TYPE]]&lt;&gt;"", Table2[[#This Row],[TYPE]]=Data!$B$4),1,"")</f>
        <v/>
      </c>
      <c r="P189" s="998" t="str">
        <f>IF(AND(Table2[[#This Row],[LV5 MAT NO.]]&lt;&gt;"", Table2[[#This Row],[LV5 MAT NO.]]=Data!$B$5),1,"")</f>
        <v/>
      </c>
      <c r="Q189" s="998" t="str">
        <f>IF(AND(Table2[[#This Row],[FROM]]&lt;&gt;"", Table2[[#This Row],[FROM]]=Data!$B$7),1,"")</f>
        <v/>
      </c>
      <c r="R189" s="998" t="str">
        <f>IF(AND(Table2[[#This Row],[LV3 or LV4 MAT NO.]]&lt;&gt;"", Table2[[#This Row],[LV3 or LV4 MAT NO.]]=Data!$B$8),1,"")</f>
        <v/>
      </c>
      <c r="S189" s="998"/>
      <c r="T189" s="998"/>
      <c r="U189" s="804" t="str">
        <f>IF(Table4[[#This Row],[Write "N" To Remove The Default]]="N","",IF(AND(COUNTA(Table2[[#This Row],[SEREAL NO.]:[REMARKS]])=SUM( L189:T189),SUM( L189:T189)&lt;&gt;0),Table2[[#This Row],[Instruction]],""))</f>
        <v/>
      </c>
      <c r="V189" s="804"/>
    </row>
    <row r="190" spans="9:22" x14ac:dyDescent="0.35">
      <c r="I190" s="1000"/>
      <c r="L190" s="998" t="str">
        <f>IF(AND(Table2[[#This Row],[ORDER NO.]]&lt;&gt;"", Table2[[#This Row],[ORDER NO.]]=Data!$B$1),1,"")</f>
        <v/>
      </c>
      <c r="M190" s="998" t="str">
        <f>IFERROR(IF(AND(Table2[[#This Row],[SEREAL NO.]]&lt;&gt;"", Table2[[#This Row],[SEREAL NO.]]=Data!$A$103),1,""),"")</f>
        <v/>
      </c>
      <c r="N190" s="998" t="str">
        <f>IF(AND(Table2[[#This Row],[SIZE]]&lt;&gt;"", Table2[[#This Row],[SIZE]]=Data!$B$3),1,"")</f>
        <v/>
      </c>
      <c r="O190" s="998" t="str">
        <f>IF(AND(Table2[[#This Row],[TYPE]]&lt;&gt;"", Table2[[#This Row],[TYPE]]=Data!$B$4),1,"")</f>
        <v/>
      </c>
      <c r="P190" s="998" t="str">
        <f>IF(AND(Table2[[#This Row],[LV5 MAT NO.]]&lt;&gt;"", Table2[[#This Row],[LV5 MAT NO.]]=Data!$B$5),1,"")</f>
        <v/>
      </c>
      <c r="Q190" s="998" t="str">
        <f>IF(AND(Table2[[#This Row],[FROM]]&lt;&gt;"", Table2[[#This Row],[FROM]]=Data!$B$7),1,"")</f>
        <v/>
      </c>
      <c r="R190" s="998" t="str">
        <f>IF(AND(Table2[[#This Row],[LV3 or LV4 MAT NO.]]&lt;&gt;"", Table2[[#This Row],[LV3 or LV4 MAT NO.]]=Data!$B$8),1,"")</f>
        <v/>
      </c>
      <c r="S190" s="998"/>
      <c r="T190" s="998"/>
      <c r="U190" s="804" t="str">
        <f>IF(Table4[[#This Row],[Write "N" To Remove The Default]]="N","",IF(AND(COUNTA(Table2[[#This Row],[SEREAL NO.]:[REMARKS]])=SUM( L190:T190),SUM( L190:T190)&lt;&gt;0),Table2[[#This Row],[Instruction]],""))</f>
        <v/>
      </c>
      <c r="V190" s="804"/>
    </row>
    <row r="191" spans="9:22" x14ac:dyDescent="0.35">
      <c r="I191" s="1000"/>
      <c r="L191" s="998" t="str">
        <f>IF(AND(Table2[[#This Row],[ORDER NO.]]&lt;&gt;"", Table2[[#This Row],[ORDER NO.]]=Data!$B$1),1,"")</f>
        <v/>
      </c>
      <c r="M191" s="998" t="str">
        <f>IFERROR(IF(AND(Table2[[#This Row],[SEREAL NO.]]&lt;&gt;"", Table2[[#This Row],[SEREAL NO.]]=Data!$A$103),1,""),"")</f>
        <v/>
      </c>
      <c r="N191" s="998" t="str">
        <f>IF(AND(Table2[[#This Row],[SIZE]]&lt;&gt;"", Table2[[#This Row],[SIZE]]=Data!$B$3),1,"")</f>
        <v/>
      </c>
      <c r="O191" s="998" t="str">
        <f>IF(AND(Table2[[#This Row],[TYPE]]&lt;&gt;"", Table2[[#This Row],[TYPE]]=Data!$B$4),1,"")</f>
        <v/>
      </c>
      <c r="P191" s="998" t="str">
        <f>IF(AND(Table2[[#This Row],[LV5 MAT NO.]]&lt;&gt;"", Table2[[#This Row],[LV5 MAT NO.]]=Data!$B$5),1,"")</f>
        <v/>
      </c>
      <c r="Q191" s="998" t="str">
        <f>IF(AND(Table2[[#This Row],[FROM]]&lt;&gt;"", Table2[[#This Row],[FROM]]=Data!$B$7),1,"")</f>
        <v/>
      </c>
      <c r="R191" s="998" t="str">
        <f>IF(AND(Table2[[#This Row],[LV3 or LV4 MAT NO.]]&lt;&gt;"", Table2[[#This Row],[LV3 or LV4 MAT NO.]]=Data!$B$8),1,"")</f>
        <v/>
      </c>
      <c r="S191" s="998"/>
      <c r="T191" s="998"/>
      <c r="U191" s="804" t="str">
        <f>IF(Table4[[#This Row],[Write "N" To Remove The Default]]="N","",IF(AND(COUNTA(Table2[[#This Row],[SEREAL NO.]:[REMARKS]])=SUM( L191:T191),SUM( L191:T191)&lt;&gt;0),Table2[[#This Row],[Instruction]],""))</f>
        <v/>
      </c>
      <c r="V191" s="804"/>
    </row>
    <row r="192" spans="9:22" x14ac:dyDescent="0.35">
      <c r="I192" s="1000"/>
      <c r="L192" s="998" t="str">
        <f>IF(AND(Table2[[#This Row],[ORDER NO.]]&lt;&gt;"", Table2[[#This Row],[ORDER NO.]]=Data!$B$1),1,"")</f>
        <v/>
      </c>
      <c r="M192" s="998" t="str">
        <f>IFERROR(IF(AND(Table2[[#This Row],[SEREAL NO.]]&lt;&gt;"", Table2[[#This Row],[SEREAL NO.]]=Data!$A$103),1,""),"")</f>
        <v/>
      </c>
      <c r="N192" s="998" t="str">
        <f>IF(AND(Table2[[#This Row],[SIZE]]&lt;&gt;"", Table2[[#This Row],[SIZE]]=Data!$B$3),1,"")</f>
        <v/>
      </c>
      <c r="O192" s="998" t="str">
        <f>IF(AND(Table2[[#This Row],[TYPE]]&lt;&gt;"", Table2[[#This Row],[TYPE]]=Data!$B$4),1,"")</f>
        <v/>
      </c>
      <c r="P192" s="998" t="str">
        <f>IF(AND(Table2[[#This Row],[LV5 MAT NO.]]&lt;&gt;"", Table2[[#This Row],[LV5 MAT NO.]]=Data!$B$5),1,"")</f>
        <v/>
      </c>
      <c r="Q192" s="998" t="str">
        <f>IF(AND(Table2[[#This Row],[FROM]]&lt;&gt;"", Table2[[#This Row],[FROM]]=Data!$B$7),1,"")</f>
        <v/>
      </c>
      <c r="R192" s="998" t="str">
        <f>IF(AND(Table2[[#This Row],[LV3 or LV4 MAT NO.]]&lt;&gt;"", Table2[[#This Row],[LV3 or LV4 MAT NO.]]=Data!$B$8),1,"")</f>
        <v/>
      </c>
      <c r="S192" s="998"/>
      <c r="T192" s="998"/>
      <c r="U192" s="804" t="str">
        <f>IF(Table4[[#This Row],[Write "N" To Remove The Default]]="N","",IF(AND(COUNTA(Table2[[#This Row],[SEREAL NO.]:[REMARKS]])=SUM( L192:T192),SUM( L192:T192)&lt;&gt;0),Table2[[#This Row],[Instruction]],""))</f>
        <v/>
      </c>
      <c r="V192" s="804"/>
    </row>
    <row r="193" spans="9:22" x14ac:dyDescent="0.35">
      <c r="I193" s="1000"/>
      <c r="L193" s="998" t="str">
        <f>IF(AND(Table2[[#This Row],[ORDER NO.]]&lt;&gt;"", Table2[[#This Row],[ORDER NO.]]=Data!$B$1),1,"")</f>
        <v/>
      </c>
      <c r="M193" s="998" t="str">
        <f>IFERROR(IF(AND(Table2[[#This Row],[SEREAL NO.]]&lt;&gt;"", Table2[[#This Row],[SEREAL NO.]]=Data!$A$103),1,""),"")</f>
        <v/>
      </c>
      <c r="N193" s="998" t="str">
        <f>IF(AND(Table2[[#This Row],[SIZE]]&lt;&gt;"", Table2[[#This Row],[SIZE]]=Data!$B$3),1,"")</f>
        <v/>
      </c>
      <c r="O193" s="998" t="str">
        <f>IF(AND(Table2[[#This Row],[TYPE]]&lt;&gt;"", Table2[[#This Row],[TYPE]]=Data!$B$4),1,"")</f>
        <v/>
      </c>
      <c r="P193" s="998" t="str">
        <f>IF(AND(Table2[[#This Row],[LV5 MAT NO.]]&lt;&gt;"", Table2[[#This Row],[LV5 MAT NO.]]=Data!$B$5),1,"")</f>
        <v/>
      </c>
      <c r="Q193" s="998" t="str">
        <f>IF(AND(Table2[[#This Row],[FROM]]&lt;&gt;"", Table2[[#This Row],[FROM]]=Data!$B$7),1,"")</f>
        <v/>
      </c>
      <c r="R193" s="998" t="str">
        <f>IF(AND(Table2[[#This Row],[LV3 or LV4 MAT NO.]]&lt;&gt;"", Table2[[#This Row],[LV3 or LV4 MAT NO.]]=Data!$B$8),1,"")</f>
        <v/>
      </c>
      <c r="S193" s="998"/>
      <c r="T193" s="998"/>
      <c r="U193" s="804" t="str">
        <f>IF(Table4[[#This Row],[Write "N" To Remove The Default]]="N","",IF(AND(COUNTA(Table2[[#This Row],[SEREAL NO.]:[REMARKS]])=SUM( L193:T193),SUM( L193:T193)&lt;&gt;0),Table2[[#This Row],[Instruction]],""))</f>
        <v/>
      </c>
      <c r="V193" s="804"/>
    </row>
    <row r="194" spans="9:22" x14ac:dyDescent="0.35">
      <c r="I194" s="1000"/>
      <c r="L194" s="998" t="str">
        <f>IF(AND(Table2[[#This Row],[ORDER NO.]]&lt;&gt;"", Table2[[#This Row],[ORDER NO.]]=Data!$B$1),1,"")</f>
        <v/>
      </c>
      <c r="M194" s="998" t="str">
        <f>IFERROR(IF(AND(Table2[[#This Row],[SEREAL NO.]]&lt;&gt;"", Table2[[#This Row],[SEREAL NO.]]=Data!$A$103),1,""),"")</f>
        <v/>
      </c>
      <c r="N194" s="998" t="str">
        <f>IF(AND(Table2[[#This Row],[SIZE]]&lt;&gt;"", Table2[[#This Row],[SIZE]]=Data!$B$3),1,"")</f>
        <v/>
      </c>
      <c r="O194" s="998" t="str">
        <f>IF(AND(Table2[[#This Row],[TYPE]]&lt;&gt;"", Table2[[#This Row],[TYPE]]=Data!$B$4),1,"")</f>
        <v/>
      </c>
      <c r="P194" s="998" t="str">
        <f>IF(AND(Table2[[#This Row],[LV5 MAT NO.]]&lt;&gt;"", Table2[[#This Row],[LV5 MAT NO.]]=Data!$B$5),1,"")</f>
        <v/>
      </c>
      <c r="Q194" s="998" t="str">
        <f>IF(AND(Table2[[#This Row],[FROM]]&lt;&gt;"", Table2[[#This Row],[FROM]]=Data!$B$7),1,"")</f>
        <v/>
      </c>
      <c r="R194" s="998" t="str">
        <f>IF(AND(Table2[[#This Row],[LV3 or LV4 MAT NO.]]&lt;&gt;"", Table2[[#This Row],[LV3 or LV4 MAT NO.]]=Data!$B$8),1,"")</f>
        <v/>
      </c>
      <c r="S194" s="998"/>
      <c r="T194" s="998"/>
      <c r="U194" s="804" t="str">
        <f>IF(Table4[[#This Row],[Write "N" To Remove The Default]]="N","",IF(AND(COUNTA(Table2[[#This Row],[SEREAL NO.]:[REMARKS]])=SUM( L194:T194),SUM( L194:T194)&lt;&gt;0),Table2[[#This Row],[Instruction]],""))</f>
        <v/>
      </c>
      <c r="V194" s="804"/>
    </row>
    <row r="195" spans="9:22" x14ac:dyDescent="0.35">
      <c r="I195" s="1000"/>
      <c r="L195" s="998" t="str">
        <f>IF(AND(Table2[[#This Row],[ORDER NO.]]&lt;&gt;"", Table2[[#This Row],[ORDER NO.]]=Data!$B$1),1,"")</f>
        <v/>
      </c>
      <c r="M195" s="998" t="str">
        <f>IFERROR(IF(AND(Table2[[#This Row],[SEREAL NO.]]&lt;&gt;"", Table2[[#This Row],[SEREAL NO.]]=Data!$A$103),1,""),"")</f>
        <v/>
      </c>
      <c r="N195" s="998" t="str">
        <f>IF(AND(Table2[[#This Row],[SIZE]]&lt;&gt;"", Table2[[#This Row],[SIZE]]=Data!$B$3),1,"")</f>
        <v/>
      </c>
      <c r="O195" s="998" t="str">
        <f>IF(AND(Table2[[#This Row],[TYPE]]&lt;&gt;"", Table2[[#This Row],[TYPE]]=Data!$B$4),1,"")</f>
        <v/>
      </c>
      <c r="P195" s="998" t="str">
        <f>IF(AND(Table2[[#This Row],[LV5 MAT NO.]]&lt;&gt;"", Table2[[#This Row],[LV5 MAT NO.]]=Data!$B$5),1,"")</f>
        <v/>
      </c>
      <c r="Q195" s="998" t="str">
        <f>IF(AND(Table2[[#This Row],[FROM]]&lt;&gt;"", Table2[[#This Row],[FROM]]=Data!$B$7),1,"")</f>
        <v/>
      </c>
      <c r="R195" s="998" t="str">
        <f>IF(AND(Table2[[#This Row],[LV3 or LV4 MAT NO.]]&lt;&gt;"", Table2[[#This Row],[LV3 or LV4 MAT NO.]]=Data!$B$8),1,"")</f>
        <v/>
      </c>
      <c r="S195" s="998"/>
      <c r="T195" s="998"/>
      <c r="U195" s="804" t="str">
        <f>IF(Table4[[#This Row],[Write "N" To Remove The Default]]="N","",IF(AND(COUNTA(Table2[[#This Row],[SEREAL NO.]:[REMARKS]])=SUM( L195:T195),SUM( L195:T195)&lt;&gt;0),Table2[[#This Row],[Instruction]],""))</f>
        <v/>
      </c>
      <c r="V195" s="804"/>
    </row>
    <row r="196" spans="9:22" x14ac:dyDescent="0.35">
      <c r="I196" s="1000"/>
      <c r="L196" s="998" t="str">
        <f>IF(AND(Table2[[#This Row],[ORDER NO.]]&lt;&gt;"", Table2[[#This Row],[ORDER NO.]]=Data!$B$1),1,"")</f>
        <v/>
      </c>
      <c r="M196" s="998" t="str">
        <f>IFERROR(IF(AND(Table2[[#This Row],[SEREAL NO.]]&lt;&gt;"", Table2[[#This Row],[SEREAL NO.]]=Data!$A$103),1,""),"")</f>
        <v/>
      </c>
      <c r="N196" s="998" t="str">
        <f>IF(AND(Table2[[#This Row],[SIZE]]&lt;&gt;"", Table2[[#This Row],[SIZE]]=Data!$B$3),1,"")</f>
        <v/>
      </c>
      <c r="O196" s="998" t="str">
        <f>IF(AND(Table2[[#This Row],[TYPE]]&lt;&gt;"", Table2[[#This Row],[TYPE]]=Data!$B$4),1,"")</f>
        <v/>
      </c>
      <c r="P196" s="998" t="str">
        <f>IF(AND(Table2[[#This Row],[LV5 MAT NO.]]&lt;&gt;"", Table2[[#This Row],[LV5 MAT NO.]]=Data!$B$5),1,"")</f>
        <v/>
      </c>
      <c r="Q196" s="998" t="str">
        <f>IF(AND(Table2[[#This Row],[FROM]]&lt;&gt;"", Table2[[#This Row],[FROM]]=Data!$B$7),1,"")</f>
        <v/>
      </c>
      <c r="R196" s="998" t="str">
        <f>IF(AND(Table2[[#This Row],[LV3 or LV4 MAT NO.]]&lt;&gt;"", Table2[[#This Row],[LV3 or LV4 MAT NO.]]=Data!$B$8),1,"")</f>
        <v/>
      </c>
      <c r="S196" s="998"/>
      <c r="T196" s="998"/>
      <c r="U196" s="804" t="str">
        <f>IF(Table4[[#This Row],[Write "N" To Remove The Default]]="N","",IF(AND(COUNTA(Table2[[#This Row],[SEREAL NO.]:[REMARKS]])=SUM( L196:T196),SUM( L196:T196)&lt;&gt;0),Table2[[#This Row],[Instruction]],""))</f>
        <v/>
      </c>
      <c r="V196" s="804"/>
    </row>
    <row r="197" spans="9:22" x14ac:dyDescent="0.35">
      <c r="I197" s="1000"/>
      <c r="L197" s="998" t="str">
        <f>IF(AND(Table2[[#This Row],[ORDER NO.]]&lt;&gt;"", Table2[[#This Row],[ORDER NO.]]=Data!$B$1),1,"")</f>
        <v/>
      </c>
      <c r="M197" s="998" t="str">
        <f>IFERROR(IF(AND(Table2[[#This Row],[SEREAL NO.]]&lt;&gt;"", Table2[[#This Row],[SEREAL NO.]]=Data!$A$103),1,""),"")</f>
        <v/>
      </c>
      <c r="N197" s="998" t="str">
        <f>IF(AND(Table2[[#This Row],[SIZE]]&lt;&gt;"", Table2[[#This Row],[SIZE]]=Data!$B$3),1,"")</f>
        <v/>
      </c>
      <c r="O197" s="998" t="str">
        <f>IF(AND(Table2[[#This Row],[TYPE]]&lt;&gt;"", Table2[[#This Row],[TYPE]]=Data!$B$4),1,"")</f>
        <v/>
      </c>
      <c r="P197" s="998" t="str">
        <f>IF(AND(Table2[[#This Row],[LV5 MAT NO.]]&lt;&gt;"", Table2[[#This Row],[LV5 MAT NO.]]=Data!$B$5),1,"")</f>
        <v/>
      </c>
      <c r="Q197" s="998" t="str">
        <f>IF(AND(Table2[[#This Row],[FROM]]&lt;&gt;"", Table2[[#This Row],[FROM]]=Data!$B$7),1,"")</f>
        <v/>
      </c>
      <c r="R197" s="998" t="str">
        <f>IF(AND(Table2[[#This Row],[LV3 or LV4 MAT NO.]]&lt;&gt;"", Table2[[#This Row],[LV3 or LV4 MAT NO.]]=Data!$B$8),1,"")</f>
        <v/>
      </c>
      <c r="S197" s="998"/>
      <c r="T197" s="998"/>
      <c r="U197" s="804" t="str">
        <f>IF(Table4[[#This Row],[Write "N" To Remove The Default]]="N","",IF(AND(COUNTA(Table2[[#This Row],[SEREAL NO.]:[REMARKS]])=SUM( L197:T197),SUM( L197:T197)&lt;&gt;0),Table2[[#This Row],[Instruction]],""))</f>
        <v/>
      </c>
      <c r="V197" s="804"/>
    </row>
    <row r="198" spans="9:22" x14ac:dyDescent="0.35">
      <c r="I198" s="1000"/>
      <c r="L198" s="998" t="str">
        <f>IF(AND(Table2[[#This Row],[ORDER NO.]]&lt;&gt;"", Table2[[#This Row],[ORDER NO.]]=Data!$B$1),1,"")</f>
        <v/>
      </c>
      <c r="M198" s="998" t="str">
        <f>IFERROR(IF(AND(Table2[[#This Row],[SEREAL NO.]]&lt;&gt;"", Table2[[#This Row],[SEREAL NO.]]=Data!$A$103),1,""),"")</f>
        <v/>
      </c>
      <c r="N198" s="998" t="str">
        <f>IF(AND(Table2[[#This Row],[SIZE]]&lt;&gt;"", Table2[[#This Row],[SIZE]]=Data!$B$3),1,"")</f>
        <v/>
      </c>
      <c r="O198" s="998" t="str">
        <f>IF(AND(Table2[[#This Row],[TYPE]]&lt;&gt;"", Table2[[#This Row],[TYPE]]=Data!$B$4),1,"")</f>
        <v/>
      </c>
      <c r="P198" s="998" t="str">
        <f>IF(AND(Table2[[#This Row],[LV5 MAT NO.]]&lt;&gt;"", Table2[[#This Row],[LV5 MAT NO.]]=Data!$B$5),1,"")</f>
        <v/>
      </c>
      <c r="Q198" s="998" t="str">
        <f>IF(AND(Table2[[#This Row],[FROM]]&lt;&gt;"", Table2[[#This Row],[FROM]]=Data!$B$7),1,"")</f>
        <v/>
      </c>
      <c r="R198" s="998" t="str">
        <f>IF(AND(Table2[[#This Row],[LV3 or LV4 MAT NO.]]&lt;&gt;"", Table2[[#This Row],[LV3 or LV4 MAT NO.]]=Data!$B$8),1,"")</f>
        <v/>
      </c>
      <c r="S198" s="998"/>
      <c r="T198" s="998"/>
      <c r="U198" s="804" t="str">
        <f>IF(Table4[[#This Row],[Write "N" To Remove The Default]]="N","",IF(AND(COUNTA(Table2[[#This Row],[SEREAL NO.]:[REMARKS]])=SUM( L198:T198),SUM( L198:T198)&lt;&gt;0),Table2[[#This Row],[Instruction]],""))</f>
        <v/>
      </c>
      <c r="V198" s="804"/>
    </row>
    <row r="199" spans="9:22" x14ac:dyDescent="0.35">
      <c r="I199" s="1000"/>
      <c r="L199" s="998" t="str">
        <f>IF(AND(Table2[[#This Row],[ORDER NO.]]&lt;&gt;"", Table2[[#This Row],[ORDER NO.]]=Data!$B$1),1,"")</f>
        <v/>
      </c>
      <c r="M199" s="998" t="str">
        <f>IFERROR(IF(AND(Table2[[#This Row],[SEREAL NO.]]&lt;&gt;"", Table2[[#This Row],[SEREAL NO.]]=Data!$A$103),1,""),"")</f>
        <v/>
      </c>
      <c r="N199" s="998" t="str">
        <f>IF(AND(Table2[[#This Row],[SIZE]]&lt;&gt;"", Table2[[#This Row],[SIZE]]=Data!$B$3),1,"")</f>
        <v/>
      </c>
      <c r="O199" s="998" t="str">
        <f>IF(AND(Table2[[#This Row],[TYPE]]&lt;&gt;"", Table2[[#This Row],[TYPE]]=Data!$B$4),1,"")</f>
        <v/>
      </c>
      <c r="P199" s="998" t="str">
        <f>IF(AND(Table2[[#This Row],[LV5 MAT NO.]]&lt;&gt;"", Table2[[#This Row],[LV5 MAT NO.]]=Data!$B$5),1,"")</f>
        <v/>
      </c>
      <c r="Q199" s="998" t="str">
        <f>IF(AND(Table2[[#This Row],[FROM]]&lt;&gt;"", Table2[[#This Row],[FROM]]=Data!$B$7),1,"")</f>
        <v/>
      </c>
      <c r="R199" s="998" t="str">
        <f>IF(AND(Table2[[#This Row],[LV3 or LV4 MAT NO.]]&lt;&gt;"", Table2[[#This Row],[LV3 or LV4 MAT NO.]]=Data!$B$8),1,"")</f>
        <v/>
      </c>
      <c r="S199" s="998"/>
      <c r="T199" s="998"/>
      <c r="U199" s="804" t="str">
        <f>IF(Table4[[#This Row],[Write "N" To Remove The Default]]="N","",IF(AND(COUNTA(Table2[[#This Row],[SEREAL NO.]:[REMARKS]])=SUM( L199:T199),SUM( L199:T199)&lt;&gt;0),Table2[[#This Row],[Instruction]],""))</f>
        <v/>
      </c>
      <c r="V199" s="804"/>
    </row>
    <row r="200" spans="9:22" x14ac:dyDescent="0.35">
      <c r="I200" s="1000"/>
      <c r="L200" s="998" t="str">
        <f>IF(AND(Table2[[#This Row],[ORDER NO.]]&lt;&gt;"", Table2[[#This Row],[ORDER NO.]]=Data!$B$1),1,"")</f>
        <v/>
      </c>
      <c r="M200" s="998" t="str">
        <f>IFERROR(IF(AND(Table2[[#This Row],[SEREAL NO.]]&lt;&gt;"", Table2[[#This Row],[SEREAL NO.]]=Data!$A$103),1,""),"")</f>
        <v/>
      </c>
      <c r="N200" s="998" t="str">
        <f>IF(AND(Table2[[#This Row],[SIZE]]&lt;&gt;"", Table2[[#This Row],[SIZE]]=Data!$B$3),1,"")</f>
        <v/>
      </c>
      <c r="O200" s="998" t="str">
        <f>IF(AND(Table2[[#This Row],[TYPE]]&lt;&gt;"", Table2[[#This Row],[TYPE]]=Data!$B$4),1,"")</f>
        <v/>
      </c>
      <c r="P200" s="998" t="str">
        <f>IF(AND(Table2[[#This Row],[LV5 MAT NO.]]&lt;&gt;"", Table2[[#This Row],[LV5 MAT NO.]]=Data!$B$5),1,"")</f>
        <v/>
      </c>
      <c r="Q200" s="998" t="str">
        <f>IF(AND(Table2[[#This Row],[FROM]]&lt;&gt;"", Table2[[#This Row],[FROM]]=Data!$B$7),1,"")</f>
        <v/>
      </c>
      <c r="R200" s="998" t="str">
        <f>IF(AND(Table2[[#This Row],[LV3 or LV4 MAT NO.]]&lt;&gt;"", Table2[[#This Row],[LV3 or LV4 MAT NO.]]=Data!$B$8),1,"")</f>
        <v/>
      </c>
      <c r="S200" s="998"/>
      <c r="T200" s="998"/>
      <c r="U200" s="804" t="str">
        <f>IF(Table4[[#This Row],[Write "N" To Remove The Default]]="N","",IF(AND(COUNTA(Table2[[#This Row],[SEREAL NO.]:[REMARKS]])=SUM( L200:T200),SUM( L200:T200)&lt;&gt;0),Table2[[#This Row],[Instruction]],""))</f>
        <v/>
      </c>
      <c r="V200" s="804"/>
    </row>
    <row r="201" spans="9:22" x14ac:dyDescent="0.35">
      <c r="I201" s="1000"/>
      <c r="L201" s="998" t="str">
        <f>IF(AND(Table2[[#This Row],[ORDER NO.]]&lt;&gt;"", Table2[[#This Row],[ORDER NO.]]=Data!$B$1),1,"")</f>
        <v/>
      </c>
      <c r="M201" s="998" t="str">
        <f>IFERROR(IF(AND(Table2[[#This Row],[SEREAL NO.]]&lt;&gt;"", Table2[[#This Row],[SEREAL NO.]]=Data!$A$103),1,""),"")</f>
        <v/>
      </c>
      <c r="N201" s="998" t="str">
        <f>IF(AND(Table2[[#This Row],[SIZE]]&lt;&gt;"", Table2[[#This Row],[SIZE]]=Data!$B$3),1,"")</f>
        <v/>
      </c>
      <c r="O201" s="998" t="str">
        <f>IF(AND(Table2[[#This Row],[TYPE]]&lt;&gt;"", Table2[[#This Row],[TYPE]]=Data!$B$4),1,"")</f>
        <v/>
      </c>
      <c r="P201" s="998" t="str">
        <f>IF(AND(Table2[[#This Row],[LV5 MAT NO.]]&lt;&gt;"", Table2[[#This Row],[LV5 MAT NO.]]=Data!$B$5),1,"")</f>
        <v/>
      </c>
      <c r="Q201" s="998" t="str">
        <f>IF(AND(Table2[[#This Row],[FROM]]&lt;&gt;"", Table2[[#This Row],[FROM]]=Data!$B$7),1,"")</f>
        <v/>
      </c>
      <c r="R201" s="998" t="str">
        <f>IF(AND(Table2[[#This Row],[LV3 or LV4 MAT NO.]]&lt;&gt;"", Table2[[#This Row],[LV3 or LV4 MAT NO.]]=Data!$B$8),1,"")</f>
        <v/>
      </c>
      <c r="S201" s="998"/>
      <c r="T201" s="998"/>
      <c r="U201" s="804" t="str">
        <f>IF(Table4[[#This Row],[Write "N" To Remove The Default]]="N","",IF(AND(COUNTA(Table2[[#This Row],[SEREAL NO.]:[REMARKS]])=SUM( L201:T201),SUM( L201:T201)&lt;&gt;0),Table2[[#This Row],[Instruction]],""))</f>
        <v/>
      </c>
      <c r="V201" s="804"/>
    </row>
    <row r="202" spans="9:22" x14ac:dyDescent="0.35">
      <c r="I202" s="1000"/>
      <c r="L202" s="998" t="str">
        <f>IF(AND(Table2[[#This Row],[ORDER NO.]]&lt;&gt;"", Table2[[#This Row],[ORDER NO.]]=Data!$B$1),1,"")</f>
        <v/>
      </c>
      <c r="M202" s="998" t="str">
        <f>IFERROR(IF(AND(Table2[[#This Row],[SEREAL NO.]]&lt;&gt;"", Table2[[#This Row],[SEREAL NO.]]=Data!$A$103),1,""),"")</f>
        <v/>
      </c>
      <c r="N202" s="998" t="str">
        <f>IF(AND(Table2[[#This Row],[SIZE]]&lt;&gt;"", Table2[[#This Row],[SIZE]]=Data!$B$3),1,"")</f>
        <v/>
      </c>
      <c r="O202" s="998" t="str">
        <f>IF(AND(Table2[[#This Row],[TYPE]]&lt;&gt;"", Table2[[#This Row],[TYPE]]=Data!$B$4),1,"")</f>
        <v/>
      </c>
      <c r="P202" s="998" t="str">
        <f>IF(AND(Table2[[#This Row],[LV5 MAT NO.]]&lt;&gt;"", Table2[[#This Row],[LV5 MAT NO.]]=Data!$B$5),1,"")</f>
        <v/>
      </c>
      <c r="Q202" s="998" t="str">
        <f>IF(AND(Table2[[#This Row],[FROM]]&lt;&gt;"", Table2[[#This Row],[FROM]]=Data!$B$7),1,"")</f>
        <v/>
      </c>
      <c r="R202" s="998" t="str">
        <f>IF(AND(Table2[[#This Row],[LV3 or LV4 MAT NO.]]&lt;&gt;"", Table2[[#This Row],[LV3 or LV4 MAT NO.]]=Data!$B$8),1,"")</f>
        <v/>
      </c>
      <c r="S202" s="998"/>
      <c r="T202" s="998"/>
      <c r="U202" s="804" t="str">
        <f>IF(Table4[[#This Row],[Write "N" To Remove The Default]]="N","",IF(AND(COUNTA(Table2[[#This Row],[SEREAL NO.]:[REMARKS]])=SUM( L202:T202),SUM( L202:T202)&lt;&gt;0),Table2[[#This Row],[Instruction]],""))</f>
        <v/>
      </c>
      <c r="V202" s="804"/>
    </row>
    <row r="203" spans="9:22" x14ac:dyDescent="0.35">
      <c r="I203" s="1000"/>
      <c r="L203" s="998" t="str">
        <f>IF(AND(Table2[[#This Row],[ORDER NO.]]&lt;&gt;"", Table2[[#This Row],[ORDER NO.]]=Data!$B$1),1,"")</f>
        <v/>
      </c>
      <c r="M203" s="998" t="str">
        <f>IFERROR(IF(AND(Table2[[#This Row],[SEREAL NO.]]&lt;&gt;"", Table2[[#This Row],[SEREAL NO.]]=Data!$A$103),1,""),"")</f>
        <v/>
      </c>
      <c r="N203" s="998" t="str">
        <f>IF(AND(Table2[[#This Row],[SIZE]]&lt;&gt;"", Table2[[#This Row],[SIZE]]=Data!$B$3),1,"")</f>
        <v/>
      </c>
      <c r="O203" s="998" t="str">
        <f>IF(AND(Table2[[#This Row],[TYPE]]&lt;&gt;"", Table2[[#This Row],[TYPE]]=Data!$B$4),1,"")</f>
        <v/>
      </c>
      <c r="P203" s="998" t="str">
        <f>IF(AND(Table2[[#This Row],[LV5 MAT NO.]]&lt;&gt;"", Table2[[#This Row],[LV5 MAT NO.]]=Data!$B$5),1,"")</f>
        <v/>
      </c>
      <c r="Q203" s="998" t="str">
        <f>IF(AND(Table2[[#This Row],[FROM]]&lt;&gt;"", Table2[[#This Row],[FROM]]=Data!$B$7),1,"")</f>
        <v/>
      </c>
      <c r="R203" s="998" t="str">
        <f>IF(AND(Table2[[#This Row],[LV3 or LV4 MAT NO.]]&lt;&gt;"", Table2[[#This Row],[LV3 or LV4 MAT NO.]]=Data!$B$8),1,"")</f>
        <v/>
      </c>
      <c r="S203" s="998"/>
      <c r="T203" s="998"/>
      <c r="U203" s="804" t="str">
        <f>IF(Table4[[#This Row],[Write "N" To Remove The Default]]="N","",IF(AND(COUNTA(Table2[[#This Row],[SEREAL NO.]:[REMARKS]])=SUM( L203:T203),SUM( L203:T203)&lt;&gt;0),Table2[[#This Row],[Instruction]],""))</f>
        <v/>
      </c>
      <c r="V203" s="804"/>
    </row>
    <row r="204" spans="9:22" x14ac:dyDescent="0.35">
      <c r="I204" s="1000"/>
      <c r="L204" s="998" t="str">
        <f>IF(AND(Table2[[#This Row],[ORDER NO.]]&lt;&gt;"", Table2[[#This Row],[ORDER NO.]]=Data!$B$1),1,"")</f>
        <v/>
      </c>
      <c r="M204" s="998" t="str">
        <f>IFERROR(IF(AND(Table2[[#This Row],[SEREAL NO.]]&lt;&gt;"", Table2[[#This Row],[SEREAL NO.]]=Data!$A$103),1,""),"")</f>
        <v/>
      </c>
      <c r="N204" s="998" t="str">
        <f>IF(AND(Table2[[#This Row],[SIZE]]&lt;&gt;"", Table2[[#This Row],[SIZE]]=Data!$B$3),1,"")</f>
        <v/>
      </c>
      <c r="O204" s="998" t="str">
        <f>IF(AND(Table2[[#This Row],[TYPE]]&lt;&gt;"", Table2[[#This Row],[TYPE]]=Data!$B$4),1,"")</f>
        <v/>
      </c>
      <c r="P204" s="998" t="str">
        <f>IF(AND(Table2[[#This Row],[LV5 MAT NO.]]&lt;&gt;"", Table2[[#This Row],[LV5 MAT NO.]]=Data!$B$5),1,"")</f>
        <v/>
      </c>
      <c r="Q204" s="998" t="str">
        <f>IF(AND(Table2[[#This Row],[FROM]]&lt;&gt;"", Table2[[#This Row],[FROM]]=Data!$B$7),1,"")</f>
        <v/>
      </c>
      <c r="R204" s="998" t="str">
        <f>IF(AND(Table2[[#This Row],[LV3 or LV4 MAT NO.]]&lt;&gt;"", Table2[[#This Row],[LV3 or LV4 MAT NO.]]=Data!$B$8),1,"")</f>
        <v/>
      </c>
      <c r="S204" s="998"/>
      <c r="T204" s="998"/>
      <c r="U204" s="804" t="str">
        <f>IF(Table4[[#This Row],[Write "N" To Remove The Default]]="N","",IF(AND(COUNTA(Table2[[#This Row],[SEREAL NO.]:[REMARKS]])=SUM( L204:T204),SUM( L204:T204)&lt;&gt;0),Table2[[#This Row],[Instruction]],""))</f>
        <v/>
      </c>
      <c r="V204" s="804"/>
    </row>
    <row r="205" spans="9:22" x14ac:dyDescent="0.35">
      <c r="I205" s="1000"/>
      <c r="L205" s="998" t="str">
        <f>IF(AND(Table2[[#This Row],[ORDER NO.]]&lt;&gt;"", Table2[[#This Row],[ORDER NO.]]=Data!$B$1),1,"")</f>
        <v/>
      </c>
      <c r="M205" s="998" t="str">
        <f>IFERROR(IF(AND(Table2[[#This Row],[SEREAL NO.]]&lt;&gt;"", Table2[[#This Row],[SEREAL NO.]]=Data!$A$103),1,""),"")</f>
        <v/>
      </c>
      <c r="N205" s="998" t="str">
        <f>IF(AND(Table2[[#This Row],[SIZE]]&lt;&gt;"", Table2[[#This Row],[SIZE]]=Data!$B$3),1,"")</f>
        <v/>
      </c>
      <c r="O205" s="998" t="str">
        <f>IF(AND(Table2[[#This Row],[TYPE]]&lt;&gt;"", Table2[[#This Row],[TYPE]]=Data!$B$4),1,"")</f>
        <v/>
      </c>
      <c r="P205" s="998" t="str">
        <f>IF(AND(Table2[[#This Row],[LV5 MAT NO.]]&lt;&gt;"", Table2[[#This Row],[LV5 MAT NO.]]=Data!$B$5),1,"")</f>
        <v/>
      </c>
      <c r="Q205" s="998" t="str">
        <f>IF(AND(Table2[[#This Row],[FROM]]&lt;&gt;"", Table2[[#This Row],[FROM]]=Data!$B$7),1,"")</f>
        <v/>
      </c>
      <c r="R205" s="998" t="str">
        <f>IF(AND(Table2[[#This Row],[LV3 or LV4 MAT NO.]]&lt;&gt;"", Table2[[#This Row],[LV3 or LV4 MAT NO.]]=Data!$B$8),1,"")</f>
        <v/>
      </c>
      <c r="S205" s="998"/>
      <c r="T205" s="998"/>
      <c r="U205" s="804" t="str">
        <f>IF(Table4[[#This Row],[Write "N" To Remove The Default]]="N","",IF(AND(COUNTA(Table2[[#This Row],[SEREAL NO.]:[REMARKS]])=SUM( L205:T205),SUM( L205:T205)&lt;&gt;0),Table2[[#This Row],[Instruction]],""))</f>
        <v/>
      </c>
      <c r="V205" s="804"/>
    </row>
    <row r="206" spans="9:22" x14ac:dyDescent="0.35">
      <c r="I206" s="1000"/>
      <c r="L206" s="998" t="str">
        <f>IF(AND(Table2[[#This Row],[ORDER NO.]]&lt;&gt;"", Table2[[#This Row],[ORDER NO.]]=Data!$B$1),1,"")</f>
        <v/>
      </c>
      <c r="M206" s="998" t="str">
        <f>IFERROR(IF(AND(Table2[[#This Row],[SEREAL NO.]]&lt;&gt;"", Table2[[#This Row],[SEREAL NO.]]=Data!$A$103),1,""),"")</f>
        <v/>
      </c>
      <c r="N206" s="998" t="str">
        <f>IF(AND(Table2[[#This Row],[SIZE]]&lt;&gt;"", Table2[[#This Row],[SIZE]]=Data!$B$3),1,"")</f>
        <v/>
      </c>
      <c r="O206" s="998" t="str">
        <f>IF(AND(Table2[[#This Row],[TYPE]]&lt;&gt;"", Table2[[#This Row],[TYPE]]=Data!$B$4),1,"")</f>
        <v/>
      </c>
      <c r="P206" s="998" t="str">
        <f>IF(AND(Table2[[#This Row],[LV5 MAT NO.]]&lt;&gt;"", Table2[[#This Row],[LV5 MAT NO.]]=Data!$B$5),1,"")</f>
        <v/>
      </c>
      <c r="Q206" s="998" t="str">
        <f>IF(AND(Table2[[#This Row],[FROM]]&lt;&gt;"", Table2[[#This Row],[FROM]]=Data!$B$7),1,"")</f>
        <v/>
      </c>
      <c r="R206" s="998" t="str">
        <f>IF(AND(Table2[[#This Row],[LV3 or LV4 MAT NO.]]&lt;&gt;"", Table2[[#This Row],[LV3 or LV4 MAT NO.]]=Data!$B$8),1,"")</f>
        <v/>
      </c>
      <c r="S206" s="998"/>
      <c r="T206" s="998"/>
      <c r="U206" s="804" t="str">
        <f>IF(Table4[[#This Row],[Write "N" To Remove The Default]]="N","",IF(AND(COUNTA(Table2[[#This Row],[SEREAL NO.]:[REMARKS]])=SUM( L206:T206),SUM( L206:T206)&lt;&gt;0),Table2[[#This Row],[Instruction]],""))</f>
        <v/>
      </c>
      <c r="V206" s="804"/>
    </row>
    <row r="207" spans="9:22" x14ac:dyDescent="0.35">
      <c r="I207" s="1000"/>
      <c r="L207" s="998" t="str">
        <f>IF(AND(Table2[[#This Row],[ORDER NO.]]&lt;&gt;"", Table2[[#This Row],[ORDER NO.]]=Data!$B$1),1,"")</f>
        <v/>
      </c>
      <c r="M207" s="998" t="str">
        <f>IFERROR(IF(AND(Table2[[#This Row],[SEREAL NO.]]&lt;&gt;"", Table2[[#This Row],[SEREAL NO.]]=Data!$A$103),1,""),"")</f>
        <v/>
      </c>
      <c r="N207" s="998" t="str">
        <f>IF(AND(Table2[[#This Row],[SIZE]]&lt;&gt;"", Table2[[#This Row],[SIZE]]=Data!$B$3),1,"")</f>
        <v/>
      </c>
      <c r="O207" s="998" t="str">
        <f>IF(AND(Table2[[#This Row],[TYPE]]&lt;&gt;"", Table2[[#This Row],[TYPE]]=Data!$B$4),1,"")</f>
        <v/>
      </c>
      <c r="P207" s="998" t="str">
        <f>IF(AND(Table2[[#This Row],[LV5 MAT NO.]]&lt;&gt;"", Table2[[#This Row],[LV5 MAT NO.]]=Data!$B$5),1,"")</f>
        <v/>
      </c>
      <c r="Q207" s="998" t="str">
        <f>IF(AND(Table2[[#This Row],[FROM]]&lt;&gt;"", Table2[[#This Row],[FROM]]=Data!$B$7),1,"")</f>
        <v/>
      </c>
      <c r="R207" s="998" t="str">
        <f>IF(AND(Table2[[#This Row],[LV3 or LV4 MAT NO.]]&lt;&gt;"", Table2[[#This Row],[LV3 or LV4 MAT NO.]]=Data!$B$8),1,"")</f>
        <v/>
      </c>
      <c r="S207" s="998"/>
      <c r="T207" s="998"/>
      <c r="U207" s="804" t="str">
        <f>IF(Table4[[#This Row],[Write "N" To Remove The Default]]="N","",IF(AND(COUNTA(Table2[[#This Row],[SEREAL NO.]:[REMARKS]])=SUM( L207:T207),SUM( L207:T207)&lt;&gt;0),Table2[[#This Row],[Instruction]],""))</f>
        <v/>
      </c>
      <c r="V207" s="804"/>
    </row>
    <row r="208" spans="9:22" x14ac:dyDescent="0.35">
      <c r="I208" s="1000"/>
      <c r="L208" s="998" t="str">
        <f>IF(AND(Table2[[#This Row],[ORDER NO.]]&lt;&gt;"", Table2[[#This Row],[ORDER NO.]]=Data!$B$1),1,"")</f>
        <v/>
      </c>
      <c r="M208" s="998" t="str">
        <f>IFERROR(IF(AND(Table2[[#This Row],[SEREAL NO.]]&lt;&gt;"", Table2[[#This Row],[SEREAL NO.]]=Data!$A$103),1,""),"")</f>
        <v/>
      </c>
      <c r="N208" s="998" t="str">
        <f>IF(AND(Table2[[#This Row],[SIZE]]&lt;&gt;"", Table2[[#This Row],[SIZE]]=Data!$B$3),1,"")</f>
        <v/>
      </c>
      <c r="O208" s="998" t="str">
        <f>IF(AND(Table2[[#This Row],[TYPE]]&lt;&gt;"", Table2[[#This Row],[TYPE]]=Data!$B$4),1,"")</f>
        <v/>
      </c>
      <c r="P208" s="998" t="str">
        <f>IF(AND(Table2[[#This Row],[LV5 MAT NO.]]&lt;&gt;"", Table2[[#This Row],[LV5 MAT NO.]]=Data!$B$5),1,"")</f>
        <v/>
      </c>
      <c r="Q208" s="998" t="str">
        <f>IF(AND(Table2[[#This Row],[FROM]]&lt;&gt;"", Table2[[#This Row],[FROM]]=Data!$B$7),1,"")</f>
        <v/>
      </c>
      <c r="R208" s="998" t="str">
        <f>IF(AND(Table2[[#This Row],[LV3 or LV4 MAT NO.]]&lt;&gt;"", Table2[[#This Row],[LV3 or LV4 MAT NO.]]=Data!$B$8),1,"")</f>
        <v/>
      </c>
      <c r="S208" s="998"/>
      <c r="T208" s="998"/>
      <c r="U208" s="804" t="str">
        <f>IF(Table4[[#This Row],[Write "N" To Remove The Default]]="N","",IF(AND(COUNTA(Table2[[#This Row],[SEREAL NO.]:[REMARKS]])=SUM( L208:T208),SUM( L208:T208)&lt;&gt;0),Table2[[#This Row],[Instruction]],""))</f>
        <v/>
      </c>
      <c r="V208" s="804"/>
    </row>
    <row r="209" spans="9:22" x14ac:dyDescent="0.35">
      <c r="I209" s="1000"/>
      <c r="L209" s="998" t="str">
        <f>IF(AND(Table2[[#This Row],[ORDER NO.]]&lt;&gt;"", Table2[[#This Row],[ORDER NO.]]=Data!$B$1),1,"")</f>
        <v/>
      </c>
      <c r="M209" s="998" t="str">
        <f>IFERROR(IF(AND(Table2[[#This Row],[SEREAL NO.]]&lt;&gt;"", Table2[[#This Row],[SEREAL NO.]]=Data!$A$103),1,""),"")</f>
        <v/>
      </c>
      <c r="N209" s="998" t="str">
        <f>IF(AND(Table2[[#This Row],[SIZE]]&lt;&gt;"", Table2[[#This Row],[SIZE]]=Data!$B$3),1,"")</f>
        <v/>
      </c>
      <c r="O209" s="998" t="str">
        <f>IF(AND(Table2[[#This Row],[TYPE]]&lt;&gt;"", Table2[[#This Row],[TYPE]]=Data!$B$4),1,"")</f>
        <v/>
      </c>
      <c r="P209" s="998" t="str">
        <f>IF(AND(Table2[[#This Row],[LV5 MAT NO.]]&lt;&gt;"", Table2[[#This Row],[LV5 MAT NO.]]=Data!$B$5),1,"")</f>
        <v/>
      </c>
      <c r="Q209" s="998" t="str">
        <f>IF(AND(Table2[[#This Row],[FROM]]&lt;&gt;"", Table2[[#This Row],[FROM]]=Data!$B$7),1,"")</f>
        <v/>
      </c>
      <c r="R209" s="998" t="str">
        <f>IF(AND(Table2[[#This Row],[LV3 or LV4 MAT NO.]]&lt;&gt;"", Table2[[#This Row],[LV3 or LV4 MAT NO.]]=Data!$B$8),1,"")</f>
        <v/>
      </c>
      <c r="S209" s="998"/>
      <c r="T209" s="998"/>
      <c r="U209" s="804" t="str">
        <f>IF(Table4[[#This Row],[Write "N" To Remove The Default]]="N","",IF(AND(COUNTA(Table2[[#This Row],[SEREAL NO.]:[REMARKS]])=SUM( L209:T209),SUM( L209:T209)&lt;&gt;0),Table2[[#This Row],[Instruction]],""))</f>
        <v/>
      </c>
      <c r="V209" s="804"/>
    </row>
    <row r="210" spans="9:22" x14ac:dyDescent="0.35">
      <c r="I210" s="1000"/>
      <c r="L210" s="998" t="str">
        <f>IF(AND(Table2[[#This Row],[ORDER NO.]]&lt;&gt;"", Table2[[#This Row],[ORDER NO.]]=Data!$B$1),1,"")</f>
        <v/>
      </c>
      <c r="M210" s="998" t="str">
        <f>IFERROR(IF(AND(Table2[[#This Row],[SEREAL NO.]]&lt;&gt;"", Table2[[#This Row],[SEREAL NO.]]=Data!$A$103),1,""),"")</f>
        <v/>
      </c>
      <c r="N210" s="998" t="str">
        <f>IF(AND(Table2[[#This Row],[SIZE]]&lt;&gt;"", Table2[[#This Row],[SIZE]]=Data!$B$3),1,"")</f>
        <v/>
      </c>
      <c r="O210" s="998" t="str">
        <f>IF(AND(Table2[[#This Row],[TYPE]]&lt;&gt;"", Table2[[#This Row],[TYPE]]=Data!$B$4),1,"")</f>
        <v/>
      </c>
      <c r="P210" s="998" t="str">
        <f>IF(AND(Table2[[#This Row],[LV5 MAT NO.]]&lt;&gt;"", Table2[[#This Row],[LV5 MAT NO.]]=Data!$B$5),1,"")</f>
        <v/>
      </c>
      <c r="Q210" s="998" t="str">
        <f>IF(AND(Table2[[#This Row],[FROM]]&lt;&gt;"", Table2[[#This Row],[FROM]]=Data!$B$7),1,"")</f>
        <v/>
      </c>
      <c r="R210" s="998" t="str">
        <f>IF(AND(Table2[[#This Row],[LV3 or LV4 MAT NO.]]&lt;&gt;"", Table2[[#This Row],[LV3 or LV4 MAT NO.]]=Data!$B$8),1,"")</f>
        <v/>
      </c>
      <c r="S210" s="998"/>
      <c r="T210" s="998"/>
      <c r="U210" s="804" t="str">
        <f>IF(Table4[[#This Row],[Write "N" To Remove The Default]]="N","",IF(AND(COUNTA(Table2[[#This Row],[SEREAL NO.]:[REMARKS]])=SUM( L210:T210),SUM( L210:T210)&lt;&gt;0),Table2[[#This Row],[Instruction]],""))</f>
        <v/>
      </c>
      <c r="V210" s="804"/>
    </row>
    <row r="211" spans="9:22" x14ac:dyDescent="0.35">
      <c r="I211" s="1000"/>
      <c r="L211" s="998" t="str">
        <f>IF(AND(Table2[[#This Row],[ORDER NO.]]&lt;&gt;"", Table2[[#This Row],[ORDER NO.]]=Data!$B$1),1,"")</f>
        <v/>
      </c>
      <c r="M211" s="998" t="str">
        <f>IFERROR(IF(AND(Table2[[#This Row],[SEREAL NO.]]&lt;&gt;"", Table2[[#This Row],[SEREAL NO.]]=Data!$A$103),1,""),"")</f>
        <v/>
      </c>
      <c r="N211" s="998" t="str">
        <f>IF(AND(Table2[[#This Row],[SIZE]]&lt;&gt;"", Table2[[#This Row],[SIZE]]=Data!$B$3),1,"")</f>
        <v/>
      </c>
      <c r="O211" s="998" t="str">
        <f>IF(AND(Table2[[#This Row],[TYPE]]&lt;&gt;"", Table2[[#This Row],[TYPE]]=Data!$B$4),1,"")</f>
        <v/>
      </c>
      <c r="P211" s="998" t="str">
        <f>IF(AND(Table2[[#This Row],[LV5 MAT NO.]]&lt;&gt;"", Table2[[#This Row],[LV5 MAT NO.]]=Data!$B$5),1,"")</f>
        <v/>
      </c>
      <c r="Q211" s="998" t="str">
        <f>IF(AND(Table2[[#This Row],[FROM]]&lt;&gt;"", Table2[[#This Row],[FROM]]=Data!$B$7),1,"")</f>
        <v/>
      </c>
      <c r="R211" s="998" t="str">
        <f>IF(AND(Table2[[#This Row],[LV3 or LV4 MAT NO.]]&lt;&gt;"", Table2[[#This Row],[LV3 or LV4 MAT NO.]]=Data!$B$8),1,"")</f>
        <v/>
      </c>
      <c r="S211" s="998"/>
      <c r="T211" s="998"/>
      <c r="U211" s="804" t="str">
        <f>IF(Table4[[#This Row],[Write "N" To Remove The Default]]="N","",IF(AND(COUNTA(Table2[[#This Row],[SEREAL NO.]:[REMARKS]])=SUM( L211:T211),SUM( L211:T211)&lt;&gt;0),Table2[[#This Row],[Instruction]],""))</f>
        <v/>
      </c>
      <c r="V211" s="804"/>
    </row>
    <row r="212" spans="9:22" x14ac:dyDescent="0.35">
      <c r="I212" s="1000"/>
      <c r="L212" s="998" t="str">
        <f>IF(AND(Table2[[#This Row],[ORDER NO.]]&lt;&gt;"", Table2[[#This Row],[ORDER NO.]]=Data!$B$1),1,"")</f>
        <v/>
      </c>
      <c r="M212" s="998" t="str">
        <f>IFERROR(IF(AND(Table2[[#This Row],[SEREAL NO.]]&lt;&gt;"", Table2[[#This Row],[SEREAL NO.]]=Data!$A$103),1,""),"")</f>
        <v/>
      </c>
      <c r="N212" s="998" t="str">
        <f>IF(AND(Table2[[#This Row],[SIZE]]&lt;&gt;"", Table2[[#This Row],[SIZE]]=Data!$B$3),1,"")</f>
        <v/>
      </c>
      <c r="O212" s="998" t="str">
        <f>IF(AND(Table2[[#This Row],[TYPE]]&lt;&gt;"", Table2[[#This Row],[TYPE]]=Data!$B$4),1,"")</f>
        <v/>
      </c>
      <c r="P212" s="998" t="str">
        <f>IF(AND(Table2[[#This Row],[LV5 MAT NO.]]&lt;&gt;"", Table2[[#This Row],[LV5 MAT NO.]]=Data!$B$5),1,"")</f>
        <v/>
      </c>
      <c r="Q212" s="998" t="str">
        <f>IF(AND(Table2[[#This Row],[FROM]]&lt;&gt;"", Table2[[#This Row],[FROM]]=Data!$B$7),1,"")</f>
        <v/>
      </c>
      <c r="R212" s="998" t="str">
        <f>IF(AND(Table2[[#This Row],[LV3 or LV4 MAT NO.]]&lt;&gt;"", Table2[[#This Row],[LV3 or LV4 MAT NO.]]=Data!$B$8),1,"")</f>
        <v/>
      </c>
      <c r="S212" s="998"/>
      <c r="T212" s="998"/>
      <c r="U212" s="804" t="str">
        <f>IF(Table4[[#This Row],[Write "N" To Remove The Default]]="N","",IF(AND(COUNTA(Table2[[#This Row],[SEREAL NO.]:[REMARKS]])=SUM( L212:T212),SUM( L212:T212)&lt;&gt;0),Table2[[#This Row],[Instruction]],""))</f>
        <v/>
      </c>
      <c r="V212" s="804"/>
    </row>
    <row r="213" spans="9:22" x14ac:dyDescent="0.35">
      <c r="I213" s="1000"/>
      <c r="L213" s="998" t="str">
        <f>IF(AND(Table2[[#This Row],[ORDER NO.]]&lt;&gt;"", Table2[[#This Row],[ORDER NO.]]=Data!$B$1),1,"")</f>
        <v/>
      </c>
      <c r="M213" s="998" t="str">
        <f>IFERROR(IF(AND(Table2[[#This Row],[SEREAL NO.]]&lt;&gt;"", Table2[[#This Row],[SEREAL NO.]]=Data!$A$103),1,""),"")</f>
        <v/>
      </c>
      <c r="N213" s="998" t="str">
        <f>IF(AND(Table2[[#This Row],[SIZE]]&lt;&gt;"", Table2[[#This Row],[SIZE]]=Data!$B$3),1,"")</f>
        <v/>
      </c>
      <c r="O213" s="998" t="str">
        <f>IF(AND(Table2[[#This Row],[TYPE]]&lt;&gt;"", Table2[[#This Row],[TYPE]]=Data!$B$4),1,"")</f>
        <v/>
      </c>
      <c r="P213" s="998" t="str">
        <f>IF(AND(Table2[[#This Row],[LV5 MAT NO.]]&lt;&gt;"", Table2[[#This Row],[LV5 MAT NO.]]=Data!$B$5),1,"")</f>
        <v/>
      </c>
      <c r="Q213" s="998" t="str">
        <f>IF(AND(Table2[[#This Row],[FROM]]&lt;&gt;"", Table2[[#This Row],[FROM]]=Data!$B$7),1,"")</f>
        <v/>
      </c>
      <c r="R213" s="998" t="str">
        <f>IF(AND(Table2[[#This Row],[LV3 or LV4 MAT NO.]]&lt;&gt;"", Table2[[#This Row],[LV3 or LV4 MAT NO.]]=Data!$B$8),1,"")</f>
        <v/>
      </c>
      <c r="S213" s="998"/>
      <c r="T213" s="998"/>
      <c r="U213" s="804" t="str">
        <f>IF(Table4[[#This Row],[Write "N" To Remove The Default]]="N","",IF(AND(COUNTA(Table2[[#This Row],[SEREAL NO.]:[REMARKS]])=SUM( L213:T213),SUM( L213:T213)&lt;&gt;0),Table2[[#This Row],[Instruction]],""))</f>
        <v/>
      </c>
      <c r="V213" s="804"/>
    </row>
    <row r="214" spans="9:22" x14ac:dyDescent="0.35">
      <c r="I214" s="1000"/>
      <c r="L214" s="998" t="str">
        <f>IF(AND(Table2[[#This Row],[ORDER NO.]]&lt;&gt;"", Table2[[#This Row],[ORDER NO.]]=Data!$B$1),1,"")</f>
        <v/>
      </c>
      <c r="M214" s="998" t="str">
        <f>IFERROR(IF(AND(Table2[[#This Row],[SEREAL NO.]]&lt;&gt;"", Table2[[#This Row],[SEREAL NO.]]=Data!$A$103),1,""),"")</f>
        <v/>
      </c>
      <c r="N214" s="998" t="str">
        <f>IF(AND(Table2[[#This Row],[SIZE]]&lt;&gt;"", Table2[[#This Row],[SIZE]]=Data!$B$3),1,"")</f>
        <v/>
      </c>
      <c r="O214" s="998" t="str">
        <f>IF(AND(Table2[[#This Row],[TYPE]]&lt;&gt;"", Table2[[#This Row],[TYPE]]=Data!$B$4),1,"")</f>
        <v/>
      </c>
      <c r="P214" s="998" t="str">
        <f>IF(AND(Table2[[#This Row],[LV5 MAT NO.]]&lt;&gt;"", Table2[[#This Row],[LV5 MAT NO.]]=Data!$B$5),1,"")</f>
        <v/>
      </c>
      <c r="Q214" s="998" t="str">
        <f>IF(AND(Table2[[#This Row],[FROM]]&lt;&gt;"", Table2[[#This Row],[FROM]]=Data!$B$7),1,"")</f>
        <v/>
      </c>
      <c r="R214" s="998" t="str">
        <f>IF(AND(Table2[[#This Row],[LV3 or LV4 MAT NO.]]&lt;&gt;"", Table2[[#This Row],[LV3 or LV4 MAT NO.]]=Data!$B$8),1,"")</f>
        <v/>
      </c>
      <c r="S214" s="998"/>
      <c r="T214" s="998"/>
      <c r="U214" s="804" t="str">
        <f>IF(Table4[[#This Row],[Write "N" To Remove The Default]]="N","",IF(AND(COUNTA(Table2[[#This Row],[SEREAL NO.]:[REMARKS]])=SUM( L214:T214),SUM( L214:T214)&lt;&gt;0),Table2[[#This Row],[Instruction]],""))</f>
        <v/>
      </c>
      <c r="V214" s="804"/>
    </row>
    <row r="215" spans="9:22" x14ac:dyDescent="0.35">
      <c r="I215" s="1000"/>
      <c r="L215" s="998" t="str">
        <f>IF(AND(Table2[[#This Row],[ORDER NO.]]&lt;&gt;"", Table2[[#This Row],[ORDER NO.]]=Data!$B$1),1,"")</f>
        <v/>
      </c>
      <c r="M215" s="998" t="str">
        <f>IFERROR(IF(AND(Table2[[#This Row],[SEREAL NO.]]&lt;&gt;"", Table2[[#This Row],[SEREAL NO.]]=Data!$A$103),1,""),"")</f>
        <v/>
      </c>
      <c r="N215" s="998" t="str">
        <f>IF(AND(Table2[[#This Row],[SIZE]]&lt;&gt;"", Table2[[#This Row],[SIZE]]=Data!$B$3),1,"")</f>
        <v/>
      </c>
      <c r="O215" s="998" t="str">
        <f>IF(AND(Table2[[#This Row],[TYPE]]&lt;&gt;"", Table2[[#This Row],[TYPE]]=Data!$B$4),1,"")</f>
        <v/>
      </c>
      <c r="P215" s="998" t="str">
        <f>IF(AND(Table2[[#This Row],[LV5 MAT NO.]]&lt;&gt;"", Table2[[#This Row],[LV5 MAT NO.]]=Data!$B$5),1,"")</f>
        <v/>
      </c>
      <c r="Q215" s="998" t="str">
        <f>IF(AND(Table2[[#This Row],[FROM]]&lt;&gt;"", Table2[[#This Row],[FROM]]=Data!$B$7),1,"")</f>
        <v/>
      </c>
      <c r="R215" s="998" t="str">
        <f>IF(AND(Table2[[#This Row],[LV3 or LV4 MAT NO.]]&lt;&gt;"", Table2[[#This Row],[LV3 or LV4 MAT NO.]]=Data!$B$8),1,"")</f>
        <v/>
      </c>
      <c r="S215" s="998"/>
      <c r="T215" s="998"/>
      <c r="U215" s="804" t="str">
        <f>IF(Table4[[#This Row],[Write "N" To Remove The Default]]="N","",IF(AND(COUNTA(Table2[[#This Row],[SEREAL NO.]:[REMARKS]])=SUM( L215:T215),SUM( L215:T215)&lt;&gt;0),Table2[[#This Row],[Instruction]],""))</f>
        <v/>
      </c>
      <c r="V215" s="804"/>
    </row>
    <row r="216" spans="9:22" x14ac:dyDescent="0.35">
      <c r="I216" s="1000"/>
      <c r="L216" s="998" t="str">
        <f>IF(AND(Table2[[#This Row],[ORDER NO.]]&lt;&gt;"", Table2[[#This Row],[ORDER NO.]]=Data!$B$1),1,"")</f>
        <v/>
      </c>
      <c r="M216" s="998" t="str">
        <f>IFERROR(IF(AND(Table2[[#This Row],[SEREAL NO.]]&lt;&gt;"", Table2[[#This Row],[SEREAL NO.]]=Data!$A$103),1,""),"")</f>
        <v/>
      </c>
      <c r="N216" s="998" t="str">
        <f>IF(AND(Table2[[#This Row],[SIZE]]&lt;&gt;"", Table2[[#This Row],[SIZE]]=Data!$B$3),1,"")</f>
        <v/>
      </c>
      <c r="O216" s="998" t="str">
        <f>IF(AND(Table2[[#This Row],[TYPE]]&lt;&gt;"", Table2[[#This Row],[TYPE]]=Data!$B$4),1,"")</f>
        <v/>
      </c>
      <c r="P216" s="998" t="str">
        <f>IF(AND(Table2[[#This Row],[LV5 MAT NO.]]&lt;&gt;"", Table2[[#This Row],[LV5 MAT NO.]]=Data!$B$5),1,"")</f>
        <v/>
      </c>
      <c r="Q216" s="998" t="str">
        <f>IF(AND(Table2[[#This Row],[FROM]]&lt;&gt;"", Table2[[#This Row],[FROM]]=Data!$B$7),1,"")</f>
        <v/>
      </c>
      <c r="R216" s="998" t="str">
        <f>IF(AND(Table2[[#This Row],[LV3 or LV4 MAT NO.]]&lt;&gt;"", Table2[[#This Row],[LV3 or LV4 MAT NO.]]=Data!$B$8),1,"")</f>
        <v/>
      </c>
      <c r="S216" s="998"/>
      <c r="T216" s="998"/>
      <c r="U216" s="804" t="str">
        <f>IF(Table4[[#This Row],[Write "N" To Remove The Default]]="N","",IF(AND(COUNTA(Table2[[#This Row],[SEREAL NO.]:[REMARKS]])=SUM( L216:T216),SUM( L216:T216)&lt;&gt;0),Table2[[#This Row],[Instruction]],""))</f>
        <v/>
      </c>
      <c r="V216" s="804"/>
    </row>
    <row r="217" spans="9:22" x14ac:dyDescent="0.35">
      <c r="I217" s="1000"/>
      <c r="L217" s="998" t="str">
        <f>IF(AND(Table2[[#This Row],[ORDER NO.]]&lt;&gt;"", Table2[[#This Row],[ORDER NO.]]=Data!$B$1),1,"")</f>
        <v/>
      </c>
      <c r="M217" s="998" t="str">
        <f>IFERROR(IF(AND(Table2[[#This Row],[SEREAL NO.]]&lt;&gt;"", Table2[[#This Row],[SEREAL NO.]]=Data!$A$103),1,""),"")</f>
        <v/>
      </c>
      <c r="N217" s="998" t="str">
        <f>IF(AND(Table2[[#This Row],[SIZE]]&lt;&gt;"", Table2[[#This Row],[SIZE]]=Data!$B$3),1,"")</f>
        <v/>
      </c>
      <c r="O217" s="998" t="str">
        <f>IF(AND(Table2[[#This Row],[TYPE]]&lt;&gt;"", Table2[[#This Row],[TYPE]]=Data!$B$4),1,"")</f>
        <v/>
      </c>
      <c r="P217" s="998" t="str">
        <f>IF(AND(Table2[[#This Row],[LV5 MAT NO.]]&lt;&gt;"", Table2[[#This Row],[LV5 MAT NO.]]=Data!$B$5),1,"")</f>
        <v/>
      </c>
      <c r="Q217" s="998" t="str">
        <f>IF(AND(Table2[[#This Row],[FROM]]&lt;&gt;"", Table2[[#This Row],[FROM]]=Data!$B$7),1,"")</f>
        <v/>
      </c>
      <c r="R217" s="998" t="str">
        <f>IF(AND(Table2[[#This Row],[LV3 or LV4 MAT NO.]]&lt;&gt;"", Table2[[#This Row],[LV3 or LV4 MAT NO.]]=Data!$B$8),1,"")</f>
        <v/>
      </c>
      <c r="S217" s="998"/>
      <c r="T217" s="998"/>
      <c r="U217" s="804" t="str">
        <f>IF(Table4[[#This Row],[Write "N" To Remove The Default]]="N","",IF(AND(COUNTA(Table2[[#This Row],[SEREAL NO.]:[REMARKS]])=SUM( L217:T217),SUM( L217:T217)&lt;&gt;0),Table2[[#This Row],[Instruction]],""))</f>
        <v/>
      </c>
      <c r="V217" s="804"/>
    </row>
    <row r="218" spans="9:22" x14ac:dyDescent="0.35">
      <c r="I218" s="1000"/>
      <c r="L218" s="998" t="str">
        <f>IF(AND(Table2[[#This Row],[ORDER NO.]]&lt;&gt;"", Table2[[#This Row],[ORDER NO.]]=Data!$B$1),1,"")</f>
        <v/>
      </c>
      <c r="M218" s="998" t="str">
        <f>IFERROR(IF(AND(Table2[[#This Row],[SEREAL NO.]]&lt;&gt;"", Table2[[#This Row],[SEREAL NO.]]=Data!$A$103),1,""),"")</f>
        <v/>
      </c>
      <c r="N218" s="998" t="str">
        <f>IF(AND(Table2[[#This Row],[SIZE]]&lt;&gt;"", Table2[[#This Row],[SIZE]]=Data!$B$3),1,"")</f>
        <v/>
      </c>
      <c r="O218" s="998" t="str">
        <f>IF(AND(Table2[[#This Row],[TYPE]]&lt;&gt;"", Table2[[#This Row],[TYPE]]=Data!$B$4),1,"")</f>
        <v/>
      </c>
      <c r="P218" s="998" t="str">
        <f>IF(AND(Table2[[#This Row],[LV5 MAT NO.]]&lt;&gt;"", Table2[[#This Row],[LV5 MAT NO.]]=Data!$B$5),1,"")</f>
        <v/>
      </c>
      <c r="Q218" s="998" t="str">
        <f>IF(AND(Table2[[#This Row],[FROM]]&lt;&gt;"", Table2[[#This Row],[FROM]]=Data!$B$7),1,"")</f>
        <v/>
      </c>
      <c r="R218" s="998" t="str">
        <f>IF(AND(Table2[[#This Row],[LV3 or LV4 MAT NO.]]&lt;&gt;"", Table2[[#This Row],[LV3 or LV4 MAT NO.]]=Data!$B$8),1,"")</f>
        <v/>
      </c>
      <c r="S218" s="998"/>
      <c r="T218" s="998"/>
      <c r="U218" s="804" t="str">
        <f>IF(Table4[[#This Row],[Write "N" To Remove The Default]]="N","",IF(AND(COUNTA(Table2[[#This Row],[SEREAL NO.]:[REMARKS]])=SUM( L218:T218),SUM( L218:T218)&lt;&gt;0),Table2[[#This Row],[Instruction]],""))</f>
        <v/>
      </c>
      <c r="V218" s="804"/>
    </row>
    <row r="219" spans="9:22" x14ac:dyDescent="0.35">
      <c r="I219" s="1000"/>
      <c r="L219" s="998" t="str">
        <f>IF(AND(Table2[[#This Row],[ORDER NO.]]&lt;&gt;"", Table2[[#This Row],[ORDER NO.]]=Data!$B$1),1,"")</f>
        <v/>
      </c>
      <c r="M219" s="998" t="str">
        <f>IFERROR(IF(AND(Table2[[#This Row],[SEREAL NO.]]&lt;&gt;"", Table2[[#This Row],[SEREAL NO.]]=Data!$A$103),1,""),"")</f>
        <v/>
      </c>
      <c r="N219" s="998" t="str">
        <f>IF(AND(Table2[[#This Row],[SIZE]]&lt;&gt;"", Table2[[#This Row],[SIZE]]=Data!$B$3),1,"")</f>
        <v/>
      </c>
      <c r="O219" s="998" t="str">
        <f>IF(AND(Table2[[#This Row],[TYPE]]&lt;&gt;"", Table2[[#This Row],[TYPE]]=Data!$B$4),1,"")</f>
        <v/>
      </c>
      <c r="P219" s="998" t="str">
        <f>IF(AND(Table2[[#This Row],[LV5 MAT NO.]]&lt;&gt;"", Table2[[#This Row],[LV5 MAT NO.]]=Data!$B$5),1,"")</f>
        <v/>
      </c>
      <c r="Q219" s="998" t="str">
        <f>IF(AND(Table2[[#This Row],[FROM]]&lt;&gt;"", Table2[[#This Row],[FROM]]=Data!$B$7),1,"")</f>
        <v/>
      </c>
      <c r="R219" s="998" t="str">
        <f>IF(AND(Table2[[#This Row],[LV3 or LV4 MAT NO.]]&lt;&gt;"", Table2[[#This Row],[LV3 or LV4 MAT NO.]]=Data!$B$8),1,"")</f>
        <v/>
      </c>
      <c r="S219" s="998"/>
      <c r="T219" s="998"/>
      <c r="U219" s="804" t="str">
        <f>IF(Table4[[#This Row],[Write "N" To Remove The Default]]="N","",IF(AND(COUNTA(Table2[[#This Row],[SEREAL NO.]:[REMARKS]])=SUM( L219:T219),SUM( L219:T219)&lt;&gt;0),Table2[[#This Row],[Instruction]],""))</f>
        <v/>
      </c>
      <c r="V219" s="804"/>
    </row>
    <row r="220" spans="9:22" x14ac:dyDescent="0.35">
      <c r="I220" s="1000"/>
      <c r="L220" s="998" t="str">
        <f>IF(AND(Table2[[#This Row],[ORDER NO.]]&lt;&gt;"", Table2[[#This Row],[ORDER NO.]]=Data!$B$1),1,"")</f>
        <v/>
      </c>
      <c r="M220" s="998" t="str">
        <f>IFERROR(IF(AND(Table2[[#This Row],[SEREAL NO.]]&lt;&gt;"", Table2[[#This Row],[SEREAL NO.]]=Data!$A$103),1,""),"")</f>
        <v/>
      </c>
      <c r="N220" s="998" t="str">
        <f>IF(AND(Table2[[#This Row],[SIZE]]&lt;&gt;"", Table2[[#This Row],[SIZE]]=Data!$B$3),1,"")</f>
        <v/>
      </c>
      <c r="O220" s="998" t="str">
        <f>IF(AND(Table2[[#This Row],[TYPE]]&lt;&gt;"", Table2[[#This Row],[TYPE]]=Data!$B$4),1,"")</f>
        <v/>
      </c>
      <c r="P220" s="998" t="str">
        <f>IF(AND(Table2[[#This Row],[LV5 MAT NO.]]&lt;&gt;"", Table2[[#This Row],[LV5 MAT NO.]]=Data!$B$5),1,"")</f>
        <v/>
      </c>
      <c r="Q220" s="998" t="str">
        <f>IF(AND(Table2[[#This Row],[FROM]]&lt;&gt;"", Table2[[#This Row],[FROM]]=Data!$B$7),1,"")</f>
        <v/>
      </c>
      <c r="R220" s="998" t="str">
        <f>IF(AND(Table2[[#This Row],[LV3 or LV4 MAT NO.]]&lt;&gt;"", Table2[[#This Row],[LV3 or LV4 MAT NO.]]=Data!$B$8),1,"")</f>
        <v/>
      </c>
      <c r="S220" s="998"/>
      <c r="T220" s="998"/>
      <c r="U220" s="804" t="str">
        <f>IF(Table4[[#This Row],[Write "N" To Remove The Default]]="N","",IF(AND(COUNTA(Table2[[#This Row],[SEREAL NO.]:[REMARKS]])=SUM( L220:T220),SUM( L220:T220)&lt;&gt;0),Table2[[#This Row],[Instruction]],""))</f>
        <v/>
      </c>
      <c r="V220" s="804"/>
    </row>
    <row r="221" spans="9:22" x14ac:dyDescent="0.35">
      <c r="I221" s="1000"/>
      <c r="L221" s="998" t="str">
        <f>IF(AND(Table2[[#This Row],[ORDER NO.]]&lt;&gt;"", Table2[[#This Row],[ORDER NO.]]=Data!$B$1),1,"")</f>
        <v/>
      </c>
      <c r="M221" s="998" t="str">
        <f>IFERROR(IF(AND(Table2[[#This Row],[SEREAL NO.]]&lt;&gt;"", Table2[[#This Row],[SEREAL NO.]]=Data!$A$103),1,""),"")</f>
        <v/>
      </c>
      <c r="N221" s="998" t="str">
        <f>IF(AND(Table2[[#This Row],[SIZE]]&lt;&gt;"", Table2[[#This Row],[SIZE]]=Data!$B$3),1,"")</f>
        <v/>
      </c>
      <c r="O221" s="998" t="str">
        <f>IF(AND(Table2[[#This Row],[TYPE]]&lt;&gt;"", Table2[[#This Row],[TYPE]]=Data!$B$4),1,"")</f>
        <v/>
      </c>
      <c r="P221" s="998" t="str">
        <f>IF(AND(Table2[[#This Row],[LV5 MAT NO.]]&lt;&gt;"", Table2[[#This Row],[LV5 MAT NO.]]=Data!$B$5),1,"")</f>
        <v/>
      </c>
      <c r="Q221" s="998" t="str">
        <f>IF(AND(Table2[[#This Row],[FROM]]&lt;&gt;"", Table2[[#This Row],[FROM]]=Data!$B$7),1,"")</f>
        <v/>
      </c>
      <c r="R221" s="998" t="str">
        <f>IF(AND(Table2[[#This Row],[LV3 or LV4 MAT NO.]]&lt;&gt;"", Table2[[#This Row],[LV3 or LV4 MAT NO.]]=Data!$B$8),1,"")</f>
        <v/>
      </c>
      <c r="S221" s="998"/>
      <c r="T221" s="998"/>
      <c r="U221" s="804" t="str">
        <f>IF(Table4[[#This Row],[Write "N" To Remove The Default]]="N","",IF(AND(COUNTA(Table2[[#This Row],[SEREAL NO.]:[REMARKS]])=SUM( L221:T221),SUM( L221:T221)&lt;&gt;0),Table2[[#This Row],[Instruction]],""))</f>
        <v/>
      </c>
      <c r="V221" s="804"/>
    </row>
    <row r="222" spans="9:22" x14ac:dyDescent="0.35">
      <c r="I222" s="1000"/>
      <c r="L222" s="998" t="str">
        <f>IF(AND(Table2[[#This Row],[ORDER NO.]]&lt;&gt;"", Table2[[#This Row],[ORDER NO.]]=Data!$B$1),1,"")</f>
        <v/>
      </c>
      <c r="M222" s="998" t="str">
        <f>IFERROR(IF(AND(Table2[[#This Row],[SEREAL NO.]]&lt;&gt;"", Table2[[#This Row],[SEREAL NO.]]=Data!$A$103),1,""),"")</f>
        <v/>
      </c>
      <c r="N222" s="998" t="str">
        <f>IF(AND(Table2[[#This Row],[SIZE]]&lt;&gt;"", Table2[[#This Row],[SIZE]]=Data!$B$3),1,"")</f>
        <v/>
      </c>
      <c r="O222" s="998" t="str">
        <f>IF(AND(Table2[[#This Row],[TYPE]]&lt;&gt;"", Table2[[#This Row],[TYPE]]=Data!$B$4),1,"")</f>
        <v/>
      </c>
      <c r="P222" s="998" t="str">
        <f>IF(AND(Table2[[#This Row],[LV5 MAT NO.]]&lt;&gt;"", Table2[[#This Row],[LV5 MAT NO.]]=Data!$B$5),1,"")</f>
        <v/>
      </c>
      <c r="Q222" s="998" t="str">
        <f>IF(AND(Table2[[#This Row],[FROM]]&lt;&gt;"", Table2[[#This Row],[FROM]]=Data!$B$7),1,"")</f>
        <v/>
      </c>
      <c r="R222" s="998" t="str">
        <f>IF(AND(Table2[[#This Row],[LV3 or LV4 MAT NO.]]&lt;&gt;"", Table2[[#This Row],[LV3 or LV4 MAT NO.]]=Data!$B$8),1,"")</f>
        <v/>
      </c>
      <c r="S222" s="998"/>
      <c r="T222" s="998"/>
      <c r="U222" s="804" t="str">
        <f>IF(Table4[[#This Row],[Write "N" To Remove The Default]]="N","",IF(AND(COUNTA(Table2[[#This Row],[SEREAL NO.]:[REMARKS]])=SUM( L222:T222),SUM( L222:T222)&lt;&gt;0),Table2[[#This Row],[Instruction]],""))</f>
        <v/>
      </c>
      <c r="V222" s="804"/>
    </row>
    <row r="223" spans="9:22" x14ac:dyDescent="0.35">
      <c r="I223" s="1000"/>
      <c r="L223" s="998" t="str">
        <f>IF(AND(Table2[[#This Row],[ORDER NO.]]&lt;&gt;"", Table2[[#This Row],[ORDER NO.]]=Data!$B$1),1,"")</f>
        <v/>
      </c>
      <c r="M223" s="998" t="str">
        <f>IFERROR(IF(AND(Table2[[#This Row],[SEREAL NO.]]&lt;&gt;"", Table2[[#This Row],[SEREAL NO.]]=Data!$A$103),1,""),"")</f>
        <v/>
      </c>
      <c r="N223" s="998" t="str">
        <f>IF(AND(Table2[[#This Row],[SIZE]]&lt;&gt;"", Table2[[#This Row],[SIZE]]=Data!$B$3),1,"")</f>
        <v/>
      </c>
      <c r="O223" s="998" t="str">
        <f>IF(AND(Table2[[#This Row],[TYPE]]&lt;&gt;"", Table2[[#This Row],[TYPE]]=Data!$B$4),1,"")</f>
        <v/>
      </c>
      <c r="P223" s="998" t="str">
        <f>IF(AND(Table2[[#This Row],[LV5 MAT NO.]]&lt;&gt;"", Table2[[#This Row],[LV5 MAT NO.]]=Data!$B$5),1,"")</f>
        <v/>
      </c>
      <c r="Q223" s="998" t="str">
        <f>IF(AND(Table2[[#This Row],[FROM]]&lt;&gt;"", Table2[[#This Row],[FROM]]=Data!$B$7),1,"")</f>
        <v/>
      </c>
      <c r="R223" s="998" t="str">
        <f>IF(AND(Table2[[#This Row],[LV3 or LV4 MAT NO.]]&lt;&gt;"", Table2[[#This Row],[LV3 or LV4 MAT NO.]]=Data!$B$8),1,"")</f>
        <v/>
      </c>
      <c r="S223" s="998"/>
      <c r="T223" s="998"/>
      <c r="U223" s="804" t="str">
        <f>IF(Table4[[#This Row],[Write "N" To Remove The Default]]="N","",IF(AND(COUNTA(Table2[[#This Row],[SEREAL NO.]:[REMARKS]])=SUM( L223:T223),SUM( L223:T223)&lt;&gt;0),Table2[[#This Row],[Instruction]],""))</f>
        <v/>
      </c>
      <c r="V223" s="804"/>
    </row>
    <row r="224" spans="9:22" x14ac:dyDescent="0.35">
      <c r="I224" s="1000"/>
      <c r="L224" s="998" t="str">
        <f>IF(AND(Table2[[#This Row],[ORDER NO.]]&lt;&gt;"", Table2[[#This Row],[ORDER NO.]]=Data!$B$1),1,"")</f>
        <v/>
      </c>
      <c r="M224" s="998" t="str">
        <f>IFERROR(IF(AND(Table2[[#This Row],[SEREAL NO.]]&lt;&gt;"", Table2[[#This Row],[SEREAL NO.]]=Data!$A$103),1,""),"")</f>
        <v/>
      </c>
      <c r="N224" s="998" t="str">
        <f>IF(AND(Table2[[#This Row],[SIZE]]&lt;&gt;"", Table2[[#This Row],[SIZE]]=Data!$B$3),1,"")</f>
        <v/>
      </c>
      <c r="O224" s="998" t="str">
        <f>IF(AND(Table2[[#This Row],[TYPE]]&lt;&gt;"", Table2[[#This Row],[TYPE]]=Data!$B$4),1,"")</f>
        <v/>
      </c>
      <c r="P224" s="998" t="str">
        <f>IF(AND(Table2[[#This Row],[LV5 MAT NO.]]&lt;&gt;"", Table2[[#This Row],[LV5 MAT NO.]]=Data!$B$5),1,"")</f>
        <v/>
      </c>
      <c r="Q224" s="998" t="str">
        <f>IF(AND(Table2[[#This Row],[FROM]]&lt;&gt;"", Table2[[#This Row],[FROM]]=Data!$B$7),1,"")</f>
        <v/>
      </c>
      <c r="R224" s="998" t="str">
        <f>IF(AND(Table2[[#This Row],[LV3 or LV4 MAT NO.]]&lt;&gt;"", Table2[[#This Row],[LV3 or LV4 MAT NO.]]=Data!$B$8),1,"")</f>
        <v/>
      </c>
      <c r="S224" s="998"/>
      <c r="T224" s="998"/>
      <c r="U224" s="804" t="str">
        <f>IF(Table4[[#This Row],[Write "N" To Remove The Default]]="N","",IF(AND(COUNTA(Table2[[#This Row],[SEREAL NO.]:[REMARKS]])=SUM( L224:T224),SUM( L224:T224)&lt;&gt;0),Table2[[#This Row],[Instruction]],""))</f>
        <v/>
      </c>
      <c r="V224" s="804"/>
    </row>
    <row r="225" spans="9:22" x14ac:dyDescent="0.35">
      <c r="I225" s="1000"/>
      <c r="L225" s="998" t="str">
        <f>IF(AND(Table2[[#This Row],[ORDER NO.]]&lt;&gt;"", Table2[[#This Row],[ORDER NO.]]=Data!$B$1),1,"")</f>
        <v/>
      </c>
      <c r="M225" s="998" t="str">
        <f>IFERROR(IF(AND(Table2[[#This Row],[SEREAL NO.]]&lt;&gt;"", Table2[[#This Row],[SEREAL NO.]]=Data!$A$103),1,""),"")</f>
        <v/>
      </c>
      <c r="N225" s="998" t="str">
        <f>IF(AND(Table2[[#This Row],[SIZE]]&lt;&gt;"", Table2[[#This Row],[SIZE]]=Data!$B$3),1,"")</f>
        <v/>
      </c>
      <c r="O225" s="998" t="str">
        <f>IF(AND(Table2[[#This Row],[TYPE]]&lt;&gt;"", Table2[[#This Row],[TYPE]]=Data!$B$4),1,"")</f>
        <v/>
      </c>
      <c r="P225" s="998" t="str">
        <f>IF(AND(Table2[[#This Row],[LV5 MAT NO.]]&lt;&gt;"", Table2[[#This Row],[LV5 MAT NO.]]=Data!$B$5),1,"")</f>
        <v/>
      </c>
      <c r="Q225" s="998" t="str">
        <f>IF(AND(Table2[[#This Row],[FROM]]&lt;&gt;"", Table2[[#This Row],[FROM]]=Data!$B$7),1,"")</f>
        <v/>
      </c>
      <c r="R225" s="998" t="str">
        <f>IF(AND(Table2[[#This Row],[LV3 or LV4 MAT NO.]]&lt;&gt;"", Table2[[#This Row],[LV3 or LV4 MAT NO.]]=Data!$B$8),1,"")</f>
        <v/>
      </c>
      <c r="S225" s="998"/>
      <c r="T225" s="998"/>
      <c r="U225" s="804" t="str">
        <f>IF(Table4[[#This Row],[Write "N" To Remove The Default]]="N","",IF(AND(COUNTA(Table2[[#This Row],[SEREAL NO.]:[REMARKS]])=SUM( L225:T225),SUM( L225:T225)&lt;&gt;0),Table2[[#This Row],[Instruction]],""))</f>
        <v/>
      </c>
      <c r="V225" s="804"/>
    </row>
    <row r="226" spans="9:22" x14ac:dyDescent="0.35">
      <c r="I226" s="1000"/>
      <c r="L226" s="998" t="str">
        <f>IF(AND(Table2[[#This Row],[ORDER NO.]]&lt;&gt;"", Table2[[#This Row],[ORDER NO.]]=Data!$B$1),1,"")</f>
        <v/>
      </c>
      <c r="M226" s="998" t="str">
        <f>IFERROR(IF(AND(Table2[[#This Row],[SEREAL NO.]]&lt;&gt;"", Table2[[#This Row],[SEREAL NO.]]=Data!$A$103),1,""),"")</f>
        <v/>
      </c>
      <c r="N226" s="998" t="str">
        <f>IF(AND(Table2[[#This Row],[SIZE]]&lt;&gt;"", Table2[[#This Row],[SIZE]]=Data!$B$3),1,"")</f>
        <v/>
      </c>
      <c r="O226" s="998" t="str">
        <f>IF(AND(Table2[[#This Row],[TYPE]]&lt;&gt;"", Table2[[#This Row],[TYPE]]=Data!$B$4),1,"")</f>
        <v/>
      </c>
      <c r="P226" s="998" t="str">
        <f>IF(AND(Table2[[#This Row],[LV5 MAT NO.]]&lt;&gt;"", Table2[[#This Row],[LV5 MAT NO.]]=Data!$B$5),1,"")</f>
        <v/>
      </c>
      <c r="Q226" s="998" t="str">
        <f>IF(AND(Table2[[#This Row],[FROM]]&lt;&gt;"", Table2[[#This Row],[FROM]]=Data!$B$7),1,"")</f>
        <v/>
      </c>
      <c r="R226" s="998" t="str">
        <f>IF(AND(Table2[[#This Row],[LV3 or LV4 MAT NO.]]&lt;&gt;"", Table2[[#This Row],[LV3 or LV4 MAT NO.]]=Data!$B$8),1,"")</f>
        <v/>
      </c>
      <c r="S226" s="998"/>
      <c r="T226" s="998"/>
      <c r="U226" s="804" t="str">
        <f>IF(Table4[[#This Row],[Write "N" To Remove The Default]]="N","",IF(AND(COUNTA(Table2[[#This Row],[SEREAL NO.]:[REMARKS]])=SUM( L226:T226),SUM( L226:T226)&lt;&gt;0),Table2[[#This Row],[Instruction]],""))</f>
        <v/>
      </c>
      <c r="V226" s="804"/>
    </row>
    <row r="227" spans="9:22" x14ac:dyDescent="0.35">
      <c r="I227" s="1000"/>
      <c r="L227" s="998" t="str">
        <f>IF(AND(Table2[[#This Row],[ORDER NO.]]&lt;&gt;"", Table2[[#This Row],[ORDER NO.]]=Data!$B$1),1,"")</f>
        <v/>
      </c>
      <c r="M227" s="998" t="str">
        <f>IFERROR(IF(AND(Table2[[#This Row],[SEREAL NO.]]&lt;&gt;"", Table2[[#This Row],[SEREAL NO.]]=Data!$A$103),1,""),"")</f>
        <v/>
      </c>
      <c r="N227" s="998" t="str">
        <f>IF(AND(Table2[[#This Row],[SIZE]]&lt;&gt;"", Table2[[#This Row],[SIZE]]=Data!$B$3),1,"")</f>
        <v/>
      </c>
      <c r="O227" s="998" t="str">
        <f>IF(AND(Table2[[#This Row],[TYPE]]&lt;&gt;"", Table2[[#This Row],[TYPE]]=Data!$B$4),1,"")</f>
        <v/>
      </c>
      <c r="P227" s="998" t="str">
        <f>IF(AND(Table2[[#This Row],[LV5 MAT NO.]]&lt;&gt;"", Table2[[#This Row],[LV5 MAT NO.]]=Data!$B$5),1,"")</f>
        <v/>
      </c>
      <c r="Q227" s="998" t="str">
        <f>IF(AND(Table2[[#This Row],[FROM]]&lt;&gt;"", Table2[[#This Row],[FROM]]=Data!$B$7),1,"")</f>
        <v/>
      </c>
      <c r="R227" s="998" t="str">
        <f>IF(AND(Table2[[#This Row],[LV3 or LV4 MAT NO.]]&lt;&gt;"", Table2[[#This Row],[LV3 or LV4 MAT NO.]]=Data!$B$8),1,"")</f>
        <v/>
      </c>
      <c r="S227" s="998"/>
      <c r="T227" s="998"/>
      <c r="U227" s="804" t="str">
        <f>IF(Table4[[#This Row],[Write "N" To Remove The Default]]="N","",IF(AND(COUNTA(Table2[[#This Row],[SEREAL NO.]:[REMARKS]])=SUM( L227:T227),SUM( L227:T227)&lt;&gt;0),Table2[[#This Row],[Instruction]],""))</f>
        <v/>
      </c>
      <c r="V227" s="804"/>
    </row>
    <row r="228" spans="9:22" x14ac:dyDescent="0.35">
      <c r="I228" s="1000"/>
      <c r="L228" s="998" t="str">
        <f>IF(AND(Table2[[#This Row],[ORDER NO.]]&lt;&gt;"", Table2[[#This Row],[ORDER NO.]]=Data!$B$1),1,"")</f>
        <v/>
      </c>
      <c r="M228" s="998" t="str">
        <f>IFERROR(IF(AND(Table2[[#This Row],[SEREAL NO.]]&lt;&gt;"", Table2[[#This Row],[SEREAL NO.]]=Data!$A$103),1,""),"")</f>
        <v/>
      </c>
      <c r="N228" s="998" t="str">
        <f>IF(AND(Table2[[#This Row],[SIZE]]&lt;&gt;"", Table2[[#This Row],[SIZE]]=Data!$B$3),1,"")</f>
        <v/>
      </c>
      <c r="O228" s="998" t="str">
        <f>IF(AND(Table2[[#This Row],[TYPE]]&lt;&gt;"", Table2[[#This Row],[TYPE]]=Data!$B$4),1,"")</f>
        <v/>
      </c>
      <c r="P228" s="998" t="str">
        <f>IF(AND(Table2[[#This Row],[LV5 MAT NO.]]&lt;&gt;"", Table2[[#This Row],[LV5 MAT NO.]]=Data!$B$5),1,"")</f>
        <v/>
      </c>
      <c r="Q228" s="998" t="str">
        <f>IF(AND(Table2[[#This Row],[FROM]]&lt;&gt;"", Table2[[#This Row],[FROM]]=Data!$B$7),1,"")</f>
        <v/>
      </c>
      <c r="R228" s="998" t="str">
        <f>IF(AND(Table2[[#This Row],[LV3 or LV4 MAT NO.]]&lt;&gt;"", Table2[[#This Row],[LV3 or LV4 MAT NO.]]=Data!$B$8),1,"")</f>
        <v/>
      </c>
      <c r="S228" s="998"/>
      <c r="T228" s="998"/>
      <c r="U228" s="804" t="str">
        <f>IF(Table4[[#This Row],[Write "N" To Remove The Default]]="N","",IF(AND(COUNTA(Table2[[#This Row],[SEREAL NO.]:[REMARKS]])=SUM( L228:T228),SUM( L228:T228)&lt;&gt;0),Table2[[#This Row],[Instruction]],""))</f>
        <v/>
      </c>
      <c r="V228" s="804"/>
    </row>
    <row r="229" spans="9:22" x14ac:dyDescent="0.35">
      <c r="I229" s="1000"/>
      <c r="L229" s="998" t="str">
        <f>IF(AND(Table2[[#This Row],[ORDER NO.]]&lt;&gt;"", Table2[[#This Row],[ORDER NO.]]=Data!$B$1),1,"")</f>
        <v/>
      </c>
      <c r="M229" s="998" t="str">
        <f>IFERROR(IF(AND(Table2[[#This Row],[SEREAL NO.]]&lt;&gt;"", Table2[[#This Row],[SEREAL NO.]]=Data!$A$103),1,""),"")</f>
        <v/>
      </c>
      <c r="N229" s="998" t="str">
        <f>IF(AND(Table2[[#This Row],[SIZE]]&lt;&gt;"", Table2[[#This Row],[SIZE]]=Data!$B$3),1,"")</f>
        <v/>
      </c>
      <c r="O229" s="998" t="str">
        <f>IF(AND(Table2[[#This Row],[TYPE]]&lt;&gt;"", Table2[[#This Row],[TYPE]]=Data!$B$4),1,"")</f>
        <v/>
      </c>
      <c r="P229" s="998" t="str">
        <f>IF(AND(Table2[[#This Row],[LV5 MAT NO.]]&lt;&gt;"", Table2[[#This Row],[LV5 MAT NO.]]=Data!$B$5),1,"")</f>
        <v/>
      </c>
      <c r="Q229" s="998" t="str">
        <f>IF(AND(Table2[[#This Row],[FROM]]&lt;&gt;"", Table2[[#This Row],[FROM]]=Data!$B$7),1,"")</f>
        <v/>
      </c>
      <c r="R229" s="998" t="str">
        <f>IF(AND(Table2[[#This Row],[LV3 or LV4 MAT NO.]]&lt;&gt;"", Table2[[#This Row],[LV3 or LV4 MAT NO.]]=Data!$B$8),1,"")</f>
        <v/>
      </c>
      <c r="S229" s="998"/>
      <c r="T229" s="998"/>
      <c r="U229" s="804" t="str">
        <f>IF(Table4[[#This Row],[Write "N" To Remove The Default]]="N","",IF(AND(COUNTA(Table2[[#This Row],[SEREAL NO.]:[REMARKS]])=SUM( L229:T229),SUM( L229:T229)&lt;&gt;0),Table2[[#This Row],[Instruction]],""))</f>
        <v/>
      </c>
      <c r="V229" s="804"/>
    </row>
    <row r="230" spans="9:22" x14ac:dyDescent="0.35">
      <c r="I230" s="1000"/>
      <c r="L230" s="998" t="str">
        <f>IF(AND(Table2[[#This Row],[ORDER NO.]]&lt;&gt;"", Table2[[#This Row],[ORDER NO.]]=Data!$B$1),1,"")</f>
        <v/>
      </c>
      <c r="M230" s="998" t="str">
        <f>IFERROR(IF(AND(Table2[[#This Row],[SEREAL NO.]]&lt;&gt;"", Table2[[#This Row],[SEREAL NO.]]=Data!$A$103),1,""),"")</f>
        <v/>
      </c>
      <c r="N230" s="998" t="str">
        <f>IF(AND(Table2[[#This Row],[SIZE]]&lt;&gt;"", Table2[[#This Row],[SIZE]]=Data!$B$3),1,"")</f>
        <v/>
      </c>
      <c r="O230" s="998" t="str">
        <f>IF(AND(Table2[[#This Row],[TYPE]]&lt;&gt;"", Table2[[#This Row],[TYPE]]=Data!$B$4),1,"")</f>
        <v/>
      </c>
      <c r="P230" s="998" t="str">
        <f>IF(AND(Table2[[#This Row],[LV5 MAT NO.]]&lt;&gt;"", Table2[[#This Row],[LV5 MAT NO.]]=Data!$B$5),1,"")</f>
        <v/>
      </c>
      <c r="Q230" s="998" t="str">
        <f>IF(AND(Table2[[#This Row],[FROM]]&lt;&gt;"", Table2[[#This Row],[FROM]]=Data!$B$7),1,"")</f>
        <v/>
      </c>
      <c r="R230" s="998" t="str">
        <f>IF(AND(Table2[[#This Row],[LV3 or LV4 MAT NO.]]&lt;&gt;"", Table2[[#This Row],[LV3 or LV4 MAT NO.]]=Data!$B$8),1,"")</f>
        <v/>
      </c>
      <c r="S230" s="998"/>
      <c r="T230" s="998"/>
      <c r="U230" s="804" t="str">
        <f>IF(Table4[[#This Row],[Write "N" To Remove The Default]]="N","",IF(AND(COUNTA(Table2[[#This Row],[SEREAL NO.]:[REMARKS]])=SUM( L230:T230),SUM( L230:T230)&lt;&gt;0),Table2[[#This Row],[Instruction]],""))</f>
        <v/>
      </c>
      <c r="V230" s="804"/>
    </row>
    <row r="231" spans="9:22" x14ac:dyDescent="0.35">
      <c r="I231" s="1000"/>
      <c r="L231" s="998" t="str">
        <f>IF(AND(Table2[[#This Row],[ORDER NO.]]&lt;&gt;"", Table2[[#This Row],[ORDER NO.]]=Data!$B$1),1,"")</f>
        <v/>
      </c>
      <c r="M231" s="998" t="str">
        <f>IFERROR(IF(AND(Table2[[#This Row],[SEREAL NO.]]&lt;&gt;"", Table2[[#This Row],[SEREAL NO.]]=Data!$A$103),1,""),"")</f>
        <v/>
      </c>
      <c r="N231" s="998" t="str">
        <f>IF(AND(Table2[[#This Row],[SIZE]]&lt;&gt;"", Table2[[#This Row],[SIZE]]=Data!$B$3),1,"")</f>
        <v/>
      </c>
      <c r="O231" s="998" t="str">
        <f>IF(AND(Table2[[#This Row],[TYPE]]&lt;&gt;"", Table2[[#This Row],[TYPE]]=Data!$B$4),1,"")</f>
        <v/>
      </c>
      <c r="P231" s="998" t="str">
        <f>IF(AND(Table2[[#This Row],[LV5 MAT NO.]]&lt;&gt;"", Table2[[#This Row],[LV5 MAT NO.]]=Data!$B$5),1,"")</f>
        <v/>
      </c>
      <c r="Q231" s="998" t="str">
        <f>IF(AND(Table2[[#This Row],[FROM]]&lt;&gt;"", Table2[[#This Row],[FROM]]=Data!$B$7),1,"")</f>
        <v/>
      </c>
      <c r="R231" s="998" t="str">
        <f>IF(AND(Table2[[#This Row],[LV3 or LV4 MAT NO.]]&lt;&gt;"", Table2[[#This Row],[LV3 or LV4 MAT NO.]]=Data!$B$8),1,"")</f>
        <v/>
      </c>
      <c r="S231" s="998"/>
      <c r="T231" s="998"/>
      <c r="U231" s="804" t="str">
        <f>IF(Table4[[#This Row],[Write "N" To Remove The Default]]="N","",IF(AND(COUNTA(Table2[[#This Row],[SEREAL NO.]:[REMARKS]])=SUM( L231:T231),SUM( L231:T231)&lt;&gt;0),Table2[[#This Row],[Instruction]],""))</f>
        <v/>
      </c>
      <c r="V231" s="804"/>
    </row>
    <row r="232" spans="9:22" x14ac:dyDescent="0.35">
      <c r="I232" s="1000"/>
      <c r="L232" s="998" t="str">
        <f>IF(AND(Table2[[#This Row],[ORDER NO.]]&lt;&gt;"", Table2[[#This Row],[ORDER NO.]]=Data!$B$1),1,"")</f>
        <v/>
      </c>
      <c r="M232" s="998" t="str">
        <f>IFERROR(IF(AND(Table2[[#This Row],[SEREAL NO.]]&lt;&gt;"", Table2[[#This Row],[SEREAL NO.]]=Data!$A$103),1,""),"")</f>
        <v/>
      </c>
      <c r="N232" s="998" t="str">
        <f>IF(AND(Table2[[#This Row],[SIZE]]&lt;&gt;"", Table2[[#This Row],[SIZE]]=Data!$B$3),1,"")</f>
        <v/>
      </c>
      <c r="O232" s="998" t="str">
        <f>IF(AND(Table2[[#This Row],[TYPE]]&lt;&gt;"", Table2[[#This Row],[TYPE]]=Data!$B$4),1,"")</f>
        <v/>
      </c>
      <c r="P232" s="998" t="str">
        <f>IF(AND(Table2[[#This Row],[LV5 MAT NO.]]&lt;&gt;"", Table2[[#This Row],[LV5 MAT NO.]]=Data!$B$5),1,"")</f>
        <v/>
      </c>
      <c r="Q232" s="998" t="str">
        <f>IF(AND(Table2[[#This Row],[FROM]]&lt;&gt;"", Table2[[#This Row],[FROM]]=Data!$B$7),1,"")</f>
        <v/>
      </c>
      <c r="R232" s="998" t="str">
        <f>IF(AND(Table2[[#This Row],[LV3 or LV4 MAT NO.]]&lt;&gt;"", Table2[[#This Row],[LV3 or LV4 MAT NO.]]=Data!$B$8),1,"")</f>
        <v/>
      </c>
      <c r="S232" s="998"/>
      <c r="T232" s="998"/>
      <c r="U232" s="804" t="str">
        <f>IF(Table4[[#This Row],[Write "N" To Remove The Default]]="N","",IF(AND(COUNTA(Table2[[#This Row],[SEREAL NO.]:[REMARKS]])=SUM( L232:T232),SUM( L232:T232)&lt;&gt;0),Table2[[#This Row],[Instruction]],""))</f>
        <v/>
      </c>
      <c r="V232" s="804"/>
    </row>
    <row r="233" spans="9:22" x14ac:dyDescent="0.35">
      <c r="I233" s="1000"/>
      <c r="L233" s="998" t="str">
        <f>IF(AND(Table2[[#This Row],[ORDER NO.]]&lt;&gt;"", Table2[[#This Row],[ORDER NO.]]=Data!$B$1),1,"")</f>
        <v/>
      </c>
      <c r="M233" s="998" t="str">
        <f>IFERROR(IF(AND(Table2[[#This Row],[SEREAL NO.]]&lt;&gt;"", Table2[[#This Row],[SEREAL NO.]]=Data!$A$103),1,""),"")</f>
        <v/>
      </c>
      <c r="N233" s="998" t="str">
        <f>IF(AND(Table2[[#This Row],[SIZE]]&lt;&gt;"", Table2[[#This Row],[SIZE]]=Data!$B$3),1,"")</f>
        <v/>
      </c>
      <c r="O233" s="998" t="str">
        <f>IF(AND(Table2[[#This Row],[TYPE]]&lt;&gt;"", Table2[[#This Row],[TYPE]]=Data!$B$4),1,"")</f>
        <v/>
      </c>
      <c r="P233" s="998" t="str">
        <f>IF(AND(Table2[[#This Row],[LV5 MAT NO.]]&lt;&gt;"", Table2[[#This Row],[LV5 MAT NO.]]=Data!$B$5),1,"")</f>
        <v/>
      </c>
      <c r="Q233" s="998" t="str">
        <f>IF(AND(Table2[[#This Row],[FROM]]&lt;&gt;"", Table2[[#This Row],[FROM]]=Data!$B$7),1,"")</f>
        <v/>
      </c>
      <c r="R233" s="998" t="str">
        <f>IF(AND(Table2[[#This Row],[LV3 or LV4 MAT NO.]]&lt;&gt;"", Table2[[#This Row],[LV3 or LV4 MAT NO.]]=Data!$B$8),1,"")</f>
        <v/>
      </c>
      <c r="S233" s="998"/>
      <c r="T233" s="998"/>
      <c r="U233" s="804" t="str">
        <f>IF(Table4[[#This Row],[Write "N" To Remove The Default]]="N","",IF(AND(COUNTA(Table2[[#This Row],[SEREAL NO.]:[REMARKS]])=SUM( L233:T233),SUM( L233:T233)&lt;&gt;0),Table2[[#This Row],[Instruction]],""))</f>
        <v/>
      </c>
      <c r="V233" s="804"/>
    </row>
    <row r="234" spans="9:22" x14ac:dyDescent="0.35">
      <c r="I234" s="1000"/>
      <c r="L234" s="998" t="str">
        <f>IF(AND(Table2[[#This Row],[ORDER NO.]]&lt;&gt;"", Table2[[#This Row],[ORDER NO.]]=Data!$B$1),1,"")</f>
        <v/>
      </c>
      <c r="M234" s="998" t="str">
        <f>IFERROR(IF(AND(Table2[[#This Row],[SEREAL NO.]]&lt;&gt;"", Table2[[#This Row],[SEREAL NO.]]=Data!$A$103),1,""),"")</f>
        <v/>
      </c>
      <c r="N234" s="998" t="str">
        <f>IF(AND(Table2[[#This Row],[SIZE]]&lt;&gt;"", Table2[[#This Row],[SIZE]]=Data!$B$3),1,"")</f>
        <v/>
      </c>
      <c r="O234" s="998" t="str">
        <f>IF(AND(Table2[[#This Row],[TYPE]]&lt;&gt;"", Table2[[#This Row],[TYPE]]=Data!$B$4),1,"")</f>
        <v/>
      </c>
      <c r="P234" s="998" t="str">
        <f>IF(AND(Table2[[#This Row],[LV5 MAT NO.]]&lt;&gt;"", Table2[[#This Row],[LV5 MAT NO.]]=Data!$B$5),1,"")</f>
        <v/>
      </c>
      <c r="Q234" s="998" t="str">
        <f>IF(AND(Table2[[#This Row],[FROM]]&lt;&gt;"", Table2[[#This Row],[FROM]]=Data!$B$7),1,"")</f>
        <v/>
      </c>
      <c r="R234" s="998" t="str">
        <f>IF(AND(Table2[[#This Row],[LV3 or LV4 MAT NO.]]&lt;&gt;"", Table2[[#This Row],[LV3 or LV4 MAT NO.]]=Data!$B$8),1,"")</f>
        <v/>
      </c>
      <c r="S234" s="998"/>
      <c r="T234" s="998"/>
      <c r="U234" s="804" t="str">
        <f>IF(Table4[[#This Row],[Write "N" To Remove The Default]]="N","",IF(AND(COUNTA(Table2[[#This Row],[SEREAL NO.]:[REMARKS]])=SUM( L234:T234),SUM( L234:T234)&lt;&gt;0),Table2[[#This Row],[Instruction]],""))</f>
        <v/>
      </c>
      <c r="V234" s="804"/>
    </row>
    <row r="235" spans="9:22" x14ac:dyDescent="0.35">
      <c r="I235" s="1000"/>
      <c r="L235" s="998" t="str">
        <f>IF(AND(Table2[[#This Row],[ORDER NO.]]&lt;&gt;"", Table2[[#This Row],[ORDER NO.]]=Data!$B$1),1,"")</f>
        <v/>
      </c>
      <c r="M235" s="998" t="str">
        <f>IFERROR(IF(AND(Table2[[#This Row],[SEREAL NO.]]&lt;&gt;"", Table2[[#This Row],[SEREAL NO.]]=Data!$A$103),1,""),"")</f>
        <v/>
      </c>
      <c r="N235" s="998" t="str">
        <f>IF(AND(Table2[[#This Row],[SIZE]]&lt;&gt;"", Table2[[#This Row],[SIZE]]=Data!$B$3),1,"")</f>
        <v/>
      </c>
      <c r="O235" s="998" t="str">
        <f>IF(AND(Table2[[#This Row],[TYPE]]&lt;&gt;"", Table2[[#This Row],[TYPE]]=Data!$B$4),1,"")</f>
        <v/>
      </c>
      <c r="P235" s="998" t="str">
        <f>IF(AND(Table2[[#This Row],[LV5 MAT NO.]]&lt;&gt;"", Table2[[#This Row],[LV5 MAT NO.]]=Data!$B$5),1,"")</f>
        <v/>
      </c>
      <c r="Q235" s="998" t="str">
        <f>IF(AND(Table2[[#This Row],[FROM]]&lt;&gt;"", Table2[[#This Row],[FROM]]=Data!$B$7),1,"")</f>
        <v/>
      </c>
      <c r="R235" s="998" t="str">
        <f>IF(AND(Table2[[#This Row],[LV3 or LV4 MAT NO.]]&lt;&gt;"", Table2[[#This Row],[LV3 or LV4 MAT NO.]]=Data!$B$8),1,"")</f>
        <v/>
      </c>
      <c r="S235" s="998"/>
      <c r="T235" s="998"/>
      <c r="U235" s="804" t="str">
        <f>IF(Table4[[#This Row],[Write "N" To Remove The Default]]="N","",IF(AND(COUNTA(Table2[[#This Row],[SEREAL NO.]:[REMARKS]])=SUM( L235:T235),SUM( L235:T235)&lt;&gt;0),Table2[[#This Row],[Instruction]],""))</f>
        <v/>
      </c>
      <c r="V235" s="804"/>
    </row>
    <row r="236" spans="9:22" x14ac:dyDescent="0.35">
      <c r="I236" s="1000"/>
      <c r="L236" s="998" t="str">
        <f>IF(AND(Table2[[#This Row],[ORDER NO.]]&lt;&gt;"", Table2[[#This Row],[ORDER NO.]]=Data!$B$1),1,"")</f>
        <v/>
      </c>
      <c r="M236" s="998" t="str">
        <f>IFERROR(IF(AND(Table2[[#This Row],[SEREAL NO.]]&lt;&gt;"", Table2[[#This Row],[SEREAL NO.]]=Data!$A$103),1,""),"")</f>
        <v/>
      </c>
      <c r="N236" s="998" t="str">
        <f>IF(AND(Table2[[#This Row],[SIZE]]&lt;&gt;"", Table2[[#This Row],[SIZE]]=Data!$B$3),1,"")</f>
        <v/>
      </c>
      <c r="O236" s="998" t="str">
        <f>IF(AND(Table2[[#This Row],[TYPE]]&lt;&gt;"", Table2[[#This Row],[TYPE]]=Data!$B$4),1,"")</f>
        <v/>
      </c>
      <c r="P236" s="998" t="str">
        <f>IF(AND(Table2[[#This Row],[LV5 MAT NO.]]&lt;&gt;"", Table2[[#This Row],[LV5 MAT NO.]]=Data!$B$5),1,"")</f>
        <v/>
      </c>
      <c r="Q236" s="998" t="str">
        <f>IF(AND(Table2[[#This Row],[FROM]]&lt;&gt;"", Table2[[#This Row],[FROM]]=Data!$B$7),1,"")</f>
        <v/>
      </c>
      <c r="R236" s="998" t="str">
        <f>IF(AND(Table2[[#This Row],[LV3 or LV4 MAT NO.]]&lt;&gt;"", Table2[[#This Row],[LV3 or LV4 MAT NO.]]=Data!$B$8),1,"")</f>
        <v/>
      </c>
      <c r="S236" s="998"/>
      <c r="T236" s="998"/>
      <c r="U236" s="804" t="str">
        <f>IF(Table4[[#This Row],[Write "N" To Remove The Default]]="N","",IF(AND(COUNTA(Table2[[#This Row],[SEREAL NO.]:[REMARKS]])=SUM( L236:T236),SUM( L236:T236)&lt;&gt;0),Table2[[#This Row],[Instruction]],""))</f>
        <v/>
      </c>
      <c r="V236" s="804"/>
    </row>
    <row r="237" spans="9:22" x14ac:dyDescent="0.35">
      <c r="I237" s="1000"/>
      <c r="L237" s="998" t="str">
        <f>IF(AND(Table2[[#This Row],[ORDER NO.]]&lt;&gt;"", Table2[[#This Row],[ORDER NO.]]=Data!$B$1),1,"")</f>
        <v/>
      </c>
      <c r="M237" s="998" t="str">
        <f>IFERROR(IF(AND(Table2[[#This Row],[SEREAL NO.]]&lt;&gt;"", Table2[[#This Row],[SEREAL NO.]]=Data!$A$103),1,""),"")</f>
        <v/>
      </c>
      <c r="N237" s="998" t="str">
        <f>IF(AND(Table2[[#This Row],[SIZE]]&lt;&gt;"", Table2[[#This Row],[SIZE]]=Data!$B$3),1,"")</f>
        <v/>
      </c>
      <c r="O237" s="998" t="str">
        <f>IF(AND(Table2[[#This Row],[TYPE]]&lt;&gt;"", Table2[[#This Row],[TYPE]]=Data!$B$4),1,"")</f>
        <v/>
      </c>
      <c r="P237" s="998" t="str">
        <f>IF(AND(Table2[[#This Row],[LV5 MAT NO.]]&lt;&gt;"", Table2[[#This Row],[LV5 MAT NO.]]=Data!$B$5),1,"")</f>
        <v/>
      </c>
      <c r="Q237" s="998" t="str">
        <f>IF(AND(Table2[[#This Row],[FROM]]&lt;&gt;"", Table2[[#This Row],[FROM]]=Data!$B$7),1,"")</f>
        <v/>
      </c>
      <c r="R237" s="998" t="str">
        <f>IF(AND(Table2[[#This Row],[LV3 or LV4 MAT NO.]]&lt;&gt;"", Table2[[#This Row],[LV3 or LV4 MAT NO.]]=Data!$B$8),1,"")</f>
        <v/>
      </c>
      <c r="S237" s="998"/>
      <c r="T237" s="998"/>
      <c r="U237" s="804" t="str">
        <f>IF(Table4[[#This Row],[Write "N" To Remove The Default]]="N","",IF(AND(COUNTA(Table2[[#This Row],[SEREAL NO.]:[REMARKS]])=SUM( L237:T237),SUM( L237:T237)&lt;&gt;0),Table2[[#This Row],[Instruction]],""))</f>
        <v/>
      </c>
      <c r="V237" s="804"/>
    </row>
    <row r="238" spans="9:22" x14ac:dyDescent="0.35">
      <c r="I238" s="1000"/>
      <c r="L238" s="998" t="str">
        <f>IF(AND(Table2[[#This Row],[ORDER NO.]]&lt;&gt;"", Table2[[#This Row],[ORDER NO.]]=Data!$B$1),1,"")</f>
        <v/>
      </c>
      <c r="M238" s="998" t="str">
        <f>IFERROR(IF(AND(Table2[[#This Row],[SEREAL NO.]]&lt;&gt;"", Table2[[#This Row],[SEREAL NO.]]=Data!$A$103),1,""),"")</f>
        <v/>
      </c>
      <c r="N238" s="998" t="str">
        <f>IF(AND(Table2[[#This Row],[SIZE]]&lt;&gt;"", Table2[[#This Row],[SIZE]]=Data!$B$3),1,"")</f>
        <v/>
      </c>
      <c r="O238" s="998" t="str">
        <f>IF(AND(Table2[[#This Row],[TYPE]]&lt;&gt;"", Table2[[#This Row],[TYPE]]=Data!$B$4),1,"")</f>
        <v/>
      </c>
      <c r="P238" s="998" t="str">
        <f>IF(AND(Table2[[#This Row],[LV5 MAT NO.]]&lt;&gt;"", Table2[[#This Row],[LV5 MAT NO.]]=Data!$B$5),1,"")</f>
        <v/>
      </c>
      <c r="Q238" s="998" t="str">
        <f>IF(AND(Table2[[#This Row],[FROM]]&lt;&gt;"", Table2[[#This Row],[FROM]]=Data!$B$7),1,"")</f>
        <v/>
      </c>
      <c r="R238" s="998" t="str">
        <f>IF(AND(Table2[[#This Row],[LV3 or LV4 MAT NO.]]&lt;&gt;"", Table2[[#This Row],[LV3 or LV4 MAT NO.]]=Data!$B$8),1,"")</f>
        <v/>
      </c>
      <c r="S238" s="998"/>
      <c r="T238" s="998"/>
      <c r="U238" s="804" t="str">
        <f>IF(Table4[[#This Row],[Write "N" To Remove The Default]]="N","",IF(AND(COUNTA(Table2[[#This Row],[SEREAL NO.]:[REMARKS]])=SUM( L238:T238),SUM( L238:T238)&lt;&gt;0),Table2[[#This Row],[Instruction]],""))</f>
        <v/>
      </c>
      <c r="V238" s="804"/>
    </row>
    <row r="239" spans="9:22" x14ac:dyDescent="0.35">
      <c r="I239" s="1000"/>
      <c r="L239" s="998" t="str">
        <f>IF(AND(Table2[[#This Row],[ORDER NO.]]&lt;&gt;"", Table2[[#This Row],[ORDER NO.]]=Data!$B$1),1,"")</f>
        <v/>
      </c>
      <c r="M239" s="998" t="str">
        <f>IFERROR(IF(AND(Table2[[#This Row],[SEREAL NO.]]&lt;&gt;"", Table2[[#This Row],[SEREAL NO.]]=Data!$A$103),1,""),"")</f>
        <v/>
      </c>
      <c r="N239" s="998" t="str">
        <f>IF(AND(Table2[[#This Row],[SIZE]]&lt;&gt;"", Table2[[#This Row],[SIZE]]=Data!$B$3),1,"")</f>
        <v/>
      </c>
      <c r="O239" s="998" t="str">
        <f>IF(AND(Table2[[#This Row],[TYPE]]&lt;&gt;"", Table2[[#This Row],[TYPE]]=Data!$B$4),1,"")</f>
        <v/>
      </c>
      <c r="P239" s="998" t="str">
        <f>IF(AND(Table2[[#This Row],[LV5 MAT NO.]]&lt;&gt;"", Table2[[#This Row],[LV5 MAT NO.]]=Data!$B$5),1,"")</f>
        <v/>
      </c>
      <c r="Q239" s="998" t="str">
        <f>IF(AND(Table2[[#This Row],[FROM]]&lt;&gt;"", Table2[[#This Row],[FROM]]=Data!$B$7),1,"")</f>
        <v/>
      </c>
      <c r="R239" s="998" t="str">
        <f>IF(AND(Table2[[#This Row],[LV3 or LV4 MAT NO.]]&lt;&gt;"", Table2[[#This Row],[LV3 or LV4 MAT NO.]]=Data!$B$8),1,"")</f>
        <v/>
      </c>
      <c r="S239" s="998"/>
      <c r="T239" s="998"/>
      <c r="U239" s="804" t="str">
        <f>IF(Table4[[#This Row],[Write "N" To Remove The Default]]="N","",IF(AND(COUNTA(Table2[[#This Row],[SEREAL NO.]:[REMARKS]])=SUM( L239:T239),SUM( L239:T239)&lt;&gt;0),Table2[[#This Row],[Instruction]],""))</f>
        <v/>
      </c>
      <c r="V239" s="804"/>
    </row>
    <row r="240" spans="9:22" x14ac:dyDescent="0.35">
      <c r="I240" s="1000"/>
      <c r="L240" s="998" t="str">
        <f>IF(AND(Table2[[#This Row],[ORDER NO.]]&lt;&gt;"", Table2[[#This Row],[ORDER NO.]]=Data!$B$1),1,"")</f>
        <v/>
      </c>
      <c r="M240" s="998" t="str">
        <f>IFERROR(IF(AND(Table2[[#This Row],[SEREAL NO.]]&lt;&gt;"", Table2[[#This Row],[SEREAL NO.]]=Data!$A$103),1,""),"")</f>
        <v/>
      </c>
      <c r="N240" s="998" t="str">
        <f>IF(AND(Table2[[#This Row],[SIZE]]&lt;&gt;"", Table2[[#This Row],[SIZE]]=Data!$B$3),1,"")</f>
        <v/>
      </c>
      <c r="O240" s="998" t="str">
        <f>IF(AND(Table2[[#This Row],[TYPE]]&lt;&gt;"", Table2[[#This Row],[TYPE]]=Data!$B$4),1,"")</f>
        <v/>
      </c>
      <c r="P240" s="998" t="str">
        <f>IF(AND(Table2[[#This Row],[LV5 MAT NO.]]&lt;&gt;"", Table2[[#This Row],[LV5 MAT NO.]]=Data!$B$5),1,"")</f>
        <v/>
      </c>
      <c r="Q240" s="998" t="str">
        <f>IF(AND(Table2[[#This Row],[FROM]]&lt;&gt;"", Table2[[#This Row],[FROM]]=Data!$B$7),1,"")</f>
        <v/>
      </c>
      <c r="R240" s="998" t="str">
        <f>IF(AND(Table2[[#This Row],[LV3 or LV4 MAT NO.]]&lt;&gt;"", Table2[[#This Row],[LV3 or LV4 MAT NO.]]=Data!$B$8),1,"")</f>
        <v/>
      </c>
      <c r="S240" s="998"/>
      <c r="T240" s="998"/>
      <c r="U240" s="804" t="str">
        <f>IF(Table4[[#This Row],[Write "N" To Remove The Default]]="N","",IF(AND(COUNTA(Table2[[#This Row],[SEREAL NO.]:[REMARKS]])=SUM( L240:T240),SUM( L240:T240)&lt;&gt;0),Table2[[#This Row],[Instruction]],""))</f>
        <v/>
      </c>
      <c r="V240" s="804"/>
    </row>
    <row r="241" spans="9:22" x14ac:dyDescent="0.35">
      <c r="I241" s="1000"/>
      <c r="L241" s="998" t="str">
        <f>IF(AND(Table2[[#This Row],[ORDER NO.]]&lt;&gt;"", Table2[[#This Row],[ORDER NO.]]=Data!$B$1),1,"")</f>
        <v/>
      </c>
      <c r="M241" s="998" t="str">
        <f>IFERROR(IF(AND(Table2[[#This Row],[SEREAL NO.]]&lt;&gt;"", Table2[[#This Row],[SEREAL NO.]]=Data!$A$103),1,""),"")</f>
        <v/>
      </c>
      <c r="N241" s="998" t="str">
        <f>IF(AND(Table2[[#This Row],[SIZE]]&lt;&gt;"", Table2[[#This Row],[SIZE]]=Data!$B$3),1,"")</f>
        <v/>
      </c>
      <c r="O241" s="998" t="str">
        <f>IF(AND(Table2[[#This Row],[TYPE]]&lt;&gt;"", Table2[[#This Row],[TYPE]]=Data!$B$4),1,"")</f>
        <v/>
      </c>
      <c r="P241" s="998" t="str">
        <f>IF(AND(Table2[[#This Row],[LV5 MAT NO.]]&lt;&gt;"", Table2[[#This Row],[LV5 MAT NO.]]=Data!$B$5),1,"")</f>
        <v/>
      </c>
      <c r="Q241" s="998" t="str">
        <f>IF(AND(Table2[[#This Row],[FROM]]&lt;&gt;"", Table2[[#This Row],[FROM]]=Data!$B$7),1,"")</f>
        <v/>
      </c>
      <c r="R241" s="998" t="str">
        <f>IF(AND(Table2[[#This Row],[LV3 or LV4 MAT NO.]]&lt;&gt;"", Table2[[#This Row],[LV3 or LV4 MAT NO.]]=Data!$B$8),1,"")</f>
        <v/>
      </c>
      <c r="S241" s="998"/>
      <c r="T241" s="998"/>
      <c r="U241" s="804" t="str">
        <f>IF(Table4[[#This Row],[Write "N" To Remove The Default]]="N","",IF(AND(COUNTA(Table2[[#This Row],[SEREAL NO.]:[REMARKS]])=SUM( L241:T241),SUM( L241:T241)&lt;&gt;0),Table2[[#This Row],[Instruction]],""))</f>
        <v/>
      </c>
      <c r="V241" s="804"/>
    </row>
    <row r="242" spans="9:22" x14ac:dyDescent="0.35">
      <c r="I242" s="1000"/>
      <c r="L242" s="998" t="str">
        <f>IF(AND(Table2[[#This Row],[ORDER NO.]]&lt;&gt;"", Table2[[#This Row],[ORDER NO.]]=Data!$B$1),1,"")</f>
        <v/>
      </c>
      <c r="M242" s="998" t="str">
        <f>IFERROR(IF(AND(Table2[[#This Row],[SEREAL NO.]]&lt;&gt;"", Table2[[#This Row],[SEREAL NO.]]=Data!$A$103),1,""),"")</f>
        <v/>
      </c>
      <c r="N242" s="998" t="str">
        <f>IF(AND(Table2[[#This Row],[SIZE]]&lt;&gt;"", Table2[[#This Row],[SIZE]]=Data!$B$3),1,"")</f>
        <v/>
      </c>
      <c r="O242" s="998" t="str">
        <f>IF(AND(Table2[[#This Row],[TYPE]]&lt;&gt;"", Table2[[#This Row],[TYPE]]=Data!$B$4),1,"")</f>
        <v/>
      </c>
      <c r="P242" s="998" t="str">
        <f>IF(AND(Table2[[#This Row],[LV5 MAT NO.]]&lt;&gt;"", Table2[[#This Row],[LV5 MAT NO.]]=Data!$B$5),1,"")</f>
        <v/>
      </c>
      <c r="Q242" s="998" t="str">
        <f>IF(AND(Table2[[#This Row],[FROM]]&lt;&gt;"", Table2[[#This Row],[FROM]]=Data!$B$7),1,"")</f>
        <v/>
      </c>
      <c r="R242" s="998" t="str">
        <f>IF(AND(Table2[[#This Row],[LV3 or LV4 MAT NO.]]&lt;&gt;"", Table2[[#This Row],[LV3 or LV4 MAT NO.]]=Data!$B$8),1,"")</f>
        <v/>
      </c>
      <c r="S242" s="998"/>
      <c r="T242" s="998"/>
      <c r="U242" s="804" t="str">
        <f>IF(Table4[[#This Row],[Write "N" To Remove The Default]]="N","",IF(AND(COUNTA(Table2[[#This Row],[SEREAL NO.]:[REMARKS]])=SUM( L242:T242),SUM( L242:T242)&lt;&gt;0),Table2[[#This Row],[Instruction]],""))</f>
        <v/>
      </c>
      <c r="V242" s="804"/>
    </row>
    <row r="243" spans="9:22" x14ac:dyDescent="0.35">
      <c r="I243" s="1000"/>
      <c r="L243" s="998" t="str">
        <f>IF(AND(Table2[[#This Row],[ORDER NO.]]&lt;&gt;"", Table2[[#This Row],[ORDER NO.]]=Data!$B$1),1,"")</f>
        <v/>
      </c>
      <c r="M243" s="998" t="str">
        <f>IFERROR(IF(AND(Table2[[#This Row],[SEREAL NO.]]&lt;&gt;"", Table2[[#This Row],[SEREAL NO.]]=Data!$A$103),1,""),"")</f>
        <v/>
      </c>
      <c r="N243" s="998" t="str">
        <f>IF(AND(Table2[[#This Row],[SIZE]]&lt;&gt;"", Table2[[#This Row],[SIZE]]=Data!$B$3),1,"")</f>
        <v/>
      </c>
      <c r="O243" s="998" t="str">
        <f>IF(AND(Table2[[#This Row],[TYPE]]&lt;&gt;"", Table2[[#This Row],[TYPE]]=Data!$B$4),1,"")</f>
        <v/>
      </c>
      <c r="P243" s="998" t="str">
        <f>IF(AND(Table2[[#This Row],[LV5 MAT NO.]]&lt;&gt;"", Table2[[#This Row],[LV5 MAT NO.]]=Data!$B$5),1,"")</f>
        <v/>
      </c>
      <c r="Q243" s="998" t="str">
        <f>IF(AND(Table2[[#This Row],[FROM]]&lt;&gt;"", Table2[[#This Row],[FROM]]=Data!$B$7),1,"")</f>
        <v/>
      </c>
      <c r="R243" s="998" t="str">
        <f>IF(AND(Table2[[#This Row],[LV3 or LV4 MAT NO.]]&lt;&gt;"", Table2[[#This Row],[LV3 or LV4 MAT NO.]]=Data!$B$8),1,"")</f>
        <v/>
      </c>
      <c r="S243" s="998"/>
      <c r="T243" s="998"/>
      <c r="U243" s="804" t="str">
        <f>IF(Table4[[#This Row],[Write "N" To Remove The Default]]="N","",IF(AND(COUNTA(Table2[[#This Row],[SEREAL NO.]:[REMARKS]])=SUM( L243:T243),SUM( L243:T243)&lt;&gt;0),Table2[[#This Row],[Instruction]],""))</f>
        <v/>
      </c>
      <c r="V243" s="804"/>
    </row>
    <row r="244" spans="9:22" x14ac:dyDescent="0.35">
      <c r="I244" s="1000"/>
      <c r="L244" s="998" t="str">
        <f>IF(AND(Table2[[#This Row],[ORDER NO.]]&lt;&gt;"", Table2[[#This Row],[ORDER NO.]]=Data!$B$1),1,"")</f>
        <v/>
      </c>
      <c r="M244" s="998" t="str">
        <f>IFERROR(IF(AND(Table2[[#This Row],[SEREAL NO.]]&lt;&gt;"", Table2[[#This Row],[SEREAL NO.]]=Data!$A$103),1,""),"")</f>
        <v/>
      </c>
      <c r="N244" s="998" t="str">
        <f>IF(AND(Table2[[#This Row],[SIZE]]&lt;&gt;"", Table2[[#This Row],[SIZE]]=Data!$B$3),1,"")</f>
        <v/>
      </c>
      <c r="O244" s="998" t="str">
        <f>IF(AND(Table2[[#This Row],[TYPE]]&lt;&gt;"", Table2[[#This Row],[TYPE]]=Data!$B$4),1,"")</f>
        <v/>
      </c>
      <c r="P244" s="998" t="str">
        <f>IF(AND(Table2[[#This Row],[LV5 MAT NO.]]&lt;&gt;"", Table2[[#This Row],[LV5 MAT NO.]]=Data!$B$5),1,"")</f>
        <v/>
      </c>
      <c r="Q244" s="998" t="str">
        <f>IF(AND(Table2[[#This Row],[FROM]]&lt;&gt;"", Table2[[#This Row],[FROM]]=Data!$B$7),1,"")</f>
        <v/>
      </c>
      <c r="R244" s="998" t="str">
        <f>IF(AND(Table2[[#This Row],[LV3 or LV4 MAT NO.]]&lt;&gt;"", Table2[[#This Row],[LV3 or LV4 MAT NO.]]=Data!$B$8),1,"")</f>
        <v/>
      </c>
      <c r="S244" s="998"/>
      <c r="T244" s="998"/>
      <c r="U244" s="804" t="str">
        <f>IF(Table4[[#This Row],[Write "N" To Remove The Default]]="N","",IF(AND(COUNTA(Table2[[#This Row],[SEREAL NO.]:[REMARKS]])=SUM( L244:T244),SUM( L244:T244)&lt;&gt;0),Table2[[#This Row],[Instruction]],""))</f>
        <v/>
      </c>
      <c r="V244" s="804"/>
    </row>
    <row r="245" spans="9:22" x14ac:dyDescent="0.35">
      <c r="I245" s="1000"/>
      <c r="L245" s="998" t="str">
        <f>IF(AND(Table2[[#This Row],[ORDER NO.]]&lt;&gt;"", Table2[[#This Row],[ORDER NO.]]=Data!$B$1),1,"")</f>
        <v/>
      </c>
      <c r="M245" s="998" t="str">
        <f>IFERROR(IF(AND(Table2[[#This Row],[SEREAL NO.]]&lt;&gt;"", Table2[[#This Row],[SEREAL NO.]]=Data!$A$103),1,""),"")</f>
        <v/>
      </c>
      <c r="N245" s="998" t="str">
        <f>IF(AND(Table2[[#This Row],[SIZE]]&lt;&gt;"", Table2[[#This Row],[SIZE]]=Data!$B$3),1,"")</f>
        <v/>
      </c>
      <c r="O245" s="998" t="str">
        <f>IF(AND(Table2[[#This Row],[TYPE]]&lt;&gt;"", Table2[[#This Row],[TYPE]]=Data!$B$4),1,"")</f>
        <v/>
      </c>
      <c r="P245" s="998" t="str">
        <f>IF(AND(Table2[[#This Row],[LV5 MAT NO.]]&lt;&gt;"", Table2[[#This Row],[LV5 MAT NO.]]=Data!$B$5),1,"")</f>
        <v/>
      </c>
      <c r="Q245" s="998" t="str">
        <f>IF(AND(Table2[[#This Row],[FROM]]&lt;&gt;"", Table2[[#This Row],[FROM]]=Data!$B$7),1,"")</f>
        <v/>
      </c>
      <c r="R245" s="998" t="str">
        <f>IF(AND(Table2[[#This Row],[LV3 or LV4 MAT NO.]]&lt;&gt;"", Table2[[#This Row],[LV3 or LV4 MAT NO.]]=Data!$B$8),1,"")</f>
        <v/>
      </c>
      <c r="S245" s="998"/>
      <c r="T245" s="998"/>
      <c r="U245" s="804" t="str">
        <f>IF(Table4[[#This Row],[Write "N" To Remove The Default]]="N","",IF(AND(COUNTA(Table2[[#This Row],[SEREAL NO.]:[REMARKS]])=SUM( L245:T245),SUM( L245:T245)&lt;&gt;0),Table2[[#This Row],[Instruction]],""))</f>
        <v/>
      </c>
      <c r="V245" s="804"/>
    </row>
    <row r="246" spans="9:22" x14ac:dyDescent="0.35">
      <c r="I246" s="1000"/>
      <c r="L246" s="998" t="str">
        <f>IF(AND(Table2[[#This Row],[ORDER NO.]]&lt;&gt;"", Table2[[#This Row],[ORDER NO.]]=Data!$B$1),1,"")</f>
        <v/>
      </c>
      <c r="M246" s="998" t="str">
        <f>IFERROR(IF(AND(Table2[[#This Row],[SEREAL NO.]]&lt;&gt;"", Table2[[#This Row],[SEREAL NO.]]=Data!$A$103),1,""),"")</f>
        <v/>
      </c>
      <c r="N246" s="998" t="str">
        <f>IF(AND(Table2[[#This Row],[SIZE]]&lt;&gt;"", Table2[[#This Row],[SIZE]]=Data!$B$3),1,"")</f>
        <v/>
      </c>
      <c r="O246" s="998" t="str">
        <f>IF(AND(Table2[[#This Row],[TYPE]]&lt;&gt;"", Table2[[#This Row],[TYPE]]=Data!$B$4),1,"")</f>
        <v/>
      </c>
      <c r="P246" s="998" t="str">
        <f>IF(AND(Table2[[#This Row],[LV5 MAT NO.]]&lt;&gt;"", Table2[[#This Row],[LV5 MAT NO.]]=Data!$B$5),1,"")</f>
        <v/>
      </c>
      <c r="Q246" s="998" t="str">
        <f>IF(AND(Table2[[#This Row],[FROM]]&lt;&gt;"", Table2[[#This Row],[FROM]]=Data!$B$7),1,"")</f>
        <v/>
      </c>
      <c r="R246" s="998" t="str">
        <f>IF(AND(Table2[[#This Row],[LV3 or LV4 MAT NO.]]&lt;&gt;"", Table2[[#This Row],[LV3 or LV4 MAT NO.]]=Data!$B$8),1,"")</f>
        <v/>
      </c>
      <c r="S246" s="998"/>
      <c r="T246" s="998"/>
      <c r="U246" s="804" t="str">
        <f>IF(Table4[[#This Row],[Write "N" To Remove The Default]]="N","",IF(AND(COUNTA(Table2[[#This Row],[SEREAL NO.]:[REMARKS]])=SUM( L246:T246),SUM( L246:T246)&lt;&gt;0),Table2[[#This Row],[Instruction]],""))</f>
        <v/>
      </c>
      <c r="V246" s="804"/>
    </row>
    <row r="247" spans="9:22" x14ac:dyDescent="0.35">
      <c r="I247" s="1000"/>
      <c r="L247" s="998" t="str">
        <f>IF(AND(Table2[[#This Row],[ORDER NO.]]&lt;&gt;"", Table2[[#This Row],[ORDER NO.]]=Data!$B$1),1,"")</f>
        <v/>
      </c>
      <c r="M247" s="998" t="str">
        <f>IFERROR(IF(AND(Table2[[#This Row],[SEREAL NO.]]&lt;&gt;"", Table2[[#This Row],[SEREAL NO.]]=Data!$A$103),1,""),"")</f>
        <v/>
      </c>
      <c r="N247" s="998" t="str">
        <f>IF(AND(Table2[[#This Row],[SIZE]]&lt;&gt;"", Table2[[#This Row],[SIZE]]=Data!$B$3),1,"")</f>
        <v/>
      </c>
      <c r="O247" s="998" t="str">
        <f>IF(AND(Table2[[#This Row],[TYPE]]&lt;&gt;"", Table2[[#This Row],[TYPE]]=Data!$B$4),1,"")</f>
        <v/>
      </c>
      <c r="P247" s="998" t="str">
        <f>IF(AND(Table2[[#This Row],[LV5 MAT NO.]]&lt;&gt;"", Table2[[#This Row],[LV5 MAT NO.]]=Data!$B$5),1,"")</f>
        <v/>
      </c>
      <c r="Q247" s="998" t="str">
        <f>IF(AND(Table2[[#This Row],[FROM]]&lt;&gt;"", Table2[[#This Row],[FROM]]=Data!$B$7),1,"")</f>
        <v/>
      </c>
      <c r="R247" s="998" t="str">
        <f>IF(AND(Table2[[#This Row],[LV3 or LV4 MAT NO.]]&lt;&gt;"", Table2[[#This Row],[LV3 or LV4 MAT NO.]]=Data!$B$8),1,"")</f>
        <v/>
      </c>
      <c r="S247" s="998"/>
      <c r="T247" s="998"/>
      <c r="U247" s="804" t="str">
        <f>IF(Table4[[#This Row],[Write "N" To Remove The Default]]="N","",IF(AND(COUNTA(Table2[[#This Row],[SEREAL NO.]:[REMARKS]])=SUM( L247:T247),SUM( L247:T247)&lt;&gt;0),Table2[[#This Row],[Instruction]],""))</f>
        <v/>
      </c>
      <c r="V247" s="804"/>
    </row>
    <row r="248" spans="9:22" x14ac:dyDescent="0.35">
      <c r="I248" s="1000"/>
      <c r="L248" s="998" t="str">
        <f>IF(AND(Table2[[#This Row],[ORDER NO.]]&lt;&gt;"", Table2[[#This Row],[ORDER NO.]]=Data!$B$1),1,"")</f>
        <v/>
      </c>
      <c r="M248" s="998" t="str">
        <f>IFERROR(IF(AND(Table2[[#This Row],[SEREAL NO.]]&lt;&gt;"", Table2[[#This Row],[SEREAL NO.]]=Data!$A$103),1,""),"")</f>
        <v/>
      </c>
      <c r="N248" s="998" t="str">
        <f>IF(AND(Table2[[#This Row],[SIZE]]&lt;&gt;"", Table2[[#This Row],[SIZE]]=Data!$B$3),1,"")</f>
        <v/>
      </c>
      <c r="O248" s="998" t="str">
        <f>IF(AND(Table2[[#This Row],[TYPE]]&lt;&gt;"", Table2[[#This Row],[TYPE]]=Data!$B$4),1,"")</f>
        <v/>
      </c>
      <c r="P248" s="998" t="str">
        <f>IF(AND(Table2[[#This Row],[LV5 MAT NO.]]&lt;&gt;"", Table2[[#This Row],[LV5 MAT NO.]]=Data!$B$5),1,"")</f>
        <v/>
      </c>
      <c r="Q248" s="998" t="str">
        <f>IF(AND(Table2[[#This Row],[FROM]]&lt;&gt;"", Table2[[#This Row],[FROM]]=Data!$B$7),1,"")</f>
        <v/>
      </c>
      <c r="R248" s="998" t="str">
        <f>IF(AND(Table2[[#This Row],[LV3 or LV4 MAT NO.]]&lt;&gt;"", Table2[[#This Row],[LV3 or LV4 MAT NO.]]=Data!$B$8),1,"")</f>
        <v/>
      </c>
      <c r="S248" s="998"/>
      <c r="T248" s="998"/>
      <c r="U248" s="804" t="str">
        <f>IF(Table4[[#This Row],[Write "N" To Remove The Default]]="N","",IF(AND(COUNTA(Table2[[#This Row],[SEREAL NO.]:[REMARKS]])=SUM( L248:T248),SUM( L248:T248)&lt;&gt;0),Table2[[#This Row],[Instruction]],""))</f>
        <v/>
      </c>
      <c r="V248" s="804"/>
    </row>
    <row r="249" spans="9:22" x14ac:dyDescent="0.35">
      <c r="I249" s="1000"/>
      <c r="L249" s="998" t="str">
        <f>IF(AND(Table2[[#This Row],[ORDER NO.]]&lt;&gt;"", Table2[[#This Row],[ORDER NO.]]=Data!$B$1),1,"")</f>
        <v/>
      </c>
      <c r="M249" s="998" t="str">
        <f>IFERROR(IF(AND(Table2[[#This Row],[SEREAL NO.]]&lt;&gt;"", Table2[[#This Row],[SEREAL NO.]]=Data!$A$103),1,""),"")</f>
        <v/>
      </c>
      <c r="N249" s="998" t="str">
        <f>IF(AND(Table2[[#This Row],[SIZE]]&lt;&gt;"", Table2[[#This Row],[SIZE]]=Data!$B$3),1,"")</f>
        <v/>
      </c>
      <c r="O249" s="998" t="str">
        <f>IF(AND(Table2[[#This Row],[TYPE]]&lt;&gt;"", Table2[[#This Row],[TYPE]]=Data!$B$4),1,"")</f>
        <v/>
      </c>
      <c r="P249" s="998" t="str">
        <f>IF(AND(Table2[[#This Row],[LV5 MAT NO.]]&lt;&gt;"", Table2[[#This Row],[LV5 MAT NO.]]=Data!$B$5),1,"")</f>
        <v/>
      </c>
      <c r="Q249" s="998" t="str">
        <f>IF(AND(Table2[[#This Row],[FROM]]&lt;&gt;"", Table2[[#This Row],[FROM]]=Data!$B$7),1,"")</f>
        <v/>
      </c>
      <c r="R249" s="998" t="str">
        <f>IF(AND(Table2[[#This Row],[LV3 or LV4 MAT NO.]]&lt;&gt;"", Table2[[#This Row],[LV3 or LV4 MAT NO.]]=Data!$B$8),1,"")</f>
        <v/>
      </c>
      <c r="S249" s="998"/>
      <c r="T249" s="998"/>
      <c r="U249" s="804" t="str">
        <f>IF(Table4[[#This Row],[Write "N" To Remove The Default]]="N","",IF(AND(COUNTA(Table2[[#This Row],[SEREAL NO.]:[REMARKS]])=SUM( L249:T249),SUM( L249:T249)&lt;&gt;0),Table2[[#This Row],[Instruction]],""))</f>
        <v/>
      </c>
      <c r="V249" s="804"/>
    </row>
    <row r="250" spans="9:22" x14ac:dyDescent="0.35">
      <c r="I250" s="1000"/>
      <c r="L250" s="998" t="str">
        <f>IF(AND(Table2[[#This Row],[ORDER NO.]]&lt;&gt;"", Table2[[#This Row],[ORDER NO.]]=Data!$B$1),1,"")</f>
        <v/>
      </c>
      <c r="M250" s="998" t="str">
        <f>IFERROR(IF(AND(Table2[[#This Row],[SEREAL NO.]]&lt;&gt;"", Table2[[#This Row],[SEREAL NO.]]=Data!$A$103),1,""),"")</f>
        <v/>
      </c>
      <c r="N250" s="998" t="str">
        <f>IF(AND(Table2[[#This Row],[SIZE]]&lt;&gt;"", Table2[[#This Row],[SIZE]]=Data!$B$3),1,"")</f>
        <v/>
      </c>
      <c r="O250" s="998" t="str">
        <f>IF(AND(Table2[[#This Row],[TYPE]]&lt;&gt;"", Table2[[#This Row],[TYPE]]=Data!$B$4),1,"")</f>
        <v/>
      </c>
      <c r="P250" s="998" t="str">
        <f>IF(AND(Table2[[#This Row],[LV5 MAT NO.]]&lt;&gt;"", Table2[[#This Row],[LV5 MAT NO.]]=Data!$B$5),1,"")</f>
        <v/>
      </c>
      <c r="Q250" s="998" t="str">
        <f>IF(AND(Table2[[#This Row],[FROM]]&lt;&gt;"", Table2[[#This Row],[FROM]]=Data!$B$7),1,"")</f>
        <v/>
      </c>
      <c r="R250" s="998" t="str">
        <f>IF(AND(Table2[[#This Row],[LV3 or LV4 MAT NO.]]&lt;&gt;"", Table2[[#This Row],[LV3 or LV4 MAT NO.]]=Data!$B$8),1,"")</f>
        <v/>
      </c>
      <c r="S250" s="998"/>
      <c r="T250" s="998"/>
      <c r="U250" s="804" t="str">
        <f>IF(Table4[[#This Row],[Write "N" To Remove The Default]]="N","",IF(AND(COUNTA(Table2[[#This Row],[SEREAL NO.]:[REMARKS]])=SUM( L250:T250),SUM( L250:T250)&lt;&gt;0),Table2[[#This Row],[Instruction]],""))</f>
        <v/>
      </c>
      <c r="V250" s="804"/>
    </row>
    <row r="251" spans="9:22" x14ac:dyDescent="0.35">
      <c r="I251" s="1000"/>
      <c r="L251" s="998" t="str">
        <f>IF(AND(Table2[[#This Row],[ORDER NO.]]&lt;&gt;"", Table2[[#This Row],[ORDER NO.]]=Data!$B$1),1,"")</f>
        <v/>
      </c>
      <c r="M251" s="998" t="str">
        <f>IFERROR(IF(AND(Table2[[#This Row],[SEREAL NO.]]&lt;&gt;"", Table2[[#This Row],[SEREAL NO.]]=Data!$A$103),1,""),"")</f>
        <v/>
      </c>
      <c r="N251" s="998" t="str">
        <f>IF(AND(Table2[[#This Row],[SIZE]]&lt;&gt;"", Table2[[#This Row],[SIZE]]=Data!$B$3),1,"")</f>
        <v/>
      </c>
      <c r="O251" s="998" t="str">
        <f>IF(AND(Table2[[#This Row],[TYPE]]&lt;&gt;"", Table2[[#This Row],[TYPE]]=Data!$B$4),1,"")</f>
        <v/>
      </c>
      <c r="P251" s="998" t="str">
        <f>IF(AND(Table2[[#This Row],[LV5 MAT NO.]]&lt;&gt;"", Table2[[#This Row],[LV5 MAT NO.]]=Data!$B$5),1,"")</f>
        <v/>
      </c>
      <c r="Q251" s="998" t="str">
        <f>IF(AND(Table2[[#This Row],[FROM]]&lt;&gt;"", Table2[[#This Row],[FROM]]=Data!$B$7),1,"")</f>
        <v/>
      </c>
      <c r="R251" s="998" t="str">
        <f>IF(AND(Table2[[#This Row],[LV3 or LV4 MAT NO.]]&lt;&gt;"", Table2[[#This Row],[LV3 or LV4 MAT NO.]]=Data!$B$8),1,"")</f>
        <v/>
      </c>
      <c r="S251" s="998"/>
      <c r="T251" s="998"/>
      <c r="U251" s="804" t="str">
        <f>IF(Table4[[#This Row],[Write "N" To Remove The Default]]="N","",IF(AND(COUNTA(Table2[[#This Row],[SEREAL NO.]:[REMARKS]])=SUM( L251:T251),SUM( L251:T251)&lt;&gt;0),Table2[[#This Row],[Instruction]],""))</f>
        <v/>
      </c>
      <c r="V251" s="804"/>
    </row>
    <row r="252" spans="9:22" x14ac:dyDescent="0.35">
      <c r="I252" s="1000"/>
      <c r="L252" s="998" t="str">
        <f>IF(AND(Table2[[#This Row],[ORDER NO.]]&lt;&gt;"", Table2[[#This Row],[ORDER NO.]]=Data!$B$1),1,"")</f>
        <v/>
      </c>
      <c r="M252" s="998" t="str">
        <f>IFERROR(IF(AND(Table2[[#This Row],[SEREAL NO.]]&lt;&gt;"", Table2[[#This Row],[SEREAL NO.]]=Data!$A$103),1,""),"")</f>
        <v/>
      </c>
      <c r="N252" s="998" t="str">
        <f>IF(AND(Table2[[#This Row],[SIZE]]&lt;&gt;"", Table2[[#This Row],[SIZE]]=Data!$B$3),1,"")</f>
        <v/>
      </c>
      <c r="O252" s="998" t="str">
        <f>IF(AND(Table2[[#This Row],[TYPE]]&lt;&gt;"", Table2[[#This Row],[TYPE]]=Data!$B$4),1,"")</f>
        <v/>
      </c>
      <c r="P252" s="998" t="str">
        <f>IF(AND(Table2[[#This Row],[LV5 MAT NO.]]&lt;&gt;"", Table2[[#This Row],[LV5 MAT NO.]]=Data!$B$5),1,"")</f>
        <v/>
      </c>
      <c r="Q252" s="998" t="str">
        <f>IF(AND(Table2[[#This Row],[FROM]]&lt;&gt;"", Table2[[#This Row],[FROM]]=Data!$B$7),1,"")</f>
        <v/>
      </c>
      <c r="R252" s="998" t="str">
        <f>IF(AND(Table2[[#This Row],[LV3 or LV4 MAT NO.]]&lt;&gt;"", Table2[[#This Row],[LV3 or LV4 MAT NO.]]=Data!$B$8),1,"")</f>
        <v/>
      </c>
      <c r="S252" s="998"/>
      <c r="T252" s="998"/>
      <c r="U252" s="804" t="str">
        <f>IF(Table4[[#This Row],[Write "N" To Remove The Default]]="N","",IF(AND(COUNTA(Table2[[#This Row],[SEREAL NO.]:[REMARKS]])=SUM( L252:T252),SUM( L252:T252)&lt;&gt;0),Table2[[#This Row],[Instruction]],""))</f>
        <v/>
      </c>
      <c r="V252" s="804"/>
    </row>
    <row r="253" spans="9:22" x14ac:dyDescent="0.35">
      <c r="I253" s="1000"/>
      <c r="L253" s="998" t="str">
        <f>IF(AND(Table2[[#This Row],[ORDER NO.]]&lt;&gt;"", Table2[[#This Row],[ORDER NO.]]=Data!$B$1),1,"")</f>
        <v/>
      </c>
      <c r="M253" s="998" t="str">
        <f>IFERROR(IF(AND(Table2[[#This Row],[SEREAL NO.]]&lt;&gt;"", Table2[[#This Row],[SEREAL NO.]]=Data!$A$103),1,""),"")</f>
        <v/>
      </c>
      <c r="N253" s="998" t="str">
        <f>IF(AND(Table2[[#This Row],[SIZE]]&lt;&gt;"", Table2[[#This Row],[SIZE]]=Data!$B$3),1,"")</f>
        <v/>
      </c>
      <c r="O253" s="998" t="str">
        <f>IF(AND(Table2[[#This Row],[TYPE]]&lt;&gt;"", Table2[[#This Row],[TYPE]]=Data!$B$4),1,"")</f>
        <v/>
      </c>
      <c r="P253" s="998" t="str">
        <f>IF(AND(Table2[[#This Row],[LV5 MAT NO.]]&lt;&gt;"", Table2[[#This Row],[LV5 MAT NO.]]=Data!$B$5),1,"")</f>
        <v/>
      </c>
      <c r="Q253" s="998" t="str">
        <f>IF(AND(Table2[[#This Row],[FROM]]&lt;&gt;"", Table2[[#This Row],[FROM]]=Data!$B$7),1,"")</f>
        <v/>
      </c>
      <c r="R253" s="998" t="str">
        <f>IF(AND(Table2[[#This Row],[LV3 or LV4 MAT NO.]]&lt;&gt;"", Table2[[#This Row],[LV3 or LV4 MAT NO.]]=Data!$B$8),1,"")</f>
        <v/>
      </c>
      <c r="S253" s="998"/>
      <c r="T253" s="998"/>
      <c r="U253" s="804" t="str">
        <f>IF(Table4[[#This Row],[Write "N" To Remove The Default]]="N","",IF(AND(COUNTA(Table2[[#This Row],[SEREAL NO.]:[REMARKS]])=SUM( L253:T253),SUM( L253:T253)&lt;&gt;0),Table2[[#This Row],[Instruction]],""))</f>
        <v/>
      </c>
      <c r="V253" s="804"/>
    </row>
    <row r="254" spans="9:22" x14ac:dyDescent="0.35">
      <c r="I254" s="1000"/>
      <c r="L254" s="998" t="str">
        <f>IF(AND(Table2[[#This Row],[ORDER NO.]]&lt;&gt;"", Table2[[#This Row],[ORDER NO.]]=Data!$B$1),1,"")</f>
        <v/>
      </c>
      <c r="M254" s="998" t="str">
        <f>IFERROR(IF(AND(Table2[[#This Row],[SEREAL NO.]]&lt;&gt;"", Table2[[#This Row],[SEREAL NO.]]=Data!$A$103),1,""),"")</f>
        <v/>
      </c>
      <c r="N254" s="998" t="str">
        <f>IF(AND(Table2[[#This Row],[SIZE]]&lt;&gt;"", Table2[[#This Row],[SIZE]]=Data!$B$3),1,"")</f>
        <v/>
      </c>
      <c r="O254" s="998" t="str">
        <f>IF(AND(Table2[[#This Row],[TYPE]]&lt;&gt;"", Table2[[#This Row],[TYPE]]=Data!$B$4),1,"")</f>
        <v/>
      </c>
      <c r="P254" s="998" t="str">
        <f>IF(AND(Table2[[#This Row],[LV5 MAT NO.]]&lt;&gt;"", Table2[[#This Row],[LV5 MAT NO.]]=Data!$B$5),1,"")</f>
        <v/>
      </c>
      <c r="Q254" s="998" t="str">
        <f>IF(AND(Table2[[#This Row],[FROM]]&lt;&gt;"", Table2[[#This Row],[FROM]]=Data!$B$7),1,"")</f>
        <v/>
      </c>
      <c r="R254" s="998" t="str">
        <f>IF(AND(Table2[[#This Row],[LV3 or LV4 MAT NO.]]&lt;&gt;"", Table2[[#This Row],[LV3 or LV4 MAT NO.]]=Data!$B$8),1,"")</f>
        <v/>
      </c>
      <c r="S254" s="998"/>
      <c r="T254" s="998"/>
      <c r="U254" s="804" t="str">
        <f>IF(Table4[[#This Row],[Write "N" To Remove The Default]]="N","",IF(AND(COUNTA(Table2[[#This Row],[SEREAL NO.]:[REMARKS]])=SUM( L254:T254),SUM( L254:T254)&lt;&gt;0),Table2[[#This Row],[Instruction]],""))</f>
        <v/>
      </c>
      <c r="V254" s="804"/>
    </row>
    <row r="255" spans="9:22" x14ac:dyDescent="0.35">
      <c r="I255" s="1000"/>
      <c r="L255" s="998" t="str">
        <f>IF(AND(Table2[[#This Row],[ORDER NO.]]&lt;&gt;"", Table2[[#This Row],[ORDER NO.]]=Data!$B$1),1,"")</f>
        <v/>
      </c>
      <c r="M255" s="998" t="str">
        <f>IFERROR(IF(AND(Table2[[#This Row],[SEREAL NO.]]&lt;&gt;"", Table2[[#This Row],[SEREAL NO.]]=Data!$A$103),1,""),"")</f>
        <v/>
      </c>
      <c r="N255" s="998" t="str">
        <f>IF(AND(Table2[[#This Row],[SIZE]]&lt;&gt;"", Table2[[#This Row],[SIZE]]=Data!$B$3),1,"")</f>
        <v/>
      </c>
      <c r="O255" s="998" t="str">
        <f>IF(AND(Table2[[#This Row],[TYPE]]&lt;&gt;"", Table2[[#This Row],[TYPE]]=Data!$B$4),1,"")</f>
        <v/>
      </c>
      <c r="P255" s="998" t="str">
        <f>IF(AND(Table2[[#This Row],[LV5 MAT NO.]]&lt;&gt;"", Table2[[#This Row],[LV5 MAT NO.]]=Data!$B$5),1,"")</f>
        <v/>
      </c>
      <c r="Q255" s="998" t="str">
        <f>IF(AND(Table2[[#This Row],[FROM]]&lt;&gt;"", Table2[[#This Row],[FROM]]=Data!$B$7),1,"")</f>
        <v/>
      </c>
      <c r="R255" s="998" t="str">
        <f>IF(AND(Table2[[#This Row],[LV3 or LV4 MAT NO.]]&lt;&gt;"", Table2[[#This Row],[LV3 or LV4 MAT NO.]]=Data!$B$8),1,"")</f>
        <v/>
      </c>
      <c r="S255" s="998"/>
      <c r="T255" s="998"/>
      <c r="U255" s="804" t="str">
        <f>IF(Table4[[#This Row],[Write "N" To Remove The Default]]="N","",IF(AND(COUNTA(Table2[[#This Row],[SEREAL NO.]:[REMARKS]])=SUM( L255:T255),SUM( L255:T255)&lt;&gt;0),Table2[[#This Row],[Instruction]],""))</f>
        <v/>
      </c>
      <c r="V255" s="804"/>
    </row>
    <row r="256" spans="9:22" x14ac:dyDescent="0.35">
      <c r="I256" s="1000"/>
      <c r="L256" s="998" t="str">
        <f>IF(AND(Table2[[#This Row],[ORDER NO.]]&lt;&gt;"", Table2[[#This Row],[ORDER NO.]]=Data!$B$1),1,"")</f>
        <v/>
      </c>
      <c r="M256" s="998" t="str">
        <f>IFERROR(IF(AND(Table2[[#This Row],[SEREAL NO.]]&lt;&gt;"", Table2[[#This Row],[SEREAL NO.]]=Data!$A$103),1,""),"")</f>
        <v/>
      </c>
      <c r="N256" s="998" t="str">
        <f>IF(AND(Table2[[#This Row],[SIZE]]&lt;&gt;"", Table2[[#This Row],[SIZE]]=Data!$B$3),1,"")</f>
        <v/>
      </c>
      <c r="O256" s="998" t="str">
        <f>IF(AND(Table2[[#This Row],[TYPE]]&lt;&gt;"", Table2[[#This Row],[TYPE]]=Data!$B$4),1,"")</f>
        <v/>
      </c>
      <c r="P256" s="998" t="str">
        <f>IF(AND(Table2[[#This Row],[LV5 MAT NO.]]&lt;&gt;"", Table2[[#This Row],[LV5 MAT NO.]]=Data!$B$5),1,"")</f>
        <v/>
      </c>
      <c r="Q256" s="998" t="str">
        <f>IF(AND(Table2[[#This Row],[FROM]]&lt;&gt;"", Table2[[#This Row],[FROM]]=Data!$B$7),1,"")</f>
        <v/>
      </c>
      <c r="R256" s="998" t="str">
        <f>IF(AND(Table2[[#This Row],[LV3 or LV4 MAT NO.]]&lt;&gt;"", Table2[[#This Row],[LV3 or LV4 MAT NO.]]=Data!$B$8),1,"")</f>
        <v/>
      </c>
      <c r="S256" s="998"/>
      <c r="T256" s="998"/>
      <c r="U256" s="804" t="str">
        <f>IF(Table4[[#This Row],[Write "N" To Remove The Default]]="N","",IF(AND(COUNTA(Table2[[#This Row],[SEREAL NO.]:[REMARKS]])=SUM( L256:T256),SUM( L256:T256)&lt;&gt;0),Table2[[#This Row],[Instruction]],""))</f>
        <v/>
      </c>
      <c r="V256" s="804"/>
    </row>
    <row r="257" spans="9:22" x14ac:dyDescent="0.35">
      <c r="I257" s="1000"/>
      <c r="L257" s="998" t="str">
        <f>IF(AND(Table2[[#This Row],[ORDER NO.]]&lt;&gt;"", Table2[[#This Row],[ORDER NO.]]=Data!$B$1),1,"")</f>
        <v/>
      </c>
      <c r="M257" s="998" t="str">
        <f>IFERROR(IF(AND(Table2[[#This Row],[SEREAL NO.]]&lt;&gt;"", Table2[[#This Row],[SEREAL NO.]]=Data!$A$103),1,""),"")</f>
        <v/>
      </c>
      <c r="N257" s="998" t="str">
        <f>IF(AND(Table2[[#This Row],[SIZE]]&lt;&gt;"", Table2[[#This Row],[SIZE]]=Data!$B$3),1,"")</f>
        <v/>
      </c>
      <c r="O257" s="998" t="str">
        <f>IF(AND(Table2[[#This Row],[TYPE]]&lt;&gt;"", Table2[[#This Row],[TYPE]]=Data!$B$4),1,"")</f>
        <v/>
      </c>
      <c r="P257" s="998" t="str">
        <f>IF(AND(Table2[[#This Row],[LV5 MAT NO.]]&lt;&gt;"", Table2[[#This Row],[LV5 MAT NO.]]=Data!$B$5),1,"")</f>
        <v/>
      </c>
      <c r="Q257" s="998" t="str">
        <f>IF(AND(Table2[[#This Row],[FROM]]&lt;&gt;"", Table2[[#This Row],[FROM]]=Data!$B$7),1,"")</f>
        <v/>
      </c>
      <c r="R257" s="998" t="str">
        <f>IF(AND(Table2[[#This Row],[LV3 or LV4 MAT NO.]]&lt;&gt;"", Table2[[#This Row],[LV3 or LV4 MAT NO.]]=Data!$B$8),1,"")</f>
        <v/>
      </c>
      <c r="S257" s="998"/>
      <c r="T257" s="998"/>
      <c r="U257" s="804" t="str">
        <f>IF(Table4[[#This Row],[Write "N" To Remove The Default]]="N","",IF(AND(COUNTA(Table2[[#This Row],[SEREAL NO.]:[REMARKS]])=SUM( L257:T257),SUM( L257:T257)&lt;&gt;0),Table2[[#This Row],[Instruction]],""))</f>
        <v/>
      </c>
      <c r="V257" s="804"/>
    </row>
    <row r="258" spans="9:22" x14ac:dyDescent="0.35">
      <c r="I258" s="1000"/>
      <c r="L258" s="998" t="str">
        <f>IF(AND(Table2[[#This Row],[ORDER NO.]]&lt;&gt;"", Table2[[#This Row],[ORDER NO.]]=Data!$B$1),1,"")</f>
        <v/>
      </c>
      <c r="M258" s="998" t="str">
        <f>IFERROR(IF(AND(Table2[[#This Row],[SEREAL NO.]]&lt;&gt;"", Table2[[#This Row],[SEREAL NO.]]=Data!$A$103),1,""),"")</f>
        <v/>
      </c>
      <c r="N258" s="998" t="str">
        <f>IF(AND(Table2[[#This Row],[SIZE]]&lt;&gt;"", Table2[[#This Row],[SIZE]]=Data!$B$3),1,"")</f>
        <v/>
      </c>
      <c r="O258" s="998" t="str">
        <f>IF(AND(Table2[[#This Row],[TYPE]]&lt;&gt;"", Table2[[#This Row],[TYPE]]=Data!$B$4),1,"")</f>
        <v/>
      </c>
      <c r="P258" s="998" t="str">
        <f>IF(AND(Table2[[#This Row],[LV5 MAT NO.]]&lt;&gt;"", Table2[[#This Row],[LV5 MAT NO.]]=Data!$B$5),1,"")</f>
        <v/>
      </c>
      <c r="Q258" s="998" t="str">
        <f>IF(AND(Table2[[#This Row],[FROM]]&lt;&gt;"", Table2[[#This Row],[FROM]]=Data!$B$7),1,"")</f>
        <v/>
      </c>
      <c r="R258" s="998" t="str">
        <f>IF(AND(Table2[[#This Row],[LV3 or LV4 MAT NO.]]&lt;&gt;"", Table2[[#This Row],[LV3 or LV4 MAT NO.]]=Data!$B$8),1,"")</f>
        <v/>
      </c>
      <c r="S258" s="998"/>
      <c r="T258" s="998"/>
      <c r="U258" s="804" t="str">
        <f>IF(Table4[[#This Row],[Write "N" To Remove The Default]]="N","",IF(AND(COUNTA(Table2[[#This Row],[SEREAL NO.]:[REMARKS]])=SUM( L258:T258),SUM( L258:T258)&lt;&gt;0),Table2[[#This Row],[Instruction]],""))</f>
        <v/>
      </c>
      <c r="V258" s="804"/>
    </row>
    <row r="259" spans="9:22" x14ac:dyDescent="0.35">
      <c r="I259" s="1000"/>
      <c r="L259" s="998" t="str">
        <f>IF(AND(Table2[[#This Row],[ORDER NO.]]&lt;&gt;"", Table2[[#This Row],[ORDER NO.]]=Data!$B$1),1,"")</f>
        <v/>
      </c>
      <c r="M259" s="998" t="str">
        <f>IFERROR(IF(AND(Table2[[#This Row],[SEREAL NO.]]&lt;&gt;"", Table2[[#This Row],[SEREAL NO.]]=Data!$A$103),1,""),"")</f>
        <v/>
      </c>
      <c r="N259" s="998" t="str">
        <f>IF(AND(Table2[[#This Row],[SIZE]]&lt;&gt;"", Table2[[#This Row],[SIZE]]=Data!$B$3),1,"")</f>
        <v/>
      </c>
      <c r="O259" s="998" t="str">
        <f>IF(AND(Table2[[#This Row],[TYPE]]&lt;&gt;"", Table2[[#This Row],[TYPE]]=Data!$B$4),1,"")</f>
        <v/>
      </c>
      <c r="P259" s="998" t="str">
        <f>IF(AND(Table2[[#This Row],[LV5 MAT NO.]]&lt;&gt;"", Table2[[#This Row],[LV5 MAT NO.]]=Data!$B$5),1,"")</f>
        <v/>
      </c>
      <c r="Q259" s="998" t="str">
        <f>IF(AND(Table2[[#This Row],[FROM]]&lt;&gt;"", Table2[[#This Row],[FROM]]=Data!$B$7),1,"")</f>
        <v/>
      </c>
      <c r="R259" s="998" t="str">
        <f>IF(AND(Table2[[#This Row],[LV3 or LV4 MAT NO.]]&lt;&gt;"", Table2[[#This Row],[LV3 or LV4 MAT NO.]]=Data!$B$8),1,"")</f>
        <v/>
      </c>
      <c r="S259" s="998"/>
      <c r="T259" s="998"/>
      <c r="U259" s="804" t="str">
        <f>IF(Table4[[#This Row],[Write "N" To Remove The Default]]="N","",IF(AND(COUNTA(Table2[[#This Row],[SEREAL NO.]:[REMARKS]])=SUM( L259:T259),SUM( L259:T259)&lt;&gt;0),Table2[[#This Row],[Instruction]],""))</f>
        <v/>
      </c>
      <c r="V259" s="804"/>
    </row>
    <row r="260" spans="9:22" x14ac:dyDescent="0.35">
      <c r="I260" s="1000"/>
      <c r="L260" s="998" t="str">
        <f>IF(AND(Table2[[#This Row],[ORDER NO.]]&lt;&gt;"", Table2[[#This Row],[ORDER NO.]]=Data!$B$1),1,"")</f>
        <v/>
      </c>
      <c r="M260" s="998" t="str">
        <f>IFERROR(IF(AND(Table2[[#This Row],[SEREAL NO.]]&lt;&gt;"", Table2[[#This Row],[SEREAL NO.]]=Data!$A$103),1,""),"")</f>
        <v/>
      </c>
      <c r="N260" s="998" t="str">
        <f>IF(AND(Table2[[#This Row],[SIZE]]&lt;&gt;"", Table2[[#This Row],[SIZE]]=Data!$B$3),1,"")</f>
        <v/>
      </c>
      <c r="O260" s="998" t="str">
        <f>IF(AND(Table2[[#This Row],[TYPE]]&lt;&gt;"", Table2[[#This Row],[TYPE]]=Data!$B$4),1,"")</f>
        <v/>
      </c>
      <c r="P260" s="998" t="str">
        <f>IF(AND(Table2[[#This Row],[LV5 MAT NO.]]&lt;&gt;"", Table2[[#This Row],[LV5 MAT NO.]]=Data!$B$5),1,"")</f>
        <v/>
      </c>
      <c r="Q260" s="998" t="str">
        <f>IF(AND(Table2[[#This Row],[FROM]]&lt;&gt;"", Table2[[#This Row],[FROM]]=Data!$B$7),1,"")</f>
        <v/>
      </c>
      <c r="R260" s="998" t="str">
        <f>IF(AND(Table2[[#This Row],[LV3 or LV4 MAT NO.]]&lt;&gt;"", Table2[[#This Row],[LV3 or LV4 MAT NO.]]=Data!$B$8),1,"")</f>
        <v/>
      </c>
      <c r="S260" s="998"/>
      <c r="T260" s="998"/>
      <c r="U260" s="804" t="str">
        <f>IF(Table4[[#This Row],[Write "N" To Remove The Default]]="N","",IF(AND(COUNTA(Table2[[#This Row],[SEREAL NO.]:[REMARKS]])=SUM( L260:T260),SUM( L260:T260)&lt;&gt;0),Table2[[#This Row],[Instruction]],""))</f>
        <v/>
      </c>
      <c r="V260" s="804"/>
    </row>
    <row r="261" spans="9:22" x14ac:dyDescent="0.35">
      <c r="I261" s="1000"/>
      <c r="L261" s="998" t="str">
        <f>IF(AND(Table2[[#This Row],[ORDER NO.]]&lt;&gt;"", Table2[[#This Row],[ORDER NO.]]=Data!$B$1),1,"")</f>
        <v/>
      </c>
      <c r="M261" s="998" t="str">
        <f>IFERROR(IF(AND(Table2[[#This Row],[SEREAL NO.]]&lt;&gt;"", Table2[[#This Row],[SEREAL NO.]]=Data!$A$103),1,""),"")</f>
        <v/>
      </c>
      <c r="N261" s="998" t="str">
        <f>IF(AND(Table2[[#This Row],[SIZE]]&lt;&gt;"", Table2[[#This Row],[SIZE]]=Data!$B$3),1,"")</f>
        <v/>
      </c>
      <c r="O261" s="998" t="str">
        <f>IF(AND(Table2[[#This Row],[TYPE]]&lt;&gt;"", Table2[[#This Row],[TYPE]]=Data!$B$4),1,"")</f>
        <v/>
      </c>
      <c r="P261" s="998" t="str">
        <f>IF(AND(Table2[[#This Row],[LV5 MAT NO.]]&lt;&gt;"", Table2[[#This Row],[LV5 MAT NO.]]=Data!$B$5),1,"")</f>
        <v/>
      </c>
      <c r="Q261" s="998" t="str">
        <f>IF(AND(Table2[[#This Row],[FROM]]&lt;&gt;"", Table2[[#This Row],[FROM]]=Data!$B$7),1,"")</f>
        <v/>
      </c>
      <c r="R261" s="998" t="str">
        <f>IF(AND(Table2[[#This Row],[LV3 or LV4 MAT NO.]]&lt;&gt;"", Table2[[#This Row],[LV3 or LV4 MAT NO.]]=Data!$B$8),1,"")</f>
        <v/>
      </c>
      <c r="S261" s="998"/>
      <c r="T261" s="998"/>
      <c r="U261" s="804" t="str">
        <f>IF(Table4[[#This Row],[Write "N" To Remove The Default]]="N","",IF(AND(COUNTA(Table2[[#This Row],[SEREAL NO.]:[REMARKS]])=SUM( L261:T261),SUM( L261:T261)&lt;&gt;0),Table2[[#This Row],[Instruction]],""))</f>
        <v/>
      </c>
      <c r="V261" s="804"/>
    </row>
    <row r="262" spans="9:22" x14ac:dyDescent="0.35">
      <c r="I262" s="1000"/>
      <c r="L262" s="998" t="str">
        <f>IF(AND(Table2[[#This Row],[ORDER NO.]]&lt;&gt;"", Table2[[#This Row],[ORDER NO.]]=Data!$B$1),1,"")</f>
        <v/>
      </c>
      <c r="M262" s="998" t="str">
        <f>IFERROR(IF(AND(Table2[[#This Row],[SEREAL NO.]]&lt;&gt;"", Table2[[#This Row],[SEREAL NO.]]=Data!$A$103),1,""),"")</f>
        <v/>
      </c>
      <c r="N262" s="998" t="str">
        <f>IF(AND(Table2[[#This Row],[SIZE]]&lt;&gt;"", Table2[[#This Row],[SIZE]]=Data!$B$3),1,"")</f>
        <v/>
      </c>
      <c r="O262" s="998" t="str">
        <f>IF(AND(Table2[[#This Row],[TYPE]]&lt;&gt;"", Table2[[#This Row],[TYPE]]=Data!$B$4),1,"")</f>
        <v/>
      </c>
      <c r="P262" s="998" t="str">
        <f>IF(AND(Table2[[#This Row],[LV5 MAT NO.]]&lt;&gt;"", Table2[[#This Row],[LV5 MAT NO.]]=Data!$B$5),1,"")</f>
        <v/>
      </c>
      <c r="Q262" s="998" t="str">
        <f>IF(AND(Table2[[#This Row],[FROM]]&lt;&gt;"", Table2[[#This Row],[FROM]]=Data!$B$7),1,"")</f>
        <v/>
      </c>
      <c r="R262" s="998" t="str">
        <f>IF(AND(Table2[[#This Row],[LV3 or LV4 MAT NO.]]&lt;&gt;"", Table2[[#This Row],[LV3 or LV4 MAT NO.]]=Data!$B$8),1,"")</f>
        <v/>
      </c>
      <c r="S262" s="998"/>
      <c r="T262" s="998"/>
      <c r="U262" s="804" t="str">
        <f>IF(Table4[[#This Row],[Write "N" To Remove The Default]]="N","",IF(AND(COUNTA(Table2[[#This Row],[SEREAL NO.]:[REMARKS]])=SUM( L262:T262),SUM( L262:T262)&lt;&gt;0),Table2[[#This Row],[Instruction]],""))</f>
        <v/>
      </c>
      <c r="V262" s="804"/>
    </row>
    <row r="263" spans="9:22" x14ac:dyDescent="0.35">
      <c r="I263" s="1000"/>
      <c r="L263" s="998" t="str">
        <f>IF(AND(Table2[[#This Row],[ORDER NO.]]&lt;&gt;"", Table2[[#This Row],[ORDER NO.]]=Data!$B$1),1,"")</f>
        <v/>
      </c>
      <c r="M263" s="998" t="str">
        <f>IFERROR(IF(AND(Table2[[#This Row],[SEREAL NO.]]&lt;&gt;"", Table2[[#This Row],[SEREAL NO.]]=Data!$A$103),1,""),"")</f>
        <v/>
      </c>
      <c r="N263" s="998" t="str">
        <f>IF(AND(Table2[[#This Row],[SIZE]]&lt;&gt;"", Table2[[#This Row],[SIZE]]=Data!$B$3),1,"")</f>
        <v/>
      </c>
      <c r="O263" s="998" t="str">
        <f>IF(AND(Table2[[#This Row],[TYPE]]&lt;&gt;"", Table2[[#This Row],[TYPE]]=Data!$B$4),1,"")</f>
        <v/>
      </c>
      <c r="P263" s="998" t="str">
        <f>IF(AND(Table2[[#This Row],[LV5 MAT NO.]]&lt;&gt;"", Table2[[#This Row],[LV5 MAT NO.]]=Data!$B$5),1,"")</f>
        <v/>
      </c>
      <c r="Q263" s="998" t="str">
        <f>IF(AND(Table2[[#This Row],[FROM]]&lt;&gt;"", Table2[[#This Row],[FROM]]=Data!$B$7),1,"")</f>
        <v/>
      </c>
      <c r="R263" s="998" t="str">
        <f>IF(AND(Table2[[#This Row],[LV3 or LV4 MAT NO.]]&lt;&gt;"", Table2[[#This Row],[LV3 or LV4 MAT NO.]]=Data!$B$8),1,"")</f>
        <v/>
      </c>
      <c r="S263" s="998"/>
      <c r="T263" s="998"/>
      <c r="U263" s="804" t="str">
        <f>IF(Table4[[#This Row],[Write "N" To Remove The Default]]="N","",IF(AND(COUNTA(Table2[[#This Row],[SEREAL NO.]:[REMARKS]])=SUM( L263:T263),SUM( L263:T263)&lt;&gt;0),Table2[[#This Row],[Instruction]],""))</f>
        <v/>
      </c>
      <c r="V263" s="804"/>
    </row>
    <row r="264" spans="9:22" x14ac:dyDescent="0.35">
      <c r="I264" s="1000"/>
      <c r="L264" s="998" t="str">
        <f>IF(AND(Table2[[#This Row],[ORDER NO.]]&lt;&gt;"", Table2[[#This Row],[ORDER NO.]]=Data!$B$1),1,"")</f>
        <v/>
      </c>
      <c r="M264" s="998" t="str">
        <f>IFERROR(IF(AND(Table2[[#This Row],[SEREAL NO.]]&lt;&gt;"", Table2[[#This Row],[SEREAL NO.]]=Data!$A$103),1,""),"")</f>
        <v/>
      </c>
      <c r="N264" s="998" t="str">
        <f>IF(AND(Table2[[#This Row],[SIZE]]&lt;&gt;"", Table2[[#This Row],[SIZE]]=Data!$B$3),1,"")</f>
        <v/>
      </c>
      <c r="O264" s="998" t="str">
        <f>IF(AND(Table2[[#This Row],[TYPE]]&lt;&gt;"", Table2[[#This Row],[TYPE]]=Data!$B$4),1,"")</f>
        <v/>
      </c>
      <c r="P264" s="998" t="str">
        <f>IF(AND(Table2[[#This Row],[LV5 MAT NO.]]&lt;&gt;"", Table2[[#This Row],[LV5 MAT NO.]]=Data!$B$5),1,"")</f>
        <v/>
      </c>
      <c r="Q264" s="998" t="str">
        <f>IF(AND(Table2[[#This Row],[FROM]]&lt;&gt;"", Table2[[#This Row],[FROM]]=Data!$B$7),1,"")</f>
        <v/>
      </c>
      <c r="R264" s="998" t="str">
        <f>IF(AND(Table2[[#This Row],[LV3 or LV4 MAT NO.]]&lt;&gt;"", Table2[[#This Row],[LV3 or LV4 MAT NO.]]=Data!$B$8),1,"")</f>
        <v/>
      </c>
      <c r="S264" s="998"/>
      <c r="T264" s="998"/>
      <c r="U264" s="804" t="str">
        <f>IF(Table4[[#This Row],[Write "N" To Remove The Default]]="N","",IF(AND(COUNTA(Table2[[#This Row],[SEREAL NO.]:[REMARKS]])=SUM( L264:T264),SUM( L264:T264)&lt;&gt;0),Table2[[#This Row],[Instruction]],""))</f>
        <v/>
      </c>
      <c r="V264" s="804"/>
    </row>
    <row r="265" spans="9:22" x14ac:dyDescent="0.35">
      <c r="I265" s="1000"/>
      <c r="L265" s="998" t="str">
        <f>IF(AND(Table2[[#This Row],[ORDER NO.]]&lt;&gt;"", Table2[[#This Row],[ORDER NO.]]=Data!$B$1),1,"")</f>
        <v/>
      </c>
      <c r="M265" s="998" t="str">
        <f>IFERROR(IF(AND(Table2[[#This Row],[SEREAL NO.]]&lt;&gt;"", Table2[[#This Row],[SEREAL NO.]]=Data!$A$103),1,""),"")</f>
        <v/>
      </c>
      <c r="N265" s="998" t="str">
        <f>IF(AND(Table2[[#This Row],[SIZE]]&lt;&gt;"", Table2[[#This Row],[SIZE]]=Data!$B$3),1,"")</f>
        <v/>
      </c>
      <c r="O265" s="998" t="str">
        <f>IF(AND(Table2[[#This Row],[TYPE]]&lt;&gt;"", Table2[[#This Row],[TYPE]]=Data!$B$4),1,"")</f>
        <v/>
      </c>
      <c r="P265" s="998" t="str">
        <f>IF(AND(Table2[[#This Row],[LV5 MAT NO.]]&lt;&gt;"", Table2[[#This Row],[LV5 MAT NO.]]=Data!$B$5),1,"")</f>
        <v/>
      </c>
      <c r="Q265" s="998" t="str">
        <f>IF(AND(Table2[[#This Row],[FROM]]&lt;&gt;"", Table2[[#This Row],[FROM]]=Data!$B$7),1,"")</f>
        <v/>
      </c>
      <c r="R265" s="998" t="str">
        <f>IF(AND(Table2[[#This Row],[LV3 or LV4 MAT NO.]]&lt;&gt;"", Table2[[#This Row],[LV3 or LV4 MAT NO.]]=Data!$B$8),1,"")</f>
        <v/>
      </c>
      <c r="S265" s="998"/>
      <c r="T265" s="998"/>
      <c r="U265" s="804" t="str">
        <f>IF(Table4[[#This Row],[Write "N" To Remove The Default]]="N","",IF(AND(COUNTA(Table2[[#This Row],[SEREAL NO.]:[REMARKS]])=SUM( L265:T265),SUM( L265:T265)&lt;&gt;0),Table2[[#This Row],[Instruction]],""))</f>
        <v/>
      </c>
      <c r="V265" s="804"/>
    </row>
    <row r="266" spans="9:22" x14ac:dyDescent="0.35">
      <c r="I266" s="1000"/>
      <c r="L266" s="998" t="str">
        <f>IF(AND(Table2[[#This Row],[ORDER NO.]]&lt;&gt;"", Table2[[#This Row],[ORDER NO.]]=Data!$B$1),1,"")</f>
        <v/>
      </c>
      <c r="M266" s="998" t="str">
        <f>IFERROR(IF(AND(Table2[[#This Row],[SEREAL NO.]]&lt;&gt;"", Table2[[#This Row],[SEREAL NO.]]=Data!$A$103),1,""),"")</f>
        <v/>
      </c>
      <c r="N266" s="998" t="str">
        <f>IF(AND(Table2[[#This Row],[SIZE]]&lt;&gt;"", Table2[[#This Row],[SIZE]]=Data!$B$3),1,"")</f>
        <v/>
      </c>
      <c r="O266" s="998" t="str">
        <f>IF(AND(Table2[[#This Row],[TYPE]]&lt;&gt;"", Table2[[#This Row],[TYPE]]=Data!$B$4),1,"")</f>
        <v/>
      </c>
      <c r="P266" s="998" t="str">
        <f>IF(AND(Table2[[#This Row],[LV5 MAT NO.]]&lt;&gt;"", Table2[[#This Row],[LV5 MAT NO.]]=Data!$B$5),1,"")</f>
        <v/>
      </c>
      <c r="Q266" s="998" t="str">
        <f>IF(AND(Table2[[#This Row],[FROM]]&lt;&gt;"", Table2[[#This Row],[FROM]]=Data!$B$7),1,"")</f>
        <v/>
      </c>
      <c r="R266" s="998" t="str">
        <f>IF(AND(Table2[[#This Row],[LV3 or LV4 MAT NO.]]&lt;&gt;"", Table2[[#This Row],[LV3 or LV4 MAT NO.]]=Data!$B$8),1,"")</f>
        <v/>
      </c>
      <c r="S266" s="998"/>
      <c r="T266" s="998"/>
      <c r="U266" s="804" t="str">
        <f>IF(Table4[[#This Row],[Write "N" To Remove The Default]]="N","",IF(AND(COUNTA(Table2[[#This Row],[SEREAL NO.]:[REMARKS]])=SUM( L266:T266),SUM( L266:T266)&lt;&gt;0),Table2[[#This Row],[Instruction]],""))</f>
        <v/>
      </c>
      <c r="V266" s="804"/>
    </row>
    <row r="267" spans="9:22" x14ac:dyDescent="0.35">
      <c r="I267" s="1000"/>
      <c r="L267" s="998" t="str">
        <f>IF(AND(Table2[[#This Row],[ORDER NO.]]&lt;&gt;"", Table2[[#This Row],[ORDER NO.]]=Data!$B$1),1,"")</f>
        <v/>
      </c>
      <c r="M267" s="998" t="str">
        <f>IFERROR(IF(AND(Table2[[#This Row],[SEREAL NO.]]&lt;&gt;"", Table2[[#This Row],[SEREAL NO.]]=Data!$A$103),1,""),"")</f>
        <v/>
      </c>
      <c r="N267" s="998" t="str">
        <f>IF(AND(Table2[[#This Row],[SIZE]]&lt;&gt;"", Table2[[#This Row],[SIZE]]=Data!$B$3),1,"")</f>
        <v/>
      </c>
      <c r="O267" s="998" t="str">
        <f>IF(AND(Table2[[#This Row],[TYPE]]&lt;&gt;"", Table2[[#This Row],[TYPE]]=Data!$B$4),1,"")</f>
        <v/>
      </c>
      <c r="P267" s="998" t="str">
        <f>IF(AND(Table2[[#This Row],[LV5 MAT NO.]]&lt;&gt;"", Table2[[#This Row],[LV5 MAT NO.]]=Data!$B$5),1,"")</f>
        <v/>
      </c>
      <c r="Q267" s="998" t="str">
        <f>IF(AND(Table2[[#This Row],[FROM]]&lt;&gt;"", Table2[[#This Row],[FROM]]=Data!$B$7),1,"")</f>
        <v/>
      </c>
      <c r="R267" s="998" t="str">
        <f>IF(AND(Table2[[#This Row],[LV3 or LV4 MAT NO.]]&lt;&gt;"", Table2[[#This Row],[LV3 or LV4 MAT NO.]]=Data!$B$8),1,"")</f>
        <v/>
      </c>
      <c r="S267" s="998"/>
      <c r="T267" s="998"/>
      <c r="U267" s="804" t="str">
        <f>IF(Table4[[#This Row],[Write "N" To Remove The Default]]="N","",IF(AND(COUNTA(Table2[[#This Row],[SEREAL NO.]:[REMARKS]])=SUM( L267:T267),SUM( L267:T267)&lt;&gt;0),Table2[[#This Row],[Instruction]],""))</f>
        <v/>
      </c>
      <c r="V267" s="804"/>
    </row>
    <row r="268" spans="9:22" x14ac:dyDescent="0.35">
      <c r="I268" s="1000"/>
      <c r="L268" s="998" t="str">
        <f>IF(AND(Table2[[#This Row],[ORDER NO.]]&lt;&gt;"", Table2[[#This Row],[ORDER NO.]]=Data!$B$1),1,"")</f>
        <v/>
      </c>
      <c r="M268" s="998" t="str">
        <f>IFERROR(IF(AND(Table2[[#This Row],[SEREAL NO.]]&lt;&gt;"", Table2[[#This Row],[SEREAL NO.]]=Data!$A$103),1,""),"")</f>
        <v/>
      </c>
      <c r="N268" s="998" t="str">
        <f>IF(AND(Table2[[#This Row],[SIZE]]&lt;&gt;"", Table2[[#This Row],[SIZE]]=Data!$B$3),1,"")</f>
        <v/>
      </c>
      <c r="O268" s="998" t="str">
        <f>IF(AND(Table2[[#This Row],[TYPE]]&lt;&gt;"", Table2[[#This Row],[TYPE]]=Data!$B$4),1,"")</f>
        <v/>
      </c>
      <c r="P268" s="998" t="str">
        <f>IF(AND(Table2[[#This Row],[LV5 MAT NO.]]&lt;&gt;"", Table2[[#This Row],[LV5 MAT NO.]]=Data!$B$5),1,"")</f>
        <v/>
      </c>
      <c r="Q268" s="998" t="str">
        <f>IF(AND(Table2[[#This Row],[FROM]]&lt;&gt;"", Table2[[#This Row],[FROM]]=Data!$B$7),1,"")</f>
        <v/>
      </c>
      <c r="R268" s="998" t="str">
        <f>IF(AND(Table2[[#This Row],[LV3 or LV4 MAT NO.]]&lt;&gt;"", Table2[[#This Row],[LV3 or LV4 MAT NO.]]=Data!$B$8),1,"")</f>
        <v/>
      </c>
      <c r="S268" s="998"/>
      <c r="T268" s="998"/>
      <c r="U268" s="804" t="str">
        <f>IF(Table4[[#This Row],[Write "N" To Remove The Default]]="N","",IF(AND(COUNTA(Table2[[#This Row],[SEREAL NO.]:[REMARKS]])=SUM( L268:T268),SUM( L268:T268)&lt;&gt;0),Table2[[#This Row],[Instruction]],""))</f>
        <v/>
      </c>
      <c r="V268" s="804"/>
    </row>
    <row r="269" spans="9:22" x14ac:dyDescent="0.35">
      <c r="I269" s="1000"/>
      <c r="L269" s="998" t="str">
        <f>IF(AND(Table2[[#This Row],[ORDER NO.]]&lt;&gt;"", Table2[[#This Row],[ORDER NO.]]=Data!$B$1),1,"")</f>
        <v/>
      </c>
      <c r="M269" s="998" t="str">
        <f>IFERROR(IF(AND(Table2[[#This Row],[SEREAL NO.]]&lt;&gt;"", Table2[[#This Row],[SEREAL NO.]]=Data!$A$103),1,""),"")</f>
        <v/>
      </c>
      <c r="N269" s="998" t="str">
        <f>IF(AND(Table2[[#This Row],[SIZE]]&lt;&gt;"", Table2[[#This Row],[SIZE]]=Data!$B$3),1,"")</f>
        <v/>
      </c>
      <c r="O269" s="998" t="str">
        <f>IF(AND(Table2[[#This Row],[TYPE]]&lt;&gt;"", Table2[[#This Row],[TYPE]]=Data!$B$4),1,"")</f>
        <v/>
      </c>
      <c r="P269" s="998" t="str">
        <f>IF(AND(Table2[[#This Row],[LV5 MAT NO.]]&lt;&gt;"", Table2[[#This Row],[LV5 MAT NO.]]=Data!$B$5),1,"")</f>
        <v/>
      </c>
      <c r="Q269" s="998" t="str">
        <f>IF(AND(Table2[[#This Row],[FROM]]&lt;&gt;"", Table2[[#This Row],[FROM]]=Data!$B$7),1,"")</f>
        <v/>
      </c>
      <c r="R269" s="998" t="str">
        <f>IF(AND(Table2[[#This Row],[LV3 or LV4 MAT NO.]]&lt;&gt;"", Table2[[#This Row],[LV3 or LV4 MAT NO.]]=Data!$B$8),1,"")</f>
        <v/>
      </c>
      <c r="S269" s="998"/>
      <c r="T269" s="998"/>
      <c r="U269" s="804" t="str">
        <f>IF(Table4[[#This Row],[Write "N" To Remove The Default]]="N","",IF(AND(COUNTA(Table2[[#This Row],[SEREAL NO.]:[REMARKS]])=SUM( L269:T269),SUM( L269:T269)&lt;&gt;0),Table2[[#This Row],[Instruction]],""))</f>
        <v/>
      </c>
      <c r="V269" s="804"/>
    </row>
    <row r="270" spans="9:22" x14ac:dyDescent="0.35">
      <c r="I270" s="1000"/>
      <c r="L270" s="998" t="str">
        <f>IF(AND(Table2[[#This Row],[ORDER NO.]]&lt;&gt;"", Table2[[#This Row],[ORDER NO.]]=Data!$B$1),1,"")</f>
        <v/>
      </c>
      <c r="M270" s="998" t="str">
        <f>IFERROR(IF(AND(Table2[[#This Row],[SEREAL NO.]]&lt;&gt;"", Table2[[#This Row],[SEREAL NO.]]=Data!$A$103),1,""),"")</f>
        <v/>
      </c>
      <c r="N270" s="998" t="str">
        <f>IF(AND(Table2[[#This Row],[SIZE]]&lt;&gt;"", Table2[[#This Row],[SIZE]]=Data!$B$3),1,"")</f>
        <v/>
      </c>
      <c r="O270" s="998" t="str">
        <f>IF(AND(Table2[[#This Row],[TYPE]]&lt;&gt;"", Table2[[#This Row],[TYPE]]=Data!$B$4),1,"")</f>
        <v/>
      </c>
      <c r="P270" s="998" t="str">
        <f>IF(AND(Table2[[#This Row],[LV5 MAT NO.]]&lt;&gt;"", Table2[[#This Row],[LV5 MAT NO.]]=Data!$B$5),1,"")</f>
        <v/>
      </c>
      <c r="Q270" s="998" t="str">
        <f>IF(AND(Table2[[#This Row],[FROM]]&lt;&gt;"", Table2[[#This Row],[FROM]]=Data!$B$7),1,"")</f>
        <v/>
      </c>
      <c r="R270" s="998" t="str">
        <f>IF(AND(Table2[[#This Row],[LV3 or LV4 MAT NO.]]&lt;&gt;"", Table2[[#This Row],[LV3 or LV4 MAT NO.]]=Data!$B$8),1,"")</f>
        <v/>
      </c>
      <c r="S270" s="998"/>
      <c r="T270" s="998"/>
      <c r="U270" s="804" t="str">
        <f>IF(Table4[[#This Row],[Write "N" To Remove The Default]]="N","",IF(AND(COUNTA(Table2[[#This Row],[SEREAL NO.]:[REMARKS]])=SUM( L270:T270),SUM( L270:T270)&lt;&gt;0),Table2[[#This Row],[Instruction]],""))</f>
        <v/>
      </c>
      <c r="V270" s="804"/>
    </row>
    <row r="271" spans="9:22" x14ac:dyDescent="0.35">
      <c r="I271" s="1000"/>
      <c r="L271" s="998" t="str">
        <f>IF(AND(Table2[[#This Row],[ORDER NO.]]&lt;&gt;"", Table2[[#This Row],[ORDER NO.]]=Data!$B$1),1,"")</f>
        <v/>
      </c>
      <c r="M271" s="998" t="str">
        <f>IFERROR(IF(AND(Table2[[#This Row],[SEREAL NO.]]&lt;&gt;"", Table2[[#This Row],[SEREAL NO.]]=Data!$A$103),1,""),"")</f>
        <v/>
      </c>
      <c r="N271" s="998" t="str">
        <f>IF(AND(Table2[[#This Row],[SIZE]]&lt;&gt;"", Table2[[#This Row],[SIZE]]=Data!$B$3),1,"")</f>
        <v/>
      </c>
      <c r="O271" s="998" t="str">
        <f>IF(AND(Table2[[#This Row],[TYPE]]&lt;&gt;"", Table2[[#This Row],[TYPE]]=Data!$B$4),1,"")</f>
        <v/>
      </c>
      <c r="P271" s="998" t="str">
        <f>IF(AND(Table2[[#This Row],[LV5 MAT NO.]]&lt;&gt;"", Table2[[#This Row],[LV5 MAT NO.]]=Data!$B$5),1,"")</f>
        <v/>
      </c>
      <c r="Q271" s="998" t="str">
        <f>IF(AND(Table2[[#This Row],[FROM]]&lt;&gt;"", Table2[[#This Row],[FROM]]=Data!$B$7),1,"")</f>
        <v/>
      </c>
      <c r="R271" s="998" t="str">
        <f>IF(AND(Table2[[#This Row],[LV3 or LV4 MAT NO.]]&lt;&gt;"", Table2[[#This Row],[LV3 or LV4 MAT NO.]]=Data!$B$8),1,"")</f>
        <v/>
      </c>
      <c r="S271" s="998"/>
      <c r="T271" s="998"/>
      <c r="U271" s="804" t="str">
        <f>IF(Table4[[#This Row],[Write "N" To Remove The Default]]="N","",IF(AND(COUNTA(Table2[[#This Row],[SEREAL NO.]:[REMARKS]])=SUM( L271:T271),SUM( L271:T271)&lt;&gt;0),Table2[[#This Row],[Instruction]],""))</f>
        <v/>
      </c>
      <c r="V271" s="804"/>
    </row>
    <row r="272" spans="9:22" x14ac:dyDescent="0.35">
      <c r="I272" s="1000"/>
      <c r="L272" s="998" t="str">
        <f>IF(AND(Table2[[#This Row],[ORDER NO.]]&lt;&gt;"", Table2[[#This Row],[ORDER NO.]]=Data!$B$1),1,"")</f>
        <v/>
      </c>
      <c r="M272" s="998" t="str">
        <f>IFERROR(IF(AND(Table2[[#This Row],[SEREAL NO.]]&lt;&gt;"", Table2[[#This Row],[SEREAL NO.]]=Data!$A$103),1,""),"")</f>
        <v/>
      </c>
      <c r="N272" s="998" t="str">
        <f>IF(AND(Table2[[#This Row],[SIZE]]&lt;&gt;"", Table2[[#This Row],[SIZE]]=Data!$B$3),1,"")</f>
        <v/>
      </c>
      <c r="O272" s="998" t="str">
        <f>IF(AND(Table2[[#This Row],[TYPE]]&lt;&gt;"", Table2[[#This Row],[TYPE]]=Data!$B$4),1,"")</f>
        <v/>
      </c>
      <c r="P272" s="998" t="str">
        <f>IF(AND(Table2[[#This Row],[LV5 MAT NO.]]&lt;&gt;"", Table2[[#This Row],[LV5 MAT NO.]]=Data!$B$5),1,"")</f>
        <v/>
      </c>
      <c r="Q272" s="998" t="str">
        <f>IF(AND(Table2[[#This Row],[FROM]]&lt;&gt;"", Table2[[#This Row],[FROM]]=Data!$B$7),1,"")</f>
        <v/>
      </c>
      <c r="R272" s="998" t="str">
        <f>IF(AND(Table2[[#This Row],[LV3 or LV4 MAT NO.]]&lt;&gt;"", Table2[[#This Row],[LV3 or LV4 MAT NO.]]=Data!$B$8),1,"")</f>
        <v/>
      </c>
      <c r="S272" s="998"/>
      <c r="T272" s="998"/>
      <c r="U272" s="804" t="str">
        <f>IF(Table4[[#This Row],[Write "N" To Remove The Default]]="N","",IF(AND(COUNTA(Table2[[#This Row],[SEREAL NO.]:[REMARKS]])=SUM( L272:T272),SUM( L272:T272)&lt;&gt;0),Table2[[#This Row],[Instruction]],""))</f>
        <v/>
      </c>
      <c r="V272" s="804"/>
    </row>
    <row r="273" spans="9:22" x14ac:dyDescent="0.35">
      <c r="I273" s="1000"/>
      <c r="L273" s="998" t="str">
        <f>IF(AND(Table2[[#This Row],[ORDER NO.]]&lt;&gt;"", Table2[[#This Row],[ORDER NO.]]=Data!$B$1),1,"")</f>
        <v/>
      </c>
      <c r="M273" s="998" t="str">
        <f>IFERROR(IF(AND(Table2[[#This Row],[SEREAL NO.]]&lt;&gt;"", Table2[[#This Row],[SEREAL NO.]]=Data!$A$103),1,""),"")</f>
        <v/>
      </c>
      <c r="N273" s="998" t="str">
        <f>IF(AND(Table2[[#This Row],[SIZE]]&lt;&gt;"", Table2[[#This Row],[SIZE]]=Data!$B$3),1,"")</f>
        <v/>
      </c>
      <c r="O273" s="998" t="str">
        <f>IF(AND(Table2[[#This Row],[TYPE]]&lt;&gt;"", Table2[[#This Row],[TYPE]]=Data!$B$4),1,"")</f>
        <v/>
      </c>
      <c r="P273" s="998" t="str">
        <f>IF(AND(Table2[[#This Row],[LV5 MAT NO.]]&lt;&gt;"", Table2[[#This Row],[LV5 MAT NO.]]=Data!$B$5),1,"")</f>
        <v/>
      </c>
      <c r="Q273" s="998" t="str">
        <f>IF(AND(Table2[[#This Row],[FROM]]&lt;&gt;"", Table2[[#This Row],[FROM]]=Data!$B$7),1,"")</f>
        <v/>
      </c>
      <c r="R273" s="998" t="str">
        <f>IF(AND(Table2[[#This Row],[LV3 or LV4 MAT NO.]]&lt;&gt;"", Table2[[#This Row],[LV3 or LV4 MAT NO.]]=Data!$B$8),1,"")</f>
        <v/>
      </c>
      <c r="S273" s="998"/>
      <c r="T273" s="998"/>
      <c r="U273" s="804" t="str">
        <f>IF(Table4[[#This Row],[Write "N" To Remove The Default]]="N","",IF(AND(COUNTA(Table2[[#This Row],[SEREAL NO.]:[REMARKS]])=SUM( L273:T273),SUM( L273:T273)&lt;&gt;0),Table2[[#This Row],[Instruction]],""))</f>
        <v/>
      </c>
      <c r="V273" s="804"/>
    </row>
    <row r="274" spans="9:22" x14ac:dyDescent="0.35">
      <c r="I274" s="1000"/>
      <c r="L274" s="998" t="str">
        <f>IF(AND(Table2[[#This Row],[ORDER NO.]]&lt;&gt;"", Table2[[#This Row],[ORDER NO.]]=Data!$B$1),1,"")</f>
        <v/>
      </c>
      <c r="M274" s="998" t="str">
        <f>IFERROR(IF(AND(Table2[[#This Row],[SEREAL NO.]]&lt;&gt;"", Table2[[#This Row],[SEREAL NO.]]=Data!$A$103),1,""),"")</f>
        <v/>
      </c>
      <c r="N274" s="998" t="str">
        <f>IF(AND(Table2[[#This Row],[SIZE]]&lt;&gt;"", Table2[[#This Row],[SIZE]]=Data!$B$3),1,"")</f>
        <v/>
      </c>
      <c r="O274" s="998" t="str">
        <f>IF(AND(Table2[[#This Row],[TYPE]]&lt;&gt;"", Table2[[#This Row],[TYPE]]=Data!$B$4),1,"")</f>
        <v/>
      </c>
      <c r="P274" s="998" t="str">
        <f>IF(AND(Table2[[#This Row],[LV5 MAT NO.]]&lt;&gt;"", Table2[[#This Row],[LV5 MAT NO.]]=Data!$B$5),1,"")</f>
        <v/>
      </c>
      <c r="Q274" s="998" t="str">
        <f>IF(AND(Table2[[#This Row],[FROM]]&lt;&gt;"", Table2[[#This Row],[FROM]]=Data!$B$7),1,"")</f>
        <v/>
      </c>
      <c r="R274" s="998" t="str">
        <f>IF(AND(Table2[[#This Row],[LV3 or LV4 MAT NO.]]&lt;&gt;"", Table2[[#This Row],[LV3 or LV4 MAT NO.]]=Data!$B$8),1,"")</f>
        <v/>
      </c>
      <c r="S274" s="998"/>
      <c r="T274" s="998"/>
      <c r="U274" s="804" t="str">
        <f>IF(Table4[[#This Row],[Write "N" To Remove The Default]]="N","",IF(AND(COUNTA(Table2[[#This Row],[SEREAL NO.]:[REMARKS]])=SUM( L274:T274),SUM( L274:T274)&lt;&gt;0),Table2[[#This Row],[Instruction]],""))</f>
        <v/>
      </c>
      <c r="V274" s="804"/>
    </row>
    <row r="275" spans="9:22" x14ac:dyDescent="0.35">
      <c r="I275" s="1000"/>
      <c r="L275" s="998" t="str">
        <f>IF(AND(Table2[[#This Row],[ORDER NO.]]&lt;&gt;"", Table2[[#This Row],[ORDER NO.]]=Data!$B$1),1,"")</f>
        <v/>
      </c>
      <c r="M275" s="998" t="str">
        <f>IFERROR(IF(AND(Table2[[#This Row],[SEREAL NO.]]&lt;&gt;"", Table2[[#This Row],[SEREAL NO.]]=Data!$A$103),1,""),"")</f>
        <v/>
      </c>
      <c r="N275" s="998" t="str">
        <f>IF(AND(Table2[[#This Row],[SIZE]]&lt;&gt;"", Table2[[#This Row],[SIZE]]=Data!$B$3),1,"")</f>
        <v/>
      </c>
      <c r="O275" s="998" t="str">
        <f>IF(AND(Table2[[#This Row],[TYPE]]&lt;&gt;"", Table2[[#This Row],[TYPE]]=Data!$B$4),1,"")</f>
        <v/>
      </c>
      <c r="P275" s="998" t="str">
        <f>IF(AND(Table2[[#This Row],[LV5 MAT NO.]]&lt;&gt;"", Table2[[#This Row],[LV5 MAT NO.]]=Data!$B$5),1,"")</f>
        <v/>
      </c>
      <c r="Q275" s="998" t="str">
        <f>IF(AND(Table2[[#This Row],[FROM]]&lt;&gt;"", Table2[[#This Row],[FROM]]=Data!$B$7),1,"")</f>
        <v/>
      </c>
      <c r="R275" s="998" t="str">
        <f>IF(AND(Table2[[#This Row],[LV3 or LV4 MAT NO.]]&lt;&gt;"", Table2[[#This Row],[LV3 or LV4 MAT NO.]]=Data!$B$8),1,"")</f>
        <v/>
      </c>
      <c r="S275" s="998"/>
      <c r="T275" s="998"/>
      <c r="U275" s="804" t="str">
        <f>IF(Table4[[#This Row],[Write "N" To Remove The Default]]="N","",IF(AND(COUNTA(Table2[[#This Row],[SEREAL NO.]:[REMARKS]])=SUM( L275:T275),SUM( L275:T275)&lt;&gt;0),Table2[[#This Row],[Instruction]],""))</f>
        <v/>
      </c>
      <c r="V275" s="804"/>
    </row>
    <row r="276" spans="9:22" x14ac:dyDescent="0.35">
      <c r="I276" s="1000"/>
      <c r="L276" s="998" t="str">
        <f>IF(AND(Table2[[#This Row],[ORDER NO.]]&lt;&gt;"", Table2[[#This Row],[ORDER NO.]]=Data!$B$1),1,"")</f>
        <v/>
      </c>
      <c r="M276" s="998" t="str">
        <f>IFERROR(IF(AND(Table2[[#This Row],[SEREAL NO.]]&lt;&gt;"", Table2[[#This Row],[SEREAL NO.]]=Data!$A$103),1,""),"")</f>
        <v/>
      </c>
      <c r="N276" s="998" t="str">
        <f>IF(AND(Table2[[#This Row],[SIZE]]&lt;&gt;"", Table2[[#This Row],[SIZE]]=Data!$B$3),1,"")</f>
        <v/>
      </c>
      <c r="O276" s="998" t="str">
        <f>IF(AND(Table2[[#This Row],[TYPE]]&lt;&gt;"", Table2[[#This Row],[TYPE]]=Data!$B$4),1,"")</f>
        <v/>
      </c>
      <c r="P276" s="998" t="str">
        <f>IF(AND(Table2[[#This Row],[LV5 MAT NO.]]&lt;&gt;"", Table2[[#This Row],[LV5 MAT NO.]]=Data!$B$5),1,"")</f>
        <v/>
      </c>
      <c r="Q276" s="998" t="str">
        <f>IF(AND(Table2[[#This Row],[FROM]]&lt;&gt;"", Table2[[#This Row],[FROM]]=Data!$B$7),1,"")</f>
        <v/>
      </c>
      <c r="R276" s="998" t="str">
        <f>IF(AND(Table2[[#This Row],[LV3 or LV4 MAT NO.]]&lt;&gt;"", Table2[[#This Row],[LV3 or LV4 MAT NO.]]=Data!$B$8),1,"")</f>
        <v/>
      </c>
      <c r="S276" s="998"/>
      <c r="T276" s="998"/>
      <c r="U276" s="804" t="str">
        <f>IF(Table4[[#This Row],[Write "N" To Remove The Default]]="N","",IF(AND(COUNTA(Table2[[#This Row],[SEREAL NO.]:[REMARKS]])=SUM( L276:T276),SUM( L276:T276)&lt;&gt;0),Table2[[#This Row],[Instruction]],""))</f>
        <v/>
      </c>
      <c r="V276" s="804"/>
    </row>
    <row r="277" spans="9:22" x14ac:dyDescent="0.35">
      <c r="I277" s="1000"/>
      <c r="L277" s="998" t="str">
        <f>IF(AND(Table2[[#This Row],[ORDER NO.]]&lt;&gt;"", Table2[[#This Row],[ORDER NO.]]=Data!$B$1),1,"")</f>
        <v/>
      </c>
      <c r="M277" s="998" t="str">
        <f>IFERROR(IF(AND(Table2[[#This Row],[SEREAL NO.]]&lt;&gt;"", Table2[[#This Row],[SEREAL NO.]]=Data!$A$103),1,""),"")</f>
        <v/>
      </c>
      <c r="N277" s="998" t="str">
        <f>IF(AND(Table2[[#This Row],[SIZE]]&lt;&gt;"", Table2[[#This Row],[SIZE]]=Data!$B$3),1,"")</f>
        <v/>
      </c>
      <c r="O277" s="998" t="str">
        <f>IF(AND(Table2[[#This Row],[TYPE]]&lt;&gt;"", Table2[[#This Row],[TYPE]]=Data!$B$4),1,"")</f>
        <v/>
      </c>
      <c r="P277" s="998" t="str">
        <f>IF(AND(Table2[[#This Row],[LV5 MAT NO.]]&lt;&gt;"", Table2[[#This Row],[LV5 MAT NO.]]=Data!$B$5),1,"")</f>
        <v/>
      </c>
      <c r="Q277" s="998" t="str">
        <f>IF(AND(Table2[[#This Row],[FROM]]&lt;&gt;"", Table2[[#This Row],[FROM]]=Data!$B$7),1,"")</f>
        <v/>
      </c>
      <c r="R277" s="998" t="str">
        <f>IF(AND(Table2[[#This Row],[LV3 or LV4 MAT NO.]]&lt;&gt;"", Table2[[#This Row],[LV3 or LV4 MAT NO.]]=Data!$B$8),1,"")</f>
        <v/>
      </c>
      <c r="S277" s="998"/>
      <c r="T277" s="998"/>
      <c r="U277" s="804" t="str">
        <f>IF(Table4[[#This Row],[Write "N" To Remove The Default]]="N","",IF(AND(COUNTA(Table2[[#This Row],[SEREAL NO.]:[REMARKS]])=SUM( L277:T277),SUM( L277:T277)&lt;&gt;0),Table2[[#This Row],[Instruction]],""))</f>
        <v/>
      </c>
      <c r="V277" s="804"/>
    </row>
    <row r="278" spans="9:22" x14ac:dyDescent="0.35">
      <c r="I278" s="1000"/>
      <c r="L278" s="998" t="str">
        <f>IF(AND(Table2[[#This Row],[ORDER NO.]]&lt;&gt;"", Table2[[#This Row],[ORDER NO.]]=Data!$B$1),1,"")</f>
        <v/>
      </c>
      <c r="M278" s="998" t="str">
        <f>IFERROR(IF(AND(Table2[[#This Row],[SEREAL NO.]]&lt;&gt;"", Table2[[#This Row],[SEREAL NO.]]=Data!$A$103),1,""),"")</f>
        <v/>
      </c>
      <c r="N278" s="998" t="str">
        <f>IF(AND(Table2[[#This Row],[SIZE]]&lt;&gt;"", Table2[[#This Row],[SIZE]]=Data!$B$3),1,"")</f>
        <v/>
      </c>
      <c r="O278" s="998" t="str">
        <f>IF(AND(Table2[[#This Row],[TYPE]]&lt;&gt;"", Table2[[#This Row],[TYPE]]=Data!$B$4),1,"")</f>
        <v/>
      </c>
      <c r="P278" s="998" t="str">
        <f>IF(AND(Table2[[#This Row],[LV5 MAT NO.]]&lt;&gt;"", Table2[[#This Row],[LV5 MAT NO.]]=Data!$B$5),1,"")</f>
        <v/>
      </c>
      <c r="Q278" s="998" t="str">
        <f>IF(AND(Table2[[#This Row],[FROM]]&lt;&gt;"", Table2[[#This Row],[FROM]]=Data!$B$7),1,"")</f>
        <v/>
      </c>
      <c r="R278" s="998" t="str">
        <f>IF(AND(Table2[[#This Row],[LV3 or LV4 MAT NO.]]&lt;&gt;"", Table2[[#This Row],[LV3 or LV4 MAT NO.]]=Data!$B$8),1,"")</f>
        <v/>
      </c>
      <c r="S278" s="998"/>
      <c r="T278" s="998"/>
      <c r="U278" s="804" t="str">
        <f>IF(Table4[[#This Row],[Write "N" To Remove The Default]]="N","",IF(AND(COUNTA(Table2[[#This Row],[SEREAL NO.]:[REMARKS]])=SUM( L278:T278),SUM( L278:T278)&lt;&gt;0),Table2[[#This Row],[Instruction]],""))</f>
        <v/>
      </c>
      <c r="V278" s="804"/>
    </row>
    <row r="279" spans="9:22" x14ac:dyDescent="0.35">
      <c r="I279" s="1000"/>
      <c r="L279" s="998" t="str">
        <f>IF(AND(Table2[[#This Row],[ORDER NO.]]&lt;&gt;"", Table2[[#This Row],[ORDER NO.]]=Data!$B$1),1,"")</f>
        <v/>
      </c>
      <c r="M279" s="998" t="str">
        <f>IFERROR(IF(AND(Table2[[#This Row],[SEREAL NO.]]&lt;&gt;"", Table2[[#This Row],[SEREAL NO.]]=Data!$A$103),1,""),"")</f>
        <v/>
      </c>
      <c r="N279" s="998" t="str">
        <f>IF(AND(Table2[[#This Row],[SIZE]]&lt;&gt;"", Table2[[#This Row],[SIZE]]=Data!$B$3),1,"")</f>
        <v/>
      </c>
      <c r="O279" s="998" t="str">
        <f>IF(AND(Table2[[#This Row],[TYPE]]&lt;&gt;"", Table2[[#This Row],[TYPE]]=Data!$B$4),1,"")</f>
        <v/>
      </c>
      <c r="P279" s="998" t="str">
        <f>IF(AND(Table2[[#This Row],[LV5 MAT NO.]]&lt;&gt;"", Table2[[#This Row],[LV5 MAT NO.]]=Data!$B$5),1,"")</f>
        <v/>
      </c>
      <c r="Q279" s="998" t="str">
        <f>IF(AND(Table2[[#This Row],[FROM]]&lt;&gt;"", Table2[[#This Row],[FROM]]=Data!$B$7),1,"")</f>
        <v/>
      </c>
      <c r="R279" s="998" t="str">
        <f>IF(AND(Table2[[#This Row],[LV3 or LV4 MAT NO.]]&lt;&gt;"", Table2[[#This Row],[LV3 or LV4 MAT NO.]]=Data!$B$8),1,"")</f>
        <v/>
      </c>
      <c r="S279" s="998"/>
      <c r="T279" s="998"/>
      <c r="U279" s="804" t="str">
        <f>IF(Table4[[#This Row],[Write "N" To Remove The Default]]="N","",IF(AND(COUNTA(Table2[[#This Row],[SEREAL NO.]:[REMARKS]])=SUM( L279:T279),SUM( L279:T279)&lt;&gt;0),Table2[[#This Row],[Instruction]],""))</f>
        <v/>
      </c>
      <c r="V279" s="804"/>
    </row>
    <row r="280" spans="9:22" x14ac:dyDescent="0.35">
      <c r="I280" s="1000"/>
      <c r="L280" s="998" t="str">
        <f>IF(AND(Table2[[#This Row],[ORDER NO.]]&lt;&gt;"", Table2[[#This Row],[ORDER NO.]]=Data!$B$1),1,"")</f>
        <v/>
      </c>
      <c r="M280" s="998" t="str">
        <f>IFERROR(IF(AND(Table2[[#This Row],[SEREAL NO.]]&lt;&gt;"", Table2[[#This Row],[SEREAL NO.]]=Data!$A$103),1,""),"")</f>
        <v/>
      </c>
      <c r="N280" s="998" t="str">
        <f>IF(AND(Table2[[#This Row],[SIZE]]&lt;&gt;"", Table2[[#This Row],[SIZE]]=Data!$B$3),1,"")</f>
        <v/>
      </c>
      <c r="O280" s="998" t="str">
        <f>IF(AND(Table2[[#This Row],[TYPE]]&lt;&gt;"", Table2[[#This Row],[TYPE]]=Data!$B$4),1,"")</f>
        <v/>
      </c>
      <c r="P280" s="998" t="str">
        <f>IF(AND(Table2[[#This Row],[LV5 MAT NO.]]&lt;&gt;"", Table2[[#This Row],[LV5 MAT NO.]]=Data!$B$5),1,"")</f>
        <v/>
      </c>
      <c r="Q280" s="998" t="str">
        <f>IF(AND(Table2[[#This Row],[FROM]]&lt;&gt;"", Table2[[#This Row],[FROM]]=Data!$B$7),1,"")</f>
        <v/>
      </c>
      <c r="R280" s="998" t="str">
        <f>IF(AND(Table2[[#This Row],[LV3 or LV4 MAT NO.]]&lt;&gt;"", Table2[[#This Row],[LV3 or LV4 MAT NO.]]=Data!$B$8),1,"")</f>
        <v/>
      </c>
      <c r="S280" s="998"/>
      <c r="T280" s="998"/>
      <c r="U280" s="804" t="str">
        <f>IF(Table4[[#This Row],[Write "N" To Remove The Default]]="N","",IF(AND(COUNTA(Table2[[#This Row],[SEREAL NO.]:[REMARKS]])=SUM( L280:T280),SUM( L280:T280)&lt;&gt;0),Table2[[#This Row],[Instruction]],""))</f>
        <v/>
      </c>
      <c r="V280" s="804"/>
    </row>
    <row r="281" spans="9:22" x14ac:dyDescent="0.35">
      <c r="I281" s="1000"/>
      <c r="L281" s="998" t="str">
        <f>IF(AND(Table2[[#This Row],[ORDER NO.]]&lt;&gt;"", Table2[[#This Row],[ORDER NO.]]=Data!$B$1),1,"")</f>
        <v/>
      </c>
      <c r="M281" s="998" t="str">
        <f>IFERROR(IF(AND(Table2[[#This Row],[SEREAL NO.]]&lt;&gt;"", Table2[[#This Row],[SEREAL NO.]]=Data!$A$103),1,""),"")</f>
        <v/>
      </c>
      <c r="N281" s="998" t="str">
        <f>IF(AND(Table2[[#This Row],[SIZE]]&lt;&gt;"", Table2[[#This Row],[SIZE]]=Data!$B$3),1,"")</f>
        <v/>
      </c>
      <c r="O281" s="998" t="str">
        <f>IF(AND(Table2[[#This Row],[TYPE]]&lt;&gt;"", Table2[[#This Row],[TYPE]]=Data!$B$4),1,"")</f>
        <v/>
      </c>
      <c r="P281" s="998" t="str">
        <f>IF(AND(Table2[[#This Row],[LV5 MAT NO.]]&lt;&gt;"", Table2[[#This Row],[LV5 MAT NO.]]=Data!$B$5),1,"")</f>
        <v/>
      </c>
      <c r="Q281" s="998" t="str">
        <f>IF(AND(Table2[[#This Row],[FROM]]&lt;&gt;"", Table2[[#This Row],[FROM]]=Data!$B$7),1,"")</f>
        <v/>
      </c>
      <c r="R281" s="998" t="str">
        <f>IF(AND(Table2[[#This Row],[LV3 or LV4 MAT NO.]]&lt;&gt;"", Table2[[#This Row],[LV3 or LV4 MAT NO.]]=Data!$B$8),1,"")</f>
        <v/>
      </c>
      <c r="S281" s="998"/>
      <c r="T281" s="998"/>
      <c r="U281" s="804" t="str">
        <f>IF(Table4[[#This Row],[Write "N" To Remove The Default]]="N","",IF(AND(COUNTA(Table2[[#This Row],[SEREAL NO.]:[REMARKS]])=SUM( L281:T281),SUM( L281:T281)&lt;&gt;0),Table2[[#This Row],[Instruction]],""))</f>
        <v/>
      </c>
      <c r="V281" s="804"/>
    </row>
    <row r="282" spans="9:22" x14ac:dyDescent="0.35">
      <c r="I282" s="1000"/>
      <c r="L282" s="998" t="str">
        <f>IF(AND(Table2[[#This Row],[ORDER NO.]]&lt;&gt;"", Table2[[#This Row],[ORDER NO.]]=Data!$B$1),1,"")</f>
        <v/>
      </c>
      <c r="M282" s="998" t="str">
        <f>IFERROR(IF(AND(Table2[[#This Row],[SEREAL NO.]]&lt;&gt;"", Table2[[#This Row],[SEREAL NO.]]=Data!$A$103),1,""),"")</f>
        <v/>
      </c>
      <c r="N282" s="998" t="str">
        <f>IF(AND(Table2[[#This Row],[SIZE]]&lt;&gt;"", Table2[[#This Row],[SIZE]]=Data!$B$3),1,"")</f>
        <v/>
      </c>
      <c r="O282" s="998" t="str">
        <f>IF(AND(Table2[[#This Row],[TYPE]]&lt;&gt;"", Table2[[#This Row],[TYPE]]=Data!$B$4),1,"")</f>
        <v/>
      </c>
      <c r="P282" s="998" t="str">
        <f>IF(AND(Table2[[#This Row],[LV5 MAT NO.]]&lt;&gt;"", Table2[[#This Row],[LV5 MAT NO.]]=Data!$B$5),1,"")</f>
        <v/>
      </c>
      <c r="Q282" s="998" t="str">
        <f>IF(AND(Table2[[#This Row],[FROM]]&lt;&gt;"", Table2[[#This Row],[FROM]]=Data!$B$7),1,"")</f>
        <v/>
      </c>
      <c r="R282" s="998" t="str">
        <f>IF(AND(Table2[[#This Row],[LV3 or LV4 MAT NO.]]&lt;&gt;"", Table2[[#This Row],[LV3 or LV4 MAT NO.]]=Data!$B$8),1,"")</f>
        <v/>
      </c>
      <c r="S282" s="998"/>
      <c r="T282" s="998"/>
      <c r="U282" s="804" t="str">
        <f>IF(Table4[[#This Row],[Write "N" To Remove The Default]]="N","",IF(AND(COUNTA(Table2[[#This Row],[SEREAL NO.]:[REMARKS]])=SUM( L282:T282),SUM( L282:T282)&lt;&gt;0),Table2[[#This Row],[Instruction]],""))</f>
        <v/>
      </c>
      <c r="V282" s="804"/>
    </row>
    <row r="283" spans="9:22" x14ac:dyDescent="0.35">
      <c r="I283" s="1000"/>
      <c r="L283" s="998" t="str">
        <f>IF(AND(Table2[[#This Row],[ORDER NO.]]&lt;&gt;"", Table2[[#This Row],[ORDER NO.]]=Data!$B$1),1,"")</f>
        <v/>
      </c>
      <c r="M283" s="998" t="str">
        <f>IFERROR(IF(AND(Table2[[#This Row],[SEREAL NO.]]&lt;&gt;"", Table2[[#This Row],[SEREAL NO.]]=Data!$A$103),1,""),"")</f>
        <v/>
      </c>
      <c r="N283" s="998" t="str">
        <f>IF(AND(Table2[[#This Row],[SIZE]]&lt;&gt;"", Table2[[#This Row],[SIZE]]=Data!$B$3),1,"")</f>
        <v/>
      </c>
      <c r="O283" s="998" t="str">
        <f>IF(AND(Table2[[#This Row],[TYPE]]&lt;&gt;"", Table2[[#This Row],[TYPE]]=Data!$B$4),1,"")</f>
        <v/>
      </c>
      <c r="P283" s="998" t="str">
        <f>IF(AND(Table2[[#This Row],[LV5 MAT NO.]]&lt;&gt;"", Table2[[#This Row],[LV5 MAT NO.]]=Data!$B$5),1,"")</f>
        <v/>
      </c>
      <c r="Q283" s="998" t="str">
        <f>IF(AND(Table2[[#This Row],[FROM]]&lt;&gt;"", Table2[[#This Row],[FROM]]=Data!$B$7),1,"")</f>
        <v/>
      </c>
      <c r="R283" s="998" t="str">
        <f>IF(AND(Table2[[#This Row],[LV3 or LV4 MAT NO.]]&lt;&gt;"", Table2[[#This Row],[LV3 or LV4 MAT NO.]]=Data!$B$8),1,"")</f>
        <v/>
      </c>
      <c r="S283" s="998"/>
      <c r="T283" s="998"/>
      <c r="U283" s="804" t="str">
        <f>IF(Table4[[#This Row],[Write "N" To Remove The Default]]="N","",IF(AND(COUNTA(Table2[[#This Row],[SEREAL NO.]:[REMARKS]])=SUM( L283:T283),SUM( L283:T283)&lt;&gt;0),Table2[[#This Row],[Instruction]],""))</f>
        <v/>
      </c>
      <c r="V283" s="804"/>
    </row>
    <row r="284" spans="9:22" x14ac:dyDescent="0.35">
      <c r="I284" s="1000"/>
      <c r="L284" s="998" t="str">
        <f>IF(AND(Table2[[#This Row],[ORDER NO.]]&lt;&gt;"", Table2[[#This Row],[ORDER NO.]]=Data!$B$1),1,"")</f>
        <v/>
      </c>
      <c r="M284" s="998" t="str">
        <f>IFERROR(IF(AND(Table2[[#This Row],[SEREAL NO.]]&lt;&gt;"", Table2[[#This Row],[SEREAL NO.]]=Data!$A$103),1,""),"")</f>
        <v/>
      </c>
      <c r="N284" s="998" t="str">
        <f>IF(AND(Table2[[#This Row],[SIZE]]&lt;&gt;"", Table2[[#This Row],[SIZE]]=Data!$B$3),1,"")</f>
        <v/>
      </c>
      <c r="O284" s="998" t="str">
        <f>IF(AND(Table2[[#This Row],[TYPE]]&lt;&gt;"", Table2[[#This Row],[TYPE]]=Data!$B$4),1,"")</f>
        <v/>
      </c>
      <c r="P284" s="998" t="str">
        <f>IF(AND(Table2[[#This Row],[LV5 MAT NO.]]&lt;&gt;"", Table2[[#This Row],[LV5 MAT NO.]]=Data!$B$5),1,"")</f>
        <v/>
      </c>
      <c r="Q284" s="998" t="str">
        <f>IF(AND(Table2[[#This Row],[FROM]]&lt;&gt;"", Table2[[#This Row],[FROM]]=Data!$B$7),1,"")</f>
        <v/>
      </c>
      <c r="R284" s="998" t="str">
        <f>IF(AND(Table2[[#This Row],[LV3 or LV4 MAT NO.]]&lt;&gt;"", Table2[[#This Row],[LV3 or LV4 MAT NO.]]=Data!$B$8),1,"")</f>
        <v/>
      </c>
      <c r="S284" s="998"/>
      <c r="T284" s="998"/>
      <c r="U284" s="804" t="str">
        <f>IF(Table4[[#This Row],[Write "N" To Remove The Default]]="N","",IF(AND(COUNTA(Table2[[#This Row],[SEREAL NO.]:[REMARKS]])=SUM( L284:T284),SUM( L284:T284)&lt;&gt;0),Table2[[#This Row],[Instruction]],""))</f>
        <v/>
      </c>
      <c r="V284" s="804"/>
    </row>
    <row r="285" spans="9:22" x14ac:dyDescent="0.35">
      <c r="I285" s="1000"/>
      <c r="L285" s="998" t="str">
        <f>IF(AND(Table2[[#This Row],[ORDER NO.]]&lt;&gt;"", Table2[[#This Row],[ORDER NO.]]=Data!$B$1),1,"")</f>
        <v/>
      </c>
      <c r="M285" s="998" t="str">
        <f>IFERROR(IF(AND(Table2[[#This Row],[SEREAL NO.]]&lt;&gt;"", Table2[[#This Row],[SEREAL NO.]]=Data!$A$103),1,""),"")</f>
        <v/>
      </c>
      <c r="N285" s="998" t="str">
        <f>IF(AND(Table2[[#This Row],[SIZE]]&lt;&gt;"", Table2[[#This Row],[SIZE]]=Data!$B$3),1,"")</f>
        <v/>
      </c>
      <c r="O285" s="998" t="str">
        <f>IF(AND(Table2[[#This Row],[TYPE]]&lt;&gt;"", Table2[[#This Row],[TYPE]]=Data!$B$4),1,"")</f>
        <v/>
      </c>
      <c r="P285" s="998" t="str">
        <f>IF(AND(Table2[[#This Row],[LV5 MAT NO.]]&lt;&gt;"", Table2[[#This Row],[LV5 MAT NO.]]=Data!$B$5),1,"")</f>
        <v/>
      </c>
      <c r="Q285" s="998" t="str">
        <f>IF(AND(Table2[[#This Row],[FROM]]&lt;&gt;"", Table2[[#This Row],[FROM]]=Data!$B$7),1,"")</f>
        <v/>
      </c>
      <c r="R285" s="998" t="str">
        <f>IF(AND(Table2[[#This Row],[LV3 or LV4 MAT NO.]]&lt;&gt;"", Table2[[#This Row],[LV3 or LV4 MAT NO.]]=Data!$B$8),1,"")</f>
        <v/>
      </c>
      <c r="S285" s="998"/>
      <c r="T285" s="998"/>
      <c r="U285" s="804" t="str">
        <f>IF(Table4[[#This Row],[Write "N" To Remove The Default]]="N","",IF(AND(COUNTA(Table2[[#This Row],[SEREAL NO.]:[REMARKS]])=SUM( L285:T285),SUM( L285:T285)&lt;&gt;0),Table2[[#This Row],[Instruction]],""))</f>
        <v/>
      </c>
      <c r="V285" s="804"/>
    </row>
    <row r="286" spans="9:22" x14ac:dyDescent="0.35">
      <c r="I286" s="1000"/>
      <c r="L286" s="998" t="str">
        <f>IF(AND(Table2[[#This Row],[ORDER NO.]]&lt;&gt;"", Table2[[#This Row],[ORDER NO.]]=Data!$B$1),1,"")</f>
        <v/>
      </c>
      <c r="M286" s="998" t="str">
        <f>IFERROR(IF(AND(Table2[[#This Row],[SEREAL NO.]]&lt;&gt;"", Table2[[#This Row],[SEREAL NO.]]=Data!$A$103),1,""),"")</f>
        <v/>
      </c>
      <c r="N286" s="998" t="str">
        <f>IF(AND(Table2[[#This Row],[SIZE]]&lt;&gt;"", Table2[[#This Row],[SIZE]]=Data!$B$3),1,"")</f>
        <v/>
      </c>
      <c r="O286" s="998" t="str">
        <f>IF(AND(Table2[[#This Row],[TYPE]]&lt;&gt;"", Table2[[#This Row],[TYPE]]=Data!$B$4),1,"")</f>
        <v/>
      </c>
      <c r="P286" s="998" t="str">
        <f>IF(AND(Table2[[#This Row],[LV5 MAT NO.]]&lt;&gt;"", Table2[[#This Row],[LV5 MAT NO.]]=Data!$B$5),1,"")</f>
        <v/>
      </c>
      <c r="Q286" s="998" t="str">
        <f>IF(AND(Table2[[#This Row],[FROM]]&lt;&gt;"", Table2[[#This Row],[FROM]]=Data!$B$7),1,"")</f>
        <v/>
      </c>
      <c r="R286" s="998" t="str">
        <f>IF(AND(Table2[[#This Row],[LV3 or LV4 MAT NO.]]&lt;&gt;"", Table2[[#This Row],[LV3 or LV4 MAT NO.]]=Data!$B$8),1,"")</f>
        <v/>
      </c>
      <c r="S286" s="998"/>
      <c r="T286" s="998"/>
      <c r="U286" s="804" t="str">
        <f>IF(Table4[[#This Row],[Write "N" To Remove The Default]]="N","",IF(AND(COUNTA(Table2[[#This Row],[SEREAL NO.]:[REMARKS]])=SUM( L286:T286),SUM( L286:T286)&lt;&gt;0),Table2[[#This Row],[Instruction]],""))</f>
        <v/>
      </c>
      <c r="V286" s="804"/>
    </row>
    <row r="287" spans="9:22" x14ac:dyDescent="0.35">
      <c r="I287" s="1000"/>
      <c r="L287" s="998" t="str">
        <f>IF(AND(Table2[[#This Row],[ORDER NO.]]&lt;&gt;"", Table2[[#This Row],[ORDER NO.]]=Data!$B$1),1,"")</f>
        <v/>
      </c>
      <c r="M287" s="998" t="str">
        <f>IFERROR(IF(AND(Table2[[#This Row],[SEREAL NO.]]&lt;&gt;"", Table2[[#This Row],[SEREAL NO.]]=Data!$A$103),1,""),"")</f>
        <v/>
      </c>
      <c r="N287" s="998" t="str">
        <f>IF(AND(Table2[[#This Row],[SIZE]]&lt;&gt;"", Table2[[#This Row],[SIZE]]=Data!$B$3),1,"")</f>
        <v/>
      </c>
      <c r="O287" s="998" t="str">
        <f>IF(AND(Table2[[#This Row],[TYPE]]&lt;&gt;"", Table2[[#This Row],[TYPE]]=Data!$B$4),1,"")</f>
        <v/>
      </c>
      <c r="P287" s="998" t="str">
        <f>IF(AND(Table2[[#This Row],[LV5 MAT NO.]]&lt;&gt;"", Table2[[#This Row],[LV5 MAT NO.]]=Data!$B$5),1,"")</f>
        <v/>
      </c>
      <c r="Q287" s="998" t="str">
        <f>IF(AND(Table2[[#This Row],[FROM]]&lt;&gt;"", Table2[[#This Row],[FROM]]=Data!$B$7),1,"")</f>
        <v/>
      </c>
      <c r="R287" s="998" t="str">
        <f>IF(AND(Table2[[#This Row],[LV3 or LV4 MAT NO.]]&lt;&gt;"", Table2[[#This Row],[LV3 or LV4 MAT NO.]]=Data!$B$8),1,"")</f>
        <v/>
      </c>
      <c r="S287" s="998"/>
      <c r="T287" s="998"/>
      <c r="U287" s="804" t="str">
        <f>IF(Table4[[#This Row],[Write "N" To Remove The Default]]="N","",IF(AND(COUNTA(Table2[[#This Row],[SEREAL NO.]:[REMARKS]])=SUM( L287:T287),SUM( L287:T287)&lt;&gt;0),Table2[[#This Row],[Instruction]],""))</f>
        <v/>
      </c>
      <c r="V287" s="804"/>
    </row>
    <row r="288" spans="9:22" x14ac:dyDescent="0.35">
      <c r="I288" s="1000"/>
      <c r="L288" s="998" t="str">
        <f>IF(AND(Table2[[#This Row],[ORDER NO.]]&lt;&gt;"", Table2[[#This Row],[ORDER NO.]]=Data!$B$1),1,"")</f>
        <v/>
      </c>
      <c r="M288" s="998" t="str">
        <f>IFERROR(IF(AND(Table2[[#This Row],[SEREAL NO.]]&lt;&gt;"", Table2[[#This Row],[SEREAL NO.]]=Data!$A$103),1,""),"")</f>
        <v/>
      </c>
      <c r="N288" s="998" t="str">
        <f>IF(AND(Table2[[#This Row],[SIZE]]&lt;&gt;"", Table2[[#This Row],[SIZE]]=Data!$B$3),1,"")</f>
        <v/>
      </c>
      <c r="O288" s="998" t="str">
        <f>IF(AND(Table2[[#This Row],[TYPE]]&lt;&gt;"", Table2[[#This Row],[TYPE]]=Data!$B$4),1,"")</f>
        <v/>
      </c>
      <c r="P288" s="998" t="str">
        <f>IF(AND(Table2[[#This Row],[LV5 MAT NO.]]&lt;&gt;"", Table2[[#This Row],[LV5 MAT NO.]]=Data!$B$5),1,"")</f>
        <v/>
      </c>
      <c r="Q288" s="998" t="str">
        <f>IF(AND(Table2[[#This Row],[FROM]]&lt;&gt;"", Table2[[#This Row],[FROM]]=Data!$B$7),1,"")</f>
        <v/>
      </c>
      <c r="R288" s="998" t="str">
        <f>IF(AND(Table2[[#This Row],[LV3 or LV4 MAT NO.]]&lt;&gt;"", Table2[[#This Row],[LV3 or LV4 MAT NO.]]=Data!$B$8),1,"")</f>
        <v/>
      </c>
      <c r="S288" s="998"/>
      <c r="T288" s="998"/>
      <c r="U288" s="804" t="str">
        <f>IF(Table4[[#This Row],[Write "N" To Remove The Default]]="N","",IF(AND(COUNTA(Table2[[#This Row],[SEREAL NO.]:[REMARKS]])=SUM( L288:T288),SUM( L288:T288)&lt;&gt;0),Table2[[#This Row],[Instruction]],""))</f>
        <v/>
      </c>
      <c r="V288" s="804"/>
    </row>
    <row r="289" spans="9:22" x14ac:dyDescent="0.35">
      <c r="I289" s="1000"/>
      <c r="L289" s="998" t="str">
        <f>IF(AND(Table2[[#This Row],[ORDER NO.]]&lt;&gt;"", Table2[[#This Row],[ORDER NO.]]=Data!$B$1),1,"")</f>
        <v/>
      </c>
      <c r="M289" s="998" t="str">
        <f>IFERROR(IF(AND(Table2[[#This Row],[SEREAL NO.]]&lt;&gt;"", Table2[[#This Row],[SEREAL NO.]]=Data!$A$103),1,""),"")</f>
        <v/>
      </c>
      <c r="N289" s="998" t="str">
        <f>IF(AND(Table2[[#This Row],[SIZE]]&lt;&gt;"", Table2[[#This Row],[SIZE]]=Data!$B$3),1,"")</f>
        <v/>
      </c>
      <c r="O289" s="998" t="str">
        <f>IF(AND(Table2[[#This Row],[TYPE]]&lt;&gt;"", Table2[[#This Row],[TYPE]]=Data!$B$4),1,"")</f>
        <v/>
      </c>
      <c r="P289" s="998" t="str">
        <f>IF(AND(Table2[[#This Row],[LV5 MAT NO.]]&lt;&gt;"", Table2[[#This Row],[LV5 MAT NO.]]=Data!$B$5),1,"")</f>
        <v/>
      </c>
      <c r="Q289" s="998" t="str">
        <f>IF(AND(Table2[[#This Row],[FROM]]&lt;&gt;"", Table2[[#This Row],[FROM]]=Data!$B$7),1,"")</f>
        <v/>
      </c>
      <c r="R289" s="998" t="str">
        <f>IF(AND(Table2[[#This Row],[LV3 or LV4 MAT NO.]]&lt;&gt;"", Table2[[#This Row],[LV3 or LV4 MAT NO.]]=Data!$B$8),1,"")</f>
        <v/>
      </c>
      <c r="S289" s="998"/>
      <c r="T289" s="998"/>
      <c r="U289" s="804" t="str">
        <f>IF(Table4[[#This Row],[Write "N" To Remove The Default]]="N","",IF(AND(COUNTA(Table2[[#This Row],[SEREAL NO.]:[REMARKS]])=SUM( L289:T289),SUM( L289:T289)&lt;&gt;0),Table2[[#This Row],[Instruction]],""))</f>
        <v/>
      </c>
      <c r="V289" s="804"/>
    </row>
    <row r="290" spans="9:22" x14ac:dyDescent="0.35">
      <c r="I290" s="1000"/>
      <c r="L290" s="998" t="str">
        <f>IF(AND(Table2[[#This Row],[ORDER NO.]]&lt;&gt;"", Table2[[#This Row],[ORDER NO.]]=Data!$B$1),1,"")</f>
        <v/>
      </c>
      <c r="M290" s="998" t="str">
        <f>IFERROR(IF(AND(Table2[[#This Row],[SEREAL NO.]]&lt;&gt;"", Table2[[#This Row],[SEREAL NO.]]=Data!$A$103),1,""),"")</f>
        <v/>
      </c>
      <c r="N290" s="998" t="str">
        <f>IF(AND(Table2[[#This Row],[SIZE]]&lt;&gt;"", Table2[[#This Row],[SIZE]]=Data!$B$3),1,"")</f>
        <v/>
      </c>
      <c r="O290" s="998" t="str">
        <f>IF(AND(Table2[[#This Row],[TYPE]]&lt;&gt;"", Table2[[#This Row],[TYPE]]=Data!$B$4),1,"")</f>
        <v/>
      </c>
      <c r="P290" s="998" t="str">
        <f>IF(AND(Table2[[#This Row],[LV5 MAT NO.]]&lt;&gt;"", Table2[[#This Row],[LV5 MAT NO.]]=Data!$B$5),1,"")</f>
        <v/>
      </c>
      <c r="Q290" s="998" t="str">
        <f>IF(AND(Table2[[#This Row],[FROM]]&lt;&gt;"", Table2[[#This Row],[FROM]]=Data!$B$7),1,"")</f>
        <v/>
      </c>
      <c r="R290" s="998" t="str">
        <f>IF(AND(Table2[[#This Row],[LV3 or LV4 MAT NO.]]&lt;&gt;"", Table2[[#This Row],[LV3 or LV4 MAT NO.]]=Data!$B$8),1,"")</f>
        <v/>
      </c>
      <c r="S290" s="998"/>
      <c r="T290" s="998"/>
      <c r="U290" s="804" t="str">
        <f>IF(Table4[[#This Row],[Write "N" To Remove The Default]]="N","",IF(AND(COUNTA(Table2[[#This Row],[SEREAL NO.]:[REMARKS]])=SUM( L290:T290),SUM( L290:T290)&lt;&gt;0),Table2[[#This Row],[Instruction]],""))</f>
        <v/>
      </c>
      <c r="V290" s="804"/>
    </row>
    <row r="291" spans="9:22" x14ac:dyDescent="0.35">
      <c r="I291" s="1000"/>
      <c r="L291" s="998" t="str">
        <f>IF(AND(Table2[[#This Row],[ORDER NO.]]&lt;&gt;"", Table2[[#This Row],[ORDER NO.]]=Data!$B$1),1,"")</f>
        <v/>
      </c>
      <c r="M291" s="998" t="str">
        <f>IFERROR(IF(AND(Table2[[#This Row],[SEREAL NO.]]&lt;&gt;"", Table2[[#This Row],[SEREAL NO.]]=Data!$A$103),1,""),"")</f>
        <v/>
      </c>
      <c r="N291" s="998" t="str">
        <f>IF(AND(Table2[[#This Row],[SIZE]]&lt;&gt;"", Table2[[#This Row],[SIZE]]=Data!$B$3),1,"")</f>
        <v/>
      </c>
      <c r="O291" s="998" t="str">
        <f>IF(AND(Table2[[#This Row],[TYPE]]&lt;&gt;"", Table2[[#This Row],[TYPE]]=Data!$B$4),1,"")</f>
        <v/>
      </c>
      <c r="P291" s="998" t="str">
        <f>IF(AND(Table2[[#This Row],[LV5 MAT NO.]]&lt;&gt;"", Table2[[#This Row],[LV5 MAT NO.]]=Data!$B$5),1,"")</f>
        <v/>
      </c>
      <c r="Q291" s="998" t="str">
        <f>IF(AND(Table2[[#This Row],[FROM]]&lt;&gt;"", Table2[[#This Row],[FROM]]=Data!$B$7),1,"")</f>
        <v/>
      </c>
      <c r="R291" s="998" t="str">
        <f>IF(AND(Table2[[#This Row],[LV3 or LV4 MAT NO.]]&lt;&gt;"", Table2[[#This Row],[LV3 or LV4 MAT NO.]]=Data!$B$8),1,"")</f>
        <v/>
      </c>
      <c r="S291" s="998"/>
      <c r="T291" s="998"/>
      <c r="U291" s="804" t="str">
        <f>IF(Table4[[#This Row],[Write "N" To Remove The Default]]="N","",IF(AND(COUNTA(Table2[[#This Row],[SEREAL NO.]:[REMARKS]])=SUM( L291:T291),SUM( L291:T291)&lt;&gt;0),Table2[[#This Row],[Instruction]],""))</f>
        <v/>
      </c>
      <c r="V291" s="804"/>
    </row>
    <row r="292" spans="9:22" x14ac:dyDescent="0.35">
      <c r="I292" s="1000"/>
      <c r="L292" s="998" t="str">
        <f>IF(AND(Table2[[#This Row],[ORDER NO.]]&lt;&gt;"", Table2[[#This Row],[ORDER NO.]]=Data!$B$1),1,"")</f>
        <v/>
      </c>
      <c r="M292" s="998" t="str">
        <f>IFERROR(IF(AND(Table2[[#This Row],[SEREAL NO.]]&lt;&gt;"", Table2[[#This Row],[SEREAL NO.]]=Data!$A$103),1,""),"")</f>
        <v/>
      </c>
      <c r="N292" s="998" t="str">
        <f>IF(AND(Table2[[#This Row],[SIZE]]&lt;&gt;"", Table2[[#This Row],[SIZE]]=Data!$B$3),1,"")</f>
        <v/>
      </c>
      <c r="O292" s="998" t="str">
        <f>IF(AND(Table2[[#This Row],[TYPE]]&lt;&gt;"", Table2[[#This Row],[TYPE]]=Data!$B$4),1,"")</f>
        <v/>
      </c>
      <c r="P292" s="998" t="str">
        <f>IF(AND(Table2[[#This Row],[LV5 MAT NO.]]&lt;&gt;"", Table2[[#This Row],[LV5 MAT NO.]]=Data!$B$5),1,"")</f>
        <v/>
      </c>
      <c r="Q292" s="998" t="str">
        <f>IF(AND(Table2[[#This Row],[FROM]]&lt;&gt;"", Table2[[#This Row],[FROM]]=Data!$B$7),1,"")</f>
        <v/>
      </c>
      <c r="R292" s="998" t="str">
        <f>IF(AND(Table2[[#This Row],[LV3 or LV4 MAT NO.]]&lt;&gt;"", Table2[[#This Row],[LV3 or LV4 MAT NO.]]=Data!$B$8),1,"")</f>
        <v/>
      </c>
      <c r="S292" s="998"/>
      <c r="T292" s="998"/>
      <c r="U292" s="804" t="str">
        <f>IF(Table4[[#This Row],[Write "N" To Remove The Default]]="N","",IF(AND(COUNTA(Table2[[#This Row],[SEREAL NO.]:[REMARKS]])=SUM( L292:T292),SUM( L292:T292)&lt;&gt;0),Table2[[#This Row],[Instruction]],""))</f>
        <v/>
      </c>
      <c r="V292" s="804"/>
    </row>
    <row r="293" spans="9:22" x14ac:dyDescent="0.35">
      <c r="I293" s="1000"/>
      <c r="L293" s="998" t="str">
        <f>IF(AND(Table2[[#This Row],[ORDER NO.]]&lt;&gt;"", Table2[[#This Row],[ORDER NO.]]=Data!$B$1),1,"")</f>
        <v/>
      </c>
      <c r="M293" s="998" t="str">
        <f>IFERROR(IF(AND(Table2[[#This Row],[SEREAL NO.]]&lt;&gt;"", Table2[[#This Row],[SEREAL NO.]]=Data!$A$103),1,""),"")</f>
        <v/>
      </c>
      <c r="N293" s="998" t="str">
        <f>IF(AND(Table2[[#This Row],[SIZE]]&lt;&gt;"", Table2[[#This Row],[SIZE]]=Data!$B$3),1,"")</f>
        <v/>
      </c>
      <c r="O293" s="998" t="str">
        <f>IF(AND(Table2[[#This Row],[TYPE]]&lt;&gt;"", Table2[[#This Row],[TYPE]]=Data!$B$4),1,"")</f>
        <v/>
      </c>
      <c r="P293" s="998" t="str">
        <f>IF(AND(Table2[[#This Row],[LV5 MAT NO.]]&lt;&gt;"", Table2[[#This Row],[LV5 MAT NO.]]=Data!$B$5),1,"")</f>
        <v/>
      </c>
      <c r="Q293" s="998" t="str">
        <f>IF(AND(Table2[[#This Row],[FROM]]&lt;&gt;"", Table2[[#This Row],[FROM]]=Data!$B$7),1,"")</f>
        <v/>
      </c>
      <c r="R293" s="998" t="str">
        <f>IF(AND(Table2[[#This Row],[LV3 or LV4 MAT NO.]]&lt;&gt;"", Table2[[#This Row],[LV3 or LV4 MAT NO.]]=Data!$B$8),1,"")</f>
        <v/>
      </c>
      <c r="S293" s="998"/>
      <c r="T293" s="998"/>
      <c r="U293" s="804" t="str">
        <f>IF(Table4[[#This Row],[Write "N" To Remove The Default]]="N","",IF(AND(COUNTA(Table2[[#This Row],[SEREAL NO.]:[REMARKS]])=SUM( L293:T293),SUM( L293:T293)&lt;&gt;0),Table2[[#This Row],[Instruction]],""))</f>
        <v/>
      </c>
      <c r="V293" s="804"/>
    </row>
    <row r="294" spans="9:22" x14ac:dyDescent="0.35">
      <c r="I294" s="1000"/>
      <c r="L294" s="998" t="str">
        <f>IF(AND(Table2[[#This Row],[ORDER NO.]]&lt;&gt;"", Table2[[#This Row],[ORDER NO.]]=Data!$B$1),1,"")</f>
        <v/>
      </c>
      <c r="M294" s="998" t="str">
        <f>IFERROR(IF(AND(Table2[[#This Row],[SEREAL NO.]]&lt;&gt;"", Table2[[#This Row],[SEREAL NO.]]=Data!$A$103),1,""),"")</f>
        <v/>
      </c>
      <c r="N294" s="998" t="str">
        <f>IF(AND(Table2[[#This Row],[SIZE]]&lt;&gt;"", Table2[[#This Row],[SIZE]]=Data!$B$3),1,"")</f>
        <v/>
      </c>
      <c r="O294" s="998" t="str">
        <f>IF(AND(Table2[[#This Row],[TYPE]]&lt;&gt;"", Table2[[#This Row],[TYPE]]=Data!$B$4),1,"")</f>
        <v/>
      </c>
      <c r="P294" s="998" t="str">
        <f>IF(AND(Table2[[#This Row],[LV5 MAT NO.]]&lt;&gt;"", Table2[[#This Row],[LV5 MAT NO.]]=Data!$B$5),1,"")</f>
        <v/>
      </c>
      <c r="Q294" s="998" t="str">
        <f>IF(AND(Table2[[#This Row],[FROM]]&lt;&gt;"", Table2[[#This Row],[FROM]]=Data!$B$7),1,"")</f>
        <v/>
      </c>
      <c r="R294" s="998" t="str">
        <f>IF(AND(Table2[[#This Row],[LV3 or LV4 MAT NO.]]&lt;&gt;"", Table2[[#This Row],[LV3 or LV4 MAT NO.]]=Data!$B$8),1,"")</f>
        <v/>
      </c>
      <c r="S294" s="998"/>
      <c r="T294" s="998"/>
      <c r="U294" s="804" t="str">
        <f>IF(Table4[[#This Row],[Write "N" To Remove The Default]]="N","",IF(AND(COUNTA(Table2[[#This Row],[SEREAL NO.]:[REMARKS]])=SUM( L294:T294),SUM( L294:T294)&lt;&gt;0),Table2[[#This Row],[Instruction]],""))</f>
        <v/>
      </c>
      <c r="V294" s="804"/>
    </row>
    <row r="295" spans="9:22" x14ac:dyDescent="0.35">
      <c r="I295" s="1000"/>
      <c r="L295" s="998" t="str">
        <f>IF(AND(Table2[[#This Row],[ORDER NO.]]&lt;&gt;"", Table2[[#This Row],[ORDER NO.]]=Data!$B$1),1,"")</f>
        <v/>
      </c>
      <c r="M295" s="998" t="str">
        <f>IFERROR(IF(AND(Table2[[#This Row],[SEREAL NO.]]&lt;&gt;"", Table2[[#This Row],[SEREAL NO.]]=Data!$A$103),1,""),"")</f>
        <v/>
      </c>
      <c r="N295" s="998" t="str">
        <f>IF(AND(Table2[[#This Row],[SIZE]]&lt;&gt;"", Table2[[#This Row],[SIZE]]=Data!$B$3),1,"")</f>
        <v/>
      </c>
      <c r="O295" s="998" t="str">
        <f>IF(AND(Table2[[#This Row],[TYPE]]&lt;&gt;"", Table2[[#This Row],[TYPE]]=Data!$B$4),1,"")</f>
        <v/>
      </c>
      <c r="P295" s="998" t="str">
        <f>IF(AND(Table2[[#This Row],[LV5 MAT NO.]]&lt;&gt;"", Table2[[#This Row],[LV5 MAT NO.]]=Data!$B$5),1,"")</f>
        <v/>
      </c>
      <c r="Q295" s="998" t="str">
        <f>IF(AND(Table2[[#This Row],[FROM]]&lt;&gt;"", Table2[[#This Row],[FROM]]=Data!$B$7),1,"")</f>
        <v/>
      </c>
      <c r="R295" s="998" t="str">
        <f>IF(AND(Table2[[#This Row],[LV3 or LV4 MAT NO.]]&lt;&gt;"", Table2[[#This Row],[LV3 or LV4 MAT NO.]]=Data!$B$8),1,"")</f>
        <v/>
      </c>
      <c r="S295" s="998"/>
      <c r="T295" s="998"/>
      <c r="U295" s="804" t="str">
        <f>IF(Table4[[#This Row],[Write "N" To Remove The Default]]="N","",IF(AND(COUNTA(Table2[[#This Row],[SEREAL NO.]:[REMARKS]])=SUM( L295:T295),SUM( L295:T295)&lt;&gt;0),Table2[[#This Row],[Instruction]],""))</f>
        <v/>
      </c>
      <c r="V295" s="804"/>
    </row>
    <row r="296" spans="9:22" x14ac:dyDescent="0.35">
      <c r="I296" s="1000"/>
      <c r="L296" s="998" t="str">
        <f>IF(AND(Table2[[#This Row],[ORDER NO.]]&lt;&gt;"", Table2[[#This Row],[ORDER NO.]]=Data!$B$1),1,"")</f>
        <v/>
      </c>
      <c r="M296" s="998" t="str">
        <f>IFERROR(IF(AND(Table2[[#This Row],[SEREAL NO.]]&lt;&gt;"", Table2[[#This Row],[SEREAL NO.]]=Data!$A$103),1,""),"")</f>
        <v/>
      </c>
      <c r="N296" s="998" t="str">
        <f>IF(AND(Table2[[#This Row],[SIZE]]&lt;&gt;"", Table2[[#This Row],[SIZE]]=Data!$B$3),1,"")</f>
        <v/>
      </c>
      <c r="O296" s="998" t="str">
        <f>IF(AND(Table2[[#This Row],[TYPE]]&lt;&gt;"", Table2[[#This Row],[TYPE]]=Data!$B$4),1,"")</f>
        <v/>
      </c>
      <c r="P296" s="998" t="str">
        <f>IF(AND(Table2[[#This Row],[LV5 MAT NO.]]&lt;&gt;"", Table2[[#This Row],[LV5 MAT NO.]]=Data!$B$5),1,"")</f>
        <v/>
      </c>
      <c r="Q296" s="998" t="str">
        <f>IF(AND(Table2[[#This Row],[FROM]]&lt;&gt;"", Table2[[#This Row],[FROM]]=Data!$B$7),1,"")</f>
        <v/>
      </c>
      <c r="R296" s="998" t="str">
        <f>IF(AND(Table2[[#This Row],[LV3 or LV4 MAT NO.]]&lt;&gt;"", Table2[[#This Row],[LV3 or LV4 MAT NO.]]=Data!$B$8),1,"")</f>
        <v/>
      </c>
      <c r="S296" s="998"/>
      <c r="T296" s="998"/>
      <c r="U296" s="804" t="str">
        <f>IF(Table4[[#This Row],[Write "N" To Remove The Default]]="N","",IF(AND(COUNTA(Table2[[#This Row],[SEREAL NO.]:[REMARKS]])=SUM( L296:T296),SUM( L296:T296)&lt;&gt;0),Table2[[#This Row],[Instruction]],""))</f>
        <v/>
      </c>
      <c r="V296" s="804"/>
    </row>
    <row r="297" spans="9:22" x14ac:dyDescent="0.35">
      <c r="I297" s="1000"/>
      <c r="L297" s="998" t="str">
        <f>IF(AND(Table2[[#This Row],[ORDER NO.]]&lt;&gt;"", Table2[[#This Row],[ORDER NO.]]=Data!$B$1),1,"")</f>
        <v/>
      </c>
      <c r="M297" s="998" t="str">
        <f>IFERROR(IF(AND(Table2[[#This Row],[SEREAL NO.]]&lt;&gt;"", Table2[[#This Row],[SEREAL NO.]]=Data!$A$103),1,""),"")</f>
        <v/>
      </c>
      <c r="N297" s="998" t="str">
        <f>IF(AND(Table2[[#This Row],[SIZE]]&lt;&gt;"", Table2[[#This Row],[SIZE]]=Data!$B$3),1,"")</f>
        <v/>
      </c>
      <c r="O297" s="998" t="str">
        <f>IF(AND(Table2[[#This Row],[TYPE]]&lt;&gt;"", Table2[[#This Row],[TYPE]]=Data!$B$4),1,"")</f>
        <v/>
      </c>
      <c r="P297" s="998" t="str">
        <f>IF(AND(Table2[[#This Row],[LV5 MAT NO.]]&lt;&gt;"", Table2[[#This Row],[LV5 MAT NO.]]=Data!$B$5),1,"")</f>
        <v/>
      </c>
      <c r="Q297" s="998" t="str">
        <f>IF(AND(Table2[[#This Row],[FROM]]&lt;&gt;"", Table2[[#This Row],[FROM]]=Data!$B$7),1,"")</f>
        <v/>
      </c>
      <c r="R297" s="998" t="str">
        <f>IF(AND(Table2[[#This Row],[LV3 or LV4 MAT NO.]]&lt;&gt;"", Table2[[#This Row],[LV3 or LV4 MAT NO.]]=Data!$B$8),1,"")</f>
        <v/>
      </c>
      <c r="S297" s="998"/>
      <c r="T297" s="998"/>
      <c r="U297" s="804" t="str">
        <f>IF(Table4[[#This Row],[Write "N" To Remove The Default]]="N","",IF(AND(COUNTA(Table2[[#This Row],[SEREAL NO.]:[REMARKS]])=SUM( L297:T297),SUM( L297:T297)&lt;&gt;0),Table2[[#This Row],[Instruction]],""))</f>
        <v/>
      </c>
      <c r="V297" s="804"/>
    </row>
    <row r="298" spans="9:22" x14ac:dyDescent="0.35">
      <c r="I298" s="1000"/>
      <c r="L298" s="998" t="str">
        <f>IF(AND(Table2[[#This Row],[ORDER NO.]]&lt;&gt;"", Table2[[#This Row],[ORDER NO.]]=Data!$B$1),1,"")</f>
        <v/>
      </c>
      <c r="M298" s="998" t="str">
        <f>IFERROR(IF(AND(Table2[[#This Row],[SEREAL NO.]]&lt;&gt;"", Table2[[#This Row],[SEREAL NO.]]=Data!$A$103),1,""),"")</f>
        <v/>
      </c>
      <c r="N298" s="998" t="str">
        <f>IF(AND(Table2[[#This Row],[SIZE]]&lt;&gt;"", Table2[[#This Row],[SIZE]]=Data!$B$3),1,"")</f>
        <v/>
      </c>
      <c r="O298" s="998" t="str">
        <f>IF(AND(Table2[[#This Row],[TYPE]]&lt;&gt;"", Table2[[#This Row],[TYPE]]=Data!$B$4),1,"")</f>
        <v/>
      </c>
      <c r="P298" s="998" t="str">
        <f>IF(AND(Table2[[#This Row],[LV5 MAT NO.]]&lt;&gt;"", Table2[[#This Row],[LV5 MAT NO.]]=Data!$B$5),1,"")</f>
        <v/>
      </c>
      <c r="Q298" s="998" t="str">
        <f>IF(AND(Table2[[#This Row],[FROM]]&lt;&gt;"", Table2[[#This Row],[FROM]]=Data!$B$7),1,"")</f>
        <v/>
      </c>
      <c r="R298" s="998" t="str">
        <f>IF(AND(Table2[[#This Row],[LV3 or LV4 MAT NO.]]&lt;&gt;"", Table2[[#This Row],[LV3 or LV4 MAT NO.]]=Data!$B$8),1,"")</f>
        <v/>
      </c>
      <c r="S298" s="998"/>
      <c r="T298" s="998"/>
      <c r="U298" s="804" t="str">
        <f>IF(Table4[[#This Row],[Write "N" To Remove The Default]]="N","",IF(AND(COUNTA(Table2[[#This Row],[SEREAL NO.]:[REMARKS]])=SUM( L298:T298),SUM( L298:T298)&lt;&gt;0),Table2[[#This Row],[Instruction]],""))</f>
        <v/>
      </c>
      <c r="V298" s="804"/>
    </row>
    <row r="299" spans="9:22" x14ac:dyDescent="0.35">
      <c r="I299" s="1000"/>
      <c r="L299" s="998" t="str">
        <f>IF(AND(Table2[[#This Row],[ORDER NO.]]&lt;&gt;"", Table2[[#This Row],[ORDER NO.]]=Data!$B$1),1,"")</f>
        <v/>
      </c>
      <c r="M299" s="998" t="str">
        <f>IFERROR(IF(AND(Table2[[#This Row],[SEREAL NO.]]&lt;&gt;"", Table2[[#This Row],[SEREAL NO.]]=Data!$A$103),1,""),"")</f>
        <v/>
      </c>
      <c r="N299" s="998" t="str">
        <f>IF(AND(Table2[[#This Row],[SIZE]]&lt;&gt;"", Table2[[#This Row],[SIZE]]=Data!$B$3),1,"")</f>
        <v/>
      </c>
      <c r="O299" s="998" t="str">
        <f>IF(AND(Table2[[#This Row],[TYPE]]&lt;&gt;"", Table2[[#This Row],[TYPE]]=Data!$B$4),1,"")</f>
        <v/>
      </c>
      <c r="P299" s="998" t="str">
        <f>IF(AND(Table2[[#This Row],[LV5 MAT NO.]]&lt;&gt;"", Table2[[#This Row],[LV5 MAT NO.]]=Data!$B$5),1,"")</f>
        <v/>
      </c>
      <c r="Q299" s="998" t="str">
        <f>IF(AND(Table2[[#This Row],[FROM]]&lt;&gt;"", Table2[[#This Row],[FROM]]=Data!$B$7),1,"")</f>
        <v/>
      </c>
      <c r="R299" s="998" t="str">
        <f>IF(AND(Table2[[#This Row],[LV3 or LV4 MAT NO.]]&lt;&gt;"", Table2[[#This Row],[LV3 or LV4 MAT NO.]]=Data!$B$8),1,"")</f>
        <v/>
      </c>
      <c r="S299" s="998"/>
      <c r="T299" s="998"/>
      <c r="U299" s="804" t="str">
        <f>IF(Table4[[#This Row],[Write "N" To Remove The Default]]="N","",IF(AND(COUNTA(Table2[[#This Row],[SEREAL NO.]:[REMARKS]])=SUM( L299:T299),SUM( L299:T299)&lt;&gt;0),Table2[[#This Row],[Instruction]],""))</f>
        <v/>
      </c>
      <c r="V299" s="804"/>
    </row>
    <row r="300" spans="9:22" x14ac:dyDescent="0.35">
      <c r="I300" s="1000"/>
      <c r="L300" s="998" t="str">
        <f>IF(AND(Table2[[#This Row],[ORDER NO.]]&lt;&gt;"", Table2[[#This Row],[ORDER NO.]]=Data!$B$1),1,"")</f>
        <v/>
      </c>
      <c r="M300" s="998" t="str">
        <f>IFERROR(IF(AND(Table2[[#This Row],[SEREAL NO.]]&lt;&gt;"", Table2[[#This Row],[SEREAL NO.]]=Data!$A$103),1,""),"")</f>
        <v/>
      </c>
      <c r="N300" s="998" t="str">
        <f>IF(AND(Table2[[#This Row],[SIZE]]&lt;&gt;"", Table2[[#This Row],[SIZE]]=Data!$B$3),1,"")</f>
        <v/>
      </c>
      <c r="O300" s="998" t="str">
        <f>IF(AND(Table2[[#This Row],[TYPE]]&lt;&gt;"", Table2[[#This Row],[TYPE]]=Data!$B$4),1,"")</f>
        <v/>
      </c>
      <c r="P300" s="998" t="str">
        <f>IF(AND(Table2[[#This Row],[LV5 MAT NO.]]&lt;&gt;"", Table2[[#This Row],[LV5 MAT NO.]]=Data!$B$5),1,"")</f>
        <v/>
      </c>
      <c r="Q300" s="998" t="str">
        <f>IF(AND(Table2[[#This Row],[FROM]]&lt;&gt;"", Table2[[#This Row],[FROM]]=Data!$B$7),1,"")</f>
        <v/>
      </c>
      <c r="R300" s="998" t="str">
        <f>IF(AND(Table2[[#This Row],[LV3 or LV4 MAT NO.]]&lt;&gt;"", Table2[[#This Row],[LV3 or LV4 MAT NO.]]=Data!$B$8),1,"")</f>
        <v/>
      </c>
      <c r="S300" s="998"/>
      <c r="T300" s="998"/>
      <c r="U300" s="804" t="str">
        <f>IF(Table4[[#This Row],[Write "N" To Remove The Default]]="N","",IF(AND(COUNTA(Table2[[#This Row],[SEREAL NO.]:[REMARKS]])=SUM( L300:T300),SUM( L300:T300)&lt;&gt;0),Table2[[#This Row],[Instruction]],""))</f>
        <v/>
      </c>
      <c r="V300" s="804"/>
    </row>
    <row r="301" spans="9:22" x14ac:dyDescent="0.35">
      <c r="I301" s="1000"/>
      <c r="L301" s="998" t="str">
        <f>IF(AND(Table2[[#This Row],[ORDER NO.]]&lt;&gt;"", Table2[[#This Row],[ORDER NO.]]=Data!$B$1),1,"")</f>
        <v/>
      </c>
      <c r="M301" s="998" t="str">
        <f>IFERROR(IF(AND(Table2[[#This Row],[SEREAL NO.]]&lt;&gt;"", Table2[[#This Row],[SEREAL NO.]]=Data!$A$103),1,""),"")</f>
        <v/>
      </c>
      <c r="N301" s="998" t="str">
        <f>IF(AND(Table2[[#This Row],[SIZE]]&lt;&gt;"", Table2[[#This Row],[SIZE]]=Data!$B$3),1,"")</f>
        <v/>
      </c>
      <c r="O301" s="998" t="str">
        <f>IF(AND(Table2[[#This Row],[TYPE]]&lt;&gt;"", Table2[[#This Row],[TYPE]]=Data!$B$4),1,"")</f>
        <v/>
      </c>
      <c r="P301" s="998" t="str">
        <f>IF(AND(Table2[[#This Row],[LV5 MAT NO.]]&lt;&gt;"", Table2[[#This Row],[LV5 MAT NO.]]=Data!$B$5),1,"")</f>
        <v/>
      </c>
      <c r="Q301" s="998" t="str">
        <f>IF(AND(Table2[[#This Row],[FROM]]&lt;&gt;"", Table2[[#This Row],[FROM]]=Data!$B$7),1,"")</f>
        <v/>
      </c>
      <c r="R301" s="998" t="str">
        <f>IF(AND(Table2[[#This Row],[LV3 or LV4 MAT NO.]]&lt;&gt;"", Table2[[#This Row],[LV3 or LV4 MAT NO.]]=Data!$B$8),1,"")</f>
        <v/>
      </c>
      <c r="S301" s="998"/>
      <c r="T301" s="998"/>
      <c r="U301" s="804" t="str">
        <f>IF(Table4[[#This Row],[Write "N" To Remove The Default]]="N","",IF(AND(COUNTA(Table2[[#This Row],[SEREAL NO.]:[REMARKS]])=SUM( L301:T301),SUM( L301:T301)&lt;&gt;0),Table2[[#This Row],[Instruction]],""))</f>
        <v/>
      </c>
      <c r="V301" s="804"/>
    </row>
    <row r="302" spans="9:22" x14ac:dyDescent="0.35">
      <c r="I302" s="1000"/>
      <c r="L302" s="998" t="str">
        <f>IF(AND(Table2[[#This Row],[ORDER NO.]]&lt;&gt;"", Table2[[#This Row],[ORDER NO.]]=Data!$B$1),1,"")</f>
        <v/>
      </c>
      <c r="M302" s="998" t="str">
        <f>IFERROR(IF(AND(Table2[[#This Row],[SEREAL NO.]]&lt;&gt;"", Table2[[#This Row],[SEREAL NO.]]=Data!$A$103),1,""),"")</f>
        <v/>
      </c>
      <c r="N302" s="998" t="str">
        <f>IF(AND(Table2[[#This Row],[SIZE]]&lt;&gt;"", Table2[[#This Row],[SIZE]]=Data!$B$3),1,"")</f>
        <v/>
      </c>
      <c r="O302" s="998" t="str">
        <f>IF(AND(Table2[[#This Row],[TYPE]]&lt;&gt;"", Table2[[#This Row],[TYPE]]=Data!$B$4),1,"")</f>
        <v/>
      </c>
      <c r="P302" s="998" t="str">
        <f>IF(AND(Table2[[#This Row],[LV5 MAT NO.]]&lt;&gt;"", Table2[[#This Row],[LV5 MAT NO.]]=Data!$B$5),1,"")</f>
        <v/>
      </c>
      <c r="Q302" s="998" t="str">
        <f>IF(AND(Table2[[#This Row],[FROM]]&lt;&gt;"", Table2[[#This Row],[FROM]]=Data!$B$7),1,"")</f>
        <v/>
      </c>
      <c r="R302" s="998" t="str">
        <f>IF(AND(Table2[[#This Row],[LV3 or LV4 MAT NO.]]&lt;&gt;"", Table2[[#This Row],[LV3 or LV4 MAT NO.]]=Data!$B$8),1,"")</f>
        <v/>
      </c>
      <c r="S302" s="998"/>
      <c r="T302" s="998"/>
      <c r="U302" s="804" t="str">
        <f>IF(Table4[[#This Row],[Write "N" To Remove The Default]]="N","",IF(AND(COUNTA(Table2[[#This Row],[SEREAL NO.]:[REMARKS]])=SUM( L302:T302),SUM( L302:T302)&lt;&gt;0),Table2[[#This Row],[Instruction]],""))</f>
        <v/>
      </c>
      <c r="V302" s="804"/>
    </row>
    <row r="303" spans="9:22" x14ac:dyDescent="0.35">
      <c r="I303" s="1000"/>
      <c r="L303" s="998" t="str">
        <f>IF(AND(Table2[[#This Row],[ORDER NO.]]&lt;&gt;"", Table2[[#This Row],[ORDER NO.]]=Data!$B$1),1,"")</f>
        <v/>
      </c>
      <c r="M303" s="998" t="str">
        <f>IFERROR(IF(AND(Table2[[#This Row],[SEREAL NO.]]&lt;&gt;"", Table2[[#This Row],[SEREAL NO.]]=Data!$A$103),1,""),"")</f>
        <v/>
      </c>
      <c r="N303" s="998" t="str">
        <f>IF(AND(Table2[[#This Row],[SIZE]]&lt;&gt;"", Table2[[#This Row],[SIZE]]=Data!$B$3),1,"")</f>
        <v/>
      </c>
      <c r="O303" s="998" t="str">
        <f>IF(AND(Table2[[#This Row],[TYPE]]&lt;&gt;"", Table2[[#This Row],[TYPE]]=Data!$B$4),1,"")</f>
        <v/>
      </c>
      <c r="P303" s="998" t="str">
        <f>IF(AND(Table2[[#This Row],[LV5 MAT NO.]]&lt;&gt;"", Table2[[#This Row],[LV5 MAT NO.]]=Data!$B$5),1,"")</f>
        <v/>
      </c>
      <c r="Q303" s="998" t="str">
        <f>IF(AND(Table2[[#This Row],[FROM]]&lt;&gt;"", Table2[[#This Row],[FROM]]=Data!$B$7),1,"")</f>
        <v/>
      </c>
      <c r="R303" s="998" t="str">
        <f>IF(AND(Table2[[#This Row],[LV3 or LV4 MAT NO.]]&lt;&gt;"", Table2[[#This Row],[LV3 or LV4 MAT NO.]]=Data!$B$8),1,"")</f>
        <v/>
      </c>
      <c r="S303" s="998"/>
      <c r="T303" s="998"/>
      <c r="U303" s="804" t="str">
        <f>IF(Table4[[#This Row],[Write "N" To Remove The Default]]="N","",IF(AND(COUNTA(Table2[[#This Row],[SEREAL NO.]:[REMARKS]])=SUM( L303:T303),SUM( L303:T303)&lt;&gt;0),Table2[[#This Row],[Instruction]],""))</f>
        <v/>
      </c>
      <c r="V303" s="804"/>
    </row>
    <row r="304" spans="9:22" x14ac:dyDescent="0.35">
      <c r="I304" s="1000"/>
      <c r="L304" s="998" t="str">
        <f>IF(AND(Table2[[#This Row],[ORDER NO.]]&lt;&gt;"", Table2[[#This Row],[ORDER NO.]]=Data!$B$1),1,"")</f>
        <v/>
      </c>
      <c r="M304" s="998" t="str">
        <f>IFERROR(IF(AND(Table2[[#This Row],[SEREAL NO.]]&lt;&gt;"", Table2[[#This Row],[SEREAL NO.]]=Data!$A$103),1,""),"")</f>
        <v/>
      </c>
      <c r="N304" s="998" t="str">
        <f>IF(AND(Table2[[#This Row],[SIZE]]&lt;&gt;"", Table2[[#This Row],[SIZE]]=Data!$B$3),1,"")</f>
        <v/>
      </c>
      <c r="O304" s="998" t="str">
        <f>IF(AND(Table2[[#This Row],[TYPE]]&lt;&gt;"", Table2[[#This Row],[TYPE]]=Data!$B$4),1,"")</f>
        <v/>
      </c>
      <c r="P304" s="998" t="str">
        <f>IF(AND(Table2[[#This Row],[LV5 MAT NO.]]&lt;&gt;"", Table2[[#This Row],[LV5 MAT NO.]]=Data!$B$5),1,"")</f>
        <v/>
      </c>
      <c r="Q304" s="998" t="str">
        <f>IF(AND(Table2[[#This Row],[FROM]]&lt;&gt;"", Table2[[#This Row],[FROM]]=Data!$B$7),1,"")</f>
        <v/>
      </c>
      <c r="R304" s="998" t="str">
        <f>IF(AND(Table2[[#This Row],[LV3 or LV4 MAT NO.]]&lt;&gt;"", Table2[[#This Row],[LV3 or LV4 MAT NO.]]=Data!$B$8),1,"")</f>
        <v/>
      </c>
      <c r="S304" s="998"/>
      <c r="T304" s="998"/>
      <c r="U304" s="804" t="str">
        <f>IF(Table4[[#This Row],[Write "N" To Remove The Default]]="N","",IF(AND(COUNTA(Table2[[#This Row],[SEREAL NO.]:[REMARKS]])=SUM( L304:T304),SUM( L304:T304)&lt;&gt;0),Table2[[#This Row],[Instruction]],""))</f>
        <v/>
      </c>
      <c r="V304" s="804"/>
    </row>
    <row r="305" spans="9:22" x14ac:dyDescent="0.35">
      <c r="I305" s="1000"/>
      <c r="L305" s="998" t="str">
        <f>IF(AND(Table2[[#This Row],[ORDER NO.]]&lt;&gt;"", Table2[[#This Row],[ORDER NO.]]=Data!$B$1),1,"")</f>
        <v/>
      </c>
      <c r="M305" s="998" t="str">
        <f>IFERROR(IF(AND(Table2[[#This Row],[SEREAL NO.]]&lt;&gt;"", Table2[[#This Row],[SEREAL NO.]]=Data!$A$103),1,""),"")</f>
        <v/>
      </c>
      <c r="N305" s="998" t="str">
        <f>IF(AND(Table2[[#This Row],[SIZE]]&lt;&gt;"", Table2[[#This Row],[SIZE]]=Data!$B$3),1,"")</f>
        <v/>
      </c>
      <c r="O305" s="998" t="str">
        <f>IF(AND(Table2[[#This Row],[TYPE]]&lt;&gt;"", Table2[[#This Row],[TYPE]]=Data!$B$4),1,"")</f>
        <v/>
      </c>
      <c r="P305" s="998" t="str">
        <f>IF(AND(Table2[[#This Row],[LV5 MAT NO.]]&lt;&gt;"", Table2[[#This Row],[LV5 MAT NO.]]=Data!$B$5),1,"")</f>
        <v/>
      </c>
      <c r="Q305" s="998" t="str">
        <f>IF(AND(Table2[[#This Row],[FROM]]&lt;&gt;"", Table2[[#This Row],[FROM]]=Data!$B$7),1,"")</f>
        <v/>
      </c>
      <c r="R305" s="998" t="str">
        <f>IF(AND(Table2[[#This Row],[LV3 or LV4 MAT NO.]]&lt;&gt;"", Table2[[#This Row],[LV3 or LV4 MAT NO.]]=Data!$B$8),1,"")</f>
        <v/>
      </c>
      <c r="S305" s="998"/>
      <c r="T305" s="998"/>
      <c r="U305" s="804" t="str">
        <f>IF(Table4[[#This Row],[Write "N" To Remove The Default]]="N","",IF(AND(COUNTA(Table2[[#This Row],[SEREAL NO.]:[REMARKS]])=SUM( L305:T305),SUM( L305:T305)&lt;&gt;0),Table2[[#This Row],[Instruction]],""))</f>
        <v/>
      </c>
      <c r="V305" s="804"/>
    </row>
    <row r="306" spans="9:22" x14ac:dyDescent="0.35">
      <c r="I306" s="1000"/>
      <c r="L306" s="998" t="str">
        <f>IF(AND(Table2[[#This Row],[ORDER NO.]]&lt;&gt;"", Table2[[#This Row],[ORDER NO.]]=Data!$B$1),1,"")</f>
        <v/>
      </c>
      <c r="M306" s="998" t="str">
        <f>IFERROR(IF(AND(Table2[[#This Row],[SEREAL NO.]]&lt;&gt;"", Table2[[#This Row],[SEREAL NO.]]=Data!$A$103),1,""),"")</f>
        <v/>
      </c>
      <c r="N306" s="998" t="str">
        <f>IF(AND(Table2[[#This Row],[SIZE]]&lt;&gt;"", Table2[[#This Row],[SIZE]]=Data!$B$3),1,"")</f>
        <v/>
      </c>
      <c r="O306" s="998" t="str">
        <f>IF(AND(Table2[[#This Row],[TYPE]]&lt;&gt;"", Table2[[#This Row],[TYPE]]=Data!$B$4),1,"")</f>
        <v/>
      </c>
      <c r="P306" s="998" t="str">
        <f>IF(AND(Table2[[#This Row],[LV5 MAT NO.]]&lt;&gt;"", Table2[[#This Row],[LV5 MAT NO.]]=Data!$B$5),1,"")</f>
        <v/>
      </c>
      <c r="Q306" s="998" t="str">
        <f>IF(AND(Table2[[#This Row],[FROM]]&lt;&gt;"", Table2[[#This Row],[FROM]]=Data!$B$7),1,"")</f>
        <v/>
      </c>
      <c r="R306" s="998" t="str">
        <f>IF(AND(Table2[[#This Row],[LV3 or LV4 MAT NO.]]&lt;&gt;"", Table2[[#This Row],[LV3 or LV4 MAT NO.]]=Data!$B$8),1,"")</f>
        <v/>
      </c>
      <c r="S306" s="998"/>
      <c r="T306" s="998"/>
      <c r="U306" s="804" t="str">
        <f>IF(Table4[[#This Row],[Write "N" To Remove The Default]]="N","",IF(AND(COUNTA(Table2[[#This Row],[SEREAL NO.]:[REMARKS]])=SUM( L306:T306),SUM( L306:T306)&lt;&gt;0),Table2[[#This Row],[Instruction]],""))</f>
        <v/>
      </c>
      <c r="V306" s="804"/>
    </row>
    <row r="307" spans="9:22" x14ac:dyDescent="0.35">
      <c r="I307" s="1000"/>
      <c r="L307" s="998" t="str">
        <f>IF(AND(Table2[[#This Row],[ORDER NO.]]&lt;&gt;"", Table2[[#This Row],[ORDER NO.]]=Data!$B$1),1,"")</f>
        <v/>
      </c>
      <c r="M307" s="998" t="str">
        <f>IFERROR(IF(AND(Table2[[#This Row],[SEREAL NO.]]&lt;&gt;"", Table2[[#This Row],[SEREAL NO.]]=Data!$A$103),1,""),"")</f>
        <v/>
      </c>
      <c r="N307" s="998" t="str">
        <f>IF(AND(Table2[[#This Row],[SIZE]]&lt;&gt;"", Table2[[#This Row],[SIZE]]=Data!$B$3),1,"")</f>
        <v/>
      </c>
      <c r="O307" s="998" t="str">
        <f>IF(AND(Table2[[#This Row],[TYPE]]&lt;&gt;"", Table2[[#This Row],[TYPE]]=Data!$B$4),1,"")</f>
        <v/>
      </c>
      <c r="P307" s="998" t="str">
        <f>IF(AND(Table2[[#This Row],[LV5 MAT NO.]]&lt;&gt;"", Table2[[#This Row],[LV5 MAT NO.]]=Data!$B$5),1,"")</f>
        <v/>
      </c>
      <c r="Q307" s="998" t="str">
        <f>IF(AND(Table2[[#This Row],[FROM]]&lt;&gt;"", Table2[[#This Row],[FROM]]=Data!$B$7),1,"")</f>
        <v/>
      </c>
      <c r="R307" s="998" t="str">
        <f>IF(AND(Table2[[#This Row],[LV3 or LV4 MAT NO.]]&lt;&gt;"", Table2[[#This Row],[LV3 or LV4 MAT NO.]]=Data!$B$8),1,"")</f>
        <v/>
      </c>
      <c r="S307" s="998"/>
      <c r="T307" s="998"/>
      <c r="U307" s="804" t="str">
        <f>IF(Table4[[#This Row],[Write "N" To Remove The Default]]="N","",IF(AND(COUNTA(Table2[[#This Row],[SEREAL NO.]:[REMARKS]])=SUM( L307:T307),SUM( L307:T307)&lt;&gt;0),Table2[[#This Row],[Instruction]],""))</f>
        <v/>
      </c>
      <c r="V307" s="804"/>
    </row>
    <row r="308" spans="9:22" x14ac:dyDescent="0.35">
      <c r="I308" s="1000"/>
      <c r="L308" s="998" t="str">
        <f>IF(AND(Table2[[#This Row],[ORDER NO.]]&lt;&gt;"", Table2[[#This Row],[ORDER NO.]]=Data!$B$1),1,"")</f>
        <v/>
      </c>
      <c r="M308" s="998" t="str">
        <f>IFERROR(IF(AND(Table2[[#This Row],[SEREAL NO.]]&lt;&gt;"", Table2[[#This Row],[SEREAL NO.]]=Data!$A$103),1,""),"")</f>
        <v/>
      </c>
      <c r="N308" s="998" t="str">
        <f>IF(AND(Table2[[#This Row],[SIZE]]&lt;&gt;"", Table2[[#This Row],[SIZE]]=Data!$B$3),1,"")</f>
        <v/>
      </c>
      <c r="O308" s="998" t="str">
        <f>IF(AND(Table2[[#This Row],[TYPE]]&lt;&gt;"", Table2[[#This Row],[TYPE]]=Data!$B$4),1,"")</f>
        <v/>
      </c>
      <c r="P308" s="998" t="str">
        <f>IF(AND(Table2[[#This Row],[LV5 MAT NO.]]&lt;&gt;"", Table2[[#This Row],[LV5 MAT NO.]]=Data!$B$5),1,"")</f>
        <v/>
      </c>
      <c r="Q308" s="998" t="str">
        <f>IF(AND(Table2[[#This Row],[FROM]]&lt;&gt;"", Table2[[#This Row],[FROM]]=Data!$B$7),1,"")</f>
        <v/>
      </c>
      <c r="R308" s="998" t="str">
        <f>IF(AND(Table2[[#This Row],[LV3 or LV4 MAT NO.]]&lt;&gt;"", Table2[[#This Row],[LV3 or LV4 MAT NO.]]=Data!$B$8),1,"")</f>
        <v/>
      </c>
      <c r="S308" s="998"/>
      <c r="T308" s="998"/>
      <c r="U308" s="804" t="str">
        <f>IF(Table4[[#This Row],[Write "N" To Remove The Default]]="N","",IF(AND(COUNTA(Table2[[#This Row],[SEREAL NO.]:[REMARKS]])=SUM( L308:T308),SUM( L308:T308)&lt;&gt;0),Table2[[#This Row],[Instruction]],""))</f>
        <v/>
      </c>
      <c r="V308" s="804"/>
    </row>
    <row r="309" spans="9:22" x14ac:dyDescent="0.35">
      <c r="I309" s="1000"/>
      <c r="L309" s="998" t="str">
        <f>IF(AND(Table2[[#This Row],[ORDER NO.]]&lt;&gt;"", Table2[[#This Row],[ORDER NO.]]=Data!$B$1),1,"")</f>
        <v/>
      </c>
      <c r="M309" s="998" t="str">
        <f>IFERROR(IF(AND(Table2[[#This Row],[SEREAL NO.]]&lt;&gt;"", Table2[[#This Row],[SEREAL NO.]]=Data!$A$103),1,""),"")</f>
        <v/>
      </c>
      <c r="N309" s="998" t="str">
        <f>IF(AND(Table2[[#This Row],[SIZE]]&lt;&gt;"", Table2[[#This Row],[SIZE]]=Data!$B$3),1,"")</f>
        <v/>
      </c>
      <c r="O309" s="998" t="str">
        <f>IF(AND(Table2[[#This Row],[TYPE]]&lt;&gt;"", Table2[[#This Row],[TYPE]]=Data!$B$4),1,"")</f>
        <v/>
      </c>
      <c r="P309" s="998" t="str">
        <f>IF(AND(Table2[[#This Row],[LV5 MAT NO.]]&lt;&gt;"", Table2[[#This Row],[LV5 MAT NO.]]=Data!$B$5),1,"")</f>
        <v/>
      </c>
      <c r="Q309" s="998" t="str">
        <f>IF(AND(Table2[[#This Row],[FROM]]&lt;&gt;"", Table2[[#This Row],[FROM]]=Data!$B$7),1,"")</f>
        <v/>
      </c>
      <c r="R309" s="998" t="str">
        <f>IF(AND(Table2[[#This Row],[LV3 or LV4 MAT NO.]]&lt;&gt;"", Table2[[#This Row],[LV3 or LV4 MAT NO.]]=Data!$B$8),1,"")</f>
        <v/>
      </c>
      <c r="S309" s="998"/>
      <c r="T309" s="998"/>
      <c r="U309" s="804" t="str">
        <f>IF(Table4[[#This Row],[Write "N" To Remove The Default]]="N","",IF(AND(COUNTA(Table2[[#This Row],[SEREAL NO.]:[REMARKS]])=SUM( L309:T309),SUM( L309:T309)&lt;&gt;0),Table2[[#This Row],[Instruction]],""))</f>
        <v/>
      </c>
      <c r="V309" s="804"/>
    </row>
    <row r="310" spans="9:22" x14ac:dyDescent="0.35">
      <c r="I310" s="1000"/>
      <c r="L310" s="998" t="str">
        <f>IF(AND(Table2[[#This Row],[ORDER NO.]]&lt;&gt;"", Table2[[#This Row],[ORDER NO.]]=Data!$B$1),1,"")</f>
        <v/>
      </c>
      <c r="M310" s="998" t="str">
        <f>IFERROR(IF(AND(Table2[[#This Row],[SEREAL NO.]]&lt;&gt;"", Table2[[#This Row],[SEREAL NO.]]=Data!$A$103),1,""),"")</f>
        <v/>
      </c>
      <c r="N310" s="998" t="str">
        <f>IF(AND(Table2[[#This Row],[SIZE]]&lt;&gt;"", Table2[[#This Row],[SIZE]]=Data!$B$3),1,"")</f>
        <v/>
      </c>
      <c r="O310" s="998" t="str">
        <f>IF(AND(Table2[[#This Row],[TYPE]]&lt;&gt;"", Table2[[#This Row],[TYPE]]=Data!$B$4),1,"")</f>
        <v/>
      </c>
      <c r="P310" s="998" t="str">
        <f>IF(AND(Table2[[#This Row],[LV5 MAT NO.]]&lt;&gt;"", Table2[[#This Row],[LV5 MAT NO.]]=Data!$B$5),1,"")</f>
        <v/>
      </c>
      <c r="Q310" s="998" t="str">
        <f>IF(AND(Table2[[#This Row],[FROM]]&lt;&gt;"", Table2[[#This Row],[FROM]]=Data!$B$7),1,"")</f>
        <v/>
      </c>
      <c r="R310" s="998" t="str">
        <f>IF(AND(Table2[[#This Row],[LV3 or LV4 MAT NO.]]&lt;&gt;"", Table2[[#This Row],[LV3 or LV4 MAT NO.]]=Data!$B$8),1,"")</f>
        <v/>
      </c>
      <c r="S310" s="998"/>
      <c r="T310" s="998"/>
      <c r="U310" s="804" t="str">
        <f>IF(Table4[[#This Row],[Write "N" To Remove The Default]]="N","",IF(AND(COUNTA(Table2[[#This Row],[SEREAL NO.]:[REMARKS]])=SUM( L310:T310),SUM( L310:T310)&lt;&gt;0),Table2[[#This Row],[Instruction]],""))</f>
        <v/>
      </c>
      <c r="V310" s="804"/>
    </row>
    <row r="311" spans="9:22" x14ac:dyDescent="0.35">
      <c r="I311" s="1000"/>
      <c r="L311" s="998" t="str">
        <f>IF(AND(Table2[[#This Row],[ORDER NO.]]&lt;&gt;"", Table2[[#This Row],[ORDER NO.]]=Data!$B$1),1,"")</f>
        <v/>
      </c>
      <c r="M311" s="998" t="str">
        <f>IFERROR(IF(AND(Table2[[#This Row],[SEREAL NO.]]&lt;&gt;"", Table2[[#This Row],[SEREAL NO.]]=Data!$A$103),1,""),"")</f>
        <v/>
      </c>
      <c r="N311" s="998" t="str">
        <f>IF(AND(Table2[[#This Row],[SIZE]]&lt;&gt;"", Table2[[#This Row],[SIZE]]=Data!$B$3),1,"")</f>
        <v/>
      </c>
      <c r="O311" s="998" t="str">
        <f>IF(AND(Table2[[#This Row],[TYPE]]&lt;&gt;"", Table2[[#This Row],[TYPE]]=Data!$B$4),1,"")</f>
        <v/>
      </c>
      <c r="P311" s="998" t="str">
        <f>IF(AND(Table2[[#This Row],[LV5 MAT NO.]]&lt;&gt;"", Table2[[#This Row],[LV5 MAT NO.]]=Data!$B$5),1,"")</f>
        <v/>
      </c>
      <c r="Q311" s="998" t="str">
        <f>IF(AND(Table2[[#This Row],[FROM]]&lt;&gt;"", Table2[[#This Row],[FROM]]=Data!$B$7),1,"")</f>
        <v/>
      </c>
      <c r="R311" s="998" t="str">
        <f>IF(AND(Table2[[#This Row],[LV3 or LV4 MAT NO.]]&lt;&gt;"", Table2[[#This Row],[LV3 or LV4 MAT NO.]]=Data!$B$8),1,"")</f>
        <v/>
      </c>
      <c r="S311" s="998"/>
      <c r="T311" s="998"/>
      <c r="U311" s="804" t="str">
        <f>IF(Table4[[#This Row],[Write "N" To Remove The Default]]="N","",IF(AND(COUNTA(Table2[[#This Row],[SEREAL NO.]:[REMARKS]])=SUM( L311:T311),SUM( L311:T311)&lt;&gt;0),Table2[[#This Row],[Instruction]],""))</f>
        <v/>
      </c>
      <c r="V311" s="804"/>
    </row>
    <row r="312" spans="9:22" x14ac:dyDescent="0.35">
      <c r="I312" s="1000"/>
      <c r="L312" s="998" t="str">
        <f>IF(AND(Table2[[#This Row],[ORDER NO.]]&lt;&gt;"", Table2[[#This Row],[ORDER NO.]]=Data!$B$1),1,"")</f>
        <v/>
      </c>
      <c r="M312" s="998" t="str">
        <f>IFERROR(IF(AND(Table2[[#This Row],[SEREAL NO.]]&lt;&gt;"", Table2[[#This Row],[SEREAL NO.]]=Data!$A$103),1,""),"")</f>
        <v/>
      </c>
      <c r="N312" s="998" t="str">
        <f>IF(AND(Table2[[#This Row],[SIZE]]&lt;&gt;"", Table2[[#This Row],[SIZE]]=Data!$B$3),1,"")</f>
        <v/>
      </c>
      <c r="O312" s="998" t="str">
        <f>IF(AND(Table2[[#This Row],[TYPE]]&lt;&gt;"", Table2[[#This Row],[TYPE]]=Data!$B$4),1,"")</f>
        <v/>
      </c>
      <c r="P312" s="998" t="str">
        <f>IF(AND(Table2[[#This Row],[LV5 MAT NO.]]&lt;&gt;"", Table2[[#This Row],[LV5 MAT NO.]]=Data!$B$5),1,"")</f>
        <v/>
      </c>
      <c r="Q312" s="998" t="str">
        <f>IF(AND(Table2[[#This Row],[FROM]]&lt;&gt;"", Table2[[#This Row],[FROM]]=Data!$B$7),1,"")</f>
        <v/>
      </c>
      <c r="R312" s="998" t="str">
        <f>IF(AND(Table2[[#This Row],[LV3 or LV4 MAT NO.]]&lt;&gt;"", Table2[[#This Row],[LV3 or LV4 MAT NO.]]=Data!$B$8),1,"")</f>
        <v/>
      </c>
      <c r="S312" s="998"/>
      <c r="T312" s="998"/>
      <c r="U312" s="804" t="str">
        <f>IF(Table4[[#This Row],[Write "N" To Remove The Default]]="N","",IF(AND(COUNTA(Table2[[#This Row],[SEREAL NO.]:[REMARKS]])=SUM( L312:T312),SUM( L312:T312)&lt;&gt;0),Table2[[#This Row],[Instruction]],""))</f>
        <v/>
      </c>
      <c r="V312" s="804"/>
    </row>
    <row r="313" spans="9:22" x14ac:dyDescent="0.35">
      <c r="I313" s="1000"/>
      <c r="L313" s="998" t="str">
        <f>IF(AND(Table2[[#This Row],[ORDER NO.]]&lt;&gt;"", Table2[[#This Row],[ORDER NO.]]=Data!$B$1),1,"")</f>
        <v/>
      </c>
      <c r="M313" s="998" t="str">
        <f>IFERROR(IF(AND(Table2[[#This Row],[SEREAL NO.]]&lt;&gt;"", Table2[[#This Row],[SEREAL NO.]]=Data!$A$103),1,""),"")</f>
        <v/>
      </c>
      <c r="N313" s="998" t="str">
        <f>IF(AND(Table2[[#This Row],[SIZE]]&lt;&gt;"", Table2[[#This Row],[SIZE]]=Data!$B$3),1,"")</f>
        <v/>
      </c>
      <c r="O313" s="998" t="str">
        <f>IF(AND(Table2[[#This Row],[TYPE]]&lt;&gt;"", Table2[[#This Row],[TYPE]]=Data!$B$4),1,"")</f>
        <v/>
      </c>
      <c r="P313" s="998" t="str">
        <f>IF(AND(Table2[[#This Row],[LV5 MAT NO.]]&lt;&gt;"", Table2[[#This Row],[LV5 MAT NO.]]=Data!$B$5),1,"")</f>
        <v/>
      </c>
      <c r="Q313" s="998" t="str">
        <f>IF(AND(Table2[[#This Row],[FROM]]&lt;&gt;"", Table2[[#This Row],[FROM]]=Data!$B$7),1,"")</f>
        <v/>
      </c>
      <c r="R313" s="998" t="str">
        <f>IF(AND(Table2[[#This Row],[LV3 or LV4 MAT NO.]]&lt;&gt;"", Table2[[#This Row],[LV3 or LV4 MAT NO.]]=Data!$B$8),1,"")</f>
        <v/>
      </c>
      <c r="S313" s="998"/>
      <c r="T313" s="998"/>
      <c r="U313" s="804" t="str">
        <f>IF(Table4[[#This Row],[Write "N" To Remove The Default]]="N","",IF(AND(COUNTA(Table2[[#This Row],[SEREAL NO.]:[REMARKS]])=SUM( L313:T313),SUM( L313:T313)&lt;&gt;0),Table2[[#This Row],[Instruction]],""))</f>
        <v/>
      </c>
      <c r="V313" s="804"/>
    </row>
    <row r="314" spans="9:22" x14ac:dyDescent="0.35">
      <c r="I314" s="1000"/>
      <c r="L314" s="998" t="str">
        <f>IF(AND(Table2[[#This Row],[ORDER NO.]]&lt;&gt;"", Table2[[#This Row],[ORDER NO.]]=Data!$B$1),1,"")</f>
        <v/>
      </c>
      <c r="M314" s="998" t="str">
        <f>IFERROR(IF(AND(Table2[[#This Row],[SEREAL NO.]]&lt;&gt;"", Table2[[#This Row],[SEREAL NO.]]=Data!$A$103),1,""),"")</f>
        <v/>
      </c>
      <c r="N314" s="998" t="str">
        <f>IF(AND(Table2[[#This Row],[SIZE]]&lt;&gt;"", Table2[[#This Row],[SIZE]]=Data!$B$3),1,"")</f>
        <v/>
      </c>
      <c r="O314" s="998" t="str">
        <f>IF(AND(Table2[[#This Row],[TYPE]]&lt;&gt;"", Table2[[#This Row],[TYPE]]=Data!$B$4),1,"")</f>
        <v/>
      </c>
      <c r="P314" s="998" t="str">
        <f>IF(AND(Table2[[#This Row],[LV5 MAT NO.]]&lt;&gt;"", Table2[[#This Row],[LV5 MAT NO.]]=Data!$B$5),1,"")</f>
        <v/>
      </c>
      <c r="Q314" s="998" t="str">
        <f>IF(AND(Table2[[#This Row],[FROM]]&lt;&gt;"", Table2[[#This Row],[FROM]]=Data!$B$7),1,"")</f>
        <v/>
      </c>
      <c r="R314" s="998" t="str">
        <f>IF(AND(Table2[[#This Row],[LV3 or LV4 MAT NO.]]&lt;&gt;"", Table2[[#This Row],[LV3 or LV4 MAT NO.]]=Data!$B$8),1,"")</f>
        <v/>
      </c>
      <c r="S314" s="998"/>
      <c r="T314" s="998"/>
      <c r="U314" s="804" t="str">
        <f>IF(Table4[[#This Row],[Write "N" To Remove The Default]]="N","",IF(AND(COUNTA(Table2[[#This Row],[SEREAL NO.]:[REMARKS]])=SUM( L314:T314),SUM( L314:T314)&lt;&gt;0),Table2[[#This Row],[Instruction]],""))</f>
        <v/>
      </c>
      <c r="V314" s="804"/>
    </row>
    <row r="315" spans="9:22" x14ac:dyDescent="0.35">
      <c r="I315" s="1000"/>
      <c r="L315" s="998" t="str">
        <f>IF(AND(Table2[[#This Row],[ORDER NO.]]&lt;&gt;"", Table2[[#This Row],[ORDER NO.]]=Data!$B$1),1,"")</f>
        <v/>
      </c>
      <c r="M315" s="998" t="str">
        <f>IFERROR(IF(AND(Table2[[#This Row],[SEREAL NO.]]&lt;&gt;"", Table2[[#This Row],[SEREAL NO.]]=Data!$A$103),1,""),"")</f>
        <v/>
      </c>
      <c r="N315" s="998" t="str">
        <f>IF(AND(Table2[[#This Row],[SIZE]]&lt;&gt;"", Table2[[#This Row],[SIZE]]=Data!$B$3),1,"")</f>
        <v/>
      </c>
      <c r="O315" s="998" t="str">
        <f>IF(AND(Table2[[#This Row],[TYPE]]&lt;&gt;"", Table2[[#This Row],[TYPE]]=Data!$B$4),1,"")</f>
        <v/>
      </c>
      <c r="P315" s="998" t="str">
        <f>IF(AND(Table2[[#This Row],[LV5 MAT NO.]]&lt;&gt;"", Table2[[#This Row],[LV5 MAT NO.]]=Data!$B$5),1,"")</f>
        <v/>
      </c>
      <c r="Q315" s="998" t="str">
        <f>IF(AND(Table2[[#This Row],[FROM]]&lt;&gt;"", Table2[[#This Row],[FROM]]=Data!$B$7),1,"")</f>
        <v/>
      </c>
      <c r="R315" s="998" t="str">
        <f>IF(AND(Table2[[#This Row],[LV3 or LV4 MAT NO.]]&lt;&gt;"", Table2[[#This Row],[LV3 or LV4 MAT NO.]]=Data!$B$8),1,"")</f>
        <v/>
      </c>
      <c r="S315" s="998"/>
      <c r="T315" s="998"/>
      <c r="U315" s="804" t="str">
        <f>IF(Table4[[#This Row],[Write "N" To Remove The Default]]="N","",IF(AND(COUNTA(Table2[[#This Row],[SEREAL NO.]:[REMARKS]])=SUM( L315:T315),SUM( L315:T315)&lt;&gt;0),Table2[[#This Row],[Instruction]],""))</f>
        <v/>
      </c>
      <c r="V315" s="804"/>
    </row>
    <row r="316" spans="9:22" x14ac:dyDescent="0.35">
      <c r="I316" s="1000"/>
      <c r="L316" s="998" t="str">
        <f>IF(AND(Table2[[#This Row],[ORDER NO.]]&lt;&gt;"", Table2[[#This Row],[ORDER NO.]]=Data!$B$1),1,"")</f>
        <v/>
      </c>
      <c r="M316" s="998" t="str">
        <f>IFERROR(IF(AND(Table2[[#This Row],[SEREAL NO.]]&lt;&gt;"", Table2[[#This Row],[SEREAL NO.]]=Data!$A$103),1,""),"")</f>
        <v/>
      </c>
      <c r="N316" s="998" t="str">
        <f>IF(AND(Table2[[#This Row],[SIZE]]&lt;&gt;"", Table2[[#This Row],[SIZE]]=Data!$B$3),1,"")</f>
        <v/>
      </c>
      <c r="O316" s="998" t="str">
        <f>IF(AND(Table2[[#This Row],[TYPE]]&lt;&gt;"", Table2[[#This Row],[TYPE]]=Data!$B$4),1,"")</f>
        <v/>
      </c>
      <c r="P316" s="998" t="str">
        <f>IF(AND(Table2[[#This Row],[LV5 MAT NO.]]&lt;&gt;"", Table2[[#This Row],[LV5 MAT NO.]]=Data!$B$5),1,"")</f>
        <v/>
      </c>
      <c r="Q316" s="998" t="str">
        <f>IF(AND(Table2[[#This Row],[FROM]]&lt;&gt;"", Table2[[#This Row],[FROM]]=Data!$B$7),1,"")</f>
        <v/>
      </c>
      <c r="R316" s="998" t="str">
        <f>IF(AND(Table2[[#This Row],[LV3 or LV4 MAT NO.]]&lt;&gt;"", Table2[[#This Row],[LV3 or LV4 MAT NO.]]=Data!$B$8),1,"")</f>
        <v/>
      </c>
      <c r="S316" s="998"/>
      <c r="T316" s="998"/>
      <c r="U316" s="804" t="str">
        <f>IF(Table4[[#This Row],[Write "N" To Remove The Default]]="N","",IF(AND(COUNTA(Table2[[#This Row],[SEREAL NO.]:[REMARKS]])=SUM( L316:T316),SUM( L316:T316)&lt;&gt;0),Table2[[#This Row],[Instruction]],""))</f>
        <v/>
      </c>
      <c r="V316" s="804"/>
    </row>
    <row r="317" spans="9:22" x14ac:dyDescent="0.35">
      <c r="I317" s="1000"/>
      <c r="L317" s="998" t="str">
        <f>IF(AND(Table2[[#This Row],[ORDER NO.]]&lt;&gt;"", Table2[[#This Row],[ORDER NO.]]=Data!$B$1),1,"")</f>
        <v/>
      </c>
      <c r="M317" s="998" t="str">
        <f>IFERROR(IF(AND(Table2[[#This Row],[SEREAL NO.]]&lt;&gt;"", Table2[[#This Row],[SEREAL NO.]]=Data!$A$103),1,""),"")</f>
        <v/>
      </c>
      <c r="N317" s="998" t="str">
        <f>IF(AND(Table2[[#This Row],[SIZE]]&lt;&gt;"", Table2[[#This Row],[SIZE]]=Data!$B$3),1,"")</f>
        <v/>
      </c>
      <c r="O317" s="998" t="str">
        <f>IF(AND(Table2[[#This Row],[TYPE]]&lt;&gt;"", Table2[[#This Row],[TYPE]]=Data!$B$4),1,"")</f>
        <v/>
      </c>
      <c r="P317" s="998" t="str">
        <f>IF(AND(Table2[[#This Row],[LV5 MAT NO.]]&lt;&gt;"", Table2[[#This Row],[LV5 MAT NO.]]=Data!$B$5),1,"")</f>
        <v/>
      </c>
      <c r="Q317" s="998" t="str">
        <f>IF(AND(Table2[[#This Row],[FROM]]&lt;&gt;"", Table2[[#This Row],[FROM]]=Data!$B$7),1,"")</f>
        <v/>
      </c>
      <c r="R317" s="998" t="str">
        <f>IF(AND(Table2[[#This Row],[LV3 or LV4 MAT NO.]]&lt;&gt;"", Table2[[#This Row],[LV3 or LV4 MAT NO.]]=Data!$B$8),1,"")</f>
        <v/>
      </c>
      <c r="S317" s="998"/>
      <c r="T317" s="998"/>
      <c r="U317" s="804" t="str">
        <f>IF(Table4[[#This Row],[Write "N" To Remove The Default]]="N","",IF(AND(COUNTA(Table2[[#This Row],[SEREAL NO.]:[REMARKS]])=SUM( L317:T317),SUM( L317:T317)&lt;&gt;0),Table2[[#This Row],[Instruction]],""))</f>
        <v/>
      </c>
      <c r="V317" s="804"/>
    </row>
    <row r="318" spans="9:22" x14ac:dyDescent="0.35">
      <c r="I318" s="1000"/>
      <c r="L318" s="998" t="str">
        <f>IF(AND(Table2[[#This Row],[ORDER NO.]]&lt;&gt;"", Table2[[#This Row],[ORDER NO.]]=Data!$B$1),1,"")</f>
        <v/>
      </c>
      <c r="M318" s="998" t="str">
        <f>IFERROR(IF(AND(Table2[[#This Row],[SEREAL NO.]]&lt;&gt;"", Table2[[#This Row],[SEREAL NO.]]=Data!$A$103),1,""),"")</f>
        <v/>
      </c>
      <c r="N318" s="998" t="str">
        <f>IF(AND(Table2[[#This Row],[SIZE]]&lt;&gt;"", Table2[[#This Row],[SIZE]]=Data!$B$3),1,"")</f>
        <v/>
      </c>
      <c r="O318" s="998" t="str">
        <f>IF(AND(Table2[[#This Row],[TYPE]]&lt;&gt;"", Table2[[#This Row],[TYPE]]=Data!$B$4),1,"")</f>
        <v/>
      </c>
      <c r="P318" s="998" t="str">
        <f>IF(AND(Table2[[#This Row],[LV5 MAT NO.]]&lt;&gt;"", Table2[[#This Row],[LV5 MAT NO.]]=Data!$B$5),1,"")</f>
        <v/>
      </c>
      <c r="Q318" s="998" t="str">
        <f>IF(AND(Table2[[#This Row],[FROM]]&lt;&gt;"", Table2[[#This Row],[FROM]]=Data!$B$7),1,"")</f>
        <v/>
      </c>
      <c r="R318" s="998" t="str">
        <f>IF(AND(Table2[[#This Row],[LV3 or LV4 MAT NO.]]&lt;&gt;"", Table2[[#This Row],[LV3 or LV4 MAT NO.]]=Data!$B$8),1,"")</f>
        <v/>
      </c>
      <c r="S318" s="998"/>
      <c r="T318" s="998"/>
      <c r="U318" s="804" t="str">
        <f>IF(Table4[[#This Row],[Write "N" To Remove The Default]]="N","",IF(AND(COUNTA(Table2[[#This Row],[SEREAL NO.]:[REMARKS]])=SUM( L318:T318),SUM( L318:T318)&lt;&gt;0),Table2[[#This Row],[Instruction]],""))</f>
        <v/>
      </c>
      <c r="V318" s="804"/>
    </row>
    <row r="319" spans="9:22" x14ac:dyDescent="0.35">
      <c r="I319" s="1000"/>
      <c r="L319" s="998" t="str">
        <f>IF(AND(Table2[[#This Row],[ORDER NO.]]&lt;&gt;"", Table2[[#This Row],[ORDER NO.]]=Data!$B$1),1,"")</f>
        <v/>
      </c>
      <c r="M319" s="998" t="str">
        <f>IFERROR(IF(AND(Table2[[#This Row],[SEREAL NO.]]&lt;&gt;"", Table2[[#This Row],[SEREAL NO.]]=Data!$A$103),1,""),"")</f>
        <v/>
      </c>
      <c r="N319" s="998" t="str">
        <f>IF(AND(Table2[[#This Row],[SIZE]]&lt;&gt;"", Table2[[#This Row],[SIZE]]=Data!$B$3),1,"")</f>
        <v/>
      </c>
      <c r="O319" s="998" t="str">
        <f>IF(AND(Table2[[#This Row],[TYPE]]&lt;&gt;"", Table2[[#This Row],[TYPE]]=Data!$B$4),1,"")</f>
        <v/>
      </c>
      <c r="P319" s="998" t="str">
        <f>IF(AND(Table2[[#This Row],[LV5 MAT NO.]]&lt;&gt;"", Table2[[#This Row],[LV5 MAT NO.]]=Data!$B$5),1,"")</f>
        <v/>
      </c>
      <c r="Q319" s="998" t="str">
        <f>IF(AND(Table2[[#This Row],[FROM]]&lt;&gt;"", Table2[[#This Row],[FROM]]=Data!$B$7),1,"")</f>
        <v/>
      </c>
      <c r="R319" s="998" t="str">
        <f>IF(AND(Table2[[#This Row],[LV3 or LV4 MAT NO.]]&lt;&gt;"", Table2[[#This Row],[LV3 or LV4 MAT NO.]]=Data!$B$8),1,"")</f>
        <v/>
      </c>
      <c r="S319" s="998"/>
      <c r="T319" s="998"/>
      <c r="U319" s="804" t="str">
        <f>IF(Table4[[#This Row],[Write "N" To Remove The Default]]="N","",IF(AND(COUNTA(Table2[[#This Row],[SEREAL NO.]:[REMARKS]])=SUM( L319:T319),SUM( L319:T319)&lt;&gt;0),Table2[[#This Row],[Instruction]],""))</f>
        <v/>
      </c>
      <c r="V319" s="804"/>
    </row>
    <row r="320" spans="9:22" x14ac:dyDescent="0.35">
      <c r="I320" s="1000"/>
      <c r="L320" s="998" t="str">
        <f>IF(AND(Table2[[#This Row],[ORDER NO.]]&lt;&gt;"", Table2[[#This Row],[ORDER NO.]]=Data!$B$1),1,"")</f>
        <v/>
      </c>
      <c r="M320" s="998" t="str">
        <f>IFERROR(IF(AND(Table2[[#This Row],[SEREAL NO.]]&lt;&gt;"", Table2[[#This Row],[SEREAL NO.]]=Data!$A$103),1,""),"")</f>
        <v/>
      </c>
      <c r="N320" s="998" t="str">
        <f>IF(AND(Table2[[#This Row],[SIZE]]&lt;&gt;"", Table2[[#This Row],[SIZE]]=Data!$B$3),1,"")</f>
        <v/>
      </c>
      <c r="O320" s="998" t="str">
        <f>IF(AND(Table2[[#This Row],[TYPE]]&lt;&gt;"", Table2[[#This Row],[TYPE]]=Data!$B$4),1,"")</f>
        <v/>
      </c>
      <c r="P320" s="998" t="str">
        <f>IF(AND(Table2[[#This Row],[LV5 MAT NO.]]&lt;&gt;"", Table2[[#This Row],[LV5 MAT NO.]]=Data!$B$5),1,"")</f>
        <v/>
      </c>
      <c r="Q320" s="998" t="str">
        <f>IF(AND(Table2[[#This Row],[FROM]]&lt;&gt;"", Table2[[#This Row],[FROM]]=Data!$B$7),1,"")</f>
        <v/>
      </c>
      <c r="R320" s="998" t="str">
        <f>IF(AND(Table2[[#This Row],[LV3 or LV4 MAT NO.]]&lt;&gt;"", Table2[[#This Row],[LV3 or LV4 MAT NO.]]=Data!$B$8),1,"")</f>
        <v/>
      </c>
      <c r="S320" s="998"/>
      <c r="T320" s="998"/>
      <c r="U320" s="804" t="str">
        <f>IF(Table4[[#This Row],[Write "N" To Remove The Default]]="N","",IF(AND(COUNTA(Table2[[#This Row],[SEREAL NO.]:[REMARKS]])=SUM( L320:T320),SUM( L320:T320)&lt;&gt;0),Table2[[#This Row],[Instruction]],""))</f>
        <v/>
      </c>
      <c r="V320" s="804"/>
    </row>
  </sheetData>
  <mergeCells count="2">
    <mergeCell ref="L1:S2"/>
    <mergeCell ref="K1:K2"/>
  </mergeCells>
  <phoneticPr fontId="87" type="noConversion"/>
  <conditionalFormatting sqref="A3">
    <cfRule type="duplicateValues" dxfId="379" priority="11"/>
  </conditionalFormatting>
  <conditionalFormatting sqref="B3">
    <cfRule type="duplicateValues" dxfId="378" priority="7"/>
    <cfRule type="duplicateValues" dxfId="377" priority="8"/>
    <cfRule type="duplicateValues" dxfId="376" priority="9"/>
    <cfRule type="duplicateValues" dxfId="375" priority="10"/>
  </conditionalFormatting>
  <conditionalFormatting sqref="G1:G1048576">
    <cfRule type="duplicateValues" dxfId="374" priority="1"/>
  </conditionalFormatting>
  <conditionalFormatting sqref="L3">
    <cfRule type="duplicateValues" dxfId="373" priority="6"/>
  </conditionalFormatting>
  <conditionalFormatting sqref="M3">
    <cfRule type="duplicateValues" dxfId="372" priority="2"/>
    <cfRule type="duplicateValues" dxfId="371" priority="3"/>
    <cfRule type="duplicateValues" dxfId="370" priority="4"/>
    <cfRule type="duplicateValues" dxfId="369" priority="5"/>
  </conditionalFormatting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8CDC-4A62-4CCB-A179-D557051006B0}">
  <sheetPr>
    <tabColor rgb="FFFF4747"/>
  </sheetPr>
  <dimension ref="A1:O39"/>
  <sheetViews>
    <sheetView view="pageBreakPreview" topLeftCell="A3" zoomScaleNormal="100" zoomScaleSheetLayoutView="100" workbookViewId="0">
      <selection activeCell="M28" sqref="M28"/>
    </sheetView>
  </sheetViews>
  <sheetFormatPr defaultColWidth="9.1796875" defaultRowHeight="13" x14ac:dyDescent="0.35"/>
  <cols>
    <col min="1" max="1" width="11.7265625" style="1028" customWidth="1"/>
    <col min="2" max="3" width="5.453125" style="1028" customWidth="1"/>
    <col min="4" max="5" width="9.453125" style="1028" customWidth="1"/>
    <col min="6" max="6" width="10.54296875" style="1028" customWidth="1"/>
    <col min="7" max="8" width="11" style="1028" customWidth="1"/>
    <col min="9" max="9" width="10.81640625" style="1028" customWidth="1"/>
    <col min="10" max="16384" width="9.1796875" style="1028"/>
  </cols>
  <sheetData>
    <row r="1" spans="1:15" ht="15.75" customHeight="1" x14ac:dyDescent="0.35">
      <c r="A1" s="1774" t="s">
        <v>2444</v>
      </c>
      <c r="B1" s="1775"/>
      <c r="C1" s="1775"/>
      <c r="D1" s="1775"/>
      <c r="E1" s="1775"/>
      <c r="F1" s="1775"/>
      <c r="G1" s="1778" t="s">
        <v>2445</v>
      </c>
      <c r="H1" s="1778"/>
      <c r="I1" s="1779"/>
    </row>
    <row r="2" spans="1:15" ht="15.75" customHeight="1" x14ac:dyDescent="0.35">
      <c r="A2" s="1776"/>
      <c r="B2" s="1777"/>
      <c r="C2" s="1777"/>
      <c r="D2" s="1777"/>
      <c r="E2" s="1777"/>
      <c r="F2" s="1777"/>
      <c r="G2" s="1780" t="s">
        <v>2446</v>
      </c>
      <c r="H2" s="1781"/>
      <c r="I2" s="1782"/>
    </row>
    <row r="3" spans="1:15" ht="15.75" customHeight="1" x14ac:dyDescent="0.35">
      <c r="A3" s="1783" t="s">
        <v>2447</v>
      </c>
      <c r="B3" s="1784"/>
      <c r="C3" s="1784"/>
      <c r="D3" s="1784"/>
      <c r="E3" s="1784"/>
      <c r="F3" s="1784"/>
      <c r="G3" s="1787" t="s">
        <v>2448</v>
      </c>
      <c r="H3" s="1787"/>
      <c r="I3" s="1788"/>
    </row>
    <row r="4" spans="1:15" ht="15.75" customHeight="1" thickBot="1" x14ac:dyDescent="0.4">
      <c r="A4" s="1785"/>
      <c r="B4" s="1786"/>
      <c r="C4" s="1786"/>
      <c r="D4" s="1786"/>
      <c r="E4" s="1786"/>
      <c r="F4" s="1786"/>
      <c r="G4" s="1789" t="s">
        <v>2449</v>
      </c>
      <c r="H4" s="1789"/>
      <c r="I4" s="1790"/>
    </row>
    <row r="5" spans="1:15" ht="5.25" customHeight="1" thickBot="1" x14ac:dyDescent="0.35">
      <c r="A5" s="1719"/>
      <c r="B5" s="1719"/>
      <c r="C5" s="1719"/>
      <c r="D5" s="1719"/>
      <c r="E5" s="1719"/>
      <c r="F5" s="1719"/>
      <c r="G5" s="1719"/>
      <c r="H5" s="1719"/>
      <c r="I5" s="1719"/>
    </row>
    <row r="6" spans="1:15" ht="18" customHeight="1" thickBot="1" x14ac:dyDescent="0.4">
      <c r="A6" s="1067" t="s">
        <v>2450</v>
      </c>
      <c r="B6" s="1791" t="s">
        <v>2451</v>
      </c>
      <c r="C6" s="1792"/>
      <c r="D6" s="1792"/>
      <c r="E6" s="1793"/>
      <c r="F6" s="1067" t="s">
        <v>2452</v>
      </c>
      <c r="G6" s="1791" t="s">
        <v>2453</v>
      </c>
      <c r="H6" s="1792"/>
      <c r="I6" s="1793"/>
    </row>
    <row r="7" spans="1:15" ht="5.25" customHeight="1" thickBot="1" x14ac:dyDescent="0.35">
      <c r="A7" s="1719"/>
      <c r="B7" s="1719"/>
      <c r="C7" s="1719"/>
      <c r="D7" s="1719"/>
      <c r="E7" s="1719"/>
      <c r="F7" s="1719"/>
      <c r="G7" s="1719"/>
      <c r="H7" s="1719"/>
      <c r="I7" s="1719"/>
    </row>
    <row r="8" spans="1:15" ht="16.5" customHeight="1" x14ac:dyDescent="0.3">
      <c r="A8" s="1794" t="s">
        <v>2454</v>
      </c>
      <c r="B8" s="1795"/>
      <c r="C8" s="1795"/>
      <c r="D8" s="1795"/>
      <c r="E8" s="1795"/>
      <c r="F8" s="1795"/>
      <c r="G8" s="1795"/>
      <c r="H8" s="1795"/>
      <c r="I8" s="1796"/>
    </row>
    <row r="9" spans="1:15" ht="16.5" customHeight="1" thickBot="1" x14ac:dyDescent="0.4">
      <c r="A9" s="1068" t="s">
        <v>1478</v>
      </c>
      <c r="B9" s="1093"/>
      <c r="C9" s="1081" t="b">
        <v>0</v>
      </c>
      <c r="D9" s="1082"/>
      <c r="E9" s="1773" t="s">
        <v>2455</v>
      </c>
      <c r="F9" s="1773"/>
      <c r="G9" s="1080" t="b">
        <v>0</v>
      </c>
      <c r="H9" s="1069" t="s">
        <v>1480</v>
      </c>
      <c r="I9" s="1079" t="b">
        <v>0</v>
      </c>
    </row>
    <row r="10" spans="1:15" ht="5.25" customHeight="1" thickBot="1" x14ac:dyDescent="0.35">
      <c r="A10" s="1719"/>
      <c r="B10" s="1719"/>
      <c r="C10" s="1719"/>
      <c r="D10" s="1719"/>
      <c r="E10" s="1719"/>
      <c r="F10" s="1719"/>
      <c r="G10" s="1719"/>
      <c r="H10" s="1719"/>
      <c r="I10" s="1719"/>
    </row>
    <row r="11" spans="1:15" ht="17.25" customHeight="1" x14ac:dyDescent="0.35">
      <c r="A11" s="1070" t="s">
        <v>2456</v>
      </c>
      <c r="B11" s="1759" t="str">
        <f>IF(Data!B1&lt;&gt;"", Data!B1, " ")</f>
        <v>2025-AR-105</v>
      </c>
      <c r="C11" s="1759"/>
      <c r="D11" s="1759"/>
      <c r="E11" s="1759"/>
      <c r="F11" s="1071" t="s">
        <v>2457</v>
      </c>
      <c r="G11" s="1759">
        <f>IF(Data!B2&lt;&gt;"", Data!B2, " ")</f>
        <v>13753277</v>
      </c>
      <c r="H11" s="1759"/>
      <c r="I11" s="1760"/>
    </row>
    <row r="12" spans="1:15" ht="17.25" customHeight="1" thickBot="1" x14ac:dyDescent="0.4">
      <c r="A12" s="1072" t="s">
        <v>2458</v>
      </c>
      <c r="B12" s="1761" t="str">
        <f>IF(LEN(Data!B3)&gt;3,IF(AND(Data!B43&lt;&gt;"",Data!B43&lt;&gt;"0 0/1"""),Data!B43,""),IF(Data!B3&lt;&gt;"",Data!B3&amp;"""",""))</f>
        <v>8 3/8"</v>
      </c>
      <c r="C12" s="1761"/>
      <c r="D12" s="1761"/>
      <c r="E12" s="1761"/>
      <c r="F12" s="1073" t="s">
        <v>2459</v>
      </c>
      <c r="G12" s="1761" t="str">
        <f>IF(Data!B4&lt;&gt;"",Data!B4," ")</f>
        <v>MM65DH</v>
      </c>
      <c r="H12" s="1761"/>
      <c r="I12" s="1762"/>
    </row>
    <row r="13" spans="1:15" ht="5.25" customHeight="1" thickBot="1" x14ac:dyDescent="0.35">
      <c r="A13" s="1719"/>
      <c r="B13" s="1719"/>
      <c r="C13" s="1719"/>
      <c r="D13" s="1719"/>
      <c r="E13" s="1719"/>
      <c r="F13" s="1719"/>
      <c r="G13" s="1719"/>
      <c r="H13" s="1719"/>
      <c r="I13" s="1719"/>
    </row>
    <row r="14" spans="1:15" ht="17.25" customHeight="1" thickBot="1" x14ac:dyDescent="0.4">
      <c r="A14" s="1763" t="s">
        <v>109</v>
      </c>
      <c r="B14" s="1764"/>
      <c r="C14" s="1764"/>
      <c r="D14" s="1764"/>
      <c r="E14" s="1764"/>
      <c r="F14" s="1764"/>
      <c r="G14" s="1764"/>
      <c r="H14" s="1764"/>
      <c r="I14" s="1765"/>
    </row>
    <row r="15" spans="1:15" ht="17.25" customHeight="1" thickBot="1" x14ac:dyDescent="0.4">
      <c r="A15" s="1085" t="s">
        <v>108</v>
      </c>
      <c r="B15" s="1769" t="s">
        <v>6</v>
      </c>
      <c r="C15" s="1770"/>
      <c r="D15" s="1074" t="s">
        <v>7</v>
      </c>
      <c r="E15" s="1074" t="s">
        <v>2460</v>
      </c>
      <c r="F15" s="1074" t="s">
        <v>40</v>
      </c>
      <c r="G15" s="1074" t="s">
        <v>1835</v>
      </c>
      <c r="H15" s="1766" t="s">
        <v>765</v>
      </c>
      <c r="I15" s="1750"/>
    </row>
    <row r="16" spans="1:15" ht="15" customHeight="1" x14ac:dyDescent="0.35">
      <c r="A16" s="1094">
        <f>IF(TRIM(E16)="","",IF(Data!CX60&gt;0,IF(Data!CX60&lt;&gt;"", Data!CX60, " ")," "))</f>
        <v>1</v>
      </c>
      <c r="B16" s="1771">
        <f>IF(Data!GK2&gt;0,IF(Data!GK2&lt;&gt;"",Data!GK2," ")," ")</f>
        <v>1613</v>
      </c>
      <c r="C16" s="1772"/>
      <c r="D16" s="1092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CT138  0.018"</v>
      </c>
      <c r="E16" s="1076">
        <f>IF(Data!GG2&gt;0,IF(Data!GG2&lt;&gt;"",IF(Data!GG2&lt;&gt;"Add the cutter in list",Data!GG2," ")," "),"")</f>
        <v>1039060</v>
      </c>
      <c r="F16" s="1100"/>
      <c r="G16" s="1083"/>
      <c r="H16" s="1767"/>
      <c r="I16" s="1768"/>
      <c r="O16" s="1090" t="s">
        <v>2475</v>
      </c>
    </row>
    <row r="17" spans="1:15" ht="15" customHeight="1" x14ac:dyDescent="0.35">
      <c r="A17" s="1094">
        <f>IF(TRIM(E17)="","",IF(Data!CX61&gt;0,IF(Data!CX61&lt;&gt;"", Data!CX61, " ")," "))</f>
        <v>2</v>
      </c>
      <c r="B17" s="1734">
        <f>IF(Data!GK3&gt;0,IF(Data!GK3&lt;&gt;"",Data!GK3," ")," ")</f>
        <v>1608</v>
      </c>
      <c r="C17" s="1735"/>
      <c r="D17" s="1092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CT182  0.018</v>
      </c>
      <c r="E17" s="1075">
        <f>IF(Data!GG3&gt;0,IF(Data!GG3&lt;&gt;"",IF(Data!GG3&lt;&gt;"Add the cutter in list",Data!GG3," ")," "),"")</f>
        <v>1130197</v>
      </c>
      <c r="F17" s="1101"/>
      <c r="G17" s="1083"/>
      <c r="H17" s="1755"/>
      <c r="I17" s="1756"/>
      <c r="O17" s="1086" t="s">
        <v>2478</v>
      </c>
    </row>
    <row r="18" spans="1:15" ht="15" customHeight="1" x14ac:dyDescent="0.35">
      <c r="A18" s="1094">
        <f>IF(TRIM(E18)="","",IF(Data!CX62&gt;0,IF(Data!CX62&lt;&gt;"", Data!CX62, " ")," "))</f>
        <v>3</v>
      </c>
      <c r="B18" s="1734">
        <f>IF(Data!GK4&gt;0,IF(Data!GK4&lt;&gt;"",Data!GK4," ")," ")</f>
        <v>1308</v>
      </c>
      <c r="C18" s="1735"/>
      <c r="D18" s="1092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E18" s="1075">
        <f>IF(Data!GG4&gt;0,IF(Data!GG4&lt;&gt;"",IF(Data!GG4&lt;&gt;"Add the cutter in list",Data!GG4," ")," "),"")</f>
        <v>418525</v>
      </c>
      <c r="F18" s="1101"/>
      <c r="G18" s="1083"/>
      <c r="H18" s="1755"/>
      <c r="I18" s="1756"/>
      <c r="O18" s="1087" t="s">
        <v>2479</v>
      </c>
    </row>
    <row r="19" spans="1:15" ht="15" customHeight="1" x14ac:dyDescent="0.35">
      <c r="A19" s="1094">
        <f>IF(TRIM(E19)="","",IF(Data!CX63&gt;0,IF(Data!CX63&lt;&gt;"", Data!CX63, " ")," "))</f>
        <v>4</v>
      </c>
      <c r="B19" s="1734">
        <f>IF(Data!GK5&gt;0,IF(Data!GK5&lt;&gt;"",Data!GK5," ")," ")</f>
        <v>1608</v>
      </c>
      <c r="C19" s="1735"/>
      <c r="D19" s="1092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CT70  0.018"</v>
      </c>
      <c r="E19" s="1075">
        <f>IF(Data!GG5&gt;0,IF(Data!GG5&lt;&gt;"",IF(Data!GG5&lt;&gt;"Add the cutter in list",Data!GG5," ")," "),"")</f>
        <v>643738</v>
      </c>
      <c r="F19" s="1101"/>
      <c r="G19" s="1083"/>
      <c r="H19" s="1755"/>
      <c r="I19" s="1756"/>
      <c r="O19" s="1088" t="s">
        <v>2480</v>
      </c>
    </row>
    <row r="20" spans="1:15" ht="15" customHeight="1" x14ac:dyDescent="0.35">
      <c r="A20" s="1094">
        <f>IF(TRIM(E20)="","",IF(Data!CX64&gt;0,IF(Data!CX64&lt;&gt;"", Data!CX64, " ")," "))</f>
        <v>5</v>
      </c>
      <c r="B20" s="1734">
        <f>IF(Data!GK6&gt;0,IF(Data!GK6&lt;&gt;"",Data!GK6," ")," ")</f>
        <v>1613</v>
      </c>
      <c r="C20" s="1735"/>
      <c r="D20" s="1092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>CT421  18-60</v>
      </c>
      <c r="E20" s="1075">
        <f>IF(Data!GG6&gt;0,IF(Data!GG6&lt;&gt;"",IF(Data!GG6&lt;&gt;"Add the cutter in list",Data!GG6," ")," "),"")</f>
        <v>1126402</v>
      </c>
      <c r="F20" s="1101"/>
      <c r="G20" s="1083"/>
      <c r="H20" s="1755"/>
      <c r="I20" s="1756"/>
      <c r="O20" s="1087" t="s">
        <v>2481</v>
      </c>
    </row>
    <row r="21" spans="1:15" ht="15" customHeight="1" x14ac:dyDescent="0.35">
      <c r="A21" s="1094" t="str">
        <f>IF(TRIM(E21)="","",IF(Data!CX65&gt;0,IF(Data!CX65&lt;&gt;"", Data!CX65, " ")," "))</f>
        <v/>
      </c>
      <c r="B21" s="1734" t="str">
        <f>IF(Data!GK7&gt;0,IF(Data!GK7&lt;&gt;"",Data!GK7," ")," ")</f>
        <v xml:space="preserve"> </v>
      </c>
      <c r="C21" s="1735"/>
      <c r="D21" s="1092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E21" s="1075" t="str">
        <f>IF(Data!GG7&gt;0,IF(Data!GG7&lt;&gt;"",IF(Data!GG7&lt;&gt;"Add the cutter in list",Data!GG7," ")," "),"")</f>
        <v xml:space="preserve"> </v>
      </c>
      <c r="F21" s="1101"/>
      <c r="G21" s="1083"/>
      <c r="H21" s="1755"/>
      <c r="I21" s="1756"/>
      <c r="O21" s="1089" t="s">
        <v>2476</v>
      </c>
    </row>
    <row r="22" spans="1:15" ht="15" customHeight="1" x14ac:dyDescent="0.35">
      <c r="A22" s="1094" t="str">
        <f>IF(TRIM(E22)="","",IF(Data!CX66&gt;0,IF(Data!CX66&lt;&gt;"", Data!CX66, " ")," "))</f>
        <v/>
      </c>
      <c r="B22" s="1734" t="str">
        <f>IF(Data!GK8&gt;0,IF(Data!GK8&lt;&gt;"",Data!GK8," ")," ")</f>
        <v xml:space="preserve"> </v>
      </c>
      <c r="C22" s="1735"/>
      <c r="D22" s="1092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E22" s="1075" t="str">
        <f>IF(Data!GG8&gt;0,IF(Data!GG8&lt;&gt;"",IF(Data!GG8&lt;&gt;"Add the cutter in list",Data!GG8," ")," "),"")</f>
        <v xml:space="preserve"> </v>
      </c>
      <c r="F22" s="1101"/>
      <c r="G22" s="1083"/>
      <c r="H22" s="1755"/>
      <c r="I22" s="1756"/>
      <c r="O22" s="36" t="s">
        <v>2477</v>
      </c>
    </row>
    <row r="23" spans="1:15" ht="15" customHeight="1" x14ac:dyDescent="0.35">
      <c r="A23" s="1094" t="str">
        <f>IF(TRIM(E23)="","",IF(Data!CX67&gt;0,IF(Data!CX67&lt;&gt;"", Data!CX67, " ")," "))</f>
        <v/>
      </c>
      <c r="B23" s="1734" t="str">
        <f>IF(Data!GK9&gt;0,IF(Data!GK9&lt;&gt;"",Data!GK9," ")," ")</f>
        <v xml:space="preserve"> </v>
      </c>
      <c r="C23" s="1735"/>
      <c r="D23" s="1092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E23" s="1075" t="str">
        <f>IF(Data!GG9&gt;0,IF(Data!GG9&lt;&gt;"",IF(Data!GG9&lt;&gt;"Add the cutter in list",Data!GG9," ")," "),"")</f>
        <v xml:space="preserve"> </v>
      </c>
      <c r="F23" s="1101"/>
      <c r="G23" s="1083"/>
      <c r="H23" s="1755"/>
      <c r="I23" s="1756"/>
    </row>
    <row r="24" spans="1:15" ht="15" customHeight="1" x14ac:dyDescent="0.35">
      <c r="A24" s="1094" t="str">
        <f>IF(TRIM(E24)="","",IF(Data!CX68&gt;0,IF(Data!CX68&lt;&gt;"", Data!CX68, " ")," "))</f>
        <v/>
      </c>
      <c r="B24" s="1734" t="str">
        <f>IF(Data!GK10&gt;0,IF(Data!GK10&lt;&gt;"",Data!GK10," ")," ")</f>
        <v xml:space="preserve"> </v>
      </c>
      <c r="C24" s="1735"/>
      <c r="D24" s="1092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E24" s="1075" t="str">
        <f>IF(Data!GG10&gt;0,IF(Data!GG10&lt;&gt;"",IF(Data!GG10&lt;&gt;"Add the cutter in list",Data!GG10," ")," "),"")</f>
        <v xml:space="preserve"> </v>
      </c>
      <c r="F24" s="1101"/>
      <c r="G24" s="1083"/>
      <c r="H24" s="1755"/>
      <c r="I24" s="1756"/>
    </row>
    <row r="25" spans="1:15" ht="15" customHeight="1" thickBot="1" x14ac:dyDescent="0.4">
      <c r="A25" s="1094" t="str">
        <f>IF(TRIM(E25)="","",IF(Data!CX69&gt;0,IF(Data!CX69&lt;&gt;"", Data!CX69, " ")," "))</f>
        <v/>
      </c>
      <c r="B25" s="1736" t="str">
        <f>IF(Data!GK11&gt;0,IF(Data!GK11&lt;&gt;"",Data!GK11," ")," ")</f>
        <v xml:space="preserve"> </v>
      </c>
      <c r="C25" s="1737"/>
      <c r="D25" s="1092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E25" s="1084" t="str">
        <f>IF(Data!GG11&gt;0,IF(Data!GG11&lt;&gt;"",IF(Data!GG11&lt;&gt;"Add the cutter in list",Data!GG11," ")," "),"")</f>
        <v xml:space="preserve"> </v>
      </c>
      <c r="F25" s="1102"/>
      <c r="G25" s="1083"/>
      <c r="H25" s="1757"/>
      <c r="I25" s="1758"/>
    </row>
    <row r="26" spans="1:15" ht="37.5" customHeight="1" thickBot="1" x14ac:dyDescent="0.4">
      <c r="A26" s="1077" t="s">
        <v>1476</v>
      </c>
      <c r="B26" s="1712"/>
      <c r="C26" s="1712"/>
      <c r="D26" s="1713"/>
      <c r="E26" s="1713"/>
      <c r="F26" s="1713"/>
      <c r="G26" s="1713"/>
      <c r="H26" s="1713"/>
      <c r="I26" s="1714"/>
    </row>
    <row r="27" spans="1:15" ht="5.25" customHeight="1" thickBot="1" x14ac:dyDescent="0.35">
      <c r="A27" s="1719"/>
      <c r="B27" s="1719"/>
      <c r="C27" s="1719"/>
      <c r="D27" s="1719"/>
      <c r="E27" s="1719"/>
      <c r="F27" s="1719"/>
      <c r="G27" s="1719"/>
      <c r="H27" s="1719"/>
      <c r="I27" s="1719"/>
    </row>
    <row r="28" spans="1:15" ht="32.25" customHeight="1" thickBot="1" x14ac:dyDescent="0.4">
      <c r="A28" s="1747" t="s">
        <v>2461</v>
      </c>
      <c r="B28" s="1748"/>
      <c r="C28" s="1729"/>
      <c r="D28" s="1713"/>
      <c r="E28" s="1730"/>
      <c r="F28" s="1749" t="s">
        <v>2462</v>
      </c>
      <c r="G28" s="1749"/>
      <c r="H28" s="1749"/>
      <c r="I28" s="1750"/>
    </row>
    <row r="29" spans="1:15" ht="32.25" customHeight="1" thickBot="1" x14ac:dyDescent="0.4">
      <c r="A29" s="1747" t="s">
        <v>2463</v>
      </c>
      <c r="B29" s="1748"/>
      <c r="C29" s="1729"/>
      <c r="D29" s="1713"/>
      <c r="E29" s="1730"/>
      <c r="F29" s="1749" t="s">
        <v>2464</v>
      </c>
      <c r="G29" s="1749"/>
      <c r="H29" s="1749"/>
      <c r="I29" s="1750"/>
    </row>
    <row r="30" spans="1:15" ht="5.25" customHeight="1" thickBot="1" x14ac:dyDescent="0.35">
      <c r="A30" s="1719"/>
      <c r="B30" s="1719"/>
      <c r="C30" s="1719"/>
      <c r="D30" s="1719"/>
      <c r="E30" s="1719"/>
      <c r="F30" s="1719"/>
      <c r="G30" s="1719"/>
      <c r="H30" s="1719"/>
      <c r="I30" s="1719"/>
    </row>
    <row r="31" spans="1:15" ht="33.75" customHeight="1" x14ac:dyDescent="0.35">
      <c r="A31" s="1751" t="s">
        <v>2465</v>
      </c>
      <c r="B31" s="1752"/>
      <c r="C31" s="1731" t="s">
        <v>2466</v>
      </c>
      <c r="D31" s="1732"/>
      <c r="E31" s="1733"/>
      <c r="F31" s="1753" t="s">
        <v>2467</v>
      </c>
      <c r="G31" s="1753"/>
      <c r="H31" s="1753" t="s">
        <v>2468</v>
      </c>
      <c r="I31" s="1754"/>
    </row>
    <row r="32" spans="1:15" ht="33.75" customHeight="1" x14ac:dyDescent="0.35">
      <c r="A32" s="1725" t="s">
        <v>2469</v>
      </c>
      <c r="B32" s="1726"/>
      <c r="C32" s="1743" t="s">
        <v>57</v>
      </c>
      <c r="D32" s="1744"/>
      <c r="E32" s="1740"/>
      <c r="F32" s="1727" t="s">
        <v>2470</v>
      </c>
      <c r="G32" s="1727"/>
      <c r="H32" s="1727" t="s">
        <v>2470</v>
      </c>
      <c r="I32" s="1728"/>
    </row>
    <row r="33" spans="1:9" ht="33.75" customHeight="1" x14ac:dyDescent="0.35">
      <c r="A33" s="1725" t="s">
        <v>1349</v>
      </c>
      <c r="B33" s="1726"/>
      <c r="C33" s="1743"/>
      <c r="D33" s="1744"/>
      <c r="E33" s="1740"/>
      <c r="F33" s="1745"/>
      <c r="G33" s="1745"/>
      <c r="H33" s="1745"/>
      <c r="I33" s="1746"/>
    </row>
    <row r="34" spans="1:9" ht="33.75" customHeight="1" thickBot="1" x14ac:dyDescent="0.4">
      <c r="A34" s="1715" t="s">
        <v>1351</v>
      </c>
      <c r="B34" s="1716"/>
      <c r="C34" s="1720"/>
      <c r="D34" s="1721"/>
      <c r="E34" s="1722"/>
      <c r="F34" s="1717"/>
      <c r="G34" s="1717"/>
      <c r="H34" s="1717"/>
      <c r="I34" s="1718"/>
    </row>
    <row r="35" spans="1:9" ht="5.25" customHeight="1" thickBot="1" x14ac:dyDescent="0.35">
      <c r="A35" s="1719"/>
      <c r="B35" s="1719"/>
      <c r="C35" s="1719"/>
      <c r="D35" s="1719"/>
      <c r="E35" s="1719"/>
      <c r="F35" s="1719"/>
      <c r="G35" s="1719"/>
      <c r="H35" s="1719"/>
      <c r="I35" s="1719"/>
    </row>
    <row r="36" spans="1:9" ht="27" customHeight="1" thickBot="1" x14ac:dyDescent="0.4">
      <c r="A36" s="1095" t="s">
        <v>2471</v>
      </c>
      <c r="B36" s="1723" t="s">
        <v>1878</v>
      </c>
      <c r="C36" s="1724"/>
      <c r="D36" s="1710"/>
      <c r="E36" s="1711"/>
      <c r="F36" s="1091" t="s">
        <v>2472</v>
      </c>
      <c r="G36" s="1099"/>
      <c r="H36" s="1091" t="s">
        <v>1079</v>
      </c>
      <c r="I36" s="1099"/>
    </row>
    <row r="37" spans="1:9" ht="23.9" customHeight="1" x14ac:dyDescent="0.35">
      <c r="A37" s="1738" t="s">
        <v>2473</v>
      </c>
      <c r="B37" s="1097" t="s">
        <v>46</v>
      </c>
      <c r="C37" s="1098" t="b">
        <v>0</v>
      </c>
      <c r="D37" s="1739" t="s">
        <v>67</v>
      </c>
      <c r="E37" s="1741"/>
      <c r="F37" s="1741"/>
      <c r="G37" s="1741"/>
      <c r="H37" s="1741"/>
      <c r="I37" s="1742"/>
    </row>
    <row r="38" spans="1:9" ht="23.9" customHeight="1" thickBot="1" x14ac:dyDescent="0.4">
      <c r="A38" s="1738"/>
      <c r="B38" s="1078" t="s">
        <v>1186</v>
      </c>
      <c r="C38" s="1096" t="b">
        <v>0</v>
      </c>
      <c r="D38" s="1740"/>
      <c r="E38" s="1727"/>
      <c r="F38" s="1727"/>
      <c r="G38" s="1727"/>
      <c r="H38" s="1727"/>
      <c r="I38" s="1728"/>
    </row>
    <row r="39" spans="1:9" ht="27" customHeight="1" thickBot="1" x14ac:dyDescent="0.4">
      <c r="A39" s="1072" t="s">
        <v>2474</v>
      </c>
      <c r="B39" s="1723" t="s">
        <v>1878</v>
      </c>
      <c r="C39" s="1724"/>
      <c r="D39" s="1710"/>
      <c r="E39" s="1711"/>
      <c r="F39" s="1091" t="s">
        <v>2472</v>
      </c>
      <c r="G39" s="1099"/>
      <c r="H39" s="1091" t="s">
        <v>1079</v>
      </c>
      <c r="I39" s="1099"/>
    </row>
  </sheetData>
  <mergeCells count="76">
    <mergeCell ref="E9:F9"/>
    <mergeCell ref="A1:F2"/>
    <mergeCell ref="G1:I1"/>
    <mergeCell ref="G2:I2"/>
    <mergeCell ref="A3:F4"/>
    <mergeCell ref="G3:I3"/>
    <mergeCell ref="G4:I4"/>
    <mergeCell ref="A5:I5"/>
    <mergeCell ref="B6:E6"/>
    <mergeCell ref="G6:I6"/>
    <mergeCell ref="A7:I7"/>
    <mergeCell ref="A8:I8"/>
    <mergeCell ref="H19:I19"/>
    <mergeCell ref="A10:I10"/>
    <mergeCell ref="B11:E11"/>
    <mergeCell ref="G11:I11"/>
    <mergeCell ref="B12:E12"/>
    <mergeCell ref="G12:I12"/>
    <mergeCell ref="A13:I13"/>
    <mergeCell ref="A14:I14"/>
    <mergeCell ref="H15:I15"/>
    <mergeCell ref="H16:I16"/>
    <mergeCell ref="H17:I17"/>
    <mergeCell ref="H18:I18"/>
    <mergeCell ref="B15:C15"/>
    <mergeCell ref="B16:C16"/>
    <mergeCell ref="B17:C17"/>
    <mergeCell ref="B18:C18"/>
    <mergeCell ref="A27:I27"/>
    <mergeCell ref="A28:B28"/>
    <mergeCell ref="F28:G28"/>
    <mergeCell ref="H28:I28"/>
    <mergeCell ref="H20:I20"/>
    <mergeCell ref="H21:I21"/>
    <mergeCell ref="H22:I22"/>
    <mergeCell ref="H23:I23"/>
    <mergeCell ref="H24:I24"/>
    <mergeCell ref="H25:I25"/>
    <mergeCell ref="F29:G29"/>
    <mergeCell ref="H29:I29"/>
    <mergeCell ref="A30:I30"/>
    <mergeCell ref="A31:B31"/>
    <mergeCell ref="F31:G31"/>
    <mergeCell ref="H31:I31"/>
    <mergeCell ref="B19:C19"/>
    <mergeCell ref="B25:C25"/>
    <mergeCell ref="A37:A38"/>
    <mergeCell ref="D37:D38"/>
    <mergeCell ref="E37:I38"/>
    <mergeCell ref="B20:C20"/>
    <mergeCell ref="B21:C21"/>
    <mergeCell ref="B22:C22"/>
    <mergeCell ref="B23:C23"/>
    <mergeCell ref="B24:C24"/>
    <mergeCell ref="C32:E32"/>
    <mergeCell ref="C33:E33"/>
    <mergeCell ref="A33:B33"/>
    <mergeCell ref="F33:G33"/>
    <mergeCell ref="H33:I33"/>
    <mergeCell ref="A29:B29"/>
    <mergeCell ref="D39:E39"/>
    <mergeCell ref="B26:I26"/>
    <mergeCell ref="A34:B34"/>
    <mergeCell ref="F34:G34"/>
    <mergeCell ref="H34:I34"/>
    <mergeCell ref="A35:I35"/>
    <mergeCell ref="D36:E36"/>
    <mergeCell ref="C34:E34"/>
    <mergeCell ref="B36:C36"/>
    <mergeCell ref="A32:B32"/>
    <mergeCell ref="F32:G32"/>
    <mergeCell ref="H32:I32"/>
    <mergeCell ref="B39:C39"/>
    <mergeCell ref="C28:E28"/>
    <mergeCell ref="C29:E29"/>
    <mergeCell ref="C31:E31"/>
  </mergeCells>
  <conditionalFormatting sqref="O17">
    <cfRule type="cellIs" dxfId="368" priority="1" operator="lessThan">
      <formula>0</formula>
    </cfRule>
  </conditionalFormatting>
  <conditionalFormatting sqref="O21">
    <cfRule type="cellIs" dxfId="367" priority="2" operator="lessThan">
      <formula>0</formula>
    </cfRule>
  </conditionalFormatting>
  <dataValidations count="1">
    <dataValidation type="list" allowBlank="1" showInputMessage="1" showErrorMessage="1" sqref="G16:G25" xr:uid="{52605A82-ED0F-4574-8CAF-F24CD28FE09F}">
      <formula1>$O$17:$O$22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8">
    <tabColor rgb="FFFFFF00"/>
    <pageSetUpPr fitToPage="1"/>
  </sheetPr>
  <dimension ref="A1:AH70"/>
  <sheetViews>
    <sheetView view="pageBreakPreview" topLeftCell="A20" zoomScaleNormal="100" zoomScaleSheetLayoutView="100" workbookViewId="0">
      <selection activeCell="X47" sqref="X47:AA47"/>
    </sheetView>
  </sheetViews>
  <sheetFormatPr defaultColWidth="9.1796875" defaultRowHeight="14.5" x14ac:dyDescent="0.35"/>
  <cols>
    <col min="1" max="27" width="4" customWidth="1"/>
    <col min="28" max="28" width="3" customWidth="1"/>
    <col min="29" max="30" width="3.1796875" customWidth="1"/>
    <col min="130" max="130" width="9.1796875" customWidth="1"/>
  </cols>
  <sheetData>
    <row r="1" spans="1:27" ht="20.149999999999999" customHeight="1" x14ac:dyDescent="0.35">
      <c r="A1" s="1840"/>
      <c r="B1" s="1841"/>
      <c r="C1" s="1831" t="s">
        <v>977</v>
      </c>
      <c r="D1" s="1831"/>
      <c r="E1" s="1831"/>
      <c r="F1" s="1831"/>
      <c r="G1" s="1831"/>
      <c r="H1" s="1831"/>
      <c r="I1" s="1831"/>
      <c r="J1" s="1831"/>
      <c r="K1" s="1831"/>
      <c r="L1" s="1831"/>
      <c r="M1" s="1831"/>
      <c r="N1" s="1831"/>
      <c r="O1" s="1831"/>
      <c r="P1" s="1831"/>
      <c r="Q1" s="1832"/>
      <c r="R1" s="1835" t="s">
        <v>1054</v>
      </c>
      <c r="S1" s="1573"/>
      <c r="T1" s="1573"/>
      <c r="U1" s="1573"/>
      <c r="V1" s="1573"/>
      <c r="W1" s="1573"/>
      <c r="X1" s="1573"/>
      <c r="Y1" s="1573"/>
      <c r="Z1" s="1573"/>
      <c r="AA1" s="1836"/>
    </row>
    <row r="2" spans="1:27" ht="20.149999999999999" customHeight="1" x14ac:dyDescent="0.35">
      <c r="A2" s="1842"/>
      <c r="B2" s="1843"/>
      <c r="C2" s="1833"/>
      <c r="D2" s="1833"/>
      <c r="E2" s="1833"/>
      <c r="F2" s="1833"/>
      <c r="G2" s="1833"/>
      <c r="H2" s="1833"/>
      <c r="I2" s="1833"/>
      <c r="J2" s="1833"/>
      <c r="K2" s="1833"/>
      <c r="L2" s="1833"/>
      <c r="M2" s="1833"/>
      <c r="N2" s="1833"/>
      <c r="O2" s="1833"/>
      <c r="P2" s="1833"/>
      <c r="Q2" s="1834"/>
      <c r="R2" s="1837" t="s">
        <v>1064</v>
      </c>
      <c r="S2" s="1567"/>
      <c r="T2" s="1567"/>
      <c r="U2" s="1567"/>
      <c r="V2" s="1567"/>
      <c r="W2" s="1567"/>
      <c r="X2" s="1567"/>
      <c r="Y2" s="1567"/>
      <c r="Z2" s="1567"/>
      <c r="AA2" s="1838"/>
    </row>
    <row r="3" spans="1:27" ht="18" customHeight="1" x14ac:dyDescent="0.35">
      <c r="A3" s="1586" t="s">
        <v>1122</v>
      </c>
      <c r="B3" s="1587"/>
      <c r="C3" s="1587"/>
      <c r="D3" s="1587"/>
      <c r="E3" s="1587"/>
      <c r="F3" s="1587"/>
      <c r="G3" s="1587"/>
      <c r="H3" s="1587"/>
      <c r="I3" s="1587"/>
      <c r="J3" s="1587"/>
      <c r="K3" s="1587"/>
      <c r="L3" s="1587"/>
      <c r="M3" s="1587"/>
      <c r="N3" s="1587"/>
      <c r="O3" s="1587"/>
      <c r="P3" s="1587"/>
      <c r="Q3" s="1587"/>
      <c r="R3" s="1567" t="s">
        <v>1040</v>
      </c>
      <c r="S3" s="1567"/>
      <c r="T3" s="1567"/>
      <c r="U3" s="1567"/>
      <c r="V3" s="1567"/>
      <c r="W3" s="1567"/>
      <c r="X3" s="1567"/>
      <c r="Y3" s="1567"/>
      <c r="Z3" s="1567"/>
      <c r="AA3" s="1838"/>
    </row>
    <row r="4" spans="1:27" ht="18" customHeight="1" thickBot="1" x14ac:dyDescent="0.4">
      <c r="A4" s="1588"/>
      <c r="B4" s="1589"/>
      <c r="C4" s="1589"/>
      <c r="D4" s="1589"/>
      <c r="E4" s="1589"/>
      <c r="F4" s="1589"/>
      <c r="G4" s="1589"/>
      <c r="H4" s="1589"/>
      <c r="I4" s="1589"/>
      <c r="J4" s="1589"/>
      <c r="K4" s="1589"/>
      <c r="L4" s="1589"/>
      <c r="M4" s="1589"/>
      <c r="N4" s="1589"/>
      <c r="O4" s="1589"/>
      <c r="P4" s="1589"/>
      <c r="Q4" s="1589"/>
      <c r="R4" s="1571" t="s">
        <v>1041</v>
      </c>
      <c r="S4" s="1571"/>
      <c r="T4" s="1571"/>
      <c r="U4" s="1571"/>
      <c r="V4" s="1571"/>
      <c r="W4" s="1571"/>
      <c r="X4" s="1571"/>
      <c r="Y4" s="1571"/>
      <c r="Z4" s="1571"/>
      <c r="AA4" s="1839"/>
    </row>
    <row r="5" spans="1:27" ht="6" customHeight="1" thickBot="1" x14ac:dyDescent="0.4">
      <c r="A5" s="240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450"/>
      <c r="Z5" s="450"/>
      <c r="AA5" s="450"/>
    </row>
    <row r="6" spans="1:27" ht="15.75" customHeight="1" thickBot="1" x14ac:dyDescent="0.4">
      <c r="A6" s="240"/>
      <c r="B6" s="1673" t="s">
        <v>27</v>
      </c>
      <c r="C6" s="1673"/>
      <c r="D6" s="1673"/>
      <c r="E6" s="1674"/>
      <c r="F6" s="1578" t="str">
        <f>IF(Data!B1&lt;&gt;"", Data!B1, " ")</f>
        <v>2025-AR-105</v>
      </c>
      <c r="G6" s="1681"/>
      <c r="H6" s="1681"/>
      <c r="I6" s="1681"/>
      <c r="J6" s="1579"/>
      <c r="K6" s="1682" t="s">
        <v>28</v>
      </c>
      <c r="L6" s="1679"/>
      <c r="M6" s="1680"/>
      <c r="N6" s="1578">
        <f>IF(Data!B2&lt;&gt;"", Data!B2, " ")</f>
        <v>13753277</v>
      </c>
      <c r="O6" s="1681"/>
      <c r="P6" s="1681"/>
      <c r="Q6" s="1681"/>
      <c r="R6" s="1579"/>
      <c r="S6" s="479"/>
      <c r="T6" s="449"/>
      <c r="U6" s="449"/>
      <c r="V6" s="449"/>
      <c r="W6" s="240"/>
      <c r="X6" s="240"/>
      <c r="Y6" s="240"/>
      <c r="Z6" s="240"/>
      <c r="AA6" s="240"/>
    </row>
    <row r="7" spans="1:27" ht="6" customHeight="1" thickBot="1" x14ac:dyDescent="0.4">
      <c r="A7" s="240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S7" s="1687" t="s">
        <v>1033</v>
      </c>
      <c r="T7" s="1687"/>
      <c r="U7" s="1687"/>
      <c r="V7" s="1687"/>
      <c r="W7" s="449"/>
      <c r="X7" s="449"/>
      <c r="Y7" s="450"/>
      <c r="Z7" s="450"/>
      <c r="AA7" s="450"/>
    </row>
    <row r="8" spans="1:27" ht="15.75" customHeight="1" thickBot="1" x14ac:dyDescent="0.4">
      <c r="D8" s="1679" t="s">
        <v>29</v>
      </c>
      <c r="E8" s="1680"/>
      <c r="F8" s="1578" t="str">
        <f>IF(LEN(Data!B3)&gt;3,IF(AND(Data!B43&lt;&gt;"",Data!B43&lt;&gt;"0 0/1"""),Data!B43,""),IF(Data!B3&lt;&gt;"",Data!B3&amp;"""",""))</f>
        <v>8 3/8"</v>
      </c>
      <c r="G8" s="1681"/>
      <c r="H8" s="1681"/>
      <c r="I8" s="1681"/>
      <c r="J8" s="1579"/>
      <c r="K8" s="1682" t="s">
        <v>1065</v>
      </c>
      <c r="L8" s="1679"/>
      <c r="M8" s="1680"/>
      <c r="N8" s="1578" t="str">
        <f>IF(Data!B5&lt;&gt;"",Data!B5," ")</f>
        <v>1061407M</v>
      </c>
      <c r="O8" s="1681"/>
      <c r="P8" s="1681"/>
      <c r="Q8" s="1681"/>
      <c r="R8" s="1579"/>
      <c r="S8" s="1687"/>
      <c r="T8" s="1687"/>
      <c r="U8" s="1687"/>
      <c r="V8" s="1687"/>
      <c r="W8" s="1654">
        <f>IF(Data!B6&lt;&gt;"",Data!B6," ")</f>
        <v>46002</v>
      </c>
      <c r="X8" s="1655"/>
      <c r="Y8" s="1655"/>
      <c r="Z8" s="1655"/>
      <c r="AA8" s="1656"/>
    </row>
    <row r="9" spans="1:27" ht="6" customHeight="1" thickBot="1" x14ac:dyDescent="0.4">
      <c r="B9" s="449"/>
      <c r="D9" s="449"/>
      <c r="F9" s="449"/>
      <c r="G9" s="449"/>
      <c r="H9" s="449"/>
      <c r="I9" s="449"/>
      <c r="K9" s="449"/>
      <c r="L9" s="449"/>
      <c r="M9" s="449"/>
      <c r="N9" s="449"/>
      <c r="O9" s="449"/>
      <c r="P9" s="449"/>
      <c r="Q9" s="449"/>
      <c r="S9" s="1687"/>
      <c r="T9" s="1687"/>
      <c r="U9" s="1687"/>
      <c r="V9" s="1687"/>
      <c r="W9" s="449"/>
      <c r="X9" s="449"/>
      <c r="Y9" s="450"/>
      <c r="Z9" s="450"/>
      <c r="AA9" s="450"/>
    </row>
    <row r="10" spans="1:27" ht="15.75" customHeight="1" thickBot="1" x14ac:dyDescent="0.4">
      <c r="D10" s="1679" t="s">
        <v>31</v>
      </c>
      <c r="E10" s="1680"/>
      <c r="F10" s="1578" t="str">
        <f>IF(Data!B4&lt;&gt;"",Data!B4," ")</f>
        <v>MM65DH</v>
      </c>
      <c r="G10" s="1681"/>
      <c r="H10" s="1681"/>
      <c r="I10" s="1681"/>
      <c r="J10" s="1579"/>
      <c r="K10" s="1682" t="s">
        <v>32</v>
      </c>
      <c r="L10" s="1679"/>
      <c r="M10" s="1680"/>
      <c r="N10" s="1578" t="str">
        <f>IF(Data!B7&lt;&gt;"",Data!B7, " ")</f>
        <v>SAUDI ARAMCO</v>
      </c>
      <c r="O10" s="1681"/>
      <c r="P10" s="1681"/>
      <c r="Q10" s="1681"/>
      <c r="R10" s="1579"/>
      <c r="S10" s="1672" t="s">
        <v>33</v>
      </c>
      <c r="T10" s="1673"/>
      <c r="U10" s="1673"/>
      <c r="V10" s="1674"/>
      <c r="W10" s="1578">
        <f>IF(Data!B24&lt;&gt;"",Data!B24,IFERROR(VLOOKUP(Data!$B$7,Data!F63:G70,2,FALSE),""))</f>
        <v>6600048646</v>
      </c>
      <c r="X10" s="1681"/>
      <c r="Y10" s="1681"/>
      <c r="Z10" s="1681"/>
      <c r="AA10" s="1579"/>
    </row>
    <row r="11" spans="1:27" ht="6" customHeight="1" x14ac:dyDescent="0.35">
      <c r="A11" s="460"/>
      <c r="B11" s="439"/>
      <c r="C11" s="439"/>
      <c r="D11" s="439"/>
      <c r="E11" s="10"/>
      <c r="F11" s="10"/>
      <c r="G11" s="10"/>
      <c r="H11" s="10"/>
      <c r="I11" s="10"/>
      <c r="J11" s="10"/>
      <c r="K11" s="10"/>
      <c r="L11" s="449"/>
      <c r="M11" s="451"/>
      <c r="N11" s="451"/>
      <c r="O11" s="451"/>
      <c r="P11" s="451"/>
    </row>
    <row r="12" spans="1:27" ht="55" customHeight="1" x14ac:dyDescent="0.35">
      <c r="A12" s="1844" t="s">
        <v>1495</v>
      </c>
      <c r="B12" s="1845"/>
      <c r="C12" s="1845"/>
      <c r="D12" s="1845"/>
      <c r="E12" s="1845"/>
      <c r="F12" s="1845"/>
      <c r="G12" s="1845"/>
      <c r="H12" s="1845"/>
      <c r="I12" s="1845"/>
      <c r="J12" s="1845"/>
      <c r="K12" s="1845"/>
      <c r="L12" s="1845"/>
      <c r="M12" s="1845"/>
      <c r="N12" s="1845"/>
      <c r="O12" s="1845"/>
      <c r="P12" s="1845"/>
      <c r="Q12" s="1845"/>
      <c r="R12" s="1845"/>
      <c r="S12" s="1845"/>
      <c r="T12" s="1845"/>
      <c r="U12" s="1845"/>
      <c r="V12" s="1845"/>
      <c r="W12" s="1845"/>
      <c r="X12" s="1845"/>
      <c r="Y12" s="1845"/>
      <c r="Z12" s="1845"/>
      <c r="AA12" s="1846"/>
    </row>
    <row r="13" spans="1:27" ht="5.15" customHeight="1" thickBot="1" x14ac:dyDescent="0.4">
      <c r="A13" s="439"/>
      <c r="B13" s="439"/>
      <c r="C13" s="439"/>
      <c r="D13" s="439"/>
      <c r="E13" s="10"/>
      <c r="F13" s="10"/>
      <c r="G13" s="10"/>
      <c r="H13" s="10"/>
      <c r="I13" s="10"/>
      <c r="J13" s="10"/>
      <c r="K13" s="10"/>
      <c r="L13" s="449"/>
      <c r="M13" s="451"/>
      <c r="N13" s="451"/>
      <c r="O13" s="451"/>
      <c r="P13" s="451"/>
    </row>
    <row r="14" spans="1:27" ht="16" customHeight="1" x14ac:dyDescent="0.35">
      <c r="A14" s="1820"/>
      <c r="B14" s="1821"/>
      <c r="C14" s="1848" t="s">
        <v>17</v>
      </c>
      <c r="D14" s="1849"/>
      <c r="E14" s="1849"/>
      <c r="F14" s="1849"/>
      <c r="G14" s="1849"/>
      <c r="H14" s="1849"/>
      <c r="I14" s="1849"/>
      <c r="J14" s="1849"/>
      <c r="K14" s="1849"/>
      <c r="L14" s="1849"/>
      <c r="M14" s="1849"/>
      <c r="N14" s="1849"/>
      <c r="O14" s="1849"/>
      <c r="P14" s="1849"/>
      <c r="Q14" s="1849"/>
      <c r="R14" s="1849"/>
      <c r="S14" s="1849"/>
      <c r="T14" s="1849"/>
      <c r="U14" s="1849"/>
      <c r="V14" s="1849"/>
      <c r="W14" s="1849"/>
      <c r="X14" s="1849"/>
      <c r="Y14" s="1849"/>
      <c r="Z14" s="1849"/>
      <c r="AA14" s="1850"/>
    </row>
    <row r="15" spans="1:27" ht="16" customHeight="1" thickBot="1" x14ac:dyDescent="0.4">
      <c r="A15" s="1822"/>
      <c r="B15" s="1823"/>
      <c r="C15" s="470" t="str">
        <f>IF(Data!BR42&lt;&gt;"",Data!BR42,"")</f>
        <v>1a</v>
      </c>
      <c r="D15" s="447" t="str">
        <f>IF(Data!BS42&lt;&gt;"",Data!BS42,"")</f>
        <v>2a</v>
      </c>
      <c r="E15" s="447" t="str">
        <f>IF(Data!BT42&lt;&gt;"",Data!BT42,"")</f>
        <v>3a</v>
      </c>
      <c r="F15" s="447" t="str">
        <f>IF(Data!BU42&lt;&gt;"",Data!BU42,"")</f>
        <v>4a</v>
      </c>
      <c r="G15" s="447" t="str">
        <f>IF(Data!BV42&lt;&gt;"",Data!BV42,"")</f>
        <v>5a</v>
      </c>
      <c r="H15" s="447" t="str">
        <f>IF(Data!BW42&lt;&gt;"",Data!BW42,"")</f>
        <v>6a</v>
      </c>
      <c r="I15" s="447" t="str">
        <f>IF(Data!BX42&lt;&gt;"",Data!BX42,"")</f>
        <v>7a</v>
      </c>
      <c r="J15" s="447" t="str">
        <f>IF(Data!BY42&lt;&gt;"",Data!BY42,"")</f>
        <v>8a</v>
      </c>
      <c r="K15" s="447" t="str">
        <f>IF(Data!BZ42&lt;&gt;"",Data!BZ42,"")</f>
        <v>0a</v>
      </c>
      <c r="L15" s="447" t="str">
        <f>IF(Data!CA42&lt;&gt;"",Data!CA42,"")</f>
        <v>1b</v>
      </c>
      <c r="M15" s="447" t="str">
        <f>IF(Data!CB42&lt;&gt;"",Data!CB42,"")</f>
        <v>2b</v>
      </c>
      <c r="N15" s="447" t="str">
        <f>IF(Data!CC42&lt;&gt;"",Data!CC42,"")</f>
        <v>3b</v>
      </c>
      <c r="O15" s="447" t="str">
        <f>IF(Data!CD42&lt;&gt;"",Data!CD42,"")</f>
        <v>4b</v>
      </c>
      <c r="P15" s="447" t="str">
        <f>IF(Data!CE42&lt;&gt;"",Data!CE42,"")</f>
        <v>0a</v>
      </c>
      <c r="Q15" s="447" t="str">
        <f>IF(Data!CF42&lt;&gt;"",Data!CF42,"")</f>
        <v>0a</v>
      </c>
      <c r="R15" s="447" t="str">
        <f>IF(Data!CG42&lt;&gt;"",Data!CG42,"")</f>
        <v>0a</v>
      </c>
      <c r="S15" s="447" t="str">
        <f>IF(Data!CH42&lt;&gt;"",Data!CH42,"")</f>
        <v>0a</v>
      </c>
      <c r="T15" s="447" t="str">
        <f>IF(Data!CI42&lt;&gt;"",Data!CI42,"")</f>
        <v>0a</v>
      </c>
      <c r="U15" s="447" t="str">
        <f>IF(Data!CJ42&lt;&gt;"",Data!CJ42,"")</f>
        <v>0a</v>
      </c>
      <c r="V15" s="447" t="str">
        <f>IF(Data!CK42&lt;&gt;"",Data!CK42,"")</f>
        <v>0a</v>
      </c>
      <c r="W15" s="447" t="str">
        <f>IF(Data!CL42&lt;&gt;"",Data!CL42,"")</f>
        <v>0a</v>
      </c>
      <c r="X15" s="447" t="str">
        <f>IF(Data!CM42&lt;&gt;"",Data!CM42,"")</f>
        <v>0a</v>
      </c>
      <c r="Y15" s="447" t="str">
        <f>IF(Data!CN42&lt;&gt;"",Data!CN42,"")</f>
        <v>0a</v>
      </c>
      <c r="Z15" s="447" t="str">
        <f>IF(Data!CO42&lt;&gt;"",Data!CO42,"")</f>
        <v>0a</v>
      </c>
      <c r="AA15" s="447" t="str">
        <f>IF(Data!CP42&lt;&gt;"",Data!CP42,"")</f>
        <v>0a</v>
      </c>
    </row>
    <row r="16" spans="1:27" ht="16" customHeight="1" x14ac:dyDescent="0.35">
      <c r="A16" s="1824" t="s">
        <v>18</v>
      </c>
      <c r="B16" s="471">
        <v>1</v>
      </c>
      <c r="C16" s="261" t="str">
        <f>IF(Data!$L$32=1,IF(OR(Data!$L$2=1,Data!$L$3=1),IF(OR(Data!BR46=0,Data!BR46=""),"","O"&amp;Data!BR46),IF('ARDT Cutter Entry'!$C$111&lt;&gt;"",               IF(OR(COUNTIF('ARDT Cutter Entry'!C61,"*1"),COUNTIF('ARDT Cutter Entry'!C61,"*2"),COUNTIF('ARDT Cutter Entry'!C61,"*3"),COUNTIF('ARDT Cutter Entry'!C61,"*4"),COUNTIF('ARDT Cutter Entry'!C61,"*5"),COUNTIF('ARDT Cutter Entry'!C61,"*6"),COUNTIF('ARDT Cutter Entry'!C61,"*7"),COUNTIF('ARDT Cutter Entry'!C61,"*8"),COUNTIF('ARDT Cutter Entry'!C61,"*9")),'ARDT Cutter Entry'!C61,            'ARDT Cutter Entry'!C111),            IF(OR(COUNTIF('ARDT Cutter Entry'!C4,"*1"),COUNTIF('ARDT Cutter Entry'!C4,"*2"),COUNTIF('ARDT Cutter Entry'!C4,"*3"),COUNTIF('ARDT Cutter Entry'!C4,"*4"),COUNTIF('ARDT Cutter Entry'!C4,"*5"),COUNTIF('ARDT Cutter Entry'!C4,"*6"),COUNTIF('ARDT Cutter Entry'!C4,"*7"),COUNTIF('ARDT Cutter Entry'!C4,"*8"),COUNTIF('ARDT Cutter Entry'!C4,"*9")),'ARDT Cutter Entry'!C4,'ARDT Cutter Entry'!C43))),"")</f>
        <v>R1</v>
      </c>
      <c r="D16" s="1055" t="str">
        <f>IF(Data!$L$32=1,IF(OR(Data!$L$2=1,Data!$L$3=1),IF(OR(Data!BS46=0,Data!BS46=""),"","O"&amp;Data!BS46),IF('ARDT Cutter Entry'!$C$111&lt;&gt;"",               IF(OR(COUNTIF('ARDT Cutter Entry'!D61,"*1"),COUNTIF('ARDT Cutter Entry'!D61,"*2"),COUNTIF('ARDT Cutter Entry'!D61,"*3"),COUNTIF('ARDT Cutter Entry'!D61,"*4"),COUNTIF('ARDT Cutter Entry'!D61,"*5"),COUNTIF('ARDT Cutter Entry'!D61,"*6"),COUNTIF('ARDT Cutter Entry'!D61,"*7"),COUNTIF('ARDT Cutter Entry'!D61,"*8"),COUNTIF('ARDT Cutter Entry'!D61,"*9")),'ARDT Cutter Entry'!D61,            'ARDT Cutter Entry'!D111),            IF(OR(COUNTIF('ARDT Cutter Entry'!D4,"*1"),COUNTIF('ARDT Cutter Entry'!D4,"*2"),COUNTIF('ARDT Cutter Entry'!D4,"*3"),COUNTIF('ARDT Cutter Entry'!D4,"*4"),COUNTIF('ARDT Cutter Entry'!D4,"*5"),COUNTIF('ARDT Cutter Entry'!D4,"*6"),COUNTIF('ARDT Cutter Entry'!D4,"*7"),COUNTIF('ARDT Cutter Entry'!D4,"*8"),COUNTIF('ARDT Cutter Entry'!D4,"*9")),'ARDT Cutter Entry'!D4,'ARDT Cutter Entry'!D43))),"")</f>
        <v>R1</v>
      </c>
      <c r="E16" s="1055" t="str">
        <f>IF(Data!$L$32=1,IF(OR(Data!$L$2=1,Data!$L$3=1),IF(OR(Data!BT46=0,Data!BT46=""),"","O"&amp;Data!BT46),IF('ARDT Cutter Entry'!$C$111&lt;&gt;"",               IF(OR(COUNTIF('ARDT Cutter Entry'!E61,"*1"),COUNTIF('ARDT Cutter Entry'!E61,"*2"),COUNTIF('ARDT Cutter Entry'!E61,"*3"),COUNTIF('ARDT Cutter Entry'!E61,"*4"),COUNTIF('ARDT Cutter Entry'!E61,"*5"),COUNTIF('ARDT Cutter Entry'!E61,"*6"),COUNTIF('ARDT Cutter Entry'!E61,"*7"),COUNTIF('ARDT Cutter Entry'!E61,"*8"),COUNTIF('ARDT Cutter Entry'!E61,"*9")),'ARDT Cutter Entry'!E61,            'ARDT Cutter Entry'!E111),            IF(OR(COUNTIF('ARDT Cutter Entry'!E4,"*1"),COUNTIF('ARDT Cutter Entry'!E4,"*2"),COUNTIF('ARDT Cutter Entry'!E4,"*3"),COUNTIF('ARDT Cutter Entry'!E4,"*4"),COUNTIF('ARDT Cutter Entry'!E4,"*5"),COUNTIF('ARDT Cutter Entry'!E4,"*6"),COUNTIF('ARDT Cutter Entry'!E4,"*7"),COUNTIF('ARDT Cutter Entry'!E4,"*8"),COUNTIF('ARDT Cutter Entry'!E4,"*9")),'ARDT Cutter Entry'!E4,'ARDT Cutter Entry'!E43))),"")</f>
        <v>X5</v>
      </c>
      <c r="F16" s="1055" t="str">
        <f>IF(Data!$L$32=1,IF(OR(Data!$L$2=1,Data!$L$3=1),IF(OR(Data!BU46=0,Data!BU46=""),"","O"&amp;Data!BU46),IF('ARDT Cutter Entry'!$C$111&lt;&gt;"",               IF(OR(COUNTIF('ARDT Cutter Entry'!F61,"*1"),COUNTIF('ARDT Cutter Entry'!F61,"*2"),COUNTIF('ARDT Cutter Entry'!F61,"*3"),COUNTIF('ARDT Cutter Entry'!F61,"*4"),COUNTIF('ARDT Cutter Entry'!F61,"*5"),COUNTIF('ARDT Cutter Entry'!F61,"*6"),COUNTIF('ARDT Cutter Entry'!F61,"*7"),COUNTIF('ARDT Cutter Entry'!F61,"*8"),COUNTIF('ARDT Cutter Entry'!F61,"*9")),'ARDT Cutter Entry'!F61,            'ARDT Cutter Entry'!F111),            IF(OR(COUNTIF('ARDT Cutter Entry'!F4,"*1"),COUNTIF('ARDT Cutter Entry'!F4,"*2"),COUNTIF('ARDT Cutter Entry'!F4,"*3"),COUNTIF('ARDT Cutter Entry'!F4,"*4"),COUNTIF('ARDT Cutter Entry'!F4,"*5"),COUNTIF('ARDT Cutter Entry'!F4,"*6"),COUNTIF('ARDT Cutter Entry'!F4,"*7"),COUNTIF('ARDT Cutter Entry'!F4,"*8"),COUNTIF('ARDT Cutter Entry'!F4,"*9")),'ARDT Cutter Entry'!F4,'ARDT Cutter Entry'!F43))),"")</f>
        <v>X5</v>
      </c>
      <c r="G16" s="1055" t="str">
        <f>IF(Data!$L$32=1,IF(OR(Data!$L$2=1,Data!$L$3=1),IF(OR(Data!BV46=0,Data!BV46=""),"","O"&amp;Data!BV46),IF('ARDT Cutter Entry'!$C$111&lt;&gt;"",               IF(OR(COUNTIF('ARDT Cutter Entry'!G61,"*1"),COUNTIF('ARDT Cutter Entry'!G61,"*2"),COUNTIF('ARDT Cutter Entry'!G61,"*3"),COUNTIF('ARDT Cutter Entry'!G61,"*4"),COUNTIF('ARDT Cutter Entry'!G61,"*5"),COUNTIF('ARDT Cutter Entry'!G61,"*6"),COUNTIF('ARDT Cutter Entry'!G61,"*7"),COUNTIF('ARDT Cutter Entry'!G61,"*8"),COUNTIF('ARDT Cutter Entry'!G61,"*9")),'ARDT Cutter Entry'!G61,            'ARDT Cutter Entry'!G111),            IF(OR(COUNTIF('ARDT Cutter Entry'!G4,"*1"),COUNTIF('ARDT Cutter Entry'!G4,"*2"),COUNTIF('ARDT Cutter Entry'!G4,"*3"),COUNTIF('ARDT Cutter Entry'!G4,"*4"),COUNTIF('ARDT Cutter Entry'!G4,"*5"),COUNTIF('ARDT Cutter Entry'!G4,"*6"),COUNTIF('ARDT Cutter Entry'!G4,"*7"),COUNTIF('ARDT Cutter Entry'!G4,"*8"),COUNTIF('ARDT Cutter Entry'!G4,"*9")),'ARDT Cutter Entry'!G4,'ARDT Cutter Entry'!G43))),"")</f>
        <v>X5</v>
      </c>
      <c r="H16" s="1055" t="str">
        <f>IF(Data!$L$32=1,IF(OR(Data!$L$2=1,Data!$L$3=1),IF(OR(Data!BW46=0,Data!BW46=""),"","O"&amp;Data!BW46),IF('ARDT Cutter Entry'!$C$111&lt;&gt;"",               IF(OR(COUNTIF('ARDT Cutter Entry'!H61,"*1"),COUNTIF('ARDT Cutter Entry'!H61,"*2"),COUNTIF('ARDT Cutter Entry'!H61,"*3"),COUNTIF('ARDT Cutter Entry'!H61,"*4"),COUNTIF('ARDT Cutter Entry'!H61,"*5"),COUNTIF('ARDT Cutter Entry'!H61,"*6"),COUNTIF('ARDT Cutter Entry'!H61,"*7"),COUNTIF('ARDT Cutter Entry'!H61,"*8"),COUNTIF('ARDT Cutter Entry'!H61,"*9")),'ARDT Cutter Entry'!H61,            'ARDT Cutter Entry'!H111),            IF(OR(COUNTIF('ARDT Cutter Entry'!H4,"*1"),COUNTIF('ARDT Cutter Entry'!H4,"*2"),COUNTIF('ARDT Cutter Entry'!H4,"*3"),COUNTIF('ARDT Cutter Entry'!H4,"*4"),COUNTIF('ARDT Cutter Entry'!H4,"*5"),COUNTIF('ARDT Cutter Entry'!H4,"*6"),COUNTIF('ARDT Cutter Entry'!H4,"*7"),COUNTIF('ARDT Cutter Entry'!H4,"*8"),COUNTIF('ARDT Cutter Entry'!H4,"*9")),'ARDT Cutter Entry'!H4,'ARDT Cutter Entry'!H43))),"")</f>
        <v>X5</v>
      </c>
      <c r="I16" s="1055" t="str">
        <f>IF(Data!$L$32=1,IF(OR(Data!$L$2=1,Data!$L$3=1),IF(OR(Data!BX46=0,Data!BX46=""),"","O"&amp;Data!BX46),IF('ARDT Cutter Entry'!$C$111&lt;&gt;"",               IF(OR(COUNTIF('ARDT Cutter Entry'!I61,"*1"),COUNTIF('ARDT Cutter Entry'!I61,"*2"),COUNTIF('ARDT Cutter Entry'!I61,"*3"),COUNTIF('ARDT Cutter Entry'!I61,"*4"),COUNTIF('ARDT Cutter Entry'!I61,"*5"),COUNTIF('ARDT Cutter Entry'!I61,"*6"),COUNTIF('ARDT Cutter Entry'!I61,"*7"),COUNTIF('ARDT Cutter Entry'!I61,"*8"),COUNTIF('ARDT Cutter Entry'!I61,"*9")),'ARDT Cutter Entry'!I61,            'ARDT Cutter Entry'!I111),            IF(OR(COUNTIF('ARDT Cutter Entry'!I4,"*1"),COUNTIF('ARDT Cutter Entry'!I4,"*2"),COUNTIF('ARDT Cutter Entry'!I4,"*3"),COUNTIF('ARDT Cutter Entry'!I4,"*4"),COUNTIF('ARDT Cutter Entry'!I4,"*5"),COUNTIF('ARDT Cutter Entry'!I4,"*6"),COUNTIF('ARDT Cutter Entry'!I4,"*7"),COUNTIF('ARDT Cutter Entry'!I4,"*8"),COUNTIF('ARDT Cutter Entry'!I4,"*9")),'ARDT Cutter Entry'!I4,'ARDT Cutter Entry'!I43))),"")</f>
        <v>R1</v>
      </c>
      <c r="J16" s="1055" t="str">
        <f>IF(Data!$L$32=1,IF(OR(Data!$L$2=1,Data!$L$3=1),IF(OR(Data!BY46=0,Data!BY46=""),"","O"&amp;Data!BY46),IF('ARDT Cutter Entry'!$C$111&lt;&gt;"",               IF(OR(COUNTIF('ARDT Cutter Entry'!J61,"*1"),COUNTIF('ARDT Cutter Entry'!J61,"*2"),COUNTIF('ARDT Cutter Entry'!J61,"*3"),COUNTIF('ARDT Cutter Entry'!J61,"*4"),COUNTIF('ARDT Cutter Entry'!J61,"*5"),COUNTIF('ARDT Cutter Entry'!J61,"*6"),COUNTIF('ARDT Cutter Entry'!J61,"*7"),COUNTIF('ARDT Cutter Entry'!J61,"*8"),COUNTIF('ARDT Cutter Entry'!J61,"*9")),'ARDT Cutter Entry'!J61,            'ARDT Cutter Entry'!J111),            IF(OR(COUNTIF('ARDT Cutter Entry'!J4,"*1"),COUNTIF('ARDT Cutter Entry'!J4,"*2"),COUNTIF('ARDT Cutter Entry'!J4,"*3"),COUNTIF('ARDT Cutter Entry'!J4,"*4"),COUNTIF('ARDT Cutter Entry'!J4,"*5"),COUNTIF('ARDT Cutter Entry'!J4,"*6"),COUNTIF('ARDT Cutter Entry'!J4,"*7"),COUNTIF('ARDT Cutter Entry'!J4,"*8"),COUNTIF('ARDT Cutter Entry'!J4,"*9")),'ARDT Cutter Entry'!J4,'ARDT Cutter Entry'!J43))),"")</f>
        <v>X3</v>
      </c>
      <c r="K16" s="1055" t="str">
        <f>IF(Data!$L$32=1,IF(OR(Data!$L$2=1,Data!$L$3=1),IF(OR(Data!BZ46=0,Data!BZ46=""),"","O"&amp;Data!BZ46),IF('ARDT Cutter Entry'!$C$111&lt;&gt;"",               IF(OR(COUNTIF('ARDT Cutter Entry'!K61,"*1"),COUNTIF('ARDT Cutter Entry'!K61,"*2"),COUNTIF('ARDT Cutter Entry'!K61,"*3"),COUNTIF('ARDT Cutter Entry'!K61,"*4"),COUNTIF('ARDT Cutter Entry'!K61,"*5"),COUNTIF('ARDT Cutter Entry'!K61,"*6"),COUNTIF('ARDT Cutter Entry'!K61,"*7"),COUNTIF('ARDT Cutter Entry'!K61,"*8"),COUNTIF('ARDT Cutter Entry'!K61,"*9")),'ARDT Cutter Entry'!K61,            'ARDT Cutter Entry'!K111),            IF(OR(COUNTIF('ARDT Cutter Entry'!K4,"*1"),COUNTIF('ARDT Cutter Entry'!K4,"*2"),COUNTIF('ARDT Cutter Entry'!K4,"*3"),COUNTIF('ARDT Cutter Entry'!K4,"*4"),COUNTIF('ARDT Cutter Entry'!K4,"*5"),COUNTIF('ARDT Cutter Entry'!K4,"*6"),COUNTIF('ARDT Cutter Entry'!K4,"*7"),COUNTIF('ARDT Cutter Entry'!K4,"*8"),COUNTIF('ARDT Cutter Entry'!K4,"*9")),'ARDT Cutter Entry'!K4,'ARDT Cutter Entry'!K43))),"")</f>
        <v/>
      </c>
      <c r="L16" s="1055" t="str">
        <f>IF(Data!$L$32=1,IF(OR(Data!$L$2=1,Data!$L$3=1),IF(OR(Data!CA46=0,Data!CA46=""),"","O"&amp;Data!CA46),IF('ARDT Cutter Entry'!$C$111&lt;&gt;"",               IF(OR(COUNTIF('ARDT Cutter Entry'!L61,"*1"),COUNTIF('ARDT Cutter Entry'!L61,"*2"),COUNTIF('ARDT Cutter Entry'!L61,"*3"),COUNTIF('ARDT Cutter Entry'!L61,"*4"),COUNTIF('ARDT Cutter Entry'!L61,"*5"),COUNTIF('ARDT Cutter Entry'!L61,"*6"),COUNTIF('ARDT Cutter Entry'!L61,"*7"),COUNTIF('ARDT Cutter Entry'!L61,"*8"),COUNTIF('ARDT Cutter Entry'!L61,"*9")),'ARDT Cutter Entry'!L61,            'ARDT Cutter Entry'!L111),            IF(OR(COUNTIF('ARDT Cutter Entry'!L4,"*1"),COUNTIF('ARDT Cutter Entry'!L4,"*2"),COUNTIF('ARDT Cutter Entry'!L4,"*3"),COUNTIF('ARDT Cutter Entry'!L4,"*4"),COUNTIF('ARDT Cutter Entry'!L4,"*5"),COUNTIF('ARDT Cutter Entry'!L4,"*6"),COUNTIF('ARDT Cutter Entry'!L4,"*7"),COUNTIF('ARDT Cutter Entry'!L4,"*8"),COUNTIF('ARDT Cutter Entry'!L4,"*9")),'ARDT Cutter Entry'!L4,'ARDT Cutter Entry'!L43))),"")</f>
        <v>S2</v>
      </c>
      <c r="M16" s="1055" t="str">
        <f>IF(Data!$L$32=1,IF(OR(Data!$L$2=1,Data!$L$3=1),IF(OR(Data!CB46=0,Data!CB46=""),"","O"&amp;Data!CB46),IF('ARDT Cutter Entry'!$C$111&lt;&gt;"",               IF(OR(COUNTIF('ARDT Cutter Entry'!M61,"*1"),COUNTIF('ARDT Cutter Entry'!M61,"*2"),COUNTIF('ARDT Cutter Entry'!M61,"*3"),COUNTIF('ARDT Cutter Entry'!M61,"*4"),COUNTIF('ARDT Cutter Entry'!M61,"*5"),COUNTIF('ARDT Cutter Entry'!M61,"*6"),COUNTIF('ARDT Cutter Entry'!M61,"*7"),COUNTIF('ARDT Cutter Entry'!M61,"*8"),COUNTIF('ARDT Cutter Entry'!M61,"*9")),'ARDT Cutter Entry'!M61,            'ARDT Cutter Entry'!M111),            IF(OR(COUNTIF('ARDT Cutter Entry'!M4,"*1"),COUNTIF('ARDT Cutter Entry'!M4,"*2"),COUNTIF('ARDT Cutter Entry'!M4,"*3"),COUNTIF('ARDT Cutter Entry'!M4,"*4"),COUNTIF('ARDT Cutter Entry'!M4,"*5"),COUNTIF('ARDT Cutter Entry'!M4,"*6"),COUNTIF('ARDT Cutter Entry'!M4,"*7"),COUNTIF('ARDT Cutter Entry'!M4,"*8"),COUNTIF('ARDT Cutter Entry'!M4,"*9")),'ARDT Cutter Entry'!M4,'ARDT Cutter Entry'!M43))),"")</f>
        <v>X4</v>
      </c>
      <c r="N16" s="1055" t="str">
        <f>IF(Data!$L$32=1,IF(OR(Data!$L$2=1,Data!$L$3=1),IF(OR(Data!CC46=0,Data!CC46=""),"","O"&amp;Data!CC46),IF('ARDT Cutter Entry'!$C$111&lt;&gt;"",               IF(OR(COUNTIF('ARDT Cutter Entry'!N61,"*1"),COUNTIF('ARDT Cutter Entry'!N61,"*2"),COUNTIF('ARDT Cutter Entry'!N61,"*3"),COUNTIF('ARDT Cutter Entry'!N61,"*4"),COUNTIF('ARDT Cutter Entry'!N61,"*5"),COUNTIF('ARDT Cutter Entry'!N61,"*6"),COUNTIF('ARDT Cutter Entry'!N61,"*7"),COUNTIF('ARDT Cutter Entry'!N61,"*8"),COUNTIF('ARDT Cutter Entry'!N61,"*9")),'ARDT Cutter Entry'!N61,            'ARDT Cutter Entry'!N111),            IF(OR(COUNTIF('ARDT Cutter Entry'!N4,"*1"),COUNTIF('ARDT Cutter Entry'!N4,"*2"),COUNTIF('ARDT Cutter Entry'!N4,"*3"),COUNTIF('ARDT Cutter Entry'!N4,"*4"),COUNTIF('ARDT Cutter Entry'!N4,"*5"),COUNTIF('ARDT Cutter Entry'!N4,"*6"),COUNTIF('ARDT Cutter Entry'!N4,"*7"),COUNTIF('ARDT Cutter Entry'!N4,"*8"),COUNTIF('ARDT Cutter Entry'!N4,"*9")),'ARDT Cutter Entry'!N4,'ARDT Cutter Entry'!N43))),"")</f>
        <v>X4</v>
      </c>
      <c r="O16" s="1055" t="str">
        <f>IF(Data!$L$32=1,IF(OR(Data!$L$2=1,Data!$L$3=1),IF(OR(Data!CD46=0,Data!CD46=""),"","O"&amp;Data!CD46),IF('ARDT Cutter Entry'!$C$111&lt;&gt;"",               IF(OR(COUNTIF('ARDT Cutter Entry'!O61,"*1"),COUNTIF('ARDT Cutter Entry'!O61,"*2"),COUNTIF('ARDT Cutter Entry'!O61,"*3"),COUNTIF('ARDT Cutter Entry'!O61,"*4"),COUNTIF('ARDT Cutter Entry'!O61,"*5"),COUNTIF('ARDT Cutter Entry'!O61,"*6"),COUNTIF('ARDT Cutter Entry'!O61,"*7"),COUNTIF('ARDT Cutter Entry'!O61,"*8"),COUNTIF('ARDT Cutter Entry'!O61,"*9")),'ARDT Cutter Entry'!O61,            'ARDT Cutter Entry'!O111),            IF(OR(COUNTIF('ARDT Cutter Entry'!O4,"*1"),COUNTIF('ARDT Cutter Entry'!O4,"*2"),COUNTIF('ARDT Cutter Entry'!O4,"*3"),COUNTIF('ARDT Cutter Entry'!O4,"*4"),COUNTIF('ARDT Cutter Entry'!O4,"*5"),COUNTIF('ARDT Cutter Entry'!O4,"*6"),COUNTIF('ARDT Cutter Entry'!O4,"*7"),COUNTIF('ARDT Cutter Entry'!O4,"*8"),COUNTIF('ARDT Cutter Entry'!O4,"*9")),'ARDT Cutter Entry'!O4,'ARDT Cutter Entry'!O43))),"")</f>
        <v>R2</v>
      </c>
      <c r="P16" s="1055" t="str">
        <f>IF(Data!$L$32=1,IF(OR(Data!$L$2=1,Data!$L$3=1),IF(OR(Data!CE46=0,Data!CE46=""),"","O"&amp;Data!CE46),IF('ARDT Cutter Entry'!$C$111&lt;&gt;"",               IF(OR(COUNTIF('ARDT Cutter Entry'!P61,"*1"),COUNTIF('ARDT Cutter Entry'!P61,"*2"),COUNTIF('ARDT Cutter Entry'!P61,"*3"),COUNTIF('ARDT Cutter Entry'!P61,"*4"),COUNTIF('ARDT Cutter Entry'!P61,"*5"),COUNTIF('ARDT Cutter Entry'!P61,"*6"),COUNTIF('ARDT Cutter Entry'!P61,"*7"),COUNTIF('ARDT Cutter Entry'!P61,"*8"),COUNTIF('ARDT Cutter Entry'!P61,"*9")),'ARDT Cutter Entry'!P61,            'ARDT Cutter Entry'!P111),            IF(OR(COUNTIF('ARDT Cutter Entry'!P4,"*1"),COUNTIF('ARDT Cutter Entry'!P4,"*2"),COUNTIF('ARDT Cutter Entry'!P4,"*3"),COUNTIF('ARDT Cutter Entry'!P4,"*4"),COUNTIF('ARDT Cutter Entry'!P4,"*5"),COUNTIF('ARDT Cutter Entry'!P4,"*6"),COUNTIF('ARDT Cutter Entry'!P4,"*7"),COUNTIF('ARDT Cutter Entry'!P4,"*8"),COUNTIF('ARDT Cutter Entry'!P4,"*9")),'ARDT Cutter Entry'!P4,'ARDT Cutter Entry'!P43))),"")</f>
        <v/>
      </c>
      <c r="Q16" s="1055" t="str">
        <f>IF(Data!$L$32=1,IF(OR(Data!$L$2=1,Data!$L$3=1),IF(OR(Data!CF46=0,Data!CF46=""),"","O"&amp;Data!CF46),IF('ARDT Cutter Entry'!$C$111&lt;&gt;"",               IF(OR(COUNTIF('ARDT Cutter Entry'!Q61,"*1"),COUNTIF('ARDT Cutter Entry'!Q61,"*2"),COUNTIF('ARDT Cutter Entry'!Q61,"*3"),COUNTIF('ARDT Cutter Entry'!Q61,"*4"),COUNTIF('ARDT Cutter Entry'!Q61,"*5"),COUNTIF('ARDT Cutter Entry'!Q61,"*6"),COUNTIF('ARDT Cutter Entry'!Q61,"*7"),COUNTIF('ARDT Cutter Entry'!Q61,"*8"),COUNTIF('ARDT Cutter Entry'!Q61,"*9")),'ARDT Cutter Entry'!Q61,            'ARDT Cutter Entry'!Q111),            IF(OR(COUNTIF('ARDT Cutter Entry'!Q4,"*1"),COUNTIF('ARDT Cutter Entry'!Q4,"*2"),COUNTIF('ARDT Cutter Entry'!Q4,"*3"),COUNTIF('ARDT Cutter Entry'!Q4,"*4"),COUNTIF('ARDT Cutter Entry'!Q4,"*5"),COUNTIF('ARDT Cutter Entry'!Q4,"*6"),COUNTIF('ARDT Cutter Entry'!Q4,"*7"),COUNTIF('ARDT Cutter Entry'!Q4,"*8"),COUNTIF('ARDT Cutter Entry'!Q4,"*9")),'ARDT Cutter Entry'!Q4,'ARDT Cutter Entry'!Q43))),"")</f>
        <v/>
      </c>
      <c r="R16" s="1055" t="str">
        <f>IF(Data!$L$32=1,IF(OR(Data!$L$2=1,Data!$L$3=1),IF(OR(Data!CG46=0,Data!CG46=""),"","O"&amp;Data!CG46),IF('ARDT Cutter Entry'!$C$111&lt;&gt;"",               IF(OR(COUNTIF('ARDT Cutter Entry'!R61,"*1"),COUNTIF('ARDT Cutter Entry'!R61,"*2"),COUNTIF('ARDT Cutter Entry'!R61,"*3"),COUNTIF('ARDT Cutter Entry'!R61,"*4"),COUNTIF('ARDT Cutter Entry'!R61,"*5"),COUNTIF('ARDT Cutter Entry'!R61,"*6"),COUNTIF('ARDT Cutter Entry'!R61,"*7"),COUNTIF('ARDT Cutter Entry'!R61,"*8"),COUNTIF('ARDT Cutter Entry'!R61,"*9")),'ARDT Cutter Entry'!R61,            'ARDT Cutter Entry'!R111),            IF(OR(COUNTIF('ARDT Cutter Entry'!R4,"*1"),COUNTIF('ARDT Cutter Entry'!R4,"*2"),COUNTIF('ARDT Cutter Entry'!R4,"*3"),COUNTIF('ARDT Cutter Entry'!R4,"*4"),COUNTIF('ARDT Cutter Entry'!R4,"*5"),COUNTIF('ARDT Cutter Entry'!R4,"*6"),COUNTIF('ARDT Cutter Entry'!R4,"*7"),COUNTIF('ARDT Cutter Entry'!R4,"*8"),COUNTIF('ARDT Cutter Entry'!R4,"*9")),'ARDT Cutter Entry'!R4,'ARDT Cutter Entry'!R43))),"")</f>
        <v/>
      </c>
      <c r="S16" s="1055" t="str">
        <f>IF(Data!$L$32=1,IF(OR(Data!$L$2=1,Data!$L$3=1),IF(OR(Data!CH46=0,Data!CH46=""),"","O"&amp;Data!CH46),IF('ARDT Cutter Entry'!$C$111&lt;&gt;"",               IF(OR(COUNTIF('ARDT Cutter Entry'!S61,"*1"),COUNTIF('ARDT Cutter Entry'!S61,"*2"),COUNTIF('ARDT Cutter Entry'!S61,"*3"),COUNTIF('ARDT Cutter Entry'!S61,"*4"),COUNTIF('ARDT Cutter Entry'!S61,"*5"),COUNTIF('ARDT Cutter Entry'!S61,"*6"),COUNTIF('ARDT Cutter Entry'!S61,"*7"),COUNTIF('ARDT Cutter Entry'!S61,"*8"),COUNTIF('ARDT Cutter Entry'!S61,"*9")),'ARDT Cutter Entry'!S61,            'ARDT Cutter Entry'!S111),            IF(OR(COUNTIF('ARDT Cutter Entry'!S4,"*1"),COUNTIF('ARDT Cutter Entry'!S4,"*2"),COUNTIF('ARDT Cutter Entry'!S4,"*3"),COUNTIF('ARDT Cutter Entry'!S4,"*4"),COUNTIF('ARDT Cutter Entry'!S4,"*5"),COUNTIF('ARDT Cutter Entry'!S4,"*6"),COUNTIF('ARDT Cutter Entry'!S4,"*7"),COUNTIF('ARDT Cutter Entry'!S4,"*8"),COUNTIF('ARDT Cutter Entry'!S4,"*9")),'ARDT Cutter Entry'!S4,'ARDT Cutter Entry'!S43))),"")</f>
        <v/>
      </c>
      <c r="T16" s="1055" t="str">
        <f>IF(Data!$L$32=1,IF(OR(Data!$L$2=1,Data!$L$3=1),IF(OR(Data!CI46=0,Data!CI46=""),"","O"&amp;Data!CI46),IF('ARDT Cutter Entry'!$C$111&lt;&gt;"",               IF(OR(COUNTIF('ARDT Cutter Entry'!T61,"*1"),COUNTIF('ARDT Cutter Entry'!T61,"*2"),COUNTIF('ARDT Cutter Entry'!T61,"*3"),COUNTIF('ARDT Cutter Entry'!T61,"*4"),COUNTIF('ARDT Cutter Entry'!T61,"*5"),COUNTIF('ARDT Cutter Entry'!T61,"*6"),COUNTIF('ARDT Cutter Entry'!T61,"*7"),COUNTIF('ARDT Cutter Entry'!T61,"*8"),COUNTIF('ARDT Cutter Entry'!T61,"*9")),'ARDT Cutter Entry'!T61,            'ARDT Cutter Entry'!T111),            IF(OR(COUNTIF('ARDT Cutter Entry'!T4,"*1"),COUNTIF('ARDT Cutter Entry'!T4,"*2"),COUNTIF('ARDT Cutter Entry'!T4,"*3"),COUNTIF('ARDT Cutter Entry'!T4,"*4"),COUNTIF('ARDT Cutter Entry'!T4,"*5"),COUNTIF('ARDT Cutter Entry'!T4,"*6"),COUNTIF('ARDT Cutter Entry'!T4,"*7"),COUNTIF('ARDT Cutter Entry'!T4,"*8"),COUNTIF('ARDT Cutter Entry'!T4,"*9")),'ARDT Cutter Entry'!T4,'ARDT Cutter Entry'!T43))),"")</f>
        <v/>
      </c>
      <c r="U16" s="1055" t="str">
        <f>IF(Data!$L$32=1,IF(OR(Data!$L$2=1,Data!$L$3=1),IF(OR(Data!CJ46=0,Data!CJ46=""),"","O"&amp;Data!CJ46),IF('ARDT Cutter Entry'!$C$111&lt;&gt;"",               IF(OR(COUNTIF('ARDT Cutter Entry'!U61,"*1"),COUNTIF('ARDT Cutter Entry'!U61,"*2"),COUNTIF('ARDT Cutter Entry'!U61,"*3"),COUNTIF('ARDT Cutter Entry'!U61,"*4"),COUNTIF('ARDT Cutter Entry'!U61,"*5"),COUNTIF('ARDT Cutter Entry'!U61,"*6"),COUNTIF('ARDT Cutter Entry'!U61,"*7"),COUNTIF('ARDT Cutter Entry'!U61,"*8"),COUNTIF('ARDT Cutter Entry'!U61,"*9")),'ARDT Cutter Entry'!U61,            'ARDT Cutter Entry'!U111),            IF(OR(COUNTIF('ARDT Cutter Entry'!U4,"*1"),COUNTIF('ARDT Cutter Entry'!U4,"*2"),COUNTIF('ARDT Cutter Entry'!U4,"*3"),COUNTIF('ARDT Cutter Entry'!U4,"*4"),COUNTIF('ARDT Cutter Entry'!U4,"*5"),COUNTIF('ARDT Cutter Entry'!U4,"*6"),COUNTIF('ARDT Cutter Entry'!U4,"*7"),COUNTIF('ARDT Cutter Entry'!U4,"*8"),COUNTIF('ARDT Cutter Entry'!U4,"*9")),'ARDT Cutter Entry'!U4,'ARDT Cutter Entry'!U43))),"")</f>
        <v/>
      </c>
      <c r="V16" s="1055" t="str">
        <f>IF(Data!$L$32=1,IF(OR(Data!$L$2=1,Data!$L$3=1),IF(OR(Data!CK46=0,Data!CK46=""),"","O"&amp;Data!CK46),IF('ARDT Cutter Entry'!$C$111&lt;&gt;"",               IF(OR(COUNTIF('ARDT Cutter Entry'!V61,"*1"),COUNTIF('ARDT Cutter Entry'!V61,"*2"),COUNTIF('ARDT Cutter Entry'!V61,"*3"),COUNTIF('ARDT Cutter Entry'!V61,"*4"),COUNTIF('ARDT Cutter Entry'!V61,"*5"),COUNTIF('ARDT Cutter Entry'!V61,"*6"),COUNTIF('ARDT Cutter Entry'!V61,"*7"),COUNTIF('ARDT Cutter Entry'!V61,"*8"),COUNTIF('ARDT Cutter Entry'!V61,"*9")),'ARDT Cutter Entry'!V61,            'ARDT Cutter Entry'!V111),            IF(OR(COUNTIF('ARDT Cutter Entry'!V4,"*1"),COUNTIF('ARDT Cutter Entry'!V4,"*2"),COUNTIF('ARDT Cutter Entry'!V4,"*3"),COUNTIF('ARDT Cutter Entry'!V4,"*4"),COUNTIF('ARDT Cutter Entry'!V4,"*5"),COUNTIF('ARDT Cutter Entry'!V4,"*6"),COUNTIF('ARDT Cutter Entry'!V4,"*7"),COUNTIF('ARDT Cutter Entry'!V4,"*8"),COUNTIF('ARDT Cutter Entry'!V4,"*9")),'ARDT Cutter Entry'!V4,'ARDT Cutter Entry'!V43))),"")</f>
        <v/>
      </c>
      <c r="W16" s="1055" t="str">
        <f>IF(Data!$L$32=1,IF(OR(Data!$L$2=1,Data!$L$3=1),IF(OR(Data!CL46=0,Data!CL46=""),"","O"&amp;Data!CL46),IF('ARDT Cutter Entry'!$C$111&lt;&gt;"",               IF(OR(COUNTIF('ARDT Cutter Entry'!W61,"*1"),COUNTIF('ARDT Cutter Entry'!W61,"*2"),COUNTIF('ARDT Cutter Entry'!W61,"*3"),COUNTIF('ARDT Cutter Entry'!W61,"*4"),COUNTIF('ARDT Cutter Entry'!W61,"*5"),COUNTIF('ARDT Cutter Entry'!W61,"*6"),COUNTIF('ARDT Cutter Entry'!W61,"*7"),COUNTIF('ARDT Cutter Entry'!W61,"*8"),COUNTIF('ARDT Cutter Entry'!W61,"*9")),'ARDT Cutter Entry'!W61,            'ARDT Cutter Entry'!W111),            IF(OR(COUNTIF('ARDT Cutter Entry'!W4,"*1"),COUNTIF('ARDT Cutter Entry'!W4,"*2"),COUNTIF('ARDT Cutter Entry'!W4,"*3"),COUNTIF('ARDT Cutter Entry'!W4,"*4"),COUNTIF('ARDT Cutter Entry'!W4,"*5"),COUNTIF('ARDT Cutter Entry'!W4,"*6"),COUNTIF('ARDT Cutter Entry'!W4,"*7"),COUNTIF('ARDT Cutter Entry'!W4,"*8"),COUNTIF('ARDT Cutter Entry'!W4,"*9")),'ARDT Cutter Entry'!W4,'ARDT Cutter Entry'!W43))),"")</f>
        <v/>
      </c>
      <c r="X16" s="1055" t="str">
        <f>IF(Data!$L$32=1,IF(OR(Data!$L$2=1,Data!$L$3=1),IF(OR(Data!CM46=0,Data!CM46=""),"","O"&amp;Data!CM46),IF('ARDT Cutter Entry'!$C$111&lt;&gt;"",               IF(OR(COUNTIF('ARDT Cutter Entry'!X61,"*1"),COUNTIF('ARDT Cutter Entry'!X61,"*2"),COUNTIF('ARDT Cutter Entry'!X61,"*3"),COUNTIF('ARDT Cutter Entry'!X61,"*4"),COUNTIF('ARDT Cutter Entry'!X61,"*5"),COUNTIF('ARDT Cutter Entry'!X61,"*6"),COUNTIF('ARDT Cutter Entry'!X61,"*7"),COUNTIF('ARDT Cutter Entry'!X61,"*8"),COUNTIF('ARDT Cutter Entry'!X61,"*9")),'ARDT Cutter Entry'!X61,            'ARDT Cutter Entry'!X111),            IF(OR(COUNTIF('ARDT Cutter Entry'!X4,"*1"),COUNTIF('ARDT Cutter Entry'!X4,"*2"),COUNTIF('ARDT Cutter Entry'!X4,"*3"),COUNTIF('ARDT Cutter Entry'!X4,"*4"),COUNTIF('ARDT Cutter Entry'!X4,"*5"),COUNTIF('ARDT Cutter Entry'!X4,"*6"),COUNTIF('ARDT Cutter Entry'!X4,"*7"),COUNTIF('ARDT Cutter Entry'!X4,"*8"),COUNTIF('ARDT Cutter Entry'!X4,"*9")),'ARDT Cutter Entry'!X4,'ARDT Cutter Entry'!X43))),"")</f>
        <v/>
      </c>
      <c r="Y16" s="1055" t="str">
        <f>IF(Data!$L$32=1,IF(OR(Data!$L$2=1,Data!$L$3=1),IF(OR(Data!CN46=0,Data!CN46=""),"","O"&amp;Data!CN46),IF('ARDT Cutter Entry'!$C$111&lt;&gt;"",               IF(OR(COUNTIF('ARDT Cutter Entry'!Y61,"*1"),COUNTIF('ARDT Cutter Entry'!Y61,"*2"),COUNTIF('ARDT Cutter Entry'!Y61,"*3"),COUNTIF('ARDT Cutter Entry'!Y61,"*4"),COUNTIF('ARDT Cutter Entry'!Y61,"*5"),COUNTIF('ARDT Cutter Entry'!Y61,"*6"),COUNTIF('ARDT Cutter Entry'!Y61,"*7"),COUNTIF('ARDT Cutter Entry'!Y61,"*8"),COUNTIF('ARDT Cutter Entry'!Y61,"*9")),'ARDT Cutter Entry'!Y61,            'ARDT Cutter Entry'!Y111),            IF(OR(COUNTIF('ARDT Cutter Entry'!Y4,"*1"),COUNTIF('ARDT Cutter Entry'!Y4,"*2"),COUNTIF('ARDT Cutter Entry'!Y4,"*3"),COUNTIF('ARDT Cutter Entry'!Y4,"*4"),COUNTIF('ARDT Cutter Entry'!Y4,"*5"),COUNTIF('ARDT Cutter Entry'!Y4,"*6"),COUNTIF('ARDT Cutter Entry'!Y4,"*7"),COUNTIF('ARDT Cutter Entry'!Y4,"*8"),COUNTIF('ARDT Cutter Entry'!Y4,"*9")),'ARDT Cutter Entry'!Y4,'ARDT Cutter Entry'!Y43))),"")</f>
        <v/>
      </c>
      <c r="Z16" s="1055" t="str">
        <f>IF(Data!$L$32=1,IF(OR(Data!$L$2=1,Data!$L$3=1),IF(OR(Data!CO46=0,Data!CO46=""),"","O"&amp;Data!CO46),IF('ARDT Cutter Entry'!$C$111&lt;&gt;"",               IF(OR(COUNTIF('ARDT Cutter Entry'!Z61,"*1"),COUNTIF('ARDT Cutter Entry'!Z61,"*2"),COUNTIF('ARDT Cutter Entry'!Z61,"*3"),COUNTIF('ARDT Cutter Entry'!Z61,"*4"),COUNTIF('ARDT Cutter Entry'!Z61,"*5"),COUNTIF('ARDT Cutter Entry'!Z61,"*6"),COUNTIF('ARDT Cutter Entry'!Z61,"*7"),COUNTIF('ARDT Cutter Entry'!Z61,"*8"),COUNTIF('ARDT Cutter Entry'!Z61,"*9")),'ARDT Cutter Entry'!Z61,            'ARDT Cutter Entry'!Z111),            IF(OR(COUNTIF('ARDT Cutter Entry'!Z4,"*1"),COUNTIF('ARDT Cutter Entry'!Z4,"*2"),COUNTIF('ARDT Cutter Entry'!Z4,"*3"),COUNTIF('ARDT Cutter Entry'!Z4,"*4"),COUNTIF('ARDT Cutter Entry'!Z4,"*5"),COUNTIF('ARDT Cutter Entry'!Z4,"*6"),COUNTIF('ARDT Cutter Entry'!Z4,"*7"),COUNTIF('ARDT Cutter Entry'!Z4,"*8"),COUNTIF('ARDT Cutter Entry'!Z4,"*9")),'ARDT Cutter Entry'!Z4,'ARDT Cutter Entry'!Z43))),"")</f>
        <v/>
      </c>
      <c r="AA16" s="1054" t="str">
        <f>IF(Data!$L$32=1,IF(OR(Data!$L$2=1,Data!$L$3=1),IF(OR(Data!CP46=0,Data!CP46=""),"","O"&amp;Data!CP46),IF('ARDT Cutter Entry'!$C$111&lt;&gt;"",               IF(OR(COUNTIF('ARDT Cutter Entry'!AA61,"*1"),COUNTIF('ARDT Cutter Entry'!AA61,"*2"),COUNTIF('ARDT Cutter Entry'!AA61,"*3"),COUNTIF('ARDT Cutter Entry'!AA61,"*4"),COUNTIF('ARDT Cutter Entry'!AA61,"*5"),COUNTIF('ARDT Cutter Entry'!AA61,"*6"),COUNTIF('ARDT Cutter Entry'!AA61,"*7"),COUNTIF('ARDT Cutter Entry'!AA61,"*8"),COUNTIF('ARDT Cutter Entry'!AA61,"*9")),'ARDT Cutter Entry'!AA61,            'ARDT Cutter Entry'!AA111),            IF(OR(COUNTIF('ARDT Cutter Entry'!AA4,"*1"),COUNTIF('ARDT Cutter Entry'!AA4,"*2"),COUNTIF('ARDT Cutter Entry'!AA4,"*3"),COUNTIF('ARDT Cutter Entry'!AA4,"*4"),COUNTIF('ARDT Cutter Entry'!AA4,"*5"),COUNTIF('ARDT Cutter Entry'!AA4,"*6"),COUNTIF('ARDT Cutter Entry'!AA4,"*7"),COUNTIF('ARDT Cutter Entry'!AA4,"*8"),COUNTIF('ARDT Cutter Entry'!AA4,"*9")),'ARDT Cutter Entry'!AA4,'ARDT Cutter Entry'!AA43))),"")</f>
        <v/>
      </c>
    </row>
    <row r="17" spans="1:27" ht="16" customHeight="1" x14ac:dyDescent="0.35">
      <c r="A17" s="1825"/>
      <c r="B17" s="446">
        <v>2</v>
      </c>
      <c r="C17" s="230" t="str">
        <f>IF(Data!$L$32=1,IF(OR(Data!$L$2=1,Data!$L$3=1),IF(OR(Data!BR47=0,Data!BR47=""),"","O"&amp;Data!BR47),IF('ARDT Cutter Entry'!$C$111&lt;&gt;"",               IF(OR(COUNTIF('ARDT Cutter Entry'!C62,"*1"),COUNTIF('ARDT Cutter Entry'!C62,"*2"),COUNTIF('ARDT Cutter Entry'!C62,"*3"),COUNTIF('ARDT Cutter Entry'!C62,"*4"),COUNTIF('ARDT Cutter Entry'!C62,"*5"),COUNTIF('ARDT Cutter Entry'!C62,"*6"),COUNTIF('ARDT Cutter Entry'!C62,"*7"),COUNTIF('ARDT Cutter Entry'!C62,"*8"),COUNTIF('ARDT Cutter Entry'!C62,"*9")),'ARDT Cutter Entry'!C62,            'ARDT Cutter Entry'!C112),            IF(OR(COUNTIF('ARDT Cutter Entry'!C5,"*1"),COUNTIF('ARDT Cutter Entry'!C5,"*2"),COUNTIF('ARDT Cutter Entry'!C5,"*3"),COUNTIF('ARDT Cutter Entry'!C5,"*4"),COUNTIF('ARDT Cutter Entry'!C5,"*5"),COUNTIF('ARDT Cutter Entry'!C5,"*6"),COUNTIF('ARDT Cutter Entry'!C5,"*7"),COUNTIF('ARDT Cutter Entry'!C5,"*8"),COUNTIF('ARDT Cutter Entry'!C5,"*9")),'ARDT Cutter Entry'!C5,'ARDT Cutter Entry'!C44))),"")</f>
        <v>X5</v>
      </c>
      <c r="D17" s="244" t="str">
        <f>IF(Data!$L$32=1,IF(OR(Data!$L$2=1,Data!$L$3=1),IF(OR(Data!BS47=0,Data!BS47=""),"","O"&amp;Data!BS47),IF('ARDT Cutter Entry'!$C$111&lt;&gt;"",               IF(OR(COUNTIF('ARDT Cutter Entry'!D62,"*1"),COUNTIF('ARDT Cutter Entry'!D62,"*2"),COUNTIF('ARDT Cutter Entry'!D62,"*3"),COUNTIF('ARDT Cutter Entry'!D62,"*4"),COUNTIF('ARDT Cutter Entry'!D62,"*5"),COUNTIF('ARDT Cutter Entry'!D62,"*6"),COUNTIF('ARDT Cutter Entry'!D62,"*7"),COUNTIF('ARDT Cutter Entry'!D62,"*8"),COUNTIF('ARDT Cutter Entry'!D62,"*9")),'ARDT Cutter Entry'!D62,            'ARDT Cutter Entry'!D112),            IF(OR(COUNTIF('ARDT Cutter Entry'!D5,"*1"),COUNTIF('ARDT Cutter Entry'!D5,"*2"),COUNTIF('ARDT Cutter Entry'!D5,"*3"),COUNTIF('ARDT Cutter Entry'!D5,"*4"),COUNTIF('ARDT Cutter Entry'!D5,"*5"),COUNTIF('ARDT Cutter Entry'!D5,"*6"),COUNTIF('ARDT Cutter Entry'!D5,"*7"),COUNTIF('ARDT Cutter Entry'!D5,"*8"),COUNTIF('ARDT Cutter Entry'!D5,"*9")),'ARDT Cutter Entry'!D5,'ARDT Cutter Entry'!D44))),"")</f>
        <v>X5</v>
      </c>
      <c r="E17" s="244" t="str">
        <f>IF(Data!$L$32=1,IF(OR(Data!$L$2=1,Data!$L$3=1),IF(OR(Data!BT47=0,Data!BT47=""),"","O"&amp;Data!BT47),IF('ARDT Cutter Entry'!$C$111&lt;&gt;"",               IF(OR(COUNTIF('ARDT Cutter Entry'!E62,"*1"),COUNTIF('ARDT Cutter Entry'!E62,"*2"),COUNTIF('ARDT Cutter Entry'!E62,"*3"),COUNTIF('ARDT Cutter Entry'!E62,"*4"),COUNTIF('ARDT Cutter Entry'!E62,"*5"),COUNTIF('ARDT Cutter Entry'!E62,"*6"),COUNTIF('ARDT Cutter Entry'!E62,"*7"),COUNTIF('ARDT Cutter Entry'!E62,"*8"),COUNTIF('ARDT Cutter Entry'!E62,"*9")),'ARDT Cutter Entry'!E62,            'ARDT Cutter Entry'!E112),            IF(OR(COUNTIF('ARDT Cutter Entry'!E5,"*1"),COUNTIF('ARDT Cutter Entry'!E5,"*2"),COUNTIF('ARDT Cutter Entry'!E5,"*3"),COUNTIF('ARDT Cutter Entry'!E5,"*4"),COUNTIF('ARDT Cutter Entry'!E5,"*5"),COUNTIF('ARDT Cutter Entry'!E5,"*6"),COUNTIF('ARDT Cutter Entry'!E5,"*7"),COUNTIF('ARDT Cutter Entry'!E5,"*8"),COUNTIF('ARDT Cutter Entry'!E5,"*9")),'ARDT Cutter Entry'!E5,'ARDT Cutter Entry'!E44))),"")</f>
        <v>X5</v>
      </c>
      <c r="F17" s="244" t="str">
        <f>IF(Data!$L$32=1,IF(OR(Data!$L$2=1,Data!$L$3=1),IF(OR(Data!BU47=0,Data!BU47=""),"","O"&amp;Data!BU47),IF('ARDT Cutter Entry'!$C$111&lt;&gt;"",               IF(OR(COUNTIF('ARDT Cutter Entry'!F62,"*1"),COUNTIF('ARDT Cutter Entry'!F62,"*2"),COUNTIF('ARDT Cutter Entry'!F62,"*3"),COUNTIF('ARDT Cutter Entry'!F62,"*4"),COUNTIF('ARDT Cutter Entry'!F62,"*5"),COUNTIF('ARDT Cutter Entry'!F62,"*6"),COUNTIF('ARDT Cutter Entry'!F62,"*7"),COUNTIF('ARDT Cutter Entry'!F62,"*8"),COUNTIF('ARDT Cutter Entry'!F62,"*9")),'ARDT Cutter Entry'!F62,            'ARDT Cutter Entry'!F112),            IF(OR(COUNTIF('ARDT Cutter Entry'!F5,"*1"),COUNTIF('ARDT Cutter Entry'!F5,"*2"),COUNTIF('ARDT Cutter Entry'!F5,"*3"),COUNTIF('ARDT Cutter Entry'!F5,"*4"),COUNTIF('ARDT Cutter Entry'!F5,"*5"),COUNTIF('ARDT Cutter Entry'!F5,"*6"),COUNTIF('ARDT Cutter Entry'!F5,"*7"),COUNTIF('ARDT Cutter Entry'!F5,"*8"),COUNTIF('ARDT Cutter Entry'!F5,"*9")),'ARDT Cutter Entry'!F5,'ARDT Cutter Entry'!F44))),"")</f>
        <v>R1</v>
      </c>
      <c r="G17" s="244" t="str">
        <f>IF(Data!$L$32=1,IF(OR(Data!$L$2=1,Data!$L$3=1),IF(OR(Data!BV47=0,Data!BV47=""),"","O"&amp;Data!BV47),IF('ARDT Cutter Entry'!$C$111&lt;&gt;"",               IF(OR(COUNTIF('ARDT Cutter Entry'!G62,"*1"),COUNTIF('ARDT Cutter Entry'!G62,"*2"),COUNTIF('ARDT Cutter Entry'!G62,"*3"),COUNTIF('ARDT Cutter Entry'!G62,"*4"),COUNTIF('ARDT Cutter Entry'!G62,"*5"),COUNTIF('ARDT Cutter Entry'!G62,"*6"),COUNTIF('ARDT Cutter Entry'!G62,"*7"),COUNTIF('ARDT Cutter Entry'!G62,"*8"),COUNTIF('ARDT Cutter Entry'!G62,"*9")),'ARDT Cutter Entry'!G62,            'ARDT Cutter Entry'!G112),            IF(OR(COUNTIF('ARDT Cutter Entry'!G5,"*1"),COUNTIF('ARDT Cutter Entry'!G5,"*2"),COUNTIF('ARDT Cutter Entry'!G5,"*3"),COUNTIF('ARDT Cutter Entry'!G5,"*4"),COUNTIF('ARDT Cutter Entry'!G5,"*5"),COUNTIF('ARDT Cutter Entry'!G5,"*6"),COUNTIF('ARDT Cutter Entry'!G5,"*7"),COUNTIF('ARDT Cutter Entry'!G5,"*8"),COUNTIF('ARDT Cutter Entry'!G5,"*9")),'ARDT Cutter Entry'!G5,'ARDT Cutter Entry'!G44))),"")</f>
        <v>X3</v>
      </c>
      <c r="H17" s="244" t="str">
        <f>IF(Data!$L$32=1,IF(OR(Data!$L$2=1,Data!$L$3=1),IF(OR(Data!BW47=0,Data!BW47=""),"","O"&amp;Data!BW47),IF('ARDT Cutter Entry'!$C$111&lt;&gt;"",               IF(OR(COUNTIF('ARDT Cutter Entry'!H62,"*1"),COUNTIF('ARDT Cutter Entry'!H62,"*2"),COUNTIF('ARDT Cutter Entry'!H62,"*3"),COUNTIF('ARDT Cutter Entry'!H62,"*4"),COUNTIF('ARDT Cutter Entry'!H62,"*5"),COUNTIF('ARDT Cutter Entry'!H62,"*6"),COUNTIF('ARDT Cutter Entry'!H62,"*7"),COUNTIF('ARDT Cutter Entry'!H62,"*8"),COUNTIF('ARDT Cutter Entry'!H62,"*9")),'ARDT Cutter Entry'!H62,            'ARDT Cutter Entry'!H112),            IF(OR(COUNTIF('ARDT Cutter Entry'!H5,"*1"),COUNTIF('ARDT Cutter Entry'!H5,"*2"),COUNTIF('ARDT Cutter Entry'!H5,"*3"),COUNTIF('ARDT Cutter Entry'!H5,"*4"),COUNTIF('ARDT Cutter Entry'!H5,"*5"),COUNTIF('ARDT Cutter Entry'!H5,"*6"),COUNTIF('ARDT Cutter Entry'!H5,"*7"),COUNTIF('ARDT Cutter Entry'!H5,"*8"),COUNTIF('ARDT Cutter Entry'!H5,"*9")),'ARDT Cutter Entry'!H5,'ARDT Cutter Entry'!H44))),"")</f>
        <v/>
      </c>
      <c r="I17" s="244" t="str">
        <f>IF(Data!$L$32=1,IF(OR(Data!$L$2=1,Data!$L$3=1),IF(OR(Data!BX47=0,Data!BX47=""),"","O"&amp;Data!BX47),IF('ARDT Cutter Entry'!$C$111&lt;&gt;"",               IF(OR(COUNTIF('ARDT Cutter Entry'!I62,"*1"),COUNTIF('ARDT Cutter Entry'!I62,"*2"),COUNTIF('ARDT Cutter Entry'!I62,"*3"),COUNTIF('ARDT Cutter Entry'!I62,"*4"),COUNTIF('ARDT Cutter Entry'!I62,"*5"),COUNTIF('ARDT Cutter Entry'!I62,"*6"),COUNTIF('ARDT Cutter Entry'!I62,"*7"),COUNTIF('ARDT Cutter Entry'!I62,"*8"),COUNTIF('ARDT Cutter Entry'!I62,"*9")),'ARDT Cutter Entry'!I62,            'ARDT Cutter Entry'!I112),            IF(OR(COUNTIF('ARDT Cutter Entry'!I5,"*1"),COUNTIF('ARDT Cutter Entry'!I5,"*2"),COUNTIF('ARDT Cutter Entry'!I5,"*3"),COUNTIF('ARDT Cutter Entry'!I5,"*4"),COUNTIF('ARDT Cutter Entry'!I5,"*5"),COUNTIF('ARDT Cutter Entry'!I5,"*6"),COUNTIF('ARDT Cutter Entry'!I5,"*7"),COUNTIF('ARDT Cutter Entry'!I5,"*8"),COUNTIF('ARDT Cutter Entry'!I5,"*9")),'ARDT Cutter Entry'!I5,'ARDT Cutter Entry'!I44))),"")</f>
        <v/>
      </c>
      <c r="J17" s="244" t="str">
        <f>IF(Data!$L$32=1,IF(OR(Data!$L$2=1,Data!$L$3=1),IF(OR(Data!BY47=0,Data!BY47=""),"","O"&amp;Data!BY47),IF('ARDT Cutter Entry'!$C$111&lt;&gt;"",               IF(OR(COUNTIF('ARDT Cutter Entry'!J62,"*1"),COUNTIF('ARDT Cutter Entry'!J62,"*2"),COUNTIF('ARDT Cutter Entry'!J62,"*3"),COUNTIF('ARDT Cutter Entry'!J62,"*4"),COUNTIF('ARDT Cutter Entry'!J62,"*5"),COUNTIF('ARDT Cutter Entry'!J62,"*6"),COUNTIF('ARDT Cutter Entry'!J62,"*7"),COUNTIF('ARDT Cutter Entry'!J62,"*8"),COUNTIF('ARDT Cutter Entry'!J62,"*9")),'ARDT Cutter Entry'!J62,            'ARDT Cutter Entry'!J112),            IF(OR(COUNTIF('ARDT Cutter Entry'!J5,"*1"),COUNTIF('ARDT Cutter Entry'!J5,"*2"),COUNTIF('ARDT Cutter Entry'!J5,"*3"),COUNTIF('ARDT Cutter Entry'!J5,"*4"),COUNTIF('ARDT Cutter Entry'!J5,"*5"),COUNTIF('ARDT Cutter Entry'!J5,"*6"),COUNTIF('ARDT Cutter Entry'!J5,"*7"),COUNTIF('ARDT Cutter Entry'!J5,"*8"),COUNTIF('ARDT Cutter Entry'!J5,"*9")),'ARDT Cutter Entry'!J5,'ARDT Cutter Entry'!J44))),"")</f>
        <v/>
      </c>
      <c r="K17" s="244" t="str">
        <f>IF(Data!$L$32=1,IF(OR(Data!$L$2=1,Data!$L$3=1),IF(OR(Data!BZ47=0,Data!BZ47=""),"","O"&amp;Data!BZ47),IF('ARDT Cutter Entry'!$C$111&lt;&gt;"",               IF(OR(COUNTIF('ARDT Cutter Entry'!K62,"*1"),COUNTIF('ARDT Cutter Entry'!K62,"*2"),COUNTIF('ARDT Cutter Entry'!K62,"*3"),COUNTIF('ARDT Cutter Entry'!K62,"*4"),COUNTIF('ARDT Cutter Entry'!K62,"*5"),COUNTIF('ARDT Cutter Entry'!K62,"*6"),COUNTIF('ARDT Cutter Entry'!K62,"*7"),COUNTIF('ARDT Cutter Entry'!K62,"*8"),COUNTIF('ARDT Cutter Entry'!K62,"*9")),'ARDT Cutter Entry'!K62,            'ARDT Cutter Entry'!K112),            IF(OR(COUNTIF('ARDT Cutter Entry'!K5,"*1"),COUNTIF('ARDT Cutter Entry'!K5,"*2"),COUNTIF('ARDT Cutter Entry'!K5,"*3"),COUNTIF('ARDT Cutter Entry'!K5,"*4"),COUNTIF('ARDT Cutter Entry'!K5,"*5"),COUNTIF('ARDT Cutter Entry'!K5,"*6"),COUNTIF('ARDT Cutter Entry'!K5,"*7"),COUNTIF('ARDT Cutter Entry'!K5,"*8"),COUNTIF('ARDT Cutter Entry'!K5,"*9")),'ARDT Cutter Entry'!K5,'ARDT Cutter Entry'!K44))),"")</f>
        <v/>
      </c>
      <c r="L17" s="244" t="str">
        <f>IF(Data!$L$32=1,IF(OR(Data!$L$2=1,Data!$L$3=1),IF(OR(Data!CA47=0,Data!CA47=""),"","O"&amp;Data!CA47),IF('ARDT Cutter Entry'!$C$111&lt;&gt;"",               IF(OR(COUNTIF('ARDT Cutter Entry'!L62,"*1"),COUNTIF('ARDT Cutter Entry'!L62,"*2"),COUNTIF('ARDT Cutter Entry'!L62,"*3"),COUNTIF('ARDT Cutter Entry'!L62,"*4"),COUNTIF('ARDT Cutter Entry'!L62,"*5"),COUNTIF('ARDT Cutter Entry'!L62,"*6"),COUNTIF('ARDT Cutter Entry'!L62,"*7"),COUNTIF('ARDT Cutter Entry'!L62,"*8"),COUNTIF('ARDT Cutter Entry'!L62,"*9")),'ARDT Cutter Entry'!L62,            'ARDT Cutter Entry'!L112),            IF(OR(COUNTIF('ARDT Cutter Entry'!L5,"*1"),COUNTIF('ARDT Cutter Entry'!L5,"*2"),COUNTIF('ARDT Cutter Entry'!L5,"*3"),COUNTIF('ARDT Cutter Entry'!L5,"*4"),COUNTIF('ARDT Cutter Entry'!L5,"*5"),COUNTIF('ARDT Cutter Entry'!L5,"*6"),COUNTIF('ARDT Cutter Entry'!L5,"*7"),COUNTIF('ARDT Cutter Entry'!L5,"*8"),COUNTIF('ARDT Cutter Entry'!L5,"*9")),'ARDT Cutter Entry'!L5,'ARDT Cutter Entry'!L44))),"")</f>
        <v>S2</v>
      </c>
      <c r="M17" s="244" t="str">
        <f>IF(Data!$L$32=1,IF(OR(Data!$L$2=1,Data!$L$3=1),IF(OR(Data!CB47=0,Data!CB47=""),"","O"&amp;Data!CB47),IF('ARDT Cutter Entry'!$C$111&lt;&gt;"",               IF(OR(COUNTIF('ARDT Cutter Entry'!M62,"*1"),COUNTIF('ARDT Cutter Entry'!M62,"*2"),COUNTIF('ARDT Cutter Entry'!M62,"*3"),COUNTIF('ARDT Cutter Entry'!M62,"*4"),COUNTIF('ARDT Cutter Entry'!M62,"*5"),COUNTIF('ARDT Cutter Entry'!M62,"*6"),COUNTIF('ARDT Cutter Entry'!M62,"*7"),COUNTIF('ARDT Cutter Entry'!M62,"*8"),COUNTIF('ARDT Cutter Entry'!M62,"*9")),'ARDT Cutter Entry'!M62,            'ARDT Cutter Entry'!M112),            IF(OR(COUNTIF('ARDT Cutter Entry'!M5,"*1"),COUNTIF('ARDT Cutter Entry'!M5,"*2"),COUNTIF('ARDT Cutter Entry'!M5,"*3"),COUNTIF('ARDT Cutter Entry'!M5,"*4"),COUNTIF('ARDT Cutter Entry'!M5,"*5"),COUNTIF('ARDT Cutter Entry'!M5,"*6"),COUNTIF('ARDT Cutter Entry'!M5,"*7"),COUNTIF('ARDT Cutter Entry'!M5,"*8"),COUNTIF('ARDT Cutter Entry'!M5,"*9")),'ARDT Cutter Entry'!M5,'ARDT Cutter Entry'!M44))),"")</f>
        <v>R2</v>
      </c>
      <c r="N17" s="244" t="str">
        <f>IF(Data!$L$32=1,IF(OR(Data!$L$2=1,Data!$L$3=1),IF(OR(Data!CC47=0,Data!CC47=""),"","O"&amp;Data!CC47),IF('ARDT Cutter Entry'!$C$111&lt;&gt;"",               IF(OR(COUNTIF('ARDT Cutter Entry'!N62,"*1"),COUNTIF('ARDT Cutter Entry'!N62,"*2"),COUNTIF('ARDT Cutter Entry'!N62,"*3"),COUNTIF('ARDT Cutter Entry'!N62,"*4"),COUNTIF('ARDT Cutter Entry'!N62,"*5"),COUNTIF('ARDT Cutter Entry'!N62,"*6"),COUNTIF('ARDT Cutter Entry'!N62,"*7"),COUNTIF('ARDT Cutter Entry'!N62,"*8"),COUNTIF('ARDT Cutter Entry'!N62,"*9")),'ARDT Cutter Entry'!N62,            'ARDT Cutter Entry'!N112),            IF(OR(COUNTIF('ARDT Cutter Entry'!N5,"*1"),COUNTIF('ARDT Cutter Entry'!N5,"*2"),COUNTIF('ARDT Cutter Entry'!N5,"*3"),COUNTIF('ARDT Cutter Entry'!N5,"*4"),COUNTIF('ARDT Cutter Entry'!N5,"*5"),COUNTIF('ARDT Cutter Entry'!N5,"*6"),COUNTIF('ARDT Cutter Entry'!N5,"*7"),COUNTIF('ARDT Cutter Entry'!N5,"*8"),COUNTIF('ARDT Cutter Entry'!N5,"*9")),'ARDT Cutter Entry'!N5,'ARDT Cutter Entry'!N44))),"")</f>
        <v>X4</v>
      </c>
      <c r="O17" s="244" t="str">
        <f>IF(Data!$L$32=1,IF(OR(Data!$L$2=1,Data!$L$3=1),IF(OR(Data!CD47=0,Data!CD47=""),"","O"&amp;Data!CD47),IF('ARDT Cutter Entry'!$C$111&lt;&gt;"",               IF(OR(COUNTIF('ARDT Cutter Entry'!O62,"*1"),COUNTIF('ARDT Cutter Entry'!O62,"*2"),COUNTIF('ARDT Cutter Entry'!O62,"*3"),COUNTIF('ARDT Cutter Entry'!O62,"*4"),COUNTIF('ARDT Cutter Entry'!O62,"*5"),COUNTIF('ARDT Cutter Entry'!O62,"*6"),COUNTIF('ARDT Cutter Entry'!O62,"*7"),COUNTIF('ARDT Cutter Entry'!O62,"*8"),COUNTIF('ARDT Cutter Entry'!O62,"*9")),'ARDT Cutter Entry'!O62,            'ARDT Cutter Entry'!O112),            IF(OR(COUNTIF('ARDT Cutter Entry'!O5,"*1"),COUNTIF('ARDT Cutter Entry'!O5,"*2"),COUNTIF('ARDT Cutter Entry'!O5,"*3"),COUNTIF('ARDT Cutter Entry'!O5,"*4"),COUNTIF('ARDT Cutter Entry'!O5,"*5"),COUNTIF('ARDT Cutter Entry'!O5,"*6"),COUNTIF('ARDT Cutter Entry'!O5,"*7"),COUNTIF('ARDT Cutter Entry'!O5,"*8"),COUNTIF('ARDT Cutter Entry'!O5,"*9")),'ARDT Cutter Entry'!O5,'ARDT Cutter Entry'!O44))),"")</f>
        <v>R2</v>
      </c>
      <c r="P17" s="244" t="str">
        <f>IF(Data!$L$32=1,IF(OR(Data!$L$2=1,Data!$L$3=1),IF(OR(Data!CE47=0,Data!CE47=""),"","O"&amp;Data!CE47),IF('ARDT Cutter Entry'!$C$111&lt;&gt;"",               IF(OR(COUNTIF('ARDT Cutter Entry'!P62,"*1"),COUNTIF('ARDT Cutter Entry'!P62,"*2"),COUNTIF('ARDT Cutter Entry'!P62,"*3"),COUNTIF('ARDT Cutter Entry'!P62,"*4"),COUNTIF('ARDT Cutter Entry'!P62,"*5"),COUNTIF('ARDT Cutter Entry'!P62,"*6"),COUNTIF('ARDT Cutter Entry'!P62,"*7"),COUNTIF('ARDT Cutter Entry'!P62,"*8"),COUNTIF('ARDT Cutter Entry'!P62,"*9")),'ARDT Cutter Entry'!P62,            'ARDT Cutter Entry'!P112),            IF(OR(COUNTIF('ARDT Cutter Entry'!P5,"*1"),COUNTIF('ARDT Cutter Entry'!P5,"*2"),COUNTIF('ARDT Cutter Entry'!P5,"*3"),COUNTIF('ARDT Cutter Entry'!P5,"*4"),COUNTIF('ARDT Cutter Entry'!P5,"*5"),COUNTIF('ARDT Cutter Entry'!P5,"*6"),COUNTIF('ARDT Cutter Entry'!P5,"*7"),COUNTIF('ARDT Cutter Entry'!P5,"*8"),COUNTIF('ARDT Cutter Entry'!P5,"*9")),'ARDT Cutter Entry'!P5,'ARDT Cutter Entry'!P44))),"")</f>
        <v/>
      </c>
      <c r="Q17" s="244" t="str">
        <f>IF(Data!$L$32=1,IF(OR(Data!$L$2=1,Data!$L$3=1),IF(OR(Data!CF47=0,Data!CF47=""),"","O"&amp;Data!CF47),IF('ARDT Cutter Entry'!$C$111&lt;&gt;"",               IF(OR(COUNTIF('ARDT Cutter Entry'!Q62,"*1"),COUNTIF('ARDT Cutter Entry'!Q62,"*2"),COUNTIF('ARDT Cutter Entry'!Q62,"*3"),COUNTIF('ARDT Cutter Entry'!Q62,"*4"),COUNTIF('ARDT Cutter Entry'!Q62,"*5"),COUNTIF('ARDT Cutter Entry'!Q62,"*6"),COUNTIF('ARDT Cutter Entry'!Q62,"*7"),COUNTIF('ARDT Cutter Entry'!Q62,"*8"),COUNTIF('ARDT Cutter Entry'!Q62,"*9")),'ARDT Cutter Entry'!Q62,            'ARDT Cutter Entry'!Q112),            IF(OR(COUNTIF('ARDT Cutter Entry'!Q5,"*1"),COUNTIF('ARDT Cutter Entry'!Q5,"*2"),COUNTIF('ARDT Cutter Entry'!Q5,"*3"),COUNTIF('ARDT Cutter Entry'!Q5,"*4"),COUNTIF('ARDT Cutter Entry'!Q5,"*5"),COUNTIF('ARDT Cutter Entry'!Q5,"*6"),COUNTIF('ARDT Cutter Entry'!Q5,"*7"),COUNTIF('ARDT Cutter Entry'!Q5,"*8"),COUNTIF('ARDT Cutter Entry'!Q5,"*9")),'ARDT Cutter Entry'!Q5,'ARDT Cutter Entry'!Q44))),"")</f>
        <v/>
      </c>
      <c r="R17" s="244" t="str">
        <f>IF(Data!$L$32=1,IF(OR(Data!$L$2=1,Data!$L$3=1),IF(OR(Data!CG47=0,Data!CG47=""),"","O"&amp;Data!CG47),IF('ARDT Cutter Entry'!$C$111&lt;&gt;"",               IF(OR(COUNTIF('ARDT Cutter Entry'!R62,"*1"),COUNTIF('ARDT Cutter Entry'!R62,"*2"),COUNTIF('ARDT Cutter Entry'!R62,"*3"),COUNTIF('ARDT Cutter Entry'!R62,"*4"),COUNTIF('ARDT Cutter Entry'!R62,"*5"),COUNTIF('ARDT Cutter Entry'!R62,"*6"),COUNTIF('ARDT Cutter Entry'!R62,"*7"),COUNTIF('ARDT Cutter Entry'!R62,"*8"),COUNTIF('ARDT Cutter Entry'!R62,"*9")),'ARDT Cutter Entry'!R62,            'ARDT Cutter Entry'!R112),            IF(OR(COUNTIF('ARDT Cutter Entry'!R5,"*1"),COUNTIF('ARDT Cutter Entry'!R5,"*2"),COUNTIF('ARDT Cutter Entry'!R5,"*3"),COUNTIF('ARDT Cutter Entry'!R5,"*4"),COUNTIF('ARDT Cutter Entry'!R5,"*5"),COUNTIF('ARDT Cutter Entry'!R5,"*6"),COUNTIF('ARDT Cutter Entry'!R5,"*7"),COUNTIF('ARDT Cutter Entry'!R5,"*8"),COUNTIF('ARDT Cutter Entry'!R5,"*9")),'ARDT Cutter Entry'!R5,'ARDT Cutter Entry'!R44))),"")</f>
        <v/>
      </c>
      <c r="S17" s="244" t="str">
        <f>IF(Data!$L$32=1,IF(OR(Data!$L$2=1,Data!$L$3=1),IF(OR(Data!CH47=0,Data!CH47=""),"","O"&amp;Data!CH47),IF('ARDT Cutter Entry'!$C$111&lt;&gt;"",               IF(OR(COUNTIF('ARDT Cutter Entry'!S62,"*1"),COUNTIF('ARDT Cutter Entry'!S62,"*2"),COUNTIF('ARDT Cutter Entry'!S62,"*3"),COUNTIF('ARDT Cutter Entry'!S62,"*4"),COUNTIF('ARDT Cutter Entry'!S62,"*5"),COUNTIF('ARDT Cutter Entry'!S62,"*6"),COUNTIF('ARDT Cutter Entry'!S62,"*7"),COUNTIF('ARDT Cutter Entry'!S62,"*8"),COUNTIF('ARDT Cutter Entry'!S62,"*9")),'ARDT Cutter Entry'!S62,            'ARDT Cutter Entry'!S112),            IF(OR(COUNTIF('ARDT Cutter Entry'!S5,"*1"),COUNTIF('ARDT Cutter Entry'!S5,"*2"),COUNTIF('ARDT Cutter Entry'!S5,"*3"),COUNTIF('ARDT Cutter Entry'!S5,"*4"),COUNTIF('ARDT Cutter Entry'!S5,"*5"),COUNTIF('ARDT Cutter Entry'!S5,"*6"),COUNTIF('ARDT Cutter Entry'!S5,"*7"),COUNTIF('ARDT Cutter Entry'!S5,"*8"),COUNTIF('ARDT Cutter Entry'!S5,"*9")),'ARDT Cutter Entry'!S5,'ARDT Cutter Entry'!S44))),"")</f>
        <v/>
      </c>
      <c r="T17" s="244" t="str">
        <f>IF(Data!$L$32=1,IF(OR(Data!$L$2=1,Data!$L$3=1),IF(OR(Data!CI47=0,Data!CI47=""),"","O"&amp;Data!CI47),IF('ARDT Cutter Entry'!$C$111&lt;&gt;"",               IF(OR(COUNTIF('ARDT Cutter Entry'!T62,"*1"),COUNTIF('ARDT Cutter Entry'!T62,"*2"),COUNTIF('ARDT Cutter Entry'!T62,"*3"),COUNTIF('ARDT Cutter Entry'!T62,"*4"),COUNTIF('ARDT Cutter Entry'!T62,"*5"),COUNTIF('ARDT Cutter Entry'!T62,"*6"),COUNTIF('ARDT Cutter Entry'!T62,"*7"),COUNTIF('ARDT Cutter Entry'!T62,"*8"),COUNTIF('ARDT Cutter Entry'!T62,"*9")),'ARDT Cutter Entry'!T62,            'ARDT Cutter Entry'!T112),            IF(OR(COUNTIF('ARDT Cutter Entry'!T5,"*1"),COUNTIF('ARDT Cutter Entry'!T5,"*2"),COUNTIF('ARDT Cutter Entry'!T5,"*3"),COUNTIF('ARDT Cutter Entry'!T5,"*4"),COUNTIF('ARDT Cutter Entry'!T5,"*5"),COUNTIF('ARDT Cutter Entry'!T5,"*6"),COUNTIF('ARDT Cutter Entry'!T5,"*7"),COUNTIF('ARDT Cutter Entry'!T5,"*8"),COUNTIF('ARDT Cutter Entry'!T5,"*9")),'ARDT Cutter Entry'!T5,'ARDT Cutter Entry'!T44))),"")</f>
        <v/>
      </c>
      <c r="U17" s="244" t="str">
        <f>IF(Data!$L$32=1,IF(OR(Data!$L$2=1,Data!$L$3=1),IF(OR(Data!CJ47=0,Data!CJ47=""),"","O"&amp;Data!CJ47),IF('ARDT Cutter Entry'!$C$111&lt;&gt;"",               IF(OR(COUNTIF('ARDT Cutter Entry'!U62,"*1"),COUNTIF('ARDT Cutter Entry'!U62,"*2"),COUNTIF('ARDT Cutter Entry'!U62,"*3"),COUNTIF('ARDT Cutter Entry'!U62,"*4"),COUNTIF('ARDT Cutter Entry'!U62,"*5"),COUNTIF('ARDT Cutter Entry'!U62,"*6"),COUNTIF('ARDT Cutter Entry'!U62,"*7"),COUNTIF('ARDT Cutter Entry'!U62,"*8"),COUNTIF('ARDT Cutter Entry'!U62,"*9")),'ARDT Cutter Entry'!U62,            'ARDT Cutter Entry'!U112),            IF(OR(COUNTIF('ARDT Cutter Entry'!U5,"*1"),COUNTIF('ARDT Cutter Entry'!U5,"*2"),COUNTIF('ARDT Cutter Entry'!U5,"*3"),COUNTIF('ARDT Cutter Entry'!U5,"*4"),COUNTIF('ARDT Cutter Entry'!U5,"*5"),COUNTIF('ARDT Cutter Entry'!U5,"*6"),COUNTIF('ARDT Cutter Entry'!U5,"*7"),COUNTIF('ARDT Cutter Entry'!U5,"*8"),COUNTIF('ARDT Cutter Entry'!U5,"*9")),'ARDT Cutter Entry'!U5,'ARDT Cutter Entry'!U44))),"")</f>
        <v/>
      </c>
      <c r="V17" s="244" t="str">
        <f>IF(Data!$L$32=1,IF(OR(Data!$L$2=1,Data!$L$3=1),IF(OR(Data!CK47=0,Data!CK47=""),"","O"&amp;Data!CK47),IF('ARDT Cutter Entry'!$C$111&lt;&gt;"",               IF(OR(COUNTIF('ARDT Cutter Entry'!V62,"*1"),COUNTIF('ARDT Cutter Entry'!V62,"*2"),COUNTIF('ARDT Cutter Entry'!V62,"*3"),COUNTIF('ARDT Cutter Entry'!V62,"*4"),COUNTIF('ARDT Cutter Entry'!V62,"*5"),COUNTIF('ARDT Cutter Entry'!V62,"*6"),COUNTIF('ARDT Cutter Entry'!V62,"*7"),COUNTIF('ARDT Cutter Entry'!V62,"*8"),COUNTIF('ARDT Cutter Entry'!V62,"*9")),'ARDT Cutter Entry'!V62,            'ARDT Cutter Entry'!V112),            IF(OR(COUNTIF('ARDT Cutter Entry'!V5,"*1"),COUNTIF('ARDT Cutter Entry'!V5,"*2"),COUNTIF('ARDT Cutter Entry'!V5,"*3"),COUNTIF('ARDT Cutter Entry'!V5,"*4"),COUNTIF('ARDT Cutter Entry'!V5,"*5"),COUNTIF('ARDT Cutter Entry'!V5,"*6"),COUNTIF('ARDT Cutter Entry'!V5,"*7"),COUNTIF('ARDT Cutter Entry'!V5,"*8"),COUNTIF('ARDT Cutter Entry'!V5,"*9")),'ARDT Cutter Entry'!V5,'ARDT Cutter Entry'!V44))),"")</f>
        <v/>
      </c>
      <c r="W17" s="244" t="str">
        <f>IF(Data!$L$32=1,IF(OR(Data!$L$2=1,Data!$L$3=1),IF(OR(Data!CL47=0,Data!CL47=""),"","O"&amp;Data!CL47),IF('ARDT Cutter Entry'!$C$111&lt;&gt;"",               IF(OR(COUNTIF('ARDT Cutter Entry'!W62,"*1"),COUNTIF('ARDT Cutter Entry'!W62,"*2"),COUNTIF('ARDT Cutter Entry'!W62,"*3"),COUNTIF('ARDT Cutter Entry'!W62,"*4"),COUNTIF('ARDT Cutter Entry'!W62,"*5"),COUNTIF('ARDT Cutter Entry'!W62,"*6"),COUNTIF('ARDT Cutter Entry'!W62,"*7"),COUNTIF('ARDT Cutter Entry'!W62,"*8"),COUNTIF('ARDT Cutter Entry'!W62,"*9")),'ARDT Cutter Entry'!W62,            'ARDT Cutter Entry'!W112),            IF(OR(COUNTIF('ARDT Cutter Entry'!W5,"*1"),COUNTIF('ARDT Cutter Entry'!W5,"*2"),COUNTIF('ARDT Cutter Entry'!W5,"*3"),COUNTIF('ARDT Cutter Entry'!W5,"*4"),COUNTIF('ARDT Cutter Entry'!W5,"*5"),COUNTIF('ARDT Cutter Entry'!W5,"*6"),COUNTIF('ARDT Cutter Entry'!W5,"*7"),COUNTIF('ARDT Cutter Entry'!W5,"*8"),COUNTIF('ARDT Cutter Entry'!W5,"*9")),'ARDT Cutter Entry'!W5,'ARDT Cutter Entry'!W44))),"")</f>
        <v/>
      </c>
      <c r="X17" s="244" t="str">
        <f>IF(Data!$L$32=1,IF(OR(Data!$L$2=1,Data!$L$3=1),IF(OR(Data!CM47=0,Data!CM47=""),"","O"&amp;Data!CM47),IF('ARDT Cutter Entry'!$C$111&lt;&gt;"",               IF(OR(COUNTIF('ARDT Cutter Entry'!X62,"*1"),COUNTIF('ARDT Cutter Entry'!X62,"*2"),COUNTIF('ARDT Cutter Entry'!X62,"*3"),COUNTIF('ARDT Cutter Entry'!X62,"*4"),COUNTIF('ARDT Cutter Entry'!X62,"*5"),COUNTIF('ARDT Cutter Entry'!X62,"*6"),COUNTIF('ARDT Cutter Entry'!X62,"*7"),COUNTIF('ARDT Cutter Entry'!X62,"*8"),COUNTIF('ARDT Cutter Entry'!X62,"*9")),'ARDT Cutter Entry'!X62,            'ARDT Cutter Entry'!X112),            IF(OR(COUNTIF('ARDT Cutter Entry'!X5,"*1"),COUNTIF('ARDT Cutter Entry'!X5,"*2"),COUNTIF('ARDT Cutter Entry'!X5,"*3"),COUNTIF('ARDT Cutter Entry'!X5,"*4"),COUNTIF('ARDT Cutter Entry'!X5,"*5"),COUNTIF('ARDT Cutter Entry'!X5,"*6"),COUNTIF('ARDT Cutter Entry'!X5,"*7"),COUNTIF('ARDT Cutter Entry'!X5,"*8"),COUNTIF('ARDT Cutter Entry'!X5,"*9")),'ARDT Cutter Entry'!X5,'ARDT Cutter Entry'!X44))),"")</f>
        <v/>
      </c>
      <c r="Y17" s="244" t="str">
        <f>IF(Data!$L$32=1,IF(OR(Data!$L$2=1,Data!$L$3=1),IF(OR(Data!CN47=0,Data!CN47=""),"","O"&amp;Data!CN47),IF('ARDT Cutter Entry'!$C$111&lt;&gt;"",               IF(OR(COUNTIF('ARDT Cutter Entry'!Y62,"*1"),COUNTIF('ARDT Cutter Entry'!Y62,"*2"),COUNTIF('ARDT Cutter Entry'!Y62,"*3"),COUNTIF('ARDT Cutter Entry'!Y62,"*4"),COUNTIF('ARDT Cutter Entry'!Y62,"*5"),COUNTIF('ARDT Cutter Entry'!Y62,"*6"),COUNTIF('ARDT Cutter Entry'!Y62,"*7"),COUNTIF('ARDT Cutter Entry'!Y62,"*8"),COUNTIF('ARDT Cutter Entry'!Y62,"*9")),'ARDT Cutter Entry'!Y62,            'ARDT Cutter Entry'!Y112),            IF(OR(COUNTIF('ARDT Cutter Entry'!Y5,"*1"),COUNTIF('ARDT Cutter Entry'!Y5,"*2"),COUNTIF('ARDT Cutter Entry'!Y5,"*3"),COUNTIF('ARDT Cutter Entry'!Y5,"*4"),COUNTIF('ARDT Cutter Entry'!Y5,"*5"),COUNTIF('ARDT Cutter Entry'!Y5,"*6"),COUNTIF('ARDT Cutter Entry'!Y5,"*7"),COUNTIF('ARDT Cutter Entry'!Y5,"*8"),COUNTIF('ARDT Cutter Entry'!Y5,"*9")),'ARDT Cutter Entry'!Y5,'ARDT Cutter Entry'!Y44))),"")</f>
        <v/>
      </c>
      <c r="Z17" s="244" t="str">
        <f>IF(Data!$L$32=1,IF(OR(Data!$L$2=1,Data!$L$3=1),IF(OR(Data!CO47=0,Data!CO47=""),"","O"&amp;Data!CO47),IF('ARDT Cutter Entry'!$C$111&lt;&gt;"",               IF(OR(COUNTIF('ARDT Cutter Entry'!Z62,"*1"),COUNTIF('ARDT Cutter Entry'!Z62,"*2"),COUNTIF('ARDT Cutter Entry'!Z62,"*3"),COUNTIF('ARDT Cutter Entry'!Z62,"*4"),COUNTIF('ARDT Cutter Entry'!Z62,"*5"),COUNTIF('ARDT Cutter Entry'!Z62,"*6"),COUNTIF('ARDT Cutter Entry'!Z62,"*7"),COUNTIF('ARDT Cutter Entry'!Z62,"*8"),COUNTIF('ARDT Cutter Entry'!Z62,"*9")),'ARDT Cutter Entry'!Z62,            'ARDT Cutter Entry'!Z112),            IF(OR(COUNTIF('ARDT Cutter Entry'!Z5,"*1"),COUNTIF('ARDT Cutter Entry'!Z5,"*2"),COUNTIF('ARDT Cutter Entry'!Z5,"*3"),COUNTIF('ARDT Cutter Entry'!Z5,"*4"),COUNTIF('ARDT Cutter Entry'!Z5,"*5"),COUNTIF('ARDT Cutter Entry'!Z5,"*6"),COUNTIF('ARDT Cutter Entry'!Z5,"*7"),COUNTIF('ARDT Cutter Entry'!Z5,"*8"),COUNTIF('ARDT Cutter Entry'!Z5,"*9")),'ARDT Cutter Entry'!Z5,'ARDT Cutter Entry'!Z44))),"")</f>
        <v/>
      </c>
      <c r="AA17" s="1056" t="str">
        <f>IF(Data!$L$32=1,IF(OR(Data!$L$2=1,Data!$L$3=1),IF(OR(Data!CP47=0,Data!CP47=""),"","O"&amp;Data!CP47),IF('ARDT Cutter Entry'!$C$111&lt;&gt;"",               IF(OR(COUNTIF('ARDT Cutter Entry'!AA62,"*1"),COUNTIF('ARDT Cutter Entry'!AA62,"*2"),COUNTIF('ARDT Cutter Entry'!AA62,"*3"),COUNTIF('ARDT Cutter Entry'!AA62,"*4"),COUNTIF('ARDT Cutter Entry'!AA62,"*5"),COUNTIF('ARDT Cutter Entry'!AA62,"*6"),COUNTIF('ARDT Cutter Entry'!AA62,"*7"),COUNTIF('ARDT Cutter Entry'!AA62,"*8"),COUNTIF('ARDT Cutter Entry'!AA62,"*9")),'ARDT Cutter Entry'!AA62,            'ARDT Cutter Entry'!AA112),            IF(OR(COUNTIF('ARDT Cutter Entry'!AA5,"*1"),COUNTIF('ARDT Cutter Entry'!AA5,"*2"),COUNTIF('ARDT Cutter Entry'!AA5,"*3"),COUNTIF('ARDT Cutter Entry'!AA5,"*4"),COUNTIF('ARDT Cutter Entry'!AA5,"*5"),COUNTIF('ARDT Cutter Entry'!AA5,"*6"),COUNTIF('ARDT Cutter Entry'!AA5,"*7"),COUNTIF('ARDT Cutter Entry'!AA5,"*8"),COUNTIF('ARDT Cutter Entry'!AA5,"*9")),'ARDT Cutter Entry'!AA5,'ARDT Cutter Entry'!AA44))),"")</f>
        <v/>
      </c>
    </row>
    <row r="18" spans="1:27" ht="16" customHeight="1" x14ac:dyDescent="0.35">
      <c r="A18" s="1825"/>
      <c r="B18" s="446">
        <v>3</v>
      </c>
      <c r="C18" s="230" t="str">
        <f>IF(Data!$L$32=1,IF(OR(Data!$L$2=1,Data!$L$3=1),IF(OR(Data!BR48=0,Data!BR48=""),"","O"&amp;Data!BR48),IF('ARDT Cutter Entry'!$C$111&lt;&gt;"",               IF(OR(COUNTIF('ARDT Cutter Entry'!C63,"*1"),COUNTIF('ARDT Cutter Entry'!C63,"*2"),COUNTIF('ARDT Cutter Entry'!C63,"*3"),COUNTIF('ARDT Cutter Entry'!C63,"*4"),COUNTIF('ARDT Cutter Entry'!C63,"*5"),COUNTIF('ARDT Cutter Entry'!C63,"*6"),COUNTIF('ARDT Cutter Entry'!C63,"*7"),COUNTIF('ARDT Cutter Entry'!C63,"*8"),COUNTIF('ARDT Cutter Entry'!C63,"*9")),'ARDT Cutter Entry'!C63,            'ARDT Cutter Entry'!C113),            IF(OR(COUNTIF('ARDT Cutter Entry'!C6,"*1"),COUNTIF('ARDT Cutter Entry'!C6,"*2"),COUNTIF('ARDT Cutter Entry'!C6,"*3"),COUNTIF('ARDT Cutter Entry'!C6,"*4"),COUNTIF('ARDT Cutter Entry'!C6,"*5"),COUNTIF('ARDT Cutter Entry'!C6,"*6"),COUNTIF('ARDT Cutter Entry'!C6,"*7"),COUNTIF('ARDT Cutter Entry'!C6,"*8"),COUNTIF('ARDT Cutter Entry'!C6,"*9")),'ARDT Cutter Entry'!C6,'ARDT Cutter Entry'!C45))),"")</f>
        <v>R1</v>
      </c>
      <c r="D18" s="244" t="str">
        <f>IF(Data!$L$32=1,IF(OR(Data!$L$2=1,Data!$L$3=1),IF(OR(Data!BS48=0,Data!BS48=""),"","O"&amp;Data!BS48),IF('ARDT Cutter Entry'!$C$111&lt;&gt;"",               IF(OR(COUNTIF('ARDT Cutter Entry'!D63,"*1"),COUNTIF('ARDT Cutter Entry'!D63,"*2"),COUNTIF('ARDT Cutter Entry'!D63,"*3"),COUNTIF('ARDT Cutter Entry'!D63,"*4"),COUNTIF('ARDT Cutter Entry'!D63,"*5"),COUNTIF('ARDT Cutter Entry'!D63,"*6"),COUNTIF('ARDT Cutter Entry'!D63,"*7"),COUNTIF('ARDT Cutter Entry'!D63,"*8"),COUNTIF('ARDT Cutter Entry'!D63,"*9")),'ARDT Cutter Entry'!D63,            'ARDT Cutter Entry'!D113),            IF(OR(COUNTIF('ARDT Cutter Entry'!D6,"*1"),COUNTIF('ARDT Cutter Entry'!D6,"*2"),COUNTIF('ARDT Cutter Entry'!D6,"*3"),COUNTIF('ARDT Cutter Entry'!D6,"*4"),COUNTIF('ARDT Cutter Entry'!D6,"*5"),COUNTIF('ARDT Cutter Entry'!D6,"*6"),COUNTIF('ARDT Cutter Entry'!D6,"*7"),COUNTIF('ARDT Cutter Entry'!D6,"*8"),COUNTIF('ARDT Cutter Entry'!D6,"*9")),'ARDT Cutter Entry'!D6,'ARDT Cutter Entry'!D45))),"")</f>
        <v>R1</v>
      </c>
      <c r="E18" s="244" t="str">
        <f>IF(Data!$L$32=1,IF(OR(Data!$L$2=1,Data!$L$3=1),IF(OR(Data!BT48=0,Data!BT48=""),"","O"&amp;Data!BT48),IF('ARDT Cutter Entry'!$C$111&lt;&gt;"",               IF(OR(COUNTIF('ARDT Cutter Entry'!E63,"*1"),COUNTIF('ARDT Cutter Entry'!E63,"*2"),COUNTIF('ARDT Cutter Entry'!E63,"*3"),COUNTIF('ARDT Cutter Entry'!E63,"*4"),COUNTIF('ARDT Cutter Entry'!E63,"*5"),COUNTIF('ARDT Cutter Entry'!E63,"*6"),COUNTIF('ARDT Cutter Entry'!E63,"*7"),COUNTIF('ARDT Cutter Entry'!E63,"*8"),COUNTIF('ARDT Cutter Entry'!E63,"*9")),'ARDT Cutter Entry'!E63,            'ARDT Cutter Entry'!E113),            IF(OR(COUNTIF('ARDT Cutter Entry'!E6,"*1"),COUNTIF('ARDT Cutter Entry'!E6,"*2"),COUNTIF('ARDT Cutter Entry'!E6,"*3"),COUNTIF('ARDT Cutter Entry'!E6,"*4"),COUNTIF('ARDT Cutter Entry'!E6,"*5"),COUNTIF('ARDT Cutter Entry'!E6,"*6"),COUNTIF('ARDT Cutter Entry'!E6,"*7"),COUNTIF('ARDT Cutter Entry'!E6,"*8"),COUNTIF('ARDT Cutter Entry'!E6,"*9")),'ARDT Cutter Entry'!E6,'ARDT Cutter Entry'!E45))),"")</f>
        <v>R1</v>
      </c>
      <c r="F18" s="244" t="str">
        <f>IF(Data!$L$32=1,IF(OR(Data!$L$2=1,Data!$L$3=1),IF(OR(Data!BU48=0,Data!BU48=""),"","O"&amp;Data!BU48),IF('ARDT Cutter Entry'!$C$111&lt;&gt;"",               IF(OR(COUNTIF('ARDT Cutter Entry'!F63,"*1"),COUNTIF('ARDT Cutter Entry'!F63,"*2"),COUNTIF('ARDT Cutter Entry'!F63,"*3"),COUNTIF('ARDT Cutter Entry'!F63,"*4"),COUNTIF('ARDT Cutter Entry'!F63,"*5"),COUNTIF('ARDT Cutter Entry'!F63,"*6"),COUNTIF('ARDT Cutter Entry'!F63,"*7"),COUNTIF('ARDT Cutter Entry'!F63,"*8"),COUNTIF('ARDT Cutter Entry'!F63,"*9")),'ARDT Cutter Entry'!F63,            'ARDT Cutter Entry'!F113),            IF(OR(COUNTIF('ARDT Cutter Entry'!F6,"*1"),COUNTIF('ARDT Cutter Entry'!F6,"*2"),COUNTIF('ARDT Cutter Entry'!F6,"*3"),COUNTIF('ARDT Cutter Entry'!F6,"*4"),COUNTIF('ARDT Cutter Entry'!F6,"*5"),COUNTIF('ARDT Cutter Entry'!F6,"*6"),COUNTIF('ARDT Cutter Entry'!F6,"*7"),COUNTIF('ARDT Cutter Entry'!F6,"*8"),COUNTIF('ARDT Cutter Entry'!F6,"*9")),'ARDT Cutter Entry'!F6,'ARDT Cutter Entry'!F45))),"")</f>
        <v>X5</v>
      </c>
      <c r="G18" s="244" t="str">
        <f>IF(Data!$L$32=1,IF(OR(Data!$L$2=1,Data!$L$3=1),IF(OR(Data!BV48=0,Data!BV48=""),"","O"&amp;Data!BV48),IF('ARDT Cutter Entry'!$C$111&lt;&gt;"",               IF(OR(COUNTIF('ARDT Cutter Entry'!G63,"*1"),COUNTIF('ARDT Cutter Entry'!G63,"*2"),COUNTIF('ARDT Cutter Entry'!G63,"*3"),COUNTIF('ARDT Cutter Entry'!G63,"*4"),COUNTIF('ARDT Cutter Entry'!G63,"*5"),COUNTIF('ARDT Cutter Entry'!G63,"*6"),COUNTIF('ARDT Cutter Entry'!G63,"*7"),COUNTIF('ARDT Cutter Entry'!G63,"*8"),COUNTIF('ARDT Cutter Entry'!G63,"*9")),'ARDT Cutter Entry'!G63,            'ARDT Cutter Entry'!G113),            IF(OR(COUNTIF('ARDT Cutter Entry'!G6,"*1"),COUNTIF('ARDT Cutter Entry'!G6,"*2"),COUNTIF('ARDT Cutter Entry'!G6,"*3"),COUNTIF('ARDT Cutter Entry'!G6,"*4"),COUNTIF('ARDT Cutter Entry'!G6,"*5"),COUNTIF('ARDT Cutter Entry'!G6,"*6"),COUNTIF('ARDT Cutter Entry'!G6,"*7"),COUNTIF('ARDT Cutter Entry'!G6,"*8"),COUNTIF('ARDT Cutter Entry'!G6,"*9")),'ARDT Cutter Entry'!G6,'ARDT Cutter Entry'!G45))),"")</f>
        <v>X5</v>
      </c>
      <c r="H18" s="244" t="str">
        <f>IF(Data!$L$32=1,IF(OR(Data!$L$2=1,Data!$L$3=1),IF(OR(Data!BW48=0,Data!BW48=""),"","O"&amp;Data!BW48),IF('ARDT Cutter Entry'!$C$111&lt;&gt;"",               IF(OR(COUNTIF('ARDT Cutter Entry'!H63,"*1"),COUNTIF('ARDT Cutter Entry'!H63,"*2"),COUNTIF('ARDT Cutter Entry'!H63,"*3"),COUNTIF('ARDT Cutter Entry'!H63,"*4"),COUNTIF('ARDT Cutter Entry'!H63,"*5"),COUNTIF('ARDT Cutter Entry'!H63,"*6"),COUNTIF('ARDT Cutter Entry'!H63,"*7"),COUNTIF('ARDT Cutter Entry'!H63,"*8"),COUNTIF('ARDT Cutter Entry'!H63,"*9")),'ARDT Cutter Entry'!H63,            'ARDT Cutter Entry'!H113),            IF(OR(COUNTIF('ARDT Cutter Entry'!H6,"*1"),COUNTIF('ARDT Cutter Entry'!H6,"*2"),COUNTIF('ARDT Cutter Entry'!H6,"*3"),COUNTIF('ARDT Cutter Entry'!H6,"*4"),COUNTIF('ARDT Cutter Entry'!H6,"*5"),COUNTIF('ARDT Cutter Entry'!H6,"*6"),COUNTIF('ARDT Cutter Entry'!H6,"*7"),COUNTIF('ARDT Cutter Entry'!H6,"*8"),COUNTIF('ARDT Cutter Entry'!H6,"*9")),'ARDT Cutter Entry'!H6,'ARDT Cutter Entry'!H45))),"")</f>
        <v>X5</v>
      </c>
      <c r="I18" s="244" t="str">
        <f>IF(Data!$L$32=1,IF(OR(Data!$L$2=1,Data!$L$3=1),IF(OR(Data!BX48=0,Data!BX48=""),"","O"&amp;Data!BX48),IF('ARDT Cutter Entry'!$C$111&lt;&gt;"",               IF(OR(COUNTIF('ARDT Cutter Entry'!I63,"*1"),COUNTIF('ARDT Cutter Entry'!I63,"*2"),COUNTIF('ARDT Cutter Entry'!I63,"*3"),COUNTIF('ARDT Cutter Entry'!I63,"*4"),COUNTIF('ARDT Cutter Entry'!I63,"*5"),COUNTIF('ARDT Cutter Entry'!I63,"*6"),COUNTIF('ARDT Cutter Entry'!I63,"*7"),COUNTIF('ARDT Cutter Entry'!I63,"*8"),COUNTIF('ARDT Cutter Entry'!I63,"*9")),'ARDT Cutter Entry'!I63,            'ARDT Cutter Entry'!I113),            IF(OR(COUNTIF('ARDT Cutter Entry'!I6,"*1"),COUNTIF('ARDT Cutter Entry'!I6,"*2"),COUNTIF('ARDT Cutter Entry'!I6,"*3"),COUNTIF('ARDT Cutter Entry'!I6,"*4"),COUNTIF('ARDT Cutter Entry'!I6,"*5"),COUNTIF('ARDT Cutter Entry'!I6,"*6"),COUNTIF('ARDT Cutter Entry'!I6,"*7"),COUNTIF('ARDT Cutter Entry'!I6,"*8"),COUNTIF('ARDT Cutter Entry'!I6,"*9")),'ARDT Cutter Entry'!I6,'ARDT Cutter Entry'!I45))),"")</f>
        <v>X3</v>
      </c>
      <c r="J18" s="244" t="str">
        <f>IF(Data!$L$32=1,IF(OR(Data!$L$2=1,Data!$L$3=1),IF(OR(Data!BY48=0,Data!BY48=""),"","O"&amp;Data!BY48),IF('ARDT Cutter Entry'!$C$111&lt;&gt;"",               IF(OR(COUNTIF('ARDT Cutter Entry'!J63,"*1"),COUNTIF('ARDT Cutter Entry'!J63,"*2"),COUNTIF('ARDT Cutter Entry'!J63,"*3"),COUNTIF('ARDT Cutter Entry'!J63,"*4"),COUNTIF('ARDT Cutter Entry'!J63,"*5"),COUNTIF('ARDT Cutter Entry'!J63,"*6"),COUNTIF('ARDT Cutter Entry'!J63,"*7"),COUNTIF('ARDT Cutter Entry'!J63,"*8"),COUNTIF('ARDT Cutter Entry'!J63,"*9")),'ARDT Cutter Entry'!J63,            'ARDT Cutter Entry'!J113),            IF(OR(COUNTIF('ARDT Cutter Entry'!J6,"*1"),COUNTIF('ARDT Cutter Entry'!J6,"*2"),COUNTIF('ARDT Cutter Entry'!J6,"*3"),COUNTIF('ARDT Cutter Entry'!J6,"*4"),COUNTIF('ARDT Cutter Entry'!J6,"*5"),COUNTIF('ARDT Cutter Entry'!J6,"*6"),COUNTIF('ARDT Cutter Entry'!J6,"*7"),COUNTIF('ARDT Cutter Entry'!J6,"*8"),COUNTIF('ARDT Cutter Entry'!J6,"*9")),'ARDT Cutter Entry'!J6,'ARDT Cutter Entry'!J45))),"")</f>
        <v/>
      </c>
      <c r="K18" s="244" t="str">
        <f>IF(Data!$L$32=1,IF(OR(Data!$L$2=1,Data!$L$3=1),IF(OR(Data!BZ48=0,Data!BZ48=""),"","O"&amp;Data!BZ48),IF('ARDT Cutter Entry'!$C$111&lt;&gt;"",               IF(OR(COUNTIF('ARDT Cutter Entry'!K63,"*1"),COUNTIF('ARDT Cutter Entry'!K63,"*2"),COUNTIF('ARDT Cutter Entry'!K63,"*3"),COUNTIF('ARDT Cutter Entry'!K63,"*4"),COUNTIF('ARDT Cutter Entry'!K63,"*5"),COUNTIF('ARDT Cutter Entry'!K63,"*6"),COUNTIF('ARDT Cutter Entry'!K63,"*7"),COUNTIF('ARDT Cutter Entry'!K63,"*8"),COUNTIF('ARDT Cutter Entry'!K63,"*9")),'ARDT Cutter Entry'!K63,            'ARDT Cutter Entry'!K113),            IF(OR(COUNTIF('ARDT Cutter Entry'!K6,"*1"),COUNTIF('ARDT Cutter Entry'!K6,"*2"),COUNTIF('ARDT Cutter Entry'!K6,"*3"),COUNTIF('ARDT Cutter Entry'!K6,"*4"),COUNTIF('ARDT Cutter Entry'!K6,"*5"),COUNTIF('ARDT Cutter Entry'!K6,"*6"),COUNTIF('ARDT Cutter Entry'!K6,"*7"),COUNTIF('ARDT Cutter Entry'!K6,"*8"),COUNTIF('ARDT Cutter Entry'!K6,"*9")),'ARDT Cutter Entry'!K6,'ARDT Cutter Entry'!K45))),"")</f>
        <v/>
      </c>
      <c r="L18" s="244" t="str">
        <f>IF(Data!$L$32=1,IF(OR(Data!$L$2=1,Data!$L$3=1),IF(OR(Data!CA48=0,Data!CA48=""),"","O"&amp;Data!CA48),IF('ARDT Cutter Entry'!$C$111&lt;&gt;"",               IF(OR(COUNTIF('ARDT Cutter Entry'!L63,"*1"),COUNTIF('ARDT Cutter Entry'!L63,"*2"),COUNTIF('ARDT Cutter Entry'!L63,"*3"),COUNTIF('ARDT Cutter Entry'!L63,"*4"),COUNTIF('ARDT Cutter Entry'!L63,"*5"),COUNTIF('ARDT Cutter Entry'!L63,"*6"),COUNTIF('ARDT Cutter Entry'!L63,"*7"),COUNTIF('ARDT Cutter Entry'!L63,"*8"),COUNTIF('ARDT Cutter Entry'!L63,"*9")),'ARDT Cutter Entry'!L63,            'ARDT Cutter Entry'!L113),            IF(OR(COUNTIF('ARDT Cutter Entry'!L6,"*1"),COUNTIF('ARDT Cutter Entry'!L6,"*2"),COUNTIF('ARDT Cutter Entry'!L6,"*3"),COUNTIF('ARDT Cutter Entry'!L6,"*4"),COUNTIF('ARDT Cutter Entry'!L6,"*5"),COUNTIF('ARDT Cutter Entry'!L6,"*6"),COUNTIF('ARDT Cutter Entry'!L6,"*7"),COUNTIF('ARDT Cutter Entry'!L6,"*8"),COUNTIF('ARDT Cutter Entry'!L6,"*9")),'ARDT Cutter Entry'!L6,'ARDT Cutter Entry'!L45))),"")</f>
        <v>R2</v>
      </c>
      <c r="M18" s="244" t="str">
        <f>IF(Data!$L$32=1,IF(OR(Data!$L$2=1,Data!$L$3=1),IF(OR(Data!CB48=0,Data!CB48=""),"","O"&amp;Data!CB48),IF('ARDT Cutter Entry'!$C$111&lt;&gt;"",               IF(OR(COUNTIF('ARDT Cutter Entry'!M63,"*1"),COUNTIF('ARDT Cutter Entry'!M63,"*2"),COUNTIF('ARDT Cutter Entry'!M63,"*3"),COUNTIF('ARDT Cutter Entry'!M63,"*4"),COUNTIF('ARDT Cutter Entry'!M63,"*5"),COUNTIF('ARDT Cutter Entry'!M63,"*6"),COUNTIF('ARDT Cutter Entry'!M63,"*7"),COUNTIF('ARDT Cutter Entry'!M63,"*8"),COUNTIF('ARDT Cutter Entry'!M63,"*9")),'ARDT Cutter Entry'!M63,            'ARDT Cutter Entry'!M113),            IF(OR(COUNTIF('ARDT Cutter Entry'!M6,"*1"),COUNTIF('ARDT Cutter Entry'!M6,"*2"),COUNTIF('ARDT Cutter Entry'!M6,"*3"),COUNTIF('ARDT Cutter Entry'!M6,"*4"),COUNTIF('ARDT Cutter Entry'!M6,"*5"),COUNTIF('ARDT Cutter Entry'!M6,"*6"),COUNTIF('ARDT Cutter Entry'!M6,"*7"),COUNTIF('ARDT Cutter Entry'!M6,"*8"),COUNTIF('ARDT Cutter Entry'!M6,"*9")),'ARDT Cutter Entry'!M6,'ARDT Cutter Entry'!M45))),"")</f>
        <v>X4</v>
      </c>
      <c r="N18" s="244" t="str">
        <f>IF(Data!$L$32=1,IF(OR(Data!$L$2=1,Data!$L$3=1),IF(OR(Data!CC48=0,Data!CC48=""),"","O"&amp;Data!CC48),IF('ARDT Cutter Entry'!$C$111&lt;&gt;"",               IF(OR(COUNTIF('ARDT Cutter Entry'!N63,"*1"),COUNTIF('ARDT Cutter Entry'!N63,"*2"),COUNTIF('ARDT Cutter Entry'!N63,"*3"),COUNTIF('ARDT Cutter Entry'!N63,"*4"),COUNTIF('ARDT Cutter Entry'!N63,"*5"),COUNTIF('ARDT Cutter Entry'!N63,"*6"),COUNTIF('ARDT Cutter Entry'!N63,"*7"),COUNTIF('ARDT Cutter Entry'!N63,"*8"),COUNTIF('ARDT Cutter Entry'!N63,"*9")),'ARDT Cutter Entry'!N63,            'ARDT Cutter Entry'!N113),            IF(OR(COUNTIF('ARDT Cutter Entry'!N6,"*1"),COUNTIF('ARDT Cutter Entry'!N6,"*2"),COUNTIF('ARDT Cutter Entry'!N6,"*3"),COUNTIF('ARDT Cutter Entry'!N6,"*4"),COUNTIF('ARDT Cutter Entry'!N6,"*5"),COUNTIF('ARDT Cutter Entry'!N6,"*6"),COUNTIF('ARDT Cutter Entry'!N6,"*7"),COUNTIF('ARDT Cutter Entry'!N6,"*8"),COUNTIF('ARDT Cutter Entry'!N6,"*9")),'ARDT Cutter Entry'!N6,'ARDT Cutter Entry'!N45))),"")</f>
        <v>X4</v>
      </c>
      <c r="O18" s="244" t="str">
        <f>IF(Data!$L$32=1,IF(OR(Data!$L$2=1,Data!$L$3=1),IF(OR(Data!CD48=0,Data!CD48=""),"","O"&amp;Data!CD48),IF('ARDT Cutter Entry'!$C$111&lt;&gt;"",               IF(OR(COUNTIF('ARDT Cutter Entry'!O63,"*1"),COUNTIF('ARDT Cutter Entry'!O63,"*2"),COUNTIF('ARDT Cutter Entry'!O63,"*3"),COUNTIF('ARDT Cutter Entry'!O63,"*4"),COUNTIF('ARDT Cutter Entry'!O63,"*5"),COUNTIF('ARDT Cutter Entry'!O63,"*6"),COUNTIF('ARDT Cutter Entry'!O63,"*7"),COUNTIF('ARDT Cutter Entry'!O63,"*8"),COUNTIF('ARDT Cutter Entry'!O63,"*9")),'ARDT Cutter Entry'!O63,            'ARDT Cutter Entry'!O113),            IF(OR(COUNTIF('ARDT Cutter Entry'!O6,"*1"),COUNTIF('ARDT Cutter Entry'!O6,"*2"),COUNTIF('ARDT Cutter Entry'!O6,"*3"),COUNTIF('ARDT Cutter Entry'!O6,"*4"),COUNTIF('ARDT Cutter Entry'!O6,"*5"),COUNTIF('ARDT Cutter Entry'!O6,"*6"),COUNTIF('ARDT Cutter Entry'!O6,"*7"),COUNTIF('ARDT Cutter Entry'!O6,"*8"),COUNTIF('ARDT Cutter Entry'!O6,"*9")),'ARDT Cutter Entry'!O6,'ARDT Cutter Entry'!O45))),"")</f>
        <v/>
      </c>
      <c r="P18" s="244" t="str">
        <f>IF(Data!$L$32=1,IF(OR(Data!$L$2=1,Data!$L$3=1),IF(OR(Data!CE48=0,Data!CE48=""),"","O"&amp;Data!CE48),IF('ARDT Cutter Entry'!$C$111&lt;&gt;"",               IF(OR(COUNTIF('ARDT Cutter Entry'!P63,"*1"),COUNTIF('ARDT Cutter Entry'!P63,"*2"),COUNTIF('ARDT Cutter Entry'!P63,"*3"),COUNTIF('ARDT Cutter Entry'!P63,"*4"),COUNTIF('ARDT Cutter Entry'!P63,"*5"),COUNTIF('ARDT Cutter Entry'!P63,"*6"),COUNTIF('ARDT Cutter Entry'!P63,"*7"),COUNTIF('ARDT Cutter Entry'!P63,"*8"),COUNTIF('ARDT Cutter Entry'!P63,"*9")),'ARDT Cutter Entry'!P63,            'ARDT Cutter Entry'!P113),            IF(OR(COUNTIF('ARDT Cutter Entry'!P6,"*1"),COUNTIF('ARDT Cutter Entry'!P6,"*2"),COUNTIF('ARDT Cutter Entry'!P6,"*3"),COUNTIF('ARDT Cutter Entry'!P6,"*4"),COUNTIF('ARDT Cutter Entry'!P6,"*5"),COUNTIF('ARDT Cutter Entry'!P6,"*6"),COUNTIF('ARDT Cutter Entry'!P6,"*7"),COUNTIF('ARDT Cutter Entry'!P6,"*8"),COUNTIF('ARDT Cutter Entry'!P6,"*9")),'ARDT Cutter Entry'!P6,'ARDT Cutter Entry'!P45))),"")</f>
        <v/>
      </c>
      <c r="Q18" s="244" t="str">
        <f>IF(Data!$L$32=1,IF(OR(Data!$L$2=1,Data!$L$3=1),IF(OR(Data!CF48=0,Data!CF48=""),"","O"&amp;Data!CF48),IF('ARDT Cutter Entry'!$C$111&lt;&gt;"",               IF(OR(COUNTIF('ARDT Cutter Entry'!Q63,"*1"),COUNTIF('ARDT Cutter Entry'!Q63,"*2"),COUNTIF('ARDT Cutter Entry'!Q63,"*3"),COUNTIF('ARDT Cutter Entry'!Q63,"*4"),COUNTIF('ARDT Cutter Entry'!Q63,"*5"),COUNTIF('ARDT Cutter Entry'!Q63,"*6"),COUNTIF('ARDT Cutter Entry'!Q63,"*7"),COUNTIF('ARDT Cutter Entry'!Q63,"*8"),COUNTIF('ARDT Cutter Entry'!Q63,"*9")),'ARDT Cutter Entry'!Q63,            'ARDT Cutter Entry'!Q113),            IF(OR(COUNTIF('ARDT Cutter Entry'!Q6,"*1"),COUNTIF('ARDT Cutter Entry'!Q6,"*2"),COUNTIF('ARDT Cutter Entry'!Q6,"*3"),COUNTIF('ARDT Cutter Entry'!Q6,"*4"),COUNTIF('ARDT Cutter Entry'!Q6,"*5"),COUNTIF('ARDT Cutter Entry'!Q6,"*6"),COUNTIF('ARDT Cutter Entry'!Q6,"*7"),COUNTIF('ARDT Cutter Entry'!Q6,"*8"),COUNTIF('ARDT Cutter Entry'!Q6,"*9")),'ARDT Cutter Entry'!Q6,'ARDT Cutter Entry'!Q45))),"")</f>
        <v/>
      </c>
      <c r="R18" s="244" t="str">
        <f>IF(Data!$L$32=1,IF(OR(Data!$L$2=1,Data!$L$3=1),IF(OR(Data!CG48=0,Data!CG48=""),"","O"&amp;Data!CG48),IF('ARDT Cutter Entry'!$C$111&lt;&gt;"",               IF(OR(COUNTIF('ARDT Cutter Entry'!R63,"*1"),COUNTIF('ARDT Cutter Entry'!R63,"*2"),COUNTIF('ARDT Cutter Entry'!R63,"*3"),COUNTIF('ARDT Cutter Entry'!R63,"*4"),COUNTIF('ARDT Cutter Entry'!R63,"*5"),COUNTIF('ARDT Cutter Entry'!R63,"*6"),COUNTIF('ARDT Cutter Entry'!R63,"*7"),COUNTIF('ARDT Cutter Entry'!R63,"*8"),COUNTIF('ARDT Cutter Entry'!R63,"*9")),'ARDT Cutter Entry'!R63,            'ARDT Cutter Entry'!R113),            IF(OR(COUNTIF('ARDT Cutter Entry'!R6,"*1"),COUNTIF('ARDT Cutter Entry'!R6,"*2"),COUNTIF('ARDT Cutter Entry'!R6,"*3"),COUNTIF('ARDT Cutter Entry'!R6,"*4"),COUNTIF('ARDT Cutter Entry'!R6,"*5"),COUNTIF('ARDT Cutter Entry'!R6,"*6"),COUNTIF('ARDT Cutter Entry'!R6,"*7"),COUNTIF('ARDT Cutter Entry'!R6,"*8"),COUNTIF('ARDT Cutter Entry'!R6,"*9")),'ARDT Cutter Entry'!R6,'ARDT Cutter Entry'!R45))),"")</f>
        <v/>
      </c>
      <c r="S18" s="244" t="str">
        <f>IF(Data!$L$32=1,IF(OR(Data!$L$2=1,Data!$L$3=1),IF(OR(Data!CH48=0,Data!CH48=""),"","O"&amp;Data!CH48),IF('ARDT Cutter Entry'!$C$111&lt;&gt;"",               IF(OR(COUNTIF('ARDT Cutter Entry'!S63,"*1"),COUNTIF('ARDT Cutter Entry'!S63,"*2"),COUNTIF('ARDT Cutter Entry'!S63,"*3"),COUNTIF('ARDT Cutter Entry'!S63,"*4"),COUNTIF('ARDT Cutter Entry'!S63,"*5"),COUNTIF('ARDT Cutter Entry'!S63,"*6"),COUNTIF('ARDT Cutter Entry'!S63,"*7"),COUNTIF('ARDT Cutter Entry'!S63,"*8"),COUNTIF('ARDT Cutter Entry'!S63,"*9")),'ARDT Cutter Entry'!S63,            'ARDT Cutter Entry'!S113),            IF(OR(COUNTIF('ARDT Cutter Entry'!S6,"*1"),COUNTIF('ARDT Cutter Entry'!S6,"*2"),COUNTIF('ARDT Cutter Entry'!S6,"*3"),COUNTIF('ARDT Cutter Entry'!S6,"*4"),COUNTIF('ARDT Cutter Entry'!S6,"*5"),COUNTIF('ARDT Cutter Entry'!S6,"*6"),COUNTIF('ARDT Cutter Entry'!S6,"*7"),COUNTIF('ARDT Cutter Entry'!S6,"*8"),COUNTIF('ARDT Cutter Entry'!S6,"*9")),'ARDT Cutter Entry'!S6,'ARDT Cutter Entry'!S45))),"")</f>
        <v/>
      </c>
      <c r="T18" s="244" t="str">
        <f>IF(Data!$L$32=1,IF(OR(Data!$L$2=1,Data!$L$3=1),IF(OR(Data!CI48=0,Data!CI48=""),"","O"&amp;Data!CI48),IF('ARDT Cutter Entry'!$C$111&lt;&gt;"",               IF(OR(COUNTIF('ARDT Cutter Entry'!T63,"*1"),COUNTIF('ARDT Cutter Entry'!T63,"*2"),COUNTIF('ARDT Cutter Entry'!T63,"*3"),COUNTIF('ARDT Cutter Entry'!T63,"*4"),COUNTIF('ARDT Cutter Entry'!T63,"*5"),COUNTIF('ARDT Cutter Entry'!T63,"*6"),COUNTIF('ARDT Cutter Entry'!T63,"*7"),COUNTIF('ARDT Cutter Entry'!T63,"*8"),COUNTIF('ARDT Cutter Entry'!T63,"*9")),'ARDT Cutter Entry'!T63,            'ARDT Cutter Entry'!T113),            IF(OR(COUNTIF('ARDT Cutter Entry'!T6,"*1"),COUNTIF('ARDT Cutter Entry'!T6,"*2"),COUNTIF('ARDT Cutter Entry'!T6,"*3"),COUNTIF('ARDT Cutter Entry'!T6,"*4"),COUNTIF('ARDT Cutter Entry'!T6,"*5"),COUNTIF('ARDT Cutter Entry'!T6,"*6"),COUNTIF('ARDT Cutter Entry'!T6,"*7"),COUNTIF('ARDT Cutter Entry'!T6,"*8"),COUNTIF('ARDT Cutter Entry'!T6,"*9")),'ARDT Cutter Entry'!T6,'ARDT Cutter Entry'!T45))),"")</f>
        <v/>
      </c>
      <c r="U18" s="244" t="str">
        <f>IF(Data!$L$32=1,IF(OR(Data!$L$2=1,Data!$L$3=1),IF(OR(Data!CJ48=0,Data!CJ48=""),"","O"&amp;Data!CJ48),IF('ARDT Cutter Entry'!$C$111&lt;&gt;"",               IF(OR(COUNTIF('ARDT Cutter Entry'!U63,"*1"),COUNTIF('ARDT Cutter Entry'!U63,"*2"),COUNTIF('ARDT Cutter Entry'!U63,"*3"),COUNTIF('ARDT Cutter Entry'!U63,"*4"),COUNTIF('ARDT Cutter Entry'!U63,"*5"),COUNTIF('ARDT Cutter Entry'!U63,"*6"),COUNTIF('ARDT Cutter Entry'!U63,"*7"),COUNTIF('ARDT Cutter Entry'!U63,"*8"),COUNTIF('ARDT Cutter Entry'!U63,"*9")),'ARDT Cutter Entry'!U63,            'ARDT Cutter Entry'!U113),            IF(OR(COUNTIF('ARDT Cutter Entry'!U6,"*1"),COUNTIF('ARDT Cutter Entry'!U6,"*2"),COUNTIF('ARDT Cutter Entry'!U6,"*3"),COUNTIF('ARDT Cutter Entry'!U6,"*4"),COUNTIF('ARDT Cutter Entry'!U6,"*5"),COUNTIF('ARDT Cutter Entry'!U6,"*6"),COUNTIF('ARDT Cutter Entry'!U6,"*7"),COUNTIF('ARDT Cutter Entry'!U6,"*8"),COUNTIF('ARDT Cutter Entry'!U6,"*9")),'ARDT Cutter Entry'!U6,'ARDT Cutter Entry'!U45))),"")</f>
        <v/>
      </c>
      <c r="V18" s="244" t="str">
        <f>IF(Data!$L$32=1,IF(OR(Data!$L$2=1,Data!$L$3=1),IF(OR(Data!CK48=0,Data!CK48=""),"","O"&amp;Data!CK48),IF('ARDT Cutter Entry'!$C$111&lt;&gt;"",               IF(OR(COUNTIF('ARDT Cutter Entry'!V63,"*1"),COUNTIF('ARDT Cutter Entry'!V63,"*2"),COUNTIF('ARDT Cutter Entry'!V63,"*3"),COUNTIF('ARDT Cutter Entry'!V63,"*4"),COUNTIF('ARDT Cutter Entry'!V63,"*5"),COUNTIF('ARDT Cutter Entry'!V63,"*6"),COUNTIF('ARDT Cutter Entry'!V63,"*7"),COUNTIF('ARDT Cutter Entry'!V63,"*8"),COUNTIF('ARDT Cutter Entry'!V63,"*9")),'ARDT Cutter Entry'!V63,            'ARDT Cutter Entry'!V113),            IF(OR(COUNTIF('ARDT Cutter Entry'!V6,"*1"),COUNTIF('ARDT Cutter Entry'!V6,"*2"),COUNTIF('ARDT Cutter Entry'!V6,"*3"),COUNTIF('ARDT Cutter Entry'!V6,"*4"),COUNTIF('ARDT Cutter Entry'!V6,"*5"),COUNTIF('ARDT Cutter Entry'!V6,"*6"),COUNTIF('ARDT Cutter Entry'!V6,"*7"),COUNTIF('ARDT Cutter Entry'!V6,"*8"),COUNTIF('ARDT Cutter Entry'!V6,"*9")),'ARDT Cutter Entry'!V6,'ARDT Cutter Entry'!V45))),"")</f>
        <v/>
      </c>
      <c r="W18" s="244" t="str">
        <f>IF(Data!$L$32=1,IF(OR(Data!$L$2=1,Data!$L$3=1),IF(OR(Data!CL48=0,Data!CL48=""),"","O"&amp;Data!CL48),IF('ARDT Cutter Entry'!$C$111&lt;&gt;"",               IF(OR(COUNTIF('ARDT Cutter Entry'!W63,"*1"),COUNTIF('ARDT Cutter Entry'!W63,"*2"),COUNTIF('ARDT Cutter Entry'!W63,"*3"),COUNTIF('ARDT Cutter Entry'!W63,"*4"),COUNTIF('ARDT Cutter Entry'!W63,"*5"),COUNTIF('ARDT Cutter Entry'!W63,"*6"),COUNTIF('ARDT Cutter Entry'!W63,"*7"),COUNTIF('ARDT Cutter Entry'!W63,"*8"),COUNTIF('ARDT Cutter Entry'!W63,"*9")),'ARDT Cutter Entry'!W63,            'ARDT Cutter Entry'!W113),            IF(OR(COUNTIF('ARDT Cutter Entry'!W6,"*1"),COUNTIF('ARDT Cutter Entry'!W6,"*2"),COUNTIF('ARDT Cutter Entry'!W6,"*3"),COUNTIF('ARDT Cutter Entry'!W6,"*4"),COUNTIF('ARDT Cutter Entry'!W6,"*5"),COUNTIF('ARDT Cutter Entry'!W6,"*6"),COUNTIF('ARDT Cutter Entry'!W6,"*7"),COUNTIF('ARDT Cutter Entry'!W6,"*8"),COUNTIF('ARDT Cutter Entry'!W6,"*9")),'ARDT Cutter Entry'!W6,'ARDT Cutter Entry'!W45))),"")</f>
        <v/>
      </c>
      <c r="X18" s="244" t="str">
        <f>IF(Data!$L$32=1,IF(OR(Data!$L$2=1,Data!$L$3=1),IF(OR(Data!CM48=0,Data!CM48=""),"","O"&amp;Data!CM48),IF('ARDT Cutter Entry'!$C$111&lt;&gt;"",               IF(OR(COUNTIF('ARDT Cutter Entry'!X63,"*1"),COUNTIF('ARDT Cutter Entry'!X63,"*2"),COUNTIF('ARDT Cutter Entry'!X63,"*3"),COUNTIF('ARDT Cutter Entry'!X63,"*4"),COUNTIF('ARDT Cutter Entry'!X63,"*5"),COUNTIF('ARDT Cutter Entry'!X63,"*6"),COUNTIF('ARDT Cutter Entry'!X63,"*7"),COUNTIF('ARDT Cutter Entry'!X63,"*8"),COUNTIF('ARDT Cutter Entry'!X63,"*9")),'ARDT Cutter Entry'!X63,            'ARDT Cutter Entry'!X113),            IF(OR(COUNTIF('ARDT Cutter Entry'!X6,"*1"),COUNTIF('ARDT Cutter Entry'!X6,"*2"),COUNTIF('ARDT Cutter Entry'!X6,"*3"),COUNTIF('ARDT Cutter Entry'!X6,"*4"),COUNTIF('ARDT Cutter Entry'!X6,"*5"),COUNTIF('ARDT Cutter Entry'!X6,"*6"),COUNTIF('ARDT Cutter Entry'!X6,"*7"),COUNTIF('ARDT Cutter Entry'!X6,"*8"),COUNTIF('ARDT Cutter Entry'!X6,"*9")),'ARDT Cutter Entry'!X6,'ARDT Cutter Entry'!X45))),"")</f>
        <v/>
      </c>
      <c r="Y18" s="244" t="str">
        <f>IF(Data!$L$32=1,IF(OR(Data!$L$2=1,Data!$L$3=1),IF(OR(Data!CN48=0,Data!CN48=""),"","O"&amp;Data!CN48),IF('ARDT Cutter Entry'!$C$111&lt;&gt;"",               IF(OR(COUNTIF('ARDT Cutter Entry'!Y63,"*1"),COUNTIF('ARDT Cutter Entry'!Y63,"*2"),COUNTIF('ARDT Cutter Entry'!Y63,"*3"),COUNTIF('ARDT Cutter Entry'!Y63,"*4"),COUNTIF('ARDT Cutter Entry'!Y63,"*5"),COUNTIF('ARDT Cutter Entry'!Y63,"*6"),COUNTIF('ARDT Cutter Entry'!Y63,"*7"),COUNTIF('ARDT Cutter Entry'!Y63,"*8"),COUNTIF('ARDT Cutter Entry'!Y63,"*9")),'ARDT Cutter Entry'!Y63,            'ARDT Cutter Entry'!Y113),            IF(OR(COUNTIF('ARDT Cutter Entry'!Y6,"*1"),COUNTIF('ARDT Cutter Entry'!Y6,"*2"),COUNTIF('ARDT Cutter Entry'!Y6,"*3"),COUNTIF('ARDT Cutter Entry'!Y6,"*4"),COUNTIF('ARDT Cutter Entry'!Y6,"*5"),COUNTIF('ARDT Cutter Entry'!Y6,"*6"),COUNTIF('ARDT Cutter Entry'!Y6,"*7"),COUNTIF('ARDT Cutter Entry'!Y6,"*8"),COUNTIF('ARDT Cutter Entry'!Y6,"*9")),'ARDT Cutter Entry'!Y6,'ARDT Cutter Entry'!Y45))),"")</f>
        <v/>
      </c>
      <c r="Z18" s="244" t="str">
        <f>IF(Data!$L$32=1,IF(OR(Data!$L$2=1,Data!$L$3=1),IF(OR(Data!CO48=0,Data!CO48=""),"","O"&amp;Data!CO48),IF('ARDT Cutter Entry'!$C$111&lt;&gt;"",               IF(OR(COUNTIF('ARDT Cutter Entry'!Z63,"*1"),COUNTIF('ARDT Cutter Entry'!Z63,"*2"),COUNTIF('ARDT Cutter Entry'!Z63,"*3"),COUNTIF('ARDT Cutter Entry'!Z63,"*4"),COUNTIF('ARDT Cutter Entry'!Z63,"*5"),COUNTIF('ARDT Cutter Entry'!Z63,"*6"),COUNTIF('ARDT Cutter Entry'!Z63,"*7"),COUNTIF('ARDT Cutter Entry'!Z63,"*8"),COUNTIF('ARDT Cutter Entry'!Z63,"*9")),'ARDT Cutter Entry'!Z63,            'ARDT Cutter Entry'!Z113),            IF(OR(COUNTIF('ARDT Cutter Entry'!Z6,"*1"),COUNTIF('ARDT Cutter Entry'!Z6,"*2"),COUNTIF('ARDT Cutter Entry'!Z6,"*3"),COUNTIF('ARDT Cutter Entry'!Z6,"*4"),COUNTIF('ARDT Cutter Entry'!Z6,"*5"),COUNTIF('ARDT Cutter Entry'!Z6,"*6"),COUNTIF('ARDT Cutter Entry'!Z6,"*7"),COUNTIF('ARDT Cutter Entry'!Z6,"*8"),COUNTIF('ARDT Cutter Entry'!Z6,"*9")),'ARDT Cutter Entry'!Z6,'ARDT Cutter Entry'!Z45))),"")</f>
        <v/>
      </c>
      <c r="AA18" s="1056" t="str">
        <f>IF(Data!$L$32=1,IF(OR(Data!$L$2=1,Data!$L$3=1),IF(OR(Data!CP48=0,Data!CP48=""),"","O"&amp;Data!CP48),IF('ARDT Cutter Entry'!$C$111&lt;&gt;"",               IF(OR(COUNTIF('ARDT Cutter Entry'!AA63,"*1"),COUNTIF('ARDT Cutter Entry'!AA63,"*2"),COUNTIF('ARDT Cutter Entry'!AA63,"*3"),COUNTIF('ARDT Cutter Entry'!AA63,"*4"),COUNTIF('ARDT Cutter Entry'!AA63,"*5"),COUNTIF('ARDT Cutter Entry'!AA63,"*6"),COUNTIF('ARDT Cutter Entry'!AA63,"*7"),COUNTIF('ARDT Cutter Entry'!AA63,"*8"),COUNTIF('ARDT Cutter Entry'!AA63,"*9")),'ARDT Cutter Entry'!AA63,            'ARDT Cutter Entry'!AA113),            IF(OR(COUNTIF('ARDT Cutter Entry'!AA6,"*1"),COUNTIF('ARDT Cutter Entry'!AA6,"*2"),COUNTIF('ARDT Cutter Entry'!AA6,"*3"),COUNTIF('ARDT Cutter Entry'!AA6,"*4"),COUNTIF('ARDT Cutter Entry'!AA6,"*5"),COUNTIF('ARDT Cutter Entry'!AA6,"*6"),COUNTIF('ARDT Cutter Entry'!AA6,"*7"),COUNTIF('ARDT Cutter Entry'!AA6,"*8"),COUNTIF('ARDT Cutter Entry'!AA6,"*9")),'ARDT Cutter Entry'!AA6,'ARDT Cutter Entry'!AA45))),"")</f>
        <v/>
      </c>
    </row>
    <row r="19" spans="1:27" ht="16" customHeight="1" x14ac:dyDescent="0.35">
      <c r="A19" s="1825"/>
      <c r="B19" s="446">
        <v>4</v>
      </c>
      <c r="C19" s="230" t="str">
        <f>IF(Data!$L$32=1,IF(OR(Data!$L$2=1,Data!$L$3=1),IF(OR(Data!BR49=0,Data!BR49=""),"","O"&amp;Data!BR49),IF('ARDT Cutter Entry'!$C$111&lt;&gt;"",               IF(OR(COUNTIF('ARDT Cutter Entry'!C64,"*1"),COUNTIF('ARDT Cutter Entry'!C64,"*2"),COUNTIF('ARDT Cutter Entry'!C64,"*3"),COUNTIF('ARDT Cutter Entry'!C64,"*4"),COUNTIF('ARDT Cutter Entry'!C64,"*5"),COUNTIF('ARDT Cutter Entry'!C64,"*6"),COUNTIF('ARDT Cutter Entry'!C64,"*7"),COUNTIF('ARDT Cutter Entry'!C64,"*8"),COUNTIF('ARDT Cutter Entry'!C64,"*9")),'ARDT Cutter Entry'!C64,            'ARDT Cutter Entry'!C114),            IF(OR(COUNTIF('ARDT Cutter Entry'!C7,"*1"),COUNTIF('ARDT Cutter Entry'!C7,"*2"),COUNTIF('ARDT Cutter Entry'!C7,"*3"),COUNTIF('ARDT Cutter Entry'!C7,"*4"),COUNTIF('ARDT Cutter Entry'!C7,"*5"),COUNTIF('ARDT Cutter Entry'!C7,"*6"),COUNTIF('ARDT Cutter Entry'!C7,"*7"),COUNTIF('ARDT Cutter Entry'!C7,"*8"),COUNTIF('ARDT Cutter Entry'!C7,"*9")),'ARDT Cutter Entry'!C7,'ARDT Cutter Entry'!C46))),"")</f>
        <v>X5</v>
      </c>
      <c r="D19" s="244" t="str">
        <f>IF(Data!$L$32=1,IF(OR(Data!$L$2=1,Data!$L$3=1),IF(OR(Data!BS49=0,Data!BS49=""),"","O"&amp;Data!BS49),IF('ARDT Cutter Entry'!$C$111&lt;&gt;"",               IF(OR(COUNTIF('ARDT Cutter Entry'!D64,"*1"),COUNTIF('ARDT Cutter Entry'!D64,"*2"),COUNTIF('ARDT Cutter Entry'!D64,"*3"),COUNTIF('ARDT Cutter Entry'!D64,"*4"),COUNTIF('ARDT Cutter Entry'!D64,"*5"),COUNTIF('ARDT Cutter Entry'!D64,"*6"),COUNTIF('ARDT Cutter Entry'!D64,"*7"),COUNTIF('ARDT Cutter Entry'!D64,"*8"),COUNTIF('ARDT Cutter Entry'!D64,"*9")),'ARDT Cutter Entry'!D64,            'ARDT Cutter Entry'!D114),            IF(OR(COUNTIF('ARDT Cutter Entry'!D7,"*1"),COUNTIF('ARDT Cutter Entry'!D7,"*2"),COUNTIF('ARDT Cutter Entry'!D7,"*3"),COUNTIF('ARDT Cutter Entry'!D7,"*4"),COUNTIF('ARDT Cutter Entry'!D7,"*5"),COUNTIF('ARDT Cutter Entry'!D7,"*6"),COUNTIF('ARDT Cutter Entry'!D7,"*7"),COUNTIF('ARDT Cutter Entry'!D7,"*8"),COUNTIF('ARDT Cutter Entry'!D7,"*9")),'ARDT Cutter Entry'!D7,'ARDT Cutter Entry'!D46))),"")</f>
        <v>X5</v>
      </c>
      <c r="E19" s="244" t="str">
        <f>IF(Data!$L$32=1,IF(OR(Data!$L$2=1,Data!$L$3=1),IF(OR(Data!BT49=0,Data!BT49=""),"","O"&amp;Data!BT49),IF('ARDT Cutter Entry'!$C$111&lt;&gt;"",               IF(OR(COUNTIF('ARDT Cutter Entry'!E64,"*1"),COUNTIF('ARDT Cutter Entry'!E64,"*2"),COUNTIF('ARDT Cutter Entry'!E64,"*3"),COUNTIF('ARDT Cutter Entry'!E64,"*4"),COUNTIF('ARDT Cutter Entry'!E64,"*5"),COUNTIF('ARDT Cutter Entry'!E64,"*6"),COUNTIF('ARDT Cutter Entry'!E64,"*7"),COUNTIF('ARDT Cutter Entry'!E64,"*8"),COUNTIF('ARDT Cutter Entry'!E64,"*9")),'ARDT Cutter Entry'!E64,            'ARDT Cutter Entry'!E114),            IF(OR(COUNTIF('ARDT Cutter Entry'!E7,"*1"),COUNTIF('ARDT Cutter Entry'!E7,"*2"),COUNTIF('ARDT Cutter Entry'!E7,"*3"),COUNTIF('ARDT Cutter Entry'!E7,"*4"),COUNTIF('ARDT Cutter Entry'!E7,"*5"),COUNTIF('ARDT Cutter Entry'!E7,"*6"),COUNTIF('ARDT Cutter Entry'!E7,"*7"),COUNTIF('ARDT Cutter Entry'!E7,"*8"),COUNTIF('ARDT Cutter Entry'!E7,"*9")),'ARDT Cutter Entry'!E7,'ARDT Cutter Entry'!E46))),"")</f>
        <v>X5</v>
      </c>
      <c r="F19" s="244" t="str">
        <f>IF(Data!$L$32=1,IF(OR(Data!$L$2=1,Data!$L$3=1),IF(OR(Data!BU49=0,Data!BU49=""),"","O"&amp;Data!BU49),IF('ARDT Cutter Entry'!$C$111&lt;&gt;"",               IF(OR(COUNTIF('ARDT Cutter Entry'!F64,"*1"),COUNTIF('ARDT Cutter Entry'!F64,"*2"),COUNTIF('ARDT Cutter Entry'!F64,"*3"),COUNTIF('ARDT Cutter Entry'!F64,"*4"),COUNTIF('ARDT Cutter Entry'!F64,"*5"),COUNTIF('ARDT Cutter Entry'!F64,"*6"),COUNTIF('ARDT Cutter Entry'!F64,"*7"),COUNTIF('ARDT Cutter Entry'!F64,"*8"),COUNTIF('ARDT Cutter Entry'!F64,"*9")),'ARDT Cutter Entry'!F64,            'ARDT Cutter Entry'!F114),            IF(OR(COUNTIF('ARDT Cutter Entry'!F7,"*1"),COUNTIF('ARDT Cutter Entry'!F7,"*2"),COUNTIF('ARDT Cutter Entry'!F7,"*3"),COUNTIF('ARDT Cutter Entry'!F7,"*4"),COUNTIF('ARDT Cutter Entry'!F7,"*5"),COUNTIF('ARDT Cutter Entry'!F7,"*6"),COUNTIF('ARDT Cutter Entry'!F7,"*7"),COUNTIF('ARDT Cutter Entry'!F7,"*8"),COUNTIF('ARDT Cutter Entry'!F7,"*9")),'ARDT Cutter Entry'!F7,'ARDT Cutter Entry'!F46))),"")</f>
        <v>X5</v>
      </c>
      <c r="G19" s="244" t="str">
        <f>IF(Data!$L$32=1,IF(OR(Data!$L$2=1,Data!$L$3=1),IF(OR(Data!BV49=0,Data!BV49=""),"","O"&amp;Data!BV49),IF('ARDT Cutter Entry'!$C$111&lt;&gt;"",               IF(OR(COUNTIF('ARDT Cutter Entry'!G64,"*1"),COUNTIF('ARDT Cutter Entry'!G64,"*2"),COUNTIF('ARDT Cutter Entry'!G64,"*3"),COUNTIF('ARDT Cutter Entry'!G64,"*4"),COUNTIF('ARDT Cutter Entry'!G64,"*5"),COUNTIF('ARDT Cutter Entry'!G64,"*6"),COUNTIF('ARDT Cutter Entry'!G64,"*7"),COUNTIF('ARDT Cutter Entry'!G64,"*8"),COUNTIF('ARDT Cutter Entry'!G64,"*9")),'ARDT Cutter Entry'!G64,            'ARDT Cutter Entry'!G114),            IF(OR(COUNTIF('ARDT Cutter Entry'!G7,"*1"),COUNTIF('ARDT Cutter Entry'!G7,"*2"),COUNTIF('ARDT Cutter Entry'!G7,"*3"),COUNTIF('ARDT Cutter Entry'!G7,"*4"),COUNTIF('ARDT Cutter Entry'!G7,"*5"),COUNTIF('ARDT Cutter Entry'!G7,"*6"),COUNTIF('ARDT Cutter Entry'!G7,"*7"),COUNTIF('ARDT Cutter Entry'!G7,"*8"),COUNTIF('ARDT Cutter Entry'!G7,"*9")),'ARDT Cutter Entry'!G7,'ARDT Cutter Entry'!G46))),"")</f>
        <v>R1</v>
      </c>
      <c r="H19" s="244" t="str">
        <f>IF(Data!$L$32=1,IF(OR(Data!$L$2=1,Data!$L$3=1),IF(OR(Data!BW49=0,Data!BW49=""),"","O"&amp;Data!BW49),IF('ARDT Cutter Entry'!$C$111&lt;&gt;"",               IF(OR(COUNTIF('ARDT Cutter Entry'!H64,"*1"),COUNTIF('ARDT Cutter Entry'!H64,"*2"),COUNTIF('ARDT Cutter Entry'!H64,"*3"),COUNTIF('ARDT Cutter Entry'!H64,"*4"),COUNTIF('ARDT Cutter Entry'!H64,"*5"),COUNTIF('ARDT Cutter Entry'!H64,"*6"),COUNTIF('ARDT Cutter Entry'!H64,"*7"),COUNTIF('ARDT Cutter Entry'!H64,"*8"),COUNTIF('ARDT Cutter Entry'!H64,"*9")),'ARDT Cutter Entry'!H64,            'ARDT Cutter Entry'!H114),            IF(OR(COUNTIF('ARDT Cutter Entry'!H7,"*1"),COUNTIF('ARDT Cutter Entry'!H7,"*2"),COUNTIF('ARDT Cutter Entry'!H7,"*3"),COUNTIF('ARDT Cutter Entry'!H7,"*4"),COUNTIF('ARDT Cutter Entry'!H7,"*5"),COUNTIF('ARDT Cutter Entry'!H7,"*6"),COUNTIF('ARDT Cutter Entry'!H7,"*7"),COUNTIF('ARDT Cutter Entry'!H7,"*8"),COUNTIF('ARDT Cutter Entry'!H7,"*9")),'ARDT Cutter Entry'!H7,'ARDT Cutter Entry'!H46))),"")</f>
        <v>X3</v>
      </c>
      <c r="I19" s="244" t="str">
        <f>IF(Data!$L$32=1,IF(OR(Data!$L$2=1,Data!$L$3=1),IF(OR(Data!BX49=0,Data!BX49=""),"","O"&amp;Data!BX49),IF('ARDT Cutter Entry'!$C$111&lt;&gt;"",               IF(OR(COUNTIF('ARDT Cutter Entry'!I64,"*1"),COUNTIF('ARDT Cutter Entry'!I64,"*2"),COUNTIF('ARDT Cutter Entry'!I64,"*3"),COUNTIF('ARDT Cutter Entry'!I64,"*4"),COUNTIF('ARDT Cutter Entry'!I64,"*5"),COUNTIF('ARDT Cutter Entry'!I64,"*6"),COUNTIF('ARDT Cutter Entry'!I64,"*7"),COUNTIF('ARDT Cutter Entry'!I64,"*8"),COUNTIF('ARDT Cutter Entry'!I64,"*9")),'ARDT Cutter Entry'!I64,            'ARDT Cutter Entry'!I114),            IF(OR(COUNTIF('ARDT Cutter Entry'!I7,"*1"),COUNTIF('ARDT Cutter Entry'!I7,"*2"),COUNTIF('ARDT Cutter Entry'!I7,"*3"),COUNTIF('ARDT Cutter Entry'!I7,"*4"),COUNTIF('ARDT Cutter Entry'!I7,"*5"),COUNTIF('ARDT Cutter Entry'!I7,"*6"),COUNTIF('ARDT Cutter Entry'!I7,"*7"),COUNTIF('ARDT Cutter Entry'!I7,"*8"),COUNTIF('ARDT Cutter Entry'!I7,"*9")),'ARDT Cutter Entry'!I7,'ARDT Cutter Entry'!I46))),"")</f>
        <v/>
      </c>
      <c r="J19" s="244" t="str">
        <f>IF(Data!$L$32=1,IF(OR(Data!$L$2=1,Data!$L$3=1),IF(OR(Data!BY49=0,Data!BY49=""),"","O"&amp;Data!BY49),IF('ARDT Cutter Entry'!$C$111&lt;&gt;"",               IF(OR(COUNTIF('ARDT Cutter Entry'!J64,"*1"),COUNTIF('ARDT Cutter Entry'!J64,"*2"),COUNTIF('ARDT Cutter Entry'!J64,"*3"),COUNTIF('ARDT Cutter Entry'!J64,"*4"),COUNTIF('ARDT Cutter Entry'!J64,"*5"),COUNTIF('ARDT Cutter Entry'!J64,"*6"),COUNTIF('ARDT Cutter Entry'!J64,"*7"),COUNTIF('ARDT Cutter Entry'!J64,"*8"),COUNTIF('ARDT Cutter Entry'!J64,"*9")),'ARDT Cutter Entry'!J64,            'ARDT Cutter Entry'!J114),            IF(OR(COUNTIF('ARDT Cutter Entry'!J7,"*1"),COUNTIF('ARDT Cutter Entry'!J7,"*2"),COUNTIF('ARDT Cutter Entry'!J7,"*3"),COUNTIF('ARDT Cutter Entry'!J7,"*4"),COUNTIF('ARDT Cutter Entry'!J7,"*5"),COUNTIF('ARDT Cutter Entry'!J7,"*6"),COUNTIF('ARDT Cutter Entry'!J7,"*7"),COUNTIF('ARDT Cutter Entry'!J7,"*8"),COUNTIF('ARDT Cutter Entry'!J7,"*9")),'ARDT Cutter Entry'!J7,'ARDT Cutter Entry'!J46))),"")</f>
        <v/>
      </c>
      <c r="K19" s="244" t="str">
        <f>IF(Data!$L$32=1,IF(OR(Data!$L$2=1,Data!$L$3=1),IF(OR(Data!BZ49=0,Data!BZ49=""),"","O"&amp;Data!BZ49),IF('ARDT Cutter Entry'!$C$111&lt;&gt;"",               IF(OR(COUNTIF('ARDT Cutter Entry'!K64,"*1"),COUNTIF('ARDT Cutter Entry'!K64,"*2"),COUNTIF('ARDT Cutter Entry'!K64,"*3"),COUNTIF('ARDT Cutter Entry'!K64,"*4"),COUNTIF('ARDT Cutter Entry'!K64,"*5"),COUNTIF('ARDT Cutter Entry'!K64,"*6"),COUNTIF('ARDT Cutter Entry'!K64,"*7"),COUNTIF('ARDT Cutter Entry'!K64,"*8"),COUNTIF('ARDT Cutter Entry'!K64,"*9")),'ARDT Cutter Entry'!K64,            'ARDT Cutter Entry'!K114),            IF(OR(COUNTIF('ARDT Cutter Entry'!K7,"*1"),COUNTIF('ARDT Cutter Entry'!K7,"*2"),COUNTIF('ARDT Cutter Entry'!K7,"*3"),COUNTIF('ARDT Cutter Entry'!K7,"*4"),COUNTIF('ARDT Cutter Entry'!K7,"*5"),COUNTIF('ARDT Cutter Entry'!K7,"*6"),COUNTIF('ARDT Cutter Entry'!K7,"*7"),COUNTIF('ARDT Cutter Entry'!K7,"*8"),COUNTIF('ARDT Cutter Entry'!K7,"*9")),'ARDT Cutter Entry'!K7,'ARDT Cutter Entry'!K46))),"")</f>
        <v/>
      </c>
      <c r="L19" s="244" t="str">
        <f>IF(Data!$L$32=1,IF(OR(Data!$L$2=1,Data!$L$3=1),IF(OR(Data!CA49=0,Data!CA49=""),"","O"&amp;Data!CA49),IF('ARDT Cutter Entry'!$C$111&lt;&gt;"",               IF(OR(COUNTIF('ARDT Cutter Entry'!L64,"*1"),COUNTIF('ARDT Cutter Entry'!L64,"*2"),COUNTIF('ARDT Cutter Entry'!L64,"*3"),COUNTIF('ARDT Cutter Entry'!L64,"*4"),COUNTIF('ARDT Cutter Entry'!L64,"*5"),COUNTIF('ARDT Cutter Entry'!L64,"*6"),COUNTIF('ARDT Cutter Entry'!L64,"*7"),COUNTIF('ARDT Cutter Entry'!L64,"*8"),COUNTIF('ARDT Cutter Entry'!L64,"*9")),'ARDT Cutter Entry'!L64,            'ARDT Cutter Entry'!L114),            IF(OR(COUNTIF('ARDT Cutter Entry'!L7,"*1"),COUNTIF('ARDT Cutter Entry'!L7,"*2"),COUNTIF('ARDT Cutter Entry'!L7,"*3"),COUNTIF('ARDT Cutter Entry'!L7,"*4"),COUNTIF('ARDT Cutter Entry'!L7,"*5"),COUNTIF('ARDT Cutter Entry'!L7,"*6"),COUNTIF('ARDT Cutter Entry'!L7,"*7"),COUNTIF('ARDT Cutter Entry'!L7,"*8"),COUNTIF('ARDT Cutter Entry'!L7,"*9")),'ARDT Cutter Entry'!L7,'ARDT Cutter Entry'!L46))),"")</f>
        <v>R2</v>
      </c>
      <c r="M19" s="244" t="str">
        <f>IF(Data!$L$32=1,IF(OR(Data!$L$2=1,Data!$L$3=1),IF(OR(Data!CB49=0,Data!CB49=""),"","O"&amp;Data!CB49),IF('ARDT Cutter Entry'!$C$111&lt;&gt;"",               IF(OR(COUNTIF('ARDT Cutter Entry'!M64,"*1"),COUNTIF('ARDT Cutter Entry'!M64,"*2"),COUNTIF('ARDT Cutter Entry'!M64,"*3"),COUNTIF('ARDT Cutter Entry'!M64,"*4"),COUNTIF('ARDT Cutter Entry'!M64,"*5"),COUNTIF('ARDT Cutter Entry'!M64,"*6"),COUNTIF('ARDT Cutter Entry'!M64,"*7"),COUNTIF('ARDT Cutter Entry'!M64,"*8"),COUNTIF('ARDT Cutter Entry'!M64,"*9")),'ARDT Cutter Entry'!M64,            'ARDT Cutter Entry'!M114),            IF(OR(COUNTIF('ARDT Cutter Entry'!M7,"*1"),COUNTIF('ARDT Cutter Entry'!M7,"*2"),COUNTIF('ARDT Cutter Entry'!M7,"*3"),COUNTIF('ARDT Cutter Entry'!M7,"*4"),COUNTIF('ARDT Cutter Entry'!M7,"*5"),COUNTIF('ARDT Cutter Entry'!M7,"*6"),COUNTIF('ARDT Cutter Entry'!M7,"*7"),COUNTIF('ARDT Cutter Entry'!M7,"*8"),COUNTIF('ARDT Cutter Entry'!M7,"*9")),'ARDT Cutter Entry'!M7,'ARDT Cutter Entry'!M46))),"")</f>
        <v>R2</v>
      </c>
      <c r="N19" s="244" t="str">
        <f>IF(Data!$L$32=1,IF(OR(Data!$L$2=1,Data!$L$3=1),IF(OR(Data!CC49=0,Data!CC49=""),"","O"&amp;Data!CC49),IF('ARDT Cutter Entry'!$C$111&lt;&gt;"",               IF(OR(COUNTIF('ARDT Cutter Entry'!N64,"*1"),COUNTIF('ARDT Cutter Entry'!N64,"*2"),COUNTIF('ARDT Cutter Entry'!N64,"*3"),COUNTIF('ARDT Cutter Entry'!N64,"*4"),COUNTIF('ARDT Cutter Entry'!N64,"*5"),COUNTIF('ARDT Cutter Entry'!N64,"*6"),COUNTIF('ARDT Cutter Entry'!N64,"*7"),COUNTIF('ARDT Cutter Entry'!N64,"*8"),COUNTIF('ARDT Cutter Entry'!N64,"*9")),'ARDT Cutter Entry'!N64,            'ARDT Cutter Entry'!N114),            IF(OR(COUNTIF('ARDT Cutter Entry'!N7,"*1"),COUNTIF('ARDT Cutter Entry'!N7,"*2"),COUNTIF('ARDT Cutter Entry'!N7,"*3"),COUNTIF('ARDT Cutter Entry'!N7,"*4"),COUNTIF('ARDT Cutter Entry'!N7,"*5"),COUNTIF('ARDT Cutter Entry'!N7,"*6"),COUNTIF('ARDT Cutter Entry'!N7,"*7"),COUNTIF('ARDT Cutter Entry'!N7,"*8"),COUNTIF('ARDT Cutter Entry'!N7,"*9")),'ARDT Cutter Entry'!N7,'ARDT Cutter Entry'!N46))),"")</f>
        <v>R2</v>
      </c>
      <c r="O19" s="244" t="str">
        <f>IF(Data!$L$32=1,IF(OR(Data!$L$2=1,Data!$L$3=1),IF(OR(Data!CD49=0,Data!CD49=""),"","O"&amp;Data!CD49),IF('ARDT Cutter Entry'!$C$111&lt;&gt;"",               IF(OR(COUNTIF('ARDT Cutter Entry'!O64,"*1"),COUNTIF('ARDT Cutter Entry'!O64,"*2"),COUNTIF('ARDT Cutter Entry'!O64,"*3"),COUNTIF('ARDT Cutter Entry'!O64,"*4"),COUNTIF('ARDT Cutter Entry'!O64,"*5"),COUNTIF('ARDT Cutter Entry'!O64,"*6"),COUNTIF('ARDT Cutter Entry'!O64,"*7"),COUNTIF('ARDT Cutter Entry'!O64,"*8"),COUNTIF('ARDT Cutter Entry'!O64,"*9")),'ARDT Cutter Entry'!O64,            'ARDT Cutter Entry'!O114),            IF(OR(COUNTIF('ARDT Cutter Entry'!O7,"*1"),COUNTIF('ARDT Cutter Entry'!O7,"*2"),COUNTIF('ARDT Cutter Entry'!O7,"*3"),COUNTIF('ARDT Cutter Entry'!O7,"*4"),COUNTIF('ARDT Cutter Entry'!O7,"*5"),COUNTIF('ARDT Cutter Entry'!O7,"*6"),COUNTIF('ARDT Cutter Entry'!O7,"*7"),COUNTIF('ARDT Cutter Entry'!O7,"*8"),COUNTIF('ARDT Cutter Entry'!O7,"*9")),'ARDT Cutter Entry'!O7,'ARDT Cutter Entry'!O46))),"")</f>
        <v>S2</v>
      </c>
      <c r="P19" s="244" t="str">
        <f>IF(Data!$L$32=1,IF(OR(Data!$L$2=1,Data!$L$3=1),IF(OR(Data!CE49=0,Data!CE49=""),"","O"&amp;Data!CE49),IF('ARDT Cutter Entry'!$C$111&lt;&gt;"",               IF(OR(COUNTIF('ARDT Cutter Entry'!P64,"*1"),COUNTIF('ARDT Cutter Entry'!P64,"*2"),COUNTIF('ARDT Cutter Entry'!P64,"*3"),COUNTIF('ARDT Cutter Entry'!P64,"*4"),COUNTIF('ARDT Cutter Entry'!P64,"*5"),COUNTIF('ARDT Cutter Entry'!P64,"*6"),COUNTIF('ARDT Cutter Entry'!P64,"*7"),COUNTIF('ARDT Cutter Entry'!P64,"*8"),COUNTIF('ARDT Cutter Entry'!P64,"*9")),'ARDT Cutter Entry'!P64,            'ARDT Cutter Entry'!P114),            IF(OR(COUNTIF('ARDT Cutter Entry'!P7,"*1"),COUNTIF('ARDT Cutter Entry'!P7,"*2"),COUNTIF('ARDT Cutter Entry'!P7,"*3"),COUNTIF('ARDT Cutter Entry'!P7,"*4"),COUNTIF('ARDT Cutter Entry'!P7,"*5"),COUNTIF('ARDT Cutter Entry'!P7,"*6"),COUNTIF('ARDT Cutter Entry'!P7,"*7"),COUNTIF('ARDT Cutter Entry'!P7,"*8"),COUNTIF('ARDT Cutter Entry'!P7,"*9")),'ARDT Cutter Entry'!P7,'ARDT Cutter Entry'!P46))),"")</f>
        <v/>
      </c>
      <c r="Q19" s="244" t="str">
        <f>IF(Data!$L$32=1,IF(OR(Data!$L$2=1,Data!$L$3=1),IF(OR(Data!CF49=0,Data!CF49=""),"","O"&amp;Data!CF49),IF('ARDT Cutter Entry'!$C$111&lt;&gt;"",               IF(OR(COUNTIF('ARDT Cutter Entry'!Q64,"*1"),COUNTIF('ARDT Cutter Entry'!Q64,"*2"),COUNTIF('ARDT Cutter Entry'!Q64,"*3"),COUNTIF('ARDT Cutter Entry'!Q64,"*4"),COUNTIF('ARDT Cutter Entry'!Q64,"*5"),COUNTIF('ARDT Cutter Entry'!Q64,"*6"),COUNTIF('ARDT Cutter Entry'!Q64,"*7"),COUNTIF('ARDT Cutter Entry'!Q64,"*8"),COUNTIF('ARDT Cutter Entry'!Q64,"*9")),'ARDT Cutter Entry'!Q64,            'ARDT Cutter Entry'!Q114),            IF(OR(COUNTIF('ARDT Cutter Entry'!Q7,"*1"),COUNTIF('ARDT Cutter Entry'!Q7,"*2"),COUNTIF('ARDT Cutter Entry'!Q7,"*3"),COUNTIF('ARDT Cutter Entry'!Q7,"*4"),COUNTIF('ARDT Cutter Entry'!Q7,"*5"),COUNTIF('ARDT Cutter Entry'!Q7,"*6"),COUNTIF('ARDT Cutter Entry'!Q7,"*7"),COUNTIF('ARDT Cutter Entry'!Q7,"*8"),COUNTIF('ARDT Cutter Entry'!Q7,"*9")),'ARDT Cutter Entry'!Q7,'ARDT Cutter Entry'!Q46))),"")</f>
        <v/>
      </c>
      <c r="R19" s="244" t="str">
        <f>IF(Data!$L$32=1,IF(OR(Data!$L$2=1,Data!$L$3=1),IF(OR(Data!CG49=0,Data!CG49=""),"","O"&amp;Data!CG49),IF('ARDT Cutter Entry'!$C$111&lt;&gt;"",               IF(OR(COUNTIF('ARDT Cutter Entry'!R64,"*1"),COUNTIF('ARDT Cutter Entry'!R64,"*2"),COUNTIF('ARDT Cutter Entry'!R64,"*3"),COUNTIF('ARDT Cutter Entry'!R64,"*4"),COUNTIF('ARDT Cutter Entry'!R64,"*5"),COUNTIF('ARDT Cutter Entry'!R64,"*6"),COUNTIF('ARDT Cutter Entry'!R64,"*7"),COUNTIF('ARDT Cutter Entry'!R64,"*8"),COUNTIF('ARDT Cutter Entry'!R64,"*9")),'ARDT Cutter Entry'!R64,            'ARDT Cutter Entry'!R114),            IF(OR(COUNTIF('ARDT Cutter Entry'!R7,"*1"),COUNTIF('ARDT Cutter Entry'!R7,"*2"),COUNTIF('ARDT Cutter Entry'!R7,"*3"),COUNTIF('ARDT Cutter Entry'!R7,"*4"),COUNTIF('ARDT Cutter Entry'!R7,"*5"),COUNTIF('ARDT Cutter Entry'!R7,"*6"),COUNTIF('ARDT Cutter Entry'!R7,"*7"),COUNTIF('ARDT Cutter Entry'!R7,"*8"),COUNTIF('ARDT Cutter Entry'!R7,"*9")),'ARDT Cutter Entry'!R7,'ARDT Cutter Entry'!R46))),"")</f>
        <v/>
      </c>
      <c r="S19" s="244" t="str">
        <f>IF(Data!$L$32=1,IF(OR(Data!$L$2=1,Data!$L$3=1),IF(OR(Data!CH49=0,Data!CH49=""),"","O"&amp;Data!CH49),IF('ARDT Cutter Entry'!$C$111&lt;&gt;"",               IF(OR(COUNTIF('ARDT Cutter Entry'!S64,"*1"),COUNTIF('ARDT Cutter Entry'!S64,"*2"),COUNTIF('ARDT Cutter Entry'!S64,"*3"),COUNTIF('ARDT Cutter Entry'!S64,"*4"),COUNTIF('ARDT Cutter Entry'!S64,"*5"),COUNTIF('ARDT Cutter Entry'!S64,"*6"),COUNTIF('ARDT Cutter Entry'!S64,"*7"),COUNTIF('ARDT Cutter Entry'!S64,"*8"),COUNTIF('ARDT Cutter Entry'!S64,"*9")),'ARDT Cutter Entry'!S64,            'ARDT Cutter Entry'!S114),            IF(OR(COUNTIF('ARDT Cutter Entry'!S7,"*1"),COUNTIF('ARDT Cutter Entry'!S7,"*2"),COUNTIF('ARDT Cutter Entry'!S7,"*3"),COUNTIF('ARDT Cutter Entry'!S7,"*4"),COUNTIF('ARDT Cutter Entry'!S7,"*5"),COUNTIF('ARDT Cutter Entry'!S7,"*6"),COUNTIF('ARDT Cutter Entry'!S7,"*7"),COUNTIF('ARDT Cutter Entry'!S7,"*8"),COUNTIF('ARDT Cutter Entry'!S7,"*9")),'ARDT Cutter Entry'!S7,'ARDT Cutter Entry'!S46))),"")</f>
        <v/>
      </c>
      <c r="T19" s="244" t="str">
        <f>IF(Data!$L$32=1,IF(OR(Data!$L$2=1,Data!$L$3=1),IF(OR(Data!CI49=0,Data!CI49=""),"","O"&amp;Data!CI49),IF('ARDT Cutter Entry'!$C$111&lt;&gt;"",               IF(OR(COUNTIF('ARDT Cutter Entry'!T64,"*1"),COUNTIF('ARDT Cutter Entry'!T64,"*2"),COUNTIF('ARDT Cutter Entry'!T64,"*3"),COUNTIF('ARDT Cutter Entry'!T64,"*4"),COUNTIF('ARDT Cutter Entry'!T64,"*5"),COUNTIF('ARDT Cutter Entry'!T64,"*6"),COUNTIF('ARDT Cutter Entry'!T64,"*7"),COUNTIF('ARDT Cutter Entry'!T64,"*8"),COUNTIF('ARDT Cutter Entry'!T64,"*9")),'ARDT Cutter Entry'!T64,            'ARDT Cutter Entry'!T114),            IF(OR(COUNTIF('ARDT Cutter Entry'!T7,"*1"),COUNTIF('ARDT Cutter Entry'!T7,"*2"),COUNTIF('ARDT Cutter Entry'!T7,"*3"),COUNTIF('ARDT Cutter Entry'!T7,"*4"),COUNTIF('ARDT Cutter Entry'!T7,"*5"),COUNTIF('ARDT Cutter Entry'!T7,"*6"),COUNTIF('ARDT Cutter Entry'!T7,"*7"),COUNTIF('ARDT Cutter Entry'!T7,"*8"),COUNTIF('ARDT Cutter Entry'!T7,"*9")),'ARDT Cutter Entry'!T7,'ARDT Cutter Entry'!T46))),"")</f>
        <v/>
      </c>
      <c r="U19" s="244" t="str">
        <f>IF(Data!$L$32=1,IF(OR(Data!$L$2=1,Data!$L$3=1),IF(OR(Data!CJ49=0,Data!CJ49=""),"","O"&amp;Data!CJ49),IF('ARDT Cutter Entry'!$C$111&lt;&gt;"",               IF(OR(COUNTIF('ARDT Cutter Entry'!U64,"*1"),COUNTIF('ARDT Cutter Entry'!U64,"*2"),COUNTIF('ARDT Cutter Entry'!U64,"*3"),COUNTIF('ARDT Cutter Entry'!U64,"*4"),COUNTIF('ARDT Cutter Entry'!U64,"*5"),COUNTIF('ARDT Cutter Entry'!U64,"*6"),COUNTIF('ARDT Cutter Entry'!U64,"*7"),COUNTIF('ARDT Cutter Entry'!U64,"*8"),COUNTIF('ARDT Cutter Entry'!U64,"*9")),'ARDT Cutter Entry'!U64,            'ARDT Cutter Entry'!U114),            IF(OR(COUNTIF('ARDT Cutter Entry'!U7,"*1"),COUNTIF('ARDT Cutter Entry'!U7,"*2"),COUNTIF('ARDT Cutter Entry'!U7,"*3"),COUNTIF('ARDT Cutter Entry'!U7,"*4"),COUNTIF('ARDT Cutter Entry'!U7,"*5"),COUNTIF('ARDT Cutter Entry'!U7,"*6"),COUNTIF('ARDT Cutter Entry'!U7,"*7"),COUNTIF('ARDT Cutter Entry'!U7,"*8"),COUNTIF('ARDT Cutter Entry'!U7,"*9")),'ARDT Cutter Entry'!U7,'ARDT Cutter Entry'!U46))),"")</f>
        <v/>
      </c>
      <c r="V19" s="244" t="str">
        <f>IF(Data!$L$32=1,IF(OR(Data!$L$2=1,Data!$L$3=1),IF(OR(Data!CK49=0,Data!CK49=""),"","O"&amp;Data!CK49),IF('ARDT Cutter Entry'!$C$111&lt;&gt;"",               IF(OR(COUNTIF('ARDT Cutter Entry'!V64,"*1"),COUNTIF('ARDT Cutter Entry'!V64,"*2"),COUNTIF('ARDT Cutter Entry'!V64,"*3"),COUNTIF('ARDT Cutter Entry'!V64,"*4"),COUNTIF('ARDT Cutter Entry'!V64,"*5"),COUNTIF('ARDT Cutter Entry'!V64,"*6"),COUNTIF('ARDT Cutter Entry'!V64,"*7"),COUNTIF('ARDT Cutter Entry'!V64,"*8"),COUNTIF('ARDT Cutter Entry'!V64,"*9")),'ARDT Cutter Entry'!V64,            'ARDT Cutter Entry'!V114),            IF(OR(COUNTIF('ARDT Cutter Entry'!V7,"*1"),COUNTIF('ARDT Cutter Entry'!V7,"*2"),COUNTIF('ARDT Cutter Entry'!V7,"*3"),COUNTIF('ARDT Cutter Entry'!V7,"*4"),COUNTIF('ARDT Cutter Entry'!V7,"*5"),COUNTIF('ARDT Cutter Entry'!V7,"*6"),COUNTIF('ARDT Cutter Entry'!V7,"*7"),COUNTIF('ARDT Cutter Entry'!V7,"*8"),COUNTIF('ARDT Cutter Entry'!V7,"*9")),'ARDT Cutter Entry'!V7,'ARDT Cutter Entry'!V46))),"")</f>
        <v/>
      </c>
      <c r="W19" s="244" t="str">
        <f>IF(Data!$L$32=1,IF(OR(Data!$L$2=1,Data!$L$3=1),IF(OR(Data!CL49=0,Data!CL49=""),"","O"&amp;Data!CL49),IF('ARDT Cutter Entry'!$C$111&lt;&gt;"",               IF(OR(COUNTIF('ARDT Cutter Entry'!W64,"*1"),COUNTIF('ARDT Cutter Entry'!W64,"*2"),COUNTIF('ARDT Cutter Entry'!W64,"*3"),COUNTIF('ARDT Cutter Entry'!W64,"*4"),COUNTIF('ARDT Cutter Entry'!W64,"*5"),COUNTIF('ARDT Cutter Entry'!W64,"*6"),COUNTIF('ARDT Cutter Entry'!W64,"*7"),COUNTIF('ARDT Cutter Entry'!W64,"*8"),COUNTIF('ARDT Cutter Entry'!W64,"*9")),'ARDT Cutter Entry'!W64,            'ARDT Cutter Entry'!W114),            IF(OR(COUNTIF('ARDT Cutter Entry'!W7,"*1"),COUNTIF('ARDT Cutter Entry'!W7,"*2"),COUNTIF('ARDT Cutter Entry'!W7,"*3"),COUNTIF('ARDT Cutter Entry'!W7,"*4"),COUNTIF('ARDT Cutter Entry'!W7,"*5"),COUNTIF('ARDT Cutter Entry'!W7,"*6"),COUNTIF('ARDT Cutter Entry'!W7,"*7"),COUNTIF('ARDT Cutter Entry'!W7,"*8"),COUNTIF('ARDT Cutter Entry'!W7,"*9")),'ARDT Cutter Entry'!W7,'ARDT Cutter Entry'!W46))),"")</f>
        <v/>
      </c>
      <c r="X19" s="244" t="str">
        <f>IF(Data!$L$32=1,IF(OR(Data!$L$2=1,Data!$L$3=1),IF(OR(Data!CM49=0,Data!CM49=""),"","O"&amp;Data!CM49),IF('ARDT Cutter Entry'!$C$111&lt;&gt;"",               IF(OR(COUNTIF('ARDT Cutter Entry'!X64,"*1"),COUNTIF('ARDT Cutter Entry'!X64,"*2"),COUNTIF('ARDT Cutter Entry'!X64,"*3"),COUNTIF('ARDT Cutter Entry'!X64,"*4"),COUNTIF('ARDT Cutter Entry'!X64,"*5"),COUNTIF('ARDT Cutter Entry'!X64,"*6"),COUNTIF('ARDT Cutter Entry'!X64,"*7"),COUNTIF('ARDT Cutter Entry'!X64,"*8"),COUNTIF('ARDT Cutter Entry'!X64,"*9")),'ARDT Cutter Entry'!X64,            'ARDT Cutter Entry'!X114),            IF(OR(COUNTIF('ARDT Cutter Entry'!X7,"*1"),COUNTIF('ARDT Cutter Entry'!X7,"*2"),COUNTIF('ARDT Cutter Entry'!X7,"*3"),COUNTIF('ARDT Cutter Entry'!X7,"*4"),COUNTIF('ARDT Cutter Entry'!X7,"*5"),COUNTIF('ARDT Cutter Entry'!X7,"*6"),COUNTIF('ARDT Cutter Entry'!X7,"*7"),COUNTIF('ARDT Cutter Entry'!X7,"*8"),COUNTIF('ARDT Cutter Entry'!X7,"*9")),'ARDT Cutter Entry'!X7,'ARDT Cutter Entry'!X46))),"")</f>
        <v/>
      </c>
      <c r="Y19" s="244" t="str">
        <f>IF(Data!$L$32=1,IF(OR(Data!$L$2=1,Data!$L$3=1),IF(OR(Data!CN49=0,Data!CN49=""),"","O"&amp;Data!CN49),IF('ARDT Cutter Entry'!$C$111&lt;&gt;"",               IF(OR(COUNTIF('ARDT Cutter Entry'!Y64,"*1"),COUNTIF('ARDT Cutter Entry'!Y64,"*2"),COUNTIF('ARDT Cutter Entry'!Y64,"*3"),COUNTIF('ARDT Cutter Entry'!Y64,"*4"),COUNTIF('ARDT Cutter Entry'!Y64,"*5"),COUNTIF('ARDT Cutter Entry'!Y64,"*6"),COUNTIF('ARDT Cutter Entry'!Y64,"*7"),COUNTIF('ARDT Cutter Entry'!Y64,"*8"),COUNTIF('ARDT Cutter Entry'!Y64,"*9")),'ARDT Cutter Entry'!Y64,            'ARDT Cutter Entry'!Y114),            IF(OR(COUNTIF('ARDT Cutter Entry'!Y7,"*1"),COUNTIF('ARDT Cutter Entry'!Y7,"*2"),COUNTIF('ARDT Cutter Entry'!Y7,"*3"),COUNTIF('ARDT Cutter Entry'!Y7,"*4"),COUNTIF('ARDT Cutter Entry'!Y7,"*5"),COUNTIF('ARDT Cutter Entry'!Y7,"*6"),COUNTIF('ARDT Cutter Entry'!Y7,"*7"),COUNTIF('ARDT Cutter Entry'!Y7,"*8"),COUNTIF('ARDT Cutter Entry'!Y7,"*9")),'ARDT Cutter Entry'!Y7,'ARDT Cutter Entry'!Y46))),"")</f>
        <v/>
      </c>
      <c r="Z19" s="244" t="str">
        <f>IF(Data!$L$32=1,IF(OR(Data!$L$2=1,Data!$L$3=1),IF(OR(Data!CO49=0,Data!CO49=""),"","O"&amp;Data!CO49),IF('ARDT Cutter Entry'!$C$111&lt;&gt;"",               IF(OR(COUNTIF('ARDT Cutter Entry'!Z64,"*1"),COUNTIF('ARDT Cutter Entry'!Z64,"*2"),COUNTIF('ARDT Cutter Entry'!Z64,"*3"),COUNTIF('ARDT Cutter Entry'!Z64,"*4"),COUNTIF('ARDT Cutter Entry'!Z64,"*5"),COUNTIF('ARDT Cutter Entry'!Z64,"*6"),COUNTIF('ARDT Cutter Entry'!Z64,"*7"),COUNTIF('ARDT Cutter Entry'!Z64,"*8"),COUNTIF('ARDT Cutter Entry'!Z64,"*9")),'ARDT Cutter Entry'!Z64,            'ARDT Cutter Entry'!Z114),            IF(OR(COUNTIF('ARDT Cutter Entry'!Z7,"*1"),COUNTIF('ARDT Cutter Entry'!Z7,"*2"),COUNTIF('ARDT Cutter Entry'!Z7,"*3"),COUNTIF('ARDT Cutter Entry'!Z7,"*4"),COUNTIF('ARDT Cutter Entry'!Z7,"*5"),COUNTIF('ARDT Cutter Entry'!Z7,"*6"),COUNTIF('ARDT Cutter Entry'!Z7,"*7"),COUNTIF('ARDT Cutter Entry'!Z7,"*8"),COUNTIF('ARDT Cutter Entry'!Z7,"*9")),'ARDT Cutter Entry'!Z7,'ARDT Cutter Entry'!Z46))),"")</f>
        <v/>
      </c>
      <c r="AA19" s="1056" t="str">
        <f>IF(Data!$L$32=1,IF(OR(Data!$L$2=1,Data!$L$3=1),IF(OR(Data!CP49=0,Data!CP49=""),"","O"&amp;Data!CP49),IF('ARDT Cutter Entry'!$C$111&lt;&gt;"",               IF(OR(COUNTIF('ARDT Cutter Entry'!AA64,"*1"),COUNTIF('ARDT Cutter Entry'!AA64,"*2"),COUNTIF('ARDT Cutter Entry'!AA64,"*3"),COUNTIF('ARDT Cutter Entry'!AA64,"*4"),COUNTIF('ARDT Cutter Entry'!AA64,"*5"),COUNTIF('ARDT Cutter Entry'!AA64,"*6"),COUNTIF('ARDT Cutter Entry'!AA64,"*7"),COUNTIF('ARDT Cutter Entry'!AA64,"*8"),COUNTIF('ARDT Cutter Entry'!AA64,"*9")),'ARDT Cutter Entry'!AA64,            'ARDT Cutter Entry'!AA114),            IF(OR(COUNTIF('ARDT Cutter Entry'!AA7,"*1"),COUNTIF('ARDT Cutter Entry'!AA7,"*2"),COUNTIF('ARDT Cutter Entry'!AA7,"*3"),COUNTIF('ARDT Cutter Entry'!AA7,"*4"),COUNTIF('ARDT Cutter Entry'!AA7,"*5"),COUNTIF('ARDT Cutter Entry'!AA7,"*6"),COUNTIF('ARDT Cutter Entry'!AA7,"*7"),COUNTIF('ARDT Cutter Entry'!AA7,"*8"),COUNTIF('ARDT Cutter Entry'!AA7,"*9")),'ARDT Cutter Entry'!AA7,'ARDT Cutter Entry'!AA46))),"")</f>
        <v/>
      </c>
    </row>
    <row r="20" spans="1:27" ht="16" customHeight="1" x14ac:dyDescent="0.35">
      <c r="A20" s="1825"/>
      <c r="B20" s="446">
        <v>5</v>
      </c>
      <c r="C20" s="230" t="str">
        <f>IF(Data!$L$32=1,IF(OR(Data!$L$2=1,Data!$L$3=1),IF(OR(Data!BR50=0,Data!BR50=""),"","O"&amp;Data!BR50),IF('ARDT Cutter Entry'!$C$111&lt;&gt;"",               IF(OR(COUNTIF('ARDT Cutter Entry'!C65,"*1"),COUNTIF('ARDT Cutter Entry'!C65,"*2"),COUNTIF('ARDT Cutter Entry'!C65,"*3"),COUNTIF('ARDT Cutter Entry'!C65,"*4"),COUNTIF('ARDT Cutter Entry'!C65,"*5"),COUNTIF('ARDT Cutter Entry'!C65,"*6"),COUNTIF('ARDT Cutter Entry'!C65,"*7"),COUNTIF('ARDT Cutter Entry'!C65,"*8"),COUNTIF('ARDT Cutter Entry'!C65,"*9")),'ARDT Cutter Entry'!C65,            'ARDT Cutter Entry'!C115),            IF(OR(COUNTIF('ARDT Cutter Entry'!C8,"*1"),COUNTIF('ARDT Cutter Entry'!C8,"*2"),COUNTIF('ARDT Cutter Entry'!C8,"*3"),COUNTIF('ARDT Cutter Entry'!C8,"*4"),COUNTIF('ARDT Cutter Entry'!C8,"*5"),COUNTIF('ARDT Cutter Entry'!C8,"*6"),COUNTIF('ARDT Cutter Entry'!C8,"*7"),COUNTIF('ARDT Cutter Entry'!C8,"*8"),COUNTIF('ARDT Cutter Entry'!C8,"*9")),'ARDT Cutter Entry'!C8,'ARDT Cutter Entry'!C47))),"")</f>
        <v>R1</v>
      </c>
      <c r="D20" s="244" t="str">
        <f>IF(Data!$L$32=1,IF(OR(Data!$L$2=1,Data!$L$3=1),IF(OR(Data!BS50=0,Data!BS50=""),"","O"&amp;Data!BS50),IF('ARDT Cutter Entry'!$C$111&lt;&gt;"",               IF(OR(COUNTIF('ARDT Cutter Entry'!D65,"*1"),COUNTIF('ARDT Cutter Entry'!D65,"*2"),COUNTIF('ARDT Cutter Entry'!D65,"*3"),COUNTIF('ARDT Cutter Entry'!D65,"*4"),COUNTIF('ARDT Cutter Entry'!D65,"*5"),COUNTIF('ARDT Cutter Entry'!D65,"*6"),COUNTIF('ARDT Cutter Entry'!D65,"*7"),COUNTIF('ARDT Cutter Entry'!D65,"*8"),COUNTIF('ARDT Cutter Entry'!D65,"*9")),'ARDT Cutter Entry'!D65,            'ARDT Cutter Entry'!D115),            IF(OR(COUNTIF('ARDT Cutter Entry'!D8,"*1"),COUNTIF('ARDT Cutter Entry'!D8,"*2"),COUNTIF('ARDT Cutter Entry'!D8,"*3"),COUNTIF('ARDT Cutter Entry'!D8,"*4"),COUNTIF('ARDT Cutter Entry'!D8,"*5"),COUNTIF('ARDT Cutter Entry'!D8,"*6"),COUNTIF('ARDT Cutter Entry'!D8,"*7"),COUNTIF('ARDT Cutter Entry'!D8,"*8"),COUNTIF('ARDT Cutter Entry'!D8,"*9")),'ARDT Cutter Entry'!D8,'ARDT Cutter Entry'!D47))),"")</f>
        <v>R1</v>
      </c>
      <c r="E20" s="244" t="str">
        <f>IF(Data!$L$32=1,IF(OR(Data!$L$2=1,Data!$L$3=1),IF(OR(Data!BT50=0,Data!BT50=""),"","O"&amp;Data!BT50),IF('ARDT Cutter Entry'!$C$111&lt;&gt;"",               IF(OR(COUNTIF('ARDT Cutter Entry'!E65,"*1"),COUNTIF('ARDT Cutter Entry'!E65,"*2"),COUNTIF('ARDT Cutter Entry'!E65,"*3"),COUNTIF('ARDT Cutter Entry'!E65,"*4"),COUNTIF('ARDT Cutter Entry'!E65,"*5"),COUNTIF('ARDT Cutter Entry'!E65,"*6"),COUNTIF('ARDT Cutter Entry'!E65,"*7"),COUNTIF('ARDT Cutter Entry'!E65,"*8"),COUNTIF('ARDT Cutter Entry'!E65,"*9")),'ARDT Cutter Entry'!E65,            'ARDT Cutter Entry'!E115),            IF(OR(COUNTIF('ARDT Cutter Entry'!E8,"*1"),COUNTIF('ARDT Cutter Entry'!E8,"*2"),COUNTIF('ARDT Cutter Entry'!E8,"*3"),COUNTIF('ARDT Cutter Entry'!E8,"*4"),COUNTIF('ARDT Cutter Entry'!E8,"*5"),COUNTIF('ARDT Cutter Entry'!E8,"*6"),COUNTIF('ARDT Cutter Entry'!E8,"*7"),COUNTIF('ARDT Cutter Entry'!E8,"*8"),COUNTIF('ARDT Cutter Entry'!E8,"*9")),'ARDT Cutter Entry'!E8,'ARDT Cutter Entry'!E47))),"")</f>
        <v>X5</v>
      </c>
      <c r="F20" s="244" t="str">
        <f>IF(Data!$L$32=1,IF(OR(Data!$L$2=1,Data!$L$3=1),IF(OR(Data!BU50=0,Data!BU50=""),"","O"&amp;Data!BU50),IF('ARDT Cutter Entry'!$C$111&lt;&gt;"",               IF(OR(COUNTIF('ARDT Cutter Entry'!F65,"*1"),COUNTIF('ARDT Cutter Entry'!F65,"*2"),COUNTIF('ARDT Cutter Entry'!F65,"*3"),COUNTIF('ARDT Cutter Entry'!F65,"*4"),COUNTIF('ARDT Cutter Entry'!F65,"*5"),COUNTIF('ARDT Cutter Entry'!F65,"*6"),COUNTIF('ARDT Cutter Entry'!F65,"*7"),COUNTIF('ARDT Cutter Entry'!F65,"*8"),COUNTIF('ARDT Cutter Entry'!F65,"*9")),'ARDT Cutter Entry'!F65,            'ARDT Cutter Entry'!F115),            IF(OR(COUNTIF('ARDT Cutter Entry'!F8,"*1"),COUNTIF('ARDT Cutter Entry'!F8,"*2"),COUNTIF('ARDT Cutter Entry'!F8,"*3"),COUNTIF('ARDT Cutter Entry'!F8,"*4"),COUNTIF('ARDT Cutter Entry'!F8,"*5"),COUNTIF('ARDT Cutter Entry'!F8,"*6"),COUNTIF('ARDT Cutter Entry'!F8,"*7"),COUNTIF('ARDT Cutter Entry'!F8,"*8"),COUNTIF('ARDT Cutter Entry'!F8,"*9")),'ARDT Cutter Entry'!F8,'ARDT Cutter Entry'!F47))),"")</f>
        <v>X5</v>
      </c>
      <c r="G20" s="244" t="str">
        <f>IF(Data!$L$32=1,IF(OR(Data!$L$2=1,Data!$L$3=1),IF(OR(Data!BV50=0,Data!BV50=""),"","O"&amp;Data!BV50),IF('ARDT Cutter Entry'!$C$111&lt;&gt;"",               IF(OR(COUNTIF('ARDT Cutter Entry'!G65,"*1"),COUNTIF('ARDT Cutter Entry'!G65,"*2"),COUNTIF('ARDT Cutter Entry'!G65,"*3"),COUNTIF('ARDT Cutter Entry'!G65,"*4"),COUNTIF('ARDT Cutter Entry'!G65,"*5"),COUNTIF('ARDT Cutter Entry'!G65,"*6"),COUNTIF('ARDT Cutter Entry'!G65,"*7"),COUNTIF('ARDT Cutter Entry'!G65,"*8"),COUNTIF('ARDT Cutter Entry'!G65,"*9")),'ARDT Cutter Entry'!G65,            'ARDT Cutter Entry'!G115),            IF(OR(COUNTIF('ARDT Cutter Entry'!G8,"*1"),COUNTIF('ARDT Cutter Entry'!G8,"*2"),COUNTIF('ARDT Cutter Entry'!G8,"*3"),COUNTIF('ARDT Cutter Entry'!G8,"*4"),COUNTIF('ARDT Cutter Entry'!G8,"*5"),COUNTIF('ARDT Cutter Entry'!G8,"*6"),COUNTIF('ARDT Cutter Entry'!G8,"*7"),COUNTIF('ARDT Cutter Entry'!G8,"*8"),COUNTIF('ARDT Cutter Entry'!G8,"*9")),'ARDT Cutter Entry'!G8,'ARDT Cutter Entry'!G47))),"")</f>
        <v>X5</v>
      </c>
      <c r="H20" s="244" t="str">
        <f>IF(Data!$L$32=1,IF(OR(Data!$L$2=1,Data!$L$3=1),IF(OR(Data!BW50=0,Data!BW50=""),"","O"&amp;Data!BW50),IF('ARDT Cutter Entry'!$C$111&lt;&gt;"",               IF(OR(COUNTIF('ARDT Cutter Entry'!H65,"*1"),COUNTIF('ARDT Cutter Entry'!H65,"*2"),COUNTIF('ARDT Cutter Entry'!H65,"*3"),COUNTIF('ARDT Cutter Entry'!H65,"*4"),COUNTIF('ARDT Cutter Entry'!H65,"*5"),COUNTIF('ARDT Cutter Entry'!H65,"*6"),COUNTIF('ARDT Cutter Entry'!H65,"*7"),COUNTIF('ARDT Cutter Entry'!H65,"*8"),COUNTIF('ARDT Cutter Entry'!H65,"*9")),'ARDT Cutter Entry'!H65,            'ARDT Cutter Entry'!H115),            IF(OR(COUNTIF('ARDT Cutter Entry'!H8,"*1"),COUNTIF('ARDT Cutter Entry'!H8,"*2"),COUNTIF('ARDT Cutter Entry'!H8,"*3"),COUNTIF('ARDT Cutter Entry'!H8,"*4"),COUNTIF('ARDT Cutter Entry'!H8,"*5"),COUNTIF('ARDT Cutter Entry'!H8,"*6"),COUNTIF('ARDT Cutter Entry'!H8,"*7"),COUNTIF('ARDT Cutter Entry'!H8,"*8"),COUNTIF('ARDT Cutter Entry'!H8,"*9")),'ARDT Cutter Entry'!H8,'ARDT Cutter Entry'!H47))),"")</f>
        <v>X5</v>
      </c>
      <c r="I20" s="244" t="str">
        <f>IF(Data!$L$32=1,IF(OR(Data!$L$2=1,Data!$L$3=1),IF(OR(Data!BX50=0,Data!BX50=""),"","O"&amp;Data!BX50),IF('ARDT Cutter Entry'!$C$111&lt;&gt;"",               IF(OR(COUNTIF('ARDT Cutter Entry'!I65,"*1"),COUNTIF('ARDT Cutter Entry'!I65,"*2"),COUNTIF('ARDT Cutter Entry'!I65,"*3"),COUNTIF('ARDT Cutter Entry'!I65,"*4"),COUNTIF('ARDT Cutter Entry'!I65,"*5"),COUNTIF('ARDT Cutter Entry'!I65,"*6"),COUNTIF('ARDT Cutter Entry'!I65,"*7"),COUNTIF('ARDT Cutter Entry'!I65,"*8"),COUNTIF('ARDT Cutter Entry'!I65,"*9")),'ARDT Cutter Entry'!I65,            'ARDT Cutter Entry'!I115),            IF(OR(COUNTIF('ARDT Cutter Entry'!I8,"*1"),COUNTIF('ARDT Cutter Entry'!I8,"*2"),COUNTIF('ARDT Cutter Entry'!I8,"*3"),COUNTIF('ARDT Cutter Entry'!I8,"*4"),COUNTIF('ARDT Cutter Entry'!I8,"*5"),COUNTIF('ARDT Cutter Entry'!I8,"*6"),COUNTIF('ARDT Cutter Entry'!I8,"*7"),COUNTIF('ARDT Cutter Entry'!I8,"*8"),COUNTIF('ARDT Cutter Entry'!I8,"*9")),'ARDT Cutter Entry'!I8,'ARDT Cutter Entry'!I47))),"")</f>
        <v>R1</v>
      </c>
      <c r="J20" s="244" t="str">
        <f>IF(Data!$L$32=1,IF(OR(Data!$L$2=1,Data!$L$3=1),IF(OR(Data!BY50=0,Data!BY50=""),"","O"&amp;Data!BY50),IF('ARDT Cutter Entry'!$C$111&lt;&gt;"",               IF(OR(COUNTIF('ARDT Cutter Entry'!J65,"*1"),COUNTIF('ARDT Cutter Entry'!J65,"*2"),COUNTIF('ARDT Cutter Entry'!J65,"*3"),COUNTIF('ARDT Cutter Entry'!J65,"*4"),COUNTIF('ARDT Cutter Entry'!J65,"*5"),COUNTIF('ARDT Cutter Entry'!J65,"*6"),COUNTIF('ARDT Cutter Entry'!J65,"*7"),COUNTIF('ARDT Cutter Entry'!J65,"*8"),COUNTIF('ARDT Cutter Entry'!J65,"*9")),'ARDT Cutter Entry'!J65,            'ARDT Cutter Entry'!J115),            IF(OR(COUNTIF('ARDT Cutter Entry'!J8,"*1"),COUNTIF('ARDT Cutter Entry'!J8,"*2"),COUNTIF('ARDT Cutter Entry'!J8,"*3"),COUNTIF('ARDT Cutter Entry'!J8,"*4"),COUNTIF('ARDT Cutter Entry'!J8,"*5"),COUNTIF('ARDT Cutter Entry'!J8,"*6"),COUNTIF('ARDT Cutter Entry'!J8,"*7"),COUNTIF('ARDT Cutter Entry'!J8,"*8"),COUNTIF('ARDT Cutter Entry'!J8,"*9")),'ARDT Cutter Entry'!J8,'ARDT Cutter Entry'!J47))),"")</f>
        <v>X3</v>
      </c>
      <c r="K20" s="244" t="str">
        <f>IF(Data!$L$32=1,IF(OR(Data!$L$2=1,Data!$L$3=1),IF(OR(Data!BZ50=0,Data!BZ50=""),"","O"&amp;Data!BZ50),IF('ARDT Cutter Entry'!$C$111&lt;&gt;"",               IF(OR(COUNTIF('ARDT Cutter Entry'!K65,"*1"),COUNTIF('ARDT Cutter Entry'!K65,"*2"),COUNTIF('ARDT Cutter Entry'!K65,"*3"),COUNTIF('ARDT Cutter Entry'!K65,"*4"),COUNTIF('ARDT Cutter Entry'!K65,"*5"),COUNTIF('ARDT Cutter Entry'!K65,"*6"),COUNTIF('ARDT Cutter Entry'!K65,"*7"),COUNTIF('ARDT Cutter Entry'!K65,"*8"),COUNTIF('ARDT Cutter Entry'!K65,"*9")),'ARDT Cutter Entry'!K65,            'ARDT Cutter Entry'!K115),            IF(OR(COUNTIF('ARDT Cutter Entry'!K8,"*1"),COUNTIF('ARDT Cutter Entry'!K8,"*2"),COUNTIF('ARDT Cutter Entry'!K8,"*3"),COUNTIF('ARDT Cutter Entry'!K8,"*4"),COUNTIF('ARDT Cutter Entry'!K8,"*5"),COUNTIF('ARDT Cutter Entry'!K8,"*6"),COUNTIF('ARDT Cutter Entry'!K8,"*7"),COUNTIF('ARDT Cutter Entry'!K8,"*8"),COUNTIF('ARDT Cutter Entry'!K8,"*9")),'ARDT Cutter Entry'!K8,'ARDT Cutter Entry'!K47))),"")</f>
        <v/>
      </c>
      <c r="L20" s="244" t="str">
        <f>IF(Data!$L$32=1,IF(OR(Data!$L$2=1,Data!$L$3=1),IF(OR(Data!CA50=0,Data!CA50=""),"","O"&amp;Data!CA50),IF('ARDT Cutter Entry'!$C$111&lt;&gt;"",               IF(OR(COUNTIF('ARDT Cutter Entry'!L65,"*1"),COUNTIF('ARDT Cutter Entry'!L65,"*2"),COUNTIF('ARDT Cutter Entry'!L65,"*3"),COUNTIF('ARDT Cutter Entry'!L65,"*4"),COUNTIF('ARDT Cutter Entry'!L65,"*5"),COUNTIF('ARDT Cutter Entry'!L65,"*6"),COUNTIF('ARDT Cutter Entry'!L65,"*7"),COUNTIF('ARDT Cutter Entry'!L65,"*8"),COUNTIF('ARDT Cutter Entry'!L65,"*9")),'ARDT Cutter Entry'!L65,            'ARDT Cutter Entry'!L115),            IF(OR(COUNTIF('ARDT Cutter Entry'!L8,"*1"),COUNTIF('ARDT Cutter Entry'!L8,"*2"),COUNTIF('ARDT Cutter Entry'!L8,"*3"),COUNTIF('ARDT Cutter Entry'!L8,"*4"),COUNTIF('ARDT Cutter Entry'!L8,"*5"),COUNTIF('ARDT Cutter Entry'!L8,"*6"),COUNTIF('ARDT Cutter Entry'!L8,"*7"),COUNTIF('ARDT Cutter Entry'!L8,"*8"),COUNTIF('ARDT Cutter Entry'!L8,"*9")),'ARDT Cutter Entry'!L8,'ARDT Cutter Entry'!L47))),"")</f>
        <v>R2</v>
      </c>
      <c r="M20" s="244" t="str">
        <f>IF(Data!$L$32=1,IF(OR(Data!$L$2=1,Data!$L$3=1),IF(OR(Data!CB50=0,Data!CB50=""),"","O"&amp;Data!CB50),IF('ARDT Cutter Entry'!$C$111&lt;&gt;"",               IF(OR(COUNTIF('ARDT Cutter Entry'!M65,"*1"),COUNTIF('ARDT Cutter Entry'!M65,"*2"),COUNTIF('ARDT Cutter Entry'!M65,"*3"),COUNTIF('ARDT Cutter Entry'!M65,"*4"),COUNTIF('ARDT Cutter Entry'!M65,"*5"),COUNTIF('ARDT Cutter Entry'!M65,"*6"),COUNTIF('ARDT Cutter Entry'!M65,"*7"),COUNTIF('ARDT Cutter Entry'!M65,"*8"),COUNTIF('ARDT Cutter Entry'!M65,"*9")),'ARDT Cutter Entry'!M65,            'ARDT Cutter Entry'!M115),            IF(OR(COUNTIF('ARDT Cutter Entry'!M8,"*1"),COUNTIF('ARDT Cutter Entry'!M8,"*2"),COUNTIF('ARDT Cutter Entry'!M8,"*3"),COUNTIF('ARDT Cutter Entry'!M8,"*4"),COUNTIF('ARDT Cutter Entry'!M8,"*5"),COUNTIF('ARDT Cutter Entry'!M8,"*6"),COUNTIF('ARDT Cutter Entry'!M8,"*7"),COUNTIF('ARDT Cutter Entry'!M8,"*8"),COUNTIF('ARDT Cutter Entry'!M8,"*9")),'ARDT Cutter Entry'!M8,'ARDT Cutter Entry'!M47))),"")</f>
        <v>X4</v>
      </c>
      <c r="N20" s="244" t="str">
        <f>IF(Data!$L$32=1,IF(OR(Data!$L$2=1,Data!$L$3=1),IF(OR(Data!CC50=0,Data!CC50=""),"","O"&amp;Data!CC50),IF('ARDT Cutter Entry'!$C$111&lt;&gt;"",               IF(OR(COUNTIF('ARDT Cutter Entry'!N65,"*1"),COUNTIF('ARDT Cutter Entry'!N65,"*2"),COUNTIF('ARDT Cutter Entry'!N65,"*3"),COUNTIF('ARDT Cutter Entry'!N65,"*4"),COUNTIF('ARDT Cutter Entry'!N65,"*5"),COUNTIF('ARDT Cutter Entry'!N65,"*6"),COUNTIF('ARDT Cutter Entry'!N65,"*7"),COUNTIF('ARDT Cutter Entry'!N65,"*8"),COUNTIF('ARDT Cutter Entry'!N65,"*9")),'ARDT Cutter Entry'!N65,            'ARDT Cutter Entry'!N115),            IF(OR(COUNTIF('ARDT Cutter Entry'!N8,"*1"),COUNTIF('ARDT Cutter Entry'!N8,"*2"),COUNTIF('ARDT Cutter Entry'!N8,"*3"),COUNTIF('ARDT Cutter Entry'!N8,"*4"),COUNTIF('ARDT Cutter Entry'!N8,"*5"),COUNTIF('ARDT Cutter Entry'!N8,"*6"),COUNTIF('ARDT Cutter Entry'!N8,"*7"),COUNTIF('ARDT Cutter Entry'!N8,"*8"),COUNTIF('ARDT Cutter Entry'!N8,"*9")),'ARDT Cutter Entry'!N8,'ARDT Cutter Entry'!N47))),"")</f>
        <v>R2</v>
      </c>
      <c r="O20" s="244" t="str">
        <f>IF(Data!$L$32=1,IF(OR(Data!$L$2=1,Data!$L$3=1),IF(OR(Data!CD50=0,Data!CD50=""),"","O"&amp;Data!CD50),IF('ARDT Cutter Entry'!$C$111&lt;&gt;"",               IF(OR(COUNTIF('ARDT Cutter Entry'!O65,"*1"),COUNTIF('ARDT Cutter Entry'!O65,"*2"),COUNTIF('ARDT Cutter Entry'!O65,"*3"),COUNTIF('ARDT Cutter Entry'!O65,"*4"),COUNTIF('ARDT Cutter Entry'!O65,"*5"),COUNTIF('ARDT Cutter Entry'!O65,"*6"),COUNTIF('ARDT Cutter Entry'!O65,"*7"),COUNTIF('ARDT Cutter Entry'!O65,"*8"),COUNTIF('ARDT Cutter Entry'!O65,"*9")),'ARDT Cutter Entry'!O65,            'ARDT Cutter Entry'!O115),            IF(OR(COUNTIF('ARDT Cutter Entry'!O8,"*1"),COUNTIF('ARDT Cutter Entry'!O8,"*2"),COUNTIF('ARDT Cutter Entry'!O8,"*3"),COUNTIF('ARDT Cutter Entry'!O8,"*4"),COUNTIF('ARDT Cutter Entry'!O8,"*5"),COUNTIF('ARDT Cutter Entry'!O8,"*6"),COUNTIF('ARDT Cutter Entry'!O8,"*7"),COUNTIF('ARDT Cutter Entry'!O8,"*8"),COUNTIF('ARDT Cutter Entry'!O8,"*9")),'ARDT Cutter Entry'!O8,'ARDT Cutter Entry'!O47))),"")</f>
        <v>R2</v>
      </c>
      <c r="P20" s="244" t="str">
        <f>IF(Data!$L$32=1,IF(OR(Data!$L$2=1,Data!$L$3=1),IF(OR(Data!CE50=0,Data!CE50=""),"","O"&amp;Data!CE50),IF('ARDT Cutter Entry'!$C$111&lt;&gt;"",               IF(OR(COUNTIF('ARDT Cutter Entry'!P65,"*1"),COUNTIF('ARDT Cutter Entry'!P65,"*2"),COUNTIF('ARDT Cutter Entry'!P65,"*3"),COUNTIF('ARDT Cutter Entry'!P65,"*4"),COUNTIF('ARDT Cutter Entry'!P65,"*5"),COUNTIF('ARDT Cutter Entry'!P65,"*6"),COUNTIF('ARDT Cutter Entry'!P65,"*7"),COUNTIF('ARDT Cutter Entry'!P65,"*8"),COUNTIF('ARDT Cutter Entry'!P65,"*9")),'ARDT Cutter Entry'!P65,            'ARDT Cutter Entry'!P115),            IF(OR(COUNTIF('ARDT Cutter Entry'!P8,"*1"),COUNTIF('ARDT Cutter Entry'!P8,"*2"),COUNTIF('ARDT Cutter Entry'!P8,"*3"),COUNTIF('ARDT Cutter Entry'!P8,"*4"),COUNTIF('ARDT Cutter Entry'!P8,"*5"),COUNTIF('ARDT Cutter Entry'!P8,"*6"),COUNTIF('ARDT Cutter Entry'!P8,"*7"),COUNTIF('ARDT Cutter Entry'!P8,"*8"),COUNTIF('ARDT Cutter Entry'!P8,"*9")),'ARDT Cutter Entry'!P8,'ARDT Cutter Entry'!P47))),"")</f>
        <v/>
      </c>
      <c r="Q20" s="244" t="str">
        <f>IF(Data!$L$32=1,IF(OR(Data!$L$2=1,Data!$L$3=1),IF(OR(Data!CF50=0,Data!CF50=""),"","O"&amp;Data!CF50),IF('ARDT Cutter Entry'!$C$111&lt;&gt;"",               IF(OR(COUNTIF('ARDT Cutter Entry'!Q65,"*1"),COUNTIF('ARDT Cutter Entry'!Q65,"*2"),COUNTIF('ARDT Cutter Entry'!Q65,"*3"),COUNTIF('ARDT Cutter Entry'!Q65,"*4"),COUNTIF('ARDT Cutter Entry'!Q65,"*5"),COUNTIF('ARDT Cutter Entry'!Q65,"*6"),COUNTIF('ARDT Cutter Entry'!Q65,"*7"),COUNTIF('ARDT Cutter Entry'!Q65,"*8"),COUNTIF('ARDT Cutter Entry'!Q65,"*9")),'ARDT Cutter Entry'!Q65,            'ARDT Cutter Entry'!Q115),            IF(OR(COUNTIF('ARDT Cutter Entry'!Q8,"*1"),COUNTIF('ARDT Cutter Entry'!Q8,"*2"),COUNTIF('ARDT Cutter Entry'!Q8,"*3"),COUNTIF('ARDT Cutter Entry'!Q8,"*4"),COUNTIF('ARDT Cutter Entry'!Q8,"*5"),COUNTIF('ARDT Cutter Entry'!Q8,"*6"),COUNTIF('ARDT Cutter Entry'!Q8,"*7"),COUNTIF('ARDT Cutter Entry'!Q8,"*8"),COUNTIF('ARDT Cutter Entry'!Q8,"*9")),'ARDT Cutter Entry'!Q8,'ARDT Cutter Entry'!Q47))),"")</f>
        <v/>
      </c>
      <c r="R20" s="244" t="str">
        <f>IF(Data!$L$32=1,IF(OR(Data!$L$2=1,Data!$L$3=1),IF(OR(Data!CG50=0,Data!CG50=""),"","O"&amp;Data!CG50),IF('ARDT Cutter Entry'!$C$111&lt;&gt;"",               IF(OR(COUNTIF('ARDT Cutter Entry'!R65,"*1"),COUNTIF('ARDT Cutter Entry'!R65,"*2"),COUNTIF('ARDT Cutter Entry'!R65,"*3"),COUNTIF('ARDT Cutter Entry'!R65,"*4"),COUNTIF('ARDT Cutter Entry'!R65,"*5"),COUNTIF('ARDT Cutter Entry'!R65,"*6"),COUNTIF('ARDT Cutter Entry'!R65,"*7"),COUNTIF('ARDT Cutter Entry'!R65,"*8"),COUNTIF('ARDT Cutter Entry'!R65,"*9")),'ARDT Cutter Entry'!R65,            'ARDT Cutter Entry'!R115),            IF(OR(COUNTIF('ARDT Cutter Entry'!R8,"*1"),COUNTIF('ARDT Cutter Entry'!R8,"*2"),COUNTIF('ARDT Cutter Entry'!R8,"*3"),COUNTIF('ARDT Cutter Entry'!R8,"*4"),COUNTIF('ARDT Cutter Entry'!R8,"*5"),COUNTIF('ARDT Cutter Entry'!R8,"*6"),COUNTIF('ARDT Cutter Entry'!R8,"*7"),COUNTIF('ARDT Cutter Entry'!R8,"*8"),COUNTIF('ARDT Cutter Entry'!R8,"*9")),'ARDT Cutter Entry'!R8,'ARDT Cutter Entry'!R47))),"")</f>
        <v/>
      </c>
      <c r="S20" s="244" t="str">
        <f>IF(Data!$L$32=1,IF(OR(Data!$L$2=1,Data!$L$3=1),IF(OR(Data!CH50=0,Data!CH50=""),"","O"&amp;Data!CH50),IF('ARDT Cutter Entry'!$C$111&lt;&gt;"",               IF(OR(COUNTIF('ARDT Cutter Entry'!S65,"*1"),COUNTIF('ARDT Cutter Entry'!S65,"*2"),COUNTIF('ARDT Cutter Entry'!S65,"*3"),COUNTIF('ARDT Cutter Entry'!S65,"*4"),COUNTIF('ARDT Cutter Entry'!S65,"*5"),COUNTIF('ARDT Cutter Entry'!S65,"*6"),COUNTIF('ARDT Cutter Entry'!S65,"*7"),COUNTIF('ARDT Cutter Entry'!S65,"*8"),COUNTIF('ARDT Cutter Entry'!S65,"*9")),'ARDT Cutter Entry'!S65,            'ARDT Cutter Entry'!S115),            IF(OR(COUNTIF('ARDT Cutter Entry'!S8,"*1"),COUNTIF('ARDT Cutter Entry'!S8,"*2"),COUNTIF('ARDT Cutter Entry'!S8,"*3"),COUNTIF('ARDT Cutter Entry'!S8,"*4"),COUNTIF('ARDT Cutter Entry'!S8,"*5"),COUNTIF('ARDT Cutter Entry'!S8,"*6"),COUNTIF('ARDT Cutter Entry'!S8,"*7"),COUNTIF('ARDT Cutter Entry'!S8,"*8"),COUNTIF('ARDT Cutter Entry'!S8,"*9")),'ARDT Cutter Entry'!S8,'ARDT Cutter Entry'!S47))),"")</f>
        <v/>
      </c>
      <c r="T20" s="244" t="str">
        <f>IF(Data!$L$32=1,IF(OR(Data!$L$2=1,Data!$L$3=1),IF(OR(Data!CI50=0,Data!CI50=""),"","O"&amp;Data!CI50),IF('ARDT Cutter Entry'!$C$111&lt;&gt;"",               IF(OR(COUNTIF('ARDT Cutter Entry'!T65,"*1"),COUNTIF('ARDT Cutter Entry'!T65,"*2"),COUNTIF('ARDT Cutter Entry'!T65,"*3"),COUNTIF('ARDT Cutter Entry'!T65,"*4"),COUNTIF('ARDT Cutter Entry'!T65,"*5"),COUNTIF('ARDT Cutter Entry'!T65,"*6"),COUNTIF('ARDT Cutter Entry'!T65,"*7"),COUNTIF('ARDT Cutter Entry'!T65,"*8"),COUNTIF('ARDT Cutter Entry'!T65,"*9")),'ARDT Cutter Entry'!T65,            'ARDT Cutter Entry'!T115),            IF(OR(COUNTIF('ARDT Cutter Entry'!T8,"*1"),COUNTIF('ARDT Cutter Entry'!T8,"*2"),COUNTIF('ARDT Cutter Entry'!T8,"*3"),COUNTIF('ARDT Cutter Entry'!T8,"*4"),COUNTIF('ARDT Cutter Entry'!T8,"*5"),COUNTIF('ARDT Cutter Entry'!T8,"*6"),COUNTIF('ARDT Cutter Entry'!T8,"*7"),COUNTIF('ARDT Cutter Entry'!T8,"*8"),COUNTIF('ARDT Cutter Entry'!T8,"*9")),'ARDT Cutter Entry'!T8,'ARDT Cutter Entry'!T47))),"")</f>
        <v/>
      </c>
      <c r="U20" s="244" t="str">
        <f>IF(Data!$L$32=1,IF(OR(Data!$L$2=1,Data!$L$3=1),IF(OR(Data!CJ50=0,Data!CJ50=""),"","O"&amp;Data!CJ50),IF('ARDT Cutter Entry'!$C$111&lt;&gt;"",               IF(OR(COUNTIF('ARDT Cutter Entry'!U65,"*1"),COUNTIF('ARDT Cutter Entry'!U65,"*2"),COUNTIF('ARDT Cutter Entry'!U65,"*3"),COUNTIF('ARDT Cutter Entry'!U65,"*4"),COUNTIF('ARDT Cutter Entry'!U65,"*5"),COUNTIF('ARDT Cutter Entry'!U65,"*6"),COUNTIF('ARDT Cutter Entry'!U65,"*7"),COUNTIF('ARDT Cutter Entry'!U65,"*8"),COUNTIF('ARDT Cutter Entry'!U65,"*9")),'ARDT Cutter Entry'!U65,            'ARDT Cutter Entry'!U115),            IF(OR(COUNTIF('ARDT Cutter Entry'!U8,"*1"),COUNTIF('ARDT Cutter Entry'!U8,"*2"),COUNTIF('ARDT Cutter Entry'!U8,"*3"),COUNTIF('ARDT Cutter Entry'!U8,"*4"),COUNTIF('ARDT Cutter Entry'!U8,"*5"),COUNTIF('ARDT Cutter Entry'!U8,"*6"),COUNTIF('ARDT Cutter Entry'!U8,"*7"),COUNTIF('ARDT Cutter Entry'!U8,"*8"),COUNTIF('ARDT Cutter Entry'!U8,"*9")),'ARDT Cutter Entry'!U8,'ARDT Cutter Entry'!U47))),"")</f>
        <v/>
      </c>
      <c r="V20" s="244" t="str">
        <f>IF(Data!$L$32=1,IF(OR(Data!$L$2=1,Data!$L$3=1),IF(OR(Data!CK50=0,Data!CK50=""),"","O"&amp;Data!CK50),IF('ARDT Cutter Entry'!$C$111&lt;&gt;"",               IF(OR(COUNTIF('ARDT Cutter Entry'!V65,"*1"),COUNTIF('ARDT Cutter Entry'!V65,"*2"),COUNTIF('ARDT Cutter Entry'!V65,"*3"),COUNTIF('ARDT Cutter Entry'!V65,"*4"),COUNTIF('ARDT Cutter Entry'!V65,"*5"),COUNTIF('ARDT Cutter Entry'!V65,"*6"),COUNTIF('ARDT Cutter Entry'!V65,"*7"),COUNTIF('ARDT Cutter Entry'!V65,"*8"),COUNTIF('ARDT Cutter Entry'!V65,"*9")),'ARDT Cutter Entry'!V65,            'ARDT Cutter Entry'!V115),            IF(OR(COUNTIF('ARDT Cutter Entry'!V8,"*1"),COUNTIF('ARDT Cutter Entry'!V8,"*2"),COUNTIF('ARDT Cutter Entry'!V8,"*3"),COUNTIF('ARDT Cutter Entry'!V8,"*4"),COUNTIF('ARDT Cutter Entry'!V8,"*5"),COUNTIF('ARDT Cutter Entry'!V8,"*6"),COUNTIF('ARDT Cutter Entry'!V8,"*7"),COUNTIF('ARDT Cutter Entry'!V8,"*8"),COUNTIF('ARDT Cutter Entry'!V8,"*9")),'ARDT Cutter Entry'!V8,'ARDT Cutter Entry'!V47))),"")</f>
        <v/>
      </c>
      <c r="W20" s="244" t="str">
        <f>IF(Data!$L$32=1,IF(OR(Data!$L$2=1,Data!$L$3=1),IF(OR(Data!CL50=0,Data!CL50=""),"","O"&amp;Data!CL50),IF('ARDT Cutter Entry'!$C$111&lt;&gt;"",               IF(OR(COUNTIF('ARDT Cutter Entry'!W65,"*1"),COUNTIF('ARDT Cutter Entry'!W65,"*2"),COUNTIF('ARDT Cutter Entry'!W65,"*3"),COUNTIF('ARDT Cutter Entry'!W65,"*4"),COUNTIF('ARDT Cutter Entry'!W65,"*5"),COUNTIF('ARDT Cutter Entry'!W65,"*6"),COUNTIF('ARDT Cutter Entry'!W65,"*7"),COUNTIF('ARDT Cutter Entry'!W65,"*8"),COUNTIF('ARDT Cutter Entry'!W65,"*9")),'ARDT Cutter Entry'!W65,            'ARDT Cutter Entry'!W115),            IF(OR(COUNTIF('ARDT Cutter Entry'!W8,"*1"),COUNTIF('ARDT Cutter Entry'!W8,"*2"),COUNTIF('ARDT Cutter Entry'!W8,"*3"),COUNTIF('ARDT Cutter Entry'!W8,"*4"),COUNTIF('ARDT Cutter Entry'!W8,"*5"),COUNTIF('ARDT Cutter Entry'!W8,"*6"),COUNTIF('ARDT Cutter Entry'!W8,"*7"),COUNTIF('ARDT Cutter Entry'!W8,"*8"),COUNTIF('ARDT Cutter Entry'!W8,"*9")),'ARDT Cutter Entry'!W8,'ARDT Cutter Entry'!W47))),"")</f>
        <v/>
      </c>
      <c r="X20" s="244" t="str">
        <f>IF(Data!$L$32=1,IF(OR(Data!$L$2=1,Data!$L$3=1),IF(OR(Data!CM50=0,Data!CM50=""),"","O"&amp;Data!CM50),IF('ARDT Cutter Entry'!$C$111&lt;&gt;"",               IF(OR(COUNTIF('ARDT Cutter Entry'!X65,"*1"),COUNTIF('ARDT Cutter Entry'!X65,"*2"),COUNTIF('ARDT Cutter Entry'!X65,"*3"),COUNTIF('ARDT Cutter Entry'!X65,"*4"),COUNTIF('ARDT Cutter Entry'!X65,"*5"),COUNTIF('ARDT Cutter Entry'!X65,"*6"),COUNTIF('ARDT Cutter Entry'!X65,"*7"),COUNTIF('ARDT Cutter Entry'!X65,"*8"),COUNTIF('ARDT Cutter Entry'!X65,"*9")),'ARDT Cutter Entry'!X65,            'ARDT Cutter Entry'!X115),            IF(OR(COUNTIF('ARDT Cutter Entry'!X8,"*1"),COUNTIF('ARDT Cutter Entry'!X8,"*2"),COUNTIF('ARDT Cutter Entry'!X8,"*3"),COUNTIF('ARDT Cutter Entry'!X8,"*4"),COUNTIF('ARDT Cutter Entry'!X8,"*5"),COUNTIF('ARDT Cutter Entry'!X8,"*6"),COUNTIF('ARDT Cutter Entry'!X8,"*7"),COUNTIF('ARDT Cutter Entry'!X8,"*8"),COUNTIF('ARDT Cutter Entry'!X8,"*9")),'ARDT Cutter Entry'!X8,'ARDT Cutter Entry'!X47))),"")</f>
        <v/>
      </c>
      <c r="Y20" s="244" t="str">
        <f>IF(Data!$L$32=1,IF(OR(Data!$L$2=1,Data!$L$3=1),IF(OR(Data!CN50=0,Data!CN50=""),"","O"&amp;Data!CN50),IF('ARDT Cutter Entry'!$C$111&lt;&gt;"",               IF(OR(COUNTIF('ARDT Cutter Entry'!Y65,"*1"),COUNTIF('ARDT Cutter Entry'!Y65,"*2"),COUNTIF('ARDT Cutter Entry'!Y65,"*3"),COUNTIF('ARDT Cutter Entry'!Y65,"*4"),COUNTIF('ARDT Cutter Entry'!Y65,"*5"),COUNTIF('ARDT Cutter Entry'!Y65,"*6"),COUNTIF('ARDT Cutter Entry'!Y65,"*7"),COUNTIF('ARDT Cutter Entry'!Y65,"*8"),COUNTIF('ARDT Cutter Entry'!Y65,"*9")),'ARDT Cutter Entry'!Y65,            'ARDT Cutter Entry'!Y115),            IF(OR(COUNTIF('ARDT Cutter Entry'!Y8,"*1"),COUNTIF('ARDT Cutter Entry'!Y8,"*2"),COUNTIF('ARDT Cutter Entry'!Y8,"*3"),COUNTIF('ARDT Cutter Entry'!Y8,"*4"),COUNTIF('ARDT Cutter Entry'!Y8,"*5"),COUNTIF('ARDT Cutter Entry'!Y8,"*6"),COUNTIF('ARDT Cutter Entry'!Y8,"*7"),COUNTIF('ARDT Cutter Entry'!Y8,"*8"),COUNTIF('ARDT Cutter Entry'!Y8,"*9")),'ARDT Cutter Entry'!Y8,'ARDT Cutter Entry'!Y47))),"")</f>
        <v/>
      </c>
      <c r="Z20" s="244" t="str">
        <f>IF(Data!$L$32=1,IF(OR(Data!$L$2=1,Data!$L$3=1),IF(OR(Data!CO50=0,Data!CO50=""),"","O"&amp;Data!CO50),IF('ARDT Cutter Entry'!$C$111&lt;&gt;"",               IF(OR(COUNTIF('ARDT Cutter Entry'!Z65,"*1"),COUNTIF('ARDT Cutter Entry'!Z65,"*2"),COUNTIF('ARDT Cutter Entry'!Z65,"*3"),COUNTIF('ARDT Cutter Entry'!Z65,"*4"),COUNTIF('ARDT Cutter Entry'!Z65,"*5"),COUNTIF('ARDT Cutter Entry'!Z65,"*6"),COUNTIF('ARDT Cutter Entry'!Z65,"*7"),COUNTIF('ARDT Cutter Entry'!Z65,"*8"),COUNTIF('ARDT Cutter Entry'!Z65,"*9")),'ARDT Cutter Entry'!Z65,            'ARDT Cutter Entry'!Z115),            IF(OR(COUNTIF('ARDT Cutter Entry'!Z8,"*1"),COUNTIF('ARDT Cutter Entry'!Z8,"*2"),COUNTIF('ARDT Cutter Entry'!Z8,"*3"),COUNTIF('ARDT Cutter Entry'!Z8,"*4"),COUNTIF('ARDT Cutter Entry'!Z8,"*5"),COUNTIF('ARDT Cutter Entry'!Z8,"*6"),COUNTIF('ARDT Cutter Entry'!Z8,"*7"),COUNTIF('ARDT Cutter Entry'!Z8,"*8"),COUNTIF('ARDT Cutter Entry'!Z8,"*9")),'ARDT Cutter Entry'!Z8,'ARDT Cutter Entry'!Z47))),"")</f>
        <v/>
      </c>
      <c r="AA20" s="1056" t="str">
        <f>IF(Data!$L$32=1,IF(OR(Data!$L$2=1,Data!$L$3=1),IF(OR(Data!CP50=0,Data!CP50=""),"","O"&amp;Data!CP50),IF('ARDT Cutter Entry'!$C$111&lt;&gt;"",               IF(OR(COUNTIF('ARDT Cutter Entry'!AA65,"*1"),COUNTIF('ARDT Cutter Entry'!AA65,"*2"),COUNTIF('ARDT Cutter Entry'!AA65,"*3"),COUNTIF('ARDT Cutter Entry'!AA65,"*4"),COUNTIF('ARDT Cutter Entry'!AA65,"*5"),COUNTIF('ARDT Cutter Entry'!AA65,"*6"),COUNTIF('ARDT Cutter Entry'!AA65,"*7"),COUNTIF('ARDT Cutter Entry'!AA65,"*8"),COUNTIF('ARDT Cutter Entry'!AA65,"*9")),'ARDT Cutter Entry'!AA65,            'ARDT Cutter Entry'!AA115),            IF(OR(COUNTIF('ARDT Cutter Entry'!AA8,"*1"),COUNTIF('ARDT Cutter Entry'!AA8,"*2"),COUNTIF('ARDT Cutter Entry'!AA8,"*3"),COUNTIF('ARDT Cutter Entry'!AA8,"*4"),COUNTIF('ARDT Cutter Entry'!AA8,"*5"),COUNTIF('ARDT Cutter Entry'!AA8,"*6"),COUNTIF('ARDT Cutter Entry'!AA8,"*7"),COUNTIF('ARDT Cutter Entry'!AA8,"*8"),COUNTIF('ARDT Cutter Entry'!AA8,"*9")),'ARDT Cutter Entry'!AA8,'ARDT Cutter Entry'!AA47))),"")</f>
        <v/>
      </c>
    </row>
    <row r="21" spans="1:27" ht="16" customHeight="1" x14ac:dyDescent="0.35">
      <c r="A21" s="1825"/>
      <c r="B21" s="446">
        <v>6</v>
      </c>
      <c r="C21" s="230" t="str">
        <f>IF(Data!$L$32=1,IF(OR(Data!$L$2=1,Data!$L$3=1),IF(OR(Data!BR51=0,Data!BR51=""),"","O"&amp;Data!BR51),IF('ARDT Cutter Entry'!$C$111&lt;&gt;"",               IF(OR(COUNTIF('ARDT Cutter Entry'!C66,"*1"),COUNTIF('ARDT Cutter Entry'!C66,"*2"),COUNTIF('ARDT Cutter Entry'!C66,"*3"),COUNTIF('ARDT Cutter Entry'!C66,"*4"),COUNTIF('ARDT Cutter Entry'!C66,"*5"),COUNTIF('ARDT Cutter Entry'!C66,"*6"),COUNTIF('ARDT Cutter Entry'!C66,"*7"),COUNTIF('ARDT Cutter Entry'!C66,"*8"),COUNTIF('ARDT Cutter Entry'!C66,"*9")),'ARDT Cutter Entry'!C66,            'ARDT Cutter Entry'!C116),            IF(OR(COUNTIF('ARDT Cutter Entry'!C9,"*1"),COUNTIF('ARDT Cutter Entry'!C9,"*2"),COUNTIF('ARDT Cutter Entry'!C9,"*3"),COUNTIF('ARDT Cutter Entry'!C9,"*4"),COUNTIF('ARDT Cutter Entry'!C9,"*5"),COUNTIF('ARDT Cutter Entry'!C9,"*6"),COUNTIF('ARDT Cutter Entry'!C9,"*7"),COUNTIF('ARDT Cutter Entry'!C9,"*8"),COUNTIF('ARDT Cutter Entry'!C9,"*9")),'ARDT Cutter Entry'!C9,'ARDT Cutter Entry'!C48))),"")</f>
        <v>X5</v>
      </c>
      <c r="D21" s="244" t="str">
        <f>IF(Data!$L$32=1,IF(OR(Data!$L$2=1,Data!$L$3=1),IF(OR(Data!BS51=0,Data!BS51=""),"","O"&amp;Data!BS51),IF('ARDT Cutter Entry'!$C$111&lt;&gt;"",               IF(OR(COUNTIF('ARDT Cutter Entry'!D66,"*1"),COUNTIF('ARDT Cutter Entry'!D66,"*2"),COUNTIF('ARDT Cutter Entry'!D66,"*3"),COUNTIF('ARDT Cutter Entry'!D66,"*4"),COUNTIF('ARDT Cutter Entry'!D66,"*5"),COUNTIF('ARDT Cutter Entry'!D66,"*6"),COUNTIF('ARDT Cutter Entry'!D66,"*7"),COUNTIF('ARDT Cutter Entry'!D66,"*8"),COUNTIF('ARDT Cutter Entry'!D66,"*9")),'ARDT Cutter Entry'!D66,            'ARDT Cutter Entry'!D116),            IF(OR(COUNTIF('ARDT Cutter Entry'!D9,"*1"),COUNTIF('ARDT Cutter Entry'!D9,"*2"),COUNTIF('ARDT Cutter Entry'!D9,"*3"),COUNTIF('ARDT Cutter Entry'!D9,"*4"),COUNTIF('ARDT Cutter Entry'!D9,"*5"),COUNTIF('ARDT Cutter Entry'!D9,"*6"),COUNTIF('ARDT Cutter Entry'!D9,"*7"),COUNTIF('ARDT Cutter Entry'!D9,"*8"),COUNTIF('ARDT Cutter Entry'!D9,"*9")),'ARDT Cutter Entry'!D9,'ARDT Cutter Entry'!D48))),"")</f>
        <v>X5</v>
      </c>
      <c r="E21" s="244" t="str">
        <f>IF(Data!$L$32=1,IF(OR(Data!$L$2=1,Data!$L$3=1),IF(OR(Data!BT51=0,Data!BT51=""),"","O"&amp;Data!BT51),IF('ARDT Cutter Entry'!$C$111&lt;&gt;"",               IF(OR(COUNTIF('ARDT Cutter Entry'!E66,"*1"),COUNTIF('ARDT Cutter Entry'!E66,"*2"),COUNTIF('ARDT Cutter Entry'!E66,"*3"),COUNTIF('ARDT Cutter Entry'!E66,"*4"),COUNTIF('ARDT Cutter Entry'!E66,"*5"),COUNTIF('ARDT Cutter Entry'!E66,"*6"),COUNTIF('ARDT Cutter Entry'!E66,"*7"),COUNTIF('ARDT Cutter Entry'!E66,"*8"),COUNTIF('ARDT Cutter Entry'!E66,"*9")),'ARDT Cutter Entry'!E66,            'ARDT Cutter Entry'!E116),            IF(OR(COUNTIF('ARDT Cutter Entry'!E9,"*1"),COUNTIF('ARDT Cutter Entry'!E9,"*2"),COUNTIF('ARDT Cutter Entry'!E9,"*3"),COUNTIF('ARDT Cutter Entry'!E9,"*4"),COUNTIF('ARDT Cutter Entry'!E9,"*5"),COUNTIF('ARDT Cutter Entry'!E9,"*6"),COUNTIF('ARDT Cutter Entry'!E9,"*7"),COUNTIF('ARDT Cutter Entry'!E9,"*8"),COUNTIF('ARDT Cutter Entry'!E9,"*9")),'ARDT Cutter Entry'!E9,'ARDT Cutter Entry'!E48))),"")</f>
        <v>X5</v>
      </c>
      <c r="F21" s="244" t="str">
        <f>IF(Data!$L$32=1,IF(OR(Data!$L$2=1,Data!$L$3=1),IF(OR(Data!BU51=0,Data!BU51=""),"","O"&amp;Data!BU51),IF('ARDT Cutter Entry'!$C$111&lt;&gt;"",               IF(OR(COUNTIF('ARDT Cutter Entry'!F66,"*1"),COUNTIF('ARDT Cutter Entry'!F66,"*2"),COUNTIF('ARDT Cutter Entry'!F66,"*3"),COUNTIF('ARDT Cutter Entry'!F66,"*4"),COUNTIF('ARDT Cutter Entry'!F66,"*5"),COUNTIF('ARDT Cutter Entry'!F66,"*6"),COUNTIF('ARDT Cutter Entry'!F66,"*7"),COUNTIF('ARDT Cutter Entry'!F66,"*8"),COUNTIF('ARDT Cutter Entry'!F66,"*9")),'ARDT Cutter Entry'!F66,            'ARDT Cutter Entry'!F116),            IF(OR(COUNTIF('ARDT Cutter Entry'!F9,"*1"),COUNTIF('ARDT Cutter Entry'!F9,"*2"),COUNTIF('ARDT Cutter Entry'!F9,"*3"),COUNTIF('ARDT Cutter Entry'!F9,"*4"),COUNTIF('ARDT Cutter Entry'!F9,"*5"),COUNTIF('ARDT Cutter Entry'!F9,"*6"),COUNTIF('ARDT Cutter Entry'!F9,"*7"),COUNTIF('ARDT Cutter Entry'!F9,"*8"),COUNTIF('ARDT Cutter Entry'!F9,"*9")),'ARDT Cutter Entry'!F9,'ARDT Cutter Entry'!F48))),"")</f>
        <v>R1</v>
      </c>
      <c r="G21" s="244" t="str">
        <f>IF(Data!$L$32=1,IF(OR(Data!$L$2=1,Data!$L$3=1),IF(OR(Data!BV51=0,Data!BV51=""),"","O"&amp;Data!BV51),IF('ARDT Cutter Entry'!$C$111&lt;&gt;"",               IF(OR(COUNTIF('ARDT Cutter Entry'!G66,"*1"),COUNTIF('ARDT Cutter Entry'!G66,"*2"),COUNTIF('ARDT Cutter Entry'!G66,"*3"),COUNTIF('ARDT Cutter Entry'!G66,"*4"),COUNTIF('ARDT Cutter Entry'!G66,"*5"),COUNTIF('ARDT Cutter Entry'!G66,"*6"),COUNTIF('ARDT Cutter Entry'!G66,"*7"),COUNTIF('ARDT Cutter Entry'!G66,"*8"),COUNTIF('ARDT Cutter Entry'!G66,"*9")),'ARDT Cutter Entry'!G66,            'ARDT Cutter Entry'!G116),            IF(OR(COUNTIF('ARDT Cutter Entry'!G9,"*1"),COUNTIF('ARDT Cutter Entry'!G9,"*2"),COUNTIF('ARDT Cutter Entry'!G9,"*3"),COUNTIF('ARDT Cutter Entry'!G9,"*4"),COUNTIF('ARDT Cutter Entry'!G9,"*5"),COUNTIF('ARDT Cutter Entry'!G9,"*6"),COUNTIF('ARDT Cutter Entry'!G9,"*7"),COUNTIF('ARDT Cutter Entry'!G9,"*8"),COUNTIF('ARDT Cutter Entry'!G9,"*9")),'ARDT Cutter Entry'!G9,'ARDT Cutter Entry'!G48))),"")</f>
        <v>X3</v>
      </c>
      <c r="H21" s="244" t="str">
        <f>IF(Data!$L$32=1,IF(OR(Data!$L$2=1,Data!$L$3=1),IF(OR(Data!BW51=0,Data!BW51=""),"","O"&amp;Data!BW51),IF('ARDT Cutter Entry'!$C$111&lt;&gt;"",               IF(OR(COUNTIF('ARDT Cutter Entry'!H66,"*1"),COUNTIF('ARDT Cutter Entry'!H66,"*2"),COUNTIF('ARDT Cutter Entry'!H66,"*3"),COUNTIF('ARDT Cutter Entry'!H66,"*4"),COUNTIF('ARDT Cutter Entry'!H66,"*5"),COUNTIF('ARDT Cutter Entry'!H66,"*6"),COUNTIF('ARDT Cutter Entry'!H66,"*7"),COUNTIF('ARDT Cutter Entry'!H66,"*8"),COUNTIF('ARDT Cutter Entry'!H66,"*9")),'ARDT Cutter Entry'!H66,            'ARDT Cutter Entry'!H116),            IF(OR(COUNTIF('ARDT Cutter Entry'!H9,"*1"),COUNTIF('ARDT Cutter Entry'!H9,"*2"),COUNTIF('ARDT Cutter Entry'!H9,"*3"),COUNTIF('ARDT Cutter Entry'!H9,"*4"),COUNTIF('ARDT Cutter Entry'!H9,"*5"),COUNTIF('ARDT Cutter Entry'!H9,"*6"),COUNTIF('ARDT Cutter Entry'!H9,"*7"),COUNTIF('ARDT Cutter Entry'!H9,"*8"),COUNTIF('ARDT Cutter Entry'!H9,"*9")),'ARDT Cutter Entry'!H9,'ARDT Cutter Entry'!H48))),"")</f>
        <v/>
      </c>
      <c r="I21" s="244" t="str">
        <f>IF(Data!$L$32=1,IF(OR(Data!$L$2=1,Data!$L$3=1),IF(OR(Data!BX51=0,Data!BX51=""),"","O"&amp;Data!BX51),IF('ARDT Cutter Entry'!$C$111&lt;&gt;"",               IF(OR(COUNTIF('ARDT Cutter Entry'!I66,"*1"),COUNTIF('ARDT Cutter Entry'!I66,"*2"),COUNTIF('ARDT Cutter Entry'!I66,"*3"),COUNTIF('ARDT Cutter Entry'!I66,"*4"),COUNTIF('ARDT Cutter Entry'!I66,"*5"),COUNTIF('ARDT Cutter Entry'!I66,"*6"),COUNTIF('ARDT Cutter Entry'!I66,"*7"),COUNTIF('ARDT Cutter Entry'!I66,"*8"),COUNTIF('ARDT Cutter Entry'!I66,"*9")),'ARDT Cutter Entry'!I66,            'ARDT Cutter Entry'!I116),            IF(OR(COUNTIF('ARDT Cutter Entry'!I9,"*1"),COUNTIF('ARDT Cutter Entry'!I9,"*2"),COUNTIF('ARDT Cutter Entry'!I9,"*3"),COUNTIF('ARDT Cutter Entry'!I9,"*4"),COUNTIF('ARDT Cutter Entry'!I9,"*5"),COUNTIF('ARDT Cutter Entry'!I9,"*6"),COUNTIF('ARDT Cutter Entry'!I9,"*7"),COUNTIF('ARDT Cutter Entry'!I9,"*8"),COUNTIF('ARDT Cutter Entry'!I9,"*9")),'ARDT Cutter Entry'!I9,'ARDT Cutter Entry'!I48))),"")</f>
        <v/>
      </c>
      <c r="J21" s="244" t="str">
        <f>IF(Data!$L$32=1,IF(OR(Data!$L$2=1,Data!$L$3=1),IF(OR(Data!BY51=0,Data!BY51=""),"","O"&amp;Data!BY51),IF('ARDT Cutter Entry'!$C$111&lt;&gt;"",               IF(OR(COUNTIF('ARDT Cutter Entry'!J66,"*1"),COUNTIF('ARDT Cutter Entry'!J66,"*2"),COUNTIF('ARDT Cutter Entry'!J66,"*3"),COUNTIF('ARDT Cutter Entry'!J66,"*4"),COUNTIF('ARDT Cutter Entry'!J66,"*5"),COUNTIF('ARDT Cutter Entry'!J66,"*6"),COUNTIF('ARDT Cutter Entry'!J66,"*7"),COUNTIF('ARDT Cutter Entry'!J66,"*8"),COUNTIF('ARDT Cutter Entry'!J66,"*9")),'ARDT Cutter Entry'!J66,            'ARDT Cutter Entry'!J116),            IF(OR(COUNTIF('ARDT Cutter Entry'!J9,"*1"),COUNTIF('ARDT Cutter Entry'!J9,"*2"),COUNTIF('ARDT Cutter Entry'!J9,"*3"),COUNTIF('ARDT Cutter Entry'!J9,"*4"),COUNTIF('ARDT Cutter Entry'!J9,"*5"),COUNTIF('ARDT Cutter Entry'!J9,"*6"),COUNTIF('ARDT Cutter Entry'!J9,"*7"),COUNTIF('ARDT Cutter Entry'!J9,"*8"),COUNTIF('ARDT Cutter Entry'!J9,"*9")),'ARDT Cutter Entry'!J9,'ARDT Cutter Entry'!J48))),"")</f>
        <v/>
      </c>
      <c r="K21" s="244" t="str">
        <f>IF(Data!$L$32=1,IF(OR(Data!$L$2=1,Data!$L$3=1),IF(OR(Data!BZ51=0,Data!BZ51=""),"","O"&amp;Data!BZ51),IF('ARDT Cutter Entry'!$C$111&lt;&gt;"",               IF(OR(COUNTIF('ARDT Cutter Entry'!K66,"*1"),COUNTIF('ARDT Cutter Entry'!K66,"*2"),COUNTIF('ARDT Cutter Entry'!K66,"*3"),COUNTIF('ARDT Cutter Entry'!K66,"*4"),COUNTIF('ARDT Cutter Entry'!K66,"*5"),COUNTIF('ARDT Cutter Entry'!K66,"*6"),COUNTIF('ARDT Cutter Entry'!K66,"*7"),COUNTIF('ARDT Cutter Entry'!K66,"*8"),COUNTIF('ARDT Cutter Entry'!K66,"*9")),'ARDT Cutter Entry'!K66,            'ARDT Cutter Entry'!K116),            IF(OR(COUNTIF('ARDT Cutter Entry'!K9,"*1"),COUNTIF('ARDT Cutter Entry'!K9,"*2"),COUNTIF('ARDT Cutter Entry'!K9,"*3"),COUNTIF('ARDT Cutter Entry'!K9,"*4"),COUNTIF('ARDT Cutter Entry'!K9,"*5"),COUNTIF('ARDT Cutter Entry'!K9,"*6"),COUNTIF('ARDT Cutter Entry'!K9,"*7"),COUNTIF('ARDT Cutter Entry'!K9,"*8"),COUNTIF('ARDT Cutter Entry'!K9,"*9")),'ARDT Cutter Entry'!K9,'ARDT Cutter Entry'!K48))),"")</f>
        <v/>
      </c>
      <c r="L21" s="244" t="str">
        <f>IF(Data!$L$32=1,IF(OR(Data!$L$2=1,Data!$L$3=1),IF(OR(Data!CA51=0,Data!CA51=""),"","O"&amp;Data!CA51),IF('ARDT Cutter Entry'!$C$111&lt;&gt;"",               IF(OR(COUNTIF('ARDT Cutter Entry'!L66,"*1"),COUNTIF('ARDT Cutter Entry'!L66,"*2"),COUNTIF('ARDT Cutter Entry'!L66,"*3"),COUNTIF('ARDT Cutter Entry'!L66,"*4"),COUNTIF('ARDT Cutter Entry'!L66,"*5"),COUNTIF('ARDT Cutter Entry'!L66,"*6"),COUNTIF('ARDT Cutter Entry'!L66,"*7"),COUNTIF('ARDT Cutter Entry'!L66,"*8"),COUNTIF('ARDT Cutter Entry'!L66,"*9")),'ARDT Cutter Entry'!L66,            'ARDT Cutter Entry'!L116),            IF(OR(COUNTIF('ARDT Cutter Entry'!L9,"*1"),COUNTIF('ARDT Cutter Entry'!L9,"*2"),COUNTIF('ARDT Cutter Entry'!L9,"*3"),COUNTIF('ARDT Cutter Entry'!L9,"*4"),COUNTIF('ARDT Cutter Entry'!L9,"*5"),COUNTIF('ARDT Cutter Entry'!L9,"*6"),COUNTIF('ARDT Cutter Entry'!L9,"*7"),COUNTIF('ARDT Cutter Entry'!L9,"*8"),COUNTIF('ARDT Cutter Entry'!L9,"*9")),'ARDT Cutter Entry'!L9,'ARDT Cutter Entry'!L48))),"")</f>
        <v>S2</v>
      </c>
      <c r="M21" s="244" t="str">
        <f>IF(Data!$L$32=1,IF(OR(Data!$L$2=1,Data!$L$3=1),IF(OR(Data!CB51=0,Data!CB51=""),"","O"&amp;Data!CB51),IF('ARDT Cutter Entry'!$C$111&lt;&gt;"",               IF(OR(COUNTIF('ARDT Cutter Entry'!M66,"*1"),COUNTIF('ARDT Cutter Entry'!M66,"*2"),COUNTIF('ARDT Cutter Entry'!M66,"*3"),COUNTIF('ARDT Cutter Entry'!M66,"*4"),COUNTIF('ARDT Cutter Entry'!M66,"*5"),COUNTIF('ARDT Cutter Entry'!M66,"*6"),COUNTIF('ARDT Cutter Entry'!M66,"*7"),COUNTIF('ARDT Cutter Entry'!M66,"*8"),COUNTIF('ARDT Cutter Entry'!M66,"*9")),'ARDT Cutter Entry'!M66,            'ARDT Cutter Entry'!M116),            IF(OR(COUNTIF('ARDT Cutter Entry'!M9,"*1"),COUNTIF('ARDT Cutter Entry'!M9,"*2"),COUNTIF('ARDT Cutter Entry'!M9,"*3"),COUNTIF('ARDT Cutter Entry'!M9,"*4"),COUNTIF('ARDT Cutter Entry'!M9,"*5"),COUNTIF('ARDT Cutter Entry'!M9,"*6"),COUNTIF('ARDT Cutter Entry'!M9,"*7"),COUNTIF('ARDT Cutter Entry'!M9,"*8"),COUNTIF('ARDT Cutter Entry'!M9,"*9")),'ARDT Cutter Entry'!M9,'ARDT Cutter Entry'!M48))),"")</f>
        <v>R2</v>
      </c>
      <c r="N21" s="244" t="str">
        <f>IF(Data!$L$32=1,IF(OR(Data!$L$2=1,Data!$L$3=1),IF(OR(Data!CC51=0,Data!CC51=""),"","O"&amp;Data!CC51),IF('ARDT Cutter Entry'!$C$111&lt;&gt;"",               IF(OR(COUNTIF('ARDT Cutter Entry'!N66,"*1"),COUNTIF('ARDT Cutter Entry'!N66,"*2"),COUNTIF('ARDT Cutter Entry'!N66,"*3"),COUNTIF('ARDT Cutter Entry'!N66,"*4"),COUNTIF('ARDT Cutter Entry'!N66,"*5"),COUNTIF('ARDT Cutter Entry'!N66,"*6"),COUNTIF('ARDT Cutter Entry'!N66,"*7"),COUNTIF('ARDT Cutter Entry'!N66,"*8"),COUNTIF('ARDT Cutter Entry'!N66,"*9")),'ARDT Cutter Entry'!N66,            'ARDT Cutter Entry'!N116),            IF(OR(COUNTIF('ARDT Cutter Entry'!N9,"*1"),COUNTIF('ARDT Cutter Entry'!N9,"*2"),COUNTIF('ARDT Cutter Entry'!N9,"*3"),COUNTIF('ARDT Cutter Entry'!N9,"*4"),COUNTIF('ARDT Cutter Entry'!N9,"*5"),COUNTIF('ARDT Cutter Entry'!N9,"*6"),COUNTIF('ARDT Cutter Entry'!N9,"*7"),COUNTIF('ARDT Cutter Entry'!N9,"*8"),COUNTIF('ARDT Cutter Entry'!N9,"*9")),'ARDT Cutter Entry'!N9,'ARDT Cutter Entry'!N48))),"")</f>
        <v>R2</v>
      </c>
      <c r="O21" s="244" t="str">
        <f>IF(Data!$L$32=1,IF(OR(Data!$L$2=1,Data!$L$3=1),IF(OR(Data!CD51=0,Data!CD51=""),"","O"&amp;Data!CD51),IF('ARDT Cutter Entry'!$C$111&lt;&gt;"",               IF(OR(COUNTIF('ARDT Cutter Entry'!O66,"*1"),COUNTIF('ARDT Cutter Entry'!O66,"*2"),COUNTIF('ARDT Cutter Entry'!O66,"*3"),COUNTIF('ARDT Cutter Entry'!O66,"*4"),COUNTIF('ARDT Cutter Entry'!O66,"*5"),COUNTIF('ARDT Cutter Entry'!O66,"*6"),COUNTIF('ARDT Cutter Entry'!O66,"*7"),COUNTIF('ARDT Cutter Entry'!O66,"*8"),COUNTIF('ARDT Cutter Entry'!O66,"*9")),'ARDT Cutter Entry'!O66,            'ARDT Cutter Entry'!O116),            IF(OR(COUNTIF('ARDT Cutter Entry'!O9,"*1"),COUNTIF('ARDT Cutter Entry'!O9,"*2"),COUNTIF('ARDT Cutter Entry'!O9,"*3"),COUNTIF('ARDT Cutter Entry'!O9,"*4"),COUNTIF('ARDT Cutter Entry'!O9,"*5"),COUNTIF('ARDT Cutter Entry'!O9,"*6"),COUNTIF('ARDT Cutter Entry'!O9,"*7"),COUNTIF('ARDT Cutter Entry'!O9,"*8"),COUNTIF('ARDT Cutter Entry'!O9,"*9")),'ARDT Cutter Entry'!O9,'ARDT Cutter Entry'!O48))),"")</f>
        <v>R2</v>
      </c>
      <c r="P21" s="244" t="str">
        <f>IF(Data!$L$32=1,IF(OR(Data!$L$2=1,Data!$L$3=1),IF(OR(Data!CE51=0,Data!CE51=""),"","O"&amp;Data!CE51),IF('ARDT Cutter Entry'!$C$111&lt;&gt;"",               IF(OR(COUNTIF('ARDT Cutter Entry'!P66,"*1"),COUNTIF('ARDT Cutter Entry'!P66,"*2"),COUNTIF('ARDT Cutter Entry'!P66,"*3"),COUNTIF('ARDT Cutter Entry'!P66,"*4"),COUNTIF('ARDT Cutter Entry'!P66,"*5"),COUNTIF('ARDT Cutter Entry'!P66,"*6"),COUNTIF('ARDT Cutter Entry'!P66,"*7"),COUNTIF('ARDT Cutter Entry'!P66,"*8"),COUNTIF('ARDT Cutter Entry'!P66,"*9")),'ARDT Cutter Entry'!P66,            'ARDT Cutter Entry'!P116),            IF(OR(COUNTIF('ARDT Cutter Entry'!P9,"*1"),COUNTIF('ARDT Cutter Entry'!P9,"*2"),COUNTIF('ARDT Cutter Entry'!P9,"*3"),COUNTIF('ARDT Cutter Entry'!P9,"*4"),COUNTIF('ARDT Cutter Entry'!P9,"*5"),COUNTIF('ARDT Cutter Entry'!P9,"*6"),COUNTIF('ARDT Cutter Entry'!P9,"*7"),COUNTIF('ARDT Cutter Entry'!P9,"*8"),COUNTIF('ARDT Cutter Entry'!P9,"*9")),'ARDT Cutter Entry'!P9,'ARDT Cutter Entry'!P48))),"")</f>
        <v/>
      </c>
      <c r="Q21" s="244" t="str">
        <f>IF(Data!$L$32=1,IF(OR(Data!$L$2=1,Data!$L$3=1),IF(OR(Data!CF51=0,Data!CF51=""),"","O"&amp;Data!CF51),IF('ARDT Cutter Entry'!$C$111&lt;&gt;"",               IF(OR(COUNTIF('ARDT Cutter Entry'!Q66,"*1"),COUNTIF('ARDT Cutter Entry'!Q66,"*2"),COUNTIF('ARDT Cutter Entry'!Q66,"*3"),COUNTIF('ARDT Cutter Entry'!Q66,"*4"),COUNTIF('ARDT Cutter Entry'!Q66,"*5"),COUNTIF('ARDT Cutter Entry'!Q66,"*6"),COUNTIF('ARDT Cutter Entry'!Q66,"*7"),COUNTIF('ARDT Cutter Entry'!Q66,"*8"),COUNTIF('ARDT Cutter Entry'!Q66,"*9")),'ARDT Cutter Entry'!Q66,            'ARDT Cutter Entry'!Q116),            IF(OR(COUNTIF('ARDT Cutter Entry'!Q9,"*1"),COUNTIF('ARDT Cutter Entry'!Q9,"*2"),COUNTIF('ARDT Cutter Entry'!Q9,"*3"),COUNTIF('ARDT Cutter Entry'!Q9,"*4"),COUNTIF('ARDT Cutter Entry'!Q9,"*5"),COUNTIF('ARDT Cutter Entry'!Q9,"*6"),COUNTIF('ARDT Cutter Entry'!Q9,"*7"),COUNTIF('ARDT Cutter Entry'!Q9,"*8"),COUNTIF('ARDT Cutter Entry'!Q9,"*9")),'ARDT Cutter Entry'!Q9,'ARDT Cutter Entry'!Q48))),"")</f>
        <v/>
      </c>
      <c r="R21" s="244" t="str">
        <f>IF(Data!$L$32=1,IF(OR(Data!$L$2=1,Data!$L$3=1),IF(OR(Data!CG51=0,Data!CG51=""),"","O"&amp;Data!CG51),IF('ARDT Cutter Entry'!$C$111&lt;&gt;"",               IF(OR(COUNTIF('ARDT Cutter Entry'!R66,"*1"),COUNTIF('ARDT Cutter Entry'!R66,"*2"),COUNTIF('ARDT Cutter Entry'!R66,"*3"),COUNTIF('ARDT Cutter Entry'!R66,"*4"),COUNTIF('ARDT Cutter Entry'!R66,"*5"),COUNTIF('ARDT Cutter Entry'!R66,"*6"),COUNTIF('ARDT Cutter Entry'!R66,"*7"),COUNTIF('ARDT Cutter Entry'!R66,"*8"),COUNTIF('ARDT Cutter Entry'!R66,"*9")),'ARDT Cutter Entry'!R66,            'ARDT Cutter Entry'!R116),            IF(OR(COUNTIF('ARDT Cutter Entry'!R9,"*1"),COUNTIF('ARDT Cutter Entry'!R9,"*2"),COUNTIF('ARDT Cutter Entry'!R9,"*3"),COUNTIF('ARDT Cutter Entry'!R9,"*4"),COUNTIF('ARDT Cutter Entry'!R9,"*5"),COUNTIF('ARDT Cutter Entry'!R9,"*6"),COUNTIF('ARDT Cutter Entry'!R9,"*7"),COUNTIF('ARDT Cutter Entry'!R9,"*8"),COUNTIF('ARDT Cutter Entry'!R9,"*9")),'ARDT Cutter Entry'!R9,'ARDT Cutter Entry'!R48))),"")</f>
        <v/>
      </c>
      <c r="S21" s="244" t="str">
        <f>IF(Data!$L$32=1,IF(OR(Data!$L$2=1,Data!$L$3=1),IF(OR(Data!CH51=0,Data!CH51=""),"","O"&amp;Data!CH51),IF('ARDT Cutter Entry'!$C$111&lt;&gt;"",               IF(OR(COUNTIF('ARDT Cutter Entry'!S66,"*1"),COUNTIF('ARDT Cutter Entry'!S66,"*2"),COUNTIF('ARDT Cutter Entry'!S66,"*3"),COUNTIF('ARDT Cutter Entry'!S66,"*4"),COUNTIF('ARDT Cutter Entry'!S66,"*5"),COUNTIF('ARDT Cutter Entry'!S66,"*6"),COUNTIF('ARDT Cutter Entry'!S66,"*7"),COUNTIF('ARDT Cutter Entry'!S66,"*8"),COUNTIF('ARDT Cutter Entry'!S66,"*9")),'ARDT Cutter Entry'!S66,            'ARDT Cutter Entry'!S116),            IF(OR(COUNTIF('ARDT Cutter Entry'!S9,"*1"),COUNTIF('ARDT Cutter Entry'!S9,"*2"),COUNTIF('ARDT Cutter Entry'!S9,"*3"),COUNTIF('ARDT Cutter Entry'!S9,"*4"),COUNTIF('ARDT Cutter Entry'!S9,"*5"),COUNTIF('ARDT Cutter Entry'!S9,"*6"),COUNTIF('ARDT Cutter Entry'!S9,"*7"),COUNTIF('ARDT Cutter Entry'!S9,"*8"),COUNTIF('ARDT Cutter Entry'!S9,"*9")),'ARDT Cutter Entry'!S9,'ARDT Cutter Entry'!S48))),"")</f>
        <v/>
      </c>
      <c r="T21" s="244" t="str">
        <f>IF(Data!$L$32=1,IF(OR(Data!$L$2=1,Data!$L$3=1),IF(OR(Data!CI51=0,Data!CI51=""),"","O"&amp;Data!CI51),IF('ARDT Cutter Entry'!$C$111&lt;&gt;"",               IF(OR(COUNTIF('ARDT Cutter Entry'!T66,"*1"),COUNTIF('ARDT Cutter Entry'!T66,"*2"),COUNTIF('ARDT Cutter Entry'!T66,"*3"),COUNTIF('ARDT Cutter Entry'!T66,"*4"),COUNTIF('ARDT Cutter Entry'!T66,"*5"),COUNTIF('ARDT Cutter Entry'!T66,"*6"),COUNTIF('ARDT Cutter Entry'!T66,"*7"),COUNTIF('ARDT Cutter Entry'!T66,"*8"),COUNTIF('ARDT Cutter Entry'!T66,"*9")),'ARDT Cutter Entry'!T66,            'ARDT Cutter Entry'!T116),            IF(OR(COUNTIF('ARDT Cutter Entry'!T9,"*1"),COUNTIF('ARDT Cutter Entry'!T9,"*2"),COUNTIF('ARDT Cutter Entry'!T9,"*3"),COUNTIF('ARDT Cutter Entry'!T9,"*4"),COUNTIF('ARDT Cutter Entry'!T9,"*5"),COUNTIF('ARDT Cutter Entry'!T9,"*6"),COUNTIF('ARDT Cutter Entry'!T9,"*7"),COUNTIF('ARDT Cutter Entry'!T9,"*8"),COUNTIF('ARDT Cutter Entry'!T9,"*9")),'ARDT Cutter Entry'!T9,'ARDT Cutter Entry'!T48))),"")</f>
        <v/>
      </c>
      <c r="U21" s="244" t="str">
        <f>IF(Data!$L$32=1,IF(OR(Data!$L$2=1,Data!$L$3=1),IF(OR(Data!CJ51=0,Data!CJ51=""),"","O"&amp;Data!CJ51),IF('ARDT Cutter Entry'!$C$111&lt;&gt;"",               IF(OR(COUNTIF('ARDT Cutter Entry'!U66,"*1"),COUNTIF('ARDT Cutter Entry'!U66,"*2"),COUNTIF('ARDT Cutter Entry'!U66,"*3"),COUNTIF('ARDT Cutter Entry'!U66,"*4"),COUNTIF('ARDT Cutter Entry'!U66,"*5"),COUNTIF('ARDT Cutter Entry'!U66,"*6"),COUNTIF('ARDT Cutter Entry'!U66,"*7"),COUNTIF('ARDT Cutter Entry'!U66,"*8"),COUNTIF('ARDT Cutter Entry'!U66,"*9")),'ARDT Cutter Entry'!U66,            'ARDT Cutter Entry'!U116),            IF(OR(COUNTIF('ARDT Cutter Entry'!U9,"*1"),COUNTIF('ARDT Cutter Entry'!U9,"*2"),COUNTIF('ARDT Cutter Entry'!U9,"*3"),COUNTIF('ARDT Cutter Entry'!U9,"*4"),COUNTIF('ARDT Cutter Entry'!U9,"*5"),COUNTIF('ARDT Cutter Entry'!U9,"*6"),COUNTIF('ARDT Cutter Entry'!U9,"*7"),COUNTIF('ARDT Cutter Entry'!U9,"*8"),COUNTIF('ARDT Cutter Entry'!U9,"*9")),'ARDT Cutter Entry'!U9,'ARDT Cutter Entry'!U48))),"")</f>
        <v/>
      </c>
      <c r="V21" s="244" t="str">
        <f>IF(Data!$L$32=1,IF(OR(Data!$L$2=1,Data!$L$3=1),IF(OR(Data!CK51=0,Data!CK51=""),"","O"&amp;Data!CK51),IF('ARDT Cutter Entry'!$C$111&lt;&gt;"",               IF(OR(COUNTIF('ARDT Cutter Entry'!V66,"*1"),COUNTIF('ARDT Cutter Entry'!V66,"*2"),COUNTIF('ARDT Cutter Entry'!V66,"*3"),COUNTIF('ARDT Cutter Entry'!V66,"*4"),COUNTIF('ARDT Cutter Entry'!V66,"*5"),COUNTIF('ARDT Cutter Entry'!V66,"*6"),COUNTIF('ARDT Cutter Entry'!V66,"*7"),COUNTIF('ARDT Cutter Entry'!V66,"*8"),COUNTIF('ARDT Cutter Entry'!V66,"*9")),'ARDT Cutter Entry'!V66,            'ARDT Cutter Entry'!V116),            IF(OR(COUNTIF('ARDT Cutter Entry'!V9,"*1"),COUNTIF('ARDT Cutter Entry'!V9,"*2"),COUNTIF('ARDT Cutter Entry'!V9,"*3"),COUNTIF('ARDT Cutter Entry'!V9,"*4"),COUNTIF('ARDT Cutter Entry'!V9,"*5"),COUNTIF('ARDT Cutter Entry'!V9,"*6"),COUNTIF('ARDT Cutter Entry'!V9,"*7"),COUNTIF('ARDT Cutter Entry'!V9,"*8"),COUNTIF('ARDT Cutter Entry'!V9,"*9")),'ARDT Cutter Entry'!V9,'ARDT Cutter Entry'!V48))),"")</f>
        <v/>
      </c>
      <c r="W21" s="244" t="str">
        <f>IF(Data!$L$32=1,IF(OR(Data!$L$2=1,Data!$L$3=1),IF(OR(Data!CL51=0,Data!CL51=""),"","O"&amp;Data!CL51),IF('ARDT Cutter Entry'!$C$111&lt;&gt;"",               IF(OR(COUNTIF('ARDT Cutter Entry'!W66,"*1"),COUNTIF('ARDT Cutter Entry'!W66,"*2"),COUNTIF('ARDT Cutter Entry'!W66,"*3"),COUNTIF('ARDT Cutter Entry'!W66,"*4"),COUNTIF('ARDT Cutter Entry'!W66,"*5"),COUNTIF('ARDT Cutter Entry'!W66,"*6"),COUNTIF('ARDT Cutter Entry'!W66,"*7"),COUNTIF('ARDT Cutter Entry'!W66,"*8"),COUNTIF('ARDT Cutter Entry'!W66,"*9")),'ARDT Cutter Entry'!W66,            'ARDT Cutter Entry'!W116),            IF(OR(COUNTIF('ARDT Cutter Entry'!W9,"*1"),COUNTIF('ARDT Cutter Entry'!W9,"*2"),COUNTIF('ARDT Cutter Entry'!W9,"*3"),COUNTIF('ARDT Cutter Entry'!W9,"*4"),COUNTIF('ARDT Cutter Entry'!W9,"*5"),COUNTIF('ARDT Cutter Entry'!W9,"*6"),COUNTIF('ARDT Cutter Entry'!W9,"*7"),COUNTIF('ARDT Cutter Entry'!W9,"*8"),COUNTIF('ARDT Cutter Entry'!W9,"*9")),'ARDT Cutter Entry'!W9,'ARDT Cutter Entry'!W48))),"")</f>
        <v/>
      </c>
      <c r="X21" s="244" t="str">
        <f>IF(Data!$L$32=1,IF(OR(Data!$L$2=1,Data!$L$3=1),IF(OR(Data!CM51=0,Data!CM51=""),"","O"&amp;Data!CM51),IF('ARDT Cutter Entry'!$C$111&lt;&gt;"",               IF(OR(COUNTIF('ARDT Cutter Entry'!X66,"*1"),COUNTIF('ARDT Cutter Entry'!X66,"*2"),COUNTIF('ARDT Cutter Entry'!X66,"*3"),COUNTIF('ARDT Cutter Entry'!X66,"*4"),COUNTIF('ARDT Cutter Entry'!X66,"*5"),COUNTIF('ARDT Cutter Entry'!X66,"*6"),COUNTIF('ARDT Cutter Entry'!X66,"*7"),COUNTIF('ARDT Cutter Entry'!X66,"*8"),COUNTIF('ARDT Cutter Entry'!X66,"*9")),'ARDT Cutter Entry'!X66,            'ARDT Cutter Entry'!X116),            IF(OR(COUNTIF('ARDT Cutter Entry'!X9,"*1"),COUNTIF('ARDT Cutter Entry'!X9,"*2"),COUNTIF('ARDT Cutter Entry'!X9,"*3"),COUNTIF('ARDT Cutter Entry'!X9,"*4"),COUNTIF('ARDT Cutter Entry'!X9,"*5"),COUNTIF('ARDT Cutter Entry'!X9,"*6"),COUNTIF('ARDT Cutter Entry'!X9,"*7"),COUNTIF('ARDT Cutter Entry'!X9,"*8"),COUNTIF('ARDT Cutter Entry'!X9,"*9")),'ARDT Cutter Entry'!X9,'ARDT Cutter Entry'!X48))),"")</f>
        <v/>
      </c>
      <c r="Y21" s="244" t="str">
        <f>IF(Data!$L$32=1,IF(OR(Data!$L$2=1,Data!$L$3=1),IF(OR(Data!CN51=0,Data!CN51=""),"","O"&amp;Data!CN51),IF('ARDT Cutter Entry'!$C$111&lt;&gt;"",               IF(OR(COUNTIF('ARDT Cutter Entry'!Y66,"*1"),COUNTIF('ARDT Cutter Entry'!Y66,"*2"),COUNTIF('ARDT Cutter Entry'!Y66,"*3"),COUNTIF('ARDT Cutter Entry'!Y66,"*4"),COUNTIF('ARDT Cutter Entry'!Y66,"*5"),COUNTIF('ARDT Cutter Entry'!Y66,"*6"),COUNTIF('ARDT Cutter Entry'!Y66,"*7"),COUNTIF('ARDT Cutter Entry'!Y66,"*8"),COUNTIF('ARDT Cutter Entry'!Y66,"*9")),'ARDT Cutter Entry'!Y66,            'ARDT Cutter Entry'!Y116),            IF(OR(COUNTIF('ARDT Cutter Entry'!Y9,"*1"),COUNTIF('ARDT Cutter Entry'!Y9,"*2"),COUNTIF('ARDT Cutter Entry'!Y9,"*3"),COUNTIF('ARDT Cutter Entry'!Y9,"*4"),COUNTIF('ARDT Cutter Entry'!Y9,"*5"),COUNTIF('ARDT Cutter Entry'!Y9,"*6"),COUNTIF('ARDT Cutter Entry'!Y9,"*7"),COUNTIF('ARDT Cutter Entry'!Y9,"*8"),COUNTIF('ARDT Cutter Entry'!Y9,"*9")),'ARDT Cutter Entry'!Y9,'ARDT Cutter Entry'!Y48))),"")</f>
        <v/>
      </c>
      <c r="Z21" s="244" t="str">
        <f>IF(Data!$L$32=1,IF(OR(Data!$L$2=1,Data!$L$3=1),IF(OR(Data!CO51=0,Data!CO51=""),"","O"&amp;Data!CO51),IF('ARDT Cutter Entry'!$C$111&lt;&gt;"",               IF(OR(COUNTIF('ARDT Cutter Entry'!Z66,"*1"),COUNTIF('ARDT Cutter Entry'!Z66,"*2"),COUNTIF('ARDT Cutter Entry'!Z66,"*3"),COUNTIF('ARDT Cutter Entry'!Z66,"*4"),COUNTIF('ARDT Cutter Entry'!Z66,"*5"),COUNTIF('ARDT Cutter Entry'!Z66,"*6"),COUNTIF('ARDT Cutter Entry'!Z66,"*7"),COUNTIF('ARDT Cutter Entry'!Z66,"*8"),COUNTIF('ARDT Cutter Entry'!Z66,"*9")),'ARDT Cutter Entry'!Z66,            'ARDT Cutter Entry'!Z116),            IF(OR(COUNTIF('ARDT Cutter Entry'!Z9,"*1"),COUNTIF('ARDT Cutter Entry'!Z9,"*2"),COUNTIF('ARDT Cutter Entry'!Z9,"*3"),COUNTIF('ARDT Cutter Entry'!Z9,"*4"),COUNTIF('ARDT Cutter Entry'!Z9,"*5"),COUNTIF('ARDT Cutter Entry'!Z9,"*6"),COUNTIF('ARDT Cutter Entry'!Z9,"*7"),COUNTIF('ARDT Cutter Entry'!Z9,"*8"),COUNTIF('ARDT Cutter Entry'!Z9,"*9")),'ARDT Cutter Entry'!Z9,'ARDT Cutter Entry'!Z48))),"")</f>
        <v/>
      </c>
      <c r="AA21" s="1056" t="str">
        <f>IF(Data!$L$32=1,IF(OR(Data!$L$2=1,Data!$L$3=1),IF(OR(Data!CP51=0,Data!CP51=""),"","O"&amp;Data!CP51),IF('ARDT Cutter Entry'!$C$111&lt;&gt;"",               IF(OR(COUNTIF('ARDT Cutter Entry'!AA66,"*1"),COUNTIF('ARDT Cutter Entry'!AA66,"*2"),COUNTIF('ARDT Cutter Entry'!AA66,"*3"),COUNTIF('ARDT Cutter Entry'!AA66,"*4"),COUNTIF('ARDT Cutter Entry'!AA66,"*5"),COUNTIF('ARDT Cutter Entry'!AA66,"*6"),COUNTIF('ARDT Cutter Entry'!AA66,"*7"),COUNTIF('ARDT Cutter Entry'!AA66,"*8"),COUNTIF('ARDT Cutter Entry'!AA66,"*9")),'ARDT Cutter Entry'!AA66,            'ARDT Cutter Entry'!AA116),            IF(OR(COUNTIF('ARDT Cutter Entry'!AA9,"*1"),COUNTIF('ARDT Cutter Entry'!AA9,"*2"),COUNTIF('ARDT Cutter Entry'!AA9,"*3"),COUNTIF('ARDT Cutter Entry'!AA9,"*4"),COUNTIF('ARDT Cutter Entry'!AA9,"*5"),COUNTIF('ARDT Cutter Entry'!AA9,"*6"),COUNTIF('ARDT Cutter Entry'!AA9,"*7"),COUNTIF('ARDT Cutter Entry'!AA9,"*8"),COUNTIF('ARDT Cutter Entry'!AA9,"*9")),'ARDT Cutter Entry'!AA9,'ARDT Cutter Entry'!AA48))),"")</f>
        <v/>
      </c>
    </row>
    <row r="22" spans="1:27" ht="16" customHeight="1" x14ac:dyDescent="0.35">
      <c r="A22" s="1825"/>
      <c r="B22" s="446">
        <v>7</v>
      </c>
      <c r="C22" s="230" t="str">
        <f>IF(Data!$L$32=1,IF(OR(Data!$L$2=1,Data!$L$3=1),IF(OR(Data!BR52=0,Data!BR52=""),"","O"&amp;Data!BR52),IF('ARDT Cutter Entry'!$C$111&lt;&gt;"",               IF(OR(COUNTIF('ARDT Cutter Entry'!C67,"*1"),COUNTIF('ARDT Cutter Entry'!C67,"*2"),COUNTIF('ARDT Cutter Entry'!C67,"*3"),COUNTIF('ARDT Cutter Entry'!C67,"*4"),COUNTIF('ARDT Cutter Entry'!C67,"*5"),COUNTIF('ARDT Cutter Entry'!C67,"*6"),COUNTIF('ARDT Cutter Entry'!C67,"*7"),COUNTIF('ARDT Cutter Entry'!C67,"*8"),COUNTIF('ARDT Cutter Entry'!C67,"*9")),'ARDT Cutter Entry'!C67,            'ARDT Cutter Entry'!C117),            IF(OR(COUNTIF('ARDT Cutter Entry'!C10,"*1"),COUNTIF('ARDT Cutter Entry'!C10,"*2"),COUNTIF('ARDT Cutter Entry'!C10,"*3"),COUNTIF('ARDT Cutter Entry'!C10,"*4"),COUNTIF('ARDT Cutter Entry'!C10,"*5"),COUNTIF('ARDT Cutter Entry'!C10,"*6"),COUNTIF('ARDT Cutter Entry'!C10,"*7"),COUNTIF('ARDT Cutter Entry'!C10,"*8"),COUNTIF('ARDT Cutter Entry'!C10,"*9")),'ARDT Cutter Entry'!C10,'ARDT Cutter Entry'!C49))),"")</f>
        <v/>
      </c>
      <c r="D22" s="244" t="str">
        <f>IF(Data!$L$32=1,IF(OR(Data!$L$2=1,Data!$L$3=1),IF(OR(Data!BS52=0,Data!BS52=""),"","O"&amp;Data!BS52),IF('ARDT Cutter Entry'!$C$111&lt;&gt;"",               IF(OR(COUNTIF('ARDT Cutter Entry'!D67,"*1"),COUNTIF('ARDT Cutter Entry'!D67,"*2"),COUNTIF('ARDT Cutter Entry'!D67,"*3"),COUNTIF('ARDT Cutter Entry'!D67,"*4"),COUNTIF('ARDT Cutter Entry'!D67,"*5"),COUNTIF('ARDT Cutter Entry'!D67,"*6"),COUNTIF('ARDT Cutter Entry'!D67,"*7"),COUNTIF('ARDT Cutter Entry'!D67,"*8"),COUNTIF('ARDT Cutter Entry'!D67,"*9")),'ARDT Cutter Entry'!D67,            'ARDT Cutter Entry'!D117),            IF(OR(COUNTIF('ARDT Cutter Entry'!D10,"*1"),COUNTIF('ARDT Cutter Entry'!D10,"*2"),COUNTIF('ARDT Cutter Entry'!D10,"*3"),COUNTIF('ARDT Cutter Entry'!D10,"*4"),COUNTIF('ARDT Cutter Entry'!D10,"*5"),COUNTIF('ARDT Cutter Entry'!D10,"*6"),COUNTIF('ARDT Cutter Entry'!D10,"*7"),COUNTIF('ARDT Cutter Entry'!D10,"*8"),COUNTIF('ARDT Cutter Entry'!D10,"*9")),'ARDT Cutter Entry'!D10,'ARDT Cutter Entry'!D49))),"")</f>
        <v/>
      </c>
      <c r="E22" s="244" t="str">
        <f>IF(Data!$L$32=1,IF(OR(Data!$L$2=1,Data!$L$3=1),IF(OR(Data!BT52=0,Data!BT52=""),"","O"&amp;Data!BT52),IF('ARDT Cutter Entry'!$C$111&lt;&gt;"",               IF(OR(COUNTIF('ARDT Cutter Entry'!E67,"*1"),COUNTIF('ARDT Cutter Entry'!E67,"*2"),COUNTIF('ARDT Cutter Entry'!E67,"*3"),COUNTIF('ARDT Cutter Entry'!E67,"*4"),COUNTIF('ARDT Cutter Entry'!E67,"*5"),COUNTIF('ARDT Cutter Entry'!E67,"*6"),COUNTIF('ARDT Cutter Entry'!E67,"*7"),COUNTIF('ARDT Cutter Entry'!E67,"*8"),COUNTIF('ARDT Cutter Entry'!E67,"*9")),'ARDT Cutter Entry'!E67,            'ARDT Cutter Entry'!E117),            IF(OR(COUNTIF('ARDT Cutter Entry'!E10,"*1"),COUNTIF('ARDT Cutter Entry'!E10,"*2"),COUNTIF('ARDT Cutter Entry'!E10,"*3"),COUNTIF('ARDT Cutter Entry'!E10,"*4"),COUNTIF('ARDT Cutter Entry'!E10,"*5"),COUNTIF('ARDT Cutter Entry'!E10,"*6"),COUNTIF('ARDT Cutter Entry'!E10,"*7"),COUNTIF('ARDT Cutter Entry'!E10,"*8"),COUNTIF('ARDT Cutter Entry'!E10,"*9")),'ARDT Cutter Entry'!E10,'ARDT Cutter Entry'!E49))),"")</f>
        <v/>
      </c>
      <c r="F22" s="244" t="str">
        <f>IF(Data!$L$32=1,IF(OR(Data!$L$2=1,Data!$L$3=1),IF(OR(Data!BU52=0,Data!BU52=""),"","O"&amp;Data!BU52),IF('ARDT Cutter Entry'!$C$111&lt;&gt;"",               IF(OR(COUNTIF('ARDT Cutter Entry'!F67,"*1"),COUNTIF('ARDT Cutter Entry'!F67,"*2"),COUNTIF('ARDT Cutter Entry'!F67,"*3"),COUNTIF('ARDT Cutter Entry'!F67,"*4"),COUNTIF('ARDT Cutter Entry'!F67,"*5"),COUNTIF('ARDT Cutter Entry'!F67,"*6"),COUNTIF('ARDT Cutter Entry'!F67,"*7"),COUNTIF('ARDT Cutter Entry'!F67,"*8"),COUNTIF('ARDT Cutter Entry'!F67,"*9")),'ARDT Cutter Entry'!F67,            'ARDT Cutter Entry'!F117),            IF(OR(COUNTIF('ARDT Cutter Entry'!F10,"*1"),COUNTIF('ARDT Cutter Entry'!F10,"*2"),COUNTIF('ARDT Cutter Entry'!F10,"*3"),COUNTIF('ARDT Cutter Entry'!F10,"*4"),COUNTIF('ARDT Cutter Entry'!F10,"*5"),COUNTIF('ARDT Cutter Entry'!F10,"*6"),COUNTIF('ARDT Cutter Entry'!F10,"*7"),COUNTIF('ARDT Cutter Entry'!F10,"*8"),COUNTIF('ARDT Cutter Entry'!F10,"*9")),'ARDT Cutter Entry'!F10,'ARDT Cutter Entry'!F49))),"")</f>
        <v/>
      </c>
      <c r="G22" s="244" t="str">
        <f>IF(Data!$L$32=1,IF(OR(Data!$L$2=1,Data!$L$3=1),IF(OR(Data!BV52=0,Data!BV52=""),"","O"&amp;Data!BV52),IF('ARDT Cutter Entry'!$C$111&lt;&gt;"",               IF(OR(COUNTIF('ARDT Cutter Entry'!G67,"*1"),COUNTIF('ARDT Cutter Entry'!G67,"*2"),COUNTIF('ARDT Cutter Entry'!G67,"*3"),COUNTIF('ARDT Cutter Entry'!G67,"*4"),COUNTIF('ARDT Cutter Entry'!G67,"*5"),COUNTIF('ARDT Cutter Entry'!G67,"*6"),COUNTIF('ARDT Cutter Entry'!G67,"*7"),COUNTIF('ARDT Cutter Entry'!G67,"*8"),COUNTIF('ARDT Cutter Entry'!G67,"*9")),'ARDT Cutter Entry'!G67,            'ARDT Cutter Entry'!G117),            IF(OR(COUNTIF('ARDT Cutter Entry'!G10,"*1"),COUNTIF('ARDT Cutter Entry'!G10,"*2"),COUNTIF('ARDT Cutter Entry'!G10,"*3"),COUNTIF('ARDT Cutter Entry'!G10,"*4"),COUNTIF('ARDT Cutter Entry'!G10,"*5"),COUNTIF('ARDT Cutter Entry'!G10,"*6"),COUNTIF('ARDT Cutter Entry'!G10,"*7"),COUNTIF('ARDT Cutter Entry'!G10,"*8"),COUNTIF('ARDT Cutter Entry'!G10,"*9")),'ARDT Cutter Entry'!G10,'ARDT Cutter Entry'!G49))),"")</f>
        <v/>
      </c>
      <c r="H22" s="244" t="str">
        <f>IF(Data!$L$32=1,IF(OR(Data!$L$2=1,Data!$L$3=1),IF(OR(Data!BW52=0,Data!BW52=""),"","O"&amp;Data!BW52),IF('ARDT Cutter Entry'!$C$111&lt;&gt;"",               IF(OR(COUNTIF('ARDT Cutter Entry'!H67,"*1"),COUNTIF('ARDT Cutter Entry'!H67,"*2"),COUNTIF('ARDT Cutter Entry'!H67,"*3"),COUNTIF('ARDT Cutter Entry'!H67,"*4"),COUNTIF('ARDT Cutter Entry'!H67,"*5"),COUNTIF('ARDT Cutter Entry'!H67,"*6"),COUNTIF('ARDT Cutter Entry'!H67,"*7"),COUNTIF('ARDT Cutter Entry'!H67,"*8"),COUNTIF('ARDT Cutter Entry'!H67,"*9")),'ARDT Cutter Entry'!H67,            'ARDT Cutter Entry'!H117),            IF(OR(COUNTIF('ARDT Cutter Entry'!H10,"*1"),COUNTIF('ARDT Cutter Entry'!H10,"*2"),COUNTIF('ARDT Cutter Entry'!H10,"*3"),COUNTIF('ARDT Cutter Entry'!H10,"*4"),COUNTIF('ARDT Cutter Entry'!H10,"*5"),COUNTIF('ARDT Cutter Entry'!H10,"*6"),COUNTIF('ARDT Cutter Entry'!H10,"*7"),COUNTIF('ARDT Cutter Entry'!H10,"*8"),COUNTIF('ARDT Cutter Entry'!H10,"*9")),'ARDT Cutter Entry'!H10,'ARDT Cutter Entry'!H49))),"")</f>
        <v/>
      </c>
      <c r="I22" s="244" t="str">
        <f>IF(Data!$L$32=1,IF(OR(Data!$L$2=1,Data!$L$3=1),IF(OR(Data!BX52=0,Data!BX52=""),"","O"&amp;Data!BX52),IF('ARDT Cutter Entry'!$C$111&lt;&gt;"",               IF(OR(COUNTIF('ARDT Cutter Entry'!I67,"*1"),COUNTIF('ARDT Cutter Entry'!I67,"*2"),COUNTIF('ARDT Cutter Entry'!I67,"*3"),COUNTIF('ARDT Cutter Entry'!I67,"*4"),COUNTIF('ARDT Cutter Entry'!I67,"*5"),COUNTIF('ARDT Cutter Entry'!I67,"*6"),COUNTIF('ARDT Cutter Entry'!I67,"*7"),COUNTIF('ARDT Cutter Entry'!I67,"*8"),COUNTIF('ARDT Cutter Entry'!I67,"*9")),'ARDT Cutter Entry'!I67,            'ARDT Cutter Entry'!I117),            IF(OR(COUNTIF('ARDT Cutter Entry'!I10,"*1"),COUNTIF('ARDT Cutter Entry'!I10,"*2"),COUNTIF('ARDT Cutter Entry'!I10,"*3"),COUNTIF('ARDT Cutter Entry'!I10,"*4"),COUNTIF('ARDT Cutter Entry'!I10,"*5"),COUNTIF('ARDT Cutter Entry'!I10,"*6"),COUNTIF('ARDT Cutter Entry'!I10,"*7"),COUNTIF('ARDT Cutter Entry'!I10,"*8"),COUNTIF('ARDT Cutter Entry'!I10,"*9")),'ARDT Cutter Entry'!I10,'ARDT Cutter Entry'!I49))),"")</f>
        <v/>
      </c>
      <c r="J22" s="244" t="str">
        <f>IF(Data!$L$32=1,IF(OR(Data!$L$2=1,Data!$L$3=1),IF(OR(Data!BY52=0,Data!BY52=""),"","O"&amp;Data!BY52),IF('ARDT Cutter Entry'!$C$111&lt;&gt;"",               IF(OR(COUNTIF('ARDT Cutter Entry'!J67,"*1"),COUNTIF('ARDT Cutter Entry'!J67,"*2"),COUNTIF('ARDT Cutter Entry'!J67,"*3"),COUNTIF('ARDT Cutter Entry'!J67,"*4"),COUNTIF('ARDT Cutter Entry'!J67,"*5"),COUNTIF('ARDT Cutter Entry'!J67,"*6"),COUNTIF('ARDT Cutter Entry'!J67,"*7"),COUNTIF('ARDT Cutter Entry'!J67,"*8"),COUNTIF('ARDT Cutter Entry'!J67,"*9")),'ARDT Cutter Entry'!J67,            'ARDT Cutter Entry'!J117),            IF(OR(COUNTIF('ARDT Cutter Entry'!J10,"*1"),COUNTIF('ARDT Cutter Entry'!J10,"*2"),COUNTIF('ARDT Cutter Entry'!J10,"*3"),COUNTIF('ARDT Cutter Entry'!J10,"*4"),COUNTIF('ARDT Cutter Entry'!J10,"*5"),COUNTIF('ARDT Cutter Entry'!J10,"*6"),COUNTIF('ARDT Cutter Entry'!J10,"*7"),COUNTIF('ARDT Cutter Entry'!J10,"*8"),COUNTIF('ARDT Cutter Entry'!J10,"*9")),'ARDT Cutter Entry'!J10,'ARDT Cutter Entry'!J49))),"")</f>
        <v/>
      </c>
      <c r="K22" s="244" t="str">
        <f>IF(Data!$L$32=1,IF(OR(Data!$L$2=1,Data!$L$3=1),IF(OR(Data!BZ52=0,Data!BZ52=""),"","O"&amp;Data!BZ52),IF('ARDT Cutter Entry'!$C$111&lt;&gt;"",               IF(OR(COUNTIF('ARDT Cutter Entry'!K67,"*1"),COUNTIF('ARDT Cutter Entry'!K67,"*2"),COUNTIF('ARDT Cutter Entry'!K67,"*3"),COUNTIF('ARDT Cutter Entry'!K67,"*4"),COUNTIF('ARDT Cutter Entry'!K67,"*5"),COUNTIF('ARDT Cutter Entry'!K67,"*6"),COUNTIF('ARDT Cutter Entry'!K67,"*7"),COUNTIF('ARDT Cutter Entry'!K67,"*8"),COUNTIF('ARDT Cutter Entry'!K67,"*9")),'ARDT Cutter Entry'!K67,            'ARDT Cutter Entry'!K117),            IF(OR(COUNTIF('ARDT Cutter Entry'!K10,"*1"),COUNTIF('ARDT Cutter Entry'!K10,"*2"),COUNTIF('ARDT Cutter Entry'!K10,"*3"),COUNTIF('ARDT Cutter Entry'!K10,"*4"),COUNTIF('ARDT Cutter Entry'!K10,"*5"),COUNTIF('ARDT Cutter Entry'!K10,"*6"),COUNTIF('ARDT Cutter Entry'!K10,"*7"),COUNTIF('ARDT Cutter Entry'!K10,"*8"),COUNTIF('ARDT Cutter Entry'!K10,"*9")),'ARDT Cutter Entry'!K10,'ARDT Cutter Entry'!K49))),"")</f>
        <v/>
      </c>
      <c r="L22" s="244" t="str">
        <f>IF(Data!$L$32=1,IF(OR(Data!$L$2=1,Data!$L$3=1),IF(OR(Data!CA52=0,Data!CA52=""),"","O"&amp;Data!CA52),IF('ARDT Cutter Entry'!$C$111&lt;&gt;"",               IF(OR(COUNTIF('ARDT Cutter Entry'!L67,"*1"),COUNTIF('ARDT Cutter Entry'!L67,"*2"),COUNTIF('ARDT Cutter Entry'!L67,"*3"),COUNTIF('ARDT Cutter Entry'!L67,"*4"),COUNTIF('ARDT Cutter Entry'!L67,"*5"),COUNTIF('ARDT Cutter Entry'!L67,"*6"),COUNTIF('ARDT Cutter Entry'!L67,"*7"),COUNTIF('ARDT Cutter Entry'!L67,"*8"),COUNTIF('ARDT Cutter Entry'!L67,"*9")),'ARDT Cutter Entry'!L67,            'ARDT Cutter Entry'!L117),            IF(OR(COUNTIF('ARDT Cutter Entry'!L10,"*1"),COUNTIF('ARDT Cutter Entry'!L10,"*2"),COUNTIF('ARDT Cutter Entry'!L10,"*3"),COUNTIF('ARDT Cutter Entry'!L10,"*4"),COUNTIF('ARDT Cutter Entry'!L10,"*5"),COUNTIF('ARDT Cutter Entry'!L10,"*6"),COUNTIF('ARDT Cutter Entry'!L10,"*7"),COUNTIF('ARDT Cutter Entry'!L10,"*8"),COUNTIF('ARDT Cutter Entry'!L10,"*9")),'ARDT Cutter Entry'!L10,'ARDT Cutter Entry'!L49))),"")</f>
        <v/>
      </c>
      <c r="M22" s="244" t="str">
        <f>IF(Data!$L$32=1,IF(OR(Data!$L$2=1,Data!$L$3=1),IF(OR(Data!CB52=0,Data!CB52=""),"","O"&amp;Data!CB52),IF('ARDT Cutter Entry'!$C$111&lt;&gt;"",               IF(OR(COUNTIF('ARDT Cutter Entry'!M67,"*1"),COUNTIF('ARDT Cutter Entry'!M67,"*2"),COUNTIF('ARDT Cutter Entry'!M67,"*3"),COUNTIF('ARDT Cutter Entry'!M67,"*4"),COUNTIF('ARDT Cutter Entry'!M67,"*5"),COUNTIF('ARDT Cutter Entry'!M67,"*6"),COUNTIF('ARDT Cutter Entry'!M67,"*7"),COUNTIF('ARDT Cutter Entry'!M67,"*8"),COUNTIF('ARDT Cutter Entry'!M67,"*9")),'ARDT Cutter Entry'!M67,            'ARDT Cutter Entry'!M117),            IF(OR(COUNTIF('ARDT Cutter Entry'!M10,"*1"),COUNTIF('ARDT Cutter Entry'!M10,"*2"),COUNTIF('ARDT Cutter Entry'!M10,"*3"),COUNTIF('ARDT Cutter Entry'!M10,"*4"),COUNTIF('ARDT Cutter Entry'!M10,"*5"),COUNTIF('ARDT Cutter Entry'!M10,"*6"),COUNTIF('ARDT Cutter Entry'!M10,"*7"),COUNTIF('ARDT Cutter Entry'!M10,"*8"),COUNTIF('ARDT Cutter Entry'!M10,"*9")),'ARDT Cutter Entry'!M10,'ARDT Cutter Entry'!M49))),"")</f>
        <v/>
      </c>
      <c r="N22" s="244" t="str">
        <f>IF(Data!$L$32=1,IF(OR(Data!$L$2=1,Data!$L$3=1),IF(OR(Data!CC52=0,Data!CC52=""),"","O"&amp;Data!CC52),IF('ARDT Cutter Entry'!$C$111&lt;&gt;"",               IF(OR(COUNTIF('ARDT Cutter Entry'!N67,"*1"),COUNTIF('ARDT Cutter Entry'!N67,"*2"),COUNTIF('ARDT Cutter Entry'!N67,"*3"),COUNTIF('ARDT Cutter Entry'!N67,"*4"),COUNTIF('ARDT Cutter Entry'!N67,"*5"),COUNTIF('ARDT Cutter Entry'!N67,"*6"),COUNTIF('ARDT Cutter Entry'!N67,"*7"),COUNTIF('ARDT Cutter Entry'!N67,"*8"),COUNTIF('ARDT Cutter Entry'!N67,"*9")),'ARDT Cutter Entry'!N67,            'ARDT Cutter Entry'!N117),            IF(OR(COUNTIF('ARDT Cutter Entry'!N10,"*1"),COUNTIF('ARDT Cutter Entry'!N10,"*2"),COUNTIF('ARDT Cutter Entry'!N10,"*3"),COUNTIF('ARDT Cutter Entry'!N10,"*4"),COUNTIF('ARDT Cutter Entry'!N10,"*5"),COUNTIF('ARDT Cutter Entry'!N10,"*6"),COUNTIF('ARDT Cutter Entry'!N10,"*7"),COUNTIF('ARDT Cutter Entry'!N10,"*8"),COUNTIF('ARDT Cutter Entry'!N10,"*9")),'ARDT Cutter Entry'!N10,'ARDT Cutter Entry'!N49))),"")</f>
        <v/>
      </c>
      <c r="O22" s="244" t="str">
        <f>IF(Data!$L$32=1,IF(OR(Data!$L$2=1,Data!$L$3=1),IF(OR(Data!CD52=0,Data!CD52=""),"","O"&amp;Data!CD52),IF('ARDT Cutter Entry'!$C$111&lt;&gt;"",               IF(OR(COUNTIF('ARDT Cutter Entry'!O67,"*1"),COUNTIF('ARDT Cutter Entry'!O67,"*2"),COUNTIF('ARDT Cutter Entry'!O67,"*3"),COUNTIF('ARDT Cutter Entry'!O67,"*4"),COUNTIF('ARDT Cutter Entry'!O67,"*5"),COUNTIF('ARDT Cutter Entry'!O67,"*6"),COUNTIF('ARDT Cutter Entry'!O67,"*7"),COUNTIF('ARDT Cutter Entry'!O67,"*8"),COUNTIF('ARDT Cutter Entry'!O67,"*9")),'ARDT Cutter Entry'!O67,            'ARDT Cutter Entry'!O117),            IF(OR(COUNTIF('ARDT Cutter Entry'!O10,"*1"),COUNTIF('ARDT Cutter Entry'!O10,"*2"),COUNTIF('ARDT Cutter Entry'!O10,"*3"),COUNTIF('ARDT Cutter Entry'!O10,"*4"),COUNTIF('ARDT Cutter Entry'!O10,"*5"),COUNTIF('ARDT Cutter Entry'!O10,"*6"),COUNTIF('ARDT Cutter Entry'!O10,"*7"),COUNTIF('ARDT Cutter Entry'!O10,"*8"),COUNTIF('ARDT Cutter Entry'!O10,"*9")),'ARDT Cutter Entry'!O10,'ARDT Cutter Entry'!O49))),"")</f>
        <v/>
      </c>
      <c r="P22" s="244" t="str">
        <f>IF(Data!$L$32=1,IF(OR(Data!$L$2=1,Data!$L$3=1),IF(OR(Data!CE52=0,Data!CE52=""),"","O"&amp;Data!CE52),IF('ARDT Cutter Entry'!$C$111&lt;&gt;"",               IF(OR(COUNTIF('ARDT Cutter Entry'!P67,"*1"),COUNTIF('ARDT Cutter Entry'!P67,"*2"),COUNTIF('ARDT Cutter Entry'!P67,"*3"),COUNTIF('ARDT Cutter Entry'!P67,"*4"),COUNTIF('ARDT Cutter Entry'!P67,"*5"),COUNTIF('ARDT Cutter Entry'!P67,"*6"),COUNTIF('ARDT Cutter Entry'!P67,"*7"),COUNTIF('ARDT Cutter Entry'!P67,"*8"),COUNTIF('ARDT Cutter Entry'!P67,"*9")),'ARDT Cutter Entry'!P67,            'ARDT Cutter Entry'!P117),            IF(OR(COUNTIF('ARDT Cutter Entry'!P10,"*1"),COUNTIF('ARDT Cutter Entry'!P10,"*2"),COUNTIF('ARDT Cutter Entry'!P10,"*3"),COUNTIF('ARDT Cutter Entry'!P10,"*4"),COUNTIF('ARDT Cutter Entry'!P10,"*5"),COUNTIF('ARDT Cutter Entry'!P10,"*6"),COUNTIF('ARDT Cutter Entry'!P10,"*7"),COUNTIF('ARDT Cutter Entry'!P10,"*8"),COUNTIF('ARDT Cutter Entry'!P10,"*9")),'ARDT Cutter Entry'!P10,'ARDT Cutter Entry'!P49))),"")</f>
        <v/>
      </c>
      <c r="Q22" s="244" t="str">
        <f>IF(Data!$L$32=1,IF(OR(Data!$L$2=1,Data!$L$3=1),IF(OR(Data!CF52=0,Data!CF52=""),"","O"&amp;Data!CF52),IF('ARDT Cutter Entry'!$C$111&lt;&gt;"",               IF(OR(COUNTIF('ARDT Cutter Entry'!Q67,"*1"),COUNTIF('ARDT Cutter Entry'!Q67,"*2"),COUNTIF('ARDT Cutter Entry'!Q67,"*3"),COUNTIF('ARDT Cutter Entry'!Q67,"*4"),COUNTIF('ARDT Cutter Entry'!Q67,"*5"),COUNTIF('ARDT Cutter Entry'!Q67,"*6"),COUNTIF('ARDT Cutter Entry'!Q67,"*7"),COUNTIF('ARDT Cutter Entry'!Q67,"*8"),COUNTIF('ARDT Cutter Entry'!Q67,"*9")),'ARDT Cutter Entry'!Q67,            'ARDT Cutter Entry'!Q117),            IF(OR(COUNTIF('ARDT Cutter Entry'!Q10,"*1"),COUNTIF('ARDT Cutter Entry'!Q10,"*2"),COUNTIF('ARDT Cutter Entry'!Q10,"*3"),COUNTIF('ARDT Cutter Entry'!Q10,"*4"),COUNTIF('ARDT Cutter Entry'!Q10,"*5"),COUNTIF('ARDT Cutter Entry'!Q10,"*6"),COUNTIF('ARDT Cutter Entry'!Q10,"*7"),COUNTIF('ARDT Cutter Entry'!Q10,"*8"),COUNTIF('ARDT Cutter Entry'!Q10,"*9")),'ARDT Cutter Entry'!Q10,'ARDT Cutter Entry'!Q49))),"")</f>
        <v/>
      </c>
      <c r="R22" s="244" t="str">
        <f>IF(Data!$L$32=1,IF(OR(Data!$L$2=1,Data!$L$3=1),IF(OR(Data!CG52=0,Data!CG52=""),"","O"&amp;Data!CG52),IF('ARDT Cutter Entry'!$C$111&lt;&gt;"",               IF(OR(COUNTIF('ARDT Cutter Entry'!R67,"*1"),COUNTIF('ARDT Cutter Entry'!R67,"*2"),COUNTIF('ARDT Cutter Entry'!R67,"*3"),COUNTIF('ARDT Cutter Entry'!R67,"*4"),COUNTIF('ARDT Cutter Entry'!R67,"*5"),COUNTIF('ARDT Cutter Entry'!R67,"*6"),COUNTIF('ARDT Cutter Entry'!R67,"*7"),COUNTIF('ARDT Cutter Entry'!R67,"*8"),COUNTIF('ARDT Cutter Entry'!R67,"*9")),'ARDT Cutter Entry'!R67,            'ARDT Cutter Entry'!R117),            IF(OR(COUNTIF('ARDT Cutter Entry'!R10,"*1"),COUNTIF('ARDT Cutter Entry'!R10,"*2"),COUNTIF('ARDT Cutter Entry'!R10,"*3"),COUNTIF('ARDT Cutter Entry'!R10,"*4"),COUNTIF('ARDT Cutter Entry'!R10,"*5"),COUNTIF('ARDT Cutter Entry'!R10,"*6"),COUNTIF('ARDT Cutter Entry'!R10,"*7"),COUNTIF('ARDT Cutter Entry'!R10,"*8"),COUNTIF('ARDT Cutter Entry'!R10,"*9")),'ARDT Cutter Entry'!R10,'ARDT Cutter Entry'!R49))),"")</f>
        <v/>
      </c>
      <c r="S22" s="244" t="str">
        <f>IF(Data!$L$32=1,IF(OR(Data!$L$2=1,Data!$L$3=1),IF(OR(Data!CH52=0,Data!CH52=""),"","O"&amp;Data!CH52),IF('ARDT Cutter Entry'!$C$111&lt;&gt;"",               IF(OR(COUNTIF('ARDT Cutter Entry'!S67,"*1"),COUNTIF('ARDT Cutter Entry'!S67,"*2"),COUNTIF('ARDT Cutter Entry'!S67,"*3"),COUNTIF('ARDT Cutter Entry'!S67,"*4"),COUNTIF('ARDT Cutter Entry'!S67,"*5"),COUNTIF('ARDT Cutter Entry'!S67,"*6"),COUNTIF('ARDT Cutter Entry'!S67,"*7"),COUNTIF('ARDT Cutter Entry'!S67,"*8"),COUNTIF('ARDT Cutter Entry'!S67,"*9")),'ARDT Cutter Entry'!S67,            'ARDT Cutter Entry'!S117),            IF(OR(COUNTIF('ARDT Cutter Entry'!S10,"*1"),COUNTIF('ARDT Cutter Entry'!S10,"*2"),COUNTIF('ARDT Cutter Entry'!S10,"*3"),COUNTIF('ARDT Cutter Entry'!S10,"*4"),COUNTIF('ARDT Cutter Entry'!S10,"*5"),COUNTIF('ARDT Cutter Entry'!S10,"*6"),COUNTIF('ARDT Cutter Entry'!S10,"*7"),COUNTIF('ARDT Cutter Entry'!S10,"*8"),COUNTIF('ARDT Cutter Entry'!S10,"*9")),'ARDT Cutter Entry'!S10,'ARDT Cutter Entry'!S49))),"")</f>
        <v/>
      </c>
      <c r="T22" s="244" t="str">
        <f>IF(Data!$L$32=1,IF(OR(Data!$L$2=1,Data!$L$3=1),IF(OR(Data!CI52=0,Data!CI52=""),"","O"&amp;Data!CI52),IF('ARDT Cutter Entry'!$C$111&lt;&gt;"",               IF(OR(COUNTIF('ARDT Cutter Entry'!T67,"*1"),COUNTIF('ARDT Cutter Entry'!T67,"*2"),COUNTIF('ARDT Cutter Entry'!T67,"*3"),COUNTIF('ARDT Cutter Entry'!T67,"*4"),COUNTIF('ARDT Cutter Entry'!T67,"*5"),COUNTIF('ARDT Cutter Entry'!T67,"*6"),COUNTIF('ARDT Cutter Entry'!T67,"*7"),COUNTIF('ARDT Cutter Entry'!T67,"*8"),COUNTIF('ARDT Cutter Entry'!T67,"*9")),'ARDT Cutter Entry'!T67,            'ARDT Cutter Entry'!T117),            IF(OR(COUNTIF('ARDT Cutter Entry'!T10,"*1"),COUNTIF('ARDT Cutter Entry'!T10,"*2"),COUNTIF('ARDT Cutter Entry'!T10,"*3"),COUNTIF('ARDT Cutter Entry'!T10,"*4"),COUNTIF('ARDT Cutter Entry'!T10,"*5"),COUNTIF('ARDT Cutter Entry'!T10,"*6"),COUNTIF('ARDT Cutter Entry'!T10,"*7"),COUNTIF('ARDT Cutter Entry'!T10,"*8"),COUNTIF('ARDT Cutter Entry'!T10,"*9")),'ARDT Cutter Entry'!T10,'ARDT Cutter Entry'!T49))),"")</f>
        <v/>
      </c>
      <c r="U22" s="244" t="str">
        <f>IF(Data!$L$32=1,IF(OR(Data!$L$2=1,Data!$L$3=1),IF(OR(Data!CJ52=0,Data!CJ52=""),"","O"&amp;Data!CJ52),IF('ARDT Cutter Entry'!$C$111&lt;&gt;"",               IF(OR(COUNTIF('ARDT Cutter Entry'!U67,"*1"),COUNTIF('ARDT Cutter Entry'!U67,"*2"),COUNTIF('ARDT Cutter Entry'!U67,"*3"),COUNTIF('ARDT Cutter Entry'!U67,"*4"),COUNTIF('ARDT Cutter Entry'!U67,"*5"),COUNTIF('ARDT Cutter Entry'!U67,"*6"),COUNTIF('ARDT Cutter Entry'!U67,"*7"),COUNTIF('ARDT Cutter Entry'!U67,"*8"),COUNTIF('ARDT Cutter Entry'!U67,"*9")),'ARDT Cutter Entry'!U67,            'ARDT Cutter Entry'!U117),            IF(OR(COUNTIF('ARDT Cutter Entry'!U10,"*1"),COUNTIF('ARDT Cutter Entry'!U10,"*2"),COUNTIF('ARDT Cutter Entry'!U10,"*3"),COUNTIF('ARDT Cutter Entry'!U10,"*4"),COUNTIF('ARDT Cutter Entry'!U10,"*5"),COUNTIF('ARDT Cutter Entry'!U10,"*6"),COUNTIF('ARDT Cutter Entry'!U10,"*7"),COUNTIF('ARDT Cutter Entry'!U10,"*8"),COUNTIF('ARDT Cutter Entry'!U10,"*9")),'ARDT Cutter Entry'!U10,'ARDT Cutter Entry'!U49))),"")</f>
        <v/>
      </c>
      <c r="V22" s="244" t="str">
        <f>IF(Data!$L$32=1,IF(OR(Data!$L$2=1,Data!$L$3=1),IF(OR(Data!CK52=0,Data!CK52=""),"","O"&amp;Data!CK52),IF('ARDT Cutter Entry'!$C$111&lt;&gt;"",               IF(OR(COUNTIF('ARDT Cutter Entry'!V67,"*1"),COUNTIF('ARDT Cutter Entry'!V67,"*2"),COUNTIF('ARDT Cutter Entry'!V67,"*3"),COUNTIF('ARDT Cutter Entry'!V67,"*4"),COUNTIF('ARDT Cutter Entry'!V67,"*5"),COUNTIF('ARDT Cutter Entry'!V67,"*6"),COUNTIF('ARDT Cutter Entry'!V67,"*7"),COUNTIF('ARDT Cutter Entry'!V67,"*8"),COUNTIF('ARDT Cutter Entry'!V67,"*9")),'ARDT Cutter Entry'!V67,            'ARDT Cutter Entry'!V117),            IF(OR(COUNTIF('ARDT Cutter Entry'!V10,"*1"),COUNTIF('ARDT Cutter Entry'!V10,"*2"),COUNTIF('ARDT Cutter Entry'!V10,"*3"),COUNTIF('ARDT Cutter Entry'!V10,"*4"),COUNTIF('ARDT Cutter Entry'!V10,"*5"),COUNTIF('ARDT Cutter Entry'!V10,"*6"),COUNTIF('ARDT Cutter Entry'!V10,"*7"),COUNTIF('ARDT Cutter Entry'!V10,"*8"),COUNTIF('ARDT Cutter Entry'!V10,"*9")),'ARDT Cutter Entry'!V10,'ARDT Cutter Entry'!V49))),"")</f>
        <v/>
      </c>
      <c r="W22" s="244" t="str">
        <f>IF(Data!$L$32=1,IF(OR(Data!$L$2=1,Data!$L$3=1),IF(OR(Data!CL52=0,Data!CL52=""),"","O"&amp;Data!CL52),IF('ARDT Cutter Entry'!$C$111&lt;&gt;"",               IF(OR(COUNTIF('ARDT Cutter Entry'!W67,"*1"),COUNTIF('ARDT Cutter Entry'!W67,"*2"),COUNTIF('ARDT Cutter Entry'!W67,"*3"),COUNTIF('ARDT Cutter Entry'!W67,"*4"),COUNTIF('ARDT Cutter Entry'!W67,"*5"),COUNTIF('ARDT Cutter Entry'!W67,"*6"),COUNTIF('ARDT Cutter Entry'!W67,"*7"),COUNTIF('ARDT Cutter Entry'!W67,"*8"),COUNTIF('ARDT Cutter Entry'!W67,"*9")),'ARDT Cutter Entry'!W67,            'ARDT Cutter Entry'!W117),            IF(OR(COUNTIF('ARDT Cutter Entry'!W10,"*1"),COUNTIF('ARDT Cutter Entry'!W10,"*2"),COUNTIF('ARDT Cutter Entry'!W10,"*3"),COUNTIF('ARDT Cutter Entry'!W10,"*4"),COUNTIF('ARDT Cutter Entry'!W10,"*5"),COUNTIF('ARDT Cutter Entry'!W10,"*6"),COUNTIF('ARDT Cutter Entry'!W10,"*7"),COUNTIF('ARDT Cutter Entry'!W10,"*8"),COUNTIF('ARDT Cutter Entry'!W10,"*9")),'ARDT Cutter Entry'!W10,'ARDT Cutter Entry'!W49))),"")</f>
        <v/>
      </c>
      <c r="X22" s="244" t="str">
        <f>IF(Data!$L$32=1,IF(OR(Data!$L$2=1,Data!$L$3=1),IF(OR(Data!CM52=0,Data!CM52=""),"","O"&amp;Data!CM52),IF('ARDT Cutter Entry'!$C$111&lt;&gt;"",               IF(OR(COUNTIF('ARDT Cutter Entry'!X67,"*1"),COUNTIF('ARDT Cutter Entry'!X67,"*2"),COUNTIF('ARDT Cutter Entry'!X67,"*3"),COUNTIF('ARDT Cutter Entry'!X67,"*4"),COUNTIF('ARDT Cutter Entry'!X67,"*5"),COUNTIF('ARDT Cutter Entry'!X67,"*6"),COUNTIF('ARDT Cutter Entry'!X67,"*7"),COUNTIF('ARDT Cutter Entry'!X67,"*8"),COUNTIF('ARDT Cutter Entry'!X67,"*9")),'ARDT Cutter Entry'!X67,            'ARDT Cutter Entry'!X117),            IF(OR(COUNTIF('ARDT Cutter Entry'!X10,"*1"),COUNTIF('ARDT Cutter Entry'!X10,"*2"),COUNTIF('ARDT Cutter Entry'!X10,"*3"),COUNTIF('ARDT Cutter Entry'!X10,"*4"),COUNTIF('ARDT Cutter Entry'!X10,"*5"),COUNTIF('ARDT Cutter Entry'!X10,"*6"),COUNTIF('ARDT Cutter Entry'!X10,"*7"),COUNTIF('ARDT Cutter Entry'!X10,"*8"),COUNTIF('ARDT Cutter Entry'!X10,"*9")),'ARDT Cutter Entry'!X10,'ARDT Cutter Entry'!X49))),"")</f>
        <v/>
      </c>
      <c r="Y22" s="244" t="str">
        <f>IF(Data!$L$32=1,IF(OR(Data!$L$2=1,Data!$L$3=1),IF(OR(Data!CN52=0,Data!CN52=""),"","O"&amp;Data!CN52),IF('ARDT Cutter Entry'!$C$111&lt;&gt;"",               IF(OR(COUNTIF('ARDT Cutter Entry'!Y67,"*1"),COUNTIF('ARDT Cutter Entry'!Y67,"*2"),COUNTIF('ARDT Cutter Entry'!Y67,"*3"),COUNTIF('ARDT Cutter Entry'!Y67,"*4"),COUNTIF('ARDT Cutter Entry'!Y67,"*5"),COUNTIF('ARDT Cutter Entry'!Y67,"*6"),COUNTIF('ARDT Cutter Entry'!Y67,"*7"),COUNTIF('ARDT Cutter Entry'!Y67,"*8"),COUNTIF('ARDT Cutter Entry'!Y67,"*9")),'ARDT Cutter Entry'!Y67,            'ARDT Cutter Entry'!Y117),            IF(OR(COUNTIF('ARDT Cutter Entry'!Y10,"*1"),COUNTIF('ARDT Cutter Entry'!Y10,"*2"),COUNTIF('ARDT Cutter Entry'!Y10,"*3"),COUNTIF('ARDT Cutter Entry'!Y10,"*4"),COUNTIF('ARDT Cutter Entry'!Y10,"*5"),COUNTIF('ARDT Cutter Entry'!Y10,"*6"),COUNTIF('ARDT Cutter Entry'!Y10,"*7"),COUNTIF('ARDT Cutter Entry'!Y10,"*8"),COUNTIF('ARDT Cutter Entry'!Y10,"*9")),'ARDT Cutter Entry'!Y10,'ARDT Cutter Entry'!Y49))),"")</f>
        <v/>
      </c>
      <c r="Z22" s="244" t="str">
        <f>IF(Data!$L$32=1,IF(OR(Data!$L$2=1,Data!$L$3=1),IF(OR(Data!CO52=0,Data!CO52=""),"","O"&amp;Data!CO52),IF('ARDT Cutter Entry'!$C$111&lt;&gt;"",               IF(OR(COUNTIF('ARDT Cutter Entry'!Z67,"*1"),COUNTIF('ARDT Cutter Entry'!Z67,"*2"),COUNTIF('ARDT Cutter Entry'!Z67,"*3"),COUNTIF('ARDT Cutter Entry'!Z67,"*4"),COUNTIF('ARDT Cutter Entry'!Z67,"*5"),COUNTIF('ARDT Cutter Entry'!Z67,"*6"),COUNTIF('ARDT Cutter Entry'!Z67,"*7"),COUNTIF('ARDT Cutter Entry'!Z67,"*8"),COUNTIF('ARDT Cutter Entry'!Z67,"*9")),'ARDT Cutter Entry'!Z67,            'ARDT Cutter Entry'!Z117),            IF(OR(COUNTIF('ARDT Cutter Entry'!Z10,"*1"),COUNTIF('ARDT Cutter Entry'!Z10,"*2"),COUNTIF('ARDT Cutter Entry'!Z10,"*3"),COUNTIF('ARDT Cutter Entry'!Z10,"*4"),COUNTIF('ARDT Cutter Entry'!Z10,"*5"),COUNTIF('ARDT Cutter Entry'!Z10,"*6"),COUNTIF('ARDT Cutter Entry'!Z10,"*7"),COUNTIF('ARDT Cutter Entry'!Z10,"*8"),COUNTIF('ARDT Cutter Entry'!Z10,"*9")),'ARDT Cutter Entry'!Z10,'ARDT Cutter Entry'!Z49))),"")</f>
        <v/>
      </c>
      <c r="AA22" s="1056" t="str">
        <f>IF(Data!$L$32=1,IF(OR(Data!$L$2=1,Data!$L$3=1),IF(OR(Data!CP52=0,Data!CP52=""),"","O"&amp;Data!CP52),IF('ARDT Cutter Entry'!$C$111&lt;&gt;"",               IF(OR(COUNTIF('ARDT Cutter Entry'!AA67,"*1"),COUNTIF('ARDT Cutter Entry'!AA67,"*2"),COUNTIF('ARDT Cutter Entry'!AA67,"*3"),COUNTIF('ARDT Cutter Entry'!AA67,"*4"),COUNTIF('ARDT Cutter Entry'!AA67,"*5"),COUNTIF('ARDT Cutter Entry'!AA67,"*6"),COUNTIF('ARDT Cutter Entry'!AA67,"*7"),COUNTIF('ARDT Cutter Entry'!AA67,"*8"),COUNTIF('ARDT Cutter Entry'!AA67,"*9")),'ARDT Cutter Entry'!AA67,            'ARDT Cutter Entry'!AA117),            IF(OR(COUNTIF('ARDT Cutter Entry'!AA10,"*1"),COUNTIF('ARDT Cutter Entry'!AA10,"*2"),COUNTIF('ARDT Cutter Entry'!AA10,"*3"),COUNTIF('ARDT Cutter Entry'!AA10,"*4"),COUNTIF('ARDT Cutter Entry'!AA10,"*5"),COUNTIF('ARDT Cutter Entry'!AA10,"*6"),COUNTIF('ARDT Cutter Entry'!AA10,"*7"),COUNTIF('ARDT Cutter Entry'!AA10,"*8"),COUNTIF('ARDT Cutter Entry'!AA10,"*9")),'ARDT Cutter Entry'!AA10,'ARDT Cutter Entry'!AA49))),"")</f>
        <v/>
      </c>
    </row>
    <row r="23" spans="1:27" ht="16" customHeight="1" x14ac:dyDescent="0.35">
      <c r="A23" s="1825"/>
      <c r="B23" s="446">
        <v>8</v>
      </c>
      <c r="C23" s="230" t="str">
        <f>IF(Data!$L$32=1,IF(OR(Data!$L$2=1,Data!$L$3=1),IF(OR(Data!BR53=0,Data!BR53=""),"","O"&amp;Data!BR53),IF('ARDT Cutter Entry'!$C$111&lt;&gt;"",               IF(OR(COUNTIF('ARDT Cutter Entry'!C68,"*1"),COUNTIF('ARDT Cutter Entry'!C68,"*2"),COUNTIF('ARDT Cutter Entry'!C68,"*3"),COUNTIF('ARDT Cutter Entry'!C68,"*4"),COUNTIF('ARDT Cutter Entry'!C68,"*5"),COUNTIF('ARDT Cutter Entry'!C68,"*6"),COUNTIF('ARDT Cutter Entry'!C68,"*7"),COUNTIF('ARDT Cutter Entry'!C68,"*8"),COUNTIF('ARDT Cutter Entry'!C68,"*9")),'ARDT Cutter Entry'!C68,            'ARDT Cutter Entry'!C118),            IF(OR(COUNTIF('ARDT Cutter Entry'!C11,"*1"),COUNTIF('ARDT Cutter Entry'!C11,"*2"),COUNTIF('ARDT Cutter Entry'!C11,"*3"),COUNTIF('ARDT Cutter Entry'!C11,"*4"),COUNTIF('ARDT Cutter Entry'!C11,"*5"),COUNTIF('ARDT Cutter Entry'!C11,"*6"),COUNTIF('ARDT Cutter Entry'!C11,"*7"),COUNTIF('ARDT Cutter Entry'!C11,"*8"),COUNTIF('ARDT Cutter Entry'!C11,"*9")),'ARDT Cutter Entry'!C11,'ARDT Cutter Entry'!C50))),"")</f>
        <v/>
      </c>
      <c r="D23" s="244" t="str">
        <f>IF(Data!$L$32=1,IF(OR(Data!$L$2=1,Data!$L$3=1),IF(OR(Data!BS53=0,Data!BS53=""),"","O"&amp;Data!BS53),IF('ARDT Cutter Entry'!$C$111&lt;&gt;"",               IF(OR(COUNTIF('ARDT Cutter Entry'!D68,"*1"),COUNTIF('ARDT Cutter Entry'!D68,"*2"),COUNTIF('ARDT Cutter Entry'!D68,"*3"),COUNTIF('ARDT Cutter Entry'!D68,"*4"),COUNTIF('ARDT Cutter Entry'!D68,"*5"),COUNTIF('ARDT Cutter Entry'!D68,"*6"),COUNTIF('ARDT Cutter Entry'!D68,"*7"),COUNTIF('ARDT Cutter Entry'!D68,"*8"),COUNTIF('ARDT Cutter Entry'!D68,"*9")),'ARDT Cutter Entry'!D68,            'ARDT Cutter Entry'!D118),            IF(OR(COUNTIF('ARDT Cutter Entry'!D11,"*1"),COUNTIF('ARDT Cutter Entry'!D11,"*2"),COUNTIF('ARDT Cutter Entry'!D11,"*3"),COUNTIF('ARDT Cutter Entry'!D11,"*4"),COUNTIF('ARDT Cutter Entry'!D11,"*5"),COUNTIF('ARDT Cutter Entry'!D11,"*6"),COUNTIF('ARDT Cutter Entry'!D11,"*7"),COUNTIF('ARDT Cutter Entry'!D11,"*8"),COUNTIF('ARDT Cutter Entry'!D11,"*9")),'ARDT Cutter Entry'!D11,'ARDT Cutter Entry'!D50))),"")</f>
        <v/>
      </c>
      <c r="E23" s="244" t="str">
        <f>IF(Data!$L$32=1,IF(OR(Data!$L$2=1,Data!$L$3=1),IF(OR(Data!BT53=0,Data!BT53=""),"","O"&amp;Data!BT53),IF('ARDT Cutter Entry'!$C$111&lt;&gt;"",               IF(OR(COUNTIF('ARDT Cutter Entry'!E68,"*1"),COUNTIF('ARDT Cutter Entry'!E68,"*2"),COUNTIF('ARDT Cutter Entry'!E68,"*3"),COUNTIF('ARDT Cutter Entry'!E68,"*4"),COUNTIF('ARDT Cutter Entry'!E68,"*5"),COUNTIF('ARDT Cutter Entry'!E68,"*6"),COUNTIF('ARDT Cutter Entry'!E68,"*7"),COUNTIF('ARDT Cutter Entry'!E68,"*8"),COUNTIF('ARDT Cutter Entry'!E68,"*9")),'ARDT Cutter Entry'!E68,            'ARDT Cutter Entry'!E118),            IF(OR(COUNTIF('ARDT Cutter Entry'!E11,"*1"),COUNTIF('ARDT Cutter Entry'!E11,"*2"),COUNTIF('ARDT Cutter Entry'!E11,"*3"),COUNTIF('ARDT Cutter Entry'!E11,"*4"),COUNTIF('ARDT Cutter Entry'!E11,"*5"),COUNTIF('ARDT Cutter Entry'!E11,"*6"),COUNTIF('ARDT Cutter Entry'!E11,"*7"),COUNTIF('ARDT Cutter Entry'!E11,"*8"),COUNTIF('ARDT Cutter Entry'!E11,"*9")),'ARDT Cutter Entry'!E11,'ARDT Cutter Entry'!E50))),"")</f>
        <v/>
      </c>
      <c r="F23" s="244" t="str">
        <f>IF(Data!$L$32=1,IF(OR(Data!$L$2=1,Data!$L$3=1),IF(OR(Data!BU53=0,Data!BU53=""),"","O"&amp;Data!BU53),IF('ARDT Cutter Entry'!$C$111&lt;&gt;"",               IF(OR(COUNTIF('ARDT Cutter Entry'!F68,"*1"),COUNTIF('ARDT Cutter Entry'!F68,"*2"),COUNTIF('ARDT Cutter Entry'!F68,"*3"),COUNTIF('ARDT Cutter Entry'!F68,"*4"),COUNTIF('ARDT Cutter Entry'!F68,"*5"),COUNTIF('ARDT Cutter Entry'!F68,"*6"),COUNTIF('ARDT Cutter Entry'!F68,"*7"),COUNTIF('ARDT Cutter Entry'!F68,"*8"),COUNTIF('ARDT Cutter Entry'!F68,"*9")),'ARDT Cutter Entry'!F68,            'ARDT Cutter Entry'!F118),            IF(OR(COUNTIF('ARDT Cutter Entry'!F11,"*1"),COUNTIF('ARDT Cutter Entry'!F11,"*2"),COUNTIF('ARDT Cutter Entry'!F11,"*3"),COUNTIF('ARDT Cutter Entry'!F11,"*4"),COUNTIF('ARDT Cutter Entry'!F11,"*5"),COUNTIF('ARDT Cutter Entry'!F11,"*6"),COUNTIF('ARDT Cutter Entry'!F11,"*7"),COUNTIF('ARDT Cutter Entry'!F11,"*8"),COUNTIF('ARDT Cutter Entry'!F11,"*9")),'ARDT Cutter Entry'!F11,'ARDT Cutter Entry'!F50))),"")</f>
        <v/>
      </c>
      <c r="G23" s="244" t="str">
        <f>IF(Data!$L$32=1,IF(OR(Data!$L$2=1,Data!$L$3=1),IF(OR(Data!BV53=0,Data!BV53=""),"","O"&amp;Data!BV53),IF('ARDT Cutter Entry'!$C$111&lt;&gt;"",               IF(OR(COUNTIF('ARDT Cutter Entry'!G68,"*1"),COUNTIF('ARDT Cutter Entry'!G68,"*2"),COUNTIF('ARDT Cutter Entry'!G68,"*3"),COUNTIF('ARDT Cutter Entry'!G68,"*4"),COUNTIF('ARDT Cutter Entry'!G68,"*5"),COUNTIF('ARDT Cutter Entry'!G68,"*6"),COUNTIF('ARDT Cutter Entry'!G68,"*7"),COUNTIF('ARDT Cutter Entry'!G68,"*8"),COUNTIF('ARDT Cutter Entry'!G68,"*9")),'ARDT Cutter Entry'!G68,            'ARDT Cutter Entry'!G118),            IF(OR(COUNTIF('ARDT Cutter Entry'!G11,"*1"),COUNTIF('ARDT Cutter Entry'!G11,"*2"),COUNTIF('ARDT Cutter Entry'!G11,"*3"),COUNTIF('ARDT Cutter Entry'!G11,"*4"),COUNTIF('ARDT Cutter Entry'!G11,"*5"),COUNTIF('ARDT Cutter Entry'!G11,"*6"),COUNTIF('ARDT Cutter Entry'!G11,"*7"),COUNTIF('ARDT Cutter Entry'!G11,"*8"),COUNTIF('ARDT Cutter Entry'!G11,"*9")),'ARDT Cutter Entry'!G11,'ARDT Cutter Entry'!G50))),"")</f>
        <v/>
      </c>
      <c r="H23" s="244" t="str">
        <f>IF(Data!$L$32=1,IF(OR(Data!$L$2=1,Data!$L$3=1),IF(OR(Data!BW53=0,Data!BW53=""),"","O"&amp;Data!BW53),IF('ARDT Cutter Entry'!$C$111&lt;&gt;"",               IF(OR(COUNTIF('ARDT Cutter Entry'!H68,"*1"),COUNTIF('ARDT Cutter Entry'!H68,"*2"),COUNTIF('ARDT Cutter Entry'!H68,"*3"),COUNTIF('ARDT Cutter Entry'!H68,"*4"),COUNTIF('ARDT Cutter Entry'!H68,"*5"),COUNTIF('ARDT Cutter Entry'!H68,"*6"),COUNTIF('ARDT Cutter Entry'!H68,"*7"),COUNTIF('ARDT Cutter Entry'!H68,"*8"),COUNTIF('ARDT Cutter Entry'!H68,"*9")),'ARDT Cutter Entry'!H68,            'ARDT Cutter Entry'!H118),            IF(OR(COUNTIF('ARDT Cutter Entry'!H11,"*1"),COUNTIF('ARDT Cutter Entry'!H11,"*2"),COUNTIF('ARDT Cutter Entry'!H11,"*3"),COUNTIF('ARDT Cutter Entry'!H11,"*4"),COUNTIF('ARDT Cutter Entry'!H11,"*5"),COUNTIF('ARDT Cutter Entry'!H11,"*6"),COUNTIF('ARDT Cutter Entry'!H11,"*7"),COUNTIF('ARDT Cutter Entry'!H11,"*8"),COUNTIF('ARDT Cutter Entry'!H11,"*9")),'ARDT Cutter Entry'!H11,'ARDT Cutter Entry'!H50))),"")</f>
        <v/>
      </c>
      <c r="I23" s="244" t="str">
        <f>IF(Data!$L$32=1,IF(OR(Data!$L$2=1,Data!$L$3=1),IF(OR(Data!BX53=0,Data!BX53=""),"","O"&amp;Data!BX53),IF('ARDT Cutter Entry'!$C$111&lt;&gt;"",               IF(OR(COUNTIF('ARDT Cutter Entry'!I68,"*1"),COUNTIF('ARDT Cutter Entry'!I68,"*2"),COUNTIF('ARDT Cutter Entry'!I68,"*3"),COUNTIF('ARDT Cutter Entry'!I68,"*4"),COUNTIF('ARDT Cutter Entry'!I68,"*5"),COUNTIF('ARDT Cutter Entry'!I68,"*6"),COUNTIF('ARDT Cutter Entry'!I68,"*7"),COUNTIF('ARDT Cutter Entry'!I68,"*8"),COUNTIF('ARDT Cutter Entry'!I68,"*9")),'ARDT Cutter Entry'!I68,            'ARDT Cutter Entry'!I118),            IF(OR(COUNTIF('ARDT Cutter Entry'!I11,"*1"),COUNTIF('ARDT Cutter Entry'!I11,"*2"),COUNTIF('ARDT Cutter Entry'!I11,"*3"),COUNTIF('ARDT Cutter Entry'!I11,"*4"),COUNTIF('ARDT Cutter Entry'!I11,"*5"),COUNTIF('ARDT Cutter Entry'!I11,"*6"),COUNTIF('ARDT Cutter Entry'!I11,"*7"),COUNTIF('ARDT Cutter Entry'!I11,"*8"),COUNTIF('ARDT Cutter Entry'!I11,"*9")),'ARDT Cutter Entry'!I11,'ARDT Cutter Entry'!I50))),"")</f>
        <v/>
      </c>
      <c r="J23" s="244" t="str">
        <f>IF(Data!$L$32=1,IF(OR(Data!$L$2=1,Data!$L$3=1),IF(OR(Data!BY53=0,Data!BY53=""),"","O"&amp;Data!BY53),IF('ARDT Cutter Entry'!$C$111&lt;&gt;"",               IF(OR(COUNTIF('ARDT Cutter Entry'!J68,"*1"),COUNTIF('ARDT Cutter Entry'!J68,"*2"),COUNTIF('ARDT Cutter Entry'!J68,"*3"),COUNTIF('ARDT Cutter Entry'!J68,"*4"),COUNTIF('ARDT Cutter Entry'!J68,"*5"),COUNTIF('ARDT Cutter Entry'!J68,"*6"),COUNTIF('ARDT Cutter Entry'!J68,"*7"),COUNTIF('ARDT Cutter Entry'!J68,"*8"),COUNTIF('ARDT Cutter Entry'!J68,"*9")),'ARDT Cutter Entry'!J68,            'ARDT Cutter Entry'!J118),            IF(OR(COUNTIF('ARDT Cutter Entry'!J11,"*1"),COUNTIF('ARDT Cutter Entry'!J11,"*2"),COUNTIF('ARDT Cutter Entry'!J11,"*3"),COUNTIF('ARDT Cutter Entry'!J11,"*4"),COUNTIF('ARDT Cutter Entry'!J11,"*5"),COUNTIF('ARDT Cutter Entry'!J11,"*6"),COUNTIF('ARDT Cutter Entry'!J11,"*7"),COUNTIF('ARDT Cutter Entry'!J11,"*8"),COUNTIF('ARDT Cutter Entry'!J11,"*9")),'ARDT Cutter Entry'!J11,'ARDT Cutter Entry'!J50))),"")</f>
        <v/>
      </c>
      <c r="K23" s="244" t="str">
        <f>IF(Data!$L$32=1,IF(OR(Data!$L$2=1,Data!$L$3=1),IF(OR(Data!BZ53=0,Data!BZ53=""),"","O"&amp;Data!BZ53),IF('ARDT Cutter Entry'!$C$111&lt;&gt;"",               IF(OR(COUNTIF('ARDT Cutter Entry'!K68,"*1"),COUNTIF('ARDT Cutter Entry'!K68,"*2"),COUNTIF('ARDT Cutter Entry'!K68,"*3"),COUNTIF('ARDT Cutter Entry'!K68,"*4"),COUNTIF('ARDT Cutter Entry'!K68,"*5"),COUNTIF('ARDT Cutter Entry'!K68,"*6"),COUNTIF('ARDT Cutter Entry'!K68,"*7"),COUNTIF('ARDT Cutter Entry'!K68,"*8"),COUNTIF('ARDT Cutter Entry'!K68,"*9")),'ARDT Cutter Entry'!K68,            'ARDT Cutter Entry'!K118),            IF(OR(COUNTIF('ARDT Cutter Entry'!K11,"*1"),COUNTIF('ARDT Cutter Entry'!K11,"*2"),COUNTIF('ARDT Cutter Entry'!K11,"*3"),COUNTIF('ARDT Cutter Entry'!K11,"*4"),COUNTIF('ARDT Cutter Entry'!K11,"*5"),COUNTIF('ARDT Cutter Entry'!K11,"*6"),COUNTIF('ARDT Cutter Entry'!K11,"*7"),COUNTIF('ARDT Cutter Entry'!K11,"*8"),COUNTIF('ARDT Cutter Entry'!K11,"*9")),'ARDT Cutter Entry'!K11,'ARDT Cutter Entry'!K50))),"")</f>
        <v/>
      </c>
      <c r="L23" s="244" t="str">
        <f>IF(Data!$L$32=1,IF(OR(Data!$L$2=1,Data!$L$3=1),IF(OR(Data!CA53=0,Data!CA53=""),"","O"&amp;Data!CA53),IF('ARDT Cutter Entry'!$C$111&lt;&gt;"",               IF(OR(COUNTIF('ARDT Cutter Entry'!L68,"*1"),COUNTIF('ARDT Cutter Entry'!L68,"*2"),COUNTIF('ARDT Cutter Entry'!L68,"*3"),COUNTIF('ARDT Cutter Entry'!L68,"*4"),COUNTIF('ARDT Cutter Entry'!L68,"*5"),COUNTIF('ARDT Cutter Entry'!L68,"*6"),COUNTIF('ARDT Cutter Entry'!L68,"*7"),COUNTIF('ARDT Cutter Entry'!L68,"*8"),COUNTIF('ARDT Cutter Entry'!L68,"*9")),'ARDT Cutter Entry'!L68,            'ARDT Cutter Entry'!L118),            IF(OR(COUNTIF('ARDT Cutter Entry'!L11,"*1"),COUNTIF('ARDT Cutter Entry'!L11,"*2"),COUNTIF('ARDT Cutter Entry'!L11,"*3"),COUNTIF('ARDT Cutter Entry'!L11,"*4"),COUNTIF('ARDT Cutter Entry'!L11,"*5"),COUNTIF('ARDT Cutter Entry'!L11,"*6"),COUNTIF('ARDT Cutter Entry'!L11,"*7"),COUNTIF('ARDT Cutter Entry'!L11,"*8"),COUNTIF('ARDT Cutter Entry'!L11,"*9")),'ARDT Cutter Entry'!L11,'ARDT Cutter Entry'!L50))),"")</f>
        <v/>
      </c>
      <c r="M23" s="244" t="str">
        <f>IF(Data!$L$32=1,IF(OR(Data!$L$2=1,Data!$L$3=1),IF(OR(Data!CB53=0,Data!CB53=""),"","O"&amp;Data!CB53),IF('ARDT Cutter Entry'!$C$111&lt;&gt;"",               IF(OR(COUNTIF('ARDT Cutter Entry'!M68,"*1"),COUNTIF('ARDT Cutter Entry'!M68,"*2"),COUNTIF('ARDT Cutter Entry'!M68,"*3"),COUNTIF('ARDT Cutter Entry'!M68,"*4"),COUNTIF('ARDT Cutter Entry'!M68,"*5"),COUNTIF('ARDT Cutter Entry'!M68,"*6"),COUNTIF('ARDT Cutter Entry'!M68,"*7"),COUNTIF('ARDT Cutter Entry'!M68,"*8"),COUNTIF('ARDT Cutter Entry'!M68,"*9")),'ARDT Cutter Entry'!M68,            'ARDT Cutter Entry'!M118),            IF(OR(COUNTIF('ARDT Cutter Entry'!M11,"*1"),COUNTIF('ARDT Cutter Entry'!M11,"*2"),COUNTIF('ARDT Cutter Entry'!M11,"*3"),COUNTIF('ARDT Cutter Entry'!M11,"*4"),COUNTIF('ARDT Cutter Entry'!M11,"*5"),COUNTIF('ARDT Cutter Entry'!M11,"*6"),COUNTIF('ARDT Cutter Entry'!M11,"*7"),COUNTIF('ARDT Cutter Entry'!M11,"*8"),COUNTIF('ARDT Cutter Entry'!M11,"*9")),'ARDT Cutter Entry'!M11,'ARDT Cutter Entry'!M50))),"")</f>
        <v/>
      </c>
      <c r="N23" s="244" t="str">
        <f>IF(Data!$L$32=1,IF(OR(Data!$L$2=1,Data!$L$3=1),IF(OR(Data!CC53=0,Data!CC53=""),"","O"&amp;Data!CC53),IF('ARDT Cutter Entry'!$C$111&lt;&gt;"",               IF(OR(COUNTIF('ARDT Cutter Entry'!N68,"*1"),COUNTIF('ARDT Cutter Entry'!N68,"*2"),COUNTIF('ARDT Cutter Entry'!N68,"*3"),COUNTIF('ARDT Cutter Entry'!N68,"*4"),COUNTIF('ARDT Cutter Entry'!N68,"*5"),COUNTIF('ARDT Cutter Entry'!N68,"*6"),COUNTIF('ARDT Cutter Entry'!N68,"*7"),COUNTIF('ARDT Cutter Entry'!N68,"*8"),COUNTIF('ARDT Cutter Entry'!N68,"*9")),'ARDT Cutter Entry'!N68,            'ARDT Cutter Entry'!N118),            IF(OR(COUNTIF('ARDT Cutter Entry'!N11,"*1"),COUNTIF('ARDT Cutter Entry'!N11,"*2"),COUNTIF('ARDT Cutter Entry'!N11,"*3"),COUNTIF('ARDT Cutter Entry'!N11,"*4"),COUNTIF('ARDT Cutter Entry'!N11,"*5"),COUNTIF('ARDT Cutter Entry'!N11,"*6"),COUNTIF('ARDT Cutter Entry'!N11,"*7"),COUNTIF('ARDT Cutter Entry'!N11,"*8"),COUNTIF('ARDT Cutter Entry'!N11,"*9")),'ARDT Cutter Entry'!N11,'ARDT Cutter Entry'!N50))),"")</f>
        <v/>
      </c>
      <c r="O23" s="244" t="str">
        <f>IF(Data!$L$32=1,IF(OR(Data!$L$2=1,Data!$L$3=1),IF(OR(Data!CD53=0,Data!CD53=""),"","O"&amp;Data!CD53),IF('ARDT Cutter Entry'!$C$111&lt;&gt;"",               IF(OR(COUNTIF('ARDT Cutter Entry'!O68,"*1"),COUNTIF('ARDT Cutter Entry'!O68,"*2"),COUNTIF('ARDT Cutter Entry'!O68,"*3"),COUNTIF('ARDT Cutter Entry'!O68,"*4"),COUNTIF('ARDT Cutter Entry'!O68,"*5"),COUNTIF('ARDT Cutter Entry'!O68,"*6"),COUNTIF('ARDT Cutter Entry'!O68,"*7"),COUNTIF('ARDT Cutter Entry'!O68,"*8"),COUNTIF('ARDT Cutter Entry'!O68,"*9")),'ARDT Cutter Entry'!O68,            'ARDT Cutter Entry'!O118),            IF(OR(COUNTIF('ARDT Cutter Entry'!O11,"*1"),COUNTIF('ARDT Cutter Entry'!O11,"*2"),COUNTIF('ARDT Cutter Entry'!O11,"*3"),COUNTIF('ARDT Cutter Entry'!O11,"*4"),COUNTIF('ARDT Cutter Entry'!O11,"*5"),COUNTIF('ARDT Cutter Entry'!O11,"*6"),COUNTIF('ARDT Cutter Entry'!O11,"*7"),COUNTIF('ARDT Cutter Entry'!O11,"*8"),COUNTIF('ARDT Cutter Entry'!O11,"*9")),'ARDT Cutter Entry'!O11,'ARDT Cutter Entry'!O50))),"")</f>
        <v/>
      </c>
      <c r="P23" s="244" t="str">
        <f>IF(Data!$L$32=1,IF(OR(Data!$L$2=1,Data!$L$3=1),IF(OR(Data!CE53=0,Data!CE53=""),"","O"&amp;Data!CE53),IF('ARDT Cutter Entry'!$C$111&lt;&gt;"",               IF(OR(COUNTIF('ARDT Cutter Entry'!P68,"*1"),COUNTIF('ARDT Cutter Entry'!P68,"*2"),COUNTIF('ARDT Cutter Entry'!P68,"*3"),COUNTIF('ARDT Cutter Entry'!P68,"*4"),COUNTIF('ARDT Cutter Entry'!P68,"*5"),COUNTIF('ARDT Cutter Entry'!P68,"*6"),COUNTIF('ARDT Cutter Entry'!P68,"*7"),COUNTIF('ARDT Cutter Entry'!P68,"*8"),COUNTIF('ARDT Cutter Entry'!P68,"*9")),'ARDT Cutter Entry'!P68,            'ARDT Cutter Entry'!P118),            IF(OR(COUNTIF('ARDT Cutter Entry'!P11,"*1"),COUNTIF('ARDT Cutter Entry'!P11,"*2"),COUNTIF('ARDT Cutter Entry'!P11,"*3"),COUNTIF('ARDT Cutter Entry'!P11,"*4"),COUNTIF('ARDT Cutter Entry'!P11,"*5"),COUNTIF('ARDT Cutter Entry'!P11,"*6"),COUNTIF('ARDT Cutter Entry'!P11,"*7"),COUNTIF('ARDT Cutter Entry'!P11,"*8"),COUNTIF('ARDT Cutter Entry'!P11,"*9")),'ARDT Cutter Entry'!P11,'ARDT Cutter Entry'!P50))),"")</f>
        <v/>
      </c>
      <c r="Q23" s="244" t="str">
        <f>IF(Data!$L$32=1,IF(OR(Data!$L$2=1,Data!$L$3=1),IF(OR(Data!CF53=0,Data!CF53=""),"","O"&amp;Data!CF53),IF('ARDT Cutter Entry'!$C$111&lt;&gt;"",               IF(OR(COUNTIF('ARDT Cutter Entry'!Q68,"*1"),COUNTIF('ARDT Cutter Entry'!Q68,"*2"),COUNTIF('ARDT Cutter Entry'!Q68,"*3"),COUNTIF('ARDT Cutter Entry'!Q68,"*4"),COUNTIF('ARDT Cutter Entry'!Q68,"*5"),COUNTIF('ARDT Cutter Entry'!Q68,"*6"),COUNTIF('ARDT Cutter Entry'!Q68,"*7"),COUNTIF('ARDT Cutter Entry'!Q68,"*8"),COUNTIF('ARDT Cutter Entry'!Q68,"*9")),'ARDT Cutter Entry'!Q68,            'ARDT Cutter Entry'!Q118),            IF(OR(COUNTIF('ARDT Cutter Entry'!Q11,"*1"),COUNTIF('ARDT Cutter Entry'!Q11,"*2"),COUNTIF('ARDT Cutter Entry'!Q11,"*3"),COUNTIF('ARDT Cutter Entry'!Q11,"*4"),COUNTIF('ARDT Cutter Entry'!Q11,"*5"),COUNTIF('ARDT Cutter Entry'!Q11,"*6"),COUNTIF('ARDT Cutter Entry'!Q11,"*7"),COUNTIF('ARDT Cutter Entry'!Q11,"*8"),COUNTIF('ARDT Cutter Entry'!Q11,"*9")),'ARDT Cutter Entry'!Q11,'ARDT Cutter Entry'!Q50))),"")</f>
        <v/>
      </c>
      <c r="R23" s="244" t="str">
        <f>IF(Data!$L$32=1,IF(OR(Data!$L$2=1,Data!$L$3=1),IF(OR(Data!CG53=0,Data!CG53=""),"","O"&amp;Data!CG53),IF('ARDT Cutter Entry'!$C$111&lt;&gt;"",               IF(OR(COUNTIF('ARDT Cutter Entry'!R68,"*1"),COUNTIF('ARDT Cutter Entry'!R68,"*2"),COUNTIF('ARDT Cutter Entry'!R68,"*3"),COUNTIF('ARDT Cutter Entry'!R68,"*4"),COUNTIF('ARDT Cutter Entry'!R68,"*5"),COUNTIF('ARDT Cutter Entry'!R68,"*6"),COUNTIF('ARDT Cutter Entry'!R68,"*7"),COUNTIF('ARDT Cutter Entry'!R68,"*8"),COUNTIF('ARDT Cutter Entry'!R68,"*9")),'ARDT Cutter Entry'!R68,            'ARDT Cutter Entry'!R118),            IF(OR(COUNTIF('ARDT Cutter Entry'!R11,"*1"),COUNTIF('ARDT Cutter Entry'!R11,"*2"),COUNTIF('ARDT Cutter Entry'!R11,"*3"),COUNTIF('ARDT Cutter Entry'!R11,"*4"),COUNTIF('ARDT Cutter Entry'!R11,"*5"),COUNTIF('ARDT Cutter Entry'!R11,"*6"),COUNTIF('ARDT Cutter Entry'!R11,"*7"),COUNTIF('ARDT Cutter Entry'!R11,"*8"),COUNTIF('ARDT Cutter Entry'!R11,"*9")),'ARDT Cutter Entry'!R11,'ARDT Cutter Entry'!R50))),"")</f>
        <v/>
      </c>
      <c r="S23" s="244" t="str">
        <f>IF(Data!$L$32=1,IF(OR(Data!$L$2=1,Data!$L$3=1),IF(OR(Data!CH53=0,Data!CH53=""),"","O"&amp;Data!CH53),IF('ARDT Cutter Entry'!$C$111&lt;&gt;"",               IF(OR(COUNTIF('ARDT Cutter Entry'!S68,"*1"),COUNTIF('ARDT Cutter Entry'!S68,"*2"),COUNTIF('ARDT Cutter Entry'!S68,"*3"),COUNTIF('ARDT Cutter Entry'!S68,"*4"),COUNTIF('ARDT Cutter Entry'!S68,"*5"),COUNTIF('ARDT Cutter Entry'!S68,"*6"),COUNTIF('ARDT Cutter Entry'!S68,"*7"),COUNTIF('ARDT Cutter Entry'!S68,"*8"),COUNTIF('ARDT Cutter Entry'!S68,"*9")),'ARDT Cutter Entry'!S68,            'ARDT Cutter Entry'!S118),            IF(OR(COUNTIF('ARDT Cutter Entry'!S11,"*1"),COUNTIF('ARDT Cutter Entry'!S11,"*2"),COUNTIF('ARDT Cutter Entry'!S11,"*3"),COUNTIF('ARDT Cutter Entry'!S11,"*4"),COUNTIF('ARDT Cutter Entry'!S11,"*5"),COUNTIF('ARDT Cutter Entry'!S11,"*6"),COUNTIF('ARDT Cutter Entry'!S11,"*7"),COUNTIF('ARDT Cutter Entry'!S11,"*8"),COUNTIF('ARDT Cutter Entry'!S11,"*9")),'ARDT Cutter Entry'!S11,'ARDT Cutter Entry'!S50))),"")</f>
        <v/>
      </c>
      <c r="T23" s="244" t="str">
        <f>IF(Data!$L$32=1,IF(OR(Data!$L$2=1,Data!$L$3=1),IF(OR(Data!CI53=0,Data!CI53=""),"","O"&amp;Data!CI53),IF('ARDT Cutter Entry'!$C$111&lt;&gt;"",               IF(OR(COUNTIF('ARDT Cutter Entry'!T68,"*1"),COUNTIF('ARDT Cutter Entry'!T68,"*2"),COUNTIF('ARDT Cutter Entry'!T68,"*3"),COUNTIF('ARDT Cutter Entry'!T68,"*4"),COUNTIF('ARDT Cutter Entry'!T68,"*5"),COUNTIF('ARDT Cutter Entry'!T68,"*6"),COUNTIF('ARDT Cutter Entry'!T68,"*7"),COUNTIF('ARDT Cutter Entry'!T68,"*8"),COUNTIF('ARDT Cutter Entry'!T68,"*9")),'ARDT Cutter Entry'!T68,            'ARDT Cutter Entry'!T118),            IF(OR(COUNTIF('ARDT Cutter Entry'!T11,"*1"),COUNTIF('ARDT Cutter Entry'!T11,"*2"),COUNTIF('ARDT Cutter Entry'!T11,"*3"),COUNTIF('ARDT Cutter Entry'!T11,"*4"),COUNTIF('ARDT Cutter Entry'!T11,"*5"),COUNTIF('ARDT Cutter Entry'!T11,"*6"),COUNTIF('ARDT Cutter Entry'!T11,"*7"),COUNTIF('ARDT Cutter Entry'!T11,"*8"),COUNTIF('ARDT Cutter Entry'!T11,"*9")),'ARDT Cutter Entry'!T11,'ARDT Cutter Entry'!T50))),"")</f>
        <v/>
      </c>
      <c r="U23" s="244" t="str">
        <f>IF(Data!$L$32=1,IF(OR(Data!$L$2=1,Data!$L$3=1),IF(OR(Data!CJ53=0,Data!CJ53=""),"","O"&amp;Data!CJ53),IF('ARDT Cutter Entry'!$C$111&lt;&gt;"",               IF(OR(COUNTIF('ARDT Cutter Entry'!U68,"*1"),COUNTIF('ARDT Cutter Entry'!U68,"*2"),COUNTIF('ARDT Cutter Entry'!U68,"*3"),COUNTIF('ARDT Cutter Entry'!U68,"*4"),COUNTIF('ARDT Cutter Entry'!U68,"*5"),COUNTIF('ARDT Cutter Entry'!U68,"*6"),COUNTIF('ARDT Cutter Entry'!U68,"*7"),COUNTIF('ARDT Cutter Entry'!U68,"*8"),COUNTIF('ARDT Cutter Entry'!U68,"*9")),'ARDT Cutter Entry'!U68,            'ARDT Cutter Entry'!U118),            IF(OR(COUNTIF('ARDT Cutter Entry'!U11,"*1"),COUNTIF('ARDT Cutter Entry'!U11,"*2"),COUNTIF('ARDT Cutter Entry'!U11,"*3"),COUNTIF('ARDT Cutter Entry'!U11,"*4"),COUNTIF('ARDT Cutter Entry'!U11,"*5"),COUNTIF('ARDT Cutter Entry'!U11,"*6"),COUNTIF('ARDT Cutter Entry'!U11,"*7"),COUNTIF('ARDT Cutter Entry'!U11,"*8"),COUNTIF('ARDT Cutter Entry'!U11,"*9")),'ARDT Cutter Entry'!U11,'ARDT Cutter Entry'!U50))),"")</f>
        <v/>
      </c>
      <c r="V23" s="244" t="str">
        <f>IF(Data!$L$32=1,IF(OR(Data!$L$2=1,Data!$L$3=1),IF(OR(Data!CK53=0,Data!CK53=""),"","O"&amp;Data!CK53),IF('ARDT Cutter Entry'!$C$111&lt;&gt;"",               IF(OR(COUNTIF('ARDT Cutter Entry'!V68,"*1"),COUNTIF('ARDT Cutter Entry'!V68,"*2"),COUNTIF('ARDT Cutter Entry'!V68,"*3"),COUNTIF('ARDT Cutter Entry'!V68,"*4"),COUNTIF('ARDT Cutter Entry'!V68,"*5"),COUNTIF('ARDT Cutter Entry'!V68,"*6"),COUNTIF('ARDT Cutter Entry'!V68,"*7"),COUNTIF('ARDT Cutter Entry'!V68,"*8"),COUNTIF('ARDT Cutter Entry'!V68,"*9")),'ARDT Cutter Entry'!V68,            'ARDT Cutter Entry'!V118),            IF(OR(COUNTIF('ARDT Cutter Entry'!V11,"*1"),COUNTIF('ARDT Cutter Entry'!V11,"*2"),COUNTIF('ARDT Cutter Entry'!V11,"*3"),COUNTIF('ARDT Cutter Entry'!V11,"*4"),COUNTIF('ARDT Cutter Entry'!V11,"*5"),COUNTIF('ARDT Cutter Entry'!V11,"*6"),COUNTIF('ARDT Cutter Entry'!V11,"*7"),COUNTIF('ARDT Cutter Entry'!V11,"*8"),COUNTIF('ARDT Cutter Entry'!V11,"*9")),'ARDT Cutter Entry'!V11,'ARDT Cutter Entry'!V50))),"")</f>
        <v/>
      </c>
      <c r="W23" s="244" t="str">
        <f>IF(Data!$L$32=1,IF(OR(Data!$L$2=1,Data!$L$3=1),IF(OR(Data!CL53=0,Data!CL53=""),"","O"&amp;Data!CL53),IF('ARDT Cutter Entry'!$C$111&lt;&gt;"",               IF(OR(COUNTIF('ARDT Cutter Entry'!W68,"*1"),COUNTIF('ARDT Cutter Entry'!W68,"*2"),COUNTIF('ARDT Cutter Entry'!W68,"*3"),COUNTIF('ARDT Cutter Entry'!W68,"*4"),COUNTIF('ARDT Cutter Entry'!W68,"*5"),COUNTIF('ARDT Cutter Entry'!W68,"*6"),COUNTIF('ARDT Cutter Entry'!W68,"*7"),COUNTIF('ARDT Cutter Entry'!W68,"*8"),COUNTIF('ARDT Cutter Entry'!W68,"*9")),'ARDT Cutter Entry'!W68,            'ARDT Cutter Entry'!W118),            IF(OR(COUNTIF('ARDT Cutter Entry'!W11,"*1"),COUNTIF('ARDT Cutter Entry'!W11,"*2"),COUNTIF('ARDT Cutter Entry'!W11,"*3"),COUNTIF('ARDT Cutter Entry'!W11,"*4"),COUNTIF('ARDT Cutter Entry'!W11,"*5"),COUNTIF('ARDT Cutter Entry'!W11,"*6"),COUNTIF('ARDT Cutter Entry'!W11,"*7"),COUNTIF('ARDT Cutter Entry'!W11,"*8"),COUNTIF('ARDT Cutter Entry'!W11,"*9")),'ARDT Cutter Entry'!W11,'ARDT Cutter Entry'!W50))),"")</f>
        <v/>
      </c>
      <c r="X23" s="244" t="str">
        <f>IF(Data!$L$32=1,IF(OR(Data!$L$2=1,Data!$L$3=1),IF(OR(Data!CM53=0,Data!CM53=""),"","O"&amp;Data!CM53),IF('ARDT Cutter Entry'!$C$111&lt;&gt;"",               IF(OR(COUNTIF('ARDT Cutter Entry'!X68,"*1"),COUNTIF('ARDT Cutter Entry'!X68,"*2"),COUNTIF('ARDT Cutter Entry'!X68,"*3"),COUNTIF('ARDT Cutter Entry'!X68,"*4"),COUNTIF('ARDT Cutter Entry'!X68,"*5"),COUNTIF('ARDT Cutter Entry'!X68,"*6"),COUNTIF('ARDT Cutter Entry'!X68,"*7"),COUNTIF('ARDT Cutter Entry'!X68,"*8"),COUNTIF('ARDT Cutter Entry'!X68,"*9")),'ARDT Cutter Entry'!X68,            'ARDT Cutter Entry'!X118),            IF(OR(COUNTIF('ARDT Cutter Entry'!X11,"*1"),COUNTIF('ARDT Cutter Entry'!X11,"*2"),COUNTIF('ARDT Cutter Entry'!X11,"*3"),COUNTIF('ARDT Cutter Entry'!X11,"*4"),COUNTIF('ARDT Cutter Entry'!X11,"*5"),COUNTIF('ARDT Cutter Entry'!X11,"*6"),COUNTIF('ARDT Cutter Entry'!X11,"*7"),COUNTIF('ARDT Cutter Entry'!X11,"*8"),COUNTIF('ARDT Cutter Entry'!X11,"*9")),'ARDT Cutter Entry'!X11,'ARDT Cutter Entry'!X50))),"")</f>
        <v/>
      </c>
      <c r="Y23" s="244" t="str">
        <f>IF(Data!$L$32=1,IF(OR(Data!$L$2=1,Data!$L$3=1),IF(OR(Data!CN53=0,Data!CN53=""),"","O"&amp;Data!CN53),IF('ARDT Cutter Entry'!$C$111&lt;&gt;"",               IF(OR(COUNTIF('ARDT Cutter Entry'!Y68,"*1"),COUNTIF('ARDT Cutter Entry'!Y68,"*2"),COUNTIF('ARDT Cutter Entry'!Y68,"*3"),COUNTIF('ARDT Cutter Entry'!Y68,"*4"),COUNTIF('ARDT Cutter Entry'!Y68,"*5"),COUNTIF('ARDT Cutter Entry'!Y68,"*6"),COUNTIF('ARDT Cutter Entry'!Y68,"*7"),COUNTIF('ARDT Cutter Entry'!Y68,"*8"),COUNTIF('ARDT Cutter Entry'!Y68,"*9")),'ARDT Cutter Entry'!Y68,            'ARDT Cutter Entry'!Y118),            IF(OR(COUNTIF('ARDT Cutter Entry'!Y11,"*1"),COUNTIF('ARDT Cutter Entry'!Y11,"*2"),COUNTIF('ARDT Cutter Entry'!Y11,"*3"),COUNTIF('ARDT Cutter Entry'!Y11,"*4"),COUNTIF('ARDT Cutter Entry'!Y11,"*5"),COUNTIF('ARDT Cutter Entry'!Y11,"*6"),COUNTIF('ARDT Cutter Entry'!Y11,"*7"),COUNTIF('ARDT Cutter Entry'!Y11,"*8"),COUNTIF('ARDT Cutter Entry'!Y11,"*9")),'ARDT Cutter Entry'!Y11,'ARDT Cutter Entry'!Y50))),"")</f>
        <v/>
      </c>
      <c r="Z23" s="244" t="str">
        <f>IF(Data!$L$32=1,IF(OR(Data!$L$2=1,Data!$L$3=1),IF(OR(Data!CO53=0,Data!CO53=""),"","O"&amp;Data!CO53),IF('ARDT Cutter Entry'!$C$111&lt;&gt;"",               IF(OR(COUNTIF('ARDT Cutter Entry'!Z68,"*1"),COUNTIF('ARDT Cutter Entry'!Z68,"*2"),COUNTIF('ARDT Cutter Entry'!Z68,"*3"),COUNTIF('ARDT Cutter Entry'!Z68,"*4"),COUNTIF('ARDT Cutter Entry'!Z68,"*5"),COUNTIF('ARDT Cutter Entry'!Z68,"*6"),COUNTIF('ARDT Cutter Entry'!Z68,"*7"),COUNTIF('ARDT Cutter Entry'!Z68,"*8"),COUNTIF('ARDT Cutter Entry'!Z68,"*9")),'ARDT Cutter Entry'!Z68,            'ARDT Cutter Entry'!Z118),            IF(OR(COUNTIF('ARDT Cutter Entry'!Z11,"*1"),COUNTIF('ARDT Cutter Entry'!Z11,"*2"),COUNTIF('ARDT Cutter Entry'!Z11,"*3"),COUNTIF('ARDT Cutter Entry'!Z11,"*4"),COUNTIF('ARDT Cutter Entry'!Z11,"*5"),COUNTIF('ARDT Cutter Entry'!Z11,"*6"),COUNTIF('ARDT Cutter Entry'!Z11,"*7"),COUNTIF('ARDT Cutter Entry'!Z11,"*8"),COUNTIF('ARDT Cutter Entry'!Z11,"*9")),'ARDT Cutter Entry'!Z11,'ARDT Cutter Entry'!Z50))),"")</f>
        <v/>
      </c>
      <c r="AA23" s="1056" t="str">
        <f>IF(Data!$L$32=1,IF(OR(Data!$L$2=1,Data!$L$3=1),IF(OR(Data!CP53=0,Data!CP53=""),"","O"&amp;Data!CP53),IF('ARDT Cutter Entry'!$C$111&lt;&gt;"",               IF(OR(COUNTIF('ARDT Cutter Entry'!AA68,"*1"),COUNTIF('ARDT Cutter Entry'!AA68,"*2"),COUNTIF('ARDT Cutter Entry'!AA68,"*3"),COUNTIF('ARDT Cutter Entry'!AA68,"*4"),COUNTIF('ARDT Cutter Entry'!AA68,"*5"),COUNTIF('ARDT Cutter Entry'!AA68,"*6"),COUNTIF('ARDT Cutter Entry'!AA68,"*7"),COUNTIF('ARDT Cutter Entry'!AA68,"*8"),COUNTIF('ARDT Cutter Entry'!AA68,"*9")),'ARDT Cutter Entry'!AA68,            'ARDT Cutter Entry'!AA118),            IF(OR(COUNTIF('ARDT Cutter Entry'!AA11,"*1"),COUNTIF('ARDT Cutter Entry'!AA11,"*2"),COUNTIF('ARDT Cutter Entry'!AA11,"*3"),COUNTIF('ARDT Cutter Entry'!AA11,"*4"),COUNTIF('ARDT Cutter Entry'!AA11,"*5"),COUNTIF('ARDT Cutter Entry'!AA11,"*6"),COUNTIF('ARDT Cutter Entry'!AA11,"*7"),COUNTIF('ARDT Cutter Entry'!AA11,"*8"),COUNTIF('ARDT Cutter Entry'!AA11,"*9")),'ARDT Cutter Entry'!AA11,'ARDT Cutter Entry'!AA50))),"")</f>
        <v/>
      </c>
    </row>
    <row r="24" spans="1:27" ht="16" customHeight="1" x14ac:dyDescent="0.35">
      <c r="A24" s="1825"/>
      <c r="B24" s="446">
        <v>9</v>
      </c>
      <c r="C24" s="230" t="str">
        <f>IF(Data!$L$32=1,IF(OR(Data!$L$2=1,Data!$L$3=1),IF(OR(Data!BR54=0,Data!BR54=""),"","O"&amp;Data!BR54),IF('ARDT Cutter Entry'!$C$111&lt;&gt;"",               IF(OR(COUNTIF('ARDT Cutter Entry'!C69,"*1"),COUNTIF('ARDT Cutter Entry'!C69,"*2"),COUNTIF('ARDT Cutter Entry'!C69,"*3"),COUNTIF('ARDT Cutter Entry'!C69,"*4"),COUNTIF('ARDT Cutter Entry'!C69,"*5"),COUNTIF('ARDT Cutter Entry'!C69,"*6"),COUNTIF('ARDT Cutter Entry'!C69,"*7"),COUNTIF('ARDT Cutter Entry'!C69,"*8"),COUNTIF('ARDT Cutter Entry'!C69,"*9")),'ARDT Cutter Entry'!C69,            'ARDT Cutter Entry'!C119),            IF(OR(COUNTIF('ARDT Cutter Entry'!C12,"*1"),COUNTIF('ARDT Cutter Entry'!C12,"*2"),COUNTIF('ARDT Cutter Entry'!C12,"*3"),COUNTIF('ARDT Cutter Entry'!C12,"*4"),COUNTIF('ARDT Cutter Entry'!C12,"*5"),COUNTIF('ARDT Cutter Entry'!C12,"*6"),COUNTIF('ARDT Cutter Entry'!C12,"*7"),COUNTIF('ARDT Cutter Entry'!C12,"*8"),COUNTIF('ARDT Cutter Entry'!C12,"*9")),'ARDT Cutter Entry'!C12,'ARDT Cutter Entry'!C51))),"")</f>
        <v/>
      </c>
      <c r="D24" s="244" t="str">
        <f>IF(Data!$L$32=1,IF(OR(Data!$L$2=1,Data!$L$3=1),IF(OR(Data!BS54=0,Data!BS54=""),"","O"&amp;Data!BS54),IF('ARDT Cutter Entry'!$C$111&lt;&gt;"",               IF(OR(COUNTIF('ARDT Cutter Entry'!D69,"*1"),COUNTIF('ARDT Cutter Entry'!D69,"*2"),COUNTIF('ARDT Cutter Entry'!D69,"*3"),COUNTIF('ARDT Cutter Entry'!D69,"*4"),COUNTIF('ARDT Cutter Entry'!D69,"*5"),COUNTIF('ARDT Cutter Entry'!D69,"*6"),COUNTIF('ARDT Cutter Entry'!D69,"*7"),COUNTIF('ARDT Cutter Entry'!D69,"*8"),COUNTIF('ARDT Cutter Entry'!D69,"*9")),'ARDT Cutter Entry'!D69,            'ARDT Cutter Entry'!D119),            IF(OR(COUNTIF('ARDT Cutter Entry'!D12,"*1"),COUNTIF('ARDT Cutter Entry'!D12,"*2"),COUNTIF('ARDT Cutter Entry'!D12,"*3"),COUNTIF('ARDT Cutter Entry'!D12,"*4"),COUNTIF('ARDT Cutter Entry'!D12,"*5"),COUNTIF('ARDT Cutter Entry'!D12,"*6"),COUNTIF('ARDT Cutter Entry'!D12,"*7"),COUNTIF('ARDT Cutter Entry'!D12,"*8"),COUNTIF('ARDT Cutter Entry'!D12,"*9")),'ARDT Cutter Entry'!D12,'ARDT Cutter Entry'!D51))),"")</f>
        <v/>
      </c>
      <c r="E24" s="244" t="str">
        <f>IF(Data!$L$32=1,IF(OR(Data!$L$2=1,Data!$L$3=1),IF(OR(Data!BT54=0,Data!BT54=""),"","O"&amp;Data!BT54),IF('ARDT Cutter Entry'!$C$111&lt;&gt;"",               IF(OR(COUNTIF('ARDT Cutter Entry'!E69,"*1"),COUNTIF('ARDT Cutter Entry'!E69,"*2"),COUNTIF('ARDT Cutter Entry'!E69,"*3"),COUNTIF('ARDT Cutter Entry'!E69,"*4"),COUNTIF('ARDT Cutter Entry'!E69,"*5"),COUNTIF('ARDT Cutter Entry'!E69,"*6"),COUNTIF('ARDT Cutter Entry'!E69,"*7"),COUNTIF('ARDT Cutter Entry'!E69,"*8"),COUNTIF('ARDT Cutter Entry'!E69,"*9")),'ARDT Cutter Entry'!E69,            'ARDT Cutter Entry'!E119),            IF(OR(COUNTIF('ARDT Cutter Entry'!E12,"*1"),COUNTIF('ARDT Cutter Entry'!E12,"*2"),COUNTIF('ARDT Cutter Entry'!E12,"*3"),COUNTIF('ARDT Cutter Entry'!E12,"*4"),COUNTIF('ARDT Cutter Entry'!E12,"*5"),COUNTIF('ARDT Cutter Entry'!E12,"*6"),COUNTIF('ARDT Cutter Entry'!E12,"*7"),COUNTIF('ARDT Cutter Entry'!E12,"*8"),COUNTIF('ARDT Cutter Entry'!E12,"*9")),'ARDT Cutter Entry'!E12,'ARDT Cutter Entry'!E51))),"")</f>
        <v/>
      </c>
      <c r="F24" s="244" t="str">
        <f>IF(Data!$L$32=1,IF(OR(Data!$L$2=1,Data!$L$3=1),IF(OR(Data!BU54=0,Data!BU54=""),"","O"&amp;Data!BU54),IF('ARDT Cutter Entry'!$C$111&lt;&gt;"",               IF(OR(COUNTIF('ARDT Cutter Entry'!F69,"*1"),COUNTIF('ARDT Cutter Entry'!F69,"*2"),COUNTIF('ARDT Cutter Entry'!F69,"*3"),COUNTIF('ARDT Cutter Entry'!F69,"*4"),COUNTIF('ARDT Cutter Entry'!F69,"*5"),COUNTIF('ARDT Cutter Entry'!F69,"*6"),COUNTIF('ARDT Cutter Entry'!F69,"*7"),COUNTIF('ARDT Cutter Entry'!F69,"*8"),COUNTIF('ARDT Cutter Entry'!F69,"*9")),'ARDT Cutter Entry'!F69,            'ARDT Cutter Entry'!F119),            IF(OR(COUNTIF('ARDT Cutter Entry'!F12,"*1"),COUNTIF('ARDT Cutter Entry'!F12,"*2"),COUNTIF('ARDT Cutter Entry'!F12,"*3"),COUNTIF('ARDT Cutter Entry'!F12,"*4"),COUNTIF('ARDT Cutter Entry'!F12,"*5"),COUNTIF('ARDT Cutter Entry'!F12,"*6"),COUNTIF('ARDT Cutter Entry'!F12,"*7"),COUNTIF('ARDT Cutter Entry'!F12,"*8"),COUNTIF('ARDT Cutter Entry'!F12,"*9")),'ARDT Cutter Entry'!F12,'ARDT Cutter Entry'!F51))),"")</f>
        <v/>
      </c>
      <c r="G24" s="244" t="str">
        <f>IF(Data!$L$32=1,IF(OR(Data!$L$2=1,Data!$L$3=1),IF(OR(Data!BV54=0,Data!BV54=""),"","O"&amp;Data!BV54),IF('ARDT Cutter Entry'!$C$111&lt;&gt;"",               IF(OR(COUNTIF('ARDT Cutter Entry'!G69,"*1"),COUNTIF('ARDT Cutter Entry'!G69,"*2"),COUNTIF('ARDT Cutter Entry'!G69,"*3"),COUNTIF('ARDT Cutter Entry'!G69,"*4"),COUNTIF('ARDT Cutter Entry'!G69,"*5"),COUNTIF('ARDT Cutter Entry'!G69,"*6"),COUNTIF('ARDT Cutter Entry'!G69,"*7"),COUNTIF('ARDT Cutter Entry'!G69,"*8"),COUNTIF('ARDT Cutter Entry'!G69,"*9")),'ARDT Cutter Entry'!G69,            'ARDT Cutter Entry'!G119),            IF(OR(COUNTIF('ARDT Cutter Entry'!G12,"*1"),COUNTIF('ARDT Cutter Entry'!G12,"*2"),COUNTIF('ARDT Cutter Entry'!G12,"*3"),COUNTIF('ARDT Cutter Entry'!G12,"*4"),COUNTIF('ARDT Cutter Entry'!G12,"*5"),COUNTIF('ARDT Cutter Entry'!G12,"*6"),COUNTIF('ARDT Cutter Entry'!G12,"*7"),COUNTIF('ARDT Cutter Entry'!G12,"*8"),COUNTIF('ARDT Cutter Entry'!G12,"*9")),'ARDT Cutter Entry'!G12,'ARDT Cutter Entry'!G51))),"")</f>
        <v/>
      </c>
      <c r="H24" s="244" t="str">
        <f>IF(Data!$L$32=1,IF(OR(Data!$L$2=1,Data!$L$3=1),IF(OR(Data!BW54=0,Data!BW54=""),"","O"&amp;Data!BW54),IF('ARDT Cutter Entry'!$C$111&lt;&gt;"",               IF(OR(COUNTIF('ARDT Cutter Entry'!H69,"*1"),COUNTIF('ARDT Cutter Entry'!H69,"*2"),COUNTIF('ARDT Cutter Entry'!H69,"*3"),COUNTIF('ARDT Cutter Entry'!H69,"*4"),COUNTIF('ARDT Cutter Entry'!H69,"*5"),COUNTIF('ARDT Cutter Entry'!H69,"*6"),COUNTIF('ARDT Cutter Entry'!H69,"*7"),COUNTIF('ARDT Cutter Entry'!H69,"*8"),COUNTIF('ARDT Cutter Entry'!H69,"*9")),'ARDT Cutter Entry'!H69,            'ARDT Cutter Entry'!H119),            IF(OR(COUNTIF('ARDT Cutter Entry'!H12,"*1"),COUNTIF('ARDT Cutter Entry'!H12,"*2"),COUNTIF('ARDT Cutter Entry'!H12,"*3"),COUNTIF('ARDT Cutter Entry'!H12,"*4"),COUNTIF('ARDT Cutter Entry'!H12,"*5"),COUNTIF('ARDT Cutter Entry'!H12,"*6"),COUNTIF('ARDT Cutter Entry'!H12,"*7"),COUNTIF('ARDT Cutter Entry'!H12,"*8"),COUNTIF('ARDT Cutter Entry'!H12,"*9")),'ARDT Cutter Entry'!H12,'ARDT Cutter Entry'!H51))),"")</f>
        <v/>
      </c>
      <c r="I24" s="244" t="str">
        <f>IF(Data!$L$32=1,IF(OR(Data!$L$2=1,Data!$L$3=1),IF(OR(Data!BX54=0,Data!BX54=""),"","O"&amp;Data!BX54),IF('ARDT Cutter Entry'!$C$111&lt;&gt;"",               IF(OR(COUNTIF('ARDT Cutter Entry'!I69,"*1"),COUNTIF('ARDT Cutter Entry'!I69,"*2"),COUNTIF('ARDT Cutter Entry'!I69,"*3"),COUNTIF('ARDT Cutter Entry'!I69,"*4"),COUNTIF('ARDT Cutter Entry'!I69,"*5"),COUNTIF('ARDT Cutter Entry'!I69,"*6"),COUNTIF('ARDT Cutter Entry'!I69,"*7"),COUNTIF('ARDT Cutter Entry'!I69,"*8"),COUNTIF('ARDT Cutter Entry'!I69,"*9")),'ARDT Cutter Entry'!I69,            'ARDT Cutter Entry'!I119),            IF(OR(COUNTIF('ARDT Cutter Entry'!I12,"*1"),COUNTIF('ARDT Cutter Entry'!I12,"*2"),COUNTIF('ARDT Cutter Entry'!I12,"*3"),COUNTIF('ARDT Cutter Entry'!I12,"*4"),COUNTIF('ARDT Cutter Entry'!I12,"*5"),COUNTIF('ARDT Cutter Entry'!I12,"*6"),COUNTIF('ARDT Cutter Entry'!I12,"*7"),COUNTIF('ARDT Cutter Entry'!I12,"*8"),COUNTIF('ARDT Cutter Entry'!I12,"*9")),'ARDT Cutter Entry'!I12,'ARDT Cutter Entry'!I51))),"")</f>
        <v/>
      </c>
      <c r="J24" s="244" t="str">
        <f>IF(Data!$L$32=1,IF(OR(Data!$L$2=1,Data!$L$3=1),IF(OR(Data!BY54=0,Data!BY54=""),"","O"&amp;Data!BY54),IF('ARDT Cutter Entry'!$C$111&lt;&gt;"",               IF(OR(COUNTIF('ARDT Cutter Entry'!J69,"*1"),COUNTIF('ARDT Cutter Entry'!J69,"*2"),COUNTIF('ARDT Cutter Entry'!J69,"*3"),COUNTIF('ARDT Cutter Entry'!J69,"*4"),COUNTIF('ARDT Cutter Entry'!J69,"*5"),COUNTIF('ARDT Cutter Entry'!J69,"*6"),COUNTIF('ARDT Cutter Entry'!J69,"*7"),COUNTIF('ARDT Cutter Entry'!J69,"*8"),COUNTIF('ARDT Cutter Entry'!J69,"*9")),'ARDT Cutter Entry'!J69,            'ARDT Cutter Entry'!J119),            IF(OR(COUNTIF('ARDT Cutter Entry'!J12,"*1"),COUNTIF('ARDT Cutter Entry'!J12,"*2"),COUNTIF('ARDT Cutter Entry'!J12,"*3"),COUNTIF('ARDT Cutter Entry'!J12,"*4"),COUNTIF('ARDT Cutter Entry'!J12,"*5"),COUNTIF('ARDT Cutter Entry'!J12,"*6"),COUNTIF('ARDT Cutter Entry'!J12,"*7"),COUNTIF('ARDT Cutter Entry'!J12,"*8"),COUNTIF('ARDT Cutter Entry'!J12,"*9")),'ARDT Cutter Entry'!J12,'ARDT Cutter Entry'!J51))),"")</f>
        <v/>
      </c>
      <c r="K24" s="244" t="str">
        <f>IF(Data!$L$32=1,IF(OR(Data!$L$2=1,Data!$L$3=1),IF(OR(Data!BZ54=0,Data!BZ54=""),"","O"&amp;Data!BZ54),IF('ARDT Cutter Entry'!$C$111&lt;&gt;"",               IF(OR(COUNTIF('ARDT Cutter Entry'!K69,"*1"),COUNTIF('ARDT Cutter Entry'!K69,"*2"),COUNTIF('ARDT Cutter Entry'!K69,"*3"),COUNTIF('ARDT Cutter Entry'!K69,"*4"),COUNTIF('ARDT Cutter Entry'!K69,"*5"),COUNTIF('ARDT Cutter Entry'!K69,"*6"),COUNTIF('ARDT Cutter Entry'!K69,"*7"),COUNTIF('ARDT Cutter Entry'!K69,"*8"),COUNTIF('ARDT Cutter Entry'!K69,"*9")),'ARDT Cutter Entry'!K69,            'ARDT Cutter Entry'!K119),            IF(OR(COUNTIF('ARDT Cutter Entry'!K12,"*1"),COUNTIF('ARDT Cutter Entry'!K12,"*2"),COUNTIF('ARDT Cutter Entry'!K12,"*3"),COUNTIF('ARDT Cutter Entry'!K12,"*4"),COUNTIF('ARDT Cutter Entry'!K12,"*5"),COUNTIF('ARDT Cutter Entry'!K12,"*6"),COUNTIF('ARDT Cutter Entry'!K12,"*7"),COUNTIF('ARDT Cutter Entry'!K12,"*8"),COUNTIF('ARDT Cutter Entry'!K12,"*9")),'ARDT Cutter Entry'!K12,'ARDT Cutter Entry'!K51))),"")</f>
        <v/>
      </c>
      <c r="L24" s="244" t="str">
        <f>IF(Data!$L$32=1,IF(OR(Data!$L$2=1,Data!$L$3=1),IF(OR(Data!CA54=0,Data!CA54=""),"","O"&amp;Data!CA54),IF('ARDT Cutter Entry'!$C$111&lt;&gt;"",               IF(OR(COUNTIF('ARDT Cutter Entry'!L69,"*1"),COUNTIF('ARDT Cutter Entry'!L69,"*2"),COUNTIF('ARDT Cutter Entry'!L69,"*3"),COUNTIF('ARDT Cutter Entry'!L69,"*4"),COUNTIF('ARDT Cutter Entry'!L69,"*5"),COUNTIF('ARDT Cutter Entry'!L69,"*6"),COUNTIF('ARDT Cutter Entry'!L69,"*7"),COUNTIF('ARDT Cutter Entry'!L69,"*8"),COUNTIF('ARDT Cutter Entry'!L69,"*9")),'ARDT Cutter Entry'!L69,            'ARDT Cutter Entry'!L119),            IF(OR(COUNTIF('ARDT Cutter Entry'!L12,"*1"),COUNTIF('ARDT Cutter Entry'!L12,"*2"),COUNTIF('ARDT Cutter Entry'!L12,"*3"),COUNTIF('ARDT Cutter Entry'!L12,"*4"),COUNTIF('ARDT Cutter Entry'!L12,"*5"),COUNTIF('ARDT Cutter Entry'!L12,"*6"),COUNTIF('ARDT Cutter Entry'!L12,"*7"),COUNTIF('ARDT Cutter Entry'!L12,"*8"),COUNTIF('ARDT Cutter Entry'!L12,"*9")),'ARDT Cutter Entry'!L12,'ARDT Cutter Entry'!L51))),"")</f>
        <v/>
      </c>
      <c r="M24" s="244" t="str">
        <f>IF(Data!$L$32=1,IF(OR(Data!$L$2=1,Data!$L$3=1),IF(OR(Data!CB54=0,Data!CB54=""),"","O"&amp;Data!CB54),IF('ARDT Cutter Entry'!$C$111&lt;&gt;"",               IF(OR(COUNTIF('ARDT Cutter Entry'!M69,"*1"),COUNTIF('ARDT Cutter Entry'!M69,"*2"),COUNTIF('ARDT Cutter Entry'!M69,"*3"),COUNTIF('ARDT Cutter Entry'!M69,"*4"),COUNTIF('ARDT Cutter Entry'!M69,"*5"),COUNTIF('ARDT Cutter Entry'!M69,"*6"),COUNTIF('ARDT Cutter Entry'!M69,"*7"),COUNTIF('ARDT Cutter Entry'!M69,"*8"),COUNTIF('ARDT Cutter Entry'!M69,"*9")),'ARDT Cutter Entry'!M69,            'ARDT Cutter Entry'!M119),            IF(OR(COUNTIF('ARDT Cutter Entry'!M12,"*1"),COUNTIF('ARDT Cutter Entry'!M12,"*2"),COUNTIF('ARDT Cutter Entry'!M12,"*3"),COUNTIF('ARDT Cutter Entry'!M12,"*4"),COUNTIF('ARDT Cutter Entry'!M12,"*5"),COUNTIF('ARDT Cutter Entry'!M12,"*6"),COUNTIF('ARDT Cutter Entry'!M12,"*7"),COUNTIF('ARDT Cutter Entry'!M12,"*8"),COUNTIF('ARDT Cutter Entry'!M12,"*9")),'ARDT Cutter Entry'!M12,'ARDT Cutter Entry'!M51))),"")</f>
        <v/>
      </c>
      <c r="N24" s="244" t="str">
        <f>IF(Data!$L$32=1,IF(OR(Data!$L$2=1,Data!$L$3=1),IF(OR(Data!CC54=0,Data!CC54=""),"","O"&amp;Data!CC54),IF('ARDT Cutter Entry'!$C$111&lt;&gt;"",               IF(OR(COUNTIF('ARDT Cutter Entry'!N69,"*1"),COUNTIF('ARDT Cutter Entry'!N69,"*2"),COUNTIF('ARDT Cutter Entry'!N69,"*3"),COUNTIF('ARDT Cutter Entry'!N69,"*4"),COUNTIF('ARDT Cutter Entry'!N69,"*5"),COUNTIF('ARDT Cutter Entry'!N69,"*6"),COUNTIF('ARDT Cutter Entry'!N69,"*7"),COUNTIF('ARDT Cutter Entry'!N69,"*8"),COUNTIF('ARDT Cutter Entry'!N69,"*9")),'ARDT Cutter Entry'!N69,            'ARDT Cutter Entry'!N119),            IF(OR(COUNTIF('ARDT Cutter Entry'!N12,"*1"),COUNTIF('ARDT Cutter Entry'!N12,"*2"),COUNTIF('ARDT Cutter Entry'!N12,"*3"),COUNTIF('ARDT Cutter Entry'!N12,"*4"),COUNTIF('ARDT Cutter Entry'!N12,"*5"),COUNTIF('ARDT Cutter Entry'!N12,"*6"),COUNTIF('ARDT Cutter Entry'!N12,"*7"),COUNTIF('ARDT Cutter Entry'!N12,"*8"),COUNTIF('ARDT Cutter Entry'!N12,"*9")),'ARDT Cutter Entry'!N12,'ARDT Cutter Entry'!N51))),"")</f>
        <v/>
      </c>
      <c r="O24" s="244" t="str">
        <f>IF(Data!$L$32=1,IF(OR(Data!$L$2=1,Data!$L$3=1),IF(OR(Data!CD54=0,Data!CD54=""),"","O"&amp;Data!CD54),IF('ARDT Cutter Entry'!$C$111&lt;&gt;"",               IF(OR(COUNTIF('ARDT Cutter Entry'!O69,"*1"),COUNTIF('ARDT Cutter Entry'!O69,"*2"),COUNTIF('ARDT Cutter Entry'!O69,"*3"),COUNTIF('ARDT Cutter Entry'!O69,"*4"),COUNTIF('ARDT Cutter Entry'!O69,"*5"),COUNTIF('ARDT Cutter Entry'!O69,"*6"),COUNTIF('ARDT Cutter Entry'!O69,"*7"),COUNTIF('ARDT Cutter Entry'!O69,"*8"),COUNTIF('ARDT Cutter Entry'!O69,"*9")),'ARDT Cutter Entry'!O69,            'ARDT Cutter Entry'!O119),            IF(OR(COUNTIF('ARDT Cutter Entry'!O12,"*1"),COUNTIF('ARDT Cutter Entry'!O12,"*2"),COUNTIF('ARDT Cutter Entry'!O12,"*3"),COUNTIF('ARDT Cutter Entry'!O12,"*4"),COUNTIF('ARDT Cutter Entry'!O12,"*5"),COUNTIF('ARDT Cutter Entry'!O12,"*6"),COUNTIF('ARDT Cutter Entry'!O12,"*7"),COUNTIF('ARDT Cutter Entry'!O12,"*8"),COUNTIF('ARDT Cutter Entry'!O12,"*9")),'ARDT Cutter Entry'!O12,'ARDT Cutter Entry'!O51))),"")</f>
        <v/>
      </c>
      <c r="P24" s="244" t="str">
        <f>IF(Data!$L$32=1,IF(OR(Data!$L$2=1,Data!$L$3=1),IF(OR(Data!CE54=0,Data!CE54=""),"","O"&amp;Data!CE54),IF('ARDT Cutter Entry'!$C$111&lt;&gt;"",               IF(OR(COUNTIF('ARDT Cutter Entry'!P69,"*1"),COUNTIF('ARDT Cutter Entry'!P69,"*2"),COUNTIF('ARDT Cutter Entry'!P69,"*3"),COUNTIF('ARDT Cutter Entry'!P69,"*4"),COUNTIF('ARDT Cutter Entry'!P69,"*5"),COUNTIF('ARDT Cutter Entry'!P69,"*6"),COUNTIF('ARDT Cutter Entry'!P69,"*7"),COUNTIF('ARDT Cutter Entry'!P69,"*8"),COUNTIF('ARDT Cutter Entry'!P69,"*9")),'ARDT Cutter Entry'!P69,            'ARDT Cutter Entry'!P119),            IF(OR(COUNTIF('ARDT Cutter Entry'!P12,"*1"),COUNTIF('ARDT Cutter Entry'!P12,"*2"),COUNTIF('ARDT Cutter Entry'!P12,"*3"),COUNTIF('ARDT Cutter Entry'!P12,"*4"),COUNTIF('ARDT Cutter Entry'!P12,"*5"),COUNTIF('ARDT Cutter Entry'!P12,"*6"),COUNTIF('ARDT Cutter Entry'!P12,"*7"),COUNTIF('ARDT Cutter Entry'!P12,"*8"),COUNTIF('ARDT Cutter Entry'!P12,"*9")),'ARDT Cutter Entry'!P12,'ARDT Cutter Entry'!P51))),"")</f>
        <v/>
      </c>
      <c r="Q24" s="244" t="str">
        <f>IF(Data!$L$32=1,IF(OR(Data!$L$2=1,Data!$L$3=1),IF(OR(Data!CF54=0,Data!CF54=""),"","O"&amp;Data!CF54),IF('ARDT Cutter Entry'!$C$111&lt;&gt;"",               IF(OR(COUNTIF('ARDT Cutter Entry'!Q69,"*1"),COUNTIF('ARDT Cutter Entry'!Q69,"*2"),COUNTIF('ARDT Cutter Entry'!Q69,"*3"),COUNTIF('ARDT Cutter Entry'!Q69,"*4"),COUNTIF('ARDT Cutter Entry'!Q69,"*5"),COUNTIF('ARDT Cutter Entry'!Q69,"*6"),COUNTIF('ARDT Cutter Entry'!Q69,"*7"),COUNTIF('ARDT Cutter Entry'!Q69,"*8"),COUNTIF('ARDT Cutter Entry'!Q69,"*9")),'ARDT Cutter Entry'!Q69,            'ARDT Cutter Entry'!Q119),            IF(OR(COUNTIF('ARDT Cutter Entry'!Q12,"*1"),COUNTIF('ARDT Cutter Entry'!Q12,"*2"),COUNTIF('ARDT Cutter Entry'!Q12,"*3"),COUNTIF('ARDT Cutter Entry'!Q12,"*4"),COUNTIF('ARDT Cutter Entry'!Q12,"*5"),COUNTIF('ARDT Cutter Entry'!Q12,"*6"),COUNTIF('ARDT Cutter Entry'!Q12,"*7"),COUNTIF('ARDT Cutter Entry'!Q12,"*8"),COUNTIF('ARDT Cutter Entry'!Q12,"*9")),'ARDT Cutter Entry'!Q12,'ARDT Cutter Entry'!Q51))),"")</f>
        <v/>
      </c>
      <c r="R24" s="244" t="str">
        <f>IF(Data!$L$32=1,IF(OR(Data!$L$2=1,Data!$L$3=1),IF(OR(Data!CG54=0,Data!CG54=""),"","O"&amp;Data!CG54),IF('ARDT Cutter Entry'!$C$111&lt;&gt;"",               IF(OR(COUNTIF('ARDT Cutter Entry'!R69,"*1"),COUNTIF('ARDT Cutter Entry'!R69,"*2"),COUNTIF('ARDT Cutter Entry'!R69,"*3"),COUNTIF('ARDT Cutter Entry'!R69,"*4"),COUNTIF('ARDT Cutter Entry'!R69,"*5"),COUNTIF('ARDT Cutter Entry'!R69,"*6"),COUNTIF('ARDT Cutter Entry'!R69,"*7"),COUNTIF('ARDT Cutter Entry'!R69,"*8"),COUNTIF('ARDT Cutter Entry'!R69,"*9")),'ARDT Cutter Entry'!R69,            'ARDT Cutter Entry'!R119),            IF(OR(COUNTIF('ARDT Cutter Entry'!R12,"*1"),COUNTIF('ARDT Cutter Entry'!R12,"*2"),COUNTIF('ARDT Cutter Entry'!R12,"*3"),COUNTIF('ARDT Cutter Entry'!R12,"*4"),COUNTIF('ARDT Cutter Entry'!R12,"*5"),COUNTIF('ARDT Cutter Entry'!R12,"*6"),COUNTIF('ARDT Cutter Entry'!R12,"*7"),COUNTIF('ARDT Cutter Entry'!R12,"*8"),COUNTIF('ARDT Cutter Entry'!R12,"*9")),'ARDT Cutter Entry'!R12,'ARDT Cutter Entry'!R51))),"")</f>
        <v/>
      </c>
      <c r="S24" s="244" t="str">
        <f>IF(Data!$L$32=1,IF(OR(Data!$L$2=1,Data!$L$3=1),IF(OR(Data!CH54=0,Data!CH54=""),"","O"&amp;Data!CH54),IF('ARDT Cutter Entry'!$C$111&lt;&gt;"",               IF(OR(COUNTIF('ARDT Cutter Entry'!S69,"*1"),COUNTIF('ARDT Cutter Entry'!S69,"*2"),COUNTIF('ARDT Cutter Entry'!S69,"*3"),COUNTIF('ARDT Cutter Entry'!S69,"*4"),COUNTIF('ARDT Cutter Entry'!S69,"*5"),COUNTIF('ARDT Cutter Entry'!S69,"*6"),COUNTIF('ARDT Cutter Entry'!S69,"*7"),COUNTIF('ARDT Cutter Entry'!S69,"*8"),COUNTIF('ARDT Cutter Entry'!S69,"*9")),'ARDT Cutter Entry'!S69,            'ARDT Cutter Entry'!S119),            IF(OR(COUNTIF('ARDT Cutter Entry'!S12,"*1"),COUNTIF('ARDT Cutter Entry'!S12,"*2"),COUNTIF('ARDT Cutter Entry'!S12,"*3"),COUNTIF('ARDT Cutter Entry'!S12,"*4"),COUNTIF('ARDT Cutter Entry'!S12,"*5"),COUNTIF('ARDT Cutter Entry'!S12,"*6"),COUNTIF('ARDT Cutter Entry'!S12,"*7"),COUNTIF('ARDT Cutter Entry'!S12,"*8"),COUNTIF('ARDT Cutter Entry'!S12,"*9")),'ARDT Cutter Entry'!S12,'ARDT Cutter Entry'!S51))),"")</f>
        <v/>
      </c>
      <c r="T24" s="244" t="str">
        <f>IF(Data!$L$32=1,IF(OR(Data!$L$2=1,Data!$L$3=1),IF(OR(Data!CI54=0,Data!CI54=""),"","O"&amp;Data!CI54),IF('ARDT Cutter Entry'!$C$111&lt;&gt;"",               IF(OR(COUNTIF('ARDT Cutter Entry'!T69,"*1"),COUNTIF('ARDT Cutter Entry'!T69,"*2"),COUNTIF('ARDT Cutter Entry'!T69,"*3"),COUNTIF('ARDT Cutter Entry'!T69,"*4"),COUNTIF('ARDT Cutter Entry'!T69,"*5"),COUNTIF('ARDT Cutter Entry'!T69,"*6"),COUNTIF('ARDT Cutter Entry'!T69,"*7"),COUNTIF('ARDT Cutter Entry'!T69,"*8"),COUNTIF('ARDT Cutter Entry'!T69,"*9")),'ARDT Cutter Entry'!T69,            'ARDT Cutter Entry'!T119),            IF(OR(COUNTIF('ARDT Cutter Entry'!T12,"*1"),COUNTIF('ARDT Cutter Entry'!T12,"*2"),COUNTIF('ARDT Cutter Entry'!T12,"*3"),COUNTIF('ARDT Cutter Entry'!T12,"*4"),COUNTIF('ARDT Cutter Entry'!T12,"*5"),COUNTIF('ARDT Cutter Entry'!T12,"*6"),COUNTIF('ARDT Cutter Entry'!T12,"*7"),COUNTIF('ARDT Cutter Entry'!T12,"*8"),COUNTIF('ARDT Cutter Entry'!T12,"*9")),'ARDT Cutter Entry'!T12,'ARDT Cutter Entry'!T51))),"")</f>
        <v/>
      </c>
      <c r="U24" s="244" t="str">
        <f>IF(Data!$L$32=1,IF(OR(Data!$L$2=1,Data!$L$3=1),IF(OR(Data!CJ54=0,Data!CJ54=""),"","O"&amp;Data!CJ54),IF('ARDT Cutter Entry'!$C$111&lt;&gt;"",               IF(OR(COUNTIF('ARDT Cutter Entry'!U69,"*1"),COUNTIF('ARDT Cutter Entry'!U69,"*2"),COUNTIF('ARDT Cutter Entry'!U69,"*3"),COUNTIF('ARDT Cutter Entry'!U69,"*4"),COUNTIF('ARDT Cutter Entry'!U69,"*5"),COUNTIF('ARDT Cutter Entry'!U69,"*6"),COUNTIF('ARDT Cutter Entry'!U69,"*7"),COUNTIF('ARDT Cutter Entry'!U69,"*8"),COUNTIF('ARDT Cutter Entry'!U69,"*9")),'ARDT Cutter Entry'!U69,            'ARDT Cutter Entry'!U119),            IF(OR(COUNTIF('ARDT Cutter Entry'!U12,"*1"),COUNTIF('ARDT Cutter Entry'!U12,"*2"),COUNTIF('ARDT Cutter Entry'!U12,"*3"),COUNTIF('ARDT Cutter Entry'!U12,"*4"),COUNTIF('ARDT Cutter Entry'!U12,"*5"),COUNTIF('ARDT Cutter Entry'!U12,"*6"),COUNTIF('ARDT Cutter Entry'!U12,"*7"),COUNTIF('ARDT Cutter Entry'!U12,"*8"),COUNTIF('ARDT Cutter Entry'!U12,"*9")),'ARDT Cutter Entry'!U12,'ARDT Cutter Entry'!U51))),"")</f>
        <v/>
      </c>
      <c r="V24" s="244" t="str">
        <f>IF(Data!$L$32=1,IF(OR(Data!$L$2=1,Data!$L$3=1),IF(OR(Data!CK54=0,Data!CK54=""),"","O"&amp;Data!CK54),IF('ARDT Cutter Entry'!$C$111&lt;&gt;"",               IF(OR(COUNTIF('ARDT Cutter Entry'!V69,"*1"),COUNTIF('ARDT Cutter Entry'!V69,"*2"),COUNTIF('ARDT Cutter Entry'!V69,"*3"),COUNTIF('ARDT Cutter Entry'!V69,"*4"),COUNTIF('ARDT Cutter Entry'!V69,"*5"),COUNTIF('ARDT Cutter Entry'!V69,"*6"),COUNTIF('ARDT Cutter Entry'!V69,"*7"),COUNTIF('ARDT Cutter Entry'!V69,"*8"),COUNTIF('ARDT Cutter Entry'!V69,"*9")),'ARDT Cutter Entry'!V69,            'ARDT Cutter Entry'!V119),            IF(OR(COUNTIF('ARDT Cutter Entry'!V12,"*1"),COUNTIF('ARDT Cutter Entry'!V12,"*2"),COUNTIF('ARDT Cutter Entry'!V12,"*3"),COUNTIF('ARDT Cutter Entry'!V12,"*4"),COUNTIF('ARDT Cutter Entry'!V12,"*5"),COUNTIF('ARDT Cutter Entry'!V12,"*6"),COUNTIF('ARDT Cutter Entry'!V12,"*7"),COUNTIF('ARDT Cutter Entry'!V12,"*8"),COUNTIF('ARDT Cutter Entry'!V12,"*9")),'ARDT Cutter Entry'!V12,'ARDT Cutter Entry'!V51))),"")</f>
        <v/>
      </c>
      <c r="W24" s="244" t="str">
        <f>IF(Data!$L$32=1,IF(OR(Data!$L$2=1,Data!$L$3=1),IF(OR(Data!CL54=0,Data!CL54=""),"","O"&amp;Data!CL54),IF('ARDT Cutter Entry'!$C$111&lt;&gt;"",               IF(OR(COUNTIF('ARDT Cutter Entry'!W69,"*1"),COUNTIF('ARDT Cutter Entry'!W69,"*2"),COUNTIF('ARDT Cutter Entry'!W69,"*3"),COUNTIF('ARDT Cutter Entry'!W69,"*4"),COUNTIF('ARDT Cutter Entry'!W69,"*5"),COUNTIF('ARDT Cutter Entry'!W69,"*6"),COUNTIF('ARDT Cutter Entry'!W69,"*7"),COUNTIF('ARDT Cutter Entry'!W69,"*8"),COUNTIF('ARDT Cutter Entry'!W69,"*9")),'ARDT Cutter Entry'!W69,            'ARDT Cutter Entry'!W119),            IF(OR(COUNTIF('ARDT Cutter Entry'!W12,"*1"),COUNTIF('ARDT Cutter Entry'!W12,"*2"),COUNTIF('ARDT Cutter Entry'!W12,"*3"),COUNTIF('ARDT Cutter Entry'!W12,"*4"),COUNTIF('ARDT Cutter Entry'!W12,"*5"),COUNTIF('ARDT Cutter Entry'!W12,"*6"),COUNTIF('ARDT Cutter Entry'!W12,"*7"),COUNTIF('ARDT Cutter Entry'!W12,"*8"),COUNTIF('ARDT Cutter Entry'!W12,"*9")),'ARDT Cutter Entry'!W12,'ARDT Cutter Entry'!W51))),"")</f>
        <v/>
      </c>
      <c r="X24" s="244" t="str">
        <f>IF(Data!$L$32=1,IF(OR(Data!$L$2=1,Data!$L$3=1),IF(OR(Data!CM54=0,Data!CM54=""),"","O"&amp;Data!CM54),IF('ARDT Cutter Entry'!$C$111&lt;&gt;"",               IF(OR(COUNTIF('ARDT Cutter Entry'!X69,"*1"),COUNTIF('ARDT Cutter Entry'!X69,"*2"),COUNTIF('ARDT Cutter Entry'!X69,"*3"),COUNTIF('ARDT Cutter Entry'!X69,"*4"),COUNTIF('ARDT Cutter Entry'!X69,"*5"),COUNTIF('ARDT Cutter Entry'!X69,"*6"),COUNTIF('ARDT Cutter Entry'!X69,"*7"),COUNTIF('ARDT Cutter Entry'!X69,"*8"),COUNTIF('ARDT Cutter Entry'!X69,"*9")),'ARDT Cutter Entry'!X69,            'ARDT Cutter Entry'!X119),            IF(OR(COUNTIF('ARDT Cutter Entry'!X12,"*1"),COUNTIF('ARDT Cutter Entry'!X12,"*2"),COUNTIF('ARDT Cutter Entry'!X12,"*3"),COUNTIF('ARDT Cutter Entry'!X12,"*4"),COUNTIF('ARDT Cutter Entry'!X12,"*5"),COUNTIF('ARDT Cutter Entry'!X12,"*6"),COUNTIF('ARDT Cutter Entry'!X12,"*7"),COUNTIF('ARDT Cutter Entry'!X12,"*8"),COUNTIF('ARDT Cutter Entry'!X12,"*9")),'ARDT Cutter Entry'!X12,'ARDT Cutter Entry'!X51))),"")</f>
        <v/>
      </c>
      <c r="Y24" s="244" t="str">
        <f>IF(Data!$L$32=1,IF(OR(Data!$L$2=1,Data!$L$3=1),IF(OR(Data!CN54=0,Data!CN54=""),"","O"&amp;Data!CN54),IF('ARDT Cutter Entry'!$C$111&lt;&gt;"",               IF(OR(COUNTIF('ARDT Cutter Entry'!Y69,"*1"),COUNTIF('ARDT Cutter Entry'!Y69,"*2"),COUNTIF('ARDT Cutter Entry'!Y69,"*3"),COUNTIF('ARDT Cutter Entry'!Y69,"*4"),COUNTIF('ARDT Cutter Entry'!Y69,"*5"),COUNTIF('ARDT Cutter Entry'!Y69,"*6"),COUNTIF('ARDT Cutter Entry'!Y69,"*7"),COUNTIF('ARDT Cutter Entry'!Y69,"*8"),COUNTIF('ARDT Cutter Entry'!Y69,"*9")),'ARDT Cutter Entry'!Y69,            'ARDT Cutter Entry'!Y119),            IF(OR(COUNTIF('ARDT Cutter Entry'!Y12,"*1"),COUNTIF('ARDT Cutter Entry'!Y12,"*2"),COUNTIF('ARDT Cutter Entry'!Y12,"*3"),COUNTIF('ARDT Cutter Entry'!Y12,"*4"),COUNTIF('ARDT Cutter Entry'!Y12,"*5"),COUNTIF('ARDT Cutter Entry'!Y12,"*6"),COUNTIF('ARDT Cutter Entry'!Y12,"*7"),COUNTIF('ARDT Cutter Entry'!Y12,"*8"),COUNTIF('ARDT Cutter Entry'!Y12,"*9")),'ARDT Cutter Entry'!Y12,'ARDT Cutter Entry'!Y51))),"")</f>
        <v/>
      </c>
      <c r="Z24" s="244" t="str">
        <f>IF(Data!$L$32=1,IF(OR(Data!$L$2=1,Data!$L$3=1),IF(OR(Data!CO54=0,Data!CO54=""),"","O"&amp;Data!CO54),IF('ARDT Cutter Entry'!$C$111&lt;&gt;"",               IF(OR(COUNTIF('ARDT Cutter Entry'!Z69,"*1"),COUNTIF('ARDT Cutter Entry'!Z69,"*2"),COUNTIF('ARDT Cutter Entry'!Z69,"*3"),COUNTIF('ARDT Cutter Entry'!Z69,"*4"),COUNTIF('ARDT Cutter Entry'!Z69,"*5"),COUNTIF('ARDT Cutter Entry'!Z69,"*6"),COUNTIF('ARDT Cutter Entry'!Z69,"*7"),COUNTIF('ARDT Cutter Entry'!Z69,"*8"),COUNTIF('ARDT Cutter Entry'!Z69,"*9")),'ARDT Cutter Entry'!Z69,            'ARDT Cutter Entry'!Z119),            IF(OR(COUNTIF('ARDT Cutter Entry'!Z12,"*1"),COUNTIF('ARDT Cutter Entry'!Z12,"*2"),COUNTIF('ARDT Cutter Entry'!Z12,"*3"),COUNTIF('ARDT Cutter Entry'!Z12,"*4"),COUNTIF('ARDT Cutter Entry'!Z12,"*5"),COUNTIF('ARDT Cutter Entry'!Z12,"*6"),COUNTIF('ARDT Cutter Entry'!Z12,"*7"),COUNTIF('ARDT Cutter Entry'!Z12,"*8"),COUNTIF('ARDT Cutter Entry'!Z12,"*9")),'ARDT Cutter Entry'!Z12,'ARDT Cutter Entry'!Z51))),"")</f>
        <v/>
      </c>
      <c r="AA24" s="1056" t="str">
        <f>IF(Data!$L$32=1,IF(OR(Data!$L$2=1,Data!$L$3=1),IF(OR(Data!CP54=0,Data!CP54=""),"","O"&amp;Data!CP54),IF('ARDT Cutter Entry'!$C$111&lt;&gt;"",               IF(OR(COUNTIF('ARDT Cutter Entry'!AA69,"*1"),COUNTIF('ARDT Cutter Entry'!AA69,"*2"),COUNTIF('ARDT Cutter Entry'!AA69,"*3"),COUNTIF('ARDT Cutter Entry'!AA69,"*4"),COUNTIF('ARDT Cutter Entry'!AA69,"*5"),COUNTIF('ARDT Cutter Entry'!AA69,"*6"),COUNTIF('ARDT Cutter Entry'!AA69,"*7"),COUNTIF('ARDT Cutter Entry'!AA69,"*8"),COUNTIF('ARDT Cutter Entry'!AA69,"*9")),'ARDT Cutter Entry'!AA69,            'ARDT Cutter Entry'!AA119),            IF(OR(COUNTIF('ARDT Cutter Entry'!AA12,"*1"),COUNTIF('ARDT Cutter Entry'!AA12,"*2"),COUNTIF('ARDT Cutter Entry'!AA12,"*3"),COUNTIF('ARDT Cutter Entry'!AA12,"*4"),COUNTIF('ARDT Cutter Entry'!AA12,"*5"),COUNTIF('ARDT Cutter Entry'!AA12,"*6"),COUNTIF('ARDT Cutter Entry'!AA12,"*7"),COUNTIF('ARDT Cutter Entry'!AA12,"*8"),COUNTIF('ARDT Cutter Entry'!AA12,"*9")),'ARDT Cutter Entry'!AA12,'ARDT Cutter Entry'!AA51))),"")</f>
        <v/>
      </c>
    </row>
    <row r="25" spans="1:27" ht="16" customHeight="1" x14ac:dyDescent="0.35">
      <c r="A25" s="1825"/>
      <c r="B25" s="446">
        <v>10</v>
      </c>
      <c r="C25" s="230" t="str">
        <f>IF(Data!$L$32=1,IF(OR(Data!$L$2=1,Data!$L$3=1),IF(OR(Data!BR55=0,Data!BR55=""),"","O"&amp;Data!BR55),IF('ARDT Cutter Entry'!$C$111&lt;&gt;"",               IF(OR(COUNTIF('ARDT Cutter Entry'!C70,"*1"),COUNTIF('ARDT Cutter Entry'!C70,"*2"),COUNTIF('ARDT Cutter Entry'!C70,"*3"),COUNTIF('ARDT Cutter Entry'!C70,"*4"),COUNTIF('ARDT Cutter Entry'!C70,"*5"),COUNTIF('ARDT Cutter Entry'!C70,"*6"),COUNTIF('ARDT Cutter Entry'!C70,"*7"),COUNTIF('ARDT Cutter Entry'!C70,"*8"),COUNTIF('ARDT Cutter Entry'!C70,"*9")),'ARDT Cutter Entry'!C70,            'ARDT Cutter Entry'!C120),            IF(OR(COUNTIF('ARDT Cutter Entry'!C13,"*1"),COUNTIF('ARDT Cutter Entry'!C13,"*2"),COUNTIF('ARDT Cutter Entry'!C13,"*3"),COUNTIF('ARDT Cutter Entry'!C13,"*4"),COUNTIF('ARDT Cutter Entry'!C13,"*5"),COUNTIF('ARDT Cutter Entry'!C13,"*6"),COUNTIF('ARDT Cutter Entry'!C13,"*7"),COUNTIF('ARDT Cutter Entry'!C13,"*8"),COUNTIF('ARDT Cutter Entry'!C13,"*9")),'ARDT Cutter Entry'!C13,'ARDT Cutter Entry'!C52))),"")</f>
        <v/>
      </c>
      <c r="D25" s="244" t="str">
        <f>IF(Data!$L$32=1,IF(OR(Data!$L$2=1,Data!$L$3=1),IF(OR(Data!BS55=0,Data!BS55=""),"","O"&amp;Data!BS55),IF('ARDT Cutter Entry'!$C$111&lt;&gt;"",               IF(OR(COUNTIF('ARDT Cutter Entry'!D70,"*1"),COUNTIF('ARDT Cutter Entry'!D70,"*2"),COUNTIF('ARDT Cutter Entry'!D70,"*3"),COUNTIF('ARDT Cutter Entry'!D70,"*4"),COUNTIF('ARDT Cutter Entry'!D70,"*5"),COUNTIF('ARDT Cutter Entry'!D70,"*6"),COUNTIF('ARDT Cutter Entry'!D70,"*7"),COUNTIF('ARDT Cutter Entry'!D70,"*8"),COUNTIF('ARDT Cutter Entry'!D70,"*9")),'ARDT Cutter Entry'!D70,            'ARDT Cutter Entry'!D120),            IF(OR(COUNTIF('ARDT Cutter Entry'!D13,"*1"),COUNTIF('ARDT Cutter Entry'!D13,"*2"),COUNTIF('ARDT Cutter Entry'!D13,"*3"),COUNTIF('ARDT Cutter Entry'!D13,"*4"),COUNTIF('ARDT Cutter Entry'!D13,"*5"),COUNTIF('ARDT Cutter Entry'!D13,"*6"),COUNTIF('ARDT Cutter Entry'!D13,"*7"),COUNTIF('ARDT Cutter Entry'!D13,"*8"),COUNTIF('ARDT Cutter Entry'!D13,"*9")),'ARDT Cutter Entry'!D13,'ARDT Cutter Entry'!D52))),"")</f>
        <v/>
      </c>
      <c r="E25" s="244" t="str">
        <f>IF(Data!$L$32=1,IF(OR(Data!$L$2=1,Data!$L$3=1),IF(OR(Data!BT55=0,Data!BT55=""),"","O"&amp;Data!BT55),IF('ARDT Cutter Entry'!$C$111&lt;&gt;"",               IF(OR(COUNTIF('ARDT Cutter Entry'!E70,"*1"),COUNTIF('ARDT Cutter Entry'!E70,"*2"),COUNTIF('ARDT Cutter Entry'!E70,"*3"),COUNTIF('ARDT Cutter Entry'!E70,"*4"),COUNTIF('ARDT Cutter Entry'!E70,"*5"),COUNTIF('ARDT Cutter Entry'!E70,"*6"),COUNTIF('ARDT Cutter Entry'!E70,"*7"),COUNTIF('ARDT Cutter Entry'!E70,"*8"),COUNTIF('ARDT Cutter Entry'!E70,"*9")),'ARDT Cutter Entry'!E70,            'ARDT Cutter Entry'!E120),            IF(OR(COUNTIF('ARDT Cutter Entry'!E13,"*1"),COUNTIF('ARDT Cutter Entry'!E13,"*2"),COUNTIF('ARDT Cutter Entry'!E13,"*3"),COUNTIF('ARDT Cutter Entry'!E13,"*4"),COUNTIF('ARDT Cutter Entry'!E13,"*5"),COUNTIF('ARDT Cutter Entry'!E13,"*6"),COUNTIF('ARDT Cutter Entry'!E13,"*7"),COUNTIF('ARDT Cutter Entry'!E13,"*8"),COUNTIF('ARDT Cutter Entry'!E13,"*9")),'ARDT Cutter Entry'!E13,'ARDT Cutter Entry'!E52))),"")</f>
        <v/>
      </c>
      <c r="F25" s="244" t="str">
        <f>IF(Data!$L$32=1,IF(OR(Data!$L$2=1,Data!$L$3=1),IF(OR(Data!BU55=0,Data!BU55=""),"","O"&amp;Data!BU55),IF('ARDT Cutter Entry'!$C$111&lt;&gt;"",               IF(OR(COUNTIF('ARDT Cutter Entry'!F70,"*1"),COUNTIF('ARDT Cutter Entry'!F70,"*2"),COUNTIF('ARDT Cutter Entry'!F70,"*3"),COUNTIF('ARDT Cutter Entry'!F70,"*4"),COUNTIF('ARDT Cutter Entry'!F70,"*5"),COUNTIF('ARDT Cutter Entry'!F70,"*6"),COUNTIF('ARDT Cutter Entry'!F70,"*7"),COUNTIF('ARDT Cutter Entry'!F70,"*8"),COUNTIF('ARDT Cutter Entry'!F70,"*9")),'ARDT Cutter Entry'!F70,            'ARDT Cutter Entry'!F120),            IF(OR(COUNTIF('ARDT Cutter Entry'!F13,"*1"),COUNTIF('ARDT Cutter Entry'!F13,"*2"),COUNTIF('ARDT Cutter Entry'!F13,"*3"),COUNTIF('ARDT Cutter Entry'!F13,"*4"),COUNTIF('ARDT Cutter Entry'!F13,"*5"),COUNTIF('ARDT Cutter Entry'!F13,"*6"),COUNTIF('ARDT Cutter Entry'!F13,"*7"),COUNTIF('ARDT Cutter Entry'!F13,"*8"),COUNTIF('ARDT Cutter Entry'!F13,"*9")),'ARDT Cutter Entry'!F13,'ARDT Cutter Entry'!F52))),"")</f>
        <v/>
      </c>
      <c r="G25" s="244" t="str">
        <f>IF(Data!$L$32=1,IF(OR(Data!$L$2=1,Data!$L$3=1),IF(OR(Data!BV55=0,Data!BV55=""),"","O"&amp;Data!BV55),IF('ARDT Cutter Entry'!$C$111&lt;&gt;"",               IF(OR(COUNTIF('ARDT Cutter Entry'!G70,"*1"),COUNTIF('ARDT Cutter Entry'!G70,"*2"),COUNTIF('ARDT Cutter Entry'!G70,"*3"),COUNTIF('ARDT Cutter Entry'!G70,"*4"),COUNTIF('ARDT Cutter Entry'!G70,"*5"),COUNTIF('ARDT Cutter Entry'!G70,"*6"),COUNTIF('ARDT Cutter Entry'!G70,"*7"),COUNTIF('ARDT Cutter Entry'!G70,"*8"),COUNTIF('ARDT Cutter Entry'!G70,"*9")),'ARDT Cutter Entry'!G70,            'ARDT Cutter Entry'!G120),            IF(OR(COUNTIF('ARDT Cutter Entry'!G13,"*1"),COUNTIF('ARDT Cutter Entry'!G13,"*2"),COUNTIF('ARDT Cutter Entry'!G13,"*3"),COUNTIF('ARDT Cutter Entry'!G13,"*4"),COUNTIF('ARDT Cutter Entry'!G13,"*5"),COUNTIF('ARDT Cutter Entry'!G13,"*6"),COUNTIF('ARDT Cutter Entry'!G13,"*7"),COUNTIF('ARDT Cutter Entry'!G13,"*8"),COUNTIF('ARDT Cutter Entry'!G13,"*9")),'ARDT Cutter Entry'!G13,'ARDT Cutter Entry'!G52))),"")</f>
        <v/>
      </c>
      <c r="H25" s="244" t="str">
        <f>IF(Data!$L$32=1,IF(OR(Data!$L$2=1,Data!$L$3=1),IF(OR(Data!BW55=0,Data!BW55=""),"","O"&amp;Data!BW55),IF('ARDT Cutter Entry'!$C$111&lt;&gt;"",               IF(OR(COUNTIF('ARDT Cutter Entry'!H70,"*1"),COUNTIF('ARDT Cutter Entry'!H70,"*2"),COUNTIF('ARDT Cutter Entry'!H70,"*3"),COUNTIF('ARDT Cutter Entry'!H70,"*4"),COUNTIF('ARDT Cutter Entry'!H70,"*5"),COUNTIF('ARDT Cutter Entry'!H70,"*6"),COUNTIF('ARDT Cutter Entry'!H70,"*7"),COUNTIF('ARDT Cutter Entry'!H70,"*8"),COUNTIF('ARDT Cutter Entry'!H70,"*9")),'ARDT Cutter Entry'!H70,            'ARDT Cutter Entry'!H120),            IF(OR(COUNTIF('ARDT Cutter Entry'!H13,"*1"),COUNTIF('ARDT Cutter Entry'!H13,"*2"),COUNTIF('ARDT Cutter Entry'!H13,"*3"),COUNTIF('ARDT Cutter Entry'!H13,"*4"),COUNTIF('ARDT Cutter Entry'!H13,"*5"),COUNTIF('ARDT Cutter Entry'!H13,"*6"),COUNTIF('ARDT Cutter Entry'!H13,"*7"),COUNTIF('ARDT Cutter Entry'!H13,"*8"),COUNTIF('ARDT Cutter Entry'!H13,"*9")),'ARDT Cutter Entry'!H13,'ARDT Cutter Entry'!H52))),"")</f>
        <v/>
      </c>
      <c r="I25" s="244" t="str">
        <f>IF(Data!$L$32=1,IF(OR(Data!$L$2=1,Data!$L$3=1),IF(OR(Data!BX55=0,Data!BX55=""),"","O"&amp;Data!BX55),IF('ARDT Cutter Entry'!$C$111&lt;&gt;"",               IF(OR(COUNTIF('ARDT Cutter Entry'!I70,"*1"),COUNTIF('ARDT Cutter Entry'!I70,"*2"),COUNTIF('ARDT Cutter Entry'!I70,"*3"),COUNTIF('ARDT Cutter Entry'!I70,"*4"),COUNTIF('ARDT Cutter Entry'!I70,"*5"),COUNTIF('ARDT Cutter Entry'!I70,"*6"),COUNTIF('ARDT Cutter Entry'!I70,"*7"),COUNTIF('ARDT Cutter Entry'!I70,"*8"),COUNTIF('ARDT Cutter Entry'!I70,"*9")),'ARDT Cutter Entry'!I70,            'ARDT Cutter Entry'!I120),            IF(OR(COUNTIF('ARDT Cutter Entry'!I13,"*1"),COUNTIF('ARDT Cutter Entry'!I13,"*2"),COUNTIF('ARDT Cutter Entry'!I13,"*3"),COUNTIF('ARDT Cutter Entry'!I13,"*4"),COUNTIF('ARDT Cutter Entry'!I13,"*5"),COUNTIF('ARDT Cutter Entry'!I13,"*6"),COUNTIF('ARDT Cutter Entry'!I13,"*7"),COUNTIF('ARDT Cutter Entry'!I13,"*8"),COUNTIF('ARDT Cutter Entry'!I13,"*9")),'ARDT Cutter Entry'!I13,'ARDT Cutter Entry'!I52))),"")</f>
        <v/>
      </c>
      <c r="J25" s="244" t="str">
        <f>IF(Data!$L$32=1,IF(OR(Data!$L$2=1,Data!$L$3=1),IF(OR(Data!BY55=0,Data!BY55=""),"","O"&amp;Data!BY55),IF('ARDT Cutter Entry'!$C$111&lt;&gt;"",               IF(OR(COUNTIF('ARDT Cutter Entry'!J70,"*1"),COUNTIF('ARDT Cutter Entry'!J70,"*2"),COUNTIF('ARDT Cutter Entry'!J70,"*3"),COUNTIF('ARDT Cutter Entry'!J70,"*4"),COUNTIF('ARDT Cutter Entry'!J70,"*5"),COUNTIF('ARDT Cutter Entry'!J70,"*6"),COUNTIF('ARDT Cutter Entry'!J70,"*7"),COUNTIF('ARDT Cutter Entry'!J70,"*8"),COUNTIF('ARDT Cutter Entry'!J70,"*9")),'ARDT Cutter Entry'!J70,            'ARDT Cutter Entry'!J120),            IF(OR(COUNTIF('ARDT Cutter Entry'!J13,"*1"),COUNTIF('ARDT Cutter Entry'!J13,"*2"),COUNTIF('ARDT Cutter Entry'!J13,"*3"),COUNTIF('ARDT Cutter Entry'!J13,"*4"),COUNTIF('ARDT Cutter Entry'!J13,"*5"),COUNTIF('ARDT Cutter Entry'!J13,"*6"),COUNTIF('ARDT Cutter Entry'!J13,"*7"),COUNTIF('ARDT Cutter Entry'!J13,"*8"),COUNTIF('ARDT Cutter Entry'!J13,"*9")),'ARDT Cutter Entry'!J13,'ARDT Cutter Entry'!J52))),"")</f>
        <v/>
      </c>
      <c r="K25" s="244" t="str">
        <f>IF(Data!$L$32=1,IF(OR(Data!$L$2=1,Data!$L$3=1),IF(OR(Data!BZ55=0,Data!BZ55=""),"","O"&amp;Data!BZ55),IF('ARDT Cutter Entry'!$C$111&lt;&gt;"",               IF(OR(COUNTIF('ARDT Cutter Entry'!K70,"*1"),COUNTIF('ARDT Cutter Entry'!K70,"*2"),COUNTIF('ARDT Cutter Entry'!K70,"*3"),COUNTIF('ARDT Cutter Entry'!K70,"*4"),COUNTIF('ARDT Cutter Entry'!K70,"*5"),COUNTIF('ARDT Cutter Entry'!K70,"*6"),COUNTIF('ARDT Cutter Entry'!K70,"*7"),COUNTIF('ARDT Cutter Entry'!K70,"*8"),COUNTIF('ARDT Cutter Entry'!K70,"*9")),'ARDT Cutter Entry'!K70,            'ARDT Cutter Entry'!K120),            IF(OR(COUNTIF('ARDT Cutter Entry'!K13,"*1"),COUNTIF('ARDT Cutter Entry'!K13,"*2"),COUNTIF('ARDT Cutter Entry'!K13,"*3"),COUNTIF('ARDT Cutter Entry'!K13,"*4"),COUNTIF('ARDT Cutter Entry'!K13,"*5"),COUNTIF('ARDT Cutter Entry'!K13,"*6"),COUNTIF('ARDT Cutter Entry'!K13,"*7"),COUNTIF('ARDT Cutter Entry'!K13,"*8"),COUNTIF('ARDT Cutter Entry'!K13,"*9")),'ARDT Cutter Entry'!K13,'ARDT Cutter Entry'!K52))),"")</f>
        <v/>
      </c>
      <c r="L25" s="244" t="str">
        <f>IF(Data!$L$32=1,IF(OR(Data!$L$2=1,Data!$L$3=1),IF(OR(Data!CA55=0,Data!CA55=""),"","O"&amp;Data!CA55),IF('ARDT Cutter Entry'!$C$111&lt;&gt;"",               IF(OR(COUNTIF('ARDT Cutter Entry'!L70,"*1"),COUNTIF('ARDT Cutter Entry'!L70,"*2"),COUNTIF('ARDT Cutter Entry'!L70,"*3"),COUNTIF('ARDT Cutter Entry'!L70,"*4"),COUNTIF('ARDT Cutter Entry'!L70,"*5"),COUNTIF('ARDT Cutter Entry'!L70,"*6"),COUNTIF('ARDT Cutter Entry'!L70,"*7"),COUNTIF('ARDT Cutter Entry'!L70,"*8"),COUNTIF('ARDT Cutter Entry'!L70,"*9")),'ARDT Cutter Entry'!L70,            'ARDT Cutter Entry'!L120),            IF(OR(COUNTIF('ARDT Cutter Entry'!L13,"*1"),COUNTIF('ARDT Cutter Entry'!L13,"*2"),COUNTIF('ARDT Cutter Entry'!L13,"*3"),COUNTIF('ARDT Cutter Entry'!L13,"*4"),COUNTIF('ARDT Cutter Entry'!L13,"*5"),COUNTIF('ARDT Cutter Entry'!L13,"*6"),COUNTIF('ARDT Cutter Entry'!L13,"*7"),COUNTIF('ARDT Cutter Entry'!L13,"*8"),COUNTIF('ARDT Cutter Entry'!L13,"*9")),'ARDT Cutter Entry'!L13,'ARDT Cutter Entry'!L52))),"")</f>
        <v/>
      </c>
      <c r="M25" s="244" t="str">
        <f>IF(Data!$L$32=1,IF(OR(Data!$L$2=1,Data!$L$3=1),IF(OR(Data!CB55=0,Data!CB55=""),"","O"&amp;Data!CB55),IF('ARDT Cutter Entry'!$C$111&lt;&gt;"",               IF(OR(COUNTIF('ARDT Cutter Entry'!M70,"*1"),COUNTIF('ARDT Cutter Entry'!M70,"*2"),COUNTIF('ARDT Cutter Entry'!M70,"*3"),COUNTIF('ARDT Cutter Entry'!M70,"*4"),COUNTIF('ARDT Cutter Entry'!M70,"*5"),COUNTIF('ARDT Cutter Entry'!M70,"*6"),COUNTIF('ARDT Cutter Entry'!M70,"*7"),COUNTIF('ARDT Cutter Entry'!M70,"*8"),COUNTIF('ARDT Cutter Entry'!M70,"*9")),'ARDT Cutter Entry'!M70,            'ARDT Cutter Entry'!M120),            IF(OR(COUNTIF('ARDT Cutter Entry'!M13,"*1"),COUNTIF('ARDT Cutter Entry'!M13,"*2"),COUNTIF('ARDT Cutter Entry'!M13,"*3"),COUNTIF('ARDT Cutter Entry'!M13,"*4"),COUNTIF('ARDT Cutter Entry'!M13,"*5"),COUNTIF('ARDT Cutter Entry'!M13,"*6"),COUNTIF('ARDT Cutter Entry'!M13,"*7"),COUNTIF('ARDT Cutter Entry'!M13,"*8"),COUNTIF('ARDT Cutter Entry'!M13,"*9")),'ARDT Cutter Entry'!M13,'ARDT Cutter Entry'!M52))),"")</f>
        <v/>
      </c>
      <c r="N25" s="244" t="str">
        <f>IF(Data!$L$32=1,IF(OR(Data!$L$2=1,Data!$L$3=1),IF(OR(Data!CC55=0,Data!CC55=""),"","O"&amp;Data!CC55),IF('ARDT Cutter Entry'!$C$111&lt;&gt;"",               IF(OR(COUNTIF('ARDT Cutter Entry'!N70,"*1"),COUNTIF('ARDT Cutter Entry'!N70,"*2"),COUNTIF('ARDT Cutter Entry'!N70,"*3"),COUNTIF('ARDT Cutter Entry'!N70,"*4"),COUNTIF('ARDT Cutter Entry'!N70,"*5"),COUNTIF('ARDT Cutter Entry'!N70,"*6"),COUNTIF('ARDT Cutter Entry'!N70,"*7"),COUNTIF('ARDT Cutter Entry'!N70,"*8"),COUNTIF('ARDT Cutter Entry'!N70,"*9")),'ARDT Cutter Entry'!N70,            'ARDT Cutter Entry'!N120),            IF(OR(COUNTIF('ARDT Cutter Entry'!N13,"*1"),COUNTIF('ARDT Cutter Entry'!N13,"*2"),COUNTIF('ARDT Cutter Entry'!N13,"*3"),COUNTIF('ARDT Cutter Entry'!N13,"*4"),COUNTIF('ARDT Cutter Entry'!N13,"*5"),COUNTIF('ARDT Cutter Entry'!N13,"*6"),COUNTIF('ARDT Cutter Entry'!N13,"*7"),COUNTIF('ARDT Cutter Entry'!N13,"*8"),COUNTIF('ARDT Cutter Entry'!N13,"*9")),'ARDT Cutter Entry'!N13,'ARDT Cutter Entry'!N52))),"")</f>
        <v/>
      </c>
      <c r="O25" s="244" t="str">
        <f>IF(Data!$L$32=1,IF(OR(Data!$L$2=1,Data!$L$3=1),IF(OR(Data!CD55=0,Data!CD55=""),"","O"&amp;Data!CD55),IF('ARDT Cutter Entry'!$C$111&lt;&gt;"",               IF(OR(COUNTIF('ARDT Cutter Entry'!O70,"*1"),COUNTIF('ARDT Cutter Entry'!O70,"*2"),COUNTIF('ARDT Cutter Entry'!O70,"*3"),COUNTIF('ARDT Cutter Entry'!O70,"*4"),COUNTIF('ARDT Cutter Entry'!O70,"*5"),COUNTIF('ARDT Cutter Entry'!O70,"*6"),COUNTIF('ARDT Cutter Entry'!O70,"*7"),COUNTIF('ARDT Cutter Entry'!O70,"*8"),COUNTIF('ARDT Cutter Entry'!O70,"*9")),'ARDT Cutter Entry'!O70,            'ARDT Cutter Entry'!O120),            IF(OR(COUNTIF('ARDT Cutter Entry'!O13,"*1"),COUNTIF('ARDT Cutter Entry'!O13,"*2"),COUNTIF('ARDT Cutter Entry'!O13,"*3"),COUNTIF('ARDT Cutter Entry'!O13,"*4"),COUNTIF('ARDT Cutter Entry'!O13,"*5"),COUNTIF('ARDT Cutter Entry'!O13,"*6"),COUNTIF('ARDT Cutter Entry'!O13,"*7"),COUNTIF('ARDT Cutter Entry'!O13,"*8"),COUNTIF('ARDT Cutter Entry'!O13,"*9")),'ARDT Cutter Entry'!O13,'ARDT Cutter Entry'!O52))),"")</f>
        <v/>
      </c>
      <c r="P25" s="244" t="str">
        <f>IF(Data!$L$32=1,IF(OR(Data!$L$2=1,Data!$L$3=1),IF(OR(Data!CE55=0,Data!CE55=""),"","O"&amp;Data!CE55),IF('ARDT Cutter Entry'!$C$111&lt;&gt;"",               IF(OR(COUNTIF('ARDT Cutter Entry'!P70,"*1"),COUNTIF('ARDT Cutter Entry'!P70,"*2"),COUNTIF('ARDT Cutter Entry'!P70,"*3"),COUNTIF('ARDT Cutter Entry'!P70,"*4"),COUNTIF('ARDT Cutter Entry'!P70,"*5"),COUNTIF('ARDT Cutter Entry'!P70,"*6"),COUNTIF('ARDT Cutter Entry'!P70,"*7"),COUNTIF('ARDT Cutter Entry'!P70,"*8"),COUNTIF('ARDT Cutter Entry'!P70,"*9")),'ARDT Cutter Entry'!P70,            'ARDT Cutter Entry'!P120),            IF(OR(COUNTIF('ARDT Cutter Entry'!P13,"*1"),COUNTIF('ARDT Cutter Entry'!P13,"*2"),COUNTIF('ARDT Cutter Entry'!P13,"*3"),COUNTIF('ARDT Cutter Entry'!P13,"*4"),COUNTIF('ARDT Cutter Entry'!P13,"*5"),COUNTIF('ARDT Cutter Entry'!P13,"*6"),COUNTIF('ARDT Cutter Entry'!P13,"*7"),COUNTIF('ARDT Cutter Entry'!P13,"*8"),COUNTIF('ARDT Cutter Entry'!P13,"*9")),'ARDT Cutter Entry'!P13,'ARDT Cutter Entry'!P52))),"")</f>
        <v/>
      </c>
      <c r="Q25" s="244" t="str">
        <f>IF(Data!$L$32=1,IF(OR(Data!$L$2=1,Data!$L$3=1),IF(OR(Data!CF55=0,Data!CF55=""),"","O"&amp;Data!CF55),IF('ARDT Cutter Entry'!$C$111&lt;&gt;"",               IF(OR(COUNTIF('ARDT Cutter Entry'!Q70,"*1"),COUNTIF('ARDT Cutter Entry'!Q70,"*2"),COUNTIF('ARDT Cutter Entry'!Q70,"*3"),COUNTIF('ARDT Cutter Entry'!Q70,"*4"),COUNTIF('ARDT Cutter Entry'!Q70,"*5"),COUNTIF('ARDT Cutter Entry'!Q70,"*6"),COUNTIF('ARDT Cutter Entry'!Q70,"*7"),COUNTIF('ARDT Cutter Entry'!Q70,"*8"),COUNTIF('ARDT Cutter Entry'!Q70,"*9")),'ARDT Cutter Entry'!Q70,            'ARDT Cutter Entry'!Q120),            IF(OR(COUNTIF('ARDT Cutter Entry'!Q13,"*1"),COUNTIF('ARDT Cutter Entry'!Q13,"*2"),COUNTIF('ARDT Cutter Entry'!Q13,"*3"),COUNTIF('ARDT Cutter Entry'!Q13,"*4"),COUNTIF('ARDT Cutter Entry'!Q13,"*5"),COUNTIF('ARDT Cutter Entry'!Q13,"*6"),COUNTIF('ARDT Cutter Entry'!Q13,"*7"),COUNTIF('ARDT Cutter Entry'!Q13,"*8"),COUNTIF('ARDT Cutter Entry'!Q13,"*9")),'ARDT Cutter Entry'!Q13,'ARDT Cutter Entry'!Q52))),"")</f>
        <v/>
      </c>
      <c r="R25" s="244" t="str">
        <f>IF(Data!$L$32=1,IF(OR(Data!$L$2=1,Data!$L$3=1),IF(OR(Data!CG55=0,Data!CG55=""),"","O"&amp;Data!CG55),IF('ARDT Cutter Entry'!$C$111&lt;&gt;"",               IF(OR(COUNTIF('ARDT Cutter Entry'!R70,"*1"),COUNTIF('ARDT Cutter Entry'!R70,"*2"),COUNTIF('ARDT Cutter Entry'!R70,"*3"),COUNTIF('ARDT Cutter Entry'!R70,"*4"),COUNTIF('ARDT Cutter Entry'!R70,"*5"),COUNTIF('ARDT Cutter Entry'!R70,"*6"),COUNTIF('ARDT Cutter Entry'!R70,"*7"),COUNTIF('ARDT Cutter Entry'!R70,"*8"),COUNTIF('ARDT Cutter Entry'!R70,"*9")),'ARDT Cutter Entry'!R70,            'ARDT Cutter Entry'!R120),            IF(OR(COUNTIF('ARDT Cutter Entry'!R13,"*1"),COUNTIF('ARDT Cutter Entry'!R13,"*2"),COUNTIF('ARDT Cutter Entry'!R13,"*3"),COUNTIF('ARDT Cutter Entry'!R13,"*4"),COUNTIF('ARDT Cutter Entry'!R13,"*5"),COUNTIF('ARDT Cutter Entry'!R13,"*6"),COUNTIF('ARDT Cutter Entry'!R13,"*7"),COUNTIF('ARDT Cutter Entry'!R13,"*8"),COUNTIF('ARDT Cutter Entry'!R13,"*9")),'ARDT Cutter Entry'!R13,'ARDT Cutter Entry'!R52))),"")</f>
        <v/>
      </c>
      <c r="S25" s="244" t="str">
        <f>IF(Data!$L$32=1,IF(OR(Data!$L$2=1,Data!$L$3=1),IF(OR(Data!CH55=0,Data!CH55=""),"","O"&amp;Data!CH55),IF('ARDT Cutter Entry'!$C$111&lt;&gt;"",               IF(OR(COUNTIF('ARDT Cutter Entry'!S70,"*1"),COUNTIF('ARDT Cutter Entry'!S70,"*2"),COUNTIF('ARDT Cutter Entry'!S70,"*3"),COUNTIF('ARDT Cutter Entry'!S70,"*4"),COUNTIF('ARDT Cutter Entry'!S70,"*5"),COUNTIF('ARDT Cutter Entry'!S70,"*6"),COUNTIF('ARDT Cutter Entry'!S70,"*7"),COUNTIF('ARDT Cutter Entry'!S70,"*8"),COUNTIF('ARDT Cutter Entry'!S70,"*9")),'ARDT Cutter Entry'!S70,            'ARDT Cutter Entry'!S120),            IF(OR(COUNTIF('ARDT Cutter Entry'!S13,"*1"),COUNTIF('ARDT Cutter Entry'!S13,"*2"),COUNTIF('ARDT Cutter Entry'!S13,"*3"),COUNTIF('ARDT Cutter Entry'!S13,"*4"),COUNTIF('ARDT Cutter Entry'!S13,"*5"),COUNTIF('ARDT Cutter Entry'!S13,"*6"),COUNTIF('ARDT Cutter Entry'!S13,"*7"),COUNTIF('ARDT Cutter Entry'!S13,"*8"),COUNTIF('ARDT Cutter Entry'!S13,"*9")),'ARDT Cutter Entry'!S13,'ARDT Cutter Entry'!S52))),"")</f>
        <v/>
      </c>
      <c r="T25" s="244" t="str">
        <f>IF(Data!$L$32=1,IF(OR(Data!$L$2=1,Data!$L$3=1),IF(OR(Data!CI55=0,Data!CI55=""),"","O"&amp;Data!CI55),IF('ARDT Cutter Entry'!$C$111&lt;&gt;"",               IF(OR(COUNTIF('ARDT Cutter Entry'!T70,"*1"),COUNTIF('ARDT Cutter Entry'!T70,"*2"),COUNTIF('ARDT Cutter Entry'!T70,"*3"),COUNTIF('ARDT Cutter Entry'!T70,"*4"),COUNTIF('ARDT Cutter Entry'!T70,"*5"),COUNTIF('ARDT Cutter Entry'!T70,"*6"),COUNTIF('ARDT Cutter Entry'!T70,"*7"),COUNTIF('ARDT Cutter Entry'!T70,"*8"),COUNTIF('ARDT Cutter Entry'!T70,"*9")),'ARDT Cutter Entry'!T70,            'ARDT Cutter Entry'!T120),            IF(OR(COUNTIF('ARDT Cutter Entry'!T13,"*1"),COUNTIF('ARDT Cutter Entry'!T13,"*2"),COUNTIF('ARDT Cutter Entry'!T13,"*3"),COUNTIF('ARDT Cutter Entry'!T13,"*4"),COUNTIF('ARDT Cutter Entry'!T13,"*5"),COUNTIF('ARDT Cutter Entry'!T13,"*6"),COUNTIF('ARDT Cutter Entry'!T13,"*7"),COUNTIF('ARDT Cutter Entry'!T13,"*8"),COUNTIF('ARDT Cutter Entry'!T13,"*9")),'ARDT Cutter Entry'!T13,'ARDT Cutter Entry'!T52))),"")</f>
        <v/>
      </c>
      <c r="U25" s="244" t="str">
        <f>IF(Data!$L$32=1,IF(OR(Data!$L$2=1,Data!$L$3=1),IF(OR(Data!CJ55=0,Data!CJ55=""),"","O"&amp;Data!CJ55),IF('ARDT Cutter Entry'!$C$111&lt;&gt;"",               IF(OR(COUNTIF('ARDT Cutter Entry'!U70,"*1"),COUNTIF('ARDT Cutter Entry'!U70,"*2"),COUNTIF('ARDT Cutter Entry'!U70,"*3"),COUNTIF('ARDT Cutter Entry'!U70,"*4"),COUNTIF('ARDT Cutter Entry'!U70,"*5"),COUNTIF('ARDT Cutter Entry'!U70,"*6"),COUNTIF('ARDT Cutter Entry'!U70,"*7"),COUNTIF('ARDT Cutter Entry'!U70,"*8"),COUNTIF('ARDT Cutter Entry'!U70,"*9")),'ARDT Cutter Entry'!U70,            'ARDT Cutter Entry'!U120),            IF(OR(COUNTIF('ARDT Cutter Entry'!U13,"*1"),COUNTIF('ARDT Cutter Entry'!U13,"*2"),COUNTIF('ARDT Cutter Entry'!U13,"*3"),COUNTIF('ARDT Cutter Entry'!U13,"*4"),COUNTIF('ARDT Cutter Entry'!U13,"*5"),COUNTIF('ARDT Cutter Entry'!U13,"*6"),COUNTIF('ARDT Cutter Entry'!U13,"*7"),COUNTIF('ARDT Cutter Entry'!U13,"*8"),COUNTIF('ARDT Cutter Entry'!U13,"*9")),'ARDT Cutter Entry'!U13,'ARDT Cutter Entry'!U52))),"")</f>
        <v/>
      </c>
      <c r="V25" s="244" t="str">
        <f>IF(Data!$L$32=1,IF(OR(Data!$L$2=1,Data!$L$3=1),IF(OR(Data!CK55=0,Data!CK55=""),"","O"&amp;Data!CK55),IF('ARDT Cutter Entry'!$C$111&lt;&gt;"",               IF(OR(COUNTIF('ARDT Cutter Entry'!V70,"*1"),COUNTIF('ARDT Cutter Entry'!V70,"*2"),COUNTIF('ARDT Cutter Entry'!V70,"*3"),COUNTIF('ARDT Cutter Entry'!V70,"*4"),COUNTIF('ARDT Cutter Entry'!V70,"*5"),COUNTIF('ARDT Cutter Entry'!V70,"*6"),COUNTIF('ARDT Cutter Entry'!V70,"*7"),COUNTIF('ARDT Cutter Entry'!V70,"*8"),COUNTIF('ARDT Cutter Entry'!V70,"*9")),'ARDT Cutter Entry'!V70,            'ARDT Cutter Entry'!V120),            IF(OR(COUNTIF('ARDT Cutter Entry'!V13,"*1"),COUNTIF('ARDT Cutter Entry'!V13,"*2"),COUNTIF('ARDT Cutter Entry'!V13,"*3"),COUNTIF('ARDT Cutter Entry'!V13,"*4"),COUNTIF('ARDT Cutter Entry'!V13,"*5"),COUNTIF('ARDT Cutter Entry'!V13,"*6"),COUNTIF('ARDT Cutter Entry'!V13,"*7"),COUNTIF('ARDT Cutter Entry'!V13,"*8"),COUNTIF('ARDT Cutter Entry'!V13,"*9")),'ARDT Cutter Entry'!V13,'ARDT Cutter Entry'!V52))),"")</f>
        <v/>
      </c>
      <c r="W25" s="244" t="str">
        <f>IF(Data!$L$32=1,IF(OR(Data!$L$2=1,Data!$L$3=1),IF(OR(Data!CL55=0,Data!CL55=""),"","O"&amp;Data!CL55),IF('ARDT Cutter Entry'!$C$111&lt;&gt;"",               IF(OR(COUNTIF('ARDT Cutter Entry'!W70,"*1"),COUNTIF('ARDT Cutter Entry'!W70,"*2"),COUNTIF('ARDT Cutter Entry'!W70,"*3"),COUNTIF('ARDT Cutter Entry'!W70,"*4"),COUNTIF('ARDT Cutter Entry'!W70,"*5"),COUNTIF('ARDT Cutter Entry'!W70,"*6"),COUNTIF('ARDT Cutter Entry'!W70,"*7"),COUNTIF('ARDT Cutter Entry'!W70,"*8"),COUNTIF('ARDT Cutter Entry'!W70,"*9")),'ARDT Cutter Entry'!W70,            'ARDT Cutter Entry'!W120),            IF(OR(COUNTIF('ARDT Cutter Entry'!W13,"*1"),COUNTIF('ARDT Cutter Entry'!W13,"*2"),COUNTIF('ARDT Cutter Entry'!W13,"*3"),COUNTIF('ARDT Cutter Entry'!W13,"*4"),COUNTIF('ARDT Cutter Entry'!W13,"*5"),COUNTIF('ARDT Cutter Entry'!W13,"*6"),COUNTIF('ARDT Cutter Entry'!W13,"*7"),COUNTIF('ARDT Cutter Entry'!W13,"*8"),COUNTIF('ARDT Cutter Entry'!W13,"*9")),'ARDT Cutter Entry'!W13,'ARDT Cutter Entry'!W52))),"")</f>
        <v/>
      </c>
      <c r="X25" s="244" t="str">
        <f>IF(Data!$L$32=1,IF(OR(Data!$L$2=1,Data!$L$3=1),IF(OR(Data!CM55=0,Data!CM55=""),"","O"&amp;Data!CM55),IF('ARDT Cutter Entry'!$C$111&lt;&gt;"",               IF(OR(COUNTIF('ARDT Cutter Entry'!X70,"*1"),COUNTIF('ARDT Cutter Entry'!X70,"*2"),COUNTIF('ARDT Cutter Entry'!X70,"*3"),COUNTIF('ARDT Cutter Entry'!X70,"*4"),COUNTIF('ARDT Cutter Entry'!X70,"*5"),COUNTIF('ARDT Cutter Entry'!X70,"*6"),COUNTIF('ARDT Cutter Entry'!X70,"*7"),COUNTIF('ARDT Cutter Entry'!X70,"*8"),COUNTIF('ARDT Cutter Entry'!X70,"*9")),'ARDT Cutter Entry'!X70,            'ARDT Cutter Entry'!X120),            IF(OR(COUNTIF('ARDT Cutter Entry'!X13,"*1"),COUNTIF('ARDT Cutter Entry'!X13,"*2"),COUNTIF('ARDT Cutter Entry'!X13,"*3"),COUNTIF('ARDT Cutter Entry'!X13,"*4"),COUNTIF('ARDT Cutter Entry'!X13,"*5"),COUNTIF('ARDT Cutter Entry'!X13,"*6"),COUNTIF('ARDT Cutter Entry'!X13,"*7"),COUNTIF('ARDT Cutter Entry'!X13,"*8"),COUNTIF('ARDT Cutter Entry'!X13,"*9")),'ARDT Cutter Entry'!X13,'ARDT Cutter Entry'!X52))),"")</f>
        <v/>
      </c>
      <c r="Y25" s="244" t="str">
        <f>IF(Data!$L$32=1,IF(OR(Data!$L$2=1,Data!$L$3=1),IF(OR(Data!CN55=0,Data!CN55=""),"","O"&amp;Data!CN55),IF('ARDT Cutter Entry'!$C$111&lt;&gt;"",               IF(OR(COUNTIF('ARDT Cutter Entry'!Y70,"*1"),COUNTIF('ARDT Cutter Entry'!Y70,"*2"),COUNTIF('ARDT Cutter Entry'!Y70,"*3"),COUNTIF('ARDT Cutter Entry'!Y70,"*4"),COUNTIF('ARDT Cutter Entry'!Y70,"*5"),COUNTIF('ARDT Cutter Entry'!Y70,"*6"),COUNTIF('ARDT Cutter Entry'!Y70,"*7"),COUNTIF('ARDT Cutter Entry'!Y70,"*8"),COUNTIF('ARDT Cutter Entry'!Y70,"*9")),'ARDT Cutter Entry'!Y70,            'ARDT Cutter Entry'!Y120),            IF(OR(COUNTIF('ARDT Cutter Entry'!Y13,"*1"),COUNTIF('ARDT Cutter Entry'!Y13,"*2"),COUNTIF('ARDT Cutter Entry'!Y13,"*3"),COUNTIF('ARDT Cutter Entry'!Y13,"*4"),COUNTIF('ARDT Cutter Entry'!Y13,"*5"),COUNTIF('ARDT Cutter Entry'!Y13,"*6"),COUNTIF('ARDT Cutter Entry'!Y13,"*7"),COUNTIF('ARDT Cutter Entry'!Y13,"*8"),COUNTIF('ARDT Cutter Entry'!Y13,"*9")),'ARDT Cutter Entry'!Y13,'ARDT Cutter Entry'!Y52))),"")</f>
        <v/>
      </c>
      <c r="Z25" s="244" t="str">
        <f>IF(Data!$L$32=1,IF(OR(Data!$L$2=1,Data!$L$3=1),IF(OR(Data!CO55=0,Data!CO55=""),"","O"&amp;Data!CO55),IF('ARDT Cutter Entry'!$C$111&lt;&gt;"",               IF(OR(COUNTIF('ARDT Cutter Entry'!Z70,"*1"),COUNTIF('ARDT Cutter Entry'!Z70,"*2"),COUNTIF('ARDT Cutter Entry'!Z70,"*3"),COUNTIF('ARDT Cutter Entry'!Z70,"*4"),COUNTIF('ARDT Cutter Entry'!Z70,"*5"),COUNTIF('ARDT Cutter Entry'!Z70,"*6"),COUNTIF('ARDT Cutter Entry'!Z70,"*7"),COUNTIF('ARDT Cutter Entry'!Z70,"*8"),COUNTIF('ARDT Cutter Entry'!Z70,"*9")),'ARDT Cutter Entry'!Z70,            'ARDT Cutter Entry'!Z120),            IF(OR(COUNTIF('ARDT Cutter Entry'!Z13,"*1"),COUNTIF('ARDT Cutter Entry'!Z13,"*2"),COUNTIF('ARDT Cutter Entry'!Z13,"*3"),COUNTIF('ARDT Cutter Entry'!Z13,"*4"),COUNTIF('ARDT Cutter Entry'!Z13,"*5"),COUNTIF('ARDT Cutter Entry'!Z13,"*6"),COUNTIF('ARDT Cutter Entry'!Z13,"*7"),COUNTIF('ARDT Cutter Entry'!Z13,"*8"),COUNTIF('ARDT Cutter Entry'!Z13,"*9")),'ARDT Cutter Entry'!Z13,'ARDT Cutter Entry'!Z52))),"")</f>
        <v/>
      </c>
      <c r="AA25" s="1056" t="str">
        <f>IF(Data!$L$32=1,IF(OR(Data!$L$2=1,Data!$L$3=1),IF(OR(Data!CP55=0,Data!CP55=""),"","O"&amp;Data!CP55),IF('ARDT Cutter Entry'!$C$111&lt;&gt;"",               IF(OR(COUNTIF('ARDT Cutter Entry'!AA70,"*1"),COUNTIF('ARDT Cutter Entry'!AA70,"*2"),COUNTIF('ARDT Cutter Entry'!AA70,"*3"),COUNTIF('ARDT Cutter Entry'!AA70,"*4"),COUNTIF('ARDT Cutter Entry'!AA70,"*5"),COUNTIF('ARDT Cutter Entry'!AA70,"*6"),COUNTIF('ARDT Cutter Entry'!AA70,"*7"),COUNTIF('ARDT Cutter Entry'!AA70,"*8"),COUNTIF('ARDT Cutter Entry'!AA70,"*9")),'ARDT Cutter Entry'!AA70,            'ARDT Cutter Entry'!AA120),            IF(OR(COUNTIF('ARDT Cutter Entry'!AA13,"*1"),COUNTIF('ARDT Cutter Entry'!AA13,"*2"),COUNTIF('ARDT Cutter Entry'!AA13,"*3"),COUNTIF('ARDT Cutter Entry'!AA13,"*4"),COUNTIF('ARDT Cutter Entry'!AA13,"*5"),COUNTIF('ARDT Cutter Entry'!AA13,"*6"),COUNTIF('ARDT Cutter Entry'!AA13,"*7"),COUNTIF('ARDT Cutter Entry'!AA13,"*8"),COUNTIF('ARDT Cutter Entry'!AA13,"*9")),'ARDT Cutter Entry'!AA13,'ARDT Cutter Entry'!AA52))),"")</f>
        <v/>
      </c>
    </row>
    <row r="26" spans="1:27" ht="16" customHeight="1" x14ac:dyDescent="0.35">
      <c r="A26" s="1825"/>
      <c r="B26" s="446">
        <v>11</v>
      </c>
      <c r="C26" s="230" t="str">
        <f>IF(Data!$L$32=1,IF(OR(Data!$L$2=1,Data!$L$3=1),IF(OR(Data!BR56=0,Data!BR56=""),"","O"&amp;Data!BR56),IF('ARDT Cutter Entry'!$C$111&lt;&gt;"",               IF(OR(COUNTIF('ARDT Cutter Entry'!C71,"*1"),COUNTIF('ARDT Cutter Entry'!C71,"*2"),COUNTIF('ARDT Cutter Entry'!C71,"*3"),COUNTIF('ARDT Cutter Entry'!C71,"*4"),COUNTIF('ARDT Cutter Entry'!C71,"*5"),COUNTIF('ARDT Cutter Entry'!C71,"*6"),COUNTIF('ARDT Cutter Entry'!C71,"*7"),COUNTIF('ARDT Cutter Entry'!C71,"*8"),COUNTIF('ARDT Cutter Entry'!C71,"*9")),'ARDT Cutter Entry'!C71,            'ARDT Cutter Entry'!C121),            IF(OR(COUNTIF('ARDT Cutter Entry'!C14,"*1"),COUNTIF('ARDT Cutter Entry'!C14,"*2"),COUNTIF('ARDT Cutter Entry'!C14,"*3"),COUNTIF('ARDT Cutter Entry'!C14,"*4"),COUNTIF('ARDT Cutter Entry'!C14,"*5"),COUNTIF('ARDT Cutter Entry'!C14,"*6"),COUNTIF('ARDT Cutter Entry'!C14,"*7"),COUNTIF('ARDT Cutter Entry'!C14,"*8"),COUNTIF('ARDT Cutter Entry'!C14,"*9")),'ARDT Cutter Entry'!C14,'ARDT Cutter Entry'!C53))),"")</f>
        <v/>
      </c>
      <c r="D26" s="244" t="str">
        <f>IF(Data!$L$32=1,IF(OR(Data!$L$2=1,Data!$L$3=1),IF(OR(Data!BS56=0,Data!BS56=""),"","O"&amp;Data!BS56),IF('ARDT Cutter Entry'!$C$111&lt;&gt;"",               IF(OR(COUNTIF('ARDT Cutter Entry'!D71,"*1"),COUNTIF('ARDT Cutter Entry'!D71,"*2"),COUNTIF('ARDT Cutter Entry'!D71,"*3"),COUNTIF('ARDT Cutter Entry'!D71,"*4"),COUNTIF('ARDT Cutter Entry'!D71,"*5"),COUNTIF('ARDT Cutter Entry'!D71,"*6"),COUNTIF('ARDT Cutter Entry'!D71,"*7"),COUNTIF('ARDT Cutter Entry'!D71,"*8"),COUNTIF('ARDT Cutter Entry'!D71,"*9")),'ARDT Cutter Entry'!D71,            'ARDT Cutter Entry'!D121),            IF(OR(COUNTIF('ARDT Cutter Entry'!D14,"*1"),COUNTIF('ARDT Cutter Entry'!D14,"*2"),COUNTIF('ARDT Cutter Entry'!D14,"*3"),COUNTIF('ARDT Cutter Entry'!D14,"*4"),COUNTIF('ARDT Cutter Entry'!D14,"*5"),COUNTIF('ARDT Cutter Entry'!D14,"*6"),COUNTIF('ARDT Cutter Entry'!D14,"*7"),COUNTIF('ARDT Cutter Entry'!D14,"*8"),COUNTIF('ARDT Cutter Entry'!D14,"*9")),'ARDT Cutter Entry'!D14,'ARDT Cutter Entry'!D53))),"")</f>
        <v/>
      </c>
      <c r="E26" s="244" t="str">
        <f>IF(Data!$L$32=1,IF(OR(Data!$L$2=1,Data!$L$3=1),IF(OR(Data!BT56=0,Data!BT56=""),"","O"&amp;Data!BT56),IF('ARDT Cutter Entry'!$C$111&lt;&gt;"",               IF(OR(COUNTIF('ARDT Cutter Entry'!E71,"*1"),COUNTIF('ARDT Cutter Entry'!E71,"*2"),COUNTIF('ARDT Cutter Entry'!E71,"*3"),COUNTIF('ARDT Cutter Entry'!E71,"*4"),COUNTIF('ARDT Cutter Entry'!E71,"*5"),COUNTIF('ARDT Cutter Entry'!E71,"*6"),COUNTIF('ARDT Cutter Entry'!E71,"*7"),COUNTIF('ARDT Cutter Entry'!E71,"*8"),COUNTIF('ARDT Cutter Entry'!E71,"*9")),'ARDT Cutter Entry'!E71,            'ARDT Cutter Entry'!E121),            IF(OR(COUNTIF('ARDT Cutter Entry'!E14,"*1"),COUNTIF('ARDT Cutter Entry'!E14,"*2"),COUNTIF('ARDT Cutter Entry'!E14,"*3"),COUNTIF('ARDT Cutter Entry'!E14,"*4"),COUNTIF('ARDT Cutter Entry'!E14,"*5"),COUNTIF('ARDT Cutter Entry'!E14,"*6"),COUNTIF('ARDT Cutter Entry'!E14,"*7"),COUNTIF('ARDT Cutter Entry'!E14,"*8"),COUNTIF('ARDT Cutter Entry'!E14,"*9")),'ARDT Cutter Entry'!E14,'ARDT Cutter Entry'!E53))),"")</f>
        <v/>
      </c>
      <c r="F26" s="244" t="str">
        <f>IF(Data!$L$32=1,IF(OR(Data!$L$2=1,Data!$L$3=1),IF(OR(Data!BU56=0,Data!BU56=""),"","O"&amp;Data!BU56),IF('ARDT Cutter Entry'!$C$111&lt;&gt;"",               IF(OR(COUNTIF('ARDT Cutter Entry'!F71,"*1"),COUNTIF('ARDT Cutter Entry'!F71,"*2"),COUNTIF('ARDT Cutter Entry'!F71,"*3"),COUNTIF('ARDT Cutter Entry'!F71,"*4"),COUNTIF('ARDT Cutter Entry'!F71,"*5"),COUNTIF('ARDT Cutter Entry'!F71,"*6"),COUNTIF('ARDT Cutter Entry'!F71,"*7"),COUNTIF('ARDT Cutter Entry'!F71,"*8"),COUNTIF('ARDT Cutter Entry'!F71,"*9")),'ARDT Cutter Entry'!F71,            'ARDT Cutter Entry'!F121),            IF(OR(COUNTIF('ARDT Cutter Entry'!F14,"*1"),COUNTIF('ARDT Cutter Entry'!F14,"*2"),COUNTIF('ARDT Cutter Entry'!F14,"*3"),COUNTIF('ARDT Cutter Entry'!F14,"*4"),COUNTIF('ARDT Cutter Entry'!F14,"*5"),COUNTIF('ARDT Cutter Entry'!F14,"*6"),COUNTIF('ARDT Cutter Entry'!F14,"*7"),COUNTIF('ARDT Cutter Entry'!F14,"*8"),COUNTIF('ARDT Cutter Entry'!F14,"*9")),'ARDT Cutter Entry'!F14,'ARDT Cutter Entry'!F53))),"")</f>
        <v/>
      </c>
      <c r="G26" s="244" t="str">
        <f>IF(Data!$L$32=1,IF(OR(Data!$L$2=1,Data!$L$3=1),IF(OR(Data!BV56=0,Data!BV56=""),"","O"&amp;Data!BV56),IF('ARDT Cutter Entry'!$C$111&lt;&gt;"",               IF(OR(COUNTIF('ARDT Cutter Entry'!G71,"*1"),COUNTIF('ARDT Cutter Entry'!G71,"*2"),COUNTIF('ARDT Cutter Entry'!G71,"*3"),COUNTIF('ARDT Cutter Entry'!G71,"*4"),COUNTIF('ARDT Cutter Entry'!G71,"*5"),COUNTIF('ARDT Cutter Entry'!G71,"*6"),COUNTIF('ARDT Cutter Entry'!G71,"*7"),COUNTIF('ARDT Cutter Entry'!G71,"*8"),COUNTIF('ARDT Cutter Entry'!G71,"*9")),'ARDT Cutter Entry'!G71,            'ARDT Cutter Entry'!G121),            IF(OR(COUNTIF('ARDT Cutter Entry'!G14,"*1"),COUNTIF('ARDT Cutter Entry'!G14,"*2"),COUNTIF('ARDT Cutter Entry'!G14,"*3"),COUNTIF('ARDT Cutter Entry'!G14,"*4"),COUNTIF('ARDT Cutter Entry'!G14,"*5"),COUNTIF('ARDT Cutter Entry'!G14,"*6"),COUNTIF('ARDT Cutter Entry'!G14,"*7"),COUNTIF('ARDT Cutter Entry'!G14,"*8"),COUNTIF('ARDT Cutter Entry'!G14,"*9")),'ARDT Cutter Entry'!G14,'ARDT Cutter Entry'!G53))),"")</f>
        <v/>
      </c>
      <c r="H26" s="244" t="str">
        <f>IF(Data!$L$32=1,IF(OR(Data!$L$2=1,Data!$L$3=1),IF(OR(Data!BW56=0,Data!BW56=""),"","O"&amp;Data!BW56),IF('ARDT Cutter Entry'!$C$111&lt;&gt;"",               IF(OR(COUNTIF('ARDT Cutter Entry'!H71,"*1"),COUNTIF('ARDT Cutter Entry'!H71,"*2"),COUNTIF('ARDT Cutter Entry'!H71,"*3"),COUNTIF('ARDT Cutter Entry'!H71,"*4"),COUNTIF('ARDT Cutter Entry'!H71,"*5"),COUNTIF('ARDT Cutter Entry'!H71,"*6"),COUNTIF('ARDT Cutter Entry'!H71,"*7"),COUNTIF('ARDT Cutter Entry'!H71,"*8"),COUNTIF('ARDT Cutter Entry'!H71,"*9")),'ARDT Cutter Entry'!H71,            'ARDT Cutter Entry'!H121),            IF(OR(COUNTIF('ARDT Cutter Entry'!H14,"*1"),COUNTIF('ARDT Cutter Entry'!H14,"*2"),COUNTIF('ARDT Cutter Entry'!H14,"*3"),COUNTIF('ARDT Cutter Entry'!H14,"*4"),COUNTIF('ARDT Cutter Entry'!H14,"*5"),COUNTIF('ARDT Cutter Entry'!H14,"*6"),COUNTIF('ARDT Cutter Entry'!H14,"*7"),COUNTIF('ARDT Cutter Entry'!H14,"*8"),COUNTIF('ARDT Cutter Entry'!H14,"*9")),'ARDT Cutter Entry'!H14,'ARDT Cutter Entry'!H53))),"")</f>
        <v/>
      </c>
      <c r="I26" s="244" t="str">
        <f>IF(Data!$L$32=1,IF(OR(Data!$L$2=1,Data!$L$3=1),IF(OR(Data!BX56=0,Data!BX56=""),"","O"&amp;Data!BX56),IF('ARDT Cutter Entry'!$C$111&lt;&gt;"",               IF(OR(COUNTIF('ARDT Cutter Entry'!I71,"*1"),COUNTIF('ARDT Cutter Entry'!I71,"*2"),COUNTIF('ARDT Cutter Entry'!I71,"*3"),COUNTIF('ARDT Cutter Entry'!I71,"*4"),COUNTIF('ARDT Cutter Entry'!I71,"*5"),COUNTIF('ARDT Cutter Entry'!I71,"*6"),COUNTIF('ARDT Cutter Entry'!I71,"*7"),COUNTIF('ARDT Cutter Entry'!I71,"*8"),COUNTIF('ARDT Cutter Entry'!I71,"*9")),'ARDT Cutter Entry'!I71,            'ARDT Cutter Entry'!I121),            IF(OR(COUNTIF('ARDT Cutter Entry'!I14,"*1"),COUNTIF('ARDT Cutter Entry'!I14,"*2"),COUNTIF('ARDT Cutter Entry'!I14,"*3"),COUNTIF('ARDT Cutter Entry'!I14,"*4"),COUNTIF('ARDT Cutter Entry'!I14,"*5"),COUNTIF('ARDT Cutter Entry'!I14,"*6"),COUNTIF('ARDT Cutter Entry'!I14,"*7"),COUNTIF('ARDT Cutter Entry'!I14,"*8"),COUNTIF('ARDT Cutter Entry'!I14,"*9")),'ARDT Cutter Entry'!I14,'ARDT Cutter Entry'!I53))),"")</f>
        <v/>
      </c>
      <c r="J26" s="244" t="str">
        <f>IF(Data!$L$32=1,IF(OR(Data!$L$2=1,Data!$L$3=1),IF(OR(Data!BY56=0,Data!BY56=""),"","O"&amp;Data!BY56),IF('ARDT Cutter Entry'!$C$111&lt;&gt;"",               IF(OR(COUNTIF('ARDT Cutter Entry'!J71,"*1"),COUNTIF('ARDT Cutter Entry'!J71,"*2"),COUNTIF('ARDT Cutter Entry'!J71,"*3"),COUNTIF('ARDT Cutter Entry'!J71,"*4"),COUNTIF('ARDT Cutter Entry'!J71,"*5"),COUNTIF('ARDT Cutter Entry'!J71,"*6"),COUNTIF('ARDT Cutter Entry'!J71,"*7"),COUNTIF('ARDT Cutter Entry'!J71,"*8"),COUNTIF('ARDT Cutter Entry'!J71,"*9")),'ARDT Cutter Entry'!J71,            'ARDT Cutter Entry'!J121),            IF(OR(COUNTIF('ARDT Cutter Entry'!J14,"*1"),COUNTIF('ARDT Cutter Entry'!J14,"*2"),COUNTIF('ARDT Cutter Entry'!J14,"*3"),COUNTIF('ARDT Cutter Entry'!J14,"*4"),COUNTIF('ARDT Cutter Entry'!J14,"*5"),COUNTIF('ARDT Cutter Entry'!J14,"*6"),COUNTIF('ARDT Cutter Entry'!J14,"*7"),COUNTIF('ARDT Cutter Entry'!J14,"*8"),COUNTIF('ARDT Cutter Entry'!J14,"*9")),'ARDT Cutter Entry'!J14,'ARDT Cutter Entry'!J53))),"")</f>
        <v/>
      </c>
      <c r="K26" s="244" t="str">
        <f>IF(Data!$L$32=1,IF(OR(Data!$L$2=1,Data!$L$3=1),IF(OR(Data!BZ56=0,Data!BZ56=""),"","O"&amp;Data!BZ56),IF('ARDT Cutter Entry'!$C$111&lt;&gt;"",               IF(OR(COUNTIF('ARDT Cutter Entry'!K71,"*1"),COUNTIF('ARDT Cutter Entry'!K71,"*2"),COUNTIF('ARDT Cutter Entry'!K71,"*3"),COUNTIF('ARDT Cutter Entry'!K71,"*4"),COUNTIF('ARDT Cutter Entry'!K71,"*5"),COUNTIF('ARDT Cutter Entry'!K71,"*6"),COUNTIF('ARDT Cutter Entry'!K71,"*7"),COUNTIF('ARDT Cutter Entry'!K71,"*8"),COUNTIF('ARDT Cutter Entry'!K71,"*9")),'ARDT Cutter Entry'!K71,            'ARDT Cutter Entry'!K121),            IF(OR(COUNTIF('ARDT Cutter Entry'!K14,"*1"),COUNTIF('ARDT Cutter Entry'!K14,"*2"),COUNTIF('ARDT Cutter Entry'!K14,"*3"),COUNTIF('ARDT Cutter Entry'!K14,"*4"),COUNTIF('ARDT Cutter Entry'!K14,"*5"),COUNTIF('ARDT Cutter Entry'!K14,"*6"),COUNTIF('ARDT Cutter Entry'!K14,"*7"),COUNTIF('ARDT Cutter Entry'!K14,"*8"),COUNTIF('ARDT Cutter Entry'!K14,"*9")),'ARDT Cutter Entry'!K14,'ARDT Cutter Entry'!K53))),"")</f>
        <v/>
      </c>
      <c r="L26" s="244" t="str">
        <f>IF(Data!$L$32=1,IF(OR(Data!$L$2=1,Data!$L$3=1),IF(OR(Data!CA56=0,Data!CA56=""),"","O"&amp;Data!CA56),IF('ARDT Cutter Entry'!$C$111&lt;&gt;"",               IF(OR(COUNTIF('ARDT Cutter Entry'!L71,"*1"),COUNTIF('ARDT Cutter Entry'!L71,"*2"),COUNTIF('ARDT Cutter Entry'!L71,"*3"),COUNTIF('ARDT Cutter Entry'!L71,"*4"),COUNTIF('ARDT Cutter Entry'!L71,"*5"),COUNTIF('ARDT Cutter Entry'!L71,"*6"),COUNTIF('ARDT Cutter Entry'!L71,"*7"),COUNTIF('ARDT Cutter Entry'!L71,"*8"),COUNTIF('ARDT Cutter Entry'!L71,"*9")),'ARDT Cutter Entry'!L71,            'ARDT Cutter Entry'!L121),            IF(OR(COUNTIF('ARDT Cutter Entry'!L14,"*1"),COUNTIF('ARDT Cutter Entry'!L14,"*2"),COUNTIF('ARDT Cutter Entry'!L14,"*3"),COUNTIF('ARDT Cutter Entry'!L14,"*4"),COUNTIF('ARDT Cutter Entry'!L14,"*5"),COUNTIF('ARDT Cutter Entry'!L14,"*6"),COUNTIF('ARDT Cutter Entry'!L14,"*7"),COUNTIF('ARDT Cutter Entry'!L14,"*8"),COUNTIF('ARDT Cutter Entry'!L14,"*9")),'ARDT Cutter Entry'!L14,'ARDT Cutter Entry'!L53))),"")</f>
        <v/>
      </c>
      <c r="M26" s="244" t="str">
        <f>IF(Data!$L$32=1,IF(OR(Data!$L$2=1,Data!$L$3=1),IF(OR(Data!CB56=0,Data!CB56=""),"","O"&amp;Data!CB56),IF('ARDT Cutter Entry'!$C$111&lt;&gt;"",               IF(OR(COUNTIF('ARDT Cutter Entry'!M71,"*1"),COUNTIF('ARDT Cutter Entry'!M71,"*2"),COUNTIF('ARDT Cutter Entry'!M71,"*3"),COUNTIF('ARDT Cutter Entry'!M71,"*4"),COUNTIF('ARDT Cutter Entry'!M71,"*5"),COUNTIF('ARDT Cutter Entry'!M71,"*6"),COUNTIF('ARDT Cutter Entry'!M71,"*7"),COUNTIF('ARDT Cutter Entry'!M71,"*8"),COUNTIF('ARDT Cutter Entry'!M71,"*9")),'ARDT Cutter Entry'!M71,            'ARDT Cutter Entry'!M121),            IF(OR(COUNTIF('ARDT Cutter Entry'!M14,"*1"),COUNTIF('ARDT Cutter Entry'!M14,"*2"),COUNTIF('ARDT Cutter Entry'!M14,"*3"),COUNTIF('ARDT Cutter Entry'!M14,"*4"),COUNTIF('ARDT Cutter Entry'!M14,"*5"),COUNTIF('ARDT Cutter Entry'!M14,"*6"),COUNTIF('ARDT Cutter Entry'!M14,"*7"),COUNTIF('ARDT Cutter Entry'!M14,"*8"),COUNTIF('ARDT Cutter Entry'!M14,"*9")),'ARDT Cutter Entry'!M14,'ARDT Cutter Entry'!M53))),"")</f>
        <v/>
      </c>
      <c r="N26" s="244" t="str">
        <f>IF(Data!$L$32=1,IF(OR(Data!$L$2=1,Data!$L$3=1),IF(OR(Data!CC56=0,Data!CC56=""),"","O"&amp;Data!CC56),IF('ARDT Cutter Entry'!$C$111&lt;&gt;"",               IF(OR(COUNTIF('ARDT Cutter Entry'!N71,"*1"),COUNTIF('ARDT Cutter Entry'!N71,"*2"),COUNTIF('ARDT Cutter Entry'!N71,"*3"),COUNTIF('ARDT Cutter Entry'!N71,"*4"),COUNTIF('ARDT Cutter Entry'!N71,"*5"),COUNTIF('ARDT Cutter Entry'!N71,"*6"),COUNTIF('ARDT Cutter Entry'!N71,"*7"),COUNTIF('ARDT Cutter Entry'!N71,"*8"),COUNTIF('ARDT Cutter Entry'!N71,"*9")),'ARDT Cutter Entry'!N71,            'ARDT Cutter Entry'!N121),            IF(OR(COUNTIF('ARDT Cutter Entry'!N14,"*1"),COUNTIF('ARDT Cutter Entry'!N14,"*2"),COUNTIF('ARDT Cutter Entry'!N14,"*3"),COUNTIF('ARDT Cutter Entry'!N14,"*4"),COUNTIF('ARDT Cutter Entry'!N14,"*5"),COUNTIF('ARDT Cutter Entry'!N14,"*6"),COUNTIF('ARDT Cutter Entry'!N14,"*7"),COUNTIF('ARDT Cutter Entry'!N14,"*8"),COUNTIF('ARDT Cutter Entry'!N14,"*9")),'ARDT Cutter Entry'!N14,'ARDT Cutter Entry'!N53))),"")</f>
        <v/>
      </c>
      <c r="O26" s="244" t="str">
        <f>IF(Data!$L$32=1,IF(OR(Data!$L$2=1,Data!$L$3=1),IF(OR(Data!CD56=0,Data!CD56=""),"","O"&amp;Data!CD56),IF('ARDT Cutter Entry'!$C$111&lt;&gt;"",               IF(OR(COUNTIF('ARDT Cutter Entry'!O71,"*1"),COUNTIF('ARDT Cutter Entry'!O71,"*2"),COUNTIF('ARDT Cutter Entry'!O71,"*3"),COUNTIF('ARDT Cutter Entry'!O71,"*4"),COUNTIF('ARDT Cutter Entry'!O71,"*5"),COUNTIF('ARDT Cutter Entry'!O71,"*6"),COUNTIF('ARDT Cutter Entry'!O71,"*7"),COUNTIF('ARDT Cutter Entry'!O71,"*8"),COUNTIF('ARDT Cutter Entry'!O71,"*9")),'ARDT Cutter Entry'!O71,            'ARDT Cutter Entry'!O121),            IF(OR(COUNTIF('ARDT Cutter Entry'!O14,"*1"),COUNTIF('ARDT Cutter Entry'!O14,"*2"),COUNTIF('ARDT Cutter Entry'!O14,"*3"),COUNTIF('ARDT Cutter Entry'!O14,"*4"),COUNTIF('ARDT Cutter Entry'!O14,"*5"),COUNTIF('ARDT Cutter Entry'!O14,"*6"),COUNTIF('ARDT Cutter Entry'!O14,"*7"),COUNTIF('ARDT Cutter Entry'!O14,"*8"),COUNTIF('ARDT Cutter Entry'!O14,"*9")),'ARDT Cutter Entry'!O14,'ARDT Cutter Entry'!O53))),"")</f>
        <v/>
      </c>
      <c r="P26" s="244" t="str">
        <f>IF(Data!$L$32=1,IF(OR(Data!$L$2=1,Data!$L$3=1),IF(OR(Data!CE56=0,Data!CE56=""),"","O"&amp;Data!CE56),IF('ARDT Cutter Entry'!$C$111&lt;&gt;"",               IF(OR(COUNTIF('ARDT Cutter Entry'!P71,"*1"),COUNTIF('ARDT Cutter Entry'!P71,"*2"),COUNTIF('ARDT Cutter Entry'!P71,"*3"),COUNTIF('ARDT Cutter Entry'!P71,"*4"),COUNTIF('ARDT Cutter Entry'!P71,"*5"),COUNTIF('ARDT Cutter Entry'!P71,"*6"),COUNTIF('ARDT Cutter Entry'!P71,"*7"),COUNTIF('ARDT Cutter Entry'!P71,"*8"),COUNTIF('ARDT Cutter Entry'!P71,"*9")),'ARDT Cutter Entry'!P71,            'ARDT Cutter Entry'!P121),            IF(OR(COUNTIF('ARDT Cutter Entry'!P14,"*1"),COUNTIF('ARDT Cutter Entry'!P14,"*2"),COUNTIF('ARDT Cutter Entry'!P14,"*3"),COUNTIF('ARDT Cutter Entry'!P14,"*4"),COUNTIF('ARDT Cutter Entry'!P14,"*5"),COUNTIF('ARDT Cutter Entry'!P14,"*6"),COUNTIF('ARDT Cutter Entry'!P14,"*7"),COUNTIF('ARDT Cutter Entry'!P14,"*8"),COUNTIF('ARDT Cutter Entry'!P14,"*9")),'ARDT Cutter Entry'!P14,'ARDT Cutter Entry'!P53))),"")</f>
        <v/>
      </c>
      <c r="Q26" s="244" t="str">
        <f>IF(Data!$L$32=1,IF(OR(Data!$L$2=1,Data!$L$3=1),IF(OR(Data!CF56=0,Data!CF56=""),"","O"&amp;Data!CF56),IF('ARDT Cutter Entry'!$C$111&lt;&gt;"",               IF(OR(COUNTIF('ARDT Cutter Entry'!Q71,"*1"),COUNTIF('ARDT Cutter Entry'!Q71,"*2"),COUNTIF('ARDT Cutter Entry'!Q71,"*3"),COUNTIF('ARDT Cutter Entry'!Q71,"*4"),COUNTIF('ARDT Cutter Entry'!Q71,"*5"),COUNTIF('ARDT Cutter Entry'!Q71,"*6"),COUNTIF('ARDT Cutter Entry'!Q71,"*7"),COUNTIF('ARDT Cutter Entry'!Q71,"*8"),COUNTIF('ARDT Cutter Entry'!Q71,"*9")),'ARDT Cutter Entry'!Q71,            'ARDT Cutter Entry'!Q121),            IF(OR(COUNTIF('ARDT Cutter Entry'!Q14,"*1"),COUNTIF('ARDT Cutter Entry'!Q14,"*2"),COUNTIF('ARDT Cutter Entry'!Q14,"*3"),COUNTIF('ARDT Cutter Entry'!Q14,"*4"),COUNTIF('ARDT Cutter Entry'!Q14,"*5"),COUNTIF('ARDT Cutter Entry'!Q14,"*6"),COUNTIF('ARDT Cutter Entry'!Q14,"*7"),COUNTIF('ARDT Cutter Entry'!Q14,"*8"),COUNTIF('ARDT Cutter Entry'!Q14,"*9")),'ARDT Cutter Entry'!Q14,'ARDT Cutter Entry'!Q53))),"")</f>
        <v/>
      </c>
      <c r="R26" s="244" t="str">
        <f>IF(Data!$L$32=1,IF(OR(Data!$L$2=1,Data!$L$3=1),IF(OR(Data!CG56=0,Data!CG56=""),"","O"&amp;Data!CG56),IF('ARDT Cutter Entry'!$C$111&lt;&gt;"",               IF(OR(COUNTIF('ARDT Cutter Entry'!R71,"*1"),COUNTIF('ARDT Cutter Entry'!R71,"*2"),COUNTIF('ARDT Cutter Entry'!R71,"*3"),COUNTIF('ARDT Cutter Entry'!R71,"*4"),COUNTIF('ARDT Cutter Entry'!R71,"*5"),COUNTIF('ARDT Cutter Entry'!R71,"*6"),COUNTIF('ARDT Cutter Entry'!R71,"*7"),COUNTIF('ARDT Cutter Entry'!R71,"*8"),COUNTIF('ARDT Cutter Entry'!R71,"*9")),'ARDT Cutter Entry'!R71,            'ARDT Cutter Entry'!R121),            IF(OR(COUNTIF('ARDT Cutter Entry'!R14,"*1"),COUNTIF('ARDT Cutter Entry'!R14,"*2"),COUNTIF('ARDT Cutter Entry'!R14,"*3"),COUNTIF('ARDT Cutter Entry'!R14,"*4"),COUNTIF('ARDT Cutter Entry'!R14,"*5"),COUNTIF('ARDT Cutter Entry'!R14,"*6"),COUNTIF('ARDT Cutter Entry'!R14,"*7"),COUNTIF('ARDT Cutter Entry'!R14,"*8"),COUNTIF('ARDT Cutter Entry'!R14,"*9")),'ARDT Cutter Entry'!R14,'ARDT Cutter Entry'!R53))),"")</f>
        <v/>
      </c>
      <c r="S26" s="244" t="str">
        <f>IF(Data!$L$32=1,IF(OR(Data!$L$2=1,Data!$L$3=1),IF(OR(Data!CH56=0,Data!CH56=""),"","O"&amp;Data!CH56),IF('ARDT Cutter Entry'!$C$111&lt;&gt;"",               IF(OR(COUNTIF('ARDT Cutter Entry'!S71,"*1"),COUNTIF('ARDT Cutter Entry'!S71,"*2"),COUNTIF('ARDT Cutter Entry'!S71,"*3"),COUNTIF('ARDT Cutter Entry'!S71,"*4"),COUNTIF('ARDT Cutter Entry'!S71,"*5"),COUNTIF('ARDT Cutter Entry'!S71,"*6"),COUNTIF('ARDT Cutter Entry'!S71,"*7"),COUNTIF('ARDT Cutter Entry'!S71,"*8"),COUNTIF('ARDT Cutter Entry'!S71,"*9")),'ARDT Cutter Entry'!S71,            'ARDT Cutter Entry'!S121),            IF(OR(COUNTIF('ARDT Cutter Entry'!S14,"*1"),COUNTIF('ARDT Cutter Entry'!S14,"*2"),COUNTIF('ARDT Cutter Entry'!S14,"*3"),COUNTIF('ARDT Cutter Entry'!S14,"*4"),COUNTIF('ARDT Cutter Entry'!S14,"*5"),COUNTIF('ARDT Cutter Entry'!S14,"*6"),COUNTIF('ARDT Cutter Entry'!S14,"*7"),COUNTIF('ARDT Cutter Entry'!S14,"*8"),COUNTIF('ARDT Cutter Entry'!S14,"*9")),'ARDT Cutter Entry'!S14,'ARDT Cutter Entry'!S53))),"")</f>
        <v/>
      </c>
      <c r="T26" s="244" t="str">
        <f>IF(Data!$L$32=1,IF(OR(Data!$L$2=1,Data!$L$3=1),IF(OR(Data!CI56=0,Data!CI56=""),"","O"&amp;Data!CI56),IF('ARDT Cutter Entry'!$C$111&lt;&gt;"",               IF(OR(COUNTIF('ARDT Cutter Entry'!T71,"*1"),COUNTIF('ARDT Cutter Entry'!T71,"*2"),COUNTIF('ARDT Cutter Entry'!T71,"*3"),COUNTIF('ARDT Cutter Entry'!T71,"*4"),COUNTIF('ARDT Cutter Entry'!T71,"*5"),COUNTIF('ARDT Cutter Entry'!T71,"*6"),COUNTIF('ARDT Cutter Entry'!T71,"*7"),COUNTIF('ARDT Cutter Entry'!T71,"*8"),COUNTIF('ARDT Cutter Entry'!T71,"*9")),'ARDT Cutter Entry'!T71,            'ARDT Cutter Entry'!T121),            IF(OR(COUNTIF('ARDT Cutter Entry'!T14,"*1"),COUNTIF('ARDT Cutter Entry'!T14,"*2"),COUNTIF('ARDT Cutter Entry'!T14,"*3"),COUNTIF('ARDT Cutter Entry'!T14,"*4"),COUNTIF('ARDT Cutter Entry'!T14,"*5"),COUNTIF('ARDT Cutter Entry'!T14,"*6"),COUNTIF('ARDT Cutter Entry'!T14,"*7"),COUNTIF('ARDT Cutter Entry'!T14,"*8"),COUNTIF('ARDT Cutter Entry'!T14,"*9")),'ARDT Cutter Entry'!T14,'ARDT Cutter Entry'!T53))),"")</f>
        <v/>
      </c>
      <c r="U26" s="244" t="str">
        <f>IF(Data!$L$32=1,IF(OR(Data!$L$2=1,Data!$L$3=1),IF(OR(Data!CJ56=0,Data!CJ56=""),"","O"&amp;Data!CJ56),IF('ARDT Cutter Entry'!$C$111&lt;&gt;"",               IF(OR(COUNTIF('ARDT Cutter Entry'!U71,"*1"),COUNTIF('ARDT Cutter Entry'!U71,"*2"),COUNTIF('ARDT Cutter Entry'!U71,"*3"),COUNTIF('ARDT Cutter Entry'!U71,"*4"),COUNTIF('ARDT Cutter Entry'!U71,"*5"),COUNTIF('ARDT Cutter Entry'!U71,"*6"),COUNTIF('ARDT Cutter Entry'!U71,"*7"),COUNTIF('ARDT Cutter Entry'!U71,"*8"),COUNTIF('ARDT Cutter Entry'!U71,"*9")),'ARDT Cutter Entry'!U71,            'ARDT Cutter Entry'!U121),            IF(OR(COUNTIF('ARDT Cutter Entry'!U14,"*1"),COUNTIF('ARDT Cutter Entry'!U14,"*2"),COUNTIF('ARDT Cutter Entry'!U14,"*3"),COUNTIF('ARDT Cutter Entry'!U14,"*4"),COUNTIF('ARDT Cutter Entry'!U14,"*5"),COUNTIF('ARDT Cutter Entry'!U14,"*6"),COUNTIF('ARDT Cutter Entry'!U14,"*7"),COUNTIF('ARDT Cutter Entry'!U14,"*8"),COUNTIF('ARDT Cutter Entry'!U14,"*9")),'ARDT Cutter Entry'!U14,'ARDT Cutter Entry'!U53))),"")</f>
        <v/>
      </c>
      <c r="V26" s="244" t="str">
        <f>IF(Data!$L$32=1,IF(OR(Data!$L$2=1,Data!$L$3=1),IF(OR(Data!CK56=0,Data!CK56=""),"","O"&amp;Data!CK56),IF('ARDT Cutter Entry'!$C$111&lt;&gt;"",               IF(OR(COUNTIF('ARDT Cutter Entry'!V71,"*1"),COUNTIF('ARDT Cutter Entry'!V71,"*2"),COUNTIF('ARDT Cutter Entry'!V71,"*3"),COUNTIF('ARDT Cutter Entry'!V71,"*4"),COUNTIF('ARDT Cutter Entry'!V71,"*5"),COUNTIF('ARDT Cutter Entry'!V71,"*6"),COUNTIF('ARDT Cutter Entry'!V71,"*7"),COUNTIF('ARDT Cutter Entry'!V71,"*8"),COUNTIF('ARDT Cutter Entry'!V71,"*9")),'ARDT Cutter Entry'!V71,            'ARDT Cutter Entry'!V121),            IF(OR(COUNTIF('ARDT Cutter Entry'!V14,"*1"),COUNTIF('ARDT Cutter Entry'!V14,"*2"),COUNTIF('ARDT Cutter Entry'!V14,"*3"),COUNTIF('ARDT Cutter Entry'!V14,"*4"),COUNTIF('ARDT Cutter Entry'!V14,"*5"),COUNTIF('ARDT Cutter Entry'!V14,"*6"),COUNTIF('ARDT Cutter Entry'!V14,"*7"),COUNTIF('ARDT Cutter Entry'!V14,"*8"),COUNTIF('ARDT Cutter Entry'!V14,"*9")),'ARDT Cutter Entry'!V14,'ARDT Cutter Entry'!V53))),"")</f>
        <v/>
      </c>
      <c r="W26" s="244" t="str">
        <f>IF(Data!$L$32=1,IF(OR(Data!$L$2=1,Data!$L$3=1),IF(OR(Data!CL56=0,Data!CL56=""),"","O"&amp;Data!CL56),IF('ARDT Cutter Entry'!$C$111&lt;&gt;"",               IF(OR(COUNTIF('ARDT Cutter Entry'!W71,"*1"),COUNTIF('ARDT Cutter Entry'!W71,"*2"),COUNTIF('ARDT Cutter Entry'!W71,"*3"),COUNTIF('ARDT Cutter Entry'!W71,"*4"),COUNTIF('ARDT Cutter Entry'!W71,"*5"),COUNTIF('ARDT Cutter Entry'!W71,"*6"),COUNTIF('ARDT Cutter Entry'!W71,"*7"),COUNTIF('ARDT Cutter Entry'!W71,"*8"),COUNTIF('ARDT Cutter Entry'!W71,"*9")),'ARDT Cutter Entry'!W71,            'ARDT Cutter Entry'!W121),            IF(OR(COUNTIF('ARDT Cutter Entry'!W14,"*1"),COUNTIF('ARDT Cutter Entry'!W14,"*2"),COUNTIF('ARDT Cutter Entry'!W14,"*3"),COUNTIF('ARDT Cutter Entry'!W14,"*4"),COUNTIF('ARDT Cutter Entry'!W14,"*5"),COUNTIF('ARDT Cutter Entry'!W14,"*6"),COUNTIF('ARDT Cutter Entry'!W14,"*7"),COUNTIF('ARDT Cutter Entry'!W14,"*8"),COUNTIF('ARDT Cutter Entry'!W14,"*9")),'ARDT Cutter Entry'!W14,'ARDT Cutter Entry'!W53))),"")</f>
        <v/>
      </c>
      <c r="X26" s="244" t="str">
        <f>IF(Data!$L$32=1,IF(OR(Data!$L$2=1,Data!$L$3=1),IF(OR(Data!CM56=0,Data!CM56=""),"","O"&amp;Data!CM56),IF('ARDT Cutter Entry'!$C$111&lt;&gt;"",               IF(OR(COUNTIF('ARDT Cutter Entry'!X71,"*1"),COUNTIF('ARDT Cutter Entry'!X71,"*2"),COUNTIF('ARDT Cutter Entry'!X71,"*3"),COUNTIF('ARDT Cutter Entry'!X71,"*4"),COUNTIF('ARDT Cutter Entry'!X71,"*5"),COUNTIF('ARDT Cutter Entry'!X71,"*6"),COUNTIF('ARDT Cutter Entry'!X71,"*7"),COUNTIF('ARDT Cutter Entry'!X71,"*8"),COUNTIF('ARDT Cutter Entry'!X71,"*9")),'ARDT Cutter Entry'!X71,            'ARDT Cutter Entry'!X121),            IF(OR(COUNTIF('ARDT Cutter Entry'!X14,"*1"),COUNTIF('ARDT Cutter Entry'!X14,"*2"),COUNTIF('ARDT Cutter Entry'!X14,"*3"),COUNTIF('ARDT Cutter Entry'!X14,"*4"),COUNTIF('ARDT Cutter Entry'!X14,"*5"),COUNTIF('ARDT Cutter Entry'!X14,"*6"),COUNTIF('ARDT Cutter Entry'!X14,"*7"),COUNTIF('ARDT Cutter Entry'!X14,"*8"),COUNTIF('ARDT Cutter Entry'!X14,"*9")),'ARDT Cutter Entry'!X14,'ARDT Cutter Entry'!X53))),"")</f>
        <v/>
      </c>
      <c r="Y26" s="244" t="str">
        <f>IF(Data!$L$32=1,IF(OR(Data!$L$2=1,Data!$L$3=1),IF(OR(Data!CN56=0,Data!CN56=""),"","O"&amp;Data!CN56),IF('ARDT Cutter Entry'!$C$111&lt;&gt;"",               IF(OR(COUNTIF('ARDT Cutter Entry'!Y71,"*1"),COUNTIF('ARDT Cutter Entry'!Y71,"*2"),COUNTIF('ARDT Cutter Entry'!Y71,"*3"),COUNTIF('ARDT Cutter Entry'!Y71,"*4"),COUNTIF('ARDT Cutter Entry'!Y71,"*5"),COUNTIF('ARDT Cutter Entry'!Y71,"*6"),COUNTIF('ARDT Cutter Entry'!Y71,"*7"),COUNTIF('ARDT Cutter Entry'!Y71,"*8"),COUNTIF('ARDT Cutter Entry'!Y71,"*9")),'ARDT Cutter Entry'!Y71,            'ARDT Cutter Entry'!Y121),            IF(OR(COUNTIF('ARDT Cutter Entry'!Y14,"*1"),COUNTIF('ARDT Cutter Entry'!Y14,"*2"),COUNTIF('ARDT Cutter Entry'!Y14,"*3"),COUNTIF('ARDT Cutter Entry'!Y14,"*4"),COUNTIF('ARDT Cutter Entry'!Y14,"*5"),COUNTIF('ARDT Cutter Entry'!Y14,"*6"),COUNTIF('ARDT Cutter Entry'!Y14,"*7"),COUNTIF('ARDT Cutter Entry'!Y14,"*8"),COUNTIF('ARDT Cutter Entry'!Y14,"*9")),'ARDT Cutter Entry'!Y14,'ARDT Cutter Entry'!Y53))),"")</f>
        <v/>
      </c>
      <c r="Z26" s="244" t="str">
        <f>IF(Data!$L$32=1,IF(OR(Data!$L$2=1,Data!$L$3=1),IF(OR(Data!CO56=0,Data!CO56=""),"","O"&amp;Data!CO56),IF('ARDT Cutter Entry'!$C$111&lt;&gt;"",               IF(OR(COUNTIF('ARDT Cutter Entry'!Z71,"*1"),COUNTIF('ARDT Cutter Entry'!Z71,"*2"),COUNTIF('ARDT Cutter Entry'!Z71,"*3"),COUNTIF('ARDT Cutter Entry'!Z71,"*4"),COUNTIF('ARDT Cutter Entry'!Z71,"*5"),COUNTIF('ARDT Cutter Entry'!Z71,"*6"),COUNTIF('ARDT Cutter Entry'!Z71,"*7"),COUNTIF('ARDT Cutter Entry'!Z71,"*8"),COUNTIF('ARDT Cutter Entry'!Z71,"*9")),'ARDT Cutter Entry'!Z71,            'ARDT Cutter Entry'!Z121),            IF(OR(COUNTIF('ARDT Cutter Entry'!Z14,"*1"),COUNTIF('ARDT Cutter Entry'!Z14,"*2"),COUNTIF('ARDT Cutter Entry'!Z14,"*3"),COUNTIF('ARDT Cutter Entry'!Z14,"*4"),COUNTIF('ARDT Cutter Entry'!Z14,"*5"),COUNTIF('ARDT Cutter Entry'!Z14,"*6"),COUNTIF('ARDT Cutter Entry'!Z14,"*7"),COUNTIF('ARDT Cutter Entry'!Z14,"*8"),COUNTIF('ARDT Cutter Entry'!Z14,"*9")),'ARDT Cutter Entry'!Z14,'ARDT Cutter Entry'!Z53))),"")</f>
        <v/>
      </c>
      <c r="AA26" s="1056" t="str">
        <f>IF(Data!$L$32=1,IF(OR(Data!$L$2=1,Data!$L$3=1),IF(OR(Data!CP56=0,Data!CP56=""),"","O"&amp;Data!CP56),IF('ARDT Cutter Entry'!$C$111&lt;&gt;"",               IF(OR(COUNTIF('ARDT Cutter Entry'!AA71,"*1"),COUNTIF('ARDT Cutter Entry'!AA71,"*2"),COUNTIF('ARDT Cutter Entry'!AA71,"*3"),COUNTIF('ARDT Cutter Entry'!AA71,"*4"),COUNTIF('ARDT Cutter Entry'!AA71,"*5"),COUNTIF('ARDT Cutter Entry'!AA71,"*6"),COUNTIF('ARDT Cutter Entry'!AA71,"*7"),COUNTIF('ARDT Cutter Entry'!AA71,"*8"),COUNTIF('ARDT Cutter Entry'!AA71,"*9")),'ARDT Cutter Entry'!AA71,            'ARDT Cutter Entry'!AA121),            IF(OR(COUNTIF('ARDT Cutter Entry'!AA14,"*1"),COUNTIF('ARDT Cutter Entry'!AA14,"*2"),COUNTIF('ARDT Cutter Entry'!AA14,"*3"),COUNTIF('ARDT Cutter Entry'!AA14,"*4"),COUNTIF('ARDT Cutter Entry'!AA14,"*5"),COUNTIF('ARDT Cutter Entry'!AA14,"*6"),COUNTIF('ARDT Cutter Entry'!AA14,"*7"),COUNTIF('ARDT Cutter Entry'!AA14,"*8"),COUNTIF('ARDT Cutter Entry'!AA14,"*9")),'ARDT Cutter Entry'!AA14,'ARDT Cutter Entry'!AA53))),"")</f>
        <v/>
      </c>
    </row>
    <row r="27" spans="1:27" ht="16" customHeight="1" thickBot="1" x14ac:dyDescent="0.4">
      <c r="A27" s="1826"/>
      <c r="B27" s="448">
        <v>12</v>
      </c>
      <c r="C27" s="1053" t="str">
        <f>IF(Data!$L$32=1,IF(OR(Data!$L$2=1,Data!$L$3=1),IF(OR(Data!BR57=0,Data!BR57=""),"","O"&amp;Data!BR57),IF('ARDT Cutter Entry'!$C$111&lt;&gt;"",               IF(OR(COUNTIF('ARDT Cutter Entry'!C72,"*1"),COUNTIF('ARDT Cutter Entry'!C72,"*2"),COUNTIF('ARDT Cutter Entry'!C72,"*3"),COUNTIF('ARDT Cutter Entry'!C72,"*4"),COUNTIF('ARDT Cutter Entry'!C72,"*5"),COUNTIF('ARDT Cutter Entry'!C72,"*6"),COUNTIF('ARDT Cutter Entry'!C72,"*7"),COUNTIF('ARDT Cutter Entry'!C72,"*8"),COUNTIF('ARDT Cutter Entry'!C72,"*9")),'ARDT Cutter Entry'!C72,            'ARDT Cutter Entry'!C122),            IF(OR(COUNTIF('ARDT Cutter Entry'!C15,"*1"),COUNTIF('ARDT Cutter Entry'!C15,"*2"),COUNTIF('ARDT Cutter Entry'!C15,"*3"),COUNTIF('ARDT Cutter Entry'!C15,"*4"),COUNTIF('ARDT Cutter Entry'!C15,"*5"),COUNTIF('ARDT Cutter Entry'!C15,"*6"),COUNTIF('ARDT Cutter Entry'!C15,"*7"),COUNTIF('ARDT Cutter Entry'!C15,"*8"),COUNTIF('ARDT Cutter Entry'!C15,"*9")),'ARDT Cutter Entry'!C15,'ARDT Cutter Entry'!C54))),"")</f>
        <v/>
      </c>
      <c r="D27" s="1057" t="str">
        <f>IF(Data!$L$32=1,IF(OR(Data!$L$2=1,Data!$L$3=1),IF(OR(Data!BS57=0,Data!BS57=""),"","O"&amp;Data!BS57),IF('ARDT Cutter Entry'!$C$111&lt;&gt;"",               IF(OR(COUNTIF('ARDT Cutter Entry'!D72,"*1"),COUNTIF('ARDT Cutter Entry'!D72,"*2"),COUNTIF('ARDT Cutter Entry'!D72,"*3"),COUNTIF('ARDT Cutter Entry'!D72,"*4"),COUNTIF('ARDT Cutter Entry'!D72,"*5"),COUNTIF('ARDT Cutter Entry'!D72,"*6"),COUNTIF('ARDT Cutter Entry'!D72,"*7"),COUNTIF('ARDT Cutter Entry'!D72,"*8"),COUNTIF('ARDT Cutter Entry'!D72,"*9")),'ARDT Cutter Entry'!D72,            'ARDT Cutter Entry'!D122),            IF(OR(COUNTIF('ARDT Cutter Entry'!D15,"*1"),COUNTIF('ARDT Cutter Entry'!D15,"*2"),COUNTIF('ARDT Cutter Entry'!D15,"*3"),COUNTIF('ARDT Cutter Entry'!D15,"*4"),COUNTIF('ARDT Cutter Entry'!D15,"*5"),COUNTIF('ARDT Cutter Entry'!D15,"*6"),COUNTIF('ARDT Cutter Entry'!D15,"*7"),COUNTIF('ARDT Cutter Entry'!D15,"*8"),COUNTIF('ARDT Cutter Entry'!D15,"*9")),'ARDT Cutter Entry'!D15,'ARDT Cutter Entry'!D54))),"")</f>
        <v/>
      </c>
      <c r="E27" s="1057" t="str">
        <f>IF(Data!$L$32=1,IF(OR(Data!$L$2=1,Data!$L$3=1),IF(OR(Data!BT57=0,Data!BT57=""),"","O"&amp;Data!BT57),IF('ARDT Cutter Entry'!$C$111&lt;&gt;"",               IF(OR(COUNTIF('ARDT Cutter Entry'!E72,"*1"),COUNTIF('ARDT Cutter Entry'!E72,"*2"),COUNTIF('ARDT Cutter Entry'!E72,"*3"),COUNTIF('ARDT Cutter Entry'!E72,"*4"),COUNTIF('ARDT Cutter Entry'!E72,"*5"),COUNTIF('ARDT Cutter Entry'!E72,"*6"),COUNTIF('ARDT Cutter Entry'!E72,"*7"),COUNTIF('ARDT Cutter Entry'!E72,"*8"),COUNTIF('ARDT Cutter Entry'!E72,"*9")),'ARDT Cutter Entry'!E72,            'ARDT Cutter Entry'!E122),            IF(OR(COUNTIF('ARDT Cutter Entry'!E15,"*1"),COUNTIF('ARDT Cutter Entry'!E15,"*2"),COUNTIF('ARDT Cutter Entry'!E15,"*3"),COUNTIF('ARDT Cutter Entry'!E15,"*4"),COUNTIF('ARDT Cutter Entry'!E15,"*5"),COUNTIF('ARDT Cutter Entry'!E15,"*6"),COUNTIF('ARDT Cutter Entry'!E15,"*7"),COUNTIF('ARDT Cutter Entry'!E15,"*8"),COUNTIF('ARDT Cutter Entry'!E15,"*9")),'ARDT Cutter Entry'!E15,'ARDT Cutter Entry'!E54))),"")</f>
        <v/>
      </c>
      <c r="F27" s="1057" t="str">
        <f>IF(Data!$L$32=1,IF(OR(Data!$L$2=1,Data!$L$3=1),IF(OR(Data!BU57=0,Data!BU57=""),"","O"&amp;Data!BU57),IF('ARDT Cutter Entry'!$C$111&lt;&gt;"",               IF(OR(COUNTIF('ARDT Cutter Entry'!F72,"*1"),COUNTIF('ARDT Cutter Entry'!F72,"*2"),COUNTIF('ARDT Cutter Entry'!F72,"*3"),COUNTIF('ARDT Cutter Entry'!F72,"*4"),COUNTIF('ARDT Cutter Entry'!F72,"*5"),COUNTIF('ARDT Cutter Entry'!F72,"*6"),COUNTIF('ARDT Cutter Entry'!F72,"*7"),COUNTIF('ARDT Cutter Entry'!F72,"*8"),COUNTIF('ARDT Cutter Entry'!F72,"*9")),'ARDT Cutter Entry'!F72,            'ARDT Cutter Entry'!F122),            IF(OR(COUNTIF('ARDT Cutter Entry'!F15,"*1"),COUNTIF('ARDT Cutter Entry'!F15,"*2"),COUNTIF('ARDT Cutter Entry'!F15,"*3"),COUNTIF('ARDT Cutter Entry'!F15,"*4"),COUNTIF('ARDT Cutter Entry'!F15,"*5"),COUNTIF('ARDT Cutter Entry'!F15,"*6"),COUNTIF('ARDT Cutter Entry'!F15,"*7"),COUNTIF('ARDT Cutter Entry'!F15,"*8"),COUNTIF('ARDT Cutter Entry'!F15,"*9")),'ARDT Cutter Entry'!F15,'ARDT Cutter Entry'!F54))),"")</f>
        <v/>
      </c>
      <c r="G27" s="1057" t="str">
        <f>IF(Data!$L$32=1,IF(OR(Data!$L$2=1,Data!$L$3=1),IF(OR(Data!BV57=0,Data!BV57=""),"","O"&amp;Data!BV57),IF('ARDT Cutter Entry'!$C$111&lt;&gt;"",               IF(OR(COUNTIF('ARDT Cutter Entry'!G72,"*1"),COUNTIF('ARDT Cutter Entry'!G72,"*2"),COUNTIF('ARDT Cutter Entry'!G72,"*3"),COUNTIF('ARDT Cutter Entry'!G72,"*4"),COUNTIF('ARDT Cutter Entry'!G72,"*5"),COUNTIF('ARDT Cutter Entry'!G72,"*6"),COUNTIF('ARDT Cutter Entry'!G72,"*7"),COUNTIF('ARDT Cutter Entry'!G72,"*8"),COUNTIF('ARDT Cutter Entry'!G72,"*9")),'ARDT Cutter Entry'!G72,            'ARDT Cutter Entry'!G122),            IF(OR(COUNTIF('ARDT Cutter Entry'!G15,"*1"),COUNTIF('ARDT Cutter Entry'!G15,"*2"),COUNTIF('ARDT Cutter Entry'!G15,"*3"),COUNTIF('ARDT Cutter Entry'!G15,"*4"),COUNTIF('ARDT Cutter Entry'!G15,"*5"),COUNTIF('ARDT Cutter Entry'!G15,"*6"),COUNTIF('ARDT Cutter Entry'!G15,"*7"),COUNTIF('ARDT Cutter Entry'!G15,"*8"),COUNTIF('ARDT Cutter Entry'!G15,"*9")),'ARDT Cutter Entry'!G15,'ARDT Cutter Entry'!G54))),"")</f>
        <v/>
      </c>
      <c r="H27" s="1057" t="str">
        <f>IF(Data!$L$32=1,IF(OR(Data!$L$2=1,Data!$L$3=1),IF(OR(Data!BW57=0,Data!BW57=""),"","O"&amp;Data!BW57),IF('ARDT Cutter Entry'!$C$111&lt;&gt;"",               IF(OR(COUNTIF('ARDT Cutter Entry'!H72,"*1"),COUNTIF('ARDT Cutter Entry'!H72,"*2"),COUNTIF('ARDT Cutter Entry'!H72,"*3"),COUNTIF('ARDT Cutter Entry'!H72,"*4"),COUNTIF('ARDT Cutter Entry'!H72,"*5"),COUNTIF('ARDT Cutter Entry'!H72,"*6"),COUNTIF('ARDT Cutter Entry'!H72,"*7"),COUNTIF('ARDT Cutter Entry'!H72,"*8"),COUNTIF('ARDT Cutter Entry'!H72,"*9")),'ARDT Cutter Entry'!H72,            'ARDT Cutter Entry'!H122),            IF(OR(COUNTIF('ARDT Cutter Entry'!H15,"*1"),COUNTIF('ARDT Cutter Entry'!H15,"*2"),COUNTIF('ARDT Cutter Entry'!H15,"*3"),COUNTIF('ARDT Cutter Entry'!H15,"*4"),COUNTIF('ARDT Cutter Entry'!H15,"*5"),COUNTIF('ARDT Cutter Entry'!H15,"*6"),COUNTIF('ARDT Cutter Entry'!H15,"*7"),COUNTIF('ARDT Cutter Entry'!H15,"*8"),COUNTIF('ARDT Cutter Entry'!H15,"*9")),'ARDT Cutter Entry'!H15,'ARDT Cutter Entry'!H54))),"")</f>
        <v/>
      </c>
      <c r="I27" s="1057" t="str">
        <f>IF(Data!$L$32=1,IF(OR(Data!$L$2=1,Data!$L$3=1),IF(OR(Data!BX57=0,Data!BX57=""),"","O"&amp;Data!BX57),IF('ARDT Cutter Entry'!$C$111&lt;&gt;"",               IF(OR(COUNTIF('ARDT Cutter Entry'!I72,"*1"),COUNTIF('ARDT Cutter Entry'!I72,"*2"),COUNTIF('ARDT Cutter Entry'!I72,"*3"),COUNTIF('ARDT Cutter Entry'!I72,"*4"),COUNTIF('ARDT Cutter Entry'!I72,"*5"),COUNTIF('ARDT Cutter Entry'!I72,"*6"),COUNTIF('ARDT Cutter Entry'!I72,"*7"),COUNTIF('ARDT Cutter Entry'!I72,"*8"),COUNTIF('ARDT Cutter Entry'!I72,"*9")),'ARDT Cutter Entry'!I72,            'ARDT Cutter Entry'!I122),            IF(OR(COUNTIF('ARDT Cutter Entry'!I15,"*1"),COUNTIF('ARDT Cutter Entry'!I15,"*2"),COUNTIF('ARDT Cutter Entry'!I15,"*3"),COUNTIF('ARDT Cutter Entry'!I15,"*4"),COUNTIF('ARDT Cutter Entry'!I15,"*5"),COUNTIF('ARDT Cutter Entry'!I15,"*6"),COUNTIF('ARDT Cutter Entry'!I15,"*7"),COUNTIF('ARDT Cutter Entry'!I15,"*8"),COUNTIF('ARDT Cutter Entry'!I15,"*9")),'ARDT Cutter Entry'!I15,'ARDT Cutter Entry'!I54))),"")</f>
        <v/>
      </c>
      <c r="J27" s="1057" t="str">
        <f>IF(Data!$L$32=1,IF(OR(Data!$L$2=1,Data!$L$3=1),IF(OR(Data!BY57=0,Data!BY57=""),"","O"&amp;Data!BY57),IF('ARDT Cutter Entry'!$C$111&lt;&gt;"",               IF(OR(COUNTIF('ARDT Cutter Entry'!J72,"*1"),COUNTIF('ARDT Cutter Entry'!J72,"*2"),COUNTIF('ARDT Cutter Entry'!J72,"*3"),COUNTIF('ARDT Cutter Entry'!J72,"*4"),COUNTIF('ARDT Cutter Entry'!J72,"*5"),COUNTIF('ARDT Cutter Entry'!J72,"*6"),COUNTIF('ARDT Cutter Entry'!J72,"*7"),COUNTIF('ARDT Cutter Entry'!J72,"*8"),COUNTIF('ARDT Cutter Entry'!J72,"*9")),'ARDT Cutter Entry'!J72,            'ARDT Cutter Entry'!J122),            IF(OR(COUNTIF('ARDT Cutter Entry'!J15,"*1"),COUNTIF('ARDT Cutter Entry'!J15,"*2"),COUNTIF('ARDT Cutter Entry'!J15,"*3"),COUNTIF('ARDT Cutter Entry'!J15,"*4"),COUNTIF('ARDT Cutter Entry'!J15,"*5"),COUNTIF('ARDT Cutter Entry'!J15,"*6"),COUNTIF('ARDT Cutter Entry'!J15,"*7"),COUNTIF('ARDT Cutter Entry'!J15,"*8"),COUNTIF('ARDT Cutter Entry'!J15,"*9")),'ARDT Cutter Entry'!J15,'ARDT Cutter Entry'!J54))),"")</f>
        <v/>
      </c>
      <c r="K27" s="1057" t="str">
        <f>IF(Data!$L$32=1,IF(OR(Data!$L$2=1,Data!$L$3=1),IF(OR(Data!BZ57=0,Data!BZ57=""),"","O"&amp;Data!BZ57),IF('ARDT Cutter Entry'!$C$111&lt;&gt;"",               IF(OR(COUNTIF('ARDT Cutter Entry'!K72,"*1"),COUNTIF('ARDT Cutter Entry'!K72,"*2"),COUNTIF('ARDT Cutter Entry'!K72,"*3"),COUNTIF('ARDT Cutter Entry'!K72,"*4"),COUNTIF('ARDT Cutter Entry'!K72,"*5"),COUNTIF('ARDT Cutter Entry'!K72,"*6"),COUNTIF('ARDT Cutter Entry'!K72,"*7"),COUNTIF('ARDT Cutter Entry'!K72,"*8"),COUNTIF('ARDT Cutter Entry'!K72,"*9")),'ARDT Cutter Entry'!K72,            'ARDT Cutter Entry'!K122),            IF(OR(COUNTIF('ARDT Cutter Entry'!K15,"*1"),COUNTIF('ARDT Cutter Entry'!K15,"*2"),COUNTIF('ARDT Cutter Entry'!K15,"*3"),COUNTIF('ARDT Cutter Entry'!K15,"*4"),COUNTIF('ARDT Cutter Entry'!K15,"*5"),COUNTIF('ARDT Cutter Entry'!K15,"*6"),COUNTIF('ARDT Cutter Entry'!K15,"*7"),COUNTIF('ARDT Cutter Entry'!K15,"*8"),COUNTIF('ARDT Cutter Entry'!K15,"*9")),'ARDT Cutter Entry'!K15,'ARDT Cutter Entry'!K54))),"")</f>
        <v/>
      </c>
      <c r="L27" s="1057" t="str">
        <f>IF(Data!$L$32=1,IF(OR(Data!$L$2=1,Data!$L$3=1),IF(OR(Data!CA57=0,Data!CA57=""),"","O"&amp;Data!CA57),IF('ARDT Cutter Entry'!$C$111&lt;&gt;"",               IF(OR(COUNTIF('ARDT Cutter Entry'!L72,"*1"),COUNTIF('ARDT Cutter Entry'!L72,"*2"),COUNTIF('ARDT Cutter Entry'!L72,"*3"),COUNTIF('ARDT Cutter Entry'!L72,"*4"),COUNTIF('ARDT Cutter Entry'!L72,"*5"),COUNTIF('ARDT Cutter Entry'!L72,"*6"),COUNTIF('ARDT Cutter Entry'!L72,"*7"),COUNTIF('ARDT Cutter Entry'!L72,"*8"),COUNTIF('ARDT Cutter Entry'!L72,"*9")),'ARDT Cutter Entry'!L72,            'ARDT Cutter Entry'!L122),            IF(OR(COUNTIF('ARDT Cutter Entry'!L15,"*1"),COUNTIF('ARDT Cutter Entry'!L15,"*2"),COUNTIF('ARDT Cutter Entry'!L15,"*3"),COUNTIF('ARDT Cutter Entry'!L15,"*4"),COUNTIF('ARDT Cutter Entry'!L15,"*5"),COUNTIF('ARDT Cutter Entry'!L15,"*6"),COUNTIF('ARDT Cutter Entry'!L15,"*7"),COUNTIF('ARDT Cutter Entry'!L15,"*8"),COUNTIF('ARDT Cutter Entry'!L15,"*9")),'ARDT Cutter Entry'!L15,'ARDT Cutter Entry'!L54))),"")</f>
        <v/>
      </c>
      <c r="M27" s="1057" t="str">
        <f>IF(Data!$L$32=1,IF(OR(Data!$L$2=1,Data!$L$3=1),IF(OR(Data!CB57=0,Data!CB57=""),"","O"&amp;Data!CB57),IF('ARDT Cutter Entry'!$C$111&lt;&gt;"",               IF(OR(COUNTIF('ARDT Cutter Entry'!M72,"*1"),COUNTIF('ARDT Cutter Entry'!M72,"*2"),COUNTIF('ARDT Cutter Entry'!M72,"*3"),COUNTIF('ARDT Cutter Entry'!M72,"*4"),COUNTIF('ARDT Cutter Entry'!M72,"*5"),COUNTIF('ARDT Cutter Entry'!M72,"*6"),COUNTIF('ARDT Cutter Entry'!M72,"*7"),COUNTIF('ARDT Cutter Entry'!M72,"*8"),COUNTIF('ARDT Cutter Entry'!M72,"*9")),'ARDT Cutter Entry'!M72,            'ARDT Cutter Entry'!M122),            IF(OR(COUNTIF('ARDT Cutter Entry'!M15,"*1"),COUNTIF('ARDT Cutter Entry'!M15,"*2"),COUNTIF('ARDT Cutter Entry'!M15,"*3"),COUNTIF('ARDT Cutter Entry'!M15,"*4"),COUNTIF('ARDT Cutter Entry'!M15,"*5"),COUNTIF('ARDT Cutter Entry'!M15,"*6"),COUNTIF('ARDT Cutter Entry'!M15,"*7"),COUNTIF('ARDT Cutter Entry'!M15,"*8"),COUNTIF('ARDT Cutter Entry'!M15,"*9")),'ARDT Cutter Entry'!M15,'ARDT Cutter Entry'!M54))),"")</f>
        <v/>
      </c>
      <c r="N27" s="1057" t="str">
        <f>IF(Data!$L$32=1,IF(OR(Data!$L$2=1,Data!$L$3=1),IF(OR(Data!CC57=0,Data!CC57=""),"","O"&amp;Data!CC57),IF('ARDT Cutter Entry'!$C$111&lt;&gt;"",               IF(OR(COUNTIF('ARDT Cutter Entry'!N72,"*1"),COUNTIF('ARDT Cutter Entry'!N72,"*2"),COUNTIF('ARDT Cutter Entry'!N72,"*3"),COUNTIF('ARDT Cutter Entry'!N72,"*4"),COUNTIF('ARDT Cutter Entry'!N72,"*5"),COUNTIF('ARDT Cutter Entry'!N72,"*6"),COUNTIF('ARDT Cutter Entry'!N72,"*7"),COUNTIF('ARDT Cutter Entry'!N72,"*8"),COUNTIF('ARDT Cutter Entry'!N72,"*9")),'ARDT Cutter Entry'!N72,            'ARDT Cutter Entry'!N122),            IF(OR(COUNTIF('ARDT Cutter Entry'!N15,"*1"),COUNTIF('ARDT Cutter Entry'!N15,"*2"),COUNTIF('ARDT Cutter Entry'!N15,"*3"),COUNTIF('ARDT Cutter Entry'!N15,"*4"),COUNTIF('ARDT Cutter Entry'!N15,"*5"),COUNTIF('ARDT Cutter Entry'!N15,"*6"),COUNTIF('ARDT Cutter Entry'!N15,"*7"),COUNTIF('ARDT Cutter Entry'!N15,"*8"),COUNTIF('ARDT Cutter Entry'!N15,"*9")),'ARDT Cutter Entry'!N15,'ARDT Cutter Entry'!N54))),"")</f>
        <v/>
      </c>
      <c r="O27" s="1057" t="str">
        <f>IF(Data!$L$32=1,IF(OR(Data!$L$2=1,Data!$L$3=1),IF(OR(Data!CD57=0,Data!CD57=""),"","O"&amp;Data!CD57),IF('ARDT Cutter Entry'!$C$111&lt;&gt;"",               IF(OR(COUNTIF('ARDT Cutter Entry'!O72,"*1"),COUNTIF('ARDT Cutter Entry'!O72,"*2"),COUNTIF('ARDT Cutter Entry'!O72,"*3"),COUNTIF('ARDT Cutter Entry'!O72,"*4"),COUNTIF('ARDT Cutter Entry'!O72,"*5"),COUNTIF('ARDT Cutter Entry'!O72,"*6"),COUNTIF('ARDT Cutter Entry'!O72,"*7"),COUNTIF('ARDT Cutter Entry'!O72,"*8"),COUNTIF('ARDT Cutter Entry'!O72,"*9")),'ARDT Cutter Entry'!O72,            'ARDT Cutter Entry'!O122),            IF(OR(COUNTIF('ARDT Cutter Entry'!O15,"*1"),COUNTIF('ARDT Cutter Entry'!O15,"*2"),COUNTIF('ARDT Cutter Entry'!O15,"*3"),COUNTIF('ARDT Cutter Entry'!O15,"*4"),COUNTIF('ARDT Cutter Entry'!O15,"*5"),COUNTIF('ARDT Cutter Entry'!O15,"*6"),COUNTIF('ARDT Cutter Entry'!O15,"*7"),COUNTIF('ARDT Cutter Entry'!O15,"*8"),COUNTIF('ARDT Cutter Entry'!O15,"*9")),'ARDT Cutter Entry'!O15,'ARDT Cutter Entry'!O54))),"")</f>
        <v/>
      </c>
      <c r="P27" s="1057" t="str">
        <f>IF(Data!$L$32=1,IF(OR(Data!$L$2=1,Data!$L$3=1),IF(OR(Data!CE57=0,Data!CE57=""),"","O"&amp;Data!CE57),IF('ARDT Cutter Entry'!$C$111&lt;&gt;"",               IF(OR(COUNTIF('ARDT Cutter Entry'!P72,"*1"),COUNTIF('ARDT Cutter Entry'!P72,"*2"),COUNTIF('ARDT Cutter Entry'!P72,"*3"),COUNTIF('ARDT Cutter Entry'!P72,"*4"),COUNTIF('ARDT Cutter Entry'!P72,"*5"),COUNTIF('ARDT Cutter Entry'!P72,"*6"),COUNTIF('ARDT Cutter Entry'!P72,"*7"),COUNTIF('ARDT Cutter Entry'!P72,"*8"),COUNTIF('ARDT Cutter Entry'!P72,"*9")),'ARDT Cutter Entry'!P72,            'ARDT Cutter Entry'!P122),            IF(OR(COUNTIF('ARDT Cutter Entry'!P15,"*1"),COUNTIF('ARDT Cutter Entry'!P15,"*2"),COUNTIF('ARDT Cutter Entry'!P15,"*3"),COUNTIF('ARDT Cutter Entry'!P15,"*4"),COUNTIF('ARDT Cutter Entry'!P15,"*5"),COUNTIF('ARDT Cutter Entry'!P15,"*6"),COUNTIF('ARDT Cutter Entry'!P15,"*7"),COUNTIF('ARDT Cutter Entry'!P15,"*8"),COUNTIF('ARDT Cutter Entry'!P15,"*9")),'ARDT Cutter Entry'!P15,'ARDT Cutter Entry'!P54))),"")</f>
        <v/>
      </c>
      <c r="Q27" s="1057" t="str">
        <f>IF(Data!$L$32=1,IF(OR(Data!$L$2=1,Data!$L$3=1),IF(OR(Data!CF57=0,Data!CF57=""),"","O"&amp;Data!CF57),IF('ARDT Cutter Entry'!$C$111&lt;&gt;"",               IF(OR(COUNTIF('ARDT Cutter Entry'!Q72,"*1"),COUNTIF('ARDT Cutter Entry'!Q72,"*2"),COUNTIF('ARDT Cutter Entry'!Q72,"*3"),COUNTIF('ARDT Cutter Entry'!Q72,"*4"),COUNTIF('ARDT Cutter Entry'!Q72,"*5"),COUNTIF('ARDT Cutter Entry'!Q72,"*6"),COUNTIF('ARDT Cutter Entry'!Q72,"*7"),COUNTIF('ARDT Cutter Entry'!Q72,"*8"),COUNTIF('ARDT Cutter Entry'!Q72,"*9")),'ARDT Cutter Entry'!Q72,            'ARDT Cutter Entry'!Q122),            IF(OR(COUNTIF('ARDT Cutter Entry'!Q15,"*1"),COUNTIF('ARDT Cutter Entry'!Q15,"*2"),COUNTIF('ARDT Cutter Entry'!Q15,"*3"),COUNTIF('ARDT Cutter Entry'!Q15,"*4"),COUNTIF('ARDT Cutter Entry'!Q15,"*5"),COUNTIF('ARDT Cutter Entry'!Q15,"*6"),COUNTIF('ARDT Cutter Entry'!Q15,"*7"),COUNTIF('ARDT Cutter Entry'!Q15,"*8"),COUNTIF('ARDT Cutter Entry'!Q15,"*9")),'ARDT Cutter Entry'!Q15,'ARDT Cutter Entry'!Q54))),"")</f>
        <v/>
      </c>
      <c r="R27" s="1057" t="str">
        <f>IF(Data!$L$32=1,IF(OR(Data!$L$2=1,Data!$L$3=1),IF(OR(Data!CG57=0,Data!CG57=""),"","O"&amp;Data!CG57),IF('ARDT Cutter Entry'!$C$111&lt;&gt;"",               IF(OR(COUNTIF('ARDT Cutter Entry'!R72,"*1"),COUNTIF('ARDT Cutter Entry'!R72,"*2"),COUNTIF('ARDT Cutter Entry'!R72,"*3"),COUNTIF('ARDT Cutter Entry'!R72,"*4"),COUNTIF('ARDT Cutter Entry'!R72,"*5"),COUNTIF('ARDT Cutter Entry'!R72,"*6"),COUNTIF('ARDT Cutter Entry'!R72,"*7"),COUNTIF('ARDT Cutter Entry'!R72,"*8"),COUNTIF('ARDT Cutter Entry'!R72,"*9")),'ARDT Cutter Entry'!R72,            'ARDT Cutter Entry'!R122),            IF(OR(COUNTIF('ARDT Cutter Entry'!R15,"*1"),COUNTIF('ARDT Cutter Entry'!R15,"*2"),COUNTIF('ARDT Cutter Entry'!R15,"*3"),COUNTIF('ARDT Cutter Entry'!R15,"*4"),COUNTIF('ARDT Cutter Entry'!R15,"*5"),COUNTIF('ARDT Cutter Entry'!R15,"*6"),COUNTIF('ARDT Cutter Entry'!R15,"*7"),COUNTIF('ARDT Cutter Entry'!R15,"*8"),COUNTIF('ARDT Cutter Entry'!R15,"*9")),'ARDT Cutter Entry'!R15,'ARDT Cutter Entry'!R54))),"")</f>
        <v/>
      </c>
      <c r="S27" s="1057" t="str">
        <f>IF(Data!$L$32=1,IF(OR(Data!$L$2=1,Data!$L$3=1),IF(OR(Data!CH57=0,Data!CH57=""),"","O"&amp;Data!CH57),IF('ARDT Cutter Entry'!$C$111&lt;&gt;"",               IF(OR(COUNTIF('ARDT Cutter Entry'!S72,"*1"),COUNTIF('ARDT Cutter Entry'!S72,"*2"),COUNTIF('ARDT Cutter Entry'!S72,"*3"),COUNTIF('ARDT Cutter Entry'!S72,"*4"),COUNTIF('ARDT Cutter Entry'!S72,"*5"),COUNTIF('ARDT Cutter Entry'!S72,"*6"),COUNTIF('ARDT Cutter Entry'!S72,"*7"),COUNTIF('ARDT Cutter Entry'!S72,"*8"),COUNTIF('ARDT Cutter Entry'!S72,"*9")),'ARDT Cutter Entry'!S72,            'ARDT Cutter Entry'!S122),            IF(OR(COUNTIF('ARDT Cutter Entry'!S15,"*1"),COUNTIF('ARDT Cutter Entry'!S15,"*2"),COUNTIF('ARDT Cutter Entry'!S15,"*3"),COUNTIF('ARDT Cutter Entry'!S15,"*4"),COUNTIF('ARDT Cutter Entry'!S15,"*5"),COUNTIF('ARDT Cutter Entry'!S15,"*6"),COUNTIF('ARDT Cutter Entry'!S15,"*7"),COUNTIF('ARDT Cutter Entry'!S15,"*8"),COUNTIF('ARDT Cutter Entry'!S15,"*9")),'ARDT Cutter Entry'!S15,'ARDT Cutter Entry'!S54))),"")</f>
        <v/>
      </c>
      <c r="T27" s="1057" t="str">
        <f>IF(Data!$L$32=1,IF(OR(Data!$L$2=1,Data!$L$3=1),IF(OR(Data!CI57=0,Data!CI57=""),"","O"&amp;Data!CI57),IF('ARDT Cutter Entry'!$C$111&lt;&gt;"",               IF(OR(COUNTIF('ARDT Cutter Entry'!T72,"*1"),COUNTIF('ARDT Cutter Entry'!T72,"*2"),COUNTIF('ARDT Cutter Entry'!T72,"*3"),COUNTIF('ARDT Cutter Entry'!T72,"*4"),COUNTIF('ARDT Cutter Entry'!T72,"*5"),COUNTIF('ARDT Cutter Entry'!T72,"*6"),COUNTIF('ARDT Cutter Entry'!T72,"*7"),COUNTIF('ARDT Cutter Entry'!T72,"*8"),COUNTIF('ARDT Cutter Entry'!T72,"*9")),'ARDT Cutter Entry'!T72,            'ARDT Cutter Entry'!T122),            IF(OR(COUNTIF('ARDT Cutter Entry'!T15,"*1"),COUNTIF('ARDT Cutter Entry'!T15,"*2"),COUNTIF('ARDT Cutter Entry'!T15,"*3"),COUNTIF('ARDT Cutter Entry'!T15,"*4"),COUNTIF('ARDT Cutter Entry'!T15,"*5"),COUNTIF('ARDT Cutter Entry'!T15,"*6"),COUNTIF('ARDT Cutter Entry'!T15,"*7"),COUNTIF('ARDT Cutter Entry'!T15,"*8"),COUNTIF('ARDT Cutter Entry'!T15,"*9")),'ARDT Cutter Entry'!T15,'ARDT Cutter Entry'!T54))),"")</f>
        <v/>
      </c>
      <c r="U27" s="1057" t="str">
        <f>IF(Data!$L$32=1,IF(OR(Data!$L$2=1,Data!$L$3=1),IF(OR(Data!CJ57=0,Data!CJ57=""),"","O"&amp;Data!CJ57),IF('ARDT Cutter Entry'!$C$111&lt;&gt;"",               IF(OR(COUNTIF('ARDT Cutter Entry'!U72,"*1"),COUNTIF('ARDT Cutter Entry'!U72,"*2"),COUNTIF('ARDT Cutter Entry'!U72,"*3"),COUNTIF('ARDT Cutter Entry'!U72,"*4"),COUNTIF('ARDT Cutter Entry'!U72,"*5"),COUNTIF('ARDT Cutter Entry'!U72,"*6"),COUNTIF('ARDT Cutter Entry'!U72,"*7"),COUNTIF('ARDT Cutter Entry'!U72,"*8"),COUNTIF('ARDT Cutter Entry'!U72,"*9")),'ARDT Cutter Entry'!U72,            'ARDT Cutter Entry'!U122),            IF(OR(COUNTIF('ARDT Cutter Entry'!U15,"*1"),COUNTIF('ARDT Cutter Entry'!U15,"*2"),COUNTIF('ARDT Cutter Entry'!U15,"*3"),COUNTIF('ARDT Cutter Entry'!U15,"*4"),COUNTIF('ARDT Cutter Entry'!U15,"*5"),COUNTIF('ARDT Cutter Entry'!U15,"*6"),COUNTIF('ARDT Cutter Entry'!U15,"*7"),COUNTIF('ARDT Cutter Entry'!U15,"*8"),COUNTIF('ARDT Cutter Entry'!U15,"*9")),'ARDT Cutter Entry'!U15,'ARDT Cutter Entry'!U54))),"")</f>
        <v/>
      </c>
      <c r="V27" s="1057" t="str">
        <f>IF(Data!$L$32=1,IF(OR(Data!$L$2=1,Data!$L$3=1),IF(OR(Data!CK57=0,Data!CK57=""),"","O"&amp;Data!CK57),IF('ARDT Cutter Entry'!$C$111&lt;&gt;"",               IF(OR(COUNTIF('ARDT Cutter Entry'!V72,"*1"),COUNTIF('ARDT Cutter Entry'!V72,"*2"),COUNTIF('ARDT Cutter Entry'!V72,"*3"),COUNTIF('ARDT Cutter Entry'!V72,"*4"),COUNTIF('ARDT Cutter Entry'!V72,"*5"),COUNTIF('ARDT Cutter Entry'!V72,"*6"),COUNTIF('ARDT Cutter Entry'!V72,"*7"),COUNTIF('ARDT Cutter Entry'!V72,"*8"),COUNTIF('ARDT Cutter Entry'!V72,"*9")),'ARDT Cutter Entry'!V72,            'ARDT Cutter Entry'!V122),            IF(OR(COUNTIF('ARDT Cutter Entry'!V15,"*1"),COUNTIF('ARDT Cutter Entry'!V15,"*2"),COUNTIF('ARDT Cutter Entry'!V15,"*3"),COUNTIF('ARDT Cutter Entry'!V15,"*4"),COUNTIF('ARDT Cutter Entry'!V15,"*5"),COUNTIF('ARDT Cutter Entry'!V15,"*6"),COUNTIF('ARDT Cutter Entry'!V15,"*7"),COUNTIF('ARDT Cutter Entry'!V15,"*8"),COUNTIF('ARDT Cutter Entry'!V15,"*9")),'ARDT Cutter Entry'!V15,'ARDT Cutter Entry'!V54))),"")</f>
        <v/>
      </c>
      <c r="W27" s="1057" t="str">
        <f>IF(Data!$L$32=1,IF(OR(Data!$L$2=1,Data!$L$3=1),IF(OR(Data!CL57=0,Data!CL57=""),"","O"&amp;Data!CL57),IF('ARDT Cutter Entry'!$C$111&lt;&gt;"",               IF(OR(COUNTIF('ARDT Cutter Entry'!W72,"*1"),COUNTIF('ARDT Cutter Entry'!W72,"*2"),COUNTIF('ARDT Cutter Entry'!W72,"*3"),COUNTIF('ARDT Cutter Entry'!W72,"*4"),COUNTIF('ARDT Cutter Entry'!W72,"*5"),COUNTIF('ARDT Cutter Entry'!W72,"*6"),COUNTIF('ARDT Cutter Entry'!W72,"*7"),COUNTIF('ARDT Cutter Entry'!W72,"*8"),COUNTIF('ARDT Cutter Entry'!W72,"*9")),'ARDT Cutter Entry'!W72,            'ARDT Cutter Entry'!W122),            IF(OR(COUNTIF('ARDT Cutter Entry'!W15,"*1"),COUNTIF('ARDT Cutter Entry'!W15,"*2"),COUNTIF('ARDT Cutter Entry'!W15,"*3"),COUNTIF('ARDT Cutter Entry'!W15,"*4"),COUNTIF('ARDT Cutter Entry'!W15,"*5"),COUNTIF('ARDT Cutter Entry'!W15,"*6"),COUNTIF('ARDT Cutter Entry'!W15,"*7"),COUNTIF('ARDT Cutter Entry'!W15,"*8"),COUNTIF('ARDT Cutter Entry'!W15,"*9")),'ARDT Cutter Entry'!W15,'ARDT Cutter Entry'!W54))),"")</f>
        <v/>
      </c>
      <c r="X27" s="1057" t="str">
        <f>IF(Data!$L$32=1,IF(OR(Data!$L$2=1,Data!$L$3=1),IF(OR(Data!CM57=0,Data!CM57=""),"","O"&amp;Data!CM57),IF('ARDT Cutter Entry'!$C$111&lt;&gt;"",               IF(OR(COUNTIF('ARDT Cutter Entry'!X72,"*1"),COUNTIF('ARDT Cutter Entry'!X72,"*2"),COUNTIF('ARDT Cutter Entry'!X72,"*3"),COUNTIF('ARDT Cutter Entry'!X72,"*4"),COUNTIF('ARDT Cutter Entry'!X72,"*5"),COUNTIF('ARDT Cutter Entry'!X72,"*6"),COUNTIF('ARDT Cutter Entry'!X72,"*7"),COUNTIF('ARDT Cutter Entry'!X72,"*8"),COUNTIF('ARDT Cutter Entry'!X72,"*9")),'ARDT Cutter Entry'!X72,            'ARDT Cutter Entry'!X122),            IF(OR(COUNTIF('ARDT Cutter Entry'!X15,"*1"),COUNTIF('ARDT Cutter Entry'!X15,"*2"),COUNTIF('ARDT Cutter Entry'!X15,"*3"),COUNTIF('ARDT Cutter Entry'!X15,"*4"),COUNTIF('ARDT Cutter Entry'!X15,"*5"),COUNTIF('ARDT Cutter Entry'!X15,"*6"),COUNTIF('ARDT Cutter Entry'!X15,"*7"),COUNTIF('ARDT Cutter Entry'!X15,"*8"),COUNTIF('ARDT Cutter Entry'!X15,"*9")),'ARDT Cutter Entry'!X15,'ARDT Cutter Entry'!X54))),"")</f>
        <v/>
      </c>
      <c r="Y27" s="1057" t="str">
        <f>IF(Data!$L$32=1,IF(OR(Data!$L$2=1,Data!$L$3=1),IF(OR(Data!CN57=0,Data!CN57=""),"","O"&amp;Data!CN57),IF('ARDT Cutter Entry'!$C$111&lt;&gt;"",               IF(OR(COUNTIF('ARDT Cutter Entry'!Y72,"*1"),COUNTIF('ARDT Cutter Entry'!Y72,"*2"),COUNTIF('ARDT Cutter Entry'!Y72,"*3"),COUNTIF('ARDT Cutter Entry'!Y72,"*4"),COUNTIF('ARDT Cutter Entry'!Y72,"*5"),COUNTIF('ARDT Cutter Entry'!Y72,"*6"),COUNTIF('ARDT Cutter Entry'!Y72,"*7"),COUNTIF('ARDT Cutter Entry'!Y72,"*8"),COUNTIF('ARDT Cutter Entry'!Y72,"*9")),'ARDT Cutter Entry'!Y72,            'ARDT Cutter Entry'!Y122),            IF(OR(COUNTIF('ARDT Cutter Entry'!Y15,"*1"),COUNTIF('ARDT Cutter Entry'!Y15,"*2"),COUNTIF('ARDT Cutter Entry'!Y15,"*3"),COUNTIF('ARDT Cutter Entry'!Y15,"*4"),COUNTIF('ARDT Cutter Entry'!Y15,"*5"),COUNTIF('ARDT Cutter Entry'!Y15,"*6"),COUNTIF('ARDT Cutter Entry'!Y15,"*7"),COUNTIF('ARDT Cutter Entry'!Y15,"*8"),COUNTIF('ARDT Cutter Entry'!Y15,"*9")),'ARDT Cutter Entry'!Y15,'ARDT Cutter Entry'!Y54))),"")</f>
        <v/>
      </c>
      <c r="Z27" s="1057" t="str">
        <f>IF(Data!$L$32=1,IF(OR(Data!$L$2=1,Data!$L$3=1),IF(OR(Data!CO57=0,Data!CO57=""),"","O"&amp;Data!CO57),IF('ARDT Cutter Entry'!$C$111&lt;&gt;"",               IF(OR(COUNTIF('ARDT Cutter Entry'!Z72,"*1"),COUNTIF('ARDT Cutter Entry'!Z72,"*2"),COUNTIF('ARDT Cutter Entry'!Z72,"*3"),COUNTIF('ARDT Cutter Entry'!Z72,"*4"),COUNTIF('ARDT Cutter Entry'!Z72,"*5"),COUNTIF('ARDT Cutter Entry'!Z72,"*6"),COUNTIF('ARDT Cutter Entry'!Z72,"*7"),COUNTIF('ARDT Cutter Entry'!Z72,"*8"),COUNTIF('ARDT Cutter Entry'!Z72,"*9")),'ARDT Cutter Entry'!Z72,            'ARDT Cutter Entry'!Z122),            IF(OR(COUNTIF('ARDT Cutter Entry'!Z15,"*1"),COUNTIF('ARDT Cutter Entry'!Z15,"*2"),COUNTIF('ARDT Cutter Entry'!Z15,"*3"),COUNTIF('ARDT Cutter Entry'!Z15,"*4"),COUNTIF('ARDT Cutter Entry'!Z15,"*5"),COUNTIF('ARDT Cutter Entry'!Z15,"*6"),COUNTIF('ARDT Cutter Entry'!Z15,"*7"),COUNTIF('ARDT Cutter Entry'!Z15,"*8"),COUNTIF('ARDT Cutter Entry'!Z15,"*9")),'ARDT Cutter Entry'!Z15,'ARDT Cutter Entry'!Z54))),"")</f>
        <v/>
      </c>
      <c r="AA27" s="1052" t="str">
        <f>IF(Data!$L$32=1,IF(OR(Data!$L$2=1,Data!$L$3=1),IF(OR(Data!CP57=0,Data!CP57=""),"","O"&amp;Data!CP57),IF('ARDT Cutter Entry'!$C$111&lt;&gt;"",               IF(OR(COUNTIF('ARDT Cutter Entry'!AA72,"*1"),COUNTIF('ARDT Cutter Entry'!AA72,"*2"),COUNTIF('ARDT Cutter Entry'!AA72,"*3"),COUNTIF('ARDT Cutter Entry'!AA72,"*4"),COUNTIF('ARDT Cutter Entry'!AA72,"*5"),COUNTIF('ARDT Cutter Entry'!AA72,"*6"),COUNTIF('ARDT Cutter Entry'!AA72,"*7"),COUNTIF('ARDT Cutter Entry'!AA72,"*8"),COUNTIF('ARDT Cutter Entry'!AA72,"*9")),'ARDT Cutter Entry'!AA72,            'ARDT Cutter Entry'!AA122),            IF(OR(COUNTIF('ARDT Cutter Entry'!AA15,"*1"),COUNTIF('ARDT Cutter Entry'!AA15,"*2"),COUNTIF('ARDT Cutter Entry'!AA15,"*3"),COUNTIF('ARDT Cutter Entry'!AA15,"*4"),COUNTIF('ARDT Cutter Entry'!AA15,"*5"),COUNTIF('ARDT Cutter Entry'!AA15,"*6"),COUNTIF('ARDT Cutter Entry'!AA15,"*7"),COUNTIF('ARDT Cutter Entry'!AA15,"*8"),COUNTIF('ARDT Cutter Entry'!AA15,"*9")),'ARDT Cutter Entry'!AA15,'ARDT Cutter Entry'!AA54))),"")</f>
        <v/>
      </c>
    </row>
    <row r="28" spans="1:27" ht="6.75" customHeight="1" x14ac:dyDescent="0.35">
      <c r="A28" s="469"/>
      <c r="B28" s="449"/>
      <c r="C28" s="24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7" ht="15.75" customHeight="1" x14ac:dyDescent="0.35">
      <c r="A29" s="450"/>
      <c r="U29" s="449"/>
      <c r="V29" s="1673"/>
      <c r="W29" s="1673"/>
      <c r="X29" s="1673"/>
      <c r="Y29" s="450"/>
    </row>
    <row r="30" spans="1:27" ht="5.15" customHeight="1" x14ac:dyDescent="0.35">
      <c r="A30" s="450"/>
      <c r="B30" s="450"/>
      <c r="C30" s="450"/>
      <c r="D30" s="450"/>
      <c r="E30" s="449"/>
      <c r="F30" s="449"/>
      <c r="G30" s="449"/>
      <c r="H30" s="449"/>
      <c r="I30" s="449"/>
      <c r="J30" s="449"/>
      <c r="K30" s="451"/>
      <c r="L30" s="451"/>
      <c r="M30" s="453"/>
      <c r="N30" s="453"/>
      <c r="O30" s="453"/>
      <c r="P30" s="453"/>
      <c r="Q30" s="453"/>
      <c r="R30" s="453"/>
      <c r="S30" s="454"/>
      <c r="T30" s="451"/>
      <c r="U30" s="451"/>
      <c r="V30" s="449"/>
      <c r="W30" s="449"/>
      <c r="X30" s="449"/>
      <c r="Y30" s="452"/>
      <c r="Z30" s="452"/>
    </row>
    <row r="31" spans="1:27" ht="15.75" customHeight="1" x14ac:dyDescent="0.35">
      <c r="A31" s="1827" t="s">
        <v>795</v>
      </c>
      <c r="B31" s="1827"/>
      <c r="C31" s="1827"/>
      <c r="D31" s="1827"/>
      <c r="E31" s="1818" t="str">
        <f>IF(Data!B11&lt;&gt;"",Data!B11,"")</f>
        <v>Yakoob Alajawad</v>
      </c>
      <c r="F31" s="1818"/>
      <c r="G31" s="1818"/>
      <c r="H31" s="1818"/>
      <c r="I31" s="1827" t="s">
        <v>796</v>
      </c>
      <c r="J31" s="1827"/>
      <c r="K31" s="1818" t="str">
        <f>IF(Data!B12&lt;&gt;"",Data!B12,"")</f>
        <v>Ali Alhammad</v>
      </c>
      <c r="L31" s="1818"/>
      <c r="M31" s="1818"/>
      <c r="N31" s="1818"/>
      <c r="O31" s="1819" t="s">
        <v>36</v>
      </c>
      <c r="P31" s="1819"/>
      <c r="Q31" s="1828">
        <f>IF(Data!B13&lt;&gt;"",Data!B13,"")</f>
        <v>46022</v>
      </c>
      <c r="R31" s="1828"/>
      <c r="S31" s="1828"/>
      <c r="T31" s="1828"/>
      <c r="U31" s="451"/>
      <c r="V31" s="1673"/>
      <c r="W31" s="1673"/>
      <c r="X31" s="1673"/>
      <c r="Y31" s="450"/>
      <c r="Z31" s="452"/>
    </row>
    <row r="32" spans="1:27" ht="5.15" customHeight="1" thickBot="1" x14ac:dyDescent="0.4">
      <c r="A32" s="450"/>
      <c r="B32" s="450"/>
      <c r="C32" s="450"/>
      <c r="D32" s="450"/>
      <c r="E32" s="449"/>
      <c r="F32" s="449"/>
      <c r="G32" s="449"/>
      <c r="H32" s="449"/>
      <c r="I32" s="449"/>
      <c r="J32" s="449"/>
      <c r="K32" s="451"/>
      <c r="L32" s="451"/>
      <c r="M32" s="453"/>
      <c r="N32" s="453"/>
      <c r="O32" s="453"/>
      <c r="P32" s="453"/>
      <c r="Q32" s="453"/>
      <c r="R32" s="453"/>
      <c r="S32" s="454"/>
      <c r="T32" s="451"/>
      <c r="U32" s="451"/>
      <c r="V32" s="449"/>
      <c r="W32" s="449"/>
      <c r="X32" s="449"/>
      <c r="Y32" s="452"/>
      <c r="Z32" s="452"/>
    </row>
    <row r="33" spans="1:27" ht="16" customHeight="1" x14ac:dyDescent="0.35">
      <c r="A33" s="1815" t="s">
        <v>1047</v>
      </c>
      <c r="B33" s="1813"/>
      <c r="C33" s="1813"/>
      <c r="D33" s="1813" t="s">
        <v>1048</v>
      </c>
      <c r="E33" s="1813"/>
      <c r="F33" s="1813" t="s">
        <v>1049</v>
      </c>
      <c r="G33" s="1813"/>
      <c r="H33" s="1813" t="s">
        <v>1050</v>
      </c>
      <c r="I33" s="1813"/>
      <c r="J33" s="1659" t="s">
        <v>1051</v>
      </c>
      <c r="K33" s="1659"/>
      <c r="L33" s="1813" t="s">
        <v>1052</v>
      </c>
      <c r="M33" s="1813"/>
      <c r="N33" s="1813" t="s">
        <v>21</v>
      </c>
      <c r="O33" s="1814"/>
      <c r="R33" s="1815" t="str">
        <f>IF(COUNTIF(F10,"S*"),"P.H.F.-P","P.B.U.-P")</f>
        <v>P.B.U.-P</v>
      </c>
      <c r="S33" s="1813"/>
      <c r="T33" s="1813"/>
      <c r="U33" s="1813" t="str">
        <f>IF(COUNTIF(F10,"S*"),"F.H.F.-V","F.B.U.-V")</f>
        <v>F.B.U.-V</v>
      </c>
      <c r="V33" s="1813"/>
      <c r="W33" s="1813"/>
      <c r="X33" s="1813" t="str">
        <f>IF(COUNTIF(F10,"S*"),"IA.H.F.-I","IA.B.U.-I")</f>
        <v>IA.B.U.-I</v>
      </c>
      <c r="Y33" s="1813"/>
      <c r="Z33" s="1814"/>
    </row>
    <row r="34" spans="1:27" ht="15.75" customHeight="1" thickBot="1" x14ac:dyDescent="0.4">
      <c r="A34" s="1816">
        <f>IF(OR(Data!L2=1,Data!L3=1),0,IF('Eng. Cutter Entry'!C4&lt;&gt;"",'ARDT Cutter Entry'!BI62,'ARDT Cutter Entry'!BI6))</f>
        <v>25</v>
      </c>
      <c r="B34" s="1817"/>
      <c r="C34" s="1817"/>
      <c r="D34" s="1817">
        <f>IF(OR(Data!L2=1,Data!L3=1),0,IF('Eng. Cutter Entry'!C4&lt;&gt;"",'ARDT Cutter Entry'!BI63,'ARDT Cutter Entry'!BI7))</f>
        <v>4</v>
      </c>
      <c r="E34" s="1817"/>
      <c r="F34" s="1817">
        <f>IF(OR(Data!L2=1,Data!L3=1),Data!BO63,IF('Eng. Cutter Entry'!C4&lt;&gt;"",'ARDT Cutter Entry'!BI65,'ARDT Cutter Entry'!BI9))</f>
        <v>0</v>
      </c>
      <c r="G34" s="1817"/>
      <c r="H34" s="1817">
        <f>IF(OR(Data!L2=1,Data!L3=1),0,IF('Eng. Cutter Entry'!C4&lt;&gt;"",'ARDT Cutter Entry'!BI64,'ARDT Cutter Entry'!BI8))</f>
        <v>0</v>
      </c>
      <c r="I34" s="1817"/>
      <c r="J34" s="1817">
        <f>IF(OR(Data!L2=1,Data!L3=1),0,IF('Eng. Cutter Entry'!C4&lt;&gt;"",'ARDT Cutter Entry'!BI58+'ARDT Cutter Entry'!BI59,'ARDT Cutter Entry'!BI2+'ARDT Cutter Entry'!BI3))</f>
        <v>33</v>
      </c>
      <c r="K34" s="1817"/>
      <c r="L34" s="1817">
        <f>IF(OR(Data!L2=1,Data!L3=1),0,IF('Eng. Cutter Entry'!C4&lt;&gt;"",'ARDT Cutter Entry'!BI60+'ARDT Cutter Entry'!BI61,'ARDT Cutter Entry'!BI4+'ARDT Cutter Entry'!BI5))</f>
        <v>0</v>
      </c>
      <c r="M34" s="1817"/>
      <c r="N34" s="1817">
        <f>IF(Data!BO63&lt;&gt;"",Data!BO63," ")</f>
        <v>62</v>
      </c>
      <c r="O34" s="1829"/>
      <c r="R34" s="1816">
        <f>IF(OR(Data!L2=1,Data!L3=1),0,IF('Eng. Cutter Entry'!C4&lt;&gt;"",'ARDT Cutter Entry'!AL62,'ARDT Cutter Entry'!AL2))</f>
        <v>0</v>
      </c>
      <c r="S34" s="1817"/>
      <c r="T34" s="1817"/>
      <c r="U34" s="1817">
        <f>IF(OR(Data!L2=1,Data!L3=1),0,IF('Eng. Cutter Entry'!C4&lt;&gt;"",'ARDT Cutter Entry'!AL64,'ARDT Cutter Entry'!AL4))</f>
        <v>0</v>
      </c>
      <c r="V34" s="1817"/>
      <c r="W34" s="1817"/>
      <c r="X34" s="1817">
        <f>IF(OR(Data!L2=1,Data!L3=1),0,IF('Eng. Cutter Entry'!C4&lt;&gt;"",'ARDT Cutter Entry'!AL63,'ARDT Cutter Entry'!AL3))</f>
        <v>0</v>
      </c>
      <c r="Y34" s="1817"/>
      <c r="Z34" s="1829"/>
    </row>
    <row r="35" spans="1:27" ht="3.75" customHeight="1" x14ac:dyDescent="0.35">
      <c r="A35" s="456"/>
      <c r="B35" s="456"/>
      <c r="C35" s="456"/>
      <c r="D35" s="456"/>
      <c r="E35" s="456"/>
      <c r="F35" s="456"/>
      <c r="G35" s="456"/>
      <c r="H35" s="456"/>
      <c r="I35" s="456"/>
      <c r="J35" s="456"/>
      <c r="K35" s="456"/>
      <c r="L35" s="456"/>
      <c r="M35" s="456"/>
      <c r="N35" s="456"/>
      <c r="O35" s="456"/>
      <c r="S35" s="456"/>
      <c r="T35" s="456"/>
      <c r="U35" s="456"/>
      <c r="V35" s="456"/>
      <c r="W35" s="456"/>
      <c r="X35" s="456"/>
      <c r="Y35" s="455"/>
      <c r="Z35" s="455"/>
    </row>
    <row r="36" spans="1:27" ht="13.5" customHeight="1" x14ac:dyDescent="0.35">
      <c r="A36" s="1809" t="s">
        <v>19</v>
      </c>
      <c r="B36" s="1809"/>
      <c r="C36" s="1809"/>
      <c r="D36" s="1809"/>
      <c r="E36" s="1687" t="str">
        <f>IF(Data!L2=1,"The bit is Rerunable, No need for repair. ",IF('ARDT Cutter Entry'!Y57=1,"Accepted as rerun by LSTK engineer",IF('ARDT Cutter Entry'!D21&lt;&gt;"",'ARDT Cutter Entry'!D21," ")))</f>
        <v xml:space="preserve">Shank need clean. Pinface and mud seal need buffing.  </v>
      </c>
      <c r="F36" s="1687"/>
      <c r="G36" s="1687"/>
      <c r="H36" s="1687"/>
      <c r="I36" s="1687"/>
      <c r="J36" s="1687"/>
      <c r="K36" s="1687"/>
      <c r="L36" s="1687"/>
      <c r="M36" s="1687"/>
      <c r="N36" s="1687"/>
      <c r="O36" s="1687"/>
      <c r="P36" s="1687"/>
      <c r="Q36" s="1687"/>
      <c r="R36" s="1687"/>
      <c r="S36" s="1687"/>
      <c r="T36" s="1687"/>
      <c r="U36" s="1687"/>
      <c r="V36" s="1687"/>
      <c r="W36" s="1687"/>
      <c r="X36" s="1687"/>
      <c r="Y36" s="1687"/>
      <c r="Z36" s="1687"/>
      <c r="AA36" s="1687"/>
    </row>
    <row r="37" spans="1:27" ht="13.5" customHeight="1" x14ac:dyDescent="0.35">
      <c r="A37" s="1802" t="str">
        <f>IF(Instructions!$L$1&lt;&gt;"",Instructions!$L$1,"")</f>
        <v/>
      </c>
      <c r="B37" s="1802"/>
      <c r="C37" s="1802"/>
      <c r="D37" s="1802"/>
      <c r="E37" s="1687"/>
      <c r="F37" s="1687"/>
      <c r="G37" s="1687"/>
      <c r="H37" s="1687"/>
      <c r="I37" s="1687"/>
      <c r="J37" s="1687"/>
      <c r="K37" s="1687"/>
      <c r="L37" s="1687"/>
      <c r="M37" s="1687"/>
      <c r="N37" s="1687"/>
      <c r="O37" s="1687"/>
      <c r="P37" s="1687"/>
      <c r="Q37" s="1687"/>
      <c r="R37" s="1687"/>
      <c r="S37" s="1687"/>
      <c r="T37" s="1687"/>
      <c r="U37" s="1687"/>
      <c r="V37" s="1687"/>
      <c r="W37" s="1687"/>
      <c r="X37" s="1687"/>
      <c r="Y37" s="1687"/>
      <c r="Z37" s="1687"/>
      <c r="AA37" s="1687"/>
    </row>
    <row r="38" spans="1:27" ht="13.5" customHeight="1" x14ac:dyDescent="0.35">
      <c r="A38" s="1802"/>
      <c r="B38" s="1802"/>
      <c r="C38" s="1802"/>
      <c r="D38" s="1802"/>
      <c r="E38" s="1687"/>
      <c r="F38" s="1687"/>
      <c r="G38" s="1687"/>
      <c r="H38" s="1687"/>
      <c r="I38" s="1687"/>
      <c r="J38" s="1687"/>
      <c r="K38" s="1687"/>
      <c r="L38" s="1687"/>
      <c r="M38" s="1687"/>
      <c r="N38" s="1687"/>
      <c r="O38" s="1687"/>
      <c r="P38" s="1687"/>
      <c r="Q38" s="1687"/>
      <c r="R38" s="1687"/>
      <c r="S38" s="1687"/>
      <c r="T38" s="1687"/>
      <c r="U38" s="1687"/>
      <c r="V38" s="1687"/>
      <c r="W38" s="1687"/>
      <c r="X38" s="1687"/>
      <c r="Y38" s="1687"/>
      <c r="Z38" s="1687"/>
      <c r="AA38" s="1687"/>
    </row>
    <row r="39" spans="1:27" ht="4.5" customHeight="1" x14ac:dyDescent="0.35">
      <c r="A39" s="450"/>
      <c r="B39" s="450"/>
      <c r="C39" s="450"/>
      <c r="D39" s="450"/>
      <c r="E39" s="449"/>
      <c r="F39" s="449"/>
      <c r="G39" s="449"/>
      <c r="H39" s="449"/>
      <c r="I39" s="449"/>
      <c r="J39" s="449"/>
      <c r="K39" s="451"/>
      <c r="L39" s="451"/>
      <c r="M39" s="453"/>
      <c r="N39" s="453"/>
      <c r="O39" s="453"/>
      <c r="P39" s="453"/>
      <c r="Q39" s="453"/>
      <c r="R39" s="453"/>
      <c r="S39" s="454"/>
      <c r="T39" s="451"/>
      <c r="U39" s="451"/>
      <c r="V39" s="449"/>
      <c r="W39" s="449"/>
      <c r="X39" s="449"/>
      <c r="Y39" s="452"/>
      <c r="Z39" s="452"/>
    </row>
    <row r="40" spans="1:27" ht="15.75" customHeight="1" x14ac:dyDescent="0.35">
      <c r="B40" s="1673" t="s">
        <v>729</v>
      </c>
      <c r="C40" s="1673"/>
      <c r="D40" s="1673"/>
      <c r="E40" s="1673"/>
      <c r="F40" s="1673"/>
      <c r="G40" s="1673"/>
      <c r="H40" s="1847" t="str">
        <f>IF(Data!B14&lt;&gt;"",Data!B14,"")</f>
        <v/>
      </c>
      <c r="I40" s="1847"/>
      <c r="J40" s="1847"/>
      <c r="K40" s="1847"/>
      <c r="L40" s="1847"/>
      <c r="O40" s="1827" t="s">
        <v>36</v>
      </c>
      <c r="P40" s="1827"/>
      <c r="Q40" s="1828" t="str">
        <f>IF(Data!B15&lt;&gt;"",Data!B15,"")</f>
        <v/>
      </c>
      <c r="R40" s="1828"/>
      <c r="S40" s="1828"/>
      <c r="T40" s="1828"/>
      <c r="V40" s="450"/>
      <c r="W40" s="450"/>
      <c r="X40" s="450"/>
      <c r="Y40" s="450"/>
      <c r="Z40" s="452"/>
    </row>
    <row r="41" spans="1:27" ht="3.75" customHeight="1" thickBot="1" x14ac:dyDescent="0.4">
      <c r="A41" s="456"/>
      <c r="B41" s="456"/>
      <c r="C41" s="456"/>
      <c r="D41" s="456"/>
      <c r="E41" s="456"/>
      <c r="F41" s="456"/>
      <c r="G41" s="456"/>
      <c r="H41" s="456"/>
      <c r="I41" s="456"/>
      <c r="J41" s="456"/>
      <c r="K41" s="456"/>
      <c r="L41" s="456"/>
      <c r="M41" s="456"/>
      <c r="N41" s="456"/>
      <c r="O41" s="456"/>
      <c r="S41" s="456"/>
      <c r="T41" s="456"/>
      <c r="U41" s="456"/>
      <c r="V41" s="456"/>
      <c r="W41" s="456"/>
      <c r="X41" s="456"/>
      <c r="Y41" s="455"/>
      <c r="Z41" s="455"/>
    </row>
    <row r="42" spans="1:27" ht="16" customHeight="1" x14ac:dyDescent="0.35">
      <c r="A42" s="1815" t="s">
        <v>39</v>
      </c>
      <c r="B42" s="1813"/>
      <c r="C42" s="1813"/>
      <c r="D42" s="1813"/>
      <c r="E42" s="1813"/>
      <c r="F42" s="1813"/>
      <c r="G42" s="1813"/>
      <c r="H42" s="1813"/>
      <c r="I42" s="1813"/>
      <c r="J42" s="1813"/>
      <c r="K42" s="1813"/>
      <c r="L42" s="1813"/>
      <c r="M42" s="1813"/>
      <c r="N42" s="1813"/>
      <c r="O42" s="1813"/>
      <c r="P42" s="1813"/>
      <c r="Q42" s="1813"/>
      <c r="R42" s="1813"/>
      <c r="S42" s="1813"/>
      <c r="T42" s="1813"/>
      <c r="U42" s="1813"/>
      <c r="V42" s="1813"/>
      <c r="W42" s="1813"/>
      <c r="X42" s="1813"/>
      <c r="Y42" s="1813"/>
      <c r="Z42" s="1813"/>
      <c r="AA42" s="1814"/>
    </row>
    <row r="43" spans="1:27" ht="16" customHeight="1" x14ac:dyDescent="0.35">
      <c r="A43" s="1830" t="s">
        <v>108</v>
      </c>
      <c r="B43" s="1804"/>
      <c r="C43" s="1648" t="s">
        <v>40</v>
      </c>
      <c r="D43" s="1648"/>
      <c r="E43" s="1803" t="s">
        <v>41</v>
      </c>
      <c r="F43" s="1803"/>
      <c r="G43" s="1803"/>
      <c r="H43" s="1803" t="s">
        <v>730</v>
      </c>
      <c r="I43" s="1803"/>
      <c r="J43" s="1803"/>
      <c r="K43" s="1804" t="s">
        <v>43</v>
      </c>
      <c r="L43" s="1804"/>
      <c r="M43" s="1804"/>
      <c r="N43" s="1804"/>
      <c r="O43" s="1804"/>
      <c r="P43" s="1804"/>
      <c r="Q43" s="1804"/>
      <c r="R43" s="1804"/>
      <c r="S43" s="1804"/>
      <c r="T43" s="1800" t="s">
        <v>44</v>
      </c>
      <c r="U43" s="1800"/>
      <c r="V43" s="1800"/>
      <c r="W43" s="1800"/>
      <c r="X43" s="1800"/>
      <c r="Y43" s="1800"/>
      <c r="Z43" s="1800"/>
      <c r="AA43" s="1801"/>
    </row>
    <row r="44" spans="1:27" ht="16" customHeight="1" x14ac:dyDescent="0.35">
      <c r="A44" s="1830"/>
      <c r="B44" s="1804"/>
      <c r="C44" s="1648"/>
      <c r="D44" s="1648"/>
      <c r="E44" s="1803"/>
      <c r="F44" s="1803"/>
      <c r="G44" s="1803"/>
      <c r="H44" s="1803"/>
      <c r="I44" s="1803"/>
      <c r="J44" s="1803"/>
      <c r="K44" s="1804"/>
      <c r="L44" s="1804"/>
      <c r="M44" s="1804"/>
      <c r="N44" s="1804"/>
      <c r="O44" s="1804"/>
      <c r="P44" s="1804"/>
      <c r="Q44" s="1804"/>
      <c r="R44" s="1804"/>
      <c r="S44" s="1804"/>
      <c r="T44" s="1800" t="s">
        <v>727</v>
      </c>
      <c r="U44" s="1800"/>
      <c r="V44" s="1800"/>
      <c r="W44" s="1800"/>
      <c r="X44" s="1800" t="s">
        <v>728</v>
      </c>
      <c r="Y44" s="1800"/>
      <c r="Z44" s="1800"/>
      <c r="AA44" s="1801"/>
    </row>
    <row r="45" spans="1:27" ht="16" customHeight="1" x14ac:dyDescent="0.35">
      <c r="A45" s="1419">
        <f>IF(TRIM(H45)="","",IF(Data!CX60&gt;0,IF(Data!CX60&lt;&gt;"", Data!CX60, " ")," "))</f>
        <v>1</v>
      </c>
      <c r="B45" s="1420"/>
      <c r="C45" s="1799">
        <f>IF(Data!L5&lt;&gt;1,IF(Quotation!$W$27=550,0,IF('Eng. Cutter Entry'!$C$4&lt;&gt;"",IF(Data!E12&gt;0,IF(Data!E12&lt;&gt;"", Data!E12,0),0),'ARDT Cutter Entry'!AQ2+'ARDT Cutter Entry'!AQ3+'ARDT Cutter Entry'!AQ4+'ARDT Cutter Entry'!AQ5)),"")</f>
        <v>0</v>
      </c>
      <c r="D45" s="1799"/>
      <c r="E45" s="1799">
        <f>IF(Data!GK2&gt;0,IF(Data!GK2&lt;&gt;"",Data!GK2," ")," ")</f>
        <v>1613</v>
      </c>
      <c r="F45" s="1799"/>
      <c r="G45" s="1799"/>
      <c r="H45" s="1799">
        <f>IF(Data!GG2&gt;0,IF(Data!GG2&lt;&gt;"",IF(Data!GG2&lt;&gt;"Add the cutter in list",Data!GG2," ")," "),"")</f>
        <v>1039060</v>
      </c>
      <c r="I45" s="1799"/>
      <c r="J45" s="1799"/>
      <c r="K45" s="1567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CT138  0.018"</v>
      </c>
      <c r="L45" s="1567"/>
      <c r="M45" s="1567"/>
      <c r="N45" s="1567"/>
      <c r="O45" s="1799" t="str">
        <f>IF(AND(Data!GR2&lt;&gt;"",Data!GR2&lt;&gt;0),Data!GR2,"")</f>
        <v/>
      </c>
      <c r="P45" s="1799"/>
      <c r="Q45" s="1799"/>
      <c r="R45" s="1799"/>
      <c r="S45" s="1799"/>
      <c r="T45" s="1800" t="str">
        <f>IF(Data!L12=0,"",Data!L12)</f>
        <v/>
      </c>
      <c r="U45" s="1800"/>
      <c r="V45" s="1800"/>
      <c r="W45" s="1800"/>
      <c r="X45" s="1800" t="str">
        <f>IF(Data!M12&lt;&gt;"",Data!M12,IF(IFERROR(C45-T45,C45)=0,"",IFERROR(C45-T45,C45)))</f>
        <v/>
      </c>
      <c r="Y45" s="1800"/>
      <c r="Z45" s="1800"/>
      <c r="AA45" s="1801"/>
    </row>
    <row r="46" spans="1:27" ht="16" customHeight="1" x14ac:dyDescent="0.35">
      <c r="A46" s="1419">
        <f>IF(TRIM(H46)="","",IF(Data!CX61&gt;0,IF(Data!CX61&lt;&gt;"", Data!CX61, " ")," "))</f>
        <v>2</v>
      </c>
      <c r="B46" s="1420"/>
      <c r="C46" s="1799">
        <f>IF(Data!L5&lt;&gt;1,IF(Quotation!$W$27=550,0,IF('Eng. Cutter Entry'!$C$4&lt;&gt;"",IF(Data!E13&gt;0,IF(Data!E13&lt;&gt;"", Data!E13, 0),0),'ARDT Cutter Entry'!AR2+'ARDT Cutter Entry'!AR3+'ARDT Cutter Entry'!AR4+'ARDT Cutter Entry'!AR5)),"")</f>
        <v>0</v>
      </c>
      <c r="D46" s="1799"/>
      <c r="E46" s="1799">
        <f>IF(Data!GK3&gt;0,IF(Data!GK3&lt;&gt;"",Data!GK3," ")," ")</f>
        <v>1608</v>
      </c>
      <c r="F46" s="1799"/>
      <c r="G46" s="1799"/>
      <c r="H46" s="1799">
        <f>IF(Data!GG3&gt;0,IF(Data!GG3&lt;&gt;"",IF(Data!GG3&lt;&gt;"Add the cutter in list",Data!GG3," ")," "),"")</f>
        <v>1130197</v>
      </c>
      <c r="I46" s="1799"/>
      <c r="J46" s="1799"/>
      <c r="K46" s="1567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CT182  0.018</v>
      </c>
      <c r="L46" s="1567"/>
      <c r="M46" s="1567"/>
      <c r="N46" s="1567"/>
      <c r="O46" s="1799" t="str">
        <f>IF(AND(Data!GR3&lt;&gt;"",Data!GR3&lt;&gt;0),Data!GR3,"")</f>
        <v/>
      </c>
      <c r="P46" s="1799"/>
      <c r="Q46" s="1799"/>
      <c r="R46" s="1799"/>
      <c r="S46" s="1799"/>
      <c r="T46" s="1800" t="str">
        <f>IF(Data!L13=0,"",Data!L13)</f>
        <v/>
      </c>
      <c r="U46" s="1800"/>
      <c r="V46" s="1800"/>
      <c r="W46" s="1800"/>
      <c r="X46" s="1800" t="str">
        <f>IF(Data!M13&lt;&gt;"",Data!M13,IF(IFERROR(C46-T46,C46)=0,"",IFERROR(C46-T46,C46)))</f>
        <v/>
      </c>
      <c r="Y46" s="1800"/>
      <c r="Z46" s="1800"/>
      <c r="AA46" s="1801"/>
    </row>
    <row r="47" spans="1:27" ht="16" customHeight="1" x14ac:dyDescent="0.35">
      <c r="A47" s="1419">
        <f>IF(TRIM(H47)="","",IF(Data!CX62&gt;0,IF(Data!CX62&lt;&gt;"", Data!CX62, " ")," "))</f>
        <v>3</v>
      </c>
      <c r="B47" s="1420"/>
      <c r="C47" s="1799">
        <f>IF(Data!L5&lt;&gt;1,IF(Quotation!$W$27=550,0,IF('Eng. Cutter Entry'!$C$4&lt;&gt;"",IF(Data!E14&gt;0,IF(Data!E14&lt;&gt;"", Data!E14, 0),0),'ARDT Cutter Entry'!AS2+'ARDT Cutter Entry'!AS3+'ARDT Cutter Entry'!AS4+'ARDT Cutter Entry'!AS5)),"")</f>
        <v>6</v>
      </c>
      <c r="D47" s="1799"/>
      <c r="E47" s="1799">
        <f>IF(Data!GK4&gt;0,IF(Data!GK4&lt;&gt;"",Data!GK4," ")," ")</f>
        <v>1308</v>
      </c>
      <c r="F47" s="1799"/>
      <c r="G47" s="1799"/>
      <c r="H47" s="1799">
        <f>IF(Data!GG4&gt;0,IF(Data!GG4&lt;&gt;"",IF(Data!GG4&lt;&gt;"Add the cutter in list",Data!GG4," ")," "),"")</f>
        <v>418525</v>
      </c>
      <c r="I47" s="1799"/>
      <c r="J47" s="1799"/>
      <c r="K47" s="1567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L47" s="1567"/>
      <c r="M47" s="1567"/>
      <c r="N47" s="1567"/>
      <c r="O47" s="1799" t="str">
        <f>IF(AND(Data!GR4&lt;&gt;"",Data!GR4&lt;&gt;0),Data!GR4,"")</f>
        <v/>
      </c>
      <c r="P47" s="1799"/>
      <c r="Q47" s="1799"/>
      <c r="R47" s="1799"/>
      <c r="S47" s="1799"/>
      <c r="T47" s="1800" t="str">
        <f>IF(Data!L14=0,"",Data!L14)</f>
        <v/>
      </c>
      <c r="U47" s="1800"/>
      <c r="V47" s="1800"/>
      <c r="W47" s="1800"/>
      <c r="X47" s="1800">
        <f>IF(Data!M14&lt;&gt;"",Data!M14,IF(IFERROR(C47-T47,C47)=0,"",IFERROR(C47-T47,C47)))</f>
        <v>6</v>
      </c>
      <c r="Y47" s="1800"/>
      <c r="Z47" s="1800"/>
      <c r="AA47" s="1801"/>
    </row>
    <row r="48" spans="1:27" ht="16" customHeight="1" x14ac:dyDescent="0.35">
      <c r="A48" s="1419">
        <f>IF(TRIM(H48)="","",IF(Data!CX63&gt;0,IF(Data!CX63&lt;&gt;"", Data!CX63, " ")," "))</f>
        <v>4</v>
      </c>
      <c r="B48" s="1420"/>
      <c r="C48" s="1799">
        <f>IF(Data!L5&lt;&gt;1,IF(Quotation!$W$27=550,0,IF('Eng. Cutter Entry'!$C$4&lt;&gt;"",IF(Data!E15&gt;0,IF(Data!E15&lt;&gt;"", Data!E15, 0),0),'ARDT Cutter Entry'!AT2+'ARDT Cutter Entry'!AT3+'ARDT Cutter Entry'!AT4+'ARDT Cutter Entry'!AT5)),"")</f>
        <v>6</v>
      </c>
      <c r="D48" s="1799"/>
      <c r="E48" s="1799">
        <f>IF(Data!GK5&gt;0,IF(Data!GK5&lt;&gt;"",Data!GK5," ")," ")</f>
        <v>1608</v>
      </c>
      <c r="F48" s="1799"/>
      <c r="G48" s="1799"/>
      <c r="H48" s="1799">
        <f>IF(Data!GG5&gt;0,IF(Data!GG5&lt;&gt;"",IF(Data!GG5&lt;&gt;"Add the cutter in list",Data!GG5," ")," "),"")</f>
        <v>643738</v>
      </c>
      <c r="I48" s="1799"/>
      <c r="J48" s="1799"/>
      <c r="K48" s="1567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CT70  0.018"</v>
      </c>
      <c r="L48" s="1567"/>
      <c r="M48" s="1567"/>
      <c r="N48" s="1567"/>
      <c r="O48" s="1799" t="str">
        <f>IF(AND(Data!GR5&lt;&gt;"",Data!GR5&lt;&gt;0),Data!GR5,"")</f>
        <v/>
      </c>
      <c r="P48" s="1799"/>
      <c r="Q48" s="1799"/>
      <c r="R48" s="1799"/>
      <c r="S48" s="1799"/>
      <c r="T48" s="1800" t="str">
        <f>IF(Data!L15=0,"",Data!L15)</f>
        <v/>
      </c>
      <c r="U48" s="1800"/>
      <c r="V48" s="1800"/>
      <c r="W48" s="1800"/>
      <c r="X48" s="1800" t="str">
        <f>IF(Data!M15&lt;&gt;"",Data!M15,IF(IFERROR(C48-T48,C48)=0,"",IFERROR(C48-T48,C48)))</f>
        <v>[ ENO GRD 6]</v>
      </c>
      <c r="Y48" s="1800"/>
      <c r="Z48" s="1800"/>
      <c r="AA48" s="1801"/>
    </row>
    <row r="49" spans="1:34" ht="16" customHeight="1" x14ac:dyDescent="0.35">
      <c r="A49" s="1419">
        <f>IF(TRIM(H49)="","",IF(Data!CX64&gt;0,IF(Data!CX64&lt;&gt;"", Data!CX64, " ")," "))</f>
        <v>5</v>
      </c>
      <c r="B49" s="1420"/>
      <c r="C49" s="1799">
        <f>IF(Data!L5&lt;&gt;1,IF(Quotation!$W$27=550,0,IF('Eng. Cutter Entry'!$C$4&lt;&gt;"",IF(Data!E16&gt;0,IF(Data!E16&lt;&gt;"", Data!E16, 0),0),'ARDT Cutter Entry'!AU2+'ARDT Cutter Entry'!AU3+'ARDT Cutter Entry'!AU4+'ARDT Cutter Entry'!AU5)),"")</f>
        <v>21</v>
      </c>
      <c r="D49" s="1799"/>
      <c r="E49" s="1799">
        <f>IF(Data!GK6&gt;0,IF(Data!GK6&lt;&gt;"",Data!GK6," ")," ")</f>
        <v>1613</v>
      </c>
      <c r="F49" s="1799"/>
      <c r="G49" s="1799"/>
      <c r="H49" s="1799">
        <f>IF(Data!GG6&gt;0,IF(Data!GG6&lt;&gt;"",IF(Data!GG6&lt;&gt;"Add the cutter in list",Data!GG6," ")," "),"")</f>
        <v>1126402</v>
      </c>
      <c r="I49" s="1799"/>
      <c r="J49" s="1799"/>
      <c r="K49" s="1567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>CT421  18-60</v>
      </c>
      <c r="L49" s="1567"/>
      <c r="M49" s="1567"/>
      <c r="N49" s="1567"/>
      <c r="O49" s="1799" t="str">
        <f>IF(AND(Data!GR6&lt;&gt;"",Data!GR6&lt;&gt;0),Data!GR6,"")</f>
        <v/>
      </c>
      <c r="P49" s="1799"/>
      <c r="Q49" s="1799"/>
      <c r="R49" s="1799"/>
      <c r="S49" s="1799"/>
      <c r="T49" s="1800" t="str">
        <f>IF(Data!L16=0,"",Data!L16)</f>
        <v/>
      </c>
      <c r="U49" s="1800"/>
      <c r="V49" s="1800"/>
      <c r="W49" s="1800"/>
      <c r="X49" s="1800">
        <f>IF(Data!M16&lt;&gt;"",Data!M16,IF(IFERROR(C49-T49,C49)=0,"",IFERROR(C49-T49,C49)))</f>
        <v>21</v>
      </c>
      <c r="Y49" s="1800"/>
      <c r="Z49" s="1800"/>
      <c r="AA49" s="1801"/>
    </row>
    <row r="50" spans="1:34" ht="16" customHeight="1" x14ac:dyDescent="0.35">
      <c r="A50" s="1419" t="str">
        <f>IF(TRIM(H50)="","",IF(Data!CX65&gt;0,IF(Data!CX65&lt;&gt;"", Data!CX65, " ")," "))</f>
        <v/>
      </c>
      <c r="B50" s="1420"/>
      <c r="C50" s="1799">
        <f>IF(Data!L5&lt;&gt;1,IF(Quotation!$W$27=550,0,IF('Eng. Cutter Entry'!$C$4&lt;&gt;"",IF(Data!E17&gt;0,IF(Data!E17&lt;&gt;"", Data!E17, 0),0),'ARDT Cutter Entry'!AV2+'ARDT Cutter Entry'!AV3+'ARDT Cutter Entry'!AV4+'ARDT Cutter Entry'!AV5)),"")</f>
        <v>0</v>
      </c>
      <c r="D50" s="1799"/>
      <c r="E50" s="1799" t="str">
        <f>IF(Data!GK7&gt;0,IF(Data!GK7&lt;&gt;"",Data!GK7," ")," ")</f>
        <v xml:space="preserve"> </v>
      </c>
      <c r="F50" s="1799"/>
      <c r="G50" s="1799"/>
      <c r="H50" s="1799" t="str">
        <f>IF(Data!GG7&gt;0,IF(Data!GG7&lt;&gt;"",IF(Data!GG7&lt;&gt;"Add the cutter in list",Data!GG7," ")," "),"")</f>
        <v xml:space="preserve"> </v>
      </c>
      <c r="I50" s="1799"/>
      <c r="J50" s="1799"/>
      <c r="K50" s="1567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L50" s="1567"/>
      <c r="M50" s="1567"/>
      <c r="N50" s="1567"/>
      <c r="O50" s="1799" t="str">
        <f>IF(AND(Data!GR7&lt;&gt;"",Data!GR7&lt;&gt;0),Data!GR7,"")</f>
        <v/>
      </c>
      <c r="P50" s="1799"/>
      <c r="Q50" s="1799"/>
      <c r="R50" s="1799"/>
      <c r="S50" s="1799"/>
      <c r="T50" s="1800" t="str">
        <f>IF(Data!L17=0,"",Data!L17)</f>
        <v/>
      </c>
      <c r="U50" s="1800"/>
      <c r="V50" s="1800"/>
      <c r="W50" s="1800"/>
      <c r="X50" s="1800" t="str">
        <f>IF(Data!M17&lt;&gt;"",Data!M17,IF(IFERROR(C50-T50,C50)=0,"",IFERROR(C50-T50,C50)))</f>
        <v/>
      </c>
      <c r="Y50" s="1800"/>
      <c r="Z50" s="1800"/>
      <c r="AA50" s="1801"/>
    </row>
    <row r="51" spans="1:34" ht="16" customHeight="1" x14ac:dyDescent="0.35">
      <c r="A51" s="1419" t="str">
        <f>IF(TRIM(H51)="","",IF(Data!CX66&gt;0,IF(Data!CX66&lt;&gt;"", Data!CX66, " ")," "))</f>
        <v/>
      </c>
      <c r="B51" s="1420"/>
      <c r="C51" s="1799">
        <f>IF(Data!L5&lt;&gt;1,IF(Quotation!$W$27=550,0,IF('Eng. Cutter Entry'!$C$4&lt;&gt;"",IF(Data!E18&gt;0,IF(Data!E18&lt;&gt;"", Data!E18, 0),0),'ARDT Cutter Entry'!AW2+'ARDT Cutter Entry'!AW3+'ARDT Cutter Entry'!AW4+'ARDT Cutter Entry'!AW5)),"")</f>
        <v>0</v>
      </c>
      <c r="D51" s="1799"/>
      <c r="E51" s="1799" t="str">
        <f>IF(Data!GK8&gt;0,IF(Data!GK8&lt;&gt;"",Data!GK8," ")," ")</f>
        <v xml:space="preserve"> </v>
      </c>
      <c r="F51" s="1799"/>
      <c r="G51" s="1799"/>
      <c r="H51" s="1799" t="str">
        <f>IF(Data!GG8&gt;0,IF(Data!GG8&lt;&gt;"",IF(Data!GG8&lt;&gt;"Add the cutter in list",Data!GG8," ")," "),"")</f>
        <v xml:space="preserve"> </v>
      </c>
      <c r="I51" s="1799"/>
      <c r="J51" s="1799"/>
      <c r="K51" s="1567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L51" s="1567"/>
      <c r="M51" s="1567"/>
      <c r="N51" s="1567"/>
      <c r="O51" s="1799" t="str">
        <f>IF(AND(Data!GR8&lt;&gt;"",Data!GR8&lt;&gt;0),Data!GR8,"")</f>
        <v/>
      </c>
      <c r="P51" s="1799"/>
      <c r="Q51" s="1799"/>
      <c r="R51" s="1799"/>
      <c r="S51" s="1799"/>
      <c r="T51" s="1800" t="str">
        <f>IF(Data!L18=0,"",Data!L18)</f>
        <v/>
      </c>
      <c r="U51" s="1800"/>
      <c r="V51" s="1800"/>
      <c r="W51" s="1800"/>
      <c r="X51" s="1800" t="str">
        <f>IF(Data!M18&lt;&gt;"",Data!M18,IF(IFERROR(C51-T51,C51)=0,"",IFERROR(C51-T51,C51)))</f>
        <v/>
      </c>
      <c r="Y51" s="1800"/>
      <c r="Z51" s="1800"/>
      <c r="AA51" s="1801"/>
    </row>
    <row r="52" spans="1:34" ht="16" customHeight="1" x14ac:dyDescent="0.35">
      <c r="A52" s="1851" t="str">
        <f>IF(TRIM(H52)="","",IF(Data!CX67&gt;0,IF(Data!CX67&lt;&gt;"", Data!CX67, " ")," "))</f>
        <v/>
      </c>
      <c r="B52" s="1852"/>
      <c r="C52" s="1799">
        <f>IF(Data!L5&lt;&gt;1,IF(Quotation!$W$27=550,0,IF('Eng. Cutter Entry'!$C$4&lt;&gt;"",IF(Data!E19&gt;0,IF(Data!E19&lt;&gt;"", Data!E19, 0),0),'ARDT Cutter Entry'!AX2+'ARDT Cutter Entry'!AX3+'ARDT Cutter Entry'!AX4+'ARDT Cutter Entry'!AX5)),"")</f>
        <v>0</v>
      </c>
      <c r="D52" s="1799"/>
      <c r="E52" s="1799" t="str">
        <f>IF(Data!GK9&gt;0,IF(Data!GK9&lt;&gt;"",Data!GK9," ")," ")</f>
        <v xml:space="preserve"> </v>
      </c>
      <c r="F52" s="1799"/>
      <c r="G52" s="1799"/>
      <c r="H52" s="1799" t="str">
        <f>IF(Data!GG9&gt;0,IF(Data!GG9&lt;&gt;"",IF(Data!GG9&lt;&gt;"Add the cutter in list",Data!GG9," ")," "),"")</f>
        <v xml:space="preserve"> </v>
      </c>
      <c r="I52" s="1799"/>
      <c r="J52" s="1799"/>
      <c r="K52" s="1567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L52" s="1567"/>
      <c r="M52" s="1567"/>
      <c r="N52" s="1567"/>
      <c r="O52" s="1799" t="str">
        <f>IF(AND(Data!GR9&lt;&gt;"",Data!GR9&lt;&gt;0),Data!GR9,"")</f>
        <v/>
      </c>
      <c r="P52" s="1799"/>
      <c r="Q52" s="1799"/>
      <c r="R52" s="1799"/>
      <c r="S52" s="1799"/>
      <c r="T52" s="1800" t="str">
        <f>IF(Data!L19=0,"",Data!L19)</f>
        <v/>
      </c>
      <c r="U52" s="1800"/>
      <c r="V52" s="1800"/>
      <c r="W52" s="1800"/>
      <c r="X52" s="1800" t="str">
        <f>IF(Data!M19&lt;&gt;"",Data!M19,IF(IFERROR(C52-T52,C52)=0,"",IFERROR(C52-T52,C52)))</f>
        <v/>
      </c>
      <c r="Y52" s="1800"/>
      <c r="Z52" s="1800"/>
      <c r="AA52" s="1801"/>
    </row>
    <row r="53" spans="1:34" ht="15.75" customHeight="1" x14ac:dyDescent="0.35">
      <c r="A53" s="1853" t="str">
        <f>IF(TRIM(H53)="","",IF(Data!CX68&gt;0,IF(Data!CX68&lt;&gt;"", Data!CX68, " ")," "))</f>
        <v/>
      </c>
      <c r="B53" s="1854"/>
      <c r="C53" s="1799">
        <f>IF(Data!L5&lt;&gt;1,IF(Quotation!$W$27=550,0,IF('Eng. Cutter Entry'!$C$4&lt;&gt;"",IF(Data!E20&gt;0,IF(Data!E20&lt;&gt;"", Data!E20, 0),0),'ARDT Cutter Entry'!AY2+'ARDT Cutter Entry'!AY3+'ARDT Cutter Entry'!AY4+'ARDT Cutter Entry'!AY5)),"")</f>
        <v>0</v>
      </c>
      <c r="D53" s="1799"/>
      <c r="E53" s="1799" t="str">
        <f>IF(Data!GK10&gt;0,IF(Data!GK10&lt;&gt;"",Data!GK10," ")," ")</f>
        <v xml:space="preserve"> </v>
      </c>
      <c r="F53" s="1799"/>
      <c r="G53" s="1799"/>
      <c r="H53" s="1799" t="str">
        <f>IF(Data!GG10&gt;0,IF(Data!GG10&lt;&gt;"",IF(Data!GG10&lt;&gt;"Add the cutter in list",Data!GG10," ")," "),"")</f>
        <v xml:space="preserve"> </v>
      </c>
      <c r="I53" s="1799"/>
      <c r="J53" s="1799"/>
      <c r="K53" s="1567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L53" s="1567"/>
      <c r="M53" s="1567"/>
      <c r="N53" s="1567"/>
      <c r="O53" s="1799" t="str">
        <f>IF(AND(Data!GR10&lt;&gt;"",Data!GR10&lt;&gt;0),Data!GR10,"")</f>
        <v/>
      </c>
      <c r="P53" s="1799"/>
      <c r="Q53" s="1799"/>
      <c r="R53" s="1799"/>
      <c r="S53" s="1799"/>
      <c r="T53" s="1800" t="str">
        <f>IF(Data!L20=0,"",Data!L20)</f>
        <v/>
      </c>
      <c r="U53" s="1800"/>
      <c r="V53" s="1800"/>
      <c r="W53" s="1800"/>
      <c r="X53" s="1800" t="str">
        <f>IF(Data!M20&lt;&gt;"",Data!M20,IF(IFERROR(C53-T53,C53)=0,"",IFERROR(C53-T53,C53)))</f>
        <v/>
      </c>
      <c r="Y53" s="1800"/>
      <c r="Z53" s="1800"/>
      <c r="AA53" s="1801"/>
    </row>
    <row r="54" spans="1:34" ht="15.75" customHeight="1" x14ac:dyDescent="0.35">
      <c r="A54" s="1797" t="str">
        <f>IF(TRIM(H54)="","",IF(Data!CX69&gt;0,IF(Data!CX69&lt;&gt;"", Data!CX69, " ")," "))</f>
        <v/>
      </c>
      <c r="B54" s="1798"/>
      <c r="C54" s="1799">
        <f>IF(Data!L5&lt;&gt;1,IF(Quotation!$W$27=550,0,IF('Eng. Cutter Entry'!$C$4&lt;&gt;"",IF(Data!E21&gt;0,IF(Data!E21&lt;&gt;"", Data!E21, 0),0),'ARDT Cutter Entry'!AZ2+'ARDT Cutter Entry'!AZ3+'ARDT Cutter Entry'!AZ4+'ARDT Cutter Entry'!AZ5)),"")</f>
        <v>0</v>
      </c>
      <c r="D54" s="1799"/>
      <c r="E54" s="1799" t="str">
        <f>IF(Data!GK11&gt;0,IF(Data!GK11&lt;&gt;"",Data!GK11," ")," ")</f>
        <v xml:space="preserve"> </v>
      </c>
      <c r="F54" s="1799"/>
      <c r="G54" s="1799"/>
      <c r="H54" s="1799" t="str">
        <f>IF(Data!GG11&gt;0,IF(Data!GG11&lt;&gt;"",IF(Data!GG11&lt;&gt;"Add the cutter in list",Data!GG11," ")," "),"")</f>
        <v xml:space="preserve"> </v>
      </c>
      <c r="I54" s="1799"/>
      <c r="J54" s="1799"/>
      <c r="K54" s="1567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L54" s="1567"/>
      <c r="M54" s="1567"/>
      <c r="N54" s="1567"/>
      <c r="O54" s="1799" t="str">
        <f>IF(AND(Data!GR11&lt;&gt;"",Data!GR11&lt;&gt;0),Data!GR11,"")</f>
        <v/>
      </c>
      <c r="P54" s="1799"/>
      <c r="Q54" s="1799"/>
      <c r="R54" s="1799"/>
      <c r="S54" s="1799"/>
      <c r="T54" s="1800" t="str">
        <f>IF(Data!L21=0,"",Data!L21)</f>
        <v/>
      </c>
      <c r="U54" s="1800"/>
      <c r="V54" s="1800"/>
      <c r="W54" s="1800"/>
      <c r="X54" s="1800" t="str">
        <f>IF(Data!M21&lt;&gt;"",Data!M21,IF(IFERROR(C54-T54,C54)=0,"",IFERROR(C54-T54,C54)))</f>
        <v/>
      </c>
      <c r="Y54" s="1800"/>
      <c r="Z54" s="1800"/>
      <c r="AA54" s="1801"/>
    </row>
    <row r="55" spans="1:34" ht="15.75" customHeight="1" x14ac:dyDescent="0.35">
      <c r="A55" s="1797" t="str">
        <f>IF(TRIM(H55)="","",IF(Data!CX70&gt;0,IF(Data!CX70&lt;&gt;"", Data!CX70, " ")," "))</f>
        <v/>
      </c>
      <c r="B55" s="1798"/>
      <c r="C55" s="1799">
        <f>IF(Data!L5&lt;&gt;1,IF(Quotation!$W$27=550,0,IF('Eng. Cutter Entry'!$C$4&lt;&gt;"",IF(Data!E22&gt;0,IF(Data!E22&lt;&gt;"", Data!E22, 0),0),'ARDT Cutter Entry'!BA2+'ARDT Cutter Entry'!BA3+'ARDT Cutter Entry'!BA4+'ARDT Cutter Entry'!BA5)),"")</f>
        <v>0</v>
      </c>
      <c r="D55" s="1799"/>
      <c r="E55" s="1799" t="str">
        <f>IF(Data!GK12&gt;0,IF(Data!GK12&lt;&gt;"",Data!GK12," ")," ")</f>
        <v xml:space="preserve"> </v>
      </c>
      <c r="F55" s="1799"/>
      <c r="G55" s="1799"/>
      <c r="H55" s="1799" t="str">
        <f>IF(Data!GG12&gt;0,IF(Data!GG12&lt;&gt;"",IF(Data!GG12&lt;&gt;"Add the cutter in list",Data!GG12," ")," "),"")</f>
        <v xml:space="preserve"> </v>
      </c>
      <c r="I55" s="1799"/>
      <c r="J55" s="1799"/>
      <c r="K55" s="1567" t="str">
        <f>IF(TRIM(IF(AND(Data!GL12&lt;&gt;"",Data!GL12&lt;&gt;0),Data!GL12,"")&amp;"  "&amp;IF(AND(Data!GN12&lt;&gt;"",Data!GN12&lt;&gt;0),Data!GN12,""))="",IF(AND(Data!GM12&lt;&gt;"",Data!GM12&lt;&gt;0),Data!GM12,""),IF(AND(Data!GL12&lt;&gt;"",Data!GL12&lt;&gt;0),Data!GL12,"")&amp;"  "&amp;IF(AND(Data!GN12&lt;&gt;"",Data!GN12&lt;&gt;0),Data!GN12,""))</f>
        <v/>
      </c>
      <c r="L55" s="1567"/>
      <c r="M55" s="1567"/>
      <c r="N55" s="1567"/>
      <c r="O55" s="1799" t="str">
        <f>IF(AND(Data!GR12&lt;&gt;"",Data!GR12&lt;&gt;0),Data!GR12,"")</f>
        <v/>
      </c>
      <c r="P55" s="1799"/>
      <c r="Q55" s="1799"/>
      <c r="R55" s="1799"/>
      <c r="S55" s="1799"/>
      <c r="T55" s="1800" t="str">
        <f>IF(Data!L22=0,"",Data!L22)</f>
        <v/>
      </c>
      <c r="U55" s="1800"/>
      <c r="V55" s="1800"/>
      <c r="W55" s="1800"/>
      <c r="X55" s="1800" t="str">
        <f>IF(Data!M22&lt;&gt;"",Data!M22,IF(IFERROR(C55-T55,C55)=0,"",IFERROR(C55-T55,C55)))</f>
        <v/>
      </c>
      <c r="Y55" s="1800"/>
      <c r="Z55" s="1800"/>
      <c r="AA55" s="1801"/>
    </row>
    <row r="56" spans="1:34" ht="15.75" customHeight="1" x14ac:dyDescent="0.35">
      <c r="A56" s="1797" t="str">
        <f>IF(TRIM(H56)="","",IF(Data!CX71&gt;0,IF(Data!CX71&lt;&gt;"", Data!CX71, " ")," "))</f>
        <v/>
      </c>
      <c r="B56" s="1798"/>
      <c r="C56" s="1799">
        <f>IF(Data!L5&lt;&gt;1,IF(Quotation!$W$27=550,0,IF('Eng. Cutter Entry'!$C$4&lt;&gt;"",IF(Data!E23&gt;0,IF(Data!E23&lt;&gt;"", Data!E23, 0),0),'ARDT Cutter Entry'!BB2+'ARDT Cutter Entry'!BB3+'ARDT Cutter Entry'!BB4+'ARDT Cutter Entry'!BB5)),"")</f>
        <v>0</v>
      </c>
      <c r="D56" s="1799"/>
      <c r="E56" s="1799" t="str">
        <f>IF(Data!GK13&gt;0,IF(Data!GK13&lt;&gt;"",Data!GK13," ")," ")</f>
        <v xml:space="preserve"> </v>
      </c>
      <c r="F56" s="1799"/>
      <c r="G56" s="1799"/>
      <c r="H56" s="1799" t="str">
        <f>IF(Data!GG13&gt;0,IF(Data!GG13&lt;&gt;"",IF(Data!GG13&lt;&gt;"Add the cutter in list",Data!GG13," ")," "),"")</f>
        <v xml:space="preserve"> </v>
      </c>
      <c r="I56" s="1799"/>
      <c r="J56" s="1799"/>
      <c r="K56" s="1567" t="str">
        <f>IF(TRIM(IF(AND(Data!GL13&lt;&gt;"",Data!GL13&lt;&gt;0),Data!GL13,"")&amp;"  "&amp;IF(AND(Data!GN13&lt;&gt;"",Data!GN13&lt;&gt;0),Data!GN13,""))="",IF(AND(Data!GM13&lt;&gt;"",Data!GM13&lt;&gt;0),Data!GM13,""),IF(AND(Data!GL13&lt;&gt;"",Data!GL13&lt;&gt;0),Data!GL13,"")&amp;"  "&amp;IF(AND(Data!GN13&lt;&gt;"",Data!GN13&lt;&gt;0),Data!GN13,""))</f>
        <v/>
      </c>
      <c r="L56" s="1567"/>
      <c r="M56" s="1567"/>
      <c r="N56" s="1567"/>
      <c r="O56" s="1799" t="str">
        <f>IF(AND(Data!GR13&lt;&gt;"",Data!GR13&lt;&gt;0),Data!GR13,"")</f>
        <v/>
      </c>
      <c r="P56" s="1799"/>
      <c r="Q56" s="1799"/>
      <c r="R56" s="1799"/>
      <c r="S56" s="1799"/>
      <c r="T56" s="1800" t="str">
        <f>IF(Data!L23=0,"",Data!L23)</f>
        <v/>
      </c>
      <c r="U56" s="1800"/>
      <c r="V56" s="1800"/>
      <c r="W56" s="1800"/>
      <c r="X56" s="1800" t="str">
        <f>IF(Data!M23&lt;&gt;"",Data!M23,IF(IFERROR(C56-T56,C56)=0,"",IFERROR(C56-T56,C56)))</f>
        <v/>
      </c>
      <c r="Y56" s="1800"/>
      <c r="Z56" s="1800"/>
      <c r="AA56" s="1801"/>
    </row>
    <row r="57" spans="1:34" ht="15.75" customHeight="1" x14ac:dyDescent="0.35">
      <c r="A57" s="1797" t="str">
        <f>IF(TRIM(H57)="","",IF(Data!CX72&gt;0,IF(Data!CX72&lt;&gt;"", Data!CX72, " ")," "))</f>
        <v/>
      </c>
      <c r="B57" s="1798"/>
      <c r="C57" s="1799">
        <f>IF(Data!L5&lt;&gt;1,IF(Quotation!$W$27=550,0,IF('Eng. Cutter Entry'!$C$4&lt;&gt;"",IF(Data!E24&gt;0,IF(Data!E24&lt;&gt;"", Data!E24, 0),0),'ARDT Cutter Entry'!BC2+'ARDT Cutter Entry'!BC3+'ARDT Cutter Entry'!BC4+'ARDT Cutter Entry'!BC5)),"")</f>
        <v>0</v>
      </c>
      <c r="D57" s="1799"/>
      <c r="E57" s="1799" t="str">
        <f>IF(Data!GK14&gt;0,IF(Data!GK14&lt;&gt;"",Data!GK14," ")," ")</f>
        <v xml:space="preserve"> </v>
      </c>
      <c r="F57" s="1799"/>
      <c r="G57" s="1799"/>
      <c r="H57" s="1799" t="str">
        <f>IF(Data!GG14&gt;0,IF(Data!GG14&lt;&gt;"",IF(Data!GG14&lt;&gt;"Add the cutter in list",Data!GG14," ")," "),"")</f>
        <v xml:space="preserve"> </v>
      </c>
      <c r="I57" s="1799"/>
      <c r="J57" s="1799"/>
      <c r="K57" s="1567" t="str">
        <f>IF(TRIM(IF(AND(Data!GL14&lt;&gt;"",Data!GL14&lt;&gt;0),Data!GL14,"")&amp;"  "&amp;IF(AND(Data!GN14&lt;&gt;"",Data!GN14&lt;&gt;0),Data!GN14,""))="",IF(AND(Data!GM14&lt;&gt;"",Data!GM14&lt;&gt;0),Data!GM14,""),IF(AND(Data!GL14&lt;&gt;"",Data!GL14&lt;&gt;0),Data!GL14,"")&amp;"  "&amp;IF(AND(Data!GN14&lt;&gt;"",Data!GN14&lt;&gt;0),Data!GN14,""))</f>
        <v/>
      </c>
      <c r="L57" s="1567"/>
      <c r="M57" s="1567"/>
      <c r="N57" s="1567"/>
      <c r="O57" s="1799" t="str">
        <f>IF(AND(Data!GR14&lt;&gt;"",Data!GR14&lt;&gt;0),Data!GR14,"")</f>
        <v/>
      </c>
      <c r="P57" s="1799"/>
      <c r="Q57" s="1799"/>
      <c r="R57" s="1799"/>
      <c r="S57" s="1799"/>
      <c r="T57" s="1800" t="str">
        <f>IF(Data!L24=0,"",Data!L24)</f>
        <v/>
      </c>
      <c r="U57" s="1800"/>
      <c r="V57" s="1800"/>
      <c r="W57" s="1800"/>
      <c r="X57" s="1800" t="str">
        <f>IF(Data!M24&lt;&gt;"",Data!M24,IF(IFERROR(C57-T57,C57)=0,"",IFERROR(C57-T57,C57)))</f>
        <v/>
      </c>
      <c r="Y57" s="1800"/>
      <c r="Z57" s="1800"/>
      <c r="AA57" s="1801"/>
      <c r="AF57">
        <f>25.4</f>
        <v>25.4</v>
      </c>
      <c r="AG57">
        <f>0.512</f>
        <v>0.51200000000000001</v>
      </c>
      <c r="AH57">
        <f>AG57/AF57</f>
        <v>2.0157480314960632E-2</v>
      </c>
    </row>
    <row r="58" spans="1:34" ht="15.75" customHeight="1" x14ac:dyDescent="0.35">
      <c r="A58" s="1797" t="str">
        <f>IF(TRIM(H58)="","",IF(Data!CX73&gt;0,IF(Data!CX73&lt;&gt;"", Data!CX73, " ")," "))</f>
        <v/>
      </c>
      <c r="B58" s="1798"/>
      <c r="C58" s="1799">
        <f>IF(Data!L5&lt;&gt;1,IF(Quotation!$W$27=550,0,IF('Eng. Cutter Entry'!$C$4&lt;&gt;"",IF(Data!E25&gt;0,IF(Data!E25&lt;&gt;"", Data!E25, 0),0),'ARDT Cutter Entry'!BD2+'ARDT Cutter Entry'!BD3+'ARDT Cutter Entry'!BD4+'ARDT Cutter Entry'!BD5)),"")</f>
        <v>0</v>
      </c>
      <c r="D58" s="1799"/>
      <c r="E58" s="1799" t="str">
        <f>IF(Data!GK15&gt;0,IF(Data!GK15&lt;&gt;"",Data!GK15," ")," ")</f>
        <v xml:space="preserve"> </v>
      </c>
      <c r="F58" s="1799"/>
      <c r="G58" s="1799"/>
      <c r="H58" s="1799" t="str">
        <f>IF(Data!GG15&gt;0,IF(Data!GG15&lt;&gt;"",IF(Data!GG15&lt;&gt;"Add the cutter in list",Data!GG15," ")," "),"")</f>
        <v xml:space="preserve"> </v>
      </c>
      <c r="I58" s="1799"/>
      <c r="J58" s="1799"/>
      <c r="K58" s="1567" t="str">
        <f>IF(TRIM(IF(AND(Data!GL15&lt;&gt;"",Data!GL15&lt;&gt;0),Data!GL15,"")&amp;"  "&amp;IF(AND(Data!GN15&lt;&gt;"",Data!GN15&lt;&gt;0),Data!GN15,""))="",IF(AND(Data!GM15&lt;&gt;"",Data!GM15&lt;&gt;0),Data!GM15,""),IF(AND(Data!GL15&lt;&gt;"",Data!GL15&lt;&gt;0),Data!GL15,"")&amp;"  "&amp;IF(AND(Data!GN15&lt;&gt;"",Data!GN15&lt;&gt;0),Data!GN15,""))</f>
        <v/>
      </c>
      <c r="L58" s="1567"/>
      <c r="M58" s="1567"/>
      <c r="N58" s="1567"/>
      <c r="O58" s="1799" t="str">
        <f>IF(AND(Data!GR15&lt;&gt;"",Data!GR15&lt;&gt;0),Data!GR15,"")</f>
        <v/>
      </c>
      <c r="P58" s="1799"/>
      <c r="Q58" s="1799"/>
      <c r="R58" s="1799"/>
      <c r="S58" s="1799"/>
      <c r="T58" s="1800" t="str">
        <f>IF(Data!L25=0,"",Data!L25)</f>
        <v/>
      </c>
      <c r="U58" s="1800"/>
      <c r="V58" s="1800"/>
      <c r="W58" s="1800"/>
      <c r="X58" s="1800" t="str">
        <f>IF(Data!M25&lt;&gt;"",Data!M25,IF(IFERROR(C58-T58,C58)=0,"",IFERROR(C58-T58,C58)))</f>
        <v/>
      </c>
      <c r="Y58" s="1800"/>
      <c r="Z58" s="1800"/>
      <c r="AA58" s="1801"/>
      <c r="AH58">
        <f>AF57*AG57</f>
        <v>13.004799999999999</v>
      </c>
    </row>
    <row r="59" spans="1:34" ht="15.75" customHeight="1" x14ac:dyDescent="0.35">
      <c r="A59" s="1797" t="str">
        <f>IF(TRIM(H59)="","",IF(Data!CX74&gt;0,IF(Data!CX74&lt;&gt;"", Data!CX74, " ")," "))</f>
        <v/>
      </c>
      <c r="B59" s="1798"/>
      <c r="C59" s="1799">
        <f>IF(Data!L5&lt;&gt;1,IF(Quotation!$W$27=550,0,IF('Eng. Cutter Entry'!$C$4&lt;&gt;"",IF(Data!E26&gt;0,IF(Data!E26&lt;&gt;"", Data!E26, 0),0),'ARDT Cutter Entry'!BE2+'ARDT Cutter Entry'!BE3+'ARDT Cutter Entry'!BE4+'ARDT Cutter Entry'!BE5)),"")</f>
        <v>0</v>
      </c>
      <c r="D59" s="1799"/>
      <c r="E59" s="1799" t="str">
        <f>IF(Data!GK16&gt;0,IF(Data!GK16&lt;&gt;"",Data!GK16," ")," ")</f>
        <v xml:space="preserve"> </v>
      </c>
      <c r="F59" s="1799"/>
      <c r="G59" s="1799"/>
      <c r="H59" s="1799" t="str">
        <f>IF(Data!GG16&gt;0,IF(Data!GG16&lt;&gt;"",IF(Data!GG16&lt;&gt;"Add the cutter in list",Data!GG16," ")," "),"")</f>
        <v xml:space="preserve"> </v>
      </c>
      <c r="I59" s="1799"/>
      <c r="J59" s="1799"/>
      <c r="K59" s="1567" t="str">
        <f>IF(TRIM(IF(AND(Data!GL16&lt;&gt;"",Data!GL16&lt;&gt;0),Data!GL16,"")&amp;"  "&amp;IF(AND(Data!GN16&lt;&gt;"",Data!GN16&lt;&gt;0),Data!GN16,""))="",IF(AND(Data!GM16&lt;&gt;"",Data!GM16&lt;&gt;0),Data!GM16,""),IF(AND(Data!GL16&lt;&gt;"",Data!GL16&lt;&gt;0),Data!GL16,"")&amp;"  "&amp;IF(AND(Data!GN16&lt;&gt;"",Data!GN16&lt;&gt;0),Data!GN16,""))</f>
        <v/>
      </c>
      <c r="L59" s="1567"/>
      <c r="M59" s="1567"/>
      <c r="N59" s="1567"/>
      <c r="O59" s="1799" t="str">
        <f>IF(AND(Data!GR16&lt;&gt;"",Data!GR16&lt;&gt;0),Data!GR16,"")</f>
        <v/>
      </c>
      <c r="P59" s="1799"/>
      <c r="Q59" s="1799"/>
      <c r="R59" s="1799"/>
      <c r="S59" s="1799"/>
      <c r="T59" s="1800" t="str">
        <f>IF(Data!L26=0,"",Data!L26)</f>
        <v/>
      </c>
      <c r="U59" s="1800"/>
      <c r="V59" s="1800"/>
      <c r="W59" s="1800"/>
      <c r="X59" s="1800" t="str">
        <f>IF(Data!M26&lt;&gt;"",Data!M26,IF(IFERROR(C59-T59,C59)=0,"",IFERROR(C59-T59,C59)))</f>
        <v/>
      </c>
      <c r="Y59" s="1800"/>
      <c r="Z59" s="1800"/>
      <c r="AA59" s="1801"/>
      <c r="AH59">
        <f>7.75/3.75</f>
        <v>2.0666666666666669</v>
      </c>
    </row>
    <row r="60" spans="1:34" ht="15.75" customHeight="1" x14ac:dyDescent="0.35">
      <c r="A60" s="1797" t="str">
        <f>IF(TRIM(H60)="","",IF(Data!CX75&gt;0,IF(Data!CX75&lt;&gt;"", Data!CX75, " ")," "))</f>
        <v/>
      </c>
      <c r="B60" s="1798"/>
      <c r="C60" s="1799">
        <f>IF(Data!L5&lt;&gt;1,IF(Quotation!$W$27=550,0,IF('Eng. Cutter Entry'!$C$4&lt;&gt;"",IF(Data!E27&gt;0,IF(Data!E27&lt;&gt;"", Data!E27, 0),0),'ARDT Cutter Entry'!BF2+'ARDT Cutter Entry'!BF3+'ARDT Cutter Entry'!BF4+'ARDT Cutter Entry'!BF5)),"")</f>
        <v>0</v>
      </c>
      <c r="D60" s="1799"/>
      <c r="E60" s="1799" t="str">
        <f>IF(Data!GK17&gt;0,IF(Data!GK17&lt;&gt;"",Data!GK17," ")," ")</f>
        <v xml:space="preserve"> </v>
      </c>
      <c r="F60" s="1799"/>
      <c r="G60" s="1799"/>
      <c r="H60" s="1799" t="str">
        <f>IF(Data!GG17&gt;0,IF(Data!GG17&lt;&gt;"",IF(Data!GG17&lt;&gt;"Add the cutter in list",Data!GG17," ")," "),"")</f>
        <v xml:space="preserve"> </v>
      </c>
      <c r="I60" s="1799"/>
      <c r="J60" s="1799"/>
      <c r="K60" s="1567" t="str">
        <f>IF(TRIM(IF(AND(Data!GL17&lt;&gt;"",Data!GL17&lt;&gt;0),Data!GL17,"")&amp;"  "&amp;IF(AND(Data!GN17&lt;&gt;"",Data!GN17&lt;&gt;0),Data!GN17,""))="",IF(AND(Data!GM17&lt;&gt;"",Data!GM17&lt;&gt;0),Data!GM17,""),IF(AND(Data!GL17&lt;&gt;"",Data!GL17&lt;&gt;0),Data!GL17,"")&amp;"  "&amp;IF(AND(Data!GN17&lt;&gt;"",Data!GN17&lt;&gt;0),Data!GN17,""))</f>
        <v/>
      </c>
      <c r="L60" s="1567"/>
      <c r="M60" s="1567"/>
      <c r="N60" s="1567"/>
      <c r="O60" s="1799" t="str">
        <f>IF(AND(Data!GR17&lt;&gt;"",Data!GR17&lt;&gt;0),Data!GR17,"")</f>
        <v/>
      </c>
      <c r="P60" s="1799"/>
      <c r="Q60" s="1799"/>
      <c r="R60" s="1799"/>
      <c r="S60" s="1799"/>
      <c r="T60" s="1800" t="str">
        <f>IF(Data!L27=0,"",Data!L27)</f>
        <v/>
      </c>
      <c r="U60" s="1800"/>
      <c r="V60" s="1800"/>
      <c r="W60" s="1800"/>
      <c r="X60" s="1800" t="str">
        <f>IF(Data!M27&lt;&gt;"",Data!M27,IF(IFERROR(C60-T60,C60)=0,"",IFERROR(C60-T60,C60)))</f>
        <v/>
      </c>
      <c r="Y60" s="1800"/>
      <c r="Z60" s="1800"/>
      <c r="AA60" s="1801"/>
    </row>
    <row r="61" spans="1:34" ht="15.75" customHeight="1" x14ac:dyDescent="0.35">
      <c r="A61" s="1797" t="str">
        <f>IF(TRIM(H61)="","",IF(Data!CX76&gt;0,IF(Data!CX76&lt;&gt;"", Data!CX76, " ")," "))</f>
        <v/>
      </c>
      <c r="B61" s="1798"/>
      <c r="C61" s="1799">
        <f>IF(Data!L5&lt;&gt;1,IF(Quotation!$W$27=550,0,IF('Eng. Cutter Entry'!$C$4&lt;&gt;"",IF(Data!E28&gt;0,IF(Data!E28&lt;&gt;"", Data!E28, 0),0),'ARDT Cutter Entry'!BG2+'ARDT Cutter Entry'!BG3+'ARDT Cutter Entry'!BG4+'ARDT Cutter Entry'!BG5)),"")</f>
        <v>0</v>
      </c>
      <c r="D61" s="1799"/>
      <c r="E61" s="1799" t="str">
        <f>IF(Data!GK18&gt;0,IF(Data!GK18&lt;&gt;"",Data!GK18," ")," ")</f>
        <v xml:space="preserve"> </v>
      </c>
      <c r="F61" s="1799"/>
      <c r="G61" s="1799"/>
      <c r="H61" s="1799" t="str">
        <f>IF(Data!GG18&gt;0,IF(Data!GG18&lt;&gt;"",IF(Data!GG18&lt;&gt;"Add the cutter in list",Data!GG18," ")," "),"")</f>
        <v xml:space="preserve"> </v>
      </c>
      <c r="I61" s="1799"/>
      <c r="J61" s="1799"/>
      <c r="K61" s="1567" t="str">
        <f>IF(TRIM(IF(AND(Data!GL18&lt;&gt;"",Data!GL18&lt;&gt;0),Data!GL18,"")&amp;"  "&amp;IF(AND(Data!GN18&lt;&gt;"",Data!GN18&lt;&gt;0),Data!GN18,""))="",IF(AND(Data!GM18&lt;&gt;"",Data!GM18&lt;&gt;0),Data!GM18,""),IF(AND(Data!GL18&lt;&gt;"",Data!GL18&lt;&gt;0),Data!GL18,"")&amp;"  "&amp;IF(AND(Data!GN18&lt;&gt;"",Data!GN18&lt;&gt;0),Data!GN18,""))</f>
        <v/>
      </c>
      <c r="L61" s="1567"/>
      <c r="M61" s="1567"/>
      <c r="N61" s="1567"/>
      <c r="O61" s="1799" t="str">
        <f>IF(AND(Data!GR18&lt;&gt;"",Data!GR18&lt;&gt;0),Data!GR18,"")</f>
        <v/>
      </c>
      <c r="P61" s="1799"/>
      <c r="Q61" s="1799"/>
      <c r="R61" s="1799"/>
      <c r="S61" s="1799"/>
      <c r="T61" s="1800" t="str">
        <f>IF(Data!L28=0,"",Data!L28)</f>
        <v/>
      </c>
      <c r="U61" s="1800"/>
      <c r="V61" s="1800"/>
      <c r="W61" s="1800"/>
      <c r="X61" s="1800" t="str">
        <f>IF(Data!M28&lt;&gt;"",Data!M28,IF(IFERROR(C61-T61,C61)=0,"",IFERROR(C61-T61,C61)))</f>
        <v/>
      </c>
      <c r="Y61" s="1800"/>
      <c r="Z61" s="1800"/>
      <c r="AA61" s="1801"/>
    </row>
    <row r="62" spans="1:34" ht="16" customHeight="1" thickBot="1" x14ac:dyDescent="0.4">
      <c r="A62" s="1808" t="s">
        <v>21</v>
      </c>
      <c r="B62" s="1805"/>
      <c r="C62" s="1805">
        <f>SUM(C45:D54)</f>
        <v>33</v>
      </c>
      <c r="D62" s="1805"/>
      <c r="E62" s="1805"/>
      <c r="F62" s="1805"/>
      <c r="G62" s="1805"/>
      <c r="H62" s="1805"/>
      <c r="I62" s="1805"/>
      <c r="J62" s="1805"/>
      <c r="K62" s="1805"/>
      <c r="L62" s="1805"/>
      <c r="M62" s="1805"/>
      <c r="N62" s="1805"/>
      <c r="O62" s="1805"/>
      <c r="P62" s="1805"/>
      <c r="Q62" s="1805"/>
      <c r="R62" s="1805"/>
      <c r="S62" s="1805"/>
      <c r="T62" s="1806">
        <f>SUM(T45:W54)</f>
        <v>0</v>
      </c>
      <c r="U62" s="1806"/>
      <c r="V62" s="1806"/>
      <c r="W62" s="1806"/>
      <c r="X62" s="1806">
        <f>SUM(X45:AA54)</f>
        <v>27</v>
      </c>
      <c r="Y62" s="1806"/>
      <c r="Z62" s="1806"/>
      <c r="AA62" s="1807"/>
    </row>
    <row r="63" spans="1:34" ht="5.15" customHeight="1" thickBot="1" x14ac:dyDescent="0.4">
      <c r="A63" s="461"/>
      <c r="B63" s="461"/>
      <c r="C63" s="461"/>
      <c r="D63" s="461"/>
      <c r="F63" s="462"/>
      <c r="G63" s="462"/>
      <c r="H63" s="462"/>
      <c r="I63" s="462"/>
      <c r="J63" s="462"/>
      <c r="K63" s="462"/>
      <c r="L63" s="463"/>
      <c r="M63" s="463"/>
      <c r="N63" s="463"/>
      <c r="O63" s="463"/>
      <c r="P63" s="463"/>
      <c r="Q63" s="463"/>
      <c r="R63" s="463"/>
      <c r="S63" s="463"/>
      <c r="T63" s="462"/>
      <c r="U63" s="462"/>
      <c r="V63" s="462"/>
      <c r="W63" s="462"/>
      <c r="X63" s="462"/>
    </row>
    <row r="64" spans="1:34" ht="20.149999999999999" customHeight="1" thickBot="1" x14ac:dyDescent="0.4">
      <c r="A64" s="1679" t="s">
        <v>847</v>
      </c>
      <c r="B64" s="1679"/>
      <c r="C64" s="1679"/>
      <c r="D64" s="464" t="str">
        <f>IF(Data!G32=1,"",IF(Data!B5&lt;&gt;"",IF(OR(D68="√",D66="√"),"","√"),""))</f>
        <v>√</v>
      </c>
      <c r="F64" s="1679" t="s">
        <v>733</v>
      </c>
      <c r="G64" s="1679"/>
      <c r="H64" s="1679"/>
      <c r="I64" s="1679"/>
      <c r="J64" s="1809" t="str">
        <f>IF(Data!B19&lt;&gt;"",Data!B19,"")</f>
        <v/>
      </c>
      <c r="K64" s="1809"/>
      <c r="L64" s="1809"/>
      <c r="M64" s="1809"/>
      <c r="N64" s="1809"/>
      <c r="O64" s="466"/>
      <c r="P64" s="1679" t="s">
        <v>1053</v>
      </c>
      <c r="Q64" s="1679"/>
      <c r="R64" s="1679"/>
      <c r="S64" s="1679"/>
      <c r="T64" s="1679"/>
      <c r="U64" s="1679"/>
      <c r="V64" s="1679"/>
      <c r="W64" s="1809" t="str">
        <f>IF(Data!B17&lt;&gt;"",Data!B17,"")</f>
        <v>Ramzi Kassab</v>
      </c>
      <c r="X64" s="1809"/>
      <c r="Y64" s="1809"/>
      <c r="Z64" s="1809"/>
      <c r="AA64" s="1809"/>
    </row>
    <row r="65" spans="1:27" ht="5.15" customHeight="1" thickBot="1" x14ac:dyDescent="0.4">
      <c r="A65" s="461"/>
      <c r="B65" s="461"/>
      <c r="C65" s="461"/>
      <c r="D65" s="461"/>
      <c r="F65" s="1679"/>
      <c r="G65" s="1679"/>
      <c r="H65" s="1679"/>
      <c r="I65" s="1679"/>
      <c r="J65" s="1810"/>
      <c r="K65" s="1810"/>
      <c r="L65" s="1810"/>
      <c r="M65" s="1810"/>
      <c r="N65" s="1810"/>
      <c r="O65" s="466"/>
      <c r="P65" s="1679"/>
      <c r="Q65" s="1679"/>
      <c r="R65" s="1679"/>
      <c r="S65" s="1679"/>
      <c r="T65" s="1679"/>
      <c r="U65" s="1679"/>
      <c r="V65" s="1679"/>
      <c r="W65" s="1810"/>
      <c r="X65" s="1810"/>
      <c r="Y65" s="1810"/>
      <c r="Z65" s="1810"/>
      <c r="AA65" s="1810"/>
    </row>
    <row r="66" spans="1:27" ht="20.149999999999999" customHeight="1" thickBot="1" x14ac:dyDescent="0.4">
      <c r="A66" s="1679" t="s">
        <v>848</v>
      </c>
      <c r="B66" s="1679"/>
      <c r="C66" s="1679"/>
      <c r="D66" s="464" t="str">
        <f>IF(OR(Data!L4=1,Data!L5=1), "√", "")</f>
        <v/>
      </c>
      <c r="L66" s="462"/>
      <c r="M66" s="462"/>
      <c r="N66" s="462"/>
      <c r="O66" s="462"/>
      <c r="P66" s="462"/>
      <c r="Q66" s="462"/>
      <c r="R66" s="462"/>
      <c r="S66" s="462"/>
      <c r="T66" s="462"/>
      <c r="U66" s="462"/>
    </row>
    <row r="67" spans="1:27" ht="5.15" customHeight="1" thickBot="1" x14ac:dyDescent="0.4">
      <c r="A67" s="461"/>
      <c r="B67" s="461"/>
      <c r="C67" s="461"/>
      <c r="D67" s="461"/>
      <c r="F67" s="462"/>
      <c r="G67" s="462"/>
      <c r="H67" s="462"/>
      <c r="I67" s="462"/>
      <c r="J67" s="462"/>
      <c r="K67" s="462"/>
      <c r="L67" s="463"/>
      <c r="M67" s="463"/>
      <c r="N67" s="463"/>
      <c r="O67" s="463"/>
      <c r="P67" s="463"/>
      <c r="Q67" s="463"/>
      <c r="R67" s="463"/>
      <c r="S67" s="463"/>
      <c r="T67" s="462"/>
      <c r="U67" s="462"/>
      <c r="V67" s="462"/>
      <c r="W67" s="462"/>
      <c r="X67" s="462"/>
    </row>
    <row r="68" spans="1:27" ht="20.149999999999999" customHeight="1" thickBot="1" x14ac:dyDescent="0.4">
      <c r="A68" s="1679" t="s">
        <v>849</v>
      </c>
      <c r="B68" s="1679"/>
      <c r="C68" s="1679"/>
      <c r="D68" s="464" t="str">
        <f>IF(OR(Data!L2=1,Data!L3=1),"√","")</f>
        <v/>
      </c>
      <c r="G68" s="468"/>
      <c r="H68" s="1679" t="s">
        <v>36</v>
      </c>
      <c r="I68" s="1679"/>
      <c r="J68" s="1811" t="str">
        <f>IF(Data!B20&lt;&gt;"",Data!B20,"")</f>
        <v/>
      </c>
      <c r="K68" s="1811"/>
      <c r="L68" s="1811"/>
      <c r="M68" s="1811"/>
      <c r="N68" s="1811"/>
      <c r="O68" s="462"/>
      <c r="P68" s="462"/>
      <c r="R68" s="468"/>
      <c r="S68" s="1679" t="s">
        <v>1045</v>
      </c>
      <c r="T68" s="1679"/>
      <c r="U68" s="1679"/>
      <c r="V68" s="1679"/>
      <c r="W68" s="1812"/>
      <c r="X68" s="1812"/>
      <c r="Y68" s="1812"/>
      <c r="Z68" s="1812"/>
      <c r="AA68" s="1812"/>
    </row>
    <row r="69" spans="1:27" ht="5.15" customHeight="1" x14ac:dyDescent="0.35">
      <c r="A69" s="461"/>
      <c r="B69" s="461"/>
      <c r="C69" s="461"/>
      <c r="D69" s="461"/>
      <c r="F69" s="462"/>
      <c r="G69" s="462"/>
      <c r="M69" s="449"/>
      <c r="N69" s="465"/>
      <c r="O69" s="449"/>
      <c r="P69" s="449"/>
      <c r="Q69" s="462"/>
      <c r="R69" s="462"/>
      <c r="S69" s="462"/>
      <c r="T69" s="462"/>
    </row>
    <row r="70" spans="1:27" ht="5.15" customHeight="1" x14ac:dyDescent="0.35"/>
  </sheetData>
  <sheetProtection formatCells="0" formatColumns="0" formatRows="0" insertColumns="0" insertRows="0" insertHyperlinks="0" deleteColumns="0" deleteRows="0" sort="0" autoFilter="0" pivotTables="0"/>
  <mergeCells count="223">
    <mergeCell ref="A54:B54"/>
    <mergeCell ref="C54:D54"/>
    <mergeCell ref="E54:G54"/>
    <mergeCell ref="H54:J54"/>
    <mergeCell ref="K54:N54"/>
    <mergeCell ref="O54:S54"/>
    <mergeCell ref="T54:W54"/>
    <mergeCell ref="X54:AA54"/>
    <mergeCell ref="A52:B52"/>
    <mergeCell ref="C52:D52"/>
    <mergeCell ref="E52:G52"/>
    <mergeCell ref="H52:J52"/>
    <mergeCell ref="K52:N52"/>
    <mergeCell ref="O52:S52"/>
    <mergeCell ref="T52:W52"/>
    <mergeCell ref="X52:AA52"/>
    <mergeCell ref="A53:B53"/>
    <mergeCell ref="C53:D53"/>
    <mergeCell ref="E53:G53"/>
    <mergeCell ref="H53:J53"/>
    <mergeCell ref="K53:N53"/>
    <mergeCell ref="O53:S53"/>
    <mergeCell ref="T53:W53"/>
    <mergeCell ref="X53:AA53"/>
    <mergeCell ref="A50:B50"/>
    <mergeCell ref="C50:D50"/>
    <mergeCell ref="E50:G50"/>
    <mergeCell ref="H50:J50"/>
    <mergeCell ref="K50:N50"/>
    <mergeCell ref="T45:W45"/>
    <mergeCell ref="T46:W46"/>
    <mergeCell ref="T47:W47"/>
    <mergeCell ref="K10:M10"/>
    <mergeCell ref="C14:AA14"/>
    <mergeCell ref="V29:X29"/>
    <mergeCell ref="T50:W50"/>
    <mergeCell ref="O50:S50"/>
    <mergeCell ref="X50:AA50"/>
    <mergeCell ref="A48:B48"/>
    <mergeCell ref="E48:G48"/>
    <mergeCell ref="H48:J48"/>
    <mergeCell ref="K48:N48"/>
    <mergeCell ref="A47:B47"/>
    <mergeCell ref="C47:D47"/>
    <mergeCell ref="E47:G47"/>
    <mergeCell ref="H47:J47"/>
    <mergeCell ref="K47:N47"/>
    <mergeCell ref="A49:B49"/>
    <mergeCell ref="C1:Q2"/>
    <mergeCell ref="R1:AA1"/>
    <mergeCell ref="R2:AA2"/>
    <mergeCell ref="R3:AA3"/>
    <mergeCell ref="R4:AA4"/>
    <mergeCell ref="A3:Q4"/>
    <mergeCell ref="A1:B2"/>
    <mergeCell ref="A12:AA12"/>
    <mergeCell ref="T49:W49"/>
    <mergeCell ref="H33:I33"/>
    <mergeCell ref="J33:K33"/>
    <mergeCell ref="L33:M33"/>
    <mergeCell ref="N33:O33"/>
    <mergeCell ref="N34:O34"/>
    <mergeCell ref="H40:L40"/>
    <mergeCell ref="U33:W33"/>
    <mergeCell ref="K46:N46"/>
    <mergeCell ref="O46:S46"/>
    <mergeCell ref="K49:N49"/>
    <mergeCell ref="X45:AA45"/>
    <mergeCell ref="A46:B46"/>
    <mergeCell ref="C46:D46"/>
    <mergeCell ref="E46:G46"/>
    <mergeCell ref="H46:J46"/>
    <mergeCell ref="C49:D49"/>
    <mergeCell ref="E49:G49"/>
    <mergeCell ref="H49:J49"/>
    <mergeCell ref="X49:AA49"/>
    <mergeCell ref="O49:S49"/>
    <mergeCell ref="C48:D48"/>
    <mergeCell ref="T48:W48"/>
    <mergeCell ref="F33:G33"/>
    <mergeCell ref="D34:E34"/>
    <mergeCell ref="U34:W34"/>
    <mergeCell ref="F34:G34"/>
    <mergeCell ref="H34:I34"/>
    <mergeCell ref="J34:K34"/>
    <mergeCell ref="L34:M34"/>
    <mergeCell ref="O40:P40"/>
    <mergeCell ref="Q40:T40"/>
    <mergeCell ref="B40:G40"/>
    <mergeCell ref="E36:AA38"/>
    <mergeCell ref="A42:AA42"/>
    <mergeCell ref="T43:AA43"/>
    <mergeCell ref="A43:B44"/>
    <mergeCell ref="C43:D44"/>
    <mergeCell ref="E43:G44"/>
    <mergeCell ref="A36:D36"/>
    <mergeCell ref="V31:X31"/>
    <mergeCell ref="X33:Z33"/>
    <mergeCell ref="D10:E10"/>
    <mergeCell ref="F10:J10"/>
    <mergeCell ref="N10:R10"/>
    <mergeCell ref="S10:V10"/>
    <mergeCell ref="A33:C33"/>
    <mergeCell ref="R33:T33"/>
    <mergeCell ref="R34:T34"/>
    <mergeCell ref="A34:C34"/>
    <mergeCell ref="W10:AA10"/>
    <mergeCell ref="K31:N31"/>
    <mergeCell ref="O31:P31"/>
    <mergeCell ref="A14:B15"/>
    <mergeCell ref="A16:A27"/>
    <mergeCell ref="A31:D31"/>
    <mergeCell ref="E31:H31"/>
    <mergeCell ref="I31:J31"/>
    <mergeCell ref="Q31:T31"/>
    <mergeCell ref="X34:Z34"/>
    <mergeCell ref="D33:E33"/>
    <mergeCell ref="S7:V9"/>
    <mergeCell ref="D8:E8"/>
    <mergeCell ref="F8:J8"/>
    <mergeCell ref="K8:M8"/>
    <mergeCell ref="N8:R8"/>
    <mergeCell ref="W8:AA8"/>
    <mergeCell ref="B6:E6"/>
    <mergeCell ref="F6:J6"/>
    <mergeCell ref="K6:M6"/>
    <mergeCell ref="N6:R6"/>
    <mergeCell ref="A66:C66"/>
    <mergeCell ref="A68:C68"/>
    <mergeCell ref="X51:AA51"/>
    <mergeCell ref="E62:S62"/>
    <mergeCell ref="X62:AA62"/>
    <mergeCell ref="T62:W62"/>
    <mergeCell ref="O51:S51"/>
    <mergeCell ref="T51:W51"/>
    <mergeCell ref="A62:B62"/>
    <mergeCell ref="C62:D62"/>
    <mergeCell ref="A51:B51"/>
    <mergeCell ref="C51:D51"/>
    <mergeCell ref="E51:G51"/>
    <mergeCell ref="H51:J51"/>
    <mergeCell ref="K51:N51"/>
    <mergeCell ref="A64:C64"/>
    <mergeCell ref="W64:AA65"/>
    <mergeCell ref="F64:I65"/>
    <mergeCell ref="J64:N65"/>
    <mergeCell ref="J68:N68"/>
    <mergeCell ref="P64:V65"/>
    <mergeCell ref="W68:AA68"/>
    <mergeCell ref="S68:V68"/>
    <mergeCell ref="H68:I68"/>
    <mergeCell ref="A37:D38"/>
    <mergeCell ref="H43:J44"/>
    <mergeCell ref="K43:S44"/>
    <mergeCell ref="X44:AA44"/>
    <mergeCell ref="T44:W44"/>
    <mergeCell ref="X47:AA47"/>
    <mergeCell ref="O48:S48"/>
    <mergeCell ref="X48:AA48"/>
    <mergeCell ref="O47:S47"/>
    <mergeCell ref="A45:B45"/>
    <mergeCell ref="C45:D45"/>
    <mergeCell ref="E45:G45"/>
    <mergeCell ref="H45:J45"/>
    <mergeCell ref="K45:N45"/>
    <mergeCell ref="O45:S45"/>
    <mergeCell ref="X46:AA46"/>
    <mergeCell ref="A55:B55"/>
    <mergeCell ref="C55:D55"/>
    <mergeCell ref="E55:G55"/>
    <mergeCell ref="H55:J55"/>
    <mergeCell ref="K55:N55"/>
    <mergeCell ref="O55:S55"/>
    <mergeCell ref="T55:W55"/>
    <mergeCell ref="X55:AA55"/>
    <mergeCell ref="A56:B56"/>
    <mergeCell ref="C56:D56"/>
    <mergeCell ref="E56:G56"/>
    <mergeCell ref="H56:J56"/>
    <mergeCell ref="K56:N56"/>
    <mergeCell ref="O56:S56"/>
    <mergeCell ref="T56:W56"/>
    <mergeCell ref="X56:AA56"/>
    <mergeCell ref="A57:B57"/>
    <mergeCell ref="C57:D57"/>
    <mergeCell ref="E57:G57"/>
    <mergeCell ref="H57:J57"/>
    <mergeCell ref="K57:N57"/>
    <mergeCell ref="O57:S57"/>
    <mergeCell ref="T57:W57"/>
    <mergeCell ref="X57:AA57"/>
    <mergeCell ref="A58:B58"/>
    <mergeCell ref="C58:D58"/>
    <mergeCell ref="E58:G58"/>
    <mergeCell ref="H58:J58"/>
    <mergeCell ref="K58:N58"/>
    <mergeCell ref="O58:S58"/>
    <mergeCell ref="T58:W58"/>
    <mergeCell ref="X58:AA58"/>
    <mergeCell ref="A61:B61"/>
    <mergeCell ref="C61:D61"/>
    <mergeCell ref="E61:G61"/>
    <mergeCell ref="H61:J61"/>
    <mergeCell ref="K61:N61"/>
    <mergeCell ref="O61:S61"/>
    <mergeCell ref="T61:W61"/>
    <mergeCell ref="X61:AA61"/>
    <mergeCell ref="A59:B59"/>
    <mergeCell ref="C59:D59"/>
    <mergeCell ref="E59:G59"/>
    <mergeCell ref="H59:J59"/>
    <mergeCell ref="K59:N59"/>
    <mergeCell ref="O59:S59"/>
    <mergeCell ref="T59:W59"/>
    <mergeCell ref="X59:AA59"/>
    <mergeCell ref="A60:B60"/>
    <mergeCell ref="C60:D60"/>
    <mergeCell ref="E60:G60"/>
    <mergeCell ref="H60:J60"/>
    <mergeCell ref="K60:N60"/>
    <mergeCell ref="O60:S60"/>
    <mergeCell ref="T60:W60"/>
    <mergeCell ref="X60:AA60"/>
  </mergeCells>
  <conditionalFormatting sqref="A34">
    <cfRule type="cellIs" dxfId="366" priority="23285" operator="equal">
      <formula>0</formula>
    </cfRule>
  </conditionalFormatting>
  <conditionalFormatting sqref="A45">
    <cfRule type="expression" dxfId="365" priority="83">
      <formula>COUNTIF($A$45,"3")</formula>
    </cfRule>
    <cfRule type="expression" dxfId="364" priority="82">
      <formula>COUNTIF($A$45,"4")</formula>
    </cfRule>
    <cfRule type="expression" dxfId="363" priority="85">
      <formula>COUNTIF($A$45,"1")</formula>
    </cfRule>
    <cfRule type="expression" dxfId="362" priority="84">
      <formula>COUNTIF($A$45,"2")</formula>
    </cfRule>
    <cfRule type="expression" dxfId="361" priority="81">
      <formula>COUNTIF($A$45,"5")</formula>
    </cfRule>
    <cfRule type="expression" dxfId="360" priority="80">
      <formula>COUNTIF($A$45,"6")</formula>
    </cfRule>
    <cfRule type="expression" dxfId="359" priority="79">
      <formula>COUNTIF($A$45,"7")</formula>
    </cfRule>
  </conditionalFormatting>
  <conditionalFormatting sqref="A46">
    <cfRule type="expression" dxfId="358" priority="72">
      <formula>COUNTIF($A$46,"7")</formula>
    </cfRule>
    <cfRule type="expression" dxfId="357" priority="77">
      <formula>COUNTIF($A$46,"2")</formula>
    </cfRule>
    <cfRule type="expression" dxfId="356" priority="75">
      <formula>COUNTIF($A$46,"4")</formula>
    </cfRule>
    <cfRule type="expression" dxfId="355" priority="76">
      <formula>COUNTIF($A$46,"3")</formula>
    </cfRule>
    <cfRule type="expression" dxfId="354" priority="74">
      <formula>COUNTIF($A$46,"5")</formula>
    </cfRule>
    <cfRule type="expression" dxfId="353" priority="73">
      <formula>COUNTIF($A$46,"6")</formula>
    </cfRule>
    <cfRule type="expression" dxfId="352" priority="78">
      <formula>COUNTIF($A$46,"1")</formula>
    </cfRule>
  </conditionalFormatting>
  <conditionalFormatting sqref="A47">
    <cfRule type="expression" dxfId="351" priority="66">
      <formula>COUNTIF($A$47,"6")</formula>
    </cfRule>
    <cfRule type="expression" dxfId="350" priority="70">
      <formula>COUNTIF($A$47,"2")</formula>
    </cfRule>
    <cfRule type="expression" dxfId="349" priority="65">
      <formula>COUNTIF($A$47,"7")</formula>
    </cfRule>
    <cfRule type="expression" dxfId="348" priority="67">
      <formula>COUNTIF($A$47,"5")</formula>
    </cfRule>
    <cfRule type="expression" dxfId="347" priority="68">
      <formula>COUNTIF($A$47,"4")</formula>
    </cfRule>
    <cfRule type="expression" dxfId="346" priority="69">
      <formula>COUNTIF($A$47,"3")</formula>
    </cfRule>
    <cfRule type="expression" dxfId="345" priority="71">
      <formula>COUNTIF($A$47,"1")</formula>
    </cfRule>
  </conditionalFormatting>
  <conditionalFormatting sqref="A48">
    <cfRule type="expression" dxfId="344" priority="61">
      <formula>COUNTIF($A$48,"4")</formula>
    </cfRule>
    <cfRule type="expression" dxfId="343" priority="58">
      <formula>COUNTIF($A$48,"7")</formula>
    </cfRule>
    <cfRule type="expression" dxfId="342" priority="59">
      <formula>COUNTIF($A$48,"6")</formula>
    </cfRule>
    <cfRule type="expression" dxfId="341" priority="62">
      <formula>COUNTIF($A$48,"3")</formula>
    </cfRule>
    <cfRule type="expression" dxfId="340" priority="63">
      <formula>COUNTIF($A$48,"2")</formula>
    </cfRule>
    <cfRule type="expression" dxfId="339" priority="64">
      <formula>COUNTIF($A$48,"1")</formula>
    </cfRule>
    <cfRule type="expression" dxfId="338" priority="60">
      <formula>COUNTIF($A$48,"5")</formula>
    </cfRule>
  </conditionalFormatting>
  <conditionalFormatting sqref="A49">
    <cfRule type="expression" dxfId="337" priority="54">
      <formula>COUNTIF($A$49,"4")</formula>
    </cfRule>
    <cfRule type="expression" dxfId="336" priority="57">
      <formula>COUNTIF($A$49,"1")</formula>
    </cfRule>
    <cfRule type="expression" dxfId="335" priority="55">
      <formula>COUNTIF($A$49,"3")</formula>
    </cfRule>
    <cfRule type="expression" dxfId="334" priority="56">
      <formula>COUNTIF($A$49,"2")</formula>
    </cfRule>
    <cfRule type="expression" dxfId="333" priority="52">
      <formula>COUNTIF($A$49,"6")</formula>
    </cfRule>
    <cfRule type="expression" dxfId="332" priority="51">
      <formula>COUNTIF($A$49,"7")</formula>
    </cfRule>
    <cfRule type="expression" dxfId="331" priority="53">
      <formula>COUNTIF($A$49,"5")</formula>
    </cfRule>
  </conditionalFormatting>
  <conditionalFormatting sqref="A50">
    <cfRule type="expression" dxfId="330" priority="50">
      <formula>COUNTIF($A$50,"1")</formula>
    </cfRule>
    <cfRule type="expression" dxfId="329" priority="49">
      <formula>COUNTIF($A$50,"2")</formula>
    </cfRule>
    <cfRule type="expression" dxfId="328" priority="48">
      <formula>COUNTIF($A$50,"3")</formula>
    </cfRule>
    <cfRule type="expression" dxfId="327" priority="46">
      <formula>COUNTIF($A$50,"5")</formula>
    </cfRule>
    <cfRule type="expression" dxfId="326" priority="45">
      <formula>COUNTIF($A$50,"6")</formula>
    </cfRule>
    <cfRule type="expression" dxfId="325" priority="44">
      <formula>COUNTIF($A$50,"7")</formula>
    </cfRule>
    <cfRule type="expression" dxfId="324" priority="47">
      <formula>COUNTIF($A$50,"4")</formula>
    </cfRule>
  </conditionalFormatting>
  <conditionalFormatting sqref="A51">
    <cfRule type="expression" dxfId="323" priority="37">
      <formula>COUNTIF($A$51,"7")</formula>
    </cfRule>
    <cfRule type="expression" dxfId="322" priority="38">
      <formula>COUNTIF($A$51,"6")</formula>
    </cfRule>
    <cfRule type="expression" dxfId="321" priority="39">
      <formula>COUNTIF($A$51,"5")</formula>
    </cfRule>
    <cfRule type="expression" dxfId="320" priority="43">
      <formula>COUNTIF($A$51,"1")</formula>
    </cfRule>
    <cfRule type="expression" dxfId="319" priority="42">
      <formula>COUNTIF($A$51,"2")</formula>
    </cfRule>
    <cfRule type="expression" dxfId="318" priority="41">
      <formula>COUNTIF($A$51,"3")</formula>
    </cfRule>
    <cfRule type="expression" dxfId="317" priority="40">
      <formula>COUNTIF($A$51,"4")</formula>
    </cfRule>
  </conditionalFormatting>
  <conditionalFormatting sqref="A52:B52">
    <cfRule type="expression" dxfId="316" priority="6">
      <formula>$A$51&lt;&gt;8</formula>
    </cfRule>
  </conditionalFormatting>
  <conditionalFormatting sqref="A53:B53">
    <cfRule type="expression" dxfId="315" priority="5">
      <formula>$A$52&lt;&gt;9</formula>
    </cfRule>
  </conditionalFormatting>
  <conditionalFormatting sqref="A54:B61">
    <cfRule type="expression" dxfId="314" priority="4">
      <formula>$A$53&lt;&gt;10</formula>
    </cfRule>
  </conditionalFormatting>
  <conditionalFormatting sqref="A37:D38">
    <cfRule type="expression" dxfId="313" priority="2">
      <formula>$A$37&lt;&gt;""</formula>
    </cfRule>
  </conditionalFormatting>
  <conditionalFormatting sqref="C45:D62">
    <cfRule type="cellIs" dxfId="311" priority="23273" operator="equal">
      <formula>0</formula>
    </cfRule>
  </conditionalFormatting>
  <conditionalFormatting sqref="C15:AA15">
    <cfRule type="beginsWith" dxfId="310" priority="147" operator="beginsWith" text="0a">
      <formula>LEFT(C15,LEN("0a"))="0a"</formula>
    </cfRule>
    <cfRule type="cellIs" dxfId="309" priority="23221" operator="equal">
      <formula>0</formula>
    </cfRule>
  </conditionalFormatting>
  <conditionalFormatting sqref="C16:AA27">
    <cfRule type="expression" dxfId="308" priority="35">
      <formula>COUNTIF(C16,"*9*")</formula>
    </cfRule>
    <cfRule type="expression" dxfId="307" priority="36">
      <formula>COUNTIF(C16,"*8*")</formula>
    </cfRule>
    <cfRule type="expression" dxfId="305" priority="2540">
      <formula>AND(COUNTIF(C16,"*V*"),AND(NOT(COUNTIF(B16,"*V*")),NOT(COUNTIF(D16,"*V*"))))</formula>
    </cfRule>
    <cfRule type="expression" dxfId="304" priority="2541">
      <formula>COUNTIF(C16,"*7*")</formula>
    </cfRule>
    <cfRule type="expression" dxfId="302" priority="2543">
      <formula>COUNTIF(C16,"*5*")</formula>
    </cfRule>
    <cfRule type="expression" dxfId="301" priority="2544">
      <formula>COUNTIF(C16,"*4*")</formula>
    </cfRule>
    <cfRule type="expression" dxfId="300" priority="2545">
      <formula>COUNTIF(C16,"*3*")</formula>
    </cfRule>
    <cfRule type="expression" dxfId="299" priority="2546">
      <formula>COUNTIF(C16,"*2*")</formula>
    </cfRule>
    <cfRule type="expression" dxfId="298" priority="2547">
      <formula>COUNTIF(C16,"*1*")</formula>
    </cfRule>
    <cfRule type="expression" dxfId="292" priority="2542">
      <formula>COUNTIF(C16,"*6*")</formula>
    </cfRule>
    <cfRule type="expression" dxfId="288" priority="34">
      <formula>COUNTIF(C16,"*10*")</formula>
    </cfRule>
  </conditionalFormatting>
  <conditionalFormatting sqref="D34 F34 H34 J34 L34 N34">
    <cfRule type="cellIs" dxfId="286" priority="23263" operator="equal">
      <formula>0</formula>
    </cfRule>
  </conditionalFormatting>
  <conditionalFormatting sqref="E31:H31">
    <cfRule type="expression" dxfId="285" priority="97">
      <formula>$E$31=""</formula>
    </cfRule>
  </conditionalFormatting>
  <conditionalFormatting sqref="H40:L40">
    <cfRule type="expression" dxfId="284" priority="94">
      <formula>$H$40=""</formula>
    </cfRule>
  </conditionalFormatting>
  <conditionalFormatting sqref="K31:N31">
    <cfRule type="expression" dxfId="283" priority="96">
      <formula>$K$31=""</formula>
    </cfRule>
  </conditionalFormatting>
  <conditionalFormatting sqref="Q31:T31">
    <cfRule type="expression" dxfId="282" priority="95">
      <formula>$Q$31=""</formula>
    </cfRule>
  </conditionalFormatting>
  <conditionalFormatting sqref="Q40:T40">
    <cfRule type="expression" dxfId="281" priority="93">
      <formula>$Q$40=""</formula>
    </cfRule>
  </conditionalFormatting>
  <conditionalFormatting sqref="R34">
    <cfRule type="cellIs" dxfId="280" priority="23278" operator="equal">
      <formula>0</formula>
    </cfRule>
  </conditionalFormatting>
  <conditionalFormatting sqref="T45:W45">
    <cfRule type="cellIs" dxfId="279" priority="23260" operator="equal">
      <formula>0</formula>
    </cfRule>
  </conditionalFormatting>
  <conditionalFormatting sqref="T62:X62">
    <cfRule type="cellIs" dxfId="278" priority="23262" operator="equal">
      <formula>0</formula>
    </cfRule>
  </conditionalFormatting>
  <conditionalFormatting sqref="U34 X34">
    <cfRule type="cellIs" dxfId="277" priority="23264" operator="equal">
      <formula>0</formula>
    </cfRule>
  </conditionalFormatting>
  <conditionalFormatting sqref="W10:AA10">
    <cfRule type="cellIs" dxfId="276" priority="3" operator="equal">
      <formula>0</formula>
    </cfRule>
  </conditionalFormatting>
  <conditionalFormatting sqref="X45:AA62">
    <cfRule type="cellIs" dxfId="275" priority="23259" operator="equal">
      <formula>0</formula>
    </cfRule>
  </conditionalFormatting>
  <pageMargins left="0.5" right="0.5" top="0.5" bottom="0.5" header="0.3" footer="0.3"/>
  <pageSetup paperSize="9" scale="77" orientation="portrait" r:id="rId1"/>
  <rowBreaks count="1" manualBreakCount="1">
    <brk id="74" max="25" man="1"/>
  </rowBreaks>
  <colBreaks count="1" manualBreakCount="1">
    <brk id="27" max="59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3214" id="{062A7190-CA91-40EC-AF67-FE8A9EFD798E}">
            <xm:f>SUM(Data!$BR46:$CV46)=0</xm:f>
            <x14:dxf>
              <font>
                <color theme="0"/>
              </font>
            </x14:dxf>
          </x14:cfRule>
          <xm:sqref>B16:B27</xm:sqref>
        </x14:conditionalFormatting>
        <x14:conditionalFormatting xmlns:xm="http://schemas.microsoft.com/office/excel/2006/main">
          <x14:cfRule type="expression" priority="1" id="{2447A9D9-99E3-4867-9F8F-3DC20BB2A6CC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31" id="{D4E0DE8D-8814-4B9E-B0C5-999F79284F0D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9724" id="{7B97B488-2294-42EB-A493-E0066C7AB303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9725" id="{B5CC9A3C-950D-4C84-BDF9-D05CE2EB8936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9726" id="{1FD9D200-EC51-43C4-8A70-03BE3C0641E4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9727" id="{150B63BC-C853-4F02-9B1F-7FA9EC61CB35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9728" id="{A4BB6F52-8CC6-4913-88DC-C26E9AE78741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9730" id="{7818333A-AC5F-4865-A169-50ACE3FAFFF6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2" id="{C6773423-A1F1-4986-A81B-42C175F0F4AE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3" id="{641647EB-EACB-4D11-8CF0-C5417E28061E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9729" id="{1F730CD9-7F57-4E7F-98F2-C1BDAB22E02F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m:sqref>C16:AA27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0">
    <tabColor rgb="FFFFFF00"/>
  </sheetPr>
  <dimension ref="A1:AI56"/>
  <sheetViews>
    <sheetView view="pageBreakPreview" zoomScaleNormal="100" zoomScaleSheetLayoutView="100" workbookViewId="0">
      <selection activeCell="AE22" sqref="AE22"/>
    </sheetView>
  </sheetViews>
  <sheetFormatPr defaultColWidth="9.1796875" defaultRowHeight="14.5" x14ac:dyDescent="0.35"/>
  <cols>
    <col min="1" max="31" width="4" customWidth="1"/>
    <col min="32" max="35" width="3.7265625" customWidth="1"/>
    <col min="128" max="128" width="9.1796875" customWidth="1"/>
  </cols>
  <sheetData>
    <row r="1" spans="1:35" ht="16.5" customHeight="1" x14ac:dyDescent="0.35">
      <c r="A1" s="1840"/>
      <c r="B1" s="1841"/>
      <c r="C1" s="1860" t="s">
        <v>22</v>
      </c>
      <c r="D1" s="1831"/>
      <c r="E1" s="1831"/>
      <c r="F1" s="1831"/>
      <c r="G1" s="1831"/>
      <c r="H1" s="1831"/>
      <c r="I1" s="1831"/>
      <c r="J1" s="1831"/>
      <c r="K1" s="1831"/>
      <c r="L1" s="1831"/>
      <c r="M1" s="1831"/>
      <c r="N1" s="1831"/>
      <c r="O1" s="1831"/>
      <c r="P1" s="1831"/>
      <c r="Q1" s="1831"/>
      <c r="R1" s="1831"/>
      <c r="S1" s="1832"/>
      <c r="T1" s="1855" t="s">
        <v>1040</v>
      </c>
      <c r="U1" s="1856"/>
      <c r="V1" s="1856"/>
      <c r="W1" s="1856"/>
      <c r="X1" s="1856"/>
      <c r="Y1" s="1856"/>
      <c r="Z1" s="1856"/>
      <c r="AA1" s="1856"/>
      <c r="AB1" s="1855" t="s">
        <v>1054</v>
      </c>
      <c r="AC1" s="1856"/>
      <c r="AD1" s="1856"/>
      <c r="AE1" s="1856"/>
      <c r="AF1" s="1856"/>
      <c r="AG1" s="1856"/>
      <c r="AH1" s="1856"/>
      <c r="AI1" s="1857"/>
    </row>
    <row r="2" spans="1:35" ht="16.5" customHeight="1" thickBot="1" x14ac:dyDescent="0.4">
      <c r="A2" s="1689"/>
      <c r="B2" s="1690"/>
      <c r="C2" s="1861"/>
      <c r="D2" s="1862"/>
      <c r="E2" s="1862"/>
      <c r="F2" s="1862"/>
      <c r="G2" s="1862"/>
      <c r="H2" s="1862"/>
      <c r="I2" s="1862"/>
      <c r="J2" s="1862"/>
      <c r="K2" s="1862"/>
      <c r="L2" s="1862"/>
      <c r="M2" s="1862"/>
      <c r="N2" s="1862"/>
      <c r="O2" s="1862"/>
      <c r="P2" s="1862"/>
      <c r="Q2" s="1862"/>
      <c r="R2" s="1862"/>
      <c r="S2" s="1863"/>
      <c r="T2" s="1858" t="s">
        <v>1041</v>
      </c>
      <c r="U2" s="1859"/>
      <c r="V2" s="1859"/>
      <c r="W2" s="1859"/>
      <c r="X2" s="1859"/>
      <c r="Y2" s="1859"/>
      <c r="Z2" s="1859"/>
      <c r="AA2" s="1859"/>
      <c r="AB2" s="1858" t="s">
        <v>1064</v>
      </c>
      <c r="AC2" s="1859"/>
      <c r="AD2" s="1859"/>
      <c r="AE2" s="1859"/>
      <c r="AF2" s="1859"/>
      <c r="AG2" s="1859"/>
      <c r="AH2" s="1859"/>
      <c r="AI2" s="1867"/>
    </row>
    <row r="3" spans="1:35" ht="12" customHeight="1" x14ac:dyDescent="0.35">
      <c r="A3" s="1619" t="s">
        <v>1122</v>
      </c>
      <c r="B3" s="1619"/>
      <c r="C3" s="1619"/>
      <c r="D3" s="1619"/>
      <c r="E3" s="1619"/>
      <c r="F3" s="1619"/>
      <c r="G3" s="1619"/>
      <c r="H3" s="1619"/>
      <c r="I3" s="1619"/>
      <c r="J3" s="1619"/>
      <c r="K3" s="1619"/>
      <c r="L3" s="1619"/>
      <c r="M3" s="1619"/>
      <c r="N3" s="1619"/>
      <c r="O3" s="1619"/>
      <c r="P3" s="1619"/>
      <c r="Q3" s="1619"/>
      <c r="R3" s="1619"/>
      <c r="S3" s="1619"/>
      <c r="T3" s="1619"/>
      <c r="U3" s="1619"/>
      <c r="V3" s="1619"/>
      <c r="W3" s="1619"/>
      <c r="X3" s="1619"/>
      <c r="Y3" s="1619"/>
      <c r="Z3" s="1619"/>
      <c r="AA3" s="1619"/>
      <c r="AB3" s="1619"/>
      <c r="AC3" s="1619"/>
      <c r="AD3" s="1619"/>
      <c r="AE3" s="1619"/>
      <c r="AF3" s="1619"/>
      <c r="AG3" s="1619"/>
      <c r="AH3" s="1619"/>
      <c r="AI3" s="1619"/>
    </row>
    <row r="4" spans="1:35" ht="6" customHeight="1" thickBot="1" x14ac:dyDescent="0.4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W4" s="240"/>
      <c r="X4" s="240"/>
      <c r="Y4" s="450"/>
      <c r="Z4" s="450"/>
      <c r="AA4" s="1687" t="s">
        <v>1033</v>
      </c>
      <c r="AB4" s="1687"/>
      <c r="AC4" s="1687"/>
      <c r="AD4" s="1687"/>
      <c r="AE4" s="240"/>
      <c r="AF4" s="240"/>
      <c r="AG4" s="240"/>
      <c r="AH4" s="450"/>
      <c r="AI4" s="450"/>
    </row>
    <row r="5" spans="1:35" ht="15" customHeight="1" thickBot="1" x14ac:dyDescent="0.4">
      <c r="A5" s="240"/>
      <c r="B5" s="1673" t="s">
        <v>27</v>
      </c>
      <c r="C5" s="1673"/>
      <c r="D5" s="1673"/>
      <c r="E5" s="1674"/>
      <c r="F5" s="1578" t="str">
        <f>IF(Data!B1&lt;&gt;"", Data!B1, " ")</f>
        <v>2025-AR-105</v>
      </c>
      <c r="G5" s="1681"/>
      <c r="H5" s="1681"/>
      <c r="I5" s="1681"/>
      <c r="J5" s="1579"/>
      <c r="K5" s="1682" t="s">
        <v>28</v>
      </c>
      <c r="L5" s="1679"/>
      <c r="M5" s="1680"/>
      <c r="N5" s="1578">
        <f>IF(Data!B2&lt;&gt;"", Data!B2, " ")</f>
        <v>13753277</v>
      </c>
      <c r="O5" s="1681"/>
      <c r="P5" s="1681"/>
      <c r="Q5" s="1681"/>
      <c r="R5" s="1579"/>
      <c r="S5" s="1682" t="s">
        <v>1065</v>
      </c>
      <c r="T5" s="1679"/>
      <c r="U5" s="1680"/>
      <c r="V5" s="1578" t="str">
        <f>IF(Data!B5&lt;&gt;"",Data!B5," ")</f>
        <v>1061407M</v>
      </c>
      <c r="W5" s="1681"/>
      <c r="X5" s="1681"/>
      <c r="Y5" s="1681"/>
      <c r="Z5" s="1579"/>
      <c r="AA5" s="1687"/>
      <c r="AB5" s="1687"/>
      <c r="AC5" s="1687"/>
      <c r="AD5" s="1687"/>
      <c r="AE5" s="1654">
        <f>IF(Data!B6&lt;&gt;"",Data!B6," ")</f>
        <v>46002</v>
      </c>
      <c r="AF5" s="1655"/>
      <c r="AG5" s="1655"/>
      <c r="AH5" s="1655"/>
      <c r="AI5" s="1656"/>
    </row>
    <row r="6" spans="1:35" ht="6" customHeight="1" thickBot="1" x14ac:dyDescent="0.4">
      <c r="A6" s="240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AA6" s="1687"/>
      <c r="AB6" s="1687"/>
      <c r="AC6" s="1687"/>
      <c r="AD6" s="1687"/>
      <c r="AE6" s="449"/>
      <c r="AF6" s="449"/>
      <c r="AG6" s="450"/>
      <c r="AH6" s="450"/>
      <c r="AI6" s="450"/>
    </row>
    <row r="7" spans="1:35" ht="15" customHeight="1" thickBot="1" x14ac:dyDescent="0.4">
      <c r="D7" s="1679" t="s">
        <v>29</v>
      </c>
      <c r="E7" s="1680"/>
      <c r="F7" s="1578" t="str">
        <f>IF(LEN(Data!B3)&gt;3,IF(AND(Data!B43&lt;&gt;"",Data!B43&lt;&gt;"0 0/1"""),Data!B43,""),IF(Data!B3&lt;&gt;"",Data!B3&amp;"""",""))</f>
        <v>8 3/8"</v>
      </c>
      <c r="G7" s="1681"/>
      <c r="H7" s="1681"/>
      <c r="I7" s="1681"/>
      <c r="J7" s="1579"/>
      <c r="L7" s="1679" t="s">
        <v>31</v>
      </c>
      <c r="M7" s="1680"/>
      <c r="N7" s="1578" t="str">
        <f>IF(Data!B4&lt;&gt;"",Data!B4," ")</f>
        <v>MM65DH</v>
      </c>
      <c r="O7" s="1681"/>
      <c r="P7" s="1681"/>
      <c r="Q7" s="1681"/>
      <c r="R7" s="1579"/>
      <c r="S7" s="1682" t="s">
        <v>32</v>
      </c>
      <c r="T7" s="1679"/>
      <c r="U7" s="1680"/>
      <c r="V7" s="1578" t="str">
        <f>IF(Data!B7&lt;&gt;"",Data!B7, " ")</f>
        <v>SAUDI ARAMCO</v>
      </c>
      <c r="W7" s="1681"/>
      <c r="X7" s="1681"/>
      <c r="Y7" s="1681"/>
      <c r="Z7" s="1579"/>
      <c r="AA7" s="1672" t="s">
        <v>33</v>
      </c>
      <c r="AB7" s="1673"/>
      <c r="AC7" s="1673"/>
      <c r="AD7" s="1674"/>
      <c r="AE7" s="1578">
        <f>IF(Data!B24&lt;&gt;"",Data!B24,IFERROR(VLOOKUP(Data!$B$7,Data!F63:G70,2,FALSE),""))</f>
        <v>6600048646</v>
      </c>
      <c r="AF7" s="1681"/>
      <c r="AG7" s="1681"/>
      <c r="AH7" s="1681"/>
      <c r="AI7" s="1579"/>
    </row>
    <row r="8" spans="1:35" ht="4.5" customHeight="1" x14ac:dyDescent="0.35">
      <c r="D8" s="451"/>
      <c r="E8" s="451"/>
      <c r="F8" s="240"/>
      <c r="G8" s="240"/>
      <c r="H8" s="240"/>
      <c r="I8" s="240"/>
      <c r="J8" s="240"/>
      <c r="L8" s="451"/>
      <c r="M8" s="451"/>
      <c r="N8" s="240"/>
      <c r="O8" s="240"/>
      <c r="P8" s="240"/>
      <c r="Q8" s="240"/>
      <c r="R8" s="240"/>
      <c r="S8" s="451"/>
      <c r="T8" s="451"/>
      <c r="U8" s="451"/>
      <c r="V8" s="240"/>
      <c r="W8" s="240"/>
      <c r="X8" s="240"/>
      <c r="Y8" s="240"/>
      <c r="Z8" s="240"/>
      <c r="AA8" s="449"/>
      <c r="AB8" s="449"/>
      <c r="AC8" s="449"/>
      <c r="AD8" s="449"/>
      <c r="AE8" s="240"/>
      <c r="AF8" s="240"/>
      <c r="AG8" s="240"/>
      <c r="AH8" s="240"/>
      <c r="AI8" s="240"/>
    </row>
    <row r="9" spans="1:35" ht="27.75" customHeight="1" thickBot="1" x14ac:dyDescent="0.4">
      <c r="A9" s="1902" t="s">
        <v>1492</v>
      </c>
      <c r="B9" s="1902"/>
      <c r="C9" s="1902"/>
      <c r="D9" s="1902"/>
      <c r="E9" s="1902"/>
      <c r="F9" s="1902"/>
      <c r="G9" s="1902"/>
      <c r="H9" s="1902"/>
      <c r="I9" s="1902"/>
      <c r="J9" s="1902"/>
      <c r="K9" s="1902"/>
      <c r="L9" s="1902"/>
      <c r="M9" s="1902"/>
      <c r="N9" s="1902"/>
      <c r="O9" s="1902"/>
      <c r="P9" s="1902"/>
      <c r="Q9" s="1902"/>
      <c r="R9" s="1902"/>
      <c r="S9" s="1902"/>
      <c r="T9" s="1902"/>
      <c r="U9" s="1902"/>
      <c r="V9" s="1902"/>
      <c r="W9" s="1902"/>
      <c r="X9" s="1902"/>
      <c r="Y9" s="1902"/>
      <c r="Z9" s="1902"/>
      <c r="AA9" s="1902"/>
      <c r="AB9" s="1902"/>
      <c r="AC9" s="1902"/>
      <c r="AD9" s="1902"/>
      <c r="AE9" s="1902"/>
      <c r="AF9" s="1902"/>
      <c r="AG9" s="1902"/>
      <c r="AH9" s="1902"/>
      <c r="AI9" s="1902"/>
    </row>
    <row r="10" spans="1:35" ht="11.25" customHeight="1" thickBot="1" x14ac:dyDescent="0.4">
      <c r="A10" s="1820"/>
      <c r="B10" s="1821"/>
      <c r="C10" s="1864" t="s">
        <v>17</v>
      </c>
      <c r="D10" s="1865"/>
      <c r="E10" s="1865"/>
      <c r="F10" s="1865"/>
      <c r="G10" s="1865"/>
      <c r="H10" s="1865"/>
      <c r="I10" s="1865"/>
      <c r="J10" s="1865"/>
      <c r="K10" s="1865"/>
      <c r="L10" s="1865"/>
      <c r="M10" s="1865"/>
      <c r="N10" s="1865"/>
      <c r="O10" s="1865"/>
      <c r="P10" s="1865"/>
      <c r="Q10" s="1865"/>
      <c r="R10" s="1865"/>
      <c r="S10" s="1865"/>
      <c r="T10" s="1865"/>
      <c r="U10" s="1865"/>
      <c r="V10" s="1865"/>
      <c r="W10" s="1865"/>
      <c r="X10" s="1865"/>
      <c r="Y10" s="1865"/>
      <c r="Z10" s="1865"/>
      <c r="AA10" s="1865"/>
      <c r="AB10" s="1865"/>
      <c r="AC10" s="1865"/>
      <c r="AD10" s="1865"/>
      <c r="AE10" s="1865"/>
      <c r="AF10" s="1865"/>
      <c r="AG10" s="1865"/>
      <c r="AH10" s="1865"/>
      <c r="AI10" s="1866"/>
    </row>
    <row r="11" spans="1:35" ht="13.5" customHeight="1" thickBot="1" x14ac:dyDescent="0.4">
      <c r="A11" s="1822"/>
      <c r="B11" s="1823"/>
      <c r="C11" s="546" t="str">
        <f>IF(Data!BR42&lt;&gt;"",Data!BR42,"")</f>
        <v>1a</v>
      </c>
      <c r="D11" s="547" t="str">
        <f>IF(Data!BS42&lt;&gt;"",Data!BS42,"")</f>
        <v>2a</v>
      </c>
      <c r="E11" s="547" t="str">
        <f>IF(Data!BT42&lt;&gt;"",Data!BT42,"")</f>
        <v>3a</v>
      </c>
      <c r="F11" s="547" t="str">
        <f>IF(Data!BU42&lt;&gt;"",Data!BU42,"")</f>
        <v>4a</v>
      </c>
      <c r="G11" s="547" t="str">
        <f>IF(Data!BV42&lt;&gt;"",Data!BV42,"")</f>
        <v>5a</v>
      </c>
      <c r="H11" s="547" t="str">
        <f>IF(Data!BW42&lt;&gt;"",Data!BW42,"")</f>
        <v>6a</v>
      </c>
      <c r="I11" s="547" t="str">
        <f>IF(Data!BX42&lt;&gt;"",Data!BX42,"")</f>
        <v>7a</v>
      </c>
      <c r="J11" s="547" t="str">
        <f>IF(Data!BY42&lt;&gt;"",Data!BY42,"")</f>
        <v>8a</v>
      </c>
      <c r="K11" s="547" t="str">
        <f>IF(Data!BZ42&lt;&gt;"",Data!BZ42,"")</f>
        <v>0a</v>
      </c>
      <c r="L11" s="547" t="str">
        <f>IF(Data!CA42&lt;&gt;"",Data!CA42,"")</f>
        <v>1b</v>
      </c>
      <c r="M11" s="547" t="str">
        <f>IF(Data!CB42&lt;&gt;"",Data!CB42,"")</f>
        <v>2b</v>
      </c>
      <c r="N11" s="547" t="str">
        <f>IF(Data!CC42&lt;&gt;"",Data!CC42,"")</f>
        <v>3b</v>
      </c>
      <c r="O11" s="547" t="str">
        <f>IF(Data!CD42&lt;&gt;"",Data!CD42,"")</f>
        <v>4b</v>
      </c>
      <c r="P11" s="547" t="str">
        <f>IF(Data!CE42&lt;&gt;"",Data!CE42,"")</f>
        <v>0a</v>
      </c>
      <c r="Q11" s="547" t="str">
        <f>IF(Data!CF42&lt;&gt;"",Data!CF42,"")</f>
        <v>0a</v>
      </c>
      <c r="R11" s="547" t="str">
        <f>IF(Data!CG42&lt;&gt;"",Data!CG42,"")</f>
        <v>0a</v>
      </c>
      <c r="S11" s="547" t="str">
        <f>IF(Data!CH42&lt;&gt;"",Data!CH42,"")</f>
        <v>0a</v>
      </c>
      <c r="T11" s="547" t="str">
        <f>IF(Data!CI42&lt;&gt;"",Data!CI42,"")</f>
        <v>0a</v>
      </c>
      <c r="U11" s="547" t="str">
        <f>IF(Data!CJ42&lt;&gt;"",Data!CJ42,"")</f>
        <v>0a</v>
      </c>
      <c r="V11" s="547" t="str">
        <f>IF(Data!CK42&lt;&gt;"",Data!CK42,"")</f>
        <v>0a</v>
      </c>
      <c r="W11" s="547" t="str">
        <f>IF(Data!CL42&lt;&gt;"",Data!CL42,"")</f>
        <v>0a</v>
      </c>
      <c r="X11" s="547" t="str">
        <f>IF(Data!CM42&lt;&gt;"",Data!CM42,"")</f>
        <v>0a</v>
      </c>
      <c r="Y11" s="547" t="str">
        <f>IF(Data!CN42&lt;&gt;"",Data!CN42,"")</f>
        <v>0a</v>
      </c>
      <c r="Z11" s="547" t="str">
        <f>IF(Data!CO42&lt;&gt;"",Data!CO42,"")</f>
        <v>0a</v>
      </c>
      <c r="AA11" s="547" t="str">
        <f>IF(Data!CP42&lt;&gt;"",Data!CP42,"")</f>
        <v>0a</v>
      </c>
      <c r="AB11" s="547" t="str">
        <f>IF(Data!CQ42&lt;&gt;"",Data!CQ42,"")</f>
        <v>0a</v>
      </c>
      <c r="AC11" s="547" t="str">
        <f>IF(Data!CR42&lt;&gt;"",Data!CR42,"")</f>
        <v>0a</v>
      </c>
      <c r="AD11" s="547" t="str">
        <f>IF(Data!CS42&lt;&gt;"",Data!CS42,"")</f>
        <v>0a</v>
      </c>
      <c r="AE11" s="547" t="str">
        <f>IF(Data!CT42&lt;&gt;"",Data!CT42,"")</f>
        <v>0a</v>
      </c>
      <c r="AF11" s="547" t="str">
        <f>IF(Data!CU42&lt;&gt;"",Data!CU42,"")</f>
        <v>0a</v>
      </c>
      <c r="AG11" s="547" t="str">
        <f>IF(Data!CV42&lt;&gt;"",Data!CV42,"")</f>
        <v>0a</v>
      </c>
      <c r="AH11" s="547" t="str">
        <f>IF(Data!CW42&lt;&gt;"",Data!CW42,"")</f>
        <v>0a</v>
      </c>
      <c r="AI11" s="549" t="str">
        <f>IF(Data!CX42&lt;&gt;"",Data!CX42,"")</f>
        <v>0a</v>
      </c>
    </row>
    <row r="12" spans="1:35" ht="14.15" customHeight="1" x14ac:dyDescent="0.35">
      <c r="A12" s="1868" t="s">
        <v>18</v>
      </c>
      <c r="B12" s="570">
        <v>1</v>
      </c>
      <c r="C12" s="261" t="str">
        <f>IF(OR(Data!$L$2=1,Data!$L$3=1),IF(OR(Data!BR46=0,Data!BR46=""),"","O"&amp;Data!BR46),IF('ARDT Cutter Entry'!$C$111&lt;&gt;"",'ARDT Cutter Entry'!C111,'ARDT Cutter Entry'!C43))</f>
        <v>R1</v>
      </c>
      <c r="D12" s="262" t="str">
        <f>IF(OR(Data!$L$2=1,Data!$L$3=1),IF(OR(Data!BS46=0,Data!BS46=""),"","O"&amp;Data!BS46),IF('ARDT Cutter Entry'!$C$111&lt;&gt;"",'ARDT Cutter Entry'!D111,'ARDT Cutter Entry'!D43))</f>
        <v>R1</v>
      </c>
      <c r="E12" s="262" t="str">
        <f>IF(OR(Data!$L$2=1,Data!$L$3=1),IF(OR(Data!BT46=0,Data!BT46=""),"","O"&amp;Data!BT46),IF('ARDT Cutter Entry'!$C$111&lt;&gt;"",'ARDT Cutter Entry'!E111,'ARDT Cutter Entry'!E43))</f>
        <v>X5</v>
      </c>
      <c r="F12" s="262" t="str">
        <f>IF(OR(Data!$L$2=1,Data!$L$3=1),IF(OR(Data!BU46=0,Data!BU46=""),"","O"&amp;Data!BU46),IF('ARDT Cutter Entry'!$C$111&lt;&gt;"",'ARDT Cutter Entry'!F111,'ARDT Cutter Entry'!F43))</f>
        <v>X5</v>
      </c>
      <c r="G12" s="262" t="str">
        <f>IF(OR(Data!$L$2=1,Data!$L$3=1),IF(OR(Data!BV46=0,Data!BV46=""),"","O"&amp;Data!BV46),IF('ARDT Cutter Entry'!$C$111&lt;&gt;"",'ARDT Cutter Entry'!G111,'ARDT Cutter Entry'!G43))</f>
        <v>X5</v>
      </c>
      <c r="H12" s="262" t="str">
        <f>IF(OR(Data!$L$2=1,Data!$L$3=1),IF(OR(Data!BW46=0,Data!BW46=""),"","O"&amp;Data!BW46),IF('ARDT Cutter Entry'!$C$111&lt;&gt;"",'ARDT Cutter Entry'!H111,'ARDT Cutter Entry'!H43))</f>
        <v>X5</v>
      </c>
      <c r="I12" s="262" t="str">
        <f>IF(OR(Data!$L$2=1,Data!$L$3=1),IF(OR(Data!BX46=0,Data!BX46=""),"","O"&amp;Data!BX46),IF('ARDT Cutter Entry'!$C$111&lt;&gt;"",'ARDT Cutter Entry'!I111,'ARDT Cutter Entry'!I43))</f>
        <v>R1</v>
      </c>
      <c r="J12" s="262" t="str">
        <f>IF(OR(Data!$L$2=1,Data!$L$3=1),IF(OR(Data!BY46=0,Data!BY46=""),"","O"&amp;Data!BY46),IF('ARDT Cutter Entry'!$C$111&lt;&gt;"",'ARDT Cutter Entry'!J111,'ARDT Cutter Entry'!J43))</f>
        <v>X3</v>
      </c>
      <c r="K12" s="262" t="str">
        <f>IF(OR(Data!$L$2=1,Data!$L$3=1),IF(OR(Data!BZ46=0,Data!BZ46=""),"","O"&amp;Data!BZ46),IF('ARDT Cutter Entry'!$C$111&lt;&gt;"",'ARDT Cutter Entry'!K111,'ARDT Cutter Entry'!K43))</f>
        <v/>
      </c>
      <c r="L12" s="262" t="str">
        <f>IF(OR(Data!$L$2=1,Data!$L$3=1),IF(OR(Data!CA46=0,Data!CA46=""),"","O"&amp;Data!CA46),IF('ARDT Cutter Entry'!$C$111&lt;&gt;"",'ARDT Cutter Entry'!L111,'ARDT Cutter Entry'!L43))</f>
        <v>S2</v>
      </c>
      <c r="M12" s="262" t="str">
        <f>IF(OR(Data!$L$2=1,Data!$L$3=1),IF(OR(Data!CB46=0,Data!CB46=""),"","O"&amp;Data!CB46),IF('ARDT Cutter Entry'!$C$111&lt;&gt;"",'ARDT Cutter Entry'!M111,'ARDT Cutter Entry'!M43))</f>
        <v>X4</v>
      </c>
      <c r="N12" s="262" t="str">
        <f>IF(OR(Data!$L$2=1,Data!$L$3=1),IF(OR(Data!CC46=0,Data!CC46=""),"","O"&amp;Data!CC46),IF('ARDT Cutter Entry'!$C$111&lt;&gt;"",'ARDT Cutter Entry'!N111,'ARDT Cutter Entry'!N43))</f>
        <v>X4</v>
      </c>
      <c r="O12" s="262" t="str">
        <f>IF(OR(Data!$L$2=1,Data!$L$3=1),IF(OR(Data!CD46=0,Data!CD46=""),"","O"&amp;Data!CD46),IF('ARDT Cutter Entry'!$C$111&lt;&gt;"",'ARDT Cutter Entry'!O111,'ARDT Cutter Entry'!O43))</f>
        <v>R2</v>
      </c>
      <c r="P12" s="262" t="str">
        <f>IF(OR(Data!$L$2=1,Data!$L$3=1),IF(OR(Data!CE46=0,Data!CE46=""),"","O"&amp;Data!CE46),IF('ARDT Cutter Entry'!$C$111&lt;&gt;"",'ARDT Cutter Entry'!P111,'ARDT Cutter Entry'!P43))</f>
        <v/>
      </c>
      <c r="Q12" s="262" t="str">
        <f>IF(OR(Data!$L$2=1,Data!$L$3=1),IF(OR(Data!CF46=0,Data!CF46=""),"","O"&amp;Data!CF46),IF('ARDT Cutter Entry'!$C$111&lt;&gt;"",'ARDT Cutter Entry'!Q111,'ARDT Cutter Entry'!Q43))</f>
        <v/>
      </c>
      <c r="R12" s="262" t="str">
        <f>IF(OR(Data!$L$2=1,Data!$L$3=1),IF(OR(Data!CG46=0,Data!CG46=""),"","O"&amp;Data!CG46),IF('ARDT Cutter Entry'!$C$111&lt;&gt;"",'ARDT Cutter Entry'!R111,'ARDT Cutter Entry'!R43))</f>
        <v/>
      </c>
      <c r="S12" s="262" t="str">
        <f>IF(OR(Data!$L$2=1,Data!$L$3=1),IF(OR(Data!CH46=0,Data!CH46=""),"","O"&amp;Data!CH46),IF('ARDT Cutter Entry'!$C$111&lt;&gt;"",'ARDT Cutter Entry'!S111,'ARDT Cutter Entry'!S43))</f>
        <v/>
      </c>
      <c r="T12" s="262" t="str">
        <f>IF(OR(Data!$L$2=1,Data!$L$3=1),IF(OR(Data!CI46=0,Data!CI46=""),"","O"&amp;Data!CI46),IF('ARDT Cutter Entry'!$C$111&lt;&gt;"",'ARDT Cutter Entry'!T111,'ARDT Cutter Entry'!T43))</f>
        <v/>
      </c>
      <c r="U12" s="262" t="str">
        <f>IF(OR(Data!$L$2=1,Data!$L$3=1),IF(OR(Data!CJ46=0,Data!CJ46=""),"","O"&amp;Data!CJ46),IF('ARDT Cutter Entry'!$C$111&lt;&gt;"",'ARDT Cutter Entry'!U111,'ARDT Cutter Entry'!U43))</f>
        <v/>
      </c>
      <c r="V12" s="262" t="str">
        <f>IF(OR(Data!$L$2=1,Data!$L$3=1),IF(OR(Data!CK46=0,Data!CK46=""),"","O"&amp;Data!CK46),IF('ARDT Cutter Entry'!$C$111&lt;&gt;"",'ARDT Cutter Entry'!V111,'ARDT Cutter Entry'!V43))</f>
        <v/>
      </c>
      <c r="W12" s="262" t="str">
        <f>IF(OR(Data!$L$2=1,Data!$L$3=1),IF(OR(Data!CL46=0,Data!CL46=""),"","O"&amp;Data!CL46),IF('ARDT Cutter Entry'!$C$111&lt;&gt;"",'ARDT Cutter Entry'!W111,'ARDT Cutter Entry'!W43))</f>
        <v/>
      </c>
      <c r="X12" s="262" t="str">
        <f>IF(OR(Data!$L$2=1,Data!$L$3=1),IF(OR(Data!CM46=0,Data!CM46=""),"","O"&amp;Data!CM46),IF('ARDT Cutter Entry'!$C$111&lt;&gt;"",'ARDT Cutter Entry'!X111,'ARDT Cutter Entry'!X43))</f>
        <v/>
      </c>
      <c r="Y12" s="262" t="str">
        <f>IF(OR(Data!$L$2=1,Data!$L$3=1),IF(OR(Data!CN46=0,Data!CN46=""),"","O"&amp;Data!CN46),IF('ARDT Cutter Entry'!$C$111&lt;&gt;"",'ARDT Cutter Entry'!Y111,'ARDT Cutter Entry'!Y43))</f>
        <v/>
      </c>
      <c r="Z12" s="262" t="str">
        <f>IF(OR(Data!$L$2=1,Data!$L$3=1),IF(OR(Data!CO46=0,Data!CO46=""),"","O"&amp;Data!CO46),IF('ARDT Cutter Entry'!$C$111&lt;&gt;"",'ARDT Cutter Entry'!Z111,'ARDT Cutter Entry'!Z43))</f>
        <v/>
      </c>
      <c r="AA12" s="262" t="str">
        <f>IF(OR(Data!$L$2=1,Data!$L$3=1),IF(OR(Data!CP46=0,Data!CP46=""),"","O"&amp;Data!CP46),IF('ARDT Cutter Entry'!$C$111&lt;&gt;"",'ARDT Cutter Entry'!AA111,'ARDT Cutter Entry'!AA43))</f>
        <v/>
      </c>
      <c r="AB12" s="262" t="str">
        <f>IF(OR(Data!$L$2=1,Data!$L$3=1),IF(OR(Data!CQ46=0,Data!CQ46=""),"","O"&amp;Data!CQ46),IF('ARDT Cutter Entry'!$C$111&lt;&gt;"",'ARDT Cutter Entry'!AB111,'ARDT Cutter Entry'!AB43))</f>
        <v/>
      </c>
      <c r="AC12" s="262" t="str">
        <f>IF(OR(Data!$L$2=1,Data!$L$3=1),IF(OR(Data!CR46=0,Data!CR46=""),"","O"&amp;Data!CR46),IF('ARDT Cutter Entry'!$C$111&lt;&gt;"",'ARDT Cutter Entry'!AC111,'ARDT Cutter Entry'!AC43))</f>
        <v/>
      </c>
      <c r="AD12" s="262" t="str">
        <f>IF(OR(Data!$L$2=1,Data!$L$3=1),IF(OR(Data!CS46=0,Data!CS46=""),"","O"&amp;Data!CS46),IF('ARDT Cutter Entry'!$C$111&lt;&gt;"",'ARDT Cutter Entry'!AD111,'ARDT Cutter Entry'!AD43))</f>
        <v/>
      </c>
      <c r="AE12" s="262" t="str">
        <f>IF(OR(Data!$L$2=1,Data!$L$3=1),IF(OR(Data!CT46=0,Data!CT46=""),"","O"&amp;Data!CT46),IF('ARDT Cutter Entry'!$C$111&lt;&gt;"",'ARDT Cutter Entry'!AE111,'ARDT Cutter Entry'!AE43))</f>
        <v/>
      </c>
      <c r="AF12" s="262" t="str">
        <f>IF(OR(Data!$L$2=1,Data!$L$3=1),IF(OR(Data!CU46=0,Data!CU46=""),"","O"&amp;Data!CU46),IF('ARDT Cutter Entry'!$C$111&lt;&gt;"",'ARDT Cutter Entry'!AF111,'ARDT Cutter Entry'!AF43))</f>
        <v/>
      </c>
      <c r="AG12" s="262" t="str">
        <f>IF(OR(Data!$L$2=1,Data!$L$3=1),IF(OR(Data!CV46=0,Data!CV46=""),"","O"&amp;Data!CV46),IF('ARDT Cutter Entry'!$C$111&lt;&gt;"",'ARDT Cutter Entry'!AG111,'ARDT Cutter Entry'!AG43))</f>
        <v/>
      </c>
      <c r="AH12" s="262" t="str">
        <f>IF(OR(Data!$L$2=1,Data!$L$3=1),IF(OR(Data!CW46=0,Data!CW46=""),"","O"&amp;Data!CW46),IF('ARDT Cutter Entry'!$C$111&lt;&gt;"",'ARDT Cutter Entry'!AH111,'ARDT Cutter Entry'!AH43))</f>
        <v/>
      </c>
      <c r="AI12" s="263" t="str">
        <f>IF(OR(Data!$L$2=1,Data!$L$3=1),IF(OR(Data!CX46=0,Data!CX46=""),"","O"&amp;Data!CX46),IF('ARDT Cutter Entry'!$C$111&lt;&gt;"",'ARDT Cutter Entry'!AI111,'ARDT Cutter Entry'!AI43))</f>
        <v/>
      </c>
    </row>
    <row r="13" spans="1:35" ht="14.15" customHeight="1" x14ac:dyDescent="0.35">
      <c r="A13" s="1869"/>
      <c r="B13" s="435">
        <v>2</v>
      </c>
      <c r="C13" s="233" t="str">
        <f>IF(OR(Data!$L$2=1,Data!$L$3=1),IF(OR(Data!BR47=0,Data!BR47=""),"","O"&amp;Data!BR47),IF('ARDT Cutter Entry'!$C$111&lt;&gt;"",'ARDT Cutter Entry'!C112,'ARDT Cutter Entry'!C44))</f>
        <v>X5</v>
      </c>
      <c r="D13" s="167" t="str">
        <f>IF(OR(Data!$L$2=1,Data!$L$3=1),IF(OR(Data!BS47=0,Data!BS47=""),"","O"&amp;Data!BS47),IF('ARDT Cutter Entry'!$C$111&lt;&gt;"",'ARDT Cutter Entry'!D112,'ARDT Cutter Entry'!D44))</f>
        <v>X5</v>
      </c>
      <c r="E13" s="167" t="str">
        <f>IF(OR(Data!$L$2=1,Data!$L$3=1),IF(OR(Data!BT47=0,Data!BT47=""),"","O"&amp;Data!BT47),IF('ARDT Cutter Entry'!$C$111&lt;&gt;"",'ARDT Cutter Entry'!E112,'ARDT Cutter Entry'!E44))</f>
        <v>X5</v>
      </c>
      <c r="F13" s="167" t="str">
        <f>IF(OR(Data!$L$2=1,Data!$L$3=1),IF(OR(Data!BU47=0,Data!BU47=""),"","O"&amp;Data!BU47),IF('ARDT Cutter Entry'!$C$111&lt;&gt;"",'ARDT Cutter Entry'!F112,'ARDT Cutter Entry'!F44))</f>
        <v>R1</v>
      </c>
      <c r="G13" s="167" t="str">
        <f>IF(OR(Data!$L$2=1,Data!$L$3=1),IF(OR(Data!BV47=0,Data!BV47=""),"","O"&amp;Data!BV47),IF('ARDT Cutter Entry'!$C$111&lt;&gt;"",'ARDT Cutter Entry'!G112,'ARDT Cutter Entry'!G44))</f>
        <v>X3</v>
      </c>
      <c r="H13" s="167" t="str">
        <f>IF(OR(Data!$L$2=1,Data!$L$3=1),IF(OR(Data!BW47=0,Data!BW47=""),"","O"&amp;Data!BW47),IF('ARDT Cutter Entry'!$C$111&lt;&gt;"",'ARDT Cutter Entry'!H112,'ARDT Cutter Entry'!H44))</f>
        <v/>
      </c>
      <c r="I13" s="167" t="str">
        <f>IF(OR(Data!$L$2=1,Data!$L$3=1),IF(OR(Data!BX47=0,Data!BX47=""),"","O"&amp;Data!BX47),IF('ARDT Cutter Entry'!$C$111&lt;&gt;"",'ARDT Cutter Entry'!I112,'ARDT Cutter Entry'!I44))</f>
        <v/>
      </c>
      <c r="J13" s="167" t="str">
        <f>IF(OR(Data!$L$2=1,Data!$L$3=1),IF(OR(Data!BY47=0,Data!BY47=""),"","O"&amp;Data!BY47),IF('ARDT Cutter Entry'!$C$111&lt;&gt;"",'ARDT Cutter Entry'!J112,'ARDT Cutter Entry'!J44))</f>
        <v/>
      </c>
      <c r="K13" s="167" t="str">
        <f>IF(OR(Data!$L$2=1,Data!$L$3=1),IF(OR(Data!BZ47=0,Data!BZ47=""),"","O"&amp;Data!BZ47),IF('ARDT Cutter Entry'!$C$111&lt;&gt;"",'ARDT Cutter Entry'!K112,'ARDT Cutter Entry'!K44))</f>
        <v/>
      </c>
      <c r="L13" s="167" t="str">
        <f>IF(OR(Data!$L$2=1,Data!$L$3=1),IF(OR(Data!CA47=0,Data!CA47=""),"","O"&amp;Data!CA47),IF('ARDT Cutter Entry'!$C$111&lt;&gt;"",'ARDT Cutter Entry'!L112,'ARDT Cutter Entry'!L44))</f>
        <v>S2</v>
      </c>
      <c r="M13" s="167" t="str">
        <f>IF(OR(Data!$L$2=1,Data!$L$3=1),IF(OR(Data!CB47=0,Data!CB47=""),"","O"&amp;Data!CB47),IF('ARDT Cutter Entry'!$C$111&lt;&gt;"",'ARDT Cutter Entry'!M112,'ARDT Cutter Entry'!M44))</f>
        <v>R2</v>
      </c>
      <c r="N13" s="167" t="str">
        <f>IF(OR(Data!$L$2=1,Data!$L$3=1),IF(OR(Data!CC47=0,Data!CC47=""),"","O"&amp;Data!CC47),IF('ARDT Cutter Entry'!$C$111&lt;&gt;"",'ARDT Cutter Entry'!N112,'ARDT Cutter Entry'!N44))</f>
        <v>X4</v>
      </c>
      <c r="O13" s="167" t="str">
        <f>IF(OR(Data!$L$2=1,Data!$L$3=1),IF(OR(Data!CD47=0,Data!CD47=""),"","O"&amp;Data!CD47),IF('ARDT Cutter Entry'!$C$111&lt;&gt;"",'ARDT Cutter Entry'!O112,'ARDT Cutter Entry'!O44))</f>
        <v>R2</v>
      </c>
      <c r="P13" s="167" t="str">
        <f>IF(OR(Data!$L$2=1,Data!$L$3=1),IF(OR(Data!CE47=0,Data!CE47=""),"","O"&amp;Data!CE47),IF('ARDT Cutter Entry'!$C$111&lt;&gt;"",'ARDT Cutter Entry'!P112,'ARDT Cutter Entry'!P44))</f>
        <v/>
      </c>
      <c r="Q13" s="167" t="str">
        <f>IF(OR(Data!$L$2=1,Data!$L$3=1),IF(OR(Data!CF47=0,Data!CF47=""),"","O"&amp;Data!CF47),IF('ARDT Cutter Entry'!$C$111&lt;&gt;"",'ARDT Cutter Entry'!Q112,'ARDT Cutter Entry'!Q44))</f>
        <v/>
      </c>
      <c r="R13" s="167" t="str">
        <f>IF(OR(Data!$L$2=1,Data!$L$3=1),IF(OR(Data!CG47=0,Data!CG47=""),"","O"&amp;Data!CG47),IF('ARDT Cutter Entry'!$C$111&lt;&gt;"",'ARDT Cutter Entry'!R112,'ARDT Cutter Entry'!R44))</f>
        <v/>
      </c>
      <c r="S13" s="167" t="str">
        <f>IF(OR(Data!$L$2=1,Data!$L$3=1),IF(OR(Data!CH47=0,Data!CH47=""),"","O"&amp;Data!CH47),IF('ARDT Cutter Entry'!$C$111&lt;&gt;"",'ARDT Cutter Entry'!S112,'ARDT Cutter Entry'!S44))</f>
        <v/>
      </c>
      <c r="T13" s="167" t="str">
        <f>IF(OR(Data!$L$2=1,Data!$L$3=1),IF(OR(Data!CI47=0,Data!CI47=""),"","O"&amp;Data!CI47),IF('ARDT Cutter Entry'!$C$111&lt;&gt;"",'ARDT Cutter Entry'!T112,'ARDT Cutter Entry'!T44))</f>
        <v/>
      </c>
      <c r="U13" s="167" t="str">
        <f>IF(OR(Data!$L$2=1,Data!$L$3=1),IF(OR(Data!CJ47=0,Data!CJ47=""),"","O"&amp;Data!CJ47),IF('ARDT Cutter Entry'!$C$111&lt;&gt;"",'ARDT Cutter Entry'!U112,'ARDT Cutter Entry'!U44))</f>
        <v/>
      </c>
      <c r="V13" s="167" t="str">
        <f>IF(OR(Data!$L$2=1,Data!$L$3=1),IF(OR(Data!CK47=0,Data!CK47=""),"","O"&amp;Data!CK47),IF('ARDT Cutter Entry'!$C$111&lt;&gt;"",'ARDT Cutter Entry'!V112,'ARDT Cutter Entry'!V44))</f>
        <v/>
      </c>
      <c r="W13" s="167" t="str">
        <f>IF(OR(Data!$L$2=1,Data!$L$3=1),IF(OR(Data!CL47=0,Data!CL47=""),"","O"&amp;Data!CL47),IF('ARDT Cutter Entry'!$C$111&lt;&gt;"",'ARDT Cutter Entry'!W112,'ARDT Cutter Entry'!W44))</f>
        <v/>
      </c>
      <c r="X13" s="167" t="str">
        <f>IF(OR(Data!$L$2=1,Data!$L$3=1),IF(OR(Data!CM47=0,Data!CM47=""),"","O"&amp;Data!CM47),IF('ARDT Cutter Entry'!$C$111&lt;&gt;"",'ARDT Cutter Entry'!X112,'ARDT Cutter Entry'!X44))</f>
        <v/>
      </c>
      <c r="Y13" s="167" t="str">
        <f>IF(OR(Data!$L$2=1,Data!$L$3=1),IF(OR(Data!CN47=0,Data!CN47=""),"","O"&amp;Data!CN47),IF('ARDT Cutter Entry'!$C$111&lt;&gt;"",'ARDT Cutter Entry'!Y112,'ARDT Cutter Entry'!Y44))</f>
        <v/>
      </c>
      <c r="Z13" s="167" t="str">
        <f>IF(OR(Data!$L$2=1,Data!$L$3=1),IF(OR(Data!CO47=0,Data!CO47=""),"","O"&amp;Data!CO47),IF('ARDT Cutter Entry'!$C$111&lt;&gt;"",'ARDT Cutter Entry'!Z112,'ARDT Cutter Entry'!Z44))</f>
        <v/>
      </c>
      <c r="AA13" s="167" t="str">
        <f>IF(OR(Data!$L$2=1,Data!$L$3=1),IF(OR(Data!CP47=0,Data!CP47=""),"","O"&amp;Data!CP47),IF('ARDT Cutter Entry'!$C$111&lt;&gt;"",'ARDT Cutter Entry'!AA112,'ARDT Cutter Entry'!AA44))</f>
        <v/>
      </c>
      <c r="AB13" s="167" t="str">
        <f>IF(OR(Data!$L$2=1,Data!$L$3=1),IF(OR(Data!CQ47=0,Data!CQ47=""),"","O"&amp;Data!CQ47),IF('ARDT Cutter Entry'!$C$111&lt;&gt;"",'ARDT Cutter Entry'!AB112,'ARDT Cutter Entry'!AB44))</f>
        <v/>
      </c>
      <c r="AC13" s="167" t="str">
        <f>IF(OR(Data!$L$2=1,Data!$L$3=1),IF(OR(Data!CR47=0,Data!CR47=""),"","O"&amp;Data!CR47),IF('ARDT Cutter Entry'!$C$111&lt;&gt;"",'ARDT Cutter Entry'!AC112,'ARDT Cutter Entry'!AC44))</f>
        <v/>
      </c>
      <c r="AD13" s="167" t="str">
        <f>IF(OR(Data!$L$2=1,Data!$L$3=1),IF(OR(Data!CS47=0,Data!CS47=""),"","O"&amp;Data!CS47),IF('ARDT Cutter Entry'!$C$111&lt;&gt;"",'ARDT Cutter Entry'!AD112,'ARDT Cutter Entry'!AD44))</f>
        <v/>
      </c>
      <c r="AE13" s="167" t="str">
        <f>IF(OR(Data!$L$2=1,Data!$L$3=1),IF(OR(Data!CT47=0,Data!CT47=""),"","O"&amp;Data!CT47),IF('ARDT Cutter Entry'!$C$111&lt;&gt;"",'ARDT Cutter Entry'!AE112,'ARDT Cutter Entry'!AE44))</f>
        <v/>
      </c>
      <c r="AF13" s="167" t="str">
        <f>IF(OR(Data!$L$2=1,Data!$L$3=1),IF(OR(Data!CU47=0,Data!CU47=""),"","O"&amp;Data!CU47),IF('ARDT Cutter Entry'!$C$111&lt;&gt;"",'ARDT Cutter Entry'!AF112,'ARDT Cutter Entry'!AF44))</f>
        <v/>
      </c>
      <c r="AG13" s="167" t="str">
        <f>IF(OR(Data!$L$2=1,Data!$L$3=1),IF(OR(Data!CV47=0,Data!CV47=""),"","O"&amp;Data!CV47),IF('ARDT Cutter Entry'!$C$111&lt;&gt;"",'ARDT Cutter Entry'!AG112,'ARDT Cutter Entry'!AG44))</f>
        <v/>
      </c>
      <c r="AH13" s="167" t="str">
        <f>IF(OR(Data!$L$2=1,Data!$L$3=1),IF(OR(Data!CW47=0,Data!CW47=""),"","O"&amp;Data!CW47),IF('ARDT Cutter Entry'!$C$111&lt;&gt;"",'ARDT Cutter Entry'!AH112,'ARDT Cutter Entry'!AH44))</f>
        <v/>
      </c>
      <c r="AI13" s="248" t="str">
        <f>IF(OR(Data!$L$2=1,Data!$L$3=1),IF(OR(Data!CX47=0,Data!CX47=""),"","O"&amp;Data!CX47),IF('ARDT Cutter Entry'!$C$111&lt;&gt;"",'ARDT Cutter Entry'!AI112,'ARDT Cutter Entry'!AI44))</f>
        <v/>
      </c>
    </row>
    <row r="14" spans="1:35" ht="14.15" customHeight="1" x14ac:dyDescent="0.35">
      <c r="A14" s="1869"/>
      <c r="B14" s="435">
        <v>3</v>
      </c>
      <c r="C14" s="233" t="str">
        <f>IF(OR(Data!$L$2=1,Data!$L$3=1),IF(OR(Data!BR48=0,Data!BR48=""),"","O"&amp;Data!BR48),IF('ARDT Cutter Entry'!$C$111&lt;&gt;"",'ARDT Cutter Entry'!C113,'ARDT Cutter Entry'!C45))</f>
        <v>R1</v>
      </c>
      <c r="D14" s="167" t="str">
        <f>IF(OR(Data!$L$2=1,Data!$L$3=1),IF(OR(Data!BS48=0,Data!BS48=""),"","O"&amp;Data!BS48),IF('ARDT Cutter Entry'!$C$111&lt;&gt;"",'ARDT Cutter Entry'!D113,'ARDT Cutter Entry'!D45))</f>
        <v>R1</v>
      </c>
      <c r="E14" s="167" t="str">
        <f>IF(OR(Data!$L$2=1,Data!$L$3=1),IF(OR(Data!BT48=0,Data!BT48=""),"","O"&amp;Data!BT48),IF('ARDT Cutter Entry'!$C$111&lt;&gt;"",'ARDT Cutter Entry'!E113,'ARDT Cutter Entry'!E45))</f>
        <v>R1</v>
      </c>
      <c r="F14" s="167" t="str">
        <f>IF(OR(Data!$L$2=1,Data!$L$3=1),IF(OR(Data!BU48=0,Data!BU48=""),"","O"&amp;Data!BU48),IF('ARDT Cutter Entry'!$C$111&lt;&gt;"",'ARDT Cutter Entry'!F113,'ARDT Cutter Entry'!F45))</f>
        <v>X5</v>
      </c>
      <c r="G14" s="167" t="str">
        <f>IF(OR(Data!$L$2=1,Data!$L$3=1),IF(OR(Data!BV48=0,Data!BV48=""),"","O"&amp;Data!BV48),IF('ARDT Cutter Entry'!$C$111&lt;&gt;"",'ARDT Cutter Entry'!G113,'ARDT Cutter Entry'!G45))</f>
        <v>X5</v>
      </c>
      <c r="H14" s="167" t="str">
        <f>IF(OR(Data!$L$2=1,Data!$L$3=1),IF(OR(Data!BW48=0,Data!BW48=""),"","O"&amp;Data!BW48),IF('ARDT Cutter Entry'!$C$111&lt;&gt;"",'ARDT Cutter Entry'!H113,'ARDT Cutter Entry'!H45))</f>
        <v>X5</v>
      </c>
      <c r="I14" s="167" t="str">
        <f>IF(OR(Data!$L$2=1,Data!$L$3=1),IF(OR(Data!BX48=0,Data!BX48=""),"","O"&amp;Data!BX48),IF('ARDT Cutter Entry'!$C$111&lt;&gt;"",'ARDT Cutter Entry'!I113,'ARDT Cutter Entry'!I45))</f>
        <v>X3</v>
      </c>
      <c r="J14" s="167" t="str">
        <f>IF(OR(Data!$L$2=1,Data!$L$3=1),IF(OR(Data!BY48=0,Data!BY48=""),"","O"&amp;Data!BY48),IF('ARDT Cutter Entry'!$C$111&lt;&gt;"",'ARDT Cutter Entry'!J113,'ARDT Cutter Entry'!J45))</f>
        <v/>
      </c>
      <c r="K14" s="167" t="str">
        <f>IF(OR(Data!$L$2=1,Data!$L$3=1),IF(OR(Data!BZ48=0,Data!BZ48=""),"","O"&amp;Data!BZ48),IF('ARDT Cutter Entry'!$C$111&lt;&gt;"",'ARDT Cutter Entry'!K113,'ARDT Cutter Entry'!K45))</f>
        <v/>
      </c>
      <c r="L14" s="167" t="str">
        <f>IF(OR(Data!$L$2=1,Data!$L$3=1),IF(OR(Data!CA48=0,Data!CA48=""),"","O"&amp;Data!CA48),IF('ARDT Cutter Entry'!$C$111&lt;&gt;"",'ARDT Cutter Entry'!L113,'ARDT Cutter Entry'!L45))</f>
        <v>R2</v>
      </c>
      <c r="M14" s="167" t="str">
        <f>IF(OR(Data!$L$2=1,Data!$L$3=1),IF(OR(Data!CB48=0,Data!CB48=""),"","O"&amp;Data!CB48),IF('ARDT Cutter Entry'!$C$111&lt;&gt;"",'ARDT Cutter Entry'!M113,'ARDT Cutter Entry'!M45))</f>
        <v>X4</v>
      </c>
      <c r="N14" s="167" t="str">
        <f>IF(OR(Data!$L$2=1,Data!$L$3=1),IF(OR(Data!CC48=0,Data!CC48=""),"","O"&amp;Data!CC48),IF('ARDT Cutter Entry'!$C$111&lt;&gt;"",'ARDT Cutter Entry'!N113,'ARDT Cutter Entry'!N45))</f>
        <v>X4</v>
      </c>
      <c r="O14" s="167" t="str">
        <f>IF(OR(Data!$L$2=1,Data!$L$3=1),IF(OR(Data!CD48=0,Data!CD48=""),"","O"&amp;Data!CD48),IF('ARDT Cutter Entry'!$C$111&lt;&gt;"",'ARDT Cutter Entry'!O113,'ARDT Cutter Entry'!O45))</f>
        <v/>
      </c>
      <c r="P14" s="167" t="str">
        <f>IF(OR(Data!$L$2=1,Data!$L$3=1),IF(OR(Data!CE48=0,Data!CE48=""),"","O"&amp;Data!CE48),IF('ARDT Cutter Entry'!$C$111&lt;&gt;"",'ARDT Cutter Entry'!P113,'ARDT Cutter Entry'!P45))</f>
        <v/>
      </c>
      <c r="Q14" s="167" t="str">
        <f>IF(OR(Data!$L$2=1,Data!$L$3=1),IF(OR(Data!CF48=0,Data!CF48=""),"","O"&amp;Data!CF48),IF('ARDT Cutter Entry'!$C$111&lt;&gt;"",'ARDT Cutter Entry'!Q113,'ARDT Cutter Entry'!Q45))</f>
        <v/>
      </c>
      <c r="R14" s="167" t="str">
        <f>IF(OR(Data!$L$2=1,Data!$L$3=1),IF(OR(Data!CG48=0,Data!CG48=""),"","O"&amp;Data!CG48),IF('ARDT Cutter Entry'!$C$111&lt;&gt;"",'ARDT Cutter Entry'!R113,'ARDT Cutter Entry'!R45))</f>
        <v/>
      </c>
      <c r="S14" s="167" t="str">
        <f>IF(OR(Data!$L$2=1,Data!$L$3=1),IF(OR(Data!CH48=0,Data!CH48=""),"","O"&amp;Data!CH48),IF('ARDT Cutter Entry'!$C$111&lt;&gt;"",'ARDT Cutter Entry'!S113,'ARDT Cutter Entry'!S45))</f>
        <v/>
      </c>
      <c r="T14" s="167" t="str">
        <f>IF(OR(Data!$L$2=1,Data!$L$3=1),IF(OR(Data!CI48=0,Data!CI48=""),"","O"&amp;Data!CI48),IF('ARDT Cutter Entry'!$C$111&lt;&gt;"",'ARDT Cutter Entry'!T113,'ARDT Cutter Entry'!T45))</f>
        <v/>
      </c>
      <c r="U14" s="167" t="str">
        <f>IF(OR(Data!$L$2=1,Data!$L$3=1),IF(OR(Data!CJ48=0,Data!CJ48=""),"","O"&amp;Data!CJ48),IF('ARDT Cutter Entry'!$C$111&lt;&gt;"",'ARDT Cutter Entry'!U113,'ARDT Cutter Entry'!U45))</f>
        <v/>
      </c>
      <c r="V14" s="167" t="str">
        <f>IF(OR(Data!$L$2=1,Data!$L$3=1),IF(OR(Data!CK48=0,Data!CK48=""),"","O"&amp;Data!CK48),IF('ARDT Cutter Entry'!$C$111&lt;&gt;"",'ARDT Cutter Entry'!V113,'ARDT Cutter Entry'!V45))</f>
        <v/>
      </c>
      <c r="W14" s="167" t="str">
        <f>IF(OR(Data!$L$2=1,Data!$L$3=1),IF(OR(Data!CL48=0,Data!CL48=""),"","O"&amp;Data!CL48),IF('ARDT Cutter Entry'!$C$111&lt;&gt;"",'ARDT Cutter Entry'!W113,'ARDT Cutter Entry'!W45))</f>
        <v/>
      </c>
      <c r="X14" s="167" t="str">
        <f>IF(OR(Data!$L$2=1,Data!$L$3=1),IF(OR(Data!CM48=0,Data!CM48=""),"","O"&amp;Data!CM48),IF('ARDT Cutter Entry'!$C$111&lt;&gt;"",'ARDT Cutter Entry'!X113,'ARDT Cutter Entry'!X45))</f>
        <v/>
      </c>
      <c r="Y14" s="167" t="str">
        <f>IF(OR(Data!$L$2=1,Data!$L$3=1),IF(OR(Data!CN48=0,Data!CN48=""),"","O"&amp;Data!CN48),IF('ARDT Cutter Entry'!$C$111&lt;&gt;"",'ARDT Cutter Entry'!Y113,'ARDT Cutter Entry'!Y45))</f>
        <v/>
      </c>
      <c r="Z14" s="167" t="str">
        <f>IF(OR(Data!$L$2=1,Data!$L$3=1),IF(OR(Data!CO48=0,Data!CO48=""),"","O"&amp;Data!CO48),IF('ARDT Cutter Entry'!$C$111&lt;&gt;"",'ARDT Cutter Entry'!Z113,'ARDT Cutter Entry'!Z45))</f>
        <v/>
      </c>
      <c r="AA14" s="167" t="str">
        <f>IF(OR(Data!$L$2=1,Data!$L$3=1),IF(OR(Data!CP48=0,Data!CP48=""),"","O"&amp;Data!CP48),IF('ARDT Cutter Entry'!$C$111&lt;&gt;"",'ARDT Cutter Entry'!AA113,'ARDT Cutter Entry'!AA45))</f>
        <v/>
      </c>
      <c r="AB14" s="167" t="str">
        <f>IF(OR(Data!$L$2=1,Data!$L$3=1),IF(OR(Data!CQ48=0,Data!CQ48=""),"","O"&amp;Data!CQ48),IF('ARDT Cutter Entry'!$C$111&lt;&gt;"",'ARDT Cutter Entry'!AB113,'ARDT Cutter Entry'!AB45))</f>
        <v/>
      </c>
      <c r="AC14" s="167" t="str">
        <f>IF(OR(Data!$L$2=1,Data!$L$3=1),IF(OR(Data!CR48=0,Data!CR48=""),"","O"&amp;Data!CR48),IF('ARDT Cutter Entry'!$C$111&lt;&gt;"",'ARDT Cutter Entry'!AC113,'ARDT Cutter Entry'!AC45))</f>
        <v/>
      </c>
      <c r="AD14" s="167" t="str">
        <f>IF(OR(Data!$L$2=1,Data!$L$3=1),IF(OR(Data!CS48=0,Data!CS48=""),"","O"&amp;Data!CS48),IF('ARDT Cutter Entry'!$C$111&lt;&gt;"",'ARDT Cutter Entry'!AD113,'ARDT Cutter Entry'!AD45))</f>
        <v/>
      </c>
      <c r="AE14" s="167" t="str">
        <f>IF(OR(Data!$L$2=1,Data!$L$3=1),IF(OR(Data!CT48=0,Data!CT48=""),"","O"&amp;Data!CT48),IF('ARDT Cutter Entry'!$C$111&lt;&gt;"",'ARDT Cutter Entry'!AE113,'ARDT Cutter Entry'!AE45))</f>
        <v/>
      </c>
      <c r="AF14" s="167" t="str">
        <f>IF(OR(Data!$L$2=1,Data!$L$3=1),IF(OR(Data!CU48=0,Data!CU48=""),"","O"&amp;Data!CU48),IF('ARDT Cutter Entry'!$C$111&lt;&gt;"",'ARDT Cutter Entry'!AF113,'ARDT Cutter Entry'!AF45))</f>
        <v/>
      </c>
      <c r="AG14" s="167" t="str">
        <f>IF(OR(Data!$L$2=1,Data!$L$3=1),IF(OR(Data!CV48=0,Data!CV48=""),"","O"&amp;Data!CV48),IF('ARDT Cutter Entry'!$C$111&lt;&gt;"",'ARDT Cutter Entry'!AG113,'ARDT Cutter Entry'!AG45))</f>
        <v/>
      </c>
      <c r="AH14" s="167" t="str">
        <f>IF(OR(Data!$L$2=1,Data!$L$3=1),IF(OR(Data!CW48=0,Data!CW48=""),"","O"&amp;Data!CW48),IF('ARDT Cutter Entry'!$C$111&lt;&gt;"",'ARDT Cutter Entry'!AH113,'ARDT Cutter Entry'!AH45))</f>
        <v/>
      </c>
      <c r="AI14" s="248" t="str">
        <f>IF(OR(Data!$L$2=1,Data!$L$3=1),IF(OR(Data!CX48=0,Data!CX48=""),"","O"&amp;Data!CX48),IF('ARDT Cutter Entry'!$C$111&lt;&gt;"",'ARDT Cutter Entry'!AI113,'ARDT Cutter Entry'!AI45))</f>
        <v/>
      </c>
    </row>
    <row r="15" spans="1:35" ht="14.15" customHeight="1" x14ac:dyDescent="0.35">
      <c r="A15" s="1869"/>
      <c r="B15" s="435">
        <v>4</v>
      </c>
      <c r="C15" s="233" t="str">
        <f>IF(OR(Data!$L$2=1,Data!$L$3=1),IF(OR(Data!BR49=0,Data!BR49=""),"","O"&amp;Data!BR49),IF('ARDT Cutter Entry'!$C$111&lt;&gt;"",'ARDT Cutter Entry'!C114,'ARDT Cutter Entry'!C46))</f>
        <v>X5</v>
      </c>
      <c r="D15" s="167" t="str">
        <f>IF(OR(Data!$L$2=1,Data!$L$3=1),IF(OR(Data!BS49=0,Data!BS49=""),"","O"&amp;Data!BS49),IF('ARDT Cutter Entry'!$C$111&lt;&gt;"",'ARDT Cutter Entry'!D114,'ARDT Cutter Entry'!D46))</f>
        <v>X5</v>
      </c>
      <c r="E15" s="167" t="str">
        <f>IF(OR(Data!$L$2=1,Data!$L$3=1),IF(OR(Data!BT49=0,Data!BT49=""),"","O"&amp;Data!BT49),IF('ARDT Cutter Entry'!$C$111&lt;&gt;"",'ARDT Cutter Entry'!E114,'ARDT Cutter Entry'!E46))</f>
        <v>X5</v>
      </c>
      <c r="F15" s="167" t="str">
        <f>IF(OR(Data!$L$2=1,Data!$L$3=1),IF(OR(Data!BU49=0,Data!BU49=""),"","O"&amp;Data!BU49),IF('ARDT Cutter Entry'!$C$111&lt;&gt;"",'ARDT Cutter Entry'!F114,'ARDT Cutter Entry'!F46))</f>
        <v>X5</v>
      </c>
      <c r="G15" s="167" t="str">
        <f>IF(OR(Data!$L$2=1,Data!$L$3=1),IF(OR(Data!BV49=0,Data!BV49=""),"","O"&amp;Data!BV49),IF('ARDT Cutter Entry'!$C$111&lt;&gt;"",'ARDT Cutter Entry'!G114,'ARDT Cutter Entry'!G46))</f>
        <v>R1</v>
      </c>
      <c r="H15" s="167" t="str">
        <f>IF(OR(Data!$L$2=1,Data!$L$3=1),IF(OR(Data!BW49=0,Data!BW49=""),"","O"&amp;Data!BW49),IF('ARDT Cutter Entry'!$C$111&lt;&gt;"",'ARDT Cutter Entry'!H114,'ARDT Cutter Entry'!H46))</f>
        <v>X3</v>
      </c>
      <c r="I15" s="167" t="str">
        <f>IF(OR(Data!$L$2=1,Data!$L$3=1),IF(OR(Data!BX49=0,Data!BX49=""),"","O"&amp;Data!BX49),IF('ARDT Cutter Entry'!$C$111&lt;&gt;"",'ARDT Cutter Entry'!I114,'ARDT Cutter Entry'!I46))</f>
        <v/>
      </c>
      <c r="J15" s="167" t="str">
        <f>IF(OR(Data!$L$2=1,Data!$L$3=1),IF(OR(Data!BY49=0,Data!BY49=""),"","O"&amp;Data!BY49),IF('ARDT Cutter Entry'!$C$111&lt;&gt;"",'ARDT Cutter Entry'!J114,'ARDT Cutter Entry'!J46))</f>
        <v/>
      </c>
      <c r="K15" s="167" t="str">
        <f>IF(OR(Data!$L$2=1,Data!$L$3=1),IF(OR(Data!BZ49=0,Data!BZ49=""),"","O"&amp;Data!BZ49),IF('ARDT Cutter Entry'!$C$111&lt;&gt;"",'ARDT Cutter Entry'!K114,'ARDT Cutter Entry'!K46))</f>
        <v/>
      </c>
      <c r="L15" s="167" t="str">
        <f>IF(OR(Data!$L$2=1,Data!$L$3=1),IF(OR(Data!CA49=0,Data!CA49=""),"","O"&amp;Data!CA49),IF('ARDT Cutter Entry'!$C$111&lt;&gt;"",'ARDT Cutter Entry'!L114,'ARDT Cutter Entry'!L46))</f>
        <v>R2</v>
      </c>
      <c r="M15" s="167" t="str">
        <f>IF(OR(Data!$L$2=1,Data!$L$3=1),IF(OR(Data!CB49=0,Data!CB49=""),"","O"&amp;Data!CB49),IF('ARDT Cutter Entry'!$C$111&lt;&gt;"",'ARDT Cutter Entry'!M114,'ARDT Cutter Entry'!M46))</f>
        <v>R2</v>
      </c>
      <c r="N15" s="167" t="str">
        <f>IF(OR(Data!$L$2=1,Data!$L$3=1),IF(OR(Data!CC49=0,Data!CC49=""),"","O"&amp;Data!CC49),IF('ARDT Cutter Entry'!$C$111&lt;&gt;"",'ARDT Cutter Entry'!N114,'ARDT Cutter Entry'!N46))</f>
        <v>R2</v>
      </c>
      <c r="O15" s="167" t="str">
        <f>IF(OR(Data!$L$2=1,Data!$L$3=1),IF(OR(Data!CD49=0,Data!CD49=""),"","O"&amp;Data!CD49),IF('ARDT Cutter Entry'!$C$111&lt;&gt;"",'ARDT Cutter Entry'!O114,'ARDT Cutter Entry'!O46))</f>
        <v>S2</v>
      </c>
      <c r="P15" s="167" t="str">
        <f>IF(OR(Data!$L$2=1,Data!$L$3=1),IF(OR(Data!CE49=0,Data!CE49=""),"","O"&amp;Data!CE49),IF('ARDT Cutter Entry'!$C$111&lt;&gt;"",'ARDT Cutter Entry'!P114,'ARDT Cutter Entry'!P46))</f>
        <v/>
      </c>
      <c r="Q15" s="167" t="str">
        <f>IF(OR(Data!$L$2=1,Data!$L$3=1),IF(OR(Data!CF49=0,Data!CF49=""),"","O"&amp;Data!CF49),IF('ARDT Cutter Entry'!$C$111&lt;&gt;"",'ARDT Cutter Entry'!Q114,'ARDT Cutter Entry'!Q46))</f>
        <v/>
      </c>
      <c r="R15" s="167" t="str">
        <f>IF(OR(Data!$L$2=1,Data!$L$3=1),IF(OR(Data!CG49=0,Data!CG49=""),"","O"&amp;Data!CG49),IF('ARDT Cutter Entry'!$C$111&lt;&gt;"",'ARDT Cutter Entry'!R114,'ARDT Cutter Entry'!R46))</f>
        <v/>
      </c>
      <c r="S15" s="167" t="str">
        <f>IF(OR(Data!$L$2=1,Data!$L$3=1),IF(OR(Data!CH49=0,Data!CH49=""),"","O"&amp;Data!CH49),IF('ARDT Cutter Entry'!$C$111&lt;&gt;"",'ARDT Cutter Entry'!S114,'ARDT Cutter Entry'!S46))</f>
        <v/>
      </c>
      <c r="T15" s="167" t="str">
        <f>IF(OR(Data!$L$2=1,Data!$L$3=1),IF(OR(Data!CI49=0,Data!CI49=""),"","O"&amp;Data!CI49),IF('ARDT Cutter Entry'!$C$111&lt;&gt;"",'ARDT Cutter Entry'!T114,'ARDT Cutter Entry'!T46))</f>
        <v/>
      </c>
      <c r="U15" s="167" t="str">
        <f>IF(OR(Data!$L$2=1,Data!$L$3=1),IF(OR(Data!CJ49=0,Data!CJ49=""),"","O"&amp;Data!CJ49),IF('ARDT Cutter Entry'!$C$111&lt;&gt;"",'ARDT Cutter Entry'!U114,'ARDT Cutter Entry'!U46))</f>
        <v/>
      </c>
      <c r="V15" s="167" t="str">
        <f>IF(OR(Data!$L$2=1,Data!$L$3=1),IF(OR(Data!CK49=0,Data!CK49=""),"","O"&amp;Data!CK49),IF('ARDT Cutter Entry'!$C$111&lt;&gt;"",'ARDT Cutter Entry'!V114,'ARDT Cutter Entry'!V46))</f>
        <v/>
      </c>
      <c r="W15" s="167" t="str">
        <f>IF(OR(Data!$L$2=1,Data!$L$3=1),IF(OR(Data!CL49=0,Data!CL49=""),"","O"&amp;Data!CL49),IF('ARDT Cutter Entry'!$C$111&lt;&gt;"",'ARDT Cutter Entry'!W114,'ARDT Cutter Entry'!W46))</f>
        <v/>
      </c>
      <c r="X15" s="167" t="str">
        <f>IF(OR(Data!$L$2=1,Data!$L$3=1),IF(OR(Data!CM49=0,Data!CM49=""),"","O"&amp;Data!CM49),IF('ARDT Cutter Entry'!$C$111&lt;&gt;"",'ARDT Cutter Entry'!X114,'ARDT Cutter Entry'!X46))</f>
        <v/>
      </c>
      <c r="Y15" s="167" t="str">
        <f>IF(OR(Data!$L$2=1,Data!$L$3=1),IF(OR(Data!CN49=0,Data!CN49=""),"","O"&amp;Data!CN49),IF('ARDT Cutter Entry'!$C$111&lt;&gt;"",'ARDT Cutter Entry'!Y114,'ARDT Cutter Entry'!Y46))</f>
        <v/>
      </c>
      <c r="Z15" s="167" t="str">
        <f>IF(OR(Data!$L$2=1,Data!$L$3=1),IF(OR(Data!CO49=0,Data!CO49=""),"","O"&amp;Data!CO49),IF('ARDT Cutter Entry'!$C$111&lt;&gt;"",'ARDT Cutter Entry'!Z114,'ARDT Cutter Entry'!Z46))</f>
        <v/>
      </c>
      <c r="AA15" s="167" t="str">
        <f>IF(OR(Data!$L$2=1,Data!$L$3=1),IF(OR(Data!CP49=0,Data!CP49=""),"","O"&amp;Data!CP49),IF('ARDT Cutter Entry'!$C$111&lt;&gt;"",'ARDT Cutter Entry'!AA114,'ARDT Cutter Entry'!AA46))</f>
        <v/>
      </c>
      <c r="AB15" s="167" t="str">
        <f>IF(OR(Data!$L$2=1,Data!$L$3=1),IF(OR(Data!CQ49=0,Data!CQ49=""),"","O"&amp;Data!CQ49),IF('ARDT Cutter Entry'!$C$111&lt;&gt;"",'ARDT Cutter Entry'!AB114,'ARDT Cutter Entry'!AB46))</f>
        <v/>
      </c>
      <c r="AC15" s="167" t="str">
        <f>IF(OR(Data!$L$2=1,Data!$L$3=1),IF(OR(Data!CR49=0,Data!CR49=""),"","O"&amp;Data!CR49),IF('ARDT Cutter Entry'!$C$111&lt;&gt;"",'ARDT Cutter Entry'!AC114,'ARDT Cutter Entry'!AC46))</f>
        <v/>
      </c>
      <c r="AD15" s="167" t="str">
        <f>IF(OR(Data!$L$2=1,Data!$L$3=1),IF(OR(Data!CS49=0,Data!CS49=""),"","O"&amp;Data!CS49),IF('ARDT Cutter Entry'!$C$111&lt;&gt;"",'ARDT Cutter Entry'!AD114,'ARDT Cutter Entry'!AD46))</f>
        <v/>
      </c>
      <c r="AE15" s="167" t="str">
        <f>IF(OR(Data!$L$2=1,Data!$L$3=1),IF(OR(Data!CT49=0,Data!CT49=""),"","O"&amp;Data!CT49),IF('ARDT Cutter Entry'!$C$111&lt;&gt;"",'ARDT Cutter Entry'!AE114,'ARDT Cutter Entry'!AE46))</f>
        <v/>
      </c>
      <c r="AF15" s="167" t="str">
        <f>IF(OR(Data!$L$2=1,Data!$L$3=1),IF(OR(Data!CU49=0,Data!CU49=""),"","O"&amp;Data!CU49),IF('ARDT Cutter Entry'!$C$111&lt;&gt;"",'ARDT Cutter Entry'!AF114,'ARDT Cutter Entry'!AF46))</f>
        <v/>
      </c>
      <c r="AG15" s="167" t="str">
        <f>IF(OR(Data!$L$2=1,Data!$L$3=1),IF(OR(Data!CV49=0,Data!CV49=""),"","O"&amp;Data!CV49),IF('ARDT Cutter Entry'!$C$111&lt;&gt;"",'ARDT Cutter Entry'!AG114,'ARDT Cutter Entry'!AG46))</f>
        <v/>
      </c>
      <c r="AH15" s="167" t="str">
        <f>IF(OR(Data!$L$2=1,Data!$L$3=1),IF(OR(Data!CW49=0,Data!CW49=""),"","O"&amp;Data!CW49),IF('ARDT Cutter Entry'!$C$111&lt;&gt;"",'ARDT Cutter Entry'!AH114,'ARDT Cutter Entry'!AH46))</f>
        <v/>
      </c>
      <c r="AI15" s="248" t="str">
        <f>IF(OR(Data!$L$2=1,Data!$L$3=1),IF(OR(Data!CX49=0,Data!CX49=""),"","O"&amp;Data!CX49),IF('ARDT Cutter Entry'!$C$111&lt;&gt;"",'ARDT Cutter Entry'!AI114,'ARDT Cutter Entry'!AI46))</f>
        <v/>
      </c>
    </row>
    <row r="16" spans="1:35" ht="14.15" customHeight="1" x14ac:dyDescent="0.35">
      <c r="A16" s="1869"/>
      <c r="B16" s="435">
        <v>5</v>
      </c>
      <c r="C16" s="233" t="str">
        <f>IF(OR(Data!$L$2=1,Data!$L$3=1),IF(OR(Data!BR50=0,Data!BR50=""),"","O"&amp;Data!BR50),IF('ARDT Cutter Entry'!$C$111&lt;&gt;"",'ARDT Cutter Entry'!C115,'ARDT Cutter Entry'!C47))</f>
        <v>R1</v>
      </c>
      <c r="D16" s="167" t="str">
        <f>IF(OR(Data!$L$2=1,Data!$L$3=1),IF(OR(Data!BS50=0,Data!BS50=""),"","O"&amp;Data!BS50),IF('ARDT Cutter Entry'!$C$111&lt;&gt;"",'ARDT Cutter Entry'!D115,'ARDT Cutter Entry'!D47))</f>
        <v>R1</v>
      </c>
      <c r="E16" s="167" t="str">
        <f>IF(OR(Data!$L$2=1,Data!$L$3=1),IF(OR(Data!BT50=0,Data!BT50=""),"","O"&amp;Data!BT50),IF('ARDT Cutter Entry'!$C$111&lt;&gt;"",'ARDT Cutter Entry'!E115,'ARDT Cutter Entry'!E47))</f>
        <v>X5</v>
      </c>
      <c r="F16" s="167" t="str">
        <f>IF(OR(Data!$L$2=1,Data!$L$3=1),IF(OR(Data!BU50=0,Data!BU50=""),"","O"&amp;Data!BU50),IF('ARDT Cutter Entry'!$C$111&lt;&gt;"",'ARDT Cutter Entry'!F115,'ARDT Cutter Entry'!F47))</f>
        <v>X5</v>
      </c>
      <c r="G16" s="167" t="str">
        <f>IF(OR(Data!$L$2=1,Data!$L$3=1),IF(OR(Data!BV50=0,Data!BV50=""),"","O"&amp;Data!BV50),IF('ARDT Cutter Entry'!$C$111&lt;&gt;"",'ARDT Cutter Entry'!G115,'ARDT Cutter Entry'!G47))</f>
        <v>X5</v>
      </c>
      <c r="H16" s="167" t="str">
        <f>IF(OR(Data!$L$2=1,Data!$L$3=1),IF(OR(Data!BW50=0,Data!BW50=""),"","O"&amp;Data!BW50),IF('ARDT Cutter Entry'!$C$111&lt;&gt;"",'ARDT Cutter Entry'!H115,'ARDT Cutter Entry'!H47))</f>
        <v>X5</v>
      </c>
      <c r="I16" s="167" t="str">
        <f>IF(OR(Data!$L$2=1,Data!$L$3=1),IF(OR(Data!BX50=0,Data!BX50=""),"","O"&amp;Data!BX50),IF('ARDT Cutter Entry'!$C$111&lt;&gt;"",'ARDT Cutter Entry'!I115,'ARDT Cutter Entry'!I47))</f>
        <v>R1</v>
      </c>
      <c r="J16" s="167" t="str">
        <f>IF(OR(Data!$L$2=1,Data!$L$3=1),IF(OR(Data!BY50=0,Data!BY50=""),"","O"&amp;Data!BY50),IF('ARDT Cutter Entry'!$C$111&lt;&gt;"",'ARDT Cutter Entry'!J115,'ARDT Cutter Entry'!J47))</f>
        <v>X3</v>
      </c>
      <c r="K16" s="167" t="str">
        <f>IF(OR(Data!$L$2=1,Data!$L$3=1),IF(OR(Data!BZ50=0,Data!BZ50=""),"","O"&amp;Data!BZ50),IF('ARDT Cutter Entry'!$C$111&lt;&gt;"",'ARDT Cutter Entry'!K115,'ARDT Cutter Entry'!K47))</f>
        <v/>
      </c>
      <c r="L16" s="167" t="str">
        <f>IF(OR(Data!$L$2=1,Data!$L$3=1),IF(OR(Data!CA50=0,Data!CA50=""),"","O"&amp;Data!CA50),IF('ARDT Cutter Entry'!$C$111&lt;&gt;"",'ARDT Cutter Entry'!L115,'ARDT Cutter Entry'!L47))</f>
        <v>R2</v>
      </c>
      <c r="M16" s="167" t="str">
        <f>IF(OR(Data!$L$2=1,Data!$L$3=1),IF(OR(Data!CB50=0,Data!CB50=""),"","O"&amp;Data!CB50),IF('ARDT Cutter Entry'!$C$111&lt;&gt;"",'ARDT Cutter Entry'!M115,'ARDT Cutter Entry'!M47))</f>
        <v>X4</v>
      </c>
      <c r="N16" s="167" t="str">
        <f>IF(OR(Data!$L$2=1,Data!$L$3=1),IF(OR(Data!CC50=0,Data!CC50=""),"","O"&amp;Data!CC50),IF('ARDT Cutter Entry'!$C$111&lt;&gt;"",'ARDT Cutter Entry'!N115,'ARDT Cutter Entry'!N47))</f>
        <v>R2</v>
      </c>
      <c r="O16" s="167" t="str">
        <f>IF(OR(Data!$L$2=1,Data!$L$3=1),IF(OR(Data!CD50=0,Data!CD50=""),"","O"&amp;Data!CD50),IF('ARDT Cutter Entry'!$C$111&lt;&gt;"",'ARDT Cutter Entry'!O115,'ARDT Cutter Entry'!O47))</f>
        <v>R2</v>
      </c>
      <c r="P16" s="167" t="str">
        <f>IF(OR(Data!$L$2=1,Data!$L$3=1),IF(OR(Data!CE50=0,Data!CE50=""),"","O"&amp;Data!CE50),IF('ARDT Cutter Entry'!$C$111&lt;&gt;"",'ARDT Cutter Entry'!P115,'ARDT Cutter Entry'!P47))</f>
        <v/>
      </c>
      <c r="Q16" s="167" t="str">
        <f>IF(OR(Data!$L$2=1,Data!$L$3=1),IF(OR(Data!CF50=0,Data!CF50=""),"","O"&amp;Data!CF50),IF('ARDT Cutter Entry'!$C$111&lt;&gt;"",'ARDT Cutter Entry'!Q115,'ARDT Cutter Entry'!Q47))</f>
        <v/>
      </c>
      <c r="R16" s="167" t="str">
        <f>IF(OR(Data!$L$2=1,Data!$L$3=1),IF(OR(Data!CG50=0,Data!CG50=""),"","O"&amp;Data!CG50),IF('ARDT Cutter Entry'!$C$111&lt;&gt;"",'ARDT Cutter Entry'!R115,'ARDT Cutter Entry'!R47))</f>
        <v/>
      </c>
      <c r="S16" s="167" t="str">
        <f>IF(OR(Data!$L$2=1,Data!$L$3=1),IF(OR(Data!CH50=0,Data!CH50=""),"","O"&amp;Data!CH50),IF('ARDT Cutter Entry'!$C$111&lt;&gt;"",'ARDT Cutter Entry'!S115,'ARDT Cutter Entry'!S47))</f>
        <v/>
      </c>
      <c r="T16" s="167" t="str">
        <f>IF(OR(Data!$L$2=1,Data!$L$3=1),IF(OR(Data!CI50=0,Data!CI50=""),"","O"&amp;Data!CI50),IF('ARDT Cutter Entry'!$C$111&lt;&gt;"",'ARDT Cutter Entry'!T115,'ARDT Cutter Entry'!T47))</f>
        <v/>
      </c>
      <c r="U16" s="167" t="str">
        <f>IF(OR(Data!$L$2=1,Data!$L$3=1),IF(OR(Data!CJ50=0,Data!CJ50=""),"","O"&amp;Data!CJ50),IF('ARDT Cutter Entry'!$C$111&lt;&gt;"",'ARDT Cutter Entry'!U115,'ARDT Cutter Entry'!U47))</f>
        <v/>
      </c>
      <c r="V16" s="167" t="str">
        <f>IF(OR(Data!$L$2=1,Data!$L$3=1),IF(OR(Data!CK50=0,Data!CK50=""),"","O"&amp;Data!CK50),IF('ARDT Cutter Entry'!$C$111&lt;&gt;"",'ARDT Cutter Entry'!V115,'ARDT Cutter Entry'!V47))</f>
        <v/>
      </c>
      <c r="W16" s="167" t="str">
        <f>IF(OR(Data!$L$2=1,Data!$L$3=1),IF(OR(Data!CL50=0,Data!CL50=""),"","O"&amp;Data!CL50),IF('ARDT Cutter Entry'!$C$111&lt;&gt;"",'ARDT Cutter Entry'!W115,'ARDT Cutter Entry'!W47))</f>
        <v/>
      </c>
      <c r="X16" s="167" t="str">
        <f>IF(OR(Data!$L$2=1,Data!$L$3=1),IF(OR(Data!CM50=0,Data!CM50=""),"","O"&amp;Data!CM50),IF('ARDT Cutter Entry'!$C$111&lt;&gt;"",'ARDT Cutter Entry'!X115,'ARDT Cutter Entry'!X47))</f>
        <v/>
      </c>
      <c r="Y16" s="167" t="str">
        <f>IF(OR(Data!$L$2=1,Data!$L$3=1),IF(OR(Data!CN50=0,Data!CN50=""),"","O"&amp;Data!CN50),IF('ARDT Cutter Entry'!$C$111&lt;&gt;"",'ARDT Cutter Entry'!Y115,'ARDT Cutter Entry'!Y47))</f>
        <v/>
      </c>
      <c r="Z16" s="167" t="str">
        <f>IF(OR(Data!$L$2=1,Data!$L$3=1),IF(OR(Data!CO50=0,Data!CO50=""),"","O"&amp;Data!CO50),IF('ARDT Cutter Entry'!$C$111&lt;&gt;"",'ARDT Cutter Entry'!Z115,'ARDT Cutter Entry'!Z47))</f>
        <v/>
      </c>
      <c r="AA16" s="167" t="str">
        <f>IF(OR(Data!$L$2=1,Data!$L$3=1),IF(OR(Data!CP50=0,Data!CP50=""),"","O"&amp;Data!CP50),IF('ARDT Cutter Entry'!$C$111&lt;&gt;"",'ARDT Cutter Entry'!AA115,'ARDT Cutter Entry'!AA47))</f>
        <v/>
      </c>
      <c r="AB16" s="167" t="str">
        <f>IF(OR(Data!$L$2=1,Data!$L$3=1),IF(OR(Data!CQ50=0,Data!CQ50=""),"","O"&amp;Data!CQ50),IF('ARDT Cutter Entry'!$C$111&lt;&gt;"",'ARDT Cutter Entry'!AB115,'ARDT Cutter Entry'!AB47))</f>
        <v/>
      </c>
      <c r="AC16" s="167" t="str">
        <f>IF(OR(Data!$L$2=1,Data!$L$3=1),IF(OR(Data!CR50=0,Data!CR50=""),"","O"&amp;Data!CR50),IF('ARDT Cutter Entry'!$C$111&lt;&gt;"",'ARDT Cutter Entry'!AC115,'ARDT Cutter Entry'!AC47))</f>
        <v/>
      </c>
      <c r="AD16" s="167" t="str">
        <f>IF(OR(Data!$L$2=1,Data!$L$3=1),IF(OR(Data!CS50=0,Data!CS50=""),"","O"&amp;Data!CS50),IF('ARDT Cutter Entry'!$C$111&lt;&gt;"",'ARDT Cutter Entry'!AD115,'ARDT Cutter Entry'!AD47))</f>
        <v/>
      </c>
      <c r="AE16" s="167" t="str">
        <f>IF(OR(Data!$L$2=1,Data!$L$3=1),IF(OR(Data!CT50=0,Data!CT50=""),"","O"&amp;Data!CT50),IF('ARDT Cutter Entry'!$C$111&lt;&gt;"",'ARDT Cutter Entry'!AE115,'ARDT Cutter Entry'!AE47))</f>
        <v/>
      </c>
      <c r="AF16" s="167" t="str">
        <f>IF(OR(Data!$L$2=1,Data!$L$3=1),IF(OR(Data!CU50=0,Data!CU50=""),"","O"&amp;Data!CU50),IF('ARDT Cutter Entry'!$C$111&lt;&gt;"",'ARDT Cutter Entry'!AF115,'ARDT Cutter Entry'!AF47))</f>
        <v/>
      </c>
      <c r="AG16" s="167" t="str">
        <f>IF(OR(Data!$L$2=1,Data!$L$3=1),IF(OR(Data!CV50=0,Data!CV50=""),"","O"&amp;Data!CV50),IF('ARDT Cutter Entry'!$C$111&lt;&gt;"",'ARDT Cutter Entry'!AG115,'ARDT Cutter Entry'!AG47))</f>
        <v/>
      </c>
      <c r="AH16" s="167" t="str">
        <f>IF(OR(Data!$L$2=1,Data!$L$3=1),IF(OR(Data!CW50=0,Data!CW50=""),"","O"&amp;Data!CW50),IF('ARDT Cutter Entry'!$C$111&lt;&gt;"",'ARDT Cutter Entry'!AH115,'ARDT Cutter Entry'!AH47))</f>
        <v/>
      </c>
      <c r="AI16" s="248" t="str">
        <f>IF(OR(Data!$L$2=1,Data!$L$3=1),IF(OR(Data!CX50=0,Data!CX50=""),"","O"&amp;Data!CX50),IF('ARDT Cutter Entry'!$C$111&lt;&gt;"",'ARDT Cutter Entry'!AI115,'ARDT Cutter Entry'!AI47))</f>
        <v/>
      </c>
    </row>
    <row r="17" spans="1:35" ht="14.15" customHeight="1" x14ac:dyDescent="0.35">
      <c r="A17" s="1869"/>
      <c r="B17" s="435">
        <v>6</v>
      </c>
      <c r="C17" s="233" t="str">
        <f>IF(OR(Data!$L$2=1,Data!$L$3=1),IF(OR(Data!BR51=0,Data!BR51=""),"","O"&amp;Data!BR51),IF('ARDT Cutter Entry'!$C$111&lt;&gt;"",'ARDT Cutter Entry'!C116,'ARDT Cutter Entry'!C48))</f>
        <v>X5</v>
      </c>
      <c r="D17" s="167" t="str">
        <f>IF(OR(Data!$L$2=1,Data!$L$3=1),IF(OR(Data!BS51=0,Data!BS51=""),"","O"&amp;Data!BS51),IF('ARDT Cutter Entry'!$C$111&lt;&gt;"",'ARDT Cutter Entry'!D116,'ARDT Cutter Entry'!D48))</f>
        <v>X5</v>
      </c>
      <c r="E17" s="167" t="str">
        <f>IF(OR(Data!$L$2=1,Data!$L$3=1),IF(OR(Data!BT51=0,Data!BT51=""),"","O"&amp;Data!BT51),IF('ARDT Cutter Entry'!$C$111&lt;&gt;"",'ARDT Cutter Entry'!E116,'ARDT Cutter Entry'!E48))</f>
        <v>X5</v>
      </c>
      <c r="F17" s="167" t="str">
        <f>IF(OR(Data!$L$2=1,Data!$L$3=1),IF(OR(Data!BU51=0,Data!BU51=""),"","O"&amp;Data!BU51),IF('ARDT Cutter Entry'!$C$111&lt;&gt;"",'ARDT Cutter Entry'!F116,'ARDT Cutter Entry'!F48))</f>
        <v>R1</v>
      </c>
      <c r="G17" s="167" t="str">
        <f>IF(OR(Data!$L$2=1,Data!$L$3=1),IF(OR(Data!BV51=0,Data!BV51=""),"","O"&amp;Data!BV51),IF('ARDT Cutter Entry'!$C$111&lt;&gt;"",'ARDT Cutter Entry'!G116,'ARDT Cutter Entry'!G48))</f>
        <v>X3</v>
      </c>
      <c r="H17" s="167" t="str">
        <f>IF(OR(Data!$L$2=1,Data!$L$3=1),IF(OR(Data!BW51=0,Data!BW51=""),"","O"&amp;Data!BW51),IF('ARDT Cutter Entry'!$C$111&lt;&gt;"",'ARDT Cutter Entry'!H116,'ARDT Cutter Entry'!H48))</f>
        <v/>
      </c>
      <c r="I17" s="167" t="str">
        <f>IF(OR(Data!$L$2=1,Data!$L$3=1),IF(OR(Data!BX51=0,Data!BX51=""),"","O"&amp;Data!BX51),IF('ARDT Cutter Entry'!$C$111&lt;&gt;"",'ARDT Cutter Entry'!I116,'ARDT Cutter Entry'!I48))</f>
        <v/>
      </c>
      <c r="J17" s="167" t="str">
        <f>IF(OR(Data!$L$2=1,Data!$L$3=1),IF(OR(Data!BY51=0,Data!BY51=""),"","O"&amp;Data!BY51),IF('ARDT Cutter Entry'!$C$111&lt;&gt;"",'ARDT Cutter Entry'!J116,'ARDT Cutter Entry'!J48))</f>
        <v/>
      </c>
      <c r="K17" s="167" t="str">
        <f>IF(OR(Data!$L$2=1,Data!$L$3=1),IF(OR(Data!BZ51=0,Data!BZ51=""),"","O"&amp;Data!BZ51),IF('ARDT Cutter Entry'!$C$111&lt;&gt;"",'ARDT Cutter Entry'!K116,'ARDT Cutter Entry'!K48))</f>
        <v/>
      </c>
      <c r="L17" s="167" t="str">
        <f>IF(OR(Data!$L$2=1,Data!$L$3=1),IF(OR(Data!CA51=0,Data!CA51=""),"","O"&amp;Data!CA51),IF('ARDT Cutter Entry'!$C$111&lt;&gt;"",'ARDT Cutter Entry'!L116,'ARDT Cutter Entry'!L48))</f>
        <v>S2</v>
      </c>
      <c r="M17" s="167" t="str">
        <f>IF(OR(Data!$L$2=1,Data!$L$3=1),IF(OR(Data!CB51=0,Data!CB51=""),"","O"&amp;Data!CB51),IF('ARDT Cutter Entry'!$C$111&lt;&gt;"",'ARDT Cutter Entry'!M116,'ARDT Cutter Entry'!M48))</f>
        <v>R2</v>
      </c>
      <c r="N17" s="167" t="str">
        <f>IF(OR(Data!$L$2=1,Data!$L$3=1),IF(OR(Data!CC51=0,Data!CC51=""),"","O"&amp;Data!CC51),IF('ARDT Cutter Entry'!$C$111&lt;&gt;"",'ARDT Cutter Entry'!N116,'ARDT Cutter Entry'!N48))</f>
        <v>R2</v>
      </c>
      <c r="O17" s="167" t="str">
        <f>IF(OR(Data!$L$2=1,Data!$L$3=1),IF(OR(Data!CD51=0,Data!CD51=""),"","O"&amp;Data!CD51),IF('ARDT Cutter Entry'!$C$111&lt;&gt;"",'ARDT Cutter Entry'!O116,'ARDT Cutter Entry'!O48))</f>
        <v>R2</v>
      </c>
      <c r="P17" s="167" t="str">
        <f>IF(OR(Data!$L$2=1,Data!$L$3=1),IF(OR(Data!CE51=0,Data!CE51=""),"","O"&amp;Data!CE51),IF('ARDT Cutter Entry'!$C$111&lt;&gt;"",'ARDT Cutter Entry'!P116,'ARDT Cutter Entry'!P48))</f>
        <v/>
      </c>
      <c r="Q17" s="167" t="str">
        <f>IF(OR(Data!$L$2=1,Data!$L$3=1),IF(OR(Data!CF51=0,Data!CF51=""),"","O"&amp;Data!CF51),IF('ARDT Cutter Entry'!$C$111&lt;&gt;"",'ARDT Cutter Entry'!Q116,'ARDT Cutter Entry'!Q48))</f>
        <v/>
      </c>
      <c r="R17" s="167" t="str">
        <f>IF(OR(Data!$L$2=1,Data!$L$3=1),IF(OR(Data!CG51=0,Data!CG51=""),"","O"&amp;Data!CG51),IF('ARDT Cutter Entry'!$C$111&lt;&gt;"",'ARDT Cutter Entry'!R116,'ARDT Cutter Entry'!R48))</f>
        <v/>
      </c>
      <c r="S17" s="167" t="str">
        <f>IF(OR(Data!$L$2=1,Data!$L$3=1),IF(OR(Data!CH51=0,Data!CH51=""),"","O"&amp;Data!CH51),IF('ARDT Cutter Entry'!$C$111&lt;&gt;"",'ARDT Cutter Entry'!S116,'ARDT Cutter Entry'!S48))</f>
        <v/>
      </c>
      <c r="T17" s="167" t="str">
        <f>IF(OR(Data!$L$2=1,Data!$L$3=1),IF(OR(Data!CI51=0,Data!CI51=""),"","O"&amp;Data!CI51),IF('ARDT Cutter Entry'!$C$111&lt;&gt;"",'ARDT Cutter Entry'!T116,'ARDT Cutter Entry'!T48))</f>
        <v/>
      </c>
      <c r="U17" s="167" t="str">
        <f>IF(OR(Data!$L$2=1,Data!$L$3=1),IF(OR(Data!CJ51=0,Data!CJ51=""),"","O"&amp;Data!CJ51),IF('ARDT Cutter Entry'!$C$111&lt;&gt;"",'ARDT Cutter Entry'!U116,'ARDT Cutter Entry'!U48))</f>
        <v/>
      </c>
      <c r="V17" s="167" t="str">
        <f>IF(OR(Data!$L$2=1,Data!$L$3=1),IF(OR(Data!CK51=0,Data!CK51=""),"","O"&amp;Data!CK51),IF('ARDT Cutter Entry'!$C$111&lt;&gt;"",'ARDT Cutter Entry'!V116,'ARDT Cutter Entry'!V48))</f>
        <v/>
      </c>
      <c r="W17" s="167" t="str">
        <f>IF(OR(Data!$L$2=1,Data!$L$3=1),IF(OR(Data!CL51=0,Data!CL51=""),"","O"&amp;Data!CL51),IF('ARDT Cutter Entry'!$C$111&lt;&gt;"",'ARDT Cutter Entry'!W116,'ARDT Cutter Entry'!W48))</f>
        <v/>
      </c>
      <c r="X17" s="167" t="str">
        <f>IF(OR(Data!$L$2=1,Data!$L$3=1),IF(OR(Data!CM51=0,Data!CM51=""),"","O"&amp;Data!CM51),IF('ARDT Cutter Entry'!$C$111&lt;&gt;"",'ARDT Cutter Entry'!X116,'ARDT Cutter Entry'!X48))</f>
        <v/>
      </c>
      <c r="Y17" s="167" t="str">
        <f>IF(OR(Data!$L$2=1,Data!$L$3=1),IF(OR(Data!CN51=0,Data!CN51=""),"","O"&amp;Data!CN51),IF('ARDT Cutter Entry'!$C$111&lt;&gt;"",'ARDT Cutter Entry'!Y116,'ARDT Cutter Entry'!Y48))</f>
        <v/>
      </c>
      <c r="Z17" s="167" t="str">
        <f>IF(OR(Data!$L$2=1,Data!$L$3=1),IF(OR(Data!CO51=0,Data!CO51=""),"","O"&amp;Data!CO51),IF('ARDT Cutter Entry'!$C$111&lt;&gt;"",'ARDT Cutter Entry'!Z116,'ARDT Cutter Entry'!Z48))</f>
        <v/>
      </c>
      <c r="AA17" s="167" t="str">
        <f>IF(OR(Data!$L$2=1,Data!$L$3=1),IF(OR(Data!CP51=0,Data!CP51=""),"","O"&amp;Data!CP51),IF('ARDT Cutter Entry'!$C$111&lt;&gt;"",'ARDT Cutter Entry'!AA116,'ARDT Cutter Entry'!AA48))</f>
        <v/>
      </c>
      <c r="AB17" s="167" t="str">
        <f>IF(OR(Data!$L$2=1,Data!$L$3=1),IF(OR(Data!CQ51=0,Data!CQ51=""),"","O"&amp;Data!CQ51),IF('ARDT Cutter Entry'!$C$111&lt;&gt;"",'ARDT Cutter Entry'!AB116,'ARDT Cutter Entry'!AB48))</f>
        <v/>
      </c>
      <c r="AC17" s="167" t="str">
        <f>IF(OR(Data!$L$2=1,Data!$L$3=1),IF(OR(Data!CR51=0,Data!CR51=""),"","O"&amp;Data!CR51),IF('ARDT Cutter Entry'!$C$111&lt;&gt;"",'ARDT Cutter Entry'!AC116,'ARDT Cutter Entry'!AC48))</f>
        <v/>
      </c>
      <c r="AD17" s="167" t="str">
        <f>IF(OR(Data!$L$2=1,Data!$L$3=1),IF(OR(Data!CS51=0,Data!CS51=""),"","O"&amp;Data!CS51),IF('ARDT Cutter Entry'!$C$111&lt;&gt;"",'ARDT Cutter Entry'!AD116,'ARDT Cutter Entry'!AD48))</f>
        <v/>
      </c>
      <c r="AE17" s="167" t="str">
        <f>IF(OR(Data!$L$2=1,Data!$L$3=1),IF(OR(Data!CT51=0,Data!CT51=""),"","O"&amp;Data!CT51),IF('ARDT Cutter Entry'!$C$111&lt;&gt;"",'ARDT Cutter Entry'!AE116,'ARDT Cutter Entry'!AE48))</f>
        <v/>
      </c>
      <c r="AF17" s="167" t="str">
        <f>IF(OR(Data!$L$2=1,Data!$L$3=1),IF(OR(Data!CU51=0,Data!CU51=""),"","O"&amp;Data!CU51),IF('ARDT Cutter Entry'!$C$111&lt;&gt;"",'ARDT Cutter Entry'!AF116,'ARDT Cutter Entry'!AF48))</f>
        <v/>
      </c>
      <c r="AG17" s="167" t="str">
        <f>IF(OR(Data!$L$2=1,Data!$L$3=1),IF(OR(Data!CV51=0,Data!CV51=""),"","O"&amp;Data!CV51),IF('ARDT Cutter Entry'!$C$111&lt;&gt;"",'ARDT Cutter Entry'!AG116,'ARDT Cutter Entry'!AG48))</f>
        <v/>
      </c>
      <c r="AH17" s="167" t="str">
        <f>IF(OR(Data!$L$2=1,Data!$L$3=1),IF(OR(Data!CW51=0,Data!CW51=""),"","O"&amp;Data!CW51),IF('ARDT Cutter Entry'!$C$111&lt;&gt;"",'ARDT Cutter Entry'!AH116,'ARDT Cutter Entry'!AH48))</f>
        <v/>
      </c>
      <c r="AI17" s="248" t="str">
        <f>IF(OR(Data!$L$2=1,Data!$L$3=1),IF(OR(Data!CX51=0,Data!CX51=""),"","O"&amp;Data!CX51),IF('ARDT Cutter Entry'!$C$111&lt;&gt;"",'ARDT Cutter Entry'!AI116,'ARDT Cutter Entry'!AI48))</f>
        <v/>
      </c>
    </row>
    <row r="18" spans="1:35" ht="14.15" customHeight="1" x14ac:dyDescent="0.35">
      <c r="A18" s="1869"/>
      <c r="B18" s="435">
        <v>7</v>
      </c>
      <c r="C18" s="233" t="str">
        <f>IF(OR(Data!$L$2=1,Data!$L$3=1),IF(OR(Data!BR52=0,Data!BR52=""),"","O"&amp;Data!BR52),IF('ARDT Cutter Entry'!$C$111&lt;&gt;"",'ARDT Cutter Entry'!C117,'ARDT Cutter Entry'!C49))</f>
        <v/>
      </c>
      <c r="D18" s="167" t="str">
        <f>IF(OR(Data!$L$2=1,Data!$L$3=1),IF(OR(Data!BS52=0,Data!BS52=""),"","O"&amp;Data!BS52),IF('ARDT Cutter Entry'!$C$111&lt;&gt;"",'ARDT Cutter Entry'!D117,'ARDT Cutter Entry'!D49))</f>
        <v/>
      </c>
      <c r="E18" s="167" t="str">
        <f>IF(OR(Data!$L$2=1,Data!$L$3=1),IF(OR(Data!BT52=0,Data!BT52=""),"","O"&amp;Data!BT52),IF('ARDT Cutter Entry'!$C$111&lt;&gt;"",'ARDT Cutter Entry'!E117,'ARDT Cutter Entry'!E49))</f>
        <v/>
      </c>
      <c r="F18" s="167" t="str">
        <f>IF(OR(Data!$L$2=1,Data!$L$3=1),IF(OR(Data!BU52=0,Data!BU52=""),"","O"&amp;Data!BU52),IF('ARDT Cutter Entry'!$C$111&lt;&gt;"",'ARDT Cutter Entry'!F117,'ARDT Cutter Entry'!F49))</f>
        <v/>
      </c>
      <c r="G18" s="167" t="str">
        <f>IF(OR(Data!$L$2=1,Data!$L$3=1),IF(OR(Data!BV52=0,Data!BV52=""),"","O"&amp;Data!BV52),IF('ARDT Cutter Entry'!$C$111&lt;&gt;"",'ARDT Cutter Entry'!G117,'ARDT Cutter Entry'!G49))</f>
        <v/>
      </c>
      <c r="H18" s="167" t="str">
        <f>IF(OR(Data!$L$2=1,Data!$L$3=1),IF(OR(Data!BW52=0,Data!BW52=""),"","O"&amp;Data!BW52),IF('ARDT Cutter Entry'!$C$111&lt;&gt;"",'ARDT Cutter Entry'!H117,'ARDT Cutter Entry'!H49))</f>
        <v/>
      </c>
      <c r="I18" s="167" t="str">
        <f>IF(OR(Data!$L$2=1,Data!$L$3=1),IF(OR(Data!BX52=0,Data!BX52=""),"","O"&amp;Data!BX52),IF('ARDT Cutter Entry'!$C$111&lt;&gt;"",'ARDT Cutter Entry'!I117,'ARDT Cutter Entry'!I49))</f>
        <v/>
      </c>
      <c r="J18" s="167" t="str">
        <f>IF(OR(Data!$L$2=1,Data!$L$3=1),IF(OR(Data!BY52=0,Data!BY52=""),"","O"&amp;Data!BY52),IF('ARDT Cutter Entry'!$C$111&lt;&gt;"",'ARDT Cutter Entry'!J117,'ARDT Cutter Entry'!J49))</f>
        <v/>
      </c>
      <c r="K18" s="167" t="str">
        <f>IF(OR(Data!$L$2=1,Data!$L$3=1),IF(OR(Data!BZ52=0,Data!BZ52=""),"","O"&amp;Data!BZ52),IF('ARDT Cutter Entry'!$C$111&lt;&gt;"",'ARDT Cutter Entry'!K117,'ARDT Cutter Entry'!K49))</f>
        <v/>
      </c>
      <c r="L18" s="167" t="str">
        <f>IF(OR(Data!$L$2=1,Data!$L$3=1),IF(OR(Data!CA52=0,Data!CA52=""),"","O"&amp;Data!CA52),IF('ARDT Cutter Entry'!$C$111&lt;&gt;"",'ARDT Cutter Entry'!L117,'ARDT Cutter Entry'!L49))</f>
        <v/>
      </c>
      <c r="M18" s="167" t="str">
        <f>IF(OR(Data!$L$2=1,Data!$L$3=1),IF(OR(Data!CB52=0,Data!CB52=""),"","O"&amp;Data!CB52),IF('ARDT Cutter Entry'!$C$111&lt;&gt;"",'ARDT Cutter Entry'!M117,'ARDT Cutter Entry'!M49))</f>
        <v/>
      </c>
      <c r="N18" s="167" t="str">
        <f>IF(OR(Data!$L$2=1,Data!$L$3=1),IF(OR(Data!CC52=0,Data!CC52=""),"","O"&amp;Data!CC52),IF('ARDT Cutter Entry'!$C$111&lt;&gt;"",'ARDT Cutter Entry'!N117,'ARDT Cutter Entry'!N49))</f>
        <v/>
      </c>
      <c r="O18" s="167" t="str">
        <f>IF(OR(Data!$L$2=1,Data!$L$3=1),IF(OR(Data!CD52=0,Data!CD52=""),"","O"&amp;Data!CD52),IF('ARDT Cutter Entry'!$C$111&lt;&gt;"",'ARDT Cutter Entry'!O117,'ARDT Cutter Entry'!O49))</f>
        <v/>
      </c>
      <c r="P18" s="167" t="str">
        <f>IF(OR(Data!$L$2=1,Data!$L$3=1),IF(OR(Data!CE52=0,Data!CE52=""),"","O"&amp;Data!CE52),IF('ARDT Cutter Entry'!$C$111&lt;&gt;"",'ARDT Cutter Entry'!P117,'ARDT Cutter Entry'!P49))</f>
        <v/>
      </c>
      <c r="Q18" s="167" t="str">
        <f>IF(OR(Data!$L$2=1,Data!$L$3=1),IF(OR(Data!CF52=0,Data!CF52=""),"","O"&amp;Data!CF52),IF('ARDT Cutter Entry'!$C$111&lt;&gt;"",'ARDT Cutter Entry'!Q117,'ARDT Cutter Entry'!Q49))</f>
        <v/>
      </c>
      <c r="R18" s="167" t="str">
        <f>IF(OR(Data!$L$2=1,Data!$L$3=1),IF(OR(Data!CG52=0,Data!CG52=""),"","O"&amp;Data!CG52),IF('ARDT Cutter Entry'!$C$111&lt;&gt;"",'ARDT Cutter Entry'!R117,'ARDT Cutter Entry'!R49))</f>
        <v/>
      </c>
      <c r="S18" s="167" t="str">
        <f>IF(OR(Data!$L$2=1,Data!$L$3=1),IF(OR(Data!CH52=0,Data!CH52=""),"","O"&amp;Data!CH52),IF('ARDT Cutter Entry'!$C$111&lt;&gt;"",'ARDT Cutter Entry'!S117,'ARDT Cutter Entry'!S49))</f>
        <v/>
      </c>
      <c r="T18" s="167" t="str">
        <f>IF(OR(Data!$L$2=1,Data!$L$3=1),IF(OR(Data!CI52=0,Data!CI52=""),"","O"&amp;Data!CI52),IF('ARDT Cutter Entry'!$C$111&lt;&gt;"",'ARDT Cutter Entry'!T117,'ARDT Cutter Entry'!T49))</f>
        <v/>
      </c>
      <c r="U18" s="167" t="str">
        <f>IF(OR(Data!$L$2=1,Data!$L$3=1),IF(OR(Data!CJ52=0,Data!CJ52=""),"","O"&amp;Data!CJ52),IF('ARDT Cutter Entry'!$C$111&lt;&gt;"",'ARDT Cutter Entry'!U117,'ARDT Cutter Entry'!U49))</f>
        <v/>
      </c>
      <c r="V18" s="167" t="str">
        <f>IF(OR(Data!$L$2=1,Data!$L$3=1),IF(OR(Data!CK52=0,Data!CK52=""),"","O"&amp;Data!CK52),IF('ARDT Cutter Entry'!$C$111&lt;&gt;"",'ARDT Cutter Entry'!V117,'ARDT Cutter Entry'!V49))</f>
        <v/>
      </c>
      <c r="W18" s="167" t="str">
        <f>IF(OR(Data!$L$2=1,Data!$L$3=1),IF(OR(Data!CL52=0,Data!CL52=""),"","O"&amp;Data!CL52),IF('ARDT Cutter Entry'!$C$111&lt;&gt;"",'ARDT Cutter Entry'!W117,'ARDT Cutter Entry'!W49))</f>
        <v/>
      </c>
      <c r="X18" s="167" t="str">
        <f>IF(OR(Data!$L$2=1,Data!$L$3=1),IF(OR(Data!CM52=0,Data!CM52=""),"","O"&amp;Data!CM52),IF('ARDT Cutter Entry'!$C$111&lt;&gt;"",'ARDT Cutter Entry'!X117,'ARDT Cutter Entry'!X49))</f>
        <v/>
      </c>
      <c r="Y18" s="167" t="str">
        <f>IF(OR(Data!$L$2=1,Data!$L$3=1),IF(OR(Data!CN52=0,Data!CN52=""),"","O"&amp;Data!CN52),IF('ARDT Cutter Entry'!$C$111&lt;&gt;"",'ARDT Cutter Entry'!Y117,'ARDT Cutter Entry'!Y49))</f>
        <v/>
      </c>
      <c r="Z18" s="167" t="str">
        <f>IF(OR(Data!$L$2=1,Data!$L$3=1),IF(OR(Data!CO52=0,Data!CO52=""),"","O"&amp;Data!CO52),IF('ARDT Cutter Entry'!$C$111&lt;&gt;"",'ARDT Cutter Entry'!Z117,'ARDT Cutter Entry'!Z49))</f>
        <v/>
      </c>
      <c r="AA18" s="167" t="str">
        <f>IF(OR(Data!$L$2=1,Data!$L$3=1),IF(OR(Data!CP52=0,Data!CP52=""),"","O"&amp;Data!CP52),IF('ARDT Cutter Entry'!$C$111&lt;&gt;"",'ARDT Cutter Entry'!AA117,'ARDT Cutter Entry'!AA49))</f>
        <v/>
      </c>
      <c r="AB18" s="167" t="str">
        <f>IF(OR(Data!$L$2=1,Data!$L$3=1),IF(OR(Data!CQ52=0,Data!CQ52=""),"","O"&amp;Data!CQ52),IF('ARDT Cutter Entry'!$C$111&lt;&gt;"",'ARDT Cutter Entry'!AB117,'ARDT Cutter Entry'!AB49))</f>
        <v/>
      </c>
      <c r="AC18" s="167" t="str">
        <f>IF(OR(Data!$L$2=1,Data!$L$3=1),IF(OR(Data!CR52=0,Data!CR52=""),"","O"&amp;Data!CR52),IF('ARDT Cutter Entry'!$C$111&lt;&gt;"",'ARDT Cutter Entry'!AC117,'ARDT Cutter Entry'!AC49))</f>
        <v/>
      </c>
      <c r="AD18" s="167" t="str">
        <f>IF(OR(Data!$L$2=1,Data!$L$3=1),IF(OR(Data!CS52=0,Data!CS52=""),"","O"&amp;Data!CS52),IF('ARDT Cutter Entry'!$C$111&lt;&gt;"",'ARDT Cutter Entry'!AD117,'ARDT Cutter Entry'!AD49))</f>
        <v/>
      </c>
      <c r="AE18" s="167" t="str">
        <f>IF(OR(Data!$L$2=1,Data!$L$3=1),IF(OR(Data!CT52=0,Data!CT52=""),"","O"&amp;Data!CT52),IF('ARDT Cutter Entry'!$C$111&lt;&gt;"",'ARDT Cutter Entry'!AE117,'ARDT Cutter Entry'!AE49))</f>
        <v/>
      </c>
      <c r="AF18" s="167" t="str">
        <f>IF(OR(Data!$L$2=1,Data!$L$3=1),IF(OR(Data!CU52=0,Data!CU52=""),"","O"&amp;Data!CU52),IF('ARDT Cutter Entry'!$C$111&lt;&gt;"",'ARDT Cutter Entry'!AF117,'ARDT Cutter Entry'!AF49))</f>
        <v/>
      </c>
      <c r="AG18" s="167" t="str">
        <f>IF(OR(Data!$L$2=1,Data!$L$3=1),IF(OR(Data!CV52=0,Data!CV52=""),"","O"&amp;Data!CV52),IF('ARDT Cutter Entry'!$C$111&lt;&gt;"",'ARDT Cutter Entry'!AG117,'ARDT Cutter Entry'!AG49))</f>
        <v/>
      </c>
      <c r="AH18" s="167" t="str">
        <f>IF(OR(Data!$L$2=1,Data!$L$3=1),IF(OR(Data!CW52=0,Data!CW52=""),"","O"&amp;Data!CW52),IF('ARDT Cutter Entry'!$C$111&lt;&gt;"",'ARDT Cutter Entry'!AH117,'ARDT Cutter Entry'!AH49))</f>
        <v/>
      </c>
      <c r="AI18" s="248" t="str">
        <f>IF(OR(Data!$L$2=1,Data!$L$3=1),IF(OR(Data!CX52=0,Data!CX52=""),"","O"&amp;Data!CX52),IF('ARDT Cutter Entry'!$C$111&lt;&gt;"",'ARDT Cutter Entry'!AI117,'ARDT Cutter Entry'!AI49))</f>
        <v/>
      </c>
    </row>
    <row r="19" spans="1:35" ht="14.15" customHeight="1" x14ac:dyDescent="0.35">
      <c r="A19" s="1869"/>
      <c r="B19" s="435">
        <v>8</v>
      </c>
      <c r="C19" s="233" t="str">
        <f>IF(OR(Data!$L$2=1,Data!$L$3=1),IF(OR(Data!BR53=0,Data!BR53=""),"","O"&amp;Data!BR53),IF('ARDT Cutter Entry'!$C$111&lt;&gt;"",'ARDT Cutter Entry'!C118,'ARDT Cutter Entry'!C50))</f>
        <v/>
      </c>
      <c r="D19" s="167" t="str">
        <f>IF(OR(Data!$L$2=1,Data!$L$3=1),IF(OR(Data!BS53=0,Data!BS53=""),"","O"&amp;Data!BS53),IF('ARDT Cutter Entry'!$C$111&lt;&gt;"",'ARDT Cutter Entry'!D118,'ARDT Cutter Entry'!D50))</f>
        <v/>
      </c>
      <c r="E19" s="167" t="str">
        <f>IF(OR(Data!$L$2=1,Data!$L$3=1),IF(OR(Data!BT53=0,Data!BT53=""),"","O"&amp;Data!BT53),IF('ARDT Cutter Entry'!$C$111&lt;&gt;"",'ARDT Cutter Entry'!E118,'ARDT Cutter Entry'!E50))</f>
        <v/>
      </c>
      <c r="F19" s="167" t="str">
        <f>IF(OR(Data!$L$2=1,Data!$L$3=1),IF(OR(Data!BU53=0,Data!BU53=""),"","O"&amp;Data!BU53),IF('ARDT Cutter Entry'!$C$111&lt;&gt;"",'ARDT Cutter Entry'!F118,'ARDT Cutter Entry'!F50))</f>
        <v/>
      </c>
      <c r="G19" s="167" t="str">
        <f>IF(OR(Data!$L$2=1,Data!$L$3=1),IF(OR(Data!BV53=0,Data!BV53=""),"","O"&amp;Data!BV53),IF('ARDT Cutter Entry'!$C$111&lt;&gt;"",'ARDT Cutter Entry'!G118,'ARDT Cutter Entry'!G50))</f>
        <v/>
      </c>
      <c r="H19" s="167" t="str">
        <f>IF(OR(Data!$L$2=1,Data!$L$3=1),IF(OR(Data!BW53=0,Data!BW53=""),"","O"&amp;Data!BW53),IF('ARDT Cutter Entry'!$C$111&lt;&gt;"",'ARDT Cutter Entry'!H118,'ARDT Cutter Entry'!H50))</f>
        <v/>
      </c>
      <c r="I19" s="167" t="str">
        <f>IF(OR(Data!$L$2=1,Data!$L$3=1),IF(OR(Data!BX53=0,Data!BX53=""),"","O"&amp;Data!BX53),IF('ARDT Cutter Entry'!$C$111&lt;&gt;"",'ARDT Cutter Entry'!I118,'ARDT Cutter Entry'!I50))</f>
        <v/>
      </c>
      <c r="J19" s="167" t="str">
        <f>IF(OR(Data!$L$2=1,Data!$L$3=1),IF(OR(Data!BY53=0,Data!BY53=""),"","O"&amp;Data!BY53),IF('ARDT Cutter Entry'!$C$111&lt;&gt;"",'ARDT Cutter Entry'!J118,'ARDT Cutter Entry'!J50))</f>
        <v/>
      </c>
      <c r="K19" s="167" t="str">
        <f>IF(OR(Data!$L$2=1,Data!$L$3=1),IF(OR(Data!BZ53=0,Data!BZ53=""),"","O"&amp;Data!BZ53),IF('ARDT Cutter Entry'!$C$111&lt;&gt;"",'ARDT Cutter Entry'!K118,'ARDT Cutter Entry'!K50))</f>
        <v/>
      </c>
      <c r="L19" s="167" t="str">
        <f>IF(OR(Data!$L$2=1,Data!$L$3=1),IF(OR(Data!CA53=0,Data!CA53=""),"","O"&amp;Data!CA53),IF('ARDT Cutter Entry'!$C$111&lt;&gt;"",'ARDT Cutter Entry'!L118,'ARDT Cutter Entry'!L50))</f>
        <v/>
      </c>
      <c r="M19" s="167" t="str">
        <f>IF(OR(Data!$L$2=1,Data!$L$3=1),IF(OR(Data!CB53=0,Data!CB53=""),"","O"&amp;Data!CB53),IF('ARDT Cutter Entry'!$C$111&lt;&gt;"",'ARDT Cutter Entry'!M118,'ARDT Cutter Entry'!M50))</f>
        <v/>
      </c>
      <c r="N19" s="167" t="str">
        <f>IF(OR(Data!$L$2=1,Data!$L$3=1),IF(OR(Data!CC53=0,Data!CC53=""),"","O"&amp;Data!CC53),IF('ARDT Cutter Entry'!$C$111&lt;&gt;"",'ARDT Cutter Entry'!N118,'ARDT Cutter Entry'!N50))</f>
        <v/>
      </c>
      <c r="O19" s="167" t="str">
        <f>IF(OR(Data!$L$2=1,Data!$L$3=1),IF(OR(Data!CD53=0,Data!CD53=""),"","O"&amp;Data!CD53),IF('ARDT Cutter Entry'!$C$111&lt;&gt;"",'ARDT Cutter Entry'!O118,'ARDT Cutter Entry'!O50))</f>
        <v/>
      </c>
      <c r="P19" s="167" t="str">
        <f>IF(OR(Data!$L$2=1,Data!$L$3=1),IF(OR(Data!CE53=0,Data!CE53=""),"","O"&amp;Data!CE53),IF('ARDT Cutter Entry'!$C$111&lt;&gt;"",'ARDT Cutter Entry'!P118,'ARDT Cutter Entry'!P50))</f>
        <v/>
      </c>
      <c r="Q19" s="167" t="str">
        <f>IF(OR(Data!$L$2=1,Data!$L$3=1),IF(OR(Data!CF53=0,Data!CF53=""),"","O"&amp;Data!CF53),IF('ARDT Cutter Entry'!$C$111&lt;&gt;"",'ARDT Cutter Entry'!Q118,'ARDT Cutter Entry'!Q50))</f>
        <v/>
      </c>
      <c r="R19" s="167" t="str">
        <f>IF(OR(Data!$L$2=1,Data!$L$3=1),IF(OR(Data!CG53=0,Data!CG53=""),"","O"&amp;Data!CG53),IF('ARDT Cutter Entry'!$C$111&lt;&gt;"",'ARDT Cutter Entry'!R118,'ARDT Cutter Entry'!R50))</f>
        <v/>
      </c>
      <c r="S19" s="167" t="str">
        <f>IF(OR(Data!$L$2=1,Data!$L$3=1),IF(OR(Data!CH53=0,Data!CH53=""),"","O"&amp;Data!CH53),IF('ARDT Cutter Entry'!$C$111&lt;&gt;"",'ARDT Cutter Entry'!S118,'ARDT Cutter Entry'!S50))</f>
        <v/>
      </c>
      <c r="T19" s="167" t="str">
        <f>IF(OR(Data!$L$2=1,Data!$L$3=1),IF(OR(Data!CI53=0,Data!CI53=""),"","O"&amp;Data!CI53),IF('ARDT Cutter Entry'!$C$111&lt;&gt;"",'ARDT Cutter Entry'!T118,'ARDT Cutter Entry'!T50))</f>
        <v/>
      </c>
      <c r="U19" s="167" t="str">
        <f>IF(OR(Data!$L$2=1,Data!$L$3=1),IF(OR(Data!CJ53=0,Data!CJ53=""),"","O"&amp;Data!CJ53),IF('ARDT Cutter Entry'!$C$111&lt;&gt;"",'ARDT Cutter Entry'!U118,'ARDT Cutter Entry'!U50))</f>
        <v/>
      </c>
      <c r="V19" s="167" t="str">
        <f>IF(OR(Data!$L$2=1,Data!$L$3=1),IF(OR(Data!CK53=0,Data!CK53=""),"","O"&amp;Data!CK53),IF('ARDT Cutter Entry'!$C$111&lt;&gt;"",'ARDT Cutter Entry'!V118,'ARDT Cutter Entry'!V50))</f>
        <v/>
      </c>
      <c r="W19" s="167" t="str">
        <f>IF(OR(Data!$L$2=1,Data!$L$3=1),IF(OR(Data!CL53=0,Data!CL53=""),"","O"&amp;Data!CL53),IF('ARDT Cutter Entry'!$C$111&lt;&gt;"",'ARDT Cutter Entry'!W118,'ARDT Cutter Entry'!W50))</f>
        <v/>
      </c>
      <c r="X19" s="167" t="str">
        <f>IF(OR(Data!$L$2=1,Data!$L$3=1),IF(OR(Data!CM53=0,Data!CM53=""),"","O"&amp;Data!CM53),IF('ARDT Cutter Entry'!$C$111&lt;&gt;"",'ARDT Cutter Entry'!X118,'ARDT Cutter Entry'!X50))</f>
        <v/>
      </c>
      <c r="Y19" s="167" t="str">
        <f>IF(OR(Data!$L$2=1,Data!$L$3=1),IF(OR(Data!CN53=0,Data!CN53=""),"","O"&amp;Data!CN53),IF('ARDT Cutter Entry'!$C$111&lt;&gt;"",'ARDT Cutter Entry'!Y118,'ARDT Cutter Entry'!Y50))</f>
        <v/>
      </c>
      <c r="Z19" s="167" t="str">
        <f>IF(OR(Data!$L$2=1,Data!$L$3=1),IF(OR(Data!CO53=0,Data!CO53=""),"","O"&amp;Data!CO53),IF('ARDT Cutter Entry'!$C$111&lt;&gt;"",'ARDT Cutter Entry'!Z118,'ARDT Cutter Entry'!Z50))</f>
        <v/>
      </c>
      <c r="AA19" s="167" t="str">
        <f>IF(OR(Data!$L$2=1,Data!$L$3=1),IF(OR(Data!CP53=0,Data!CP53=""),"","O"&amp;Data!CP53),IF('ARDT Cutter Entry'!$C$111&lt;&gt;"",'ARDT Cutter Entry'!AA118,'ARDT Cutter Entry'!AA50))</f>
        <v/>
      </c>
      <c r="AB19" s="167" t="str">
        <f>IF(OR(Data!$L$2=1,Data!$L$3=1),IF(OR(Data!CQ53=0,Data!CQ53=""),"","O"&amp;Data!CQ53),IF('ARDT Cutter Entry'!$C$111&lt;&gt;"",'ARDT Cutter Entry'!AB118,'ARDT Cutter Entry'!AB50))</f>
        <v/>
      </c>
      <c r="AC19" s="167" t="str">
        <f>IF(OR(Data!$L$2=1,Data!$L$3=1),IF(OR(Data!CR53=0,Data!CR53=""),"","O"&amp;Data!CR53),IF('ARDT Cutter Entry'!$C$111&lt;&gt;"",'ARDT Cutter Entry'!AC118,'ARDT Cutter Entry'!AC50))</f>
        <v/>
      </c>
      <c r="AD19" s="167" t="str">
        <f>IF(OR(Data!$L$2=1,Data!$L$3=1),IF(OR(Data!CS53=0,Data!CS53=""),"","O"&amp;Data!CS53),IF('ARDT Cutter Entry'!$C$111&lt;&gt;"",'ARDT Cutter Entry'!AD118,'ARDT Cutter Entry'!AD50))</f>
        <v/>
      </c>
      <c r="AE19" s="167" t="str">
        <f>IF(OR(Data!$L$2=1,Data!$L$3=1),IF(OR(Data!CT53=0,Data!CT53=""),"","O"&amp;Data!CT53),IF('ARDT Cutter Entry'!$C$111&lt;&gt;"",'ARDT Cutter Entry'!AE118,'ARDT Cutter Entry'!AE50))</f>
        <v/>
      </c>
      <c r="AF19" s="167" t="str">
        <f>IF(OR(Data!$L$2=1,Data!$L$3=1),IF(OR(Data!CU53=0,Data!CU53=""),"","O"&amp;Data!CU53),IF('ARDT Cutter Entry'!$C$111&lt;&gt;"",'ARDT Cutter Entry'!AF118,'ARDT Cutter Entry'!AF50))</f>
        <v/>
      </c>
      <c r="AG19" s="167" t="str">
        <f>IF(OR(Data!$L$2=1,Data!$L$3=1),IF(OR(Data!CV53=0,Data!CV53=""),"","O"&amp;Data!CV53),IF('ARDT Cutter Entry'!$C$111&lt;&gt;"",'ARDT Cutter Entry'!AG118,'ARDT Cutter Entry'!AG50))</f>
        <v/>
      </c>
      <c r="AH19" s="167" t="str">
        <f>IF(OR(Data!$L$2=1,Data!$L$3=1),IF(OR(Data!CW53=0,Data!CW53=""),"","O"&amp;Data!CW53),IF('ARDT Cutter Entry'!$C$111&lt;&gt;"",'ARDT Cutter Entry'!AH118,'ARDT Cutter Entry'!AH50))</f>
        <v/>
      </c>
      <c r="AI19" s="248" t="str">
        <f>IF(OR(Data!$L$2=1,Data!$L$3=1),IF(OR(Data!CX53=0,Data!CX53=""),"","O"&amp;Data!CX53),IF('ARDT Cutter Entry'!$C$111&lt;&gt;"",'ARDT Cutter Entry'!AI118,'ARDT Cutter Entry'!AI50))</f>
        <v/>
      </c>
    </row>
    <row r="20" spans="1:35" ht="14.15" customHeight="1" x14ac:dyDescent="0.35">
      <c r="A20" s="1869"/>
      <c r="B20" s="435">
        <v>9</v>
      </c>
      <c r="C20" s="233" t="str">
        <f>IF(OR(Data!$L$2=1,Data!$L$3=1),IF(OR(Data!BR54=0,Data!BR54=""),"","O"&amp;Data!BR54),IF('ARDT Cutter Entry'!$C$111&lt;&gt;"",'ARDT Cutter Entry'!C119,'ARDT Cutter Entry'!C51))</f>
        <v/>
      </c>
      <c r="D20" s="167" t="str">
        <f>IF(OR(Data!$L$2=1,Data!$L$3=1),IF(OR(Data!BS54=0,Data!BS54=""),"","O"&amp;Data!BS54),IF('ARDT Cutter Entry'!$C$111&lt;&gt;"",'ARDT Cutter Entry'!D119,'ARDT Cutter Entry'!D51))</f>
        <v/>
      </c>
      <c r="E20" s="167" t="str">
        <f>IF(OR(Data!$L$2=1,Data!$L$3=1),IF(OR(Data!BT54=0,Data!BT54=""),"","O"&amp;Data!BT54),IF('ARDT Cutter Entry'!$C$111&lt;&gt;"",'ARDT Cutter Entry'!E119,'ARDT Cutter Entry'!E51))</f>
        <v/>
      </c>
      <c r="F20" s="167" t="str">
        <f>IF(OR(Data!$L$2=1,Data!$L$3=1),IF(OR(Data!BU54=0,Data!BU54=""),"","O"&amp;Data!BU54),IF('ARDT Cutter Entry'!$C$111&lt;&gt;"",'ARDT Cutter Entry'!F119,'ARDT Cutter Entry'!F51))</f>
        <v/>
      </c>
      <c r="G20" s="167" t="str">
        <f>IF(OR(Data!$L$2=1,Data!$L$3=1),IF(OR(Data!BV54=0,Data!BV54=""),"","O"&amp;Data!BV54),IF('ARDT Cutter Entry'!$C$111&lt;&gt;"",'ARDT Cutter Entry'!G119,'ARDT Cutter Entry'!G51))</f>
        <v/>
      </c>
      <c r="H20" s="167" t="str">
        <f>IF(OR(Data!$L$2=1,Data!$L$3=1),IF(OR(Data!BW54=0,Data!BW54=""),"","O"&amp;Data!BW54),IF('ARDT Cutter Entry'!$C$111&lt;&gt;"",'ARDT Cutter Entry'!H119,'ARDT Cutter Entry'!H51))</f>
        <v/>
      </c>
      <c r="I20" s="167" t="str">
        <f>IF(OR(Data!$L$2=1,Data!$L$3=1),IF(OR(Data!BX54=0,Data!BX54=""),"","O"&amp;Data!BX54),IF('ARDT Cutter Entry'!$C$111&lt;&gt;"",'ARDT Cutter Entry'!I119,'ARDT Cutter Entry'!I51))</f>
        <v/>
      </c>
      <c r="J20" s="167" t="str">
        <f>IF(OR(Data!$L$2=1,Data!$L$3=1),IF(OR(Data!BY54=0,Data!BY54=""),"","O"&amp;Data!BY54),IF('ARDT Cutter Entry'!$C$111&lt;&gt;"",'ARDT Cutter Entry'!J119,'ARDT Cutter Entry'!J51))</f>
        <v/>
      </c>
      <c r="K20" s="167" t="str">
        <f>IF(OR(Data!$L$2=1,Data!$L$3=1),IF(OR(Data!BZ54=0,Data!BZ54=""),"","O"&amp;Data!BZ54),IF('ARDT Cutter Entry'!$C$111&lt;&gt;"",'ARDT Cutter Entry'!K119,'ARDT Cutter Entry'!K51))</f>
        <v/>
      </c>
      <c r="L20" s="167" t="str">
        <f>IF(OR(Data!$L$2=1,Data!$L$3=1),IF(OR(Data!CA54=0,Data!CA54=""),"","O"&amp;Data!CA54),IF('ARDT Cutter Entry'!$C$111&lt;&gt;"",'ARDT Cutter Entry'!L119,'ARDT Cutter Entry'!L51))</f>
        <v/>
      </c>
      <c r="M20" s="167" t="str">
        <f>IF(OR(Data!$L$2=1,Data!$L$3=1),IF(OR(Data!CB54=0,Data!CB54=""),"","O"&amp;Data!CB54),IF('ARDT Cutter Entry'!$C$111&lt;&gt;"",'ARDT Cutter Entry'!M119,'ARDT Cutter Entry'!M51))</f>
        <v/>
      </c>
      <c r="N20" s="167" t="str">
        <f>IF(OR(Data!$L$2=1,Data!$L$3=1),IF(OR(Data!CC54=0,Data!CC54=""),"","O"&amp;Data!CC54),IF('ARDT Cutter Entry'!$C$111&lt;&gt;"",'ARDT Cutter Entry'!N119,'ARDT Cutter Entry'!N51))</f>
        <v/>
      </c>
      <c r="O20" s="167" t="str">
        <f>IF(OR(Data!$L$2=1,Data!$L$3=1),IF(OR(Data!CD54=0,Data!CD54=""),"","O"&amp;Data!CD54),IF('ARDT Cutter Entry'!$C$111&lt;&gt;"",'ARDT Cutter Entry'!O119,'ARDT Cutter Entry'!O51))</f>
        <v/>
      </c>
      <c r="P20" s="167" t="str">
        <f>IF(OR(Data!$L$2=1,Data!$L$3=1),IF(OR(Data!CE54=0,Data!CE54=""),"","O"&amp;Data!CE54),IF('ARDT Cutter Entry'!$C$111&lt;&gt;"",'ARDT Cutter Entry'!P119,'ARDT Cutter Entry'!P51))</f>
        <v/>
      </c>
      <c r="Q20" s="167" t="str">
        <f>IF(OR(Data!$L$2=1,Data!$L$3=1),IF(OR(Data!CF54=0,Data!CF54=""),"","O"&amp;Data!CF54),IF('ARDT Cutter Entry'!$C$111&lt;&gt;"",'ARDT Cutter Entry'!Q119,'ARDT Cutter Entry'!Q51))</f>
        <v/>
      </c>
      <c r="R20" s="167" t="str">
        <f>IF(OR(Data!$L$2=1,Data!$L$3=1),IF(OR(Data!CG54=0,Data!CG54=""),"","O"&amp;Data!CG54),IF('ARDT Cutter Entry'!$C$111&lt;&gt;"",'ARDT Cutter Entry'!R119,'ARDT Cutter Entry'!R51))</f>
        <v/>
      </c>
      <c r="S20" s="167" t="str">
        <f>IF(OR(Data!$L$2=1,Data!$L$3=1),IF(OR(Data!CH54=0,Data!CH54=""),"","O"&amp;Data!CH54),IF('ARDT Cutter Entry'!$C$111&lt;&gt;"",'ARDT Cutter Entry'!S119,'ARDT Cutter Entry'!S51))</f>
        <v/>
      </c>
      <c r="T20" s="167" t="str">
        <f>IF(OR(Data!$L$2=1,Data!$L$3=1),IF(OR(Data!CI54=0,Data!CI54=""),"","O"&amp;Data!CI54),IF('ARDT Cutter Entry'!$C$111&lt;&gt;"",'ARDT Cutter Entry'!T119,'ARDT Cutter Entry'!T51))</f>
        <v/>
      </c>
      <c r="U20" s="167" t="str">
        <f>IF(OR(Data!$L$2=1,Data!$L$3=1),IF(OR(Data!CJ54=0,Data!CJ54=""),"","O"&amp;Data!CJ54),IF('ARDT Cutter Entry'!$C$111&lt;&gt;"",'ARDT Cutter Entry'!U119,'ARDT Cutter Entry'!U51))</f>
        <v/>
      </c>
      <c r="V20" s="167" t="str">
        <f>IF(OR(Data!$L$2=1,Data!$L$3=1),IF(OR(Data!CK54=0,Data!CK54=""),"","O"&amp;Data!CK54),IF('ARDT Cutter Entry'!$C$111&lt;&gt;"",'ARDT Cutter Entry'!V119,'ARDT Cutter Entry'!V51))</f>
        <v/>
      </c>
      <c r="W20" s="167" t="str">
        <f>IF(OR(Data!$L$2=1,Data!$L$3=1),IF(OR(Data!CL54=0,Data!CL54=""),"","O"&amp;Data!CL54),IF('ARDT Cutter Entry'!$C$111&lt;&gt;"",'ARDT Cutter Entry'!W119,'ARDT Cutter Entry'!W51))</f>
        <v/>
      </c>
      <c r="X20" s="167" t="str">
        <f>IF(OR(Data!$L$2=1,Data!$L$3=1),IF(OR(Data!CM54=0,Data!CM54=""),"","O"&amp;Data!CM54),IF('ARDT Cutter Entry'!$C$111&lt;&gt;"",'ARDT Cutter Entry'!X119,'ARDT Cutter Entry'!X51))</f>
        <v/>
      </c>
      <c r="Y20" s="167" t="str">
        <f>IF(OR(Data!$L$2=1,Data!$L$3=1),IF(OR(Data!CN54=0,Data!CN54=""),"","O"&amp;Data!CN54),IF('ARDT Cutter Entry'!$C$111&lt;&gt;"",'ARDT Cutter Entry'!Y119,'ARDT Cutter Entry'!Y51))</f>
        <v/>
      </c>
      <c r="Z20" s="167" t="str">
        <f>IF(OR(Data!$L$2=1,Data!$L$3=1),IF(OR(Data!CO54=0,Data!CO54=""),"","O"&amp;Data!CO54),IF('ARDT Cutter Entry'!$C$111&lt;&gt;"",'ARDT Cutter Entry'!Z119,'ARDT Cutter Entry'!Z51))</f>
        <v/>
      </c>
      <c r="AA20" s="167" t="str">
        <f>IF(OR(Data!$L$2=1,Data!$L$3=1),IF(OR(Data!CP54=0,Data!CP54=""),"","O"&amp;Data!CP54),IF('ARDT Cutter Entry'!$C$111&lt;&gt;"",'ARDT Cutter Entry'!AA119,'ARDT Cutter Entry'!AA51))</f>
        <v/>
      </c>
      <c r="AB20" s="167" t="str">
        <f>IF(OR(Data!$L$2=1,Data!$L$3=1),IF(OR(Data!CQ54=0,Data!CQ54=""),"","O"&amp;Data!CQ54),IF('ARDT Cutter Entry'!$C$111&lt;&gt;"",'ARDT Cutter Entry'!AB119,'ARDT Cutter Entry'!AB51))</f>
        <v/>
      </c>
      <c r="AC20" s="167" t="str">
        <f>IF(OR(Data!$L$2=1,Data!$L$3=1),IF(OR(Data!CR54=0,Data!CR54=""),"","O"&amp;Data!CR54),IF('ARDT Cutter Entry'!$C$111&lt;&gt;"",'ARDT Cutter Entry'!AC119,'ARDT Cutter Entry'!AC51))</f>
        <v/>
      </c>
      <c r="AD20" s="167" t="str">
        <f>IF(OR(Data!$L$2=1,Data!$L$3=1),IF(OR(Data!CS54=0,Data!CS54=""),"","O"&amp;Data!CS54),IF('ARDT Cutter Entry'!$C$111&lt;&gt;"",'ARDT Cutter Entry'!AD119,'ARDT Cutter Entry'!AD51))</f>
        <v/>
      </c>
      <c r="AE20" s="167" t="str">
        <f>IF(OR(Data!$L$2=1,Data!$L$3=1),IF(OR(Data!CT54=0,Data!CT54=""),"","O"&amp;Data!CT54),IF('ARDT Cutter Entry'!$C$111&lt;&gt;"",'ARDT Cutter Entry'!AE119,'ARDT Cutter Entry'!AE51))</f>
        <v/>
      </c>
      <c r="AF20" s="167" t="str">
        <f>IF(OR(Data!$L$2=1,Data!$L$3=1),IF(OR(Data!CU54=0,Data!CU54=""),"","O"&amp;Data!CU54),IF('ARDT Cutter Entry'!$C$111&lt;&gt;"",'ARDT Cutter Entry'!AF119,'ARDT Cutter Entry'!AF51))</f>
        <v/>
      </c>
      <c r="AG20" s="167" t="str">
        <f>IF(OR(Data!$L$2=1,Data!$L$3=1),IF(OR(Data!CV54=0,Data!CV54=""),"","O"&amp;Data!CV54),IF('ARDT Cutter Entry'!$C$111&lt;&gt;"",'ARDT Cutter Entry'!AG119,'ARDT Cutter Entry'!AG51))</f>
        <v/>
      </c>
      <c r="AH20" s="167" t="str">
        <f>IF(OR(Data!$L$2=1,Data!$L$3=1),IF(OR(Data!CW54=0,Data!CW54=""),"","O"&amp;Data!CW54),IF('ARDT Cutter Entry'!$C$111&lt;&gt;"",'ARDT Cutter Entry'!AH119,'ARDT Cutter Entry'!AH51))</f>
        <v/>
      </c>
      <c r="AI20" s="248" t="str">
        <f>IF(OR(Data!$L$2=1,Data!$L$3=1),IF(OR(Data!CX54=0,Data!CX54=""),"","O"&amp;Data!CX54),IF('ARDT Cutter Entry'!$C$111&lt;&gt;"",'ARDT Cutter Entry'!AI119,'ARDT Cutter Entry'!AI51))</f>
        <v/>
      </c>
    </row>
    <row r="21" spans="1:35" ht="14.15" customHeight="1" x14ac:dyDescent="0.35">
      <c r="A21" s="1869"/>
      <c r="B21" s="435">
        <v>10</v>
      </c>
      <c r="C21" s="233" t="str">
        <f>IF(OR(Data!$L$2=1,Data!$L$3=1),IF(OR(Data!BR55=0,Data!BR55=""),"","O"&amp;Data!BR55),IF('ARDT Cutter Entry'!$C$111&lt;&gt;"",'ARDT Cutter Entry'!C120,'ARDT Cutter Entry'!C52))</f>
        <v/>
      </c>
      <c r="D21" s="167" t="str">
        <f>IF(OR(Data!$L$2=1,Data!$L$3=1),IF(OR(Data!BS55=0,Data!BS55=""),"","O"&amp;Data!BS55),IF('ARDT Cutter Entry'!$C$111&lt;&gt;"",'ARDT Cutter Entry'!D120,'ARDT Cutter Entry'!D52))</f>
        <v/>
      </c>
      <c r="E21" s="167" t="str">
        <f>IF(OR(Data!$L$2=1,Data!$L$3=1),IF(OR(Data!BT55=0,Data!BT55=""),"","O"&amp;Data!BT55),IF('ARDT Cutter Entry'!$C$111&lt;&gt;"",'ARDT Cutter Entry'!E120,'ARDT Cutter Entry'!E52))</f>
        <v/>
      </c>
      <c r="F21" s="167" t="str">
        <f>IF(OR(Data!$L$2=1,Data!$L$3=1),IF(OR(Data!BU55=0,Data!BU55=""),"","O"&amp;Data!BU55),IF('ARDT Cutter Entry'!$C$111&lt;&gt;"",'ARDT Cutter Entry'!F120,'ARDT Cutter Entry'!F52))</f>
        <v/>
      </c>
      <c r="G21" s="167" t="str">
        <f>IF(OR(Data!$L$2=1,Data!$L$3=1),IF(OR(Data!BV55=0,Data!BV55=""),"","O"&amp;Data!BV55),IF('ARDT Cutter Entry'!$C$111&lt;&gt;"",'ARDT Cutter Entry'!G120,'ARDT Cutter Entry'!G52))</f>
        <v/>
      </c>
      <c r="H21" s="167" t="str">
        <f>IF(OR(Data!$L$2=1,Data!$L$3=1),IF(OR(Data!BW55=0,Data!BW55=""),"","O"&amp;Data!BW55),IF('ARDT Cutter Entry'!$C$111&lt;&gt;"",'ARDT Cutter Entry'!H120,'ARDT Cutter Entry'!H52))</f>
        <v/>
      </c>
      <c r="I21" s="167" t="str">
        <f>IF(OR(Data!$L$2=1,Data!$L$3=1),IF(OR(Data!BX55=0,Data!BX55=""),"","O"&amp;Data!BX55),IF('ARDT Cutter Entry'!$C$111&lt;&gt;"",'ARDT Cutter Entry'!I120,'ARDT Cutter Entry'!I52))</f>
        <v/>
      </c>
      <c r="J21" s="167" t="str">
        <f>IF(OR(Data!$L$2=1,Data!$L$3=1),IF(OR(Data!BY55=0,Data!BY55=""),"","O"&amp;Data!BY55),IF('ARDT Cutter Entry'!$C$111&lt;&gt;"",'ARDT Cutter Entry'!J120,'ARDT Cutter Entry'!J52))</f>
        <v/>
      </c>
      <c r="K21" s="167" t="str">
        <f>IF(OR(Data!$L$2=1,Data!$L$3=1),IF(OR(Data!BZ55=0,Data!BZ55=""),"","O"&amp;Data!BZ55),IF('ARDT Cutter Entry'!$C$111&lt;&gt;"",'ARDT Cutter Entry'!K120,'ARDT Cutter Entry'!K52))</f>
        <v/>
      </c>
      <c r="L21" s="167" t="str">
        <f>IF(OR(Data!$L$2=1,Data!$L$3=1),IF(OR(Data!CA55=0,Data!CA55=""),"","O"&amp;Data!CA55),IF('ARDT Cutter Entry'!$C$111&lt;&gt;"",'ARDT Cutter Entry'!L120,'ARDT Cutter Entry'!L52))</f>
        <v/>
      </c>
      <c r="M21" s="167" t="str">
        <f>IF(OR(Data!$L$2=1,Data!$L$3=1),IF(OR(Data!CB55=0,Data!CB55=""),"","O"&amp;Data!CB55),IF('ARDT Cutter Entry'!$C$111&lt;&gt;"",'ARDT Cutter Entry'!M120,'ARDT Cutter Entry'!M52))</f>
        <v/>
      </c>
      <c r="N21" s="167" t="str">
        <f>IF(OR(Data!$L$2=1,Data!$L$3=1),IF(OR(Data!CC55=0,Data!CC55=""),"","O"&amp;Data!CC55),IF('ARDT Cutter Entry'!$C$111&lt;&gt;"",'ARDT Cutter Entry'!N120,'ARDT Cutter Entry'!N52))</f>
        <v/>
      </c>
      <c r="O21" s="167" t="str">
        <f>IF(OR(Data!$L$2=1,Data!$L$3=1),IF(OR(Data!CD55=0,Data!CD55=""),"","O"&amp;Data!CD55),IF('ARDT Cutter Entry'!$C$111&lt;&gt;"",'ARDT Cutter Entry'!O120,'ARDT Cutter Entry'!O52))</f>
        <v/>
      </c>
      <c r="P21" s="167" t="str">
        <f>IF(OR(Data!$L$2=1,Data!$L$3=1),IF(OR(Data!CE55=0,Data!CE55=""),"","O"&amp;Data!CE55),IF('ARDT Cutter Entry'!$C$111&lt;&gt;"",'ARDT Cutter Entry'!P120,'ARDT Cutter Entry'!P52))</f>
        <v/>
      </c>
      <c r="Q21" s="167" t="str">
        <f>IF(OR(Data!$L$2=1,Data!$L$3=1),IF(OR(Data!CF55=0,Data!CF55=""),"","O"&amp;Data!CF55),IF('ARDT Cutter Entry'!$C$111&lt;&gt;"",'ARDT Cutter Entry'!Q120,'ARDT Cutter Entry'!Q52))</f>
        <v/>
      </c>
      <c r="R21" s="167" t="str">
        <f>IF(OR(Data!$L$2=1,Data!$L$3=1),IF(OR(Data!CG55=0,Data!CG55=""),"","O"&amp;Data!CG55),IF('ARDT Cutter Entry'!$C$111&lt;&gt;"",'ARDT Cutter Entry'!R120,'ARDT Cutter Entry'!R52))</f>
        <v/>
      </c>
      <c r="S21" s="167" t="str">
        <f>IF(OR(Data!$L$2=1,Data!$L$3=1),IF(OR(Data!CH55=0,Data!CH55=""),"","O"&amp;Data!CH55),IF('ARDT Cutter Entry'!$C$111&lt;&gt;"",'ARDT Cutter Entry'!S120,'ARDT Cutter Entry'!S52))</f>
        <v/>
      </c>
      <c r="T21" s="167" t="str">
        <f>IF(OR(Data!$L$2=1,Data!$L$3=1),IF(OR(Data!CI55=0,Data!CI55=""),"","O"&amp;Data!CI55),IF('ARDT Cutter Entry'!$C$111&lt;&gt;"",'ARDT Cutter Entry'!T120,'ARDT Cutter Entry'!T52))</f>
        <v/>
      </c>
      <c r="U21" s="167" t="str">
        <f>IF(OR(Data!$L$2=1,Data!$L$3=1),IF(OR(Data!CJ55=0,Data!CJ55=""),"","O"&amp;Data!CJ55),IF('ARDT Cutter Entry'!$C$111&lt;&gt;"",'ARDT Cutter Entry'!U120,'ARDT Cutter Entry'!U52))</f>
        <v/>
      </c>
      <c r="V21" s="167" t="str">
        <f>IF(OR(Data!$L$2=1,Data!$L$3=1),IF(OR(Data!CK55=0,Data!CK55=""),"","O"&amp;Data!CK55),IF('ARDT Cutter Entry'!$C$111&lt;&gt;"",'ARDT Cutter Entry'!V120,'ARDT Cutter Entry'!V52))</f>
        <v/>
      </c>
      <c r="W21" s="167" t="str">
        <f>IF(OR(Data!$L$2=1,Data!$L$3=1),IF(OR(Data!CL55=0,Data!CL55=""),"","O"&amp;Data!CL55),IF('ARDT Cutter Entry'!$C$111&lt;&gt;"",'ARDT Cutter Entry'!W120,'ARDT Cutter Entry'!W52))</f>
        <v/>
      </c>
      <c r="X21" s="167" t="str">
        <f>IF(OR(Data!$L$2=1,Data!$L$3=1),IF(OR(Data!CM55=0,Data!CM55=""),"","O"&amp;Data!CM55),IF('ARDT Cutter Entry'!$C$111&lt;&gt;"",'ARDT Cutter Entry'!X120,'ARDT Cutter Entry'!X52))</f>
        <v/>
      </c>
      <c r="Y21" s="167" t="str">
        <f>IF(OR(Data!$L$2=1,Data!$L$3=1),IF(OR(Data!CN55=0,Data!CN55=""),"","O"&amp;Data!CN55),IF('ARDT Cutter Entry'!$C$111&lt;&gt;"",'ARDT Cutter Entry'!Y120,'ARDT Cutter Entry'!Y52))</f>
        <v/>
      </c>
      <c r="Z21" s="167" t="str">
        <f>IF(OR(Data!$L$2=1,Data!$L$3=1),IF(OR(Data!CO55=0,Data!CO55=""),"","O"&amp;Data!CO55),IF('ARDT Cutter Entry'!$C$111&lt;&gt;"",'ARDT Cutter Entry'!Z120,'ARDT Cutter Entry'!Z52))</f>
        <v/>
      </c>
      <c r="AA21" s="167" t="str">
        <f>IF(OR(Data!$L$2=1,Data!$L$3=1),IF(OR(Data!CP55=0,Data!CP55=""),"","O"&amp;Data!CP55),IF('ARDT Cutter Entry'!$C$111&lt;&gt;"",'ARDT Cutter Entry'!AA120,'ARDT Cutter Entry'!AA52))</f>
        <v/>
      </c>
      <c r="AB21" s="167" t="str">
        <f>IF(OR(Data!$L$2=1,Data!$L$3=1),IF(OR(Data!CQ55=0,Data!CQ55=""),"","O"&amp;Data!CQ55),IF('ARDT Cutter Entry'!$C$111&lt;&gt;"",'ARDT Cutter Entry'!AB120,'ARDT Cutter Entry'!AB52))</f>
        <v/>
      </c>
      <c r="AC21" s="167" t="str">
        <f>IF(OR(Data!$L$2=1,Data!$L$3=1),IF(OR(Data!CR55=0,Data!CR55=""),"","O"&amp;Data!CR55),IF('ARDT Cutter Entry'!$C$111&lt;&gt;"",'ARDT Cutter Entry'!AC120,'ARDT Cutter Entry'!AC52))</f>
        <v/>
      </c>
      <c r="AD21" s="167" t="str">
        <f>IF(OR(Data!$L$2=1,Data!$L$3=1),IF(OR(Data!CS55=0,Data!CS55=""),"","O"&amp;Data!CS55),IF('ARDT Cutter Entry'!$C$111&lt;&gt;"",'ARDT Cutter Entry'!AD120,'ARDT Cutter Entry'!AD52))</f>
        <v/>
      </c>
      <c r="AE21" s="167" t="str">
        <f>IF(OR(Data!$L$2=1,Data!$L$3=1),IF(OR(Data!CT55=0,Data!CT55=""),"","O"&amp;Data!CT55),IF('ARDT Cutter Entry'!$C$111&lt;&gt;"",'ARDT Cutter Entry'!AE120,'ARDT Cutter Entry'!AE52))</f>
        <v/>
      </c>
      <c r="AF21" s="167" t="str">
        <f>IF(OR(Data!$L$2=1,Data!$L$3=1),IF(OR(Data!CU55=0,Data!CU55=""),"","O"&amp;Data!CU55),IF('ARDT Cutter Entry'!$C$111&lt;&gt;"",'ARDT Cutter Entry'!AF120,'ARDT Cutter Entry'!AF52))</f>
        <v/>
      </c>
      <c r="AG21" s="167" t="str">
        <f>IF(OR(Data!$L$2=1,Data!$L$3=1),IF(OR(Data!CV55=0,Data!CV55=""),"","O"&amp;Data!CV55),IF('ARDT Cutter Entry'!$C$111&lt;&gt;"",'ARDT Cutter Entry'!AG120,'ARDT Cutter Entry'!AG52))</f>
        <v/>
      </c>
      <c r="AH21" s="167" t="str">
        <f>IF(OR(Data!$L$2=1,Data!$L$3=1),IF(OR(Data!CW55=0,Data!CW55=""),"","O"&amp;Data!CW55),IF('ARDT Cutter Entry'!$C$111&lt;&gt;"",'ARDT Cutter Entry'!AH120,'ARDT Cutter Entry'!AH52))</f>
        <v/>
      </c>
      <c r="AI21" s="248" t="str">
        <f>IF(OR(Data!$L$2=1,Data!$L$3=1),IF(OR(Data!CX55=0,Data!CX55=""),"","O"&amp;Data!CX55),IF('ARDT Cutter Entry'!$C$111&lt;&gt;"",'ARDT Cutter Entry'!AI120,'ARDT Cutter Entry'!AI52))</f>
        <v/>
      </c>
    </row>
    <row r="22" spans="1:35" ht="14.15" customHeight="1" x14ac:dyDescent="0.35">
      <c r="A22" s="1869"/>
      <c r="B22" s="435">
        <v>11</v>
      </c>
      <c r="C22" s="233" t="str">
        <f>IF(OR(Data!$L$2=1,Data!$L$3=1),IF(OR(Data!BR56=0,Data!BR56=""),"","O"&amp;Data!BR56),IF('ARDT Cutter Entry'!$C$111&lt;&gt;"",'ARDT Cutter Entry'!C121,'ARDT Cutter Entry'!C53))</f>
        <v/>
      </c>
      <c r="D22" s="167" t="str">
        <f>IF(OR(Data!$L$2=1,Data!$L$3=1),IF(OR(Data!BS56=0,Data!BS56=""),"","O"&amp;Data!BS56),IF('ARDT Cutter Entry'!$C$111&lt;&gt;"",'ARDT Cutter Entry'!D121,'ARDT Cutter Entry'!D53))</f>
        <v/>
      </c>
      <c r="E22" s="167" t="str">
        <f>IF(OR(Data!$L$2=1,Data!$L$3=1),IF(OR(Data!BT56=0,Data!BT56=""),"","O"&amp;Data!BT56),IF('ARDT Cutter Entry'!$C$111&lt;&gt;"",'ARDT Cutter Entry'!E121,'ARDT Cutter Entry'!E53))</f>
        <v/>
      </c>
      <c r="F22" s="167" t="str">
        <f>IF(OR(Data!$L$2=1,Data!$L$3=1),IF(OR(Data!BU56=0,Data!BU56=""),"","O"&amp;Data!BU56),IF('ARDT Cutter Entry'!$C$111&lt;&gt;"",'ARDT Cutter Entry'!F121,'ARDT Cutter Entry'!F53))</f>
        <v/>
      </c>
      <c r="G22" s="167" t="str">
        <f>IF(OR(Data!$L$2=1,Data!$L$3=1),IF(OR(Data!BV56=0,Data!BV56=""),"","O"&amp;Data!BV56),IF('ARDT Cutter Entry'!$C$111&lt;&gt;"",'ARDT Cutter Entry'!G121,'ARDT Cutter Entry'!G53))</f>
        <v/>
      </c>
      <c r="H22" s="167" t="str">
        <f>IF(OR(Data!$L$2=1,Data!$L$3=1),IF(OR(Data!BW56=0,Data!BW56=""),"","O"&amp;Data!BW56),IF('ARDT Cutter Entry'!$C$111&lt;&gt;"",'ARDT Cutter Entry'!H121,'ARDT Cutter Entry'!H53))</f>
        <v/>
      </c>
      <c r="I22" s="167" t="str">
        <f>IF(OR(Data!$L$2=1,Data!$L$3=1),IF(OR(Data!BX56=0,Data!BX56=""),"","O"&amp;Data!BX56),IF('ARDT Cutter Entry'!$C$111&lt;&gt;"",'ARDT Cutter Entry'!I121,'ARDT Cutter Entry'!I53))</f>
        <v/>
      </c>
      <c r="J22" s="167" t="str">
        <f>IF(OR(Data!$L$2=1,Data!$L$3=1),IF(OR(Data!BY56=0,Data!BY56=""),"","O"&amp;Data!BY56),IF('ARDT Cutter Entry'!$C$111&lt;&gt;"",'ARDT Cutter Entry'!J121,'ARDT Cutter Entry'!J53))</f>
        <v/>
      </c>
      <c r="K22" s="167" t="str">
        <f>IF(OR(Data!$L$2=1,Data!$L$3=1),IF(OR(Data!BZ56=0,Data!BZ56=""),"","O"&amp;Data!BZ56),IF('ARDT Cutter Entry'!$C$111&lt;&gt;"",'ARDT Cutter Entry'!K121,'ARDT Cutter Entry'!K53))</f>
        <v/>
      </c>
      <c r="L22" s="167" t="str">
        <f>IF(OR(Data!$L$2=1,Data!$L$3=1),IF(OR(Data!CA56=0,Data!CA56=""),"","O"&amp;Data!CA56),IF('ARDT Cutter Entry'!$C$111&lt;&gt;"",'ARDT Cutter Entry'!L121,'ARDT Cutter Entry'!L53))</f>
        <v/>
      </c>
      <c r="M22" s="167" t="str">
        <f>IF(OR(Data!$L$2=1,Data!$L$3=1),IF(OR(Data!CB56=0,Data!CB56=""),"","O"&amp;Data!CB56),IF('ARDT Cutter Entry'!$C$111&lt;&gt;"",'ARDT Cutter Entry'!M121,'ARDT Cutter Entry'!M53))</f>
        <v/>
      </c>
      <c r="N22" s="167" t="str">
        <f>IF(OR(Data!$L$2=1,Data!$L$3=1),IF(OR(Data!CC56=0,Data!CC56=""),"","O"&amp;Data!CC56),IF('ARDT Cutter Entry'!$C$111&lt;&gt;"",'ARDT Cutter Entry'!N121,'ARDT Cutter Entry'!N53))</f>
        <v/>
      </c>
      <c r="O22" s="167" t="str">
        <f>IF(OR(Data!$L$2=1,Data!$L$3=1),IF(OR(Data!CD56=0,Data!CD56=""),"","O"&amp;Data!CD56),IF('ARDT Cutter Entry'!$C$111&lt;&gt;"",'ARDT Cutter Entry'!O121,'ARDT Cutter Entry'!O53))</f>
        <v/>
      </c>
      <c r="P22" s="167" t="str">
        <f>IF(OR(Data!$L$2=1,Data!$L$3=1),IF(OR(Data!CE56=0,Data!CE56=""),"","O"&amp;Data!CE56),IF('ARDT Cutter Entry'!$C$111&lt;&gt;"",'ARDT Cutter Entry'!P121,'ARDT Cutter Entry'!P53))</f>
        <v/>
      </c>
      <c r="Q22" s="167" t="str">
        <f>IF(OR(Data!$L$2=1,Data!$L$3=1),IF(OR(Data!CF56=0,Data!CF56=""),"","O"&amp;Data!CF56),IF('ARDT Cutter Entry'!$C$111&lt;&gt;"",'ARDT Cutter Entry'!Q121,'ARDT Cutter Entry'!Q53))</f>
        <v/>
      </c>
      <c r="R22" s="167" t="str">
        <f>IF(OR(Data!$L$2=1,Data!$L$3=1),IF(OR(Data!CG56=0,Data!CG56=""),"","O"&amp;Data!CG56),IF('ARDT Cutter Entry'!$C$111&lt;&gt;"",'ARDT Cutter Entry'!R121,'ARDT Cutter Entry'!R53))</f>
        <v/>
      </c>
      <c r="S22" s="167" t="str">
        <f>IF(OR(Data!$L$2=1,Data!$L$3=1),IF(OR(Data!CH56=0,Data!CH56=""),"","O"&amp;Data!CH56),IF('ARDT Cutter Entry'!$C$111&lt;&gt;"",'ARDT Cutter Entry'!S121,'ARDT Cutter Entry'!S53))</f>
        <v/>
      </c>
      <c r="T22" s="167" t="str">
        <f>IF(OR(Data!$L$2=1,Data!$L$3=1),IF(OR(Data!CI56=0,Data!CI56=""),"","O"&amp;Data!CI56),IF('ARDT Cutter Entry'!$C$111&lt;&gt;"",'ARDT Cutter Entry'!T121,'ARDT Cutter Entry'!T53))</f>
        <v/>
      </c>
      <c r="U22" s="167" t="str">
        <f>IF(OR(Data!$L$2=1,Data!$L$3=1),IF(OR(Data!CJ56=0,Data!CJ56=""),"","O"&amp;Data!CJ56),IF('ARDT Cutter Entry'!$C$111&lt;&gt;"",'ARDT Cutter Entry'!U121,'ARDT Cutter Entry'!U53))</f>
        <v/>
      </c>
      <c r="V22" s="167" t="str">
        <f>IF(OR(Data!$L$2=1,Data!$L$3=1),IF(OR(Data!CK56=0,Data!CK56=""),"","O"&amp;Data!CK56),IF('ARDT Cutter Entry'!$C$111&lt;&gt;"",'ARDT Cutter Entry'!V121,'ARDT Cutter Entry'!V53))</f>
        <v/>
      </c>
      <c r="W22" s="167" t="str">
        <f>IF(OR(Data!$L$2=1,Data!$L$3=1),IF(OR(Data!CL56=0,Data!CL56=""),"","O"&amp;Data!CL56),IF('ARDT Cutter Entry'!$C$111&lt;&gt;"",'ARDT Cutter Entry'!W121,'ARDT Cutter Entry'!W53))</f>
        <v/>
      </c>
      <c r="X22" s="167" t="str">
        <f>IF(OR(Data!$L$2=1,Data!$L$3=1),IF(OR(Data!CM56=0,Data!CM56=""),"","O"&amp;Data!CM56),IF('ARDT Cutter Entry'!$C$111&lt;&gt;"",'ARDT Cutter Entry'!X121,'ARDT Cutter Entry'!X53))</f>
        <v/>
      </c>
      <c r="Y22" s="167" t="str">
        <f>IF(OR(Data!$L$2=1,Data!$L$3=1),IF(OR(Data!CN56=0,Data!CN56=""),"","O"&amp;Data!CN56),IF('ARDT Cutter Entry'!$C$111&lt;&gt;"",'ARDT Cutter Entry'!Y121,'ARDT Cutter Entry'!Y53))</f>
        <v/>
      </c>
      <c r="Z22" s="167" t="str">
        <f>IF(OR(Data!$L$2=1,Data!$L$3=1),IF(OR(Data!CO56=0,Data!CO56=""),"","O"&amp;Data!CO56),IF('ARDT Cutter Entry'!$C$111&lt;&gt;"",'ARDT Cutter Entry'!Z121,'ARDT Cutter Entry'!Z53))</f>
        <v/>
      </c>
      <c r="AA22" s="167" t="str">
        <f>IF(OR(Data!$L$2=1,Data!$L$3=1),IF(OR(Data!CP56=0,Data!CP56=""),"","O"&amp;Data!CP56),IF('ARDT Cutter Entry'!$C$111&lt;&gt;"",'ARDT Cutter Entry'!AA121,'ARDT Cutter Entry'!AA53))</f>
        <v/>
      </c>
      <c r="AB22" s="167" t="str">
        <f>IF(OR(Data!$L$2=1,Data!$L$3=1),IF(OR(Data!CQ56=0,Data!CQ56=""),"","O"&amp;Data!CQ56),IF('ARDT Cutter Entry'!$C$111&lt;&gt;"",'ARDT Cutter Entry'!AB121,'ARDT Cutter Entry'!AB53))</f>
        <v/>
      </c>
      <c r="AC22" s="167" t="str">
        <f>IF(OR(Data!$L$2=1,Data!$L$3=1),IF(OR(Data!CR56=0,Data!CR56=""),"","O"&amp;Data!CR56),IF('ARDT Cutter Entry'!$C$111&lt;&gt;"",'ARDT Cutter Entry'!AC121,'ARDT Cutter Entry'!AC53))</f>
        <v/>
      </c>
      <c r="AD22" s="167" t="str">
        <f>IF(OR(Data!$L$2=1,Data!$L$3=1),IF(OR(Data!CS56=0,Data!CS56=""),"","O"&amp;Data!CS56),IF('ARDT Cutter Entry'!$C$111&lt;&gt;"",'ARDT Cutter Entry'!AD121,'ARDT Cutter Entry'!AD53))</f>
        <v/>
      </c>
      <c r="AE22" s="167" t="str">
        <f>IF(OR(Data!$L$2=1,Data!$L$3=1),IF(OR(Data!CT56=0,Data!CT56=""),"","O"&amp;Data!CT56),IF('ARDT Cutter Entry'!$C$111&lt;&gt;"",'ARDT Cutter Entry'!AE121,'ARDT Cutter Entry'!AE53))</f>
        <v/>
      </c>
      <c r="AF22" s="167" t="str">
        <f>IF(OR(Data!$L$2=1,Data!$L$3=1),IF(OR(Data!CU56=0,Data!CU56=""),"","O"&amp;Data!CU56),IF('ARDT Cutter Entry'!$C$111&lt;&gt;"",'ARDT Cutter Entry'!AF121,'ARDT Cutter Entry'!AF53))</f>
        <v/>
      </c>
      <c r="AG22" s="167" t="str">
        <f>IF(OR(Data!$L$2=1,Data!$L$3=1),IF(OR(Data!CV56=0,Data!CV56=""),"","O"&amp;Data!CV56),IF('ARDT Cutter Entry'!$C$111&lt;&gt;"",'ARDT Cutter Entry'!AG121,'ARDT Cutter Entry'!AG53))</f>
        <v/>
      </c>
      <c r="AH22" s="167" t="str">
        <f>IF(OR(Data!$L$2=1,Data!$L$3=1),IF(OR(Data!CW56=0,Data!CW56=""),"","O"&amp;Data!CW56),IF('ARDT Cutter Entry'!$C$111&lt;&gt;"",'ARDT Cutter Entry'!AH121,'ARDT Cutter Entry'!AH53))</f>
        <v/>
      </c>
      <c r="AI22" s="248" t="str">
        <f>IF(OR(Data!$L$2=1,Data!$L$3=1),IF(OR(Data!CX56=0,Data!CX56=""),"","O"&amp;Data!CX56),IF('ARDT Cutter Entry'!$C$111&lt;&gt;"",'ARDT Cutter Entry'!AI121,'ARDT Cutter Entry'!AI53))</f>
        <v/>
      </c>
    </row>
    <row r="23" spans="1:35" ht="14.15" customHeight="1" thickBot="1" x14ac:dyDescent="0.4">
      <c r="A23" s="1870"/>
      <c r="B23" s="548">
        <v>12</v>
      </c>
      <c r="C23" s="249" t="str">
        <f>IF(OR(Data!$L$2=1,Data!$L$3=1),IF(OR(Data!BR57=0,Data!BR57=""),"","O"&amp;Data!BR57),IF('ARDT Cutter Entry'!$C$111&lt;&gt;"",'ARDT Cutter Entry'!C122,'ARDT Cutter Entry'!C54))</f>
        <v/>
      </c>
      <c r="D23" s="250" t="str">
        <f>IF(OR(Data!$L$2=1,Data!$L$3=1),IF(OR(Data!BS57=0,Data!BS57=""),"","O"&amp;Data!BS57),IF('ARDT Cutter Entry'!$C$111&lt;&gt;"",'ARDT Cutter Entry'!D122,'ARDT Cutter Entry'!D54))</f>
        <v/>
      </c>
      <c r="E23" s="250" t="str">
        <f>IF(OR(Data!$L$2=1,Data!$L$3=1),IF(OR(Data!BT57=0,Data!BT57=""),"","O"&amp;Data!BT57),IF('ARDT Cutter Entry'!$C$111&lt;&gt;"",'ARDT Cutter Entry'!E122,'ARDT Cutter Entry'!E54))</f>
        <v/>
      </c>
      <c r="F23" s="250" t="str">
        <f>IF(OR(Data!$L$2=1,Data!$L$3=1),IF(OR(Data!BU57=0,Data!BU57=""),"","O"&amp;Data!BU57),IF('ARDT Cutter Entry'!$C$111&lt;&gt;"",'ARDT Cutter Entry'!F122,'ARDT Cutter Entry'!F54))</f>
        <v/>
      </c>
      <c r="G23" s="250" t="str">
        <f>IF(OR(Data!$L$2=1,Data!$L$3=1),IF(OR(Data!BV57=0,Data!BV57=""),"","O"&amp;Data!BV57),IF('ARDT Cutter Entry'!$C$111&lt;&gt;"",'ARDT Cutter Entry'!G122,'ARDT Cutter Entry'!G54))</f>
        <v/>
      </c>
      <c r="H23" s="250" t="str">
        <f>IF(OR(Data!$L$2=1,Data!$L$3=1),IF(OR(Data!BW57=0,Data!BW57=""),"","O"&amp;Data!BW57),IF('ARDT Cutter Entry'!$C$111&lt;&gt;"",'ARDT Cutter Entry'!H122,'ARDT Cutter Entry'!H54))</f>
        <v/>
      </c>
      <c r="I23" s="250" t="str">
        <f>IF(OR(Data!$L$2=1,Data!$L$3=1),IF(OR(Data!BX57=0,Data!BX57=""),"","O"&amp;Data!BX57),IF('ARDT Cutter Entry'!$C$111&lt;&gt;"",'ARDT Cutter Entry'!I122,'ARDT Cutter Entry'!I54))</f>
        <v/>
      </c>
      <c r="J23" s="250" t="str">
        <f>IF(OR(Data!$L$2=1,Data!$L$3=1),IF(OR(Data!BY57=0,Data!BY57=""),"","O"&amp;Data!BY57),IF('ARDT Cutter Entry'!$C$111&lt;&gt;"",'ARDT Cutter Entry'!J122,'ARDT Cutter Entry'!J54))</f>
        <v/>
      </c>
      <c r="K23" s="250" t="str">
        <f>IF(OR(Data!$L$2=1,Data!$L$3=1),IF(OR(Data!BZ57=0,Data!BZ57=""),"","O"&amp;Data!BZ57),IF('ARDT Cutter Entry'!$C$111&lt;&gt;"",'ARDT Cutter Entry'!K122,'ARDT Cutter Entry'!K54))</f>
        <v/>
      </c>
      <c r="L23" s="250" t="str">
        <f>IF(OR(Data!$L$2=1,Data!$L$3=1),IF(OR(Data!CA57=0,Data!CA57=""),"","O"&amp;Data!CA57),IF('ARDT Cutter Entry'!$C$111&lt;&gt;"",'ARDT Cutter Entry'!L122,'ARDT Cutter Entry'!L54))</f>
        <v/>
      </c>
      <c r="M23" s="250" t="str">
        <f>IF(OR(Data!$L$2=1,Data!$L$3=1),IF(OR(Data!CB57=0,Data!CB57=""),"","O"&amp;Data!CB57),IF('ARDT Cutter Entry'!$C$111&lt;&gt;"",'ARDT Cutter Entry'!M122,'ARDT Cutter Entry'!M54))</f>
        <v/>
      </c>
      <c r="N23" s="250" t="str">
        <f>IF(OR(Data!$L$2=1,Data!$L$3=1),IF(OR(Data!CC57=0,Data!CC57=""),"","O"&amp;Data!CC57),IF('ARDT Cutter Entry'!$C$111&lt;&gt;"",'ARDT Cutter Entry'!N122,'ARDT Cutter Entry'!N54))</f>
        <v/>
      </c>
      <c r="O23" s="250" t="str">
        <f>IF(OR(Data!$L$2=1,Data!$L$3=1),IF(OR(Data!CD57=0,Data!CD57=""),"","O"&amp;Data!CD57),IF('ARDT Cutter Entry'!$C$111&lt;&gt;"",'ARDT Cutter Entry'!O122,'ARDT Cutter Entry'!O54))</f>
        <v/>
      </c>
      <c r="P23" s="250" t="str">
        <f>IF(OR(Data!$L$2=1,Data!$L$3=1),IF(OR(Data!CE57=0,Data!CE57=""),"","O"&amp;Data!CE57),IF('ARDT Cutter Entry'!$C$111&lt;&gt;"",'ARDT Cutter Entry'!P122,'ARDT Cutter Entry'!P54))</f>
        <v/>
      </c>
      <c r="Q23" s="250" t="str">
        <f>IF(OR(Data!$L$2=1,Data!$L$3=1),IF(OR(Data!CF57=0,Data!CF57=""),"","O"&amp;Data!CF57),IF('ARDT Cutter Entry'!$C$111&lt;&gt;"",'ARDT Cutter Entry'!Q122,'ARDT Cutter Entry'!Q54))</f>
        <v/>
      </c>
      <c r="R23" s="250" t="str">
        <f>IF(OR(Data!$L$2=1,Data!$L$3=1),IF(OR(Data!CG57=0,Data!CG57=""),"","O"&amp;Data!CG57),IF('ARDT Cutter Entry'!$C$111&lt;&gt;"",'ARDT Cutter Entry'!R122,'ARDT Cutter Entry'!R54))</f>
        <v/>
      </c>
      <c r="S23" s="250" t="str">
        <f>IF(OR(Data!$L$2=1,Data!$L$3=1),IF(OR(Data!CH57=0,Data!CH57=""),"","O"&amp;Data!CH57),IF('ARDT Cutter Entry'!$C$111&lt;&gt;"",'ARDT Cutter Entry'!S122,'ARDT Cutter Entry'!S54))</f>
        <v/>
      </c>
      <c r="T23" s="250" t="str">
        <f>IF(OR(Data!$L$2=1,Data!$L$3=1),IF(OR(Data!CI57=0,Data!CI57=""),"","O"&amp;Data!CI57),IF('ARDT Cutter Entry'!$C$111&lt;&gt;"",'ARDT Cutter Entry'!T122,'ARDT Cutter Entry'!T54))</f>
        <v/>
      </c>
      <c r="U23" s="250" t="str">
        <f>IF(OR(Data!$L$2=1,Data!$L$3=1),IF(OR(Data!CJ57=0,Data!CJ57=""),"","O"&amp;Data!CJ57),IF('ARDT Cutter Entry'!$C$111&lt;&gt;"",'ARDT Cutter Entry'!U122,'ARDT Cutter Entry'!U54))</f>
        <v/>
      </c>
      <c r="V23" s="250" t="str">
        <f>IF(OR(Data!$L$2=1,Data!$L$3=1),IF(OR(Data!CK57=0,Data!CK57=""),"","O"&amp;Data!CK57),IF('ARDT Cutter Entry'!$C$111&lt;&gt;"",'ARDT Cutter Entry'!V122,'ARDT Cutter Entry'!V54))</f>
        <v/>
      </c>
      <c r="W23" s="250" t="str">
        <f>IF(OR(Data!$L$2=1,Data!$L$3=1),IF(OR(Data!CL57=0,Data!CL57=""),"","O"&amp;Data!CL57),IF('ARDT Cutter Entry'!$C$111&lt;&gt;"",'ARDT Cutter Entry'!W122,'ARDT Cutter Entry'!W54))</f>
        <v/>
      </c>
      <c r="X23" s="250" t="str">
        <f>IF(OR(Data!$L$2=1,Data!$L$3=1),IF(OR(Data!CM57=0,Data!CM57=""),"","O"&amp;Data!CM57),IF('ARDT Cutter Entry'!$C$111&lt;&gt;"",'ARDT Cutter Entry'!X122,'ARDT Cutter Entry'!X54))</f>
        <v/>
      </c>
      <c r="Y23" s="250" t="str">
        <f>IF(OR(Data!$L$2=1,Data!$L$3=1),IF(OR(Data!CN57=0,Data!CN57=""),"","O"&amp;Data!CN57),IF('ARDT Cutter Entry'!$C$111&lt;&gt;"",'ARDT Cutter Entry'!Y122,'ARDT Cutter Entry'!Y54))</f>
        <v/>
      </c>
      <c r="Z23" s="250" t="str">
        <f>IF(OR(Data!$L$2=1,Data!$L$3=1),IF(OR(Data!CO57=0,Data!CO57=""),"","O"&amp;Data!CO57),IF('ARDT Cutter Entry'!$C$111&lt;&gt;"",'ARDT Cutter Entry'!Z122,'ARDT Cutter Entry'!Z54))</f>
        <v/>
      </c>
      <c r="AA23" s="250" t="str">
        <f>IF(OR(Data!$L$2=1,Data!$L$3=1),IF(OR(Data!CP57=0,Data!CP57=""),"","O"&amp;Data!CP57),IF('ARDT Cutter Entry'!$C$111&lt;&gt;"",'ARDT Cutter Entry'!AA122,'ARDT Cutter Entry'!AA54))</f>
        <v/>
      </c>
      <c r="AB23" s="250" t="str">
        <f>IF(OR(Data!$L$2=1,Data!$L$3=1),IF(OR(Data!CQ57=0,Data!CQ57=""),"","O"&amp;Data!CQ57),IF('ARDT Cutter Entry'!$C$111&lt;&gt;"",'ARDT Cutter Entry'!AB122,'ARDT Cutter Entry'!AB54))</f>
        <v/>
      </c>
      <c r="AC23" s="250" t="str">
        <f>IF(OR(Data!$L$2=1,Data!$L$3=1),IF(OR(Data!CR57=0,Data!CR57=""),"","O"&amp;Data!CR57),IF('ARDT Cutter Entry'!$C$111&lt;&gt;"",'ARDT Cutter Entry'!AC122,'ARDT Cutter Entry'!AC54))</f>
        <v/>
      </c>
      <c r="AD23" s="250" t="str">
        <f>IF(OR(Data!$L$2=1,Data!$L$3=1),IF(OR(Data!CS57=0,Data!CS57=""),"","O"&amp;Data!CS57),IF('ARDT Cutter Entry'!$C$111&lt;&gt;"",'ARDT Cutter Entry'!AD122,'ARDT Cutter Entry'!AD54))</f>
        <v/>
      </c>
      <c r="AE23" s="250" t="str">
        <f>IF(OR(Data!$L$2=1,Data!$L$3=1),IF(OR(Data!CT57=0,Data!CT57=""),"","O"&amp;Data!CT57),IF('ARDT Cutter Entry'!$C$111&lt;&gt;"",'ARDT Cutter Entry'!AE122,'ARDT Cutter Entry'!AE54))</f>
        <v/>
      </c>
      <c r="AF23" s="250" t="str">
        <f>IF(OR(Data!$L$2=1,Data!$L$3=1),IF(OR(Data!CU57=0,Data!CU57=""),"","O"&amp;Data!CU57),IF('ARDT Cutter Entry'!$C$111&lt;&gt;"",'ARDT Cutter Entry'!AF122,'ARDT Cutter Entry'!AF54))</f>
        <v/>
      </c>
      <c r="AG23" s="250" t="str">
        <f>IF(OR(Data!$L$2=1,Data!$L$3=1),IF(OR(Data!CV57=0,Data!CV57=""),"","O"&amp;Data!CV57),IF('ARDT Cutter Entry'!$C$111&lt;&gt;"",'ARDT Cutter Entry'!AG122,'ARDT Cutter Entry'!AG54))</f>
        <v/>
      </c>
      <c r="AH23" s="250" t="str">
        <f>IF(OR(Data!$L$2=1,Data!$L$3=1),IF(OR(Data!CW57=0,Data!CW57=""),"","O"&amp;Data!CW57),IF('ARDT Cutter Entry'!$C$111&lt;&gt;"",'ARDT Cutter Entry'!AH122,'ARDT Cutter Entry'!AH54))</f>
        <v/>
      </c>
      <c r="AI23" s="251" t="str">
        <f>IF(OR(Data!$L$2=1,Data!$L$3=1),IF(OR(Data!CX57=0,Data!CX57=""),"","O"&amp;Data!CX57),IF('ARDT Cutter Entry'!$C$111&lt;&gt;"",'ARDT Cutter Entry'!AI122,'ARDT Cutter Entry'!AI54))</f>
        <v/>
      </c>
    </row>
    <row r="24" spans="1:35" ht="5.15" customHeight="1" thickBot="1" x14ac:dyDescent="0.4">
      <c r="A24" s="450"/>
      <c r="B24" s="450"/>
      <c r="C24" s="450"/>
      <c r="D24" s="450"/>
      <c r="E24" s="449"/>
      <c r="F24" s="449"/>
      <c r="G24" s="449"/>
      <c r="H24" s="449"/>
      <c r="I24" s="449"/>
      <c r="J24" s="449"/>
      <c r="K24" s="451"/>
      <c r="L24" s="451"/>
      <c r="M24" s="453"/>
      <c r="N24" s="453"/>
      <c r="O24" s="453"/>
      <c r="P24" s="453"/>
      <c r="Q24" s="453"/>
      <c r="R24" s="453"/>
      <c r="S24" s="454"/>
      <c r="T24" s="451"/>
      <c r="U24" s="451"/>
      <c r="V24" s="449"/>
      <c r="W24" s="449"/>
      <c r="X24" s="449"/>
      <c r="Y24" s="452"/>
      <c r="Z24" s="452"/>
      <c r="AB24" s="454"/>
      <c r="AC24" s="451"/>
      <c r="AD24" s="451"/>
      <c r="AE24" s="449"/>
      <c r="AF24" s="449"/>
      <c r="AG24" s="449"/>
      <c r="AH24" s="452"/>
      <c r="AI24" s="452"/>
    </row>
    <row r="25" spans="1:35" ht="15.75" customHeight="1" thickBot="1" x14ac:dyDescent="0.4">
      <c r="A25" s="1827" t="s">
        <v>795</v>
      </c>
      <c r="B25" s="1827"/>
      <c r="C25" s="1827"/>
      <c r="D25" s="1827"/>
      <c r="E25" s="1818" t="str">
        <f>IF(Data!B11&lt;&gt;"",Data!B11," ")</f>
        <v>Yakoob Alajawad</v>
      </c>
      <c r="F25" s="1818"/>
      <c r="G25" s="1818"/>
      <c r="H25" s="1818"/>
      <c r="I25" s="1827" t="s">
        <v>796</v>
      </c>
      <c r="J25" s="1827"/>
      <c r="K25" s="1847" t="str">
        <f>IF(Data!B12&lt;&gt;"",Data!B12," ")</f>
        <v>Ali Alhammad</v>
      </c>
      <c r="L25" s="1847"/>
      <c r="M25" s="1847"/>
      <c r="N25" s="1847"/>
      <c r="O25" s="1819" t="s">
        <v>36</v>
      </c>
      <c r="P25" s="1819"/>
      <c r="Q25" s="1828">
        <f>IF(Data!B13&lt;&gt;"",Data!B13," ")</f>
        <v>46022</v>
      </c>
      <c r="R25" s="1828"/>
      <c r="S25" s="1828"/>
      <c r="T25" s="1828"/>
      <c r="U25" s="451"/>
      <c r="V25" s="1679" t="s">
        <v>847</v>
      </c>
      <c r="W25" s="1679"/>
      <c r="X25" s="1679"/>
      <c r="Y25" s="464" t="str">
        <f>IF(Data!G32=1,"",IF(Data!B5&lt;&gt;"",IF(OR(AG25="√",AC25="√"),"","√"),""))</f>
        <v>√</v>
      </c>
      <c r="Z25" s="1679" t="s">
        <v>848</v>
      </c>
      <c r="AA25" s="1679"/>
      <c r="AB25" s="1680"/>
      <c r="AC25" s="464" t="str">
        <f>IF(OR(Data!L4=1,Data!L5=1), "√", "")</f>
        <v/>
      </c>
      <c r="AD25" s="1679" t="s">
        <v>849</v>
      </c>
      <c r="AE25" s="1679"/>
      <c r="AF25" s="1679"/>
      <c r="AG25" s="464" t="str">
        <f>IF(OR(Data!L2=1,Data!L3=1),"√","")</f>
        <v/>
      </c>
      <c r="AH25" s="450"/>
      <c r="AI25" s="452"/>
    </row>
    <row r="26" spans="1:35" ht="5.15" customHeight="1" thickBot="1" x14ac:dyDescent="0.4">
      <c r="A26" s="450"/>
      <c r="B26" s="450"/>
      <c r="C26" s="450"/>
      <c r="D26" s="450"/>
      <c r="E26" s="449"/>
      <c r="F26" s="449"/>
      <c r="G26" s="449"/>
      <c r="H26" s="449"/>
      <c r="I26" s="449"/>
      <c r="J26" s="449"/>
      <c r="K26" s="451"/>
      <c r="L26" s="451"/>
      <c r="M26" s="453"/>
      <c r="N26" s="453"/>
      <c r="O26" s="453"/>
      <c r="P26" s="453"/>
      <c r="Q26" s="453"/>
      <c r="R26" s="453"/>
      <c r="S26" s="454"/>
      <c r="T26" s="451"/>
      <c r="U26" s="451"/>
      <c r="V26" s="449"/>
      <c r="W26" s="449"/>
      <c r="X26" s="449"/>
      <c r="Y26" s="452"/>
      <c r="Z26" s="452"/>
      <c r="AB26" s="454"/>
      <c r="AC26" s="451"/>
      <c r="AD26" s="451"/>
      <c r="AE26" s="449"/>
      <c r="AF26" s="449"/>
      <c r="AG26" s="449"/>
      <c r="AH26" s="452"/>
      <c r="AI26" s="452"/>
    </row>
    <row r="27" spans="1:35" ht="12.75" customHeight="1" x14ac:dyDescent="0.35">
      <c r="A27" s="1815" t="s">
        <v>1047</v>
      </c>
      <c r="B27" s="1813"/>
      <c r="C27" s="1813"/>
      <c r="D27" s="1813" t="s">
        <v>1048</v>
      </c>
      <c r="E27" s="1813"/>
      <c r="F27" s="1813" t="s">
        <v>1049</v>
      </c>
      <c r="G27" s="1813"/>
      <c r="H27" s="1813" t="s">
        <v>1050</v>
      </c>
      <c r="I27" s="1813"/>
      <c r="J27" s="1659" t="s">
        <v>1051</v>
      </c>
      <c r="K27" s="1659"/>
      <c r="L27" s="1813" t="s">
        <v>1052</v>
      </c>
      <c r="M27" s="1813"/>
      <c r="N27" s="1813" t="s">
        <v>21</v>
      </c>
      <c r="O27" s="1814"/>
      <c r="R27" s="1815" t="str">
        <f>IF(COUNTIF(N7,"S*"),"P.H.F.-P","P.B.U.-P")</f>
        <v>P.B.U.-P</v>
      </c>
      <c r="S27" s="1813"/>
      <c r="T27" s="1813"/>
      <c r="U27" s="1813" t="str">
        <f>IF(COUNTIF(N7,"S*"),"F.H.F.-V","F.B.U.-V")</f>
        <v>F.B.U.-V</v>
      </c>
      <c r="V27" s="1813"/>
      <c r="W27" s="1813"/>
      <c r="X27" s="1813" t="str">
        <f>IF(COUNTIF(N7,"S*"),"IA.H.F.-I","IA.B.U.-I")</f>
        <v>IA.B.U.-I</v>
      </c>
      <c r="Y27" s="1813"/>
      <c r="Z27" s="1814"/>
    </row>
    <row r="28" spans="1:35" ht="12.75" customHeight="1" thickBot="1" x14ac:dyDescent="0.4">
      <c r="A28" s="1816">
        <f>IF(OR(Data!L2=1,Data!L3=1),0,IF('Eng. Cutter Entry'!C4&lt;&gt;"",'ARDT Cutter Entry'!BI62,'ARDT Cutter Entry'!BI6))</f>
        <v>25</v>
      </c>
      <c r="B28" s="1817"/>
      <c r="C28" s="1817"/>
      <c r="D28" s="1817">
        <f>IF(OR(Data!L2=1,Data!L3=1),0,IF('Eng. Cutter Entry'!C4&lt;&gt;"",'ARDT Cutter Entry'!BI63,'ARDT Cutter Entry'!BI7))</f>
        <v>4</v>
      </c>
      <c r="E28" s="1817"/>
      <c r="F28" s="1817">
        <f>IF(OR(Data!L2=1,Data!L3=1),Data!BO63,IF('Eng. Cutter Entry'!C4&lt;&gt;"",'ARDT Cutter Entry'!BI65,'ARDT Cutter Entry'!BI9))</f>
        <v>0</v>
      </c>
      <c r="G28" s="1817"/>
      <c r="H28" s="1817">
        <f>IF(OR(Data!L2=1,Data!L3=1),0,IF('Eng. Cutter Entry'!C4&lt;&gt;"",'ARDT Cutter Entry'!BI64,'ARDT Cutter Entry'!BI8))</f>
        <v>0</v>
      </c>
      <c r="I28" s="1817"/>
      <c r="J28" s="1817">
        <f>IF(OR(Data!L2=1,Data!L3=1),0,IF('Eng. Cutter Entry'!C4&lt;&gt;"",'ARDT Cutter Entry'!BI58+'ARDT Cutter Entry'!BI59,'ARDT Cutter Entry'!BI2+'ARDT Cutter Entry'!BI3))</f>
        <v>33</v>
      </c>
      <c r="K28" s="1817"/>
      <c r="L28" s="1817">
        <f>IF(OR(Data!L2=1,Data!L3=1),0,IF('Eng. Cutter Entry'!C4&lt;&gt;"",'ARDT Cutter Entry'!BI60+'ARDT Cutter Entry'!BI61,'ARDT Cutter Entry'!BI4+'ARDT Cutter Entry'!BI5))</f>
        <v>0</v>
      </c>
      <c r="M28" s="1817"/>
      <c r="N28" s="1817">
        <f>IF(Data!BO63&lt;&gt;"",Data!BO63," ")</f>
        <v>62</v>
      </c>
      <c r="O28" s="1829"/>
      <c r="R28" s="1816">
        <f>IF(OR(Data!L2=1,Data!L3=1),0,IF('Eng. Cutter Entry'!C4&lt;&gt;"",'ARDT Cutter Entry'!AL62,'ARDT Cutter Entry'!AL2))</f>
        <v>0</v>
      </c>
      <c r="S28" s="1817"/>
      <c r="T28" s="1817"/>
      <c r="U28" s="1817">
        <f>IF(OR(Data!L2=1,Data!L3=1),0,IF('Eng. Cutter Entry'!C4&lt;&gt;"",'ARDT Cutter Entry'!AL64,'ARDT Cutter Entry'!AL4))</f>
        <v>0</v>
      </c>
      <c r="V28" s="1817"/>
      <c r="W28" s="1817"/>
      <c r="X28" s="1817">
        <f>IF(OR(Data!L2=1,Data!L3=1),0,IF('Eng. Cutter Entry'!C4&lt;&gt;"",'ARDT Cutter Entry'!AL63,'ARDT Cutter Entry'!AL3))</f>
        <v>0</v>
      </c>
      <c r="Y28" s="1817"/>
      <c r="Z28" s="1829"/>
    </row>
    <row r="29" spans="1:35" ht="7.5" customHeight="1" x14ac:dyDescent="0.35">
      <c r="A29" s="1872" t="s">
        <v>19</v>
      </c>
      <c r="B29" s="1872"/>
      <c r="C29" s="1872"/>
      <c r="D29" s="1687" t="str">
        <f>IF(Data!L2=1,"The bit is Rerunable, No need for repair. ",IF('ARDT Cutter Entry'!Y57=1,"Accepted as rerun by LSTK engineer",IF('ARDT Cutter Entry'!D21&lt;&gt;"",'ARDT Cutter Entry'!D21," ")))</f>
        <v xml:space="preserve">Shank need clean. Pinface and mud seal need buffing.  </v>
      </c>
      <c r="E29" s="1687"/>
      <c r="F29" s="1687"/>
      <c r="G29" s="1687"/>
      <c r="H29" s="1687"/>
      <c r="I29" s="1687"/>
      <c r="J29" s="1687"/>
      <c r="K29" s="1687"/>
      <c r="L29" s="1687"/>
      <c r="M29" s="1687"/>
      <c r="N29" s="1687"/>
      <c r="O29" s="1687"/>
      <c r="P29" s="1687"/>
      <c r="Q29" s="1687"/>
      <c r="R29" s="1687"/>
      <c r="S29" s="1687"/>
      <c r="T29" s="1687"/>
      <c r="U29" s="1687"/>
      <c r="V29" s="1687"/>
      <c r="W29" s="1687"/>
      <c r="X29" s="1687"/>
      <c r="Y29" s="1687"/>
      <c r="Z29" s="1687"/>
      <c r="AA29" s="1687"/>
      <c r="AB29" s="1687"/>
      <c r="AC29" s="1687"/>
      <c r="AD29" s="1687"/>
      <c r="AE29" s="1687"/>
      <c r="AF29" s="1687"/>
      <c r="AG29" s="1687"/>
      <c r="AH29" s="1687"/>
      <c r="AI29" s="1687"/>
    </row>
    <row r="30" spans="1:35" ht="7.5" customHeight="1" x14ac:dyDescent="0.35">
      <c r="A30" s="1802" t="str">
        <f>IF(Instructions!$L$1&lt;&gt;"",Instructions!$L$1,"")</f>
        <v/>
      </c>
      <c r="B30" s="1802"/>
      <c r="C30" s="1802"/>
      <c r="D30" s="1687"/>
      <c r="E30" s="1687"/>
      <c r="F30" s="1687"/>
      <c r="G30" s="1687"/>
      <c r="H30" s="1687"/>
      <c r="I30" s="1687"/>
      <c r="J30" s="1687"/>
      <c r="K30" s="1687"/>
      <c r="L30" s="1687"/>
      <c r="M30" s="1687"/>
      <c r="N30" s="1687"/>
      <c r="O30" s="1687"/>
      <c r="P30" s="1687"/>
      <c r="Q30" s="1687"/>
      <c r="R30" s="1687"/>
      <c r="S30" s="1687"/>
      <c r="T30" s="1687"/>
      <c r="U30" s="1687"/>
      <c r="V30" s="1687"/>
      <c r="W30" s="1687"/>
      <c r="X30" s="1687"/>
      <c r="Y30" s="1687"/>
      <c r="Z30" s="1687"/>
      <c r="AA30" s="1687"/>
      <c r="AB30" s="1687"/>
      <c r="AC30" s="1687"/>
      <c r="AD30" s="1687"/>
      <c r="AE30" s="1687"/>
      <c r="AF30" s="1687"/>
      <c r="AG30" s="1687"/>
      <c r="AH30" s="1687"/>
      <c r="AI30" s="1687"/>
    </row>
    <row r="31" spans="1:35" ht="7.5" customHeight="1" x14ac:dyDescent="0.35">
      <c r="A31" s="1802"/>
      <c r="B31" s="1802"/>
      <c r="C31" s="1802"/>
      <c r="D31" s="1687"/>
      <c r="E31" s="1687"/>
      <c r="F31" s="1687"/>
      <c r="G31" s="1687"/>
      <c r="H31" s="1687"/>
      <c r="I31" s="1687"/>
      <c r="J31" s="1687"/>
      <c r="K31" s="1687"/>
      <c r="L31" s="1687"/>
      <c r="M31" s="1687"/>
      <c r="N31" s="1687"/>
      <c r="O31" s="1687"/>
      <c r="P31" s="1687"/>
      <c r="Q31" s="1687"/>
      <c r="R31" s="1687"/>
      <c r="S31" s="1687"/>
      <c r="T31" s="1687"/>
      <c r="U31" s="1687"/>
      <c r="V31" s="1687"/>
      <c r="W31" s="1687"/>
      <c r="X31" s="1687"/>
      <c r="Y31" s="1687"/>
      <c r="Z31" s="1687"/>
      <c r="AA31" s="1687"/>
      <c r="AB31" s="1687"/>
      <c r="AC31" s="1687"/>
      <c r="AD31" s="1687"/>
      <c r="AE31" s="1687"/>
      <c r="AF31" s="1687"/>
      <c r="AG31" s="1687"/>
      <c r="AH31" s="1687"/>
      <c r="AI31" s="1687"/>
    </row>
    <row r="32" spans="1:35" ht="4.5" customHeight="1" x14ac:dyDescent="0.35">
      <c r="A32" s="450"/>
      <c r="B32" s="450"/>
      <c r="C32" s="450"/>
      <c r="D32" s="450"/>
      <c r="E32" s="449"/>
      <c r="F32" s="449"/>
      <c r="G32" s="449"/>
      <c r="H32" s="449"/>
      <c r="I32" s="449"/>
      <c r="J32" s="449"/>
      <c r="K32" s="451"/>
      <c r="L32" s="451"/>
      <c r="M32" s="453"/>
      <c r="N32" s="453"/>
      <c r="O32" s="453"/>
      <c r="P32" s="453"/>
      <c r="Q32" s="453"/>
      <c r="R32" s="453"/>
      <c r="S32" s="454"/>
      <c r="T32" s="451"/>
      <c r="U32" s="451"/>
      <c r="V32" s="449"/>
      <c r="W32" s="449"/>
      <c r="X32" s="449"/>
      <c r="Y32" s="452"/>
      <c r="Z32" s="452"/>
      <c r="AB32" s="454"/>
      <c r="AC32" s="451"/>
      <c r="AD32" s="451"/>
      <c r="AE32" s="449"/>
      <c r="AF32" s="449"/>
      <c r="AG32" s="449"/>
      <c r="AH32" s="452"/>
      <c r="AI32" s="452"/>
    </row>
    <row r="33" spans="1:35" ht="14.25" customHeight="1" x14ac:dyDescent="0.35">
      <c r="B33" s="1673" t="s">
        <v>729</v>
      </c>
      <c r="C33" s="1673"/>
      <c r="D33" s="1673"/>
      <c r="E33" s="1673"/>
      <c r="F33" s="1673"/>
      <c r="G33" s="1673"/>
      <c r="H33" s="1847" t="str">
        <f>IF(Data!B14&lt;&gt;"",Data!B14," ")</f>
        <v xml:space="preserve"> </v>
      </c>
      <c r="I33" s="1847"/>
      <c r="J33" s="1847"/>
      <c r="K33" s="1847"/>
      <c r="L33" s="1847"/>
      <c r="O33" s="1827" t="s">
        <v>36</v>
      </c>
      <c r="P33" s="1827"/>
      <c r="Q33" s="1828" t="str">
        <f>IF(Data!B15&lt;&gt;"",Data!B15," ")</f>
        <v xml:space="preserve"> </v>
      </c>
      <c r="R33" s="1828"/>
      <c r="S33" s="1828"/>
      <c r="T33" s="1828"/>
      <c r="V33" s="450"/>
      <c r="W33" s="450"/>
      <c r="X33" s="450"/>
      <c r="Y33" s="450"/>
      <c r="Z33" s="452"/>
      <c r="AE33" s="450"/>
      <c r="AF33" s="450"/>
      <c r="AG33" s="450"/>
      <c r="AH33" s="450"/>
      <c r="AI33" s="452"/>
    </row>
    <row r="34" spans="1:35" ht="3" customHeight="1" thickBot="1" x14ac:dyDescent="0.4">
      <c r="A34" s="456"/>
      <c r="B34" s="456"/>
      <c r="C34" s="456"/>
      <c r="D34" s="456"/>
      <c r="E34" s="456"/>
      <c r="F34" s="456"/>
      <c r="G34" s="456"/>
      <c r="H34" s="456"/>
      <c r="I34" s="456"/>
      <c r="J34" s="456"/>
      <c r="K34" s="456"/>
      <c r="L34" s="456"/>
      <c r="M34" s="456"/>
      <c r="N34" s="456"/>
      <c r="O34" s="456"/>
      <c r="S34" s="456"/>
      <c r="T34" s="456"/>
      <c r="U34" s="456"/>
      <c r="V34" s="456"/>
      <c r="W34" s="456"/>
      <c r="X34" s="456"/>
      <c r="Y34" s="455"/>
      <c r="Z34" s="455"/>
      <c r="AB34" s="456"/>
      <c r="AC34" s="456"/>
      <c r="AD34" s="456"/>
      <c r="AE34" s="456"/>
      <c r="AF34" s="456"/>
      <c r="AG34" s="456"/>
      <c r="AH34" s="455"/>
      <c r="AI34" s="455"/>
    </row>
    <row r="35" spans="1:35" ht="12.75" customHeight="1" thickBot="1" x14ac:dyDescent="0.4">
      <c r="A35" s="1864" t="s">
        <v>39</v>
      </c>
      <c r="B35" s="1865"/>
      <c r="C35" s="1865"/>
      <c r="D35" s="1865"/>
      <c r="E35" s="1865"/>
      <c r="F35" s="1865"/>
      <c r="G35" s="1865"/>
      <c r="H35" s="1865"/>
      <c r="I35" s="1865"/>
      <c r="J35" s="1865"/>
      <c r="K35" s="1865"/>
      <c r="L35" s="1865"/>
      <c r="M35" s="1865"/>
      <c r="N35" s="1865"/>
      <c r="O35" s="1865"/>
      <c r="P35" s="1865"/>
      <c r="Q35" s="1865"/>
      <c r="R35" s="1865"/>
      <c r="S35" s="1865"/>
      <c r="T35" s="1865"/>
      <c r="U35" s="1865"/>
      <c r="V35" s="1865"/>
      <c r="W35" s="1865"/>
      <c r="X35" s="1865"/>
      <c r="Y35" s="1865"/>
      <c r="Z35" s="1865"/>
      <c r="AA35" s="1865"/>
      <c r="AB35" s="1865"/>
      <c r="AC35" s="1865"/>
      <c r="AD35" s="1865"/>
      <c r="AE35" s="1865"/>
      <c r="AF35" s="1865"/>
      <c r="AG35" s="1865"/>
      <c r="AH35" s="1865"/>
      <c r="AI35" s="1866"/>
    </row>
    <row r="36" spans="1:35" ht="6.75" customHeight="1" x14ac:dyDescent="0.35">
      <c r="A36" s="1880" t="s">
        <v>108</v>
      </c>
      <c r="B36" s="1881"/>
      <c r="C36" s="1657" t="s">
        <v>40</v>
      </c>
      <c r="D36" s="1647"/>
      <c r="E36" s="1884"/>
      <c r="F36" s="1888" t="s">
        <v>41</v>
      </c>
      <c r="G36" s="1889"/>
      <c r="H36" s="1889"/>
      <c r="I36" s="1890"/>
      <c r="J36" s="1888" t="s">
        <v>730</v>
      </c>
      <c r="K36" s="1889"/>
      <c r="L36" s="1889"/>
      <c r="M36" s="1890"/>
      <c r="N36" s="1894" t="s">
        <v>43</v>
      </c>
      <c r="O36" s="1895"/>
      <c r="P36" s="1895"/>
      <c r="Q36" s="1895"/>
      <c r="R36" s="1895"/>
      <c r="S36" s="1895"/>
      <c r="T36" s="1895"/>
      <c r="U36" s="1895"/>
      <c r="V36" s="1895"/>
      <c r="W36" s="1895"/>
      <c r="X36" s="1895"/>
      <c r="Y36" s="1896"/>
      <c r="Z36" s="1871" t="s">
        <v>727</v>
      </c>
      <c r="AA36" s="1872"/>
      <c r="AB36" s="1872"/>
      <c r="AC36" s="1872"/>
      <c r="AD36" s="1873"/>
      <c r="AE36" s="1871" t="s">
        <v>728</v>
      </c>
      <c r="AF36" s="1872"/>
      <c r="AG36" s="1872"/>
      <c r="AH36" s="1872"/>
      <c r="AI36" s="1873"/>
    </row>
    <row r="37" spans="1:35" ht="6.75" customHeight="1" thickBot="1" x14ac:dyDescent="0.4">
      <c r="A37" s="1882"/>
      <c r="B37" s="1883"/>
      <c r="C37" s="1885"/>
      <c r="D37" s="1886"/>
      <c r="E37" s="1887"/>
      <c r="F37" s="1891"/>
      <c r="G37" s="1892"/>
      <c r="H37" s="1892"/>
      <c r="I37" s="1893"/>
      <c r="J37" s="1891"/>
      <c r="K37" s="1892"/>
      <c r="L37" s="1892"/>
      <c r="M37" s="1893"/>
      <c r="N37" s="1897"/>
      <c r="O37" s="1898"/>
      <c r="P37" s="1898"/>
      <c r="Q37" s="1898"/>
      <c r="R37" s="1898"/>
      <c r="S37" s="1898"/>
      <c r="T37" s="1898"/>
      <c r="U37" s="1898"/>
      <c r="V37" s="1898"/>
      <c r="W37" s="1898"/>
      <c r="X37" s="1898"/>
      <c r="Y37" s="1899"/>
      <c r="Z37" s="1874"/>
      <c r="AA37" s="1875"/>
      <c r="AB37" s="1875"/>
      <c r="AC37" s="1875"/>
      <c r="AD37" s="1876"/>
      <c r="AE37" s="1874"/>
      <c r="AF37" s="1875"/>
      <c r="AG37" s="1875"/>
      <c r="AH37" s="1875"/>
      <c r="AI37" s="1876"/>
    </row>
    <row r="38" spans="1:35" ht="11.5" customHeight="1" x14ac:dyDescent="0.35">
      <c r="A38" s="1419">
        <f>IF(TRIM(J38)="","",IF(Data!CX60&gt;0,IF(Data!CX60&lt;&gt;"", Data!CX60, " ")," "))</f>
        <v>1</v>
      </c>
      <c r="B38" s="1420"/>
      <c r="C38" s="1877">
        <f>IF(Quotation!$W$27=550,0,IF('Eng. Cutter Entry'!C4&lt;&gt;"",IF(Data!E12&gt;0,IF(Data!E12&lt;&gt;"", Data!E12,0),0),'ARDT Cutter Entry'!AQ2+'ARDT Cutter Entry'!AQ3+'ARDT Cutter Entry'!AQ4+'ARDT Cutter Entry'!AQ5))</f>
        <v>0</v>
      </c>
      <c r="D38" s="1877"/>
      <c r="E38" s="1877"/>
      <c r="F38" s="1877">
        <f>IF(Data!GK2&gt;0,IF(Data!GK2&lt;&gt;"",Data!GK2," ")," ")</f>
        <v>1613</v>
      </c>
      <c r="G38" s="1877"/>
      <c r="H38" s="1877"/>
      <c r="I38" s="1877"/>
      <c r="J38" s="1877">
        <f>IF(Data!GG2&gt;0,IF(Data!GG2&lt;&gt;"",IF(Data!GG2&lt;&gt;"Add the cutter in list",Data!GG2," ")," "),"")</f>
        <v>1039060</v>
      </c>
      <c r="K38" s="1877"/>
      <c r="L38" s="1877"/>
      <c r="M38" s="1877"/>
      <c r="N38" s="1877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CT138  0.018"</v>
      </c>
      <c r="O38" s="1877"/>
      <c r="P38" s="1877"/>
      <c r="Q38" s="1877"/>
      <c r="R38" s="1877"/>
      <c r="S38" s="1877" t="str">
        <f>IF(AND(Data!GR2&lt;&gt;"",Data!GR2&lt;&gt;0),Data!GR2,"")</f>
        <v/>
      </c>
      <c r="T38" s="1877"/>
      <c r="U38" s="1877"/>
      <c r="V38" s="1877"/>
      <c r="W38" s="1877"/>
      <c r="X38" s="1877"/>
      <c r="Y38" s="1877"/>
      <c r="Z38" s="1878" t="str">
        <f>IF(Data!L12=0,"",Data!L12)</f>
        <v/>
      </c>
      <c r="AA38" s="1878"/>
      <c r="AB38" s="1878"/>
      <c r="AC38" s="1878"/>
      <c r="AD38" s="1878"/>
      <c r="AE38" s="1878" t="str">
        <f t="shared" ref="AE38:AE44" si="0">IF(IFERROR(C38-Z38,C38)=0,"",IFERROR(C38-Z38,C38))</f>
        <v/>
      </c>
      <c r="AF38" s="1878"/>
      <c r="AG38" s="1878"/>
      <c r="AH38" s="1878"/>
      <c r="AI38" s="1879"/>
    </row>
    <row r="39" spans="1:35" ht="11.5" customHeight="1" x14ac:dyDescent="0.35">
      <c r="A39" s="1419">
        <f>IF(TRIM(J39)="","",IF(Data!CX61&gt;0,IF(Data!CX61&lt;&gt;"", Data!CX61, " ")," "))</f>
        <v>2</v>
      </c>
      <c r="B39" s="1420"/>
      <c r="C39" s="1799">
        <f>IF(Quotation!$W$27=550,0,IF('Eng. Cutter Entry'!C4&lt;&gt;"",IF(Data!E13&gt;0,IF(Data!E13&lt;&gt;"", Data!E13, 0),0),'ARDT Cutter Entry'!AR2+'ARDT Cutter Entry'!AR3+'ARDT Cutter Entry'!AR4+'ARDT Cutter Entry'!AR5))</f>
        <v>0</v>
      </c>
      <c r="D39" s="1799"/>
      <c r="E39" s="1799"/>
      <c r="F39" s="1799">
        <f>IF(Data!GK3&gt;0,IF(Data!GK3&lt;&gt;"",Data!GK3," ")," ")</f>
        <v>1608</v>
      </c>
      <c r="G39" s="1799"/>
      <c r="H39" s="1799"/>
      <c r="I39" s="1799"/>
      <c r="J39" s="1799">
        <f>IF(Data!GG3&gt;0,IF(Data!GG3&lt;&gt;"",IF(Data!GG3&lt;&gt;"Add the cutter in list",Data!GG3," ")," "),"")</f>
        <v>1130197</v>
      </c>
      <c r="K39" s="1799"/>
      <c r="L39" s="1799"/>
      <c r="M39" s="1799"/>
      <c r="N39" s="1799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CT182  0.018</v>
      </c>
      <c r="O39" s="1799"/>
      <c r="P39" s="1799"/>
      <c r="Q39" s="1799"/>
      <c r="R39" s="1799"/>
      <c r="S39" s="1799" t="str">
        <f>IF(AND(Data!GR3&lt;&gt;"",Data!GR3&lt;&gt;0),Data!GR3,"")</f>
        <v/>
      </c>
      <c r="T39" s="1799"/>
      <c r="U39" s="1799"/>
      <c r="V39" s="1799"/>
      <c r="W39" s="1799"/>
      <c r="X39" s="1799"/>
      <c r="Y39" s="1799"/>
      <c r="Z39" s="1800" t="str">
        <f>IF(Data!L13=0,"",Data!L13)</f>
        <v/>
      </c>
      <c r="AA39" s="1800"/>
      <c r="AB39" s="1800"/>
      <c r="AC39" s="1800"/>
      <c r="AD39" s="1800"/>
      <c r="AE39" s="1800" t="str">
        <f t="shared" si="0"/>
        <v/>
      </c>
      <c r="AF39" s="1800"/>
      <c r="AG39" s="1800"/>
      <c r="AH39" s="1800"/>
      <c r="AI39" s="1801"/>
    </row>
    <row r="40" spans="1:35" ht="11.5" customHeight="1" x14ac:dyDescent="0.35">
      <c r="A40" s="1419">
        <f>IF(TRIM(J40)="","",IF(Data!CX62&gt;0,IF(Data!CX62&lt;&gt;"", Data!CX62, " ")," "))</f>
        <v>3</v>
      </c>
      <c r="B40" s="1420"/>
      <c r="C40" s="1799">
        <f>IF(Quotation!$W$27=550,0,IF('Eng. Cutter Entry'!C4&lt;&gt;"",IF(Data!E14&gt;0,IF(Data!E14&lt;&gt;"", Data!E14, 0),0),'ARDT Cutter Entry'!AS2+'ARDT Cutter Entry'!AS3+'ARDT Cutter Entry'!AS4+'ARDT Cutter Entry'!AS5))</f>
        <v>6</v>
      </c>
      <c r="D40" s="1799"/>
      <c r="E40" s="1799"/>
      <c r="F40" s="1799">
        <f>IF(Data!GK4&gt;0,IF(Data!GK4&lt;&gt;"",Data!GK4," ")," ")</f>
        <v>1308</v>
      </c>
      <c r="G40" s="1799"/>
      <c r="H40" s="1799"/>
      <c r="I40" s="1799"/>
      <c r="J40" s="1799">
        <f>IF(Data!GG4&gt;0,IF(Data!GG4&lt;&gt;"",IF(Data!GG4&lt;&gt;"Add the cutter in list",Data!GG4," ")," "),"")</f>
        <v>418525</v>
      </c>
      <c r="K40" s="1799"/>
      <c r="L40" s="1799"/>
      <c r="M40" s="1799"/>
      <c r="N40" s="1799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O40" s="1799"/>
      <c r="P40" s="1799"/>
      <c r="Q40" s="1799"/>
      <c r="R40" s="1799"/>
      <c r="S40" s="1799" t="str">
        <f>IF(AND(Data!GR4&lt;&gt;"",Data!GR4&lt;&gt;0),Data!GR4,"")</f>
        <v/>
      </c>
      <c r="T40" s="1799"/>
      <c r="U40" s="1799"/>
      <c r="V40" s="1799"/>
      <c r="W40" s="1799"/>
      <c r="X40" s="1799"/>
      <c r="Y40" s="1799"/>
      <c r="Z40" s="1800" t="str">
        <f>IF(Data!L14=0,"",Data!L14)</f>
        <v/>
      </c>
      <c r="AA40" s="1800"/>
      <c r="AB40" s="1800"/>
      <c r="AC40" s="1800"/>
      <c r="AD40" s="1800"/>
      <c r="AE40" s="1800">
        <f t="shared" si="0"/>
        <v>6</v>
      </c>
      <c r="AF40" s="1800"/>
      <c r="AG40" s="1800"/>
      <c r="AH40" s="1800"/>
      <c r="AI40" s="1801"/>
    </row>
    <row r="41" spans="1:35" ht="11.5" customHeight="1" x14ac:dyDescent="0.35">
      <c r="A41" s="1419">
        <f>IF(TRIM(J41)="","",IF(Data!CX63&gt;0,IF(Data!CX63&lt;&gt;"", Data!CX63, " ")," "))</f>
        <v>4</v>
      </c>
      <c r="B41" s="1420"/>
      <c r="C41" s="1799">
        <f>IF(Quotation!$W$27=550,0,IF('Eng. Cutter Entry'!C4&lt;&gt;"",IF(Data!E15&gt;0,IF(Data!E15&lt;&gt;"", Data!E15, 0),0),'ARDT Cutter Entry'!AT2+'ARDT Cutter Entry'!AT3+'ARDT Cutter Entry'!AT4+'ARDT Cutter Entry'!AT5))</f>
        <v>6</v>
      </c>
      <c r="D41" s="1799"/>
      <c r="E41" s="1799"/>
      <c r="F41" s="1799">
        <f>IF(Data!GK5&gt;0,IF(Data!GK5&lt;&gt;"",Data!GK5," ")," ")</f>
        <v>1608</v>
      </c>
      <c r="G41" s="1799"/>
      <c r="H41" s="1799"/>
      <c r="I41" s="1799"/>
      <c r="J41" s="1799">
        <f>IF(Data!GG5&gt;0,IF(Data!GG5&lt;&gt;"",IF(Data!GG5&lt;&gt;"Add the cutter in list",Data!GG5," ")," "),"")</f>
        <v>643738</v>
      </c>
      <c r="K41" s="1799"/>
      <c r="L41" s="1799"/>
      <c r="M41" s="1799"/>
      <c r="N41" s="1799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CT70  0.018"</v>
      </c>
      <c r="O41" s="1799"/>
      <c r="P41" s="1799"/>
      <c r="Q41" s="1799"/>
      <c r="R41" s="1799"/>
      <c r="S41" s="1799" t="str">
        <f>IF(AND(Data!GR5&lt;&gt;"",Data!GR5&lt;&gt;0),Data!GR5,"")</f>
        <v/>
      </c>
      <c r="T41" s="1799"/>
      <c r="U41" s="1799"/>
      <c r="V41" s="1799"/>
      <c r="W41" s="1799"/>
      <c r="X41" s="1799"/>
      <c r="Y41" s="1799"/>
      <c r="Z41" s="1800" t="str">
        <f>IF(Data!L15=0,"",Data!L15)</f>
        <v/>
      </c>
      <c r="AA41" s="1800"/>
      <c r="AB41" s="1800"/>
      <c r="AC41" s="1800"/>
      <c r="AD41" s="1800"/>
      <c r="AE41" s="1800">
        <f t="shared" si="0"/>
        <v>6</v>
      </c>
      <c r="AF41" s="1800"/>
      <c r="AG41" s="1800"/>
      <c r="AH41" s="1800"/>
      <c r="AI41" s="1801"/>
    </row>
    <row r="42" spans="1:35" ht="11.5" customHeight="1" x14ac:dyDescent="0.35">
      <c r="A42" s="1419">
        <f>IF(TRIM(J42)="","",IF(Data!CX64&gt;0,IF(Data!CX64&lt;&gt;"", Data!CX64, " ")," "))</f>
        <v>5</v>
      </c>
      <c r="B42" s="1420"/>
      <c r="C42" s="1799">
        <f>IF(Quotation!$W$27=550,0,IF('Eng. Cutter Entry'!C4&lt;&gt;"",IF(Data!E16&gt;0,IF(Data!E16&lt;&gt;"", Data!E16, 0),0),'ARDT Cutter Entry'!AU2+'ARDT Cutter Entry'!AU3+'ARDT Cutter Entry'!AU4+'ARDT Cutter Entry'!AU5))</f>
        <v>21</v>
      </c>
      <c r="D42" s="1799"/>
      <c r="E42" s="1799"/>
      <c r="F42" s="1799">
        <f>IF(Data!GK6&gt;0,IF(Data!GK6&lt;&gt;"",Data!GK6," ")," ")</f>
        <v>1613</v>
      </c>
      <c r="G42" s="1799"/>
      <c r="H42" s="1799"/>
      <c r="I42" s="1799"/>
      <c r="J42" s="1799">
        <f>IF(Data!GG6&gt;0,IF(Data!GG6&lt;&gt;"",IF(Data!GG6&lt;&gt;"Add the cutter in list",Data!GG6," ")," "),"")</f>
        <v>1126402</v>
      </c>
      <c r="K42" s="1799"/>
      <c r="L42" s="1799"/>
      <c r="M42" s="1799"/>
      <c r="N42" s="1799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>CT421  18-60</v>
      </c>
      <c r="O42" s="1799"/>
      <c r="P42" s="1799"/>
      <c r="Q42" s="1799"/>
      <c r="R42" s="1799"/>
      <c r="S42" s="1799" t="str">
        <f>IF(AND(Data!GR6&lt;&gt;"",Data!GR6&lt;&gt;0),Data!GR6,"")</f>
        <v/>
      </c>
      <c r="T42" s="1799"/>
      <c r="U42" s="1799"/>
      <c r="V42" s="1799"/>
      <c r="W42" s="1799"/>
      <c r="X42" s="1799"/>
      <c r="Y42" s="1799"/>
      <c r="Z42" s="1800" t="str">
        <f>IF(Data!L16=0,"",Data!L16)</f>
        <v/>
      </c>
      <c r="AA42" s="1800"/>
      <c r="AB42" s="1800"/>
      <c r="AC42" s="1800"/>
      <c r="AD42" s="1800"/>
      <c r="AE42" s="1800">
        <f t="shared" si="0"/>
        <v>21</v>
      </c>
      <c r="AF42" s="1800"/>
      <c r="AG42" s="1800"/>
      <c r="AH42" s="1800"/>
      <c r="AI42" s="1801"/>
    </row>
    <row r="43" spans="1:35" ht="11.5" customHeight="1" x14ac:dyDescent="0.35">
      <c r="A43" s="1419" t="str">
        <f>IF(TRIM(J43)="","",IF(Data!CX65&gt;0,IF(Data!CX65&lt;&gt;"", Data!CX65, " ")," "))</f>
        <v/>
      </c>
      <c r="B43" s="1420"/>
      <c r="C43" s="1799">
        <f>IF(Quotation!$W$27=550,0,IF('Eng. Cutter Entry'!C4&lt;&gt;"",IF(Data!E17&gt;0,IF(Data!E17&lt;&gt;"", Data!E17, 0),0),'ARDT Cutter Entry'!AV2+'ARDT Cutter Entry'!AV3+'ARDT Cutter Entry'!AV4+'ARDT Cutter Entry'!AV5))</f>
        <v>0</v>
      </c>
      <c r="D43" s="1799"/>
      <c r="E43" s="1799"/>
      <c r="F43" s="1799" t="str">
        <f>IF(Data!GK7&gt;0,IF(Data!GK7&lt;&gt;"",Data!GK7," ")," ")</f>
        <v xml:space="preserve"> </v>
      </c>
      <c r="G43" s="1799"/>
      <c r="H43" s="1799"/>
      <c r="I43" s="1799"/>
      <c r="J43" s="1799" t="str">
        <f>IF(Data!GG7&gt;0,IF(Data!GG7&lt;&gt;"",IF(Data!GG7&lt;&gt;"Add the cutter in list",Data!GG7," ")," "),"")</f>
        <v xml:space="preserve"> </v>
      </c>
      <c r="K43" s="1799"/>
      <c r="L43" s="1799"/>
      <c r="M43" s="1799"/>
      <c r="N43" s="1799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O43" s="1799"/>
      <c r="P43" s="1799"/>
      <c r="Q43" s="1799"/>
      <c r="R43" s="1799"/>
      <c r="S43" s="1799" t="str">
        <f>IF(AND(Data!GR7&lt;&gt;"",Data!GR7&lt;&gt;0),Data!GR7,"")</f>
        <v/>
      </c>
      <c r="T43" s="1799"/>
      <c r="U43" s="1799"/>
      <c r="V43" s="1799"/>
      <c r="W43" s="1799"/>
      <c r="X43" s="1799"/>
      <c r="Y43" s="1799"/>
      <c r="Z43" s="1800" t="str">
        <f>IF(Data!L17=0,"",Data!L17)</f>
        <v/>
      </c>
      <c r="AA43" s="1800"/>
      <c r="AB43" s="1800"/>
      <c r="AC43" s="1800"/>
      <c r="AD43" s="1800"/>
      <c r="AE43" s="1800" t="str">
        <f t="shared" si="0"/>
        <v/>
      </c>
      <c r="AF43" s="1800"/>
      <c r="AG43" s="1800"/>
      <c r="AH43" s="1800"/>
      <c r="AI43" s="1801"/>
    </row>
    <row r="44" spans="1:35" ht="11.5" customHeight="1" x14ac:dyDescent="0.35">
      <c r="A44" s="1419" t="str">
        <f>IF(TRIM(J44)="","",IF(Data!CX66&gt;0,IF(Data!CX66&lt;&gt;"", Data!CX66, " ")," "))</f>
        <v/>
      </c>
      <c r="B44" s="1420"/>
      <c r="C44" s="1799">
        <f>IF(Quotation!$W$27=550,0,IF('Eng. Cutter Entry'!C4&lt;&gt;"",IF(Data!E18&gt;0,IF(Data!E18&lt;&gt;"", Data!E18, 0),0),'ARDT Cutter Entry'!AW2+'ARDT Cutter Entry'!AW3+'ARDT Cutter Entry'!AW4+'ARDT Cutter Entry'!AW5))</f>
        <v>0</v>
      </c>
      <c r="D44" s="1799"/>
      <c r="E44" s="1799"/>
      <c r="F44" s="1799" t="str">
        <f>IF(Data!GK8&gt;0,IF(Data!GK8&lt;&gt;"",Data!GK8," ")," ")</f>
        <v xml:space="preserve"> </v>
      </c>
      <c r="G44" s="1799"/>
      <c r="H44" s="1799"/>
      <c r="I44" s="1799"/>
      <c r="J44" s="1799" t="str">
        <f>IF(Data!GG8&gt;0,IF(Data!GG8&lt;&gt;"",IF(Data!GG8&lt;&gt;"Add the cutter in list",Data!GG8," ")," "),"")</f>
        <v xml:space="preserve"> </v>
      </c>
      <c r="K44" s="1799"/>
      <c r="L44" s="1799"/>
      <c r="M44" s="1799"/>
      <c r="N44" s="1799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O44" s="1799"/>
      <c r="P44" s="1799"/>
      <c r="Q44" s="1799"/>
      <c r="R44" s="1799"/>
      <c r="S44" s="1799" t="str">
        <f>IF(AND(Data!GR8&lt;&gt;"",Data!GR8&lt;&gt;0),Data!GR8,"")</f>
        <v/>
      </c>
      <c r="T44" s="1799"/>
      <c r="U44" s="1799"/>
      <c r="V44" s="1799"/>
      <c r="W44" s="1799"/>
      <c r="X44" s="1799"/>
      <c r="Y44" s="1799"/>
      <c r="Z44" s="1800" t="str">
        <f>IF(Data!L18=0,"",Data!L18)</f>
        <v/>
      </c>
      <c r="AA44" s="1800"/>
      <c r="AB44" s="1800"/>
      <c r="AC44" s="1800"/>
      <c r="AD44" s="1800"/>
      <c r="AE44" s="1800" t="str">
        <f t="shared" si="0"/>
        <v/>
      </c>
      <c r="AF44" s="1800"/>
      <c r="AG44" s="1800"/>
      <c r="AH44" s="1800"/>
      <c r="AI44" s="1801"/>
    </row>
    <row r="45" spans="1:35" ht="11.5" customHeight="1" x14ac:dyDescent="0.35">
      <c r="A45" s="1419" t="str">
        <f>IF(TRIM(J45)="","",IF(Data!CX67&gt;0,IF(Data!CX67&lt;&gt;"", Data!CX67, " ")," "))</f>
        <v/>
      </c>
      <c r="B45" s="1420"/>
      <c r="C45" s="1799">
        <f>IF(Quotation!$W$27=550,0,IF('Eng. Cutter Entry'!$C$4&lt;&gt;"",IF(Data!E19&gt;0,IF(Data!E19&lt;&gt;"", Data!E19, 0),0),'ARDT Cutter Entry'!AX2+'ARDT Cutter Entry'!AX3+'ARDT Cutter Entry'!AX4+'ARDT Cutter Entry'!AX5))</f>
        <v>0</v>
      </c>
      <c r="D45" s="1799"/>
      <c r="E45" s="1799"/>
      <c r="F45" s="1799" t="str">
        <f>IF(Data!GK9&gt;0,IF(Data!GK9&lt;&gt;"",Data!GK9," ")," ")</f>
        <v xml:space="preserve"> </v>
      </c>
      <c r="G45" s="1799"/>
      <c r="H45" s="1799"/>
      <c r="I45" s="1799"/>
      <c r="J45" s="1799" t="str">
        <f>IF(Data!GG9&gt;0,IF(Data!GG9&lt;&gt;"",IF(Data!GG9&lt;&gt;"Add the cutter in list",Data!GG9," ")," "),"")</f>
        <v xml:space="preserve"> </v>
      </c>
      <c r="K45" s="1799"/>
      <c r="L45" s="1799"/>
      <c r="M45" s="1799"/>
      <c r="N45" s="1799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O45" s="1799"/>
      <c r="P45" s="1799"/>
      <c r="Q45" s="1799"/>
      <c r="R45" s="1799"/>
      <c r="S45" s="1799" t="str">
        <f>IF(AND(Data!GR9&lt;&gt;"",Data!GR9&lt;&gt;0),Data!GR9,"")</f>
        <v/>
      </c>
      <c r="T45" s="1799"/>
      <c r="U45" s="1799"/>
      <c r="V45" s="1799"/>
      <c r="W45" s="1799"/>
      <c r="X45" s="1799"/>
      <c r="Y45" s="1799"/>
      <c r="Z45" s="1800" t="str">
        <f>IF(Data!L19=0,"",Data!L19)</f>
        <v/>
      </c>
      <c r="AA45" s="1800"/>
      <c r="AB45" s="1800"/>
      <c r="AC45" s="1800"/>
      <c r="AD45" s="1800"/>
      <c r="AE45" s="1800" t="str">
        <f>IF(IFERROR(C45-Z45,C45)=0,"",IFERROR(C45-Z45,C45))</f>
        <v/>
      </c>
      <c r="AF45" s="1800"/>
      <c r="AG45" s="1800"/>
      <c r="AH45" s="1800"/>
      <c r="AI45" s="1801"/>
    </row>
    <row r="46" spans="1:35" ht="11.5" customHeight="1" x14ac:dyDescent="0.35">
      <c r="A46" s="1419" t="str">
        <f>IF(TRIM(J46)="","",IF(Data!CX68&gt;0,IF(Data!CX68&lt;&gt;"", Data!CX68, " ")," "))</f>
        <v/>
      </c>
      <c r="B46" s="1420"/>
      <c r="C46" s="1799">
        <f>IF(Quotation!$W$27=550,0,IF('Eng. Cutter Entry'!$C$4&lt;&gt;"",IF(Data!E20&gt;0,IF(Data!E20&lt;&gt;"", Data!E20, 0),0),'ARDT Cutter Entry'!AY2+'ARDT Cutter Entry'!AY3+'ARDT Cutter Entry'!AY4+'ARDT Cutter Entry'!AY5))</f>
        <v>0</v>
      </c>
      <c r="D46" s="1799"/>
      <c r="E46" s="1799"/>
      <c r="F46" s="1799" t="str">
        <f>IF(Data!GK10&gt;0,IF(Data!GK10&lt;&gt;"",Data!GK10," ")," ")</f>
        <v xml:space="preserve"> </v>
      </c>
      <c r="G46" s="1799"/>
      <c r="H46" s="1799"/>
      <c r="I46" s="1799"/>
      <c r="J46" s="1799" t="str">
        <f>IF(Data!GG10&gt;0,IF(Data!GG10&lt;&gt;"",IF(Data!GG10&lt;&gt;"Add the cutter in list",Data!GG10," ")," "),"")</f>
        <v xml:space="preserve"> </v>
      </c>
      <c r="K46" s="1799"/>
      <c r="L46" s="1799"/>
      <c r="M46" s="1799"/>
      <c r="N46" s="1799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O46" s="1799"/>
      <c r="P46" s="1799"/>
      <c r="Q46" s="1799"/>
      <c r="R46" s="1799"/>
      <c r="S46" s="1799" t="str">
        <f>IF(AND(Data!GR10&lt;&gt;"",Data!GR10&lt;&gt;0),Data!GR10,"")</f>
        <v/>
      </c>
      <c r="T46" s="1799"/>
      <c r="U46" s="1799"/>
      <c r="V46" s="1799"/>
      <c r="W46" s="1799"/>
      <c r="X46" s="1799"/>
      <c r="Y46" s="1799"/>
      <c r="Z46" s="1800" t="str">
        <f>IF(Data!L20=0,"",Data!L20)</f>
        <v/>
      </c>
      <c r="AA46" s="1800"/>
      <c r="AB46" s="1800"/>
      <c r="AC46" s="1800"/>
      <c r="AD46" s="1800"/>
      <c r="AE46" s="1800" t="str">
        <f>IF(IFERROR(C46-Z46,C46)=0,"",IFERROR(C46-Z46,C46))</f>
        <v/>
      </c>
      <c r="AF46" s="1800"/>
      <c r="AG46" s="1800"/>
      <c r="AH46" s="1800"/>
      <c r="AI46" s="1801"/>
    </row>
    <row r="47" spans="1:35" ht="11.5" customHeight="1" x14ac:dyDescent="0.35">
      <c r="A47" s="1419" t="str">
        <f>IF(TRIM(J47)="","",IF(Data!CX69&gt;0,IF(Data!CX69&lt;&gt;"", Data!CX69, " ")," "))</f>
        <v/>
      </c>
      <c r="B47" s="1420"/>
      <c r="C47" s="1799">
        <f>IF(Quotation!$W$27=550,0,IF('Eng. Cutter Entry'!$C$4&lt;&gt;"",IF(Data!E21&gt;0,IF(Data!E21&lt;&gt;"", Data!E21, 0),0),'ARDT Cutter Entry'!AZ2+'ARDT Cutter Entry'!AZ3+'ARDT Cutter Entry'!AZ4+'ARDT Cutter Entry'!AZ5))</f>
        <v>0</v>
      </c>
      <c r="D47" s="1799"/>
      <c r="E47" s="1799"/>
      <c r="F47" s="1799" t="str">
        <f>IF(Data!GK11&gt;0,IF(Data!GK11&lt;&gt;"",Data!GK11," ")," ")</f>
        <v xml:space="preserve"> </v>
      </c>
      <c r="G47" s="1799"/>
      <c r="H47" s="1799"/>
      <c r="I47" s="1799"/>
      <c r="J47" s="1799" t="str">
        <f>IF(Data!GG11&gt;0,IF(Data!GG11&lt;&gt;"",IF(Data!GG11&lt;&gt;"Add the cutter in list",Data!GG11," ")," "),"")</f>
        <v xml:space="preserve"> </v>
      </c>
      <c r="K47" s="1799"/>
      <c r="L47" s="1799"/>
      <c r="M47" s="1799"/>
      <c r="N47" s="1799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O47" s="1799"/>
      <c r="P47" s="1799"/>
      <c r="Q47" s="1799"/>
      <c r="R47" s="1799"/>
      <c r="S47" s="1799" t="str">
        <f>IF(AND(Data!GR11&lt;&gt;"",Data!GR11&lt;&gt;0),Data!GR11,"")</f>
        <v/>
      </c>
      <c r="T47" s="1799"/>
      <c r="U47" s="1799"/>
      <c r="V47" s="1799"/>
      <c r="W47" s="1799"/>
      <c r="X47" s="1799"/>
      <c r="Y47" s="1799"/>
      <c r="Z47" s="1800" t="str">
        <f>IF(Data!L21=0,"",Data!L21)</f>
        <v/>
      </c>
      <c r="AA47" s="1800"/>
      <c r="AB47" s="1800"/>
      <c r="AC47" s="1800"/>
      <c r="AD47" s="1800"/>
      <c r="AE47" s="1800" t="str">
        <f>IF(IFERROR(C47-Z47,C47)=0,"",IFERROR(C47-Z47,C47))</f>
        <v/>
      </c>
      <c r="AF47" s="1800"/>
      <c r="AG47" s="1800"/>
      <c r="AH47" s="1800"/>
      <c r="AI47" s="1801"/>
    </row>
    <row r="48" spans="1:35" ht="11.5" customHeight="1" thickBot="1" x14ac:dyDescent="0.4">
      <c r="A48" s="1808" t="s">
        <v>21</v>
      </c>
      <c r="B48" s="1805"/>
      <c r="C48" s="1805">
        <f>SUM(C38:E47)</f>
        <v>33</v>
      </c>
      <c r="D48" s="1805"/>
      <c r="E48" s="1805"/>
      <c r="F48" s="1805"/>
      <c r="G48" s="1805"/>
      <c r="H48" s="1805"/>
      <c r="I48" s="1805"/>
      <c r="J48" s="1805"/>
      <c r="K48" s="1805"/>
      <c r="L48" s="1805"/>
      <c r="M48" s="1805"/>
      <c r="N48" s="1805"/>
      <c r="O48" s="1805"/>
      <c r="P48" s="1805"/>
      <c r="Q48" s="1805"/>
      <c r="R48" s="1805"/>
      <c r="S48" s="1805"/>
      <c r="T48" s="1805"/>
      <c r="U48" s="1805"/>
      <c r="V48" s="1805"/>
      <c r="W48" s="1805"/>
      <c r="X48" s="1805"/>
      <c r="Y48" s="1805"/>
      <c r="Z48" s="1806">
        <f>SUM(Z38:AD47)</f>
        <v>0</v>
      </c>
      <c r="AA48" s="1806"/>
      <c r="AB48" s="1806"/>
      <c r="AC48" s="1806"/>
      <c r="AD48" s="1806"/>
      <c r="AE48" s="1806">
        <f>SUM(AE38:AI47)</f>
        <v>33</v>
      </c>
      <c r="AF48" s="1806"/>
      <c r="AG48" s="1806"/>
      <c r="AH48" s="1806"/>
      <c r="AI48" s="1807"/>
    </row>
    <row r="49" spans="1:35" ht="3.75" customHeight="1" x14ac:dyDescent="0.35">
      <c r="A49" s="461"/>
      <c r="B49" s="461"/>
      <c r="C49" s="461"/>
      <c r="D49" s="461"/>
      <c r="F49" s="462"/>
      <c r="G49" s="462"/>
      <c r="H49" s="462"/>
      <c r="I49" s="462"/>
      <c r="J49" s="462"/>
      <c r="K49" s="462"/>
      <c r="L49" s="463"/>
      <c r="M49" s="463"/>
      <c r="N49" s="463"/>
      <c r="O49" s="463"/>
      <c r="P49" s="463"/>
      <c r="Q49" s="463"/>
      <c r="R49" s="463"/>
      <c r="S49" s="463"/>
      <c r="T49" s="462"/>
      <c r="U49" s="462"/>
      <c r="V49" s="462"/>
      <c r="W49" s="462"/>
      <c r="X49" s="462"/>
      <c r="AB49" s="463"/>
      <c r="AC49" s="462"/>
      <c r="AD49" s="462"/>
      <c r="AE49" s="462"/>
      <c r="AF49" s="462"/>
      <c r="AG49" s="462"/>
    </row>
    <row r="50" spans="1:35" ht="15.75" customHeight="1" x14ac:dyDescent="0.35">
      <c r="A50" s="1679" t="s">
        <v>733</v>
      </c>
      <c r="B50" s="1679"/>
      <c r="C50" s="1679"/>
      <c r="D50" s="1679"/>
      <c r="E50" s="1809"/>
      <c r="F50" s="1809"/>
      <c r="G50" s="1809"/>
      <c r="H50" s="1809"/>
      <c r="I50" s="1901" t="s">
        <v>1079</v>
      </c>
      <c r="J50" s="1901"/>
      <c r="K50" s="1132"/>
      <c r="L50" s="1132"/>
      <c r="M50" s="1132"/>
      <c r="N50" s="1132"/>
      <c r="O50" s="1132"/>
      <c r="P50" s="1132"/>
      <c r="Q50" s="1673" t="s">
        <v>1053</v>
      </c>
      <c r="R50" s="1673"/>
      <c r="S50" s="1673"/>
      <c r="T50" s="1673"/>
      <c r="U50" s="1673"/>
      <c r="V50" s="1673"/>
      <c r="W50" s="1900"/>
      <c r="X50" s="1900"/>
      <c r="Y50" s="1900"/>
      <c r="Z50" s="1900"/>
      <c r="AA50" s="1673" t="s">
        <v>1045</v>
      </c>
      <c r="AB50" s="1673"/>
      <c r="AC50" s="1673"/>
      <c r="AD50" s="1673"/>
      <c r="AE50" s="1900"/>
      <c r="AF50" s="1900"/>
      <c r="AG50" s="1900"/>
      <c r="AH50" s="1900"/>
      <c r="AI50" s="1900"/>
    </row>
    <row r="51" spans="1:35" ht="5.15" customHeight="1" x14ac:dyDescent="0.35">
      <c r="A51" s="1679"/>
      <c r="B51" s="1679"/>
      <c r="C51" s="1679"/>
      <c r="D51" s="1679"/>
      <c r="E51" s="655"/>
      <c r="F51" s="655"/>
      <c r="G51" s="655"/>
      <c r="H51" s="655"/>
      <c r="I51" s="655"/>
      <c r="J51" s="450"/>
      <c r="K51" s="450"/>
      <c r="L51" s="450"/>
      <c r="M51" s="450"/>
      <c r="N51" s="450"/>
      <c r="O51" s="450"/>
      <c r="P51" s="450"/>
      <c r="Q51" s="655"/>
      <c r="R51" s="655"/>
      <c r="S51" s="655"/>
      <c r="T51" s="655"/>
      <c r="U51" s="655"/>
      <c r="V51" s="450"/>
      <c r="W51" s="450"/>
      <c r="X51" s="450"/>
      <c r="Y51" s="450"/>
      <c r="Z51" s="654"/>
      <c r="AA51" s="654"/>
      <c r="AB51" s="654"/>
      <c r="AC51" s="654"/>
      <c r="AD51" s="654"/>
    </row>
    <row r="52" spans="1:35" ht="20.149999999999999" customHeight="1" x14ac:dyDescent="0.35">
      <c r="L52" s="462"/>
      <c r="M52" s="462"/>
      <c r="N52" s="462"/>
      <c r="O52" s="462"/>
      <c r="P52" s="462"/>
      <c r="Q52" s="462"/>
      <c r="R52" s="462"/>
      <c r="S52" s="462"/>
      <c r="T52" s="462"/>
      <c r="U52" s="462"/>
      <c r="AB52" s="462"/>
      <c r="AC52" s="462"/>
      <c r="AD52" s="462"/>
    </row>
    <row r="53" spans="1:35" ht="5.15" customHeight="1" x14ac:dyDescent="0.35">
      <c r="A53" s="461"/>
      <c r="B53" s="461"/>
      <c r="C53" s="461"/>
      <c r="D53" s="461"/>
      <c r="L53" s="463"/>
      <c r="M53" s="463"/>
      <c r="N53" s="463"/>
      <c r="O53" s="463"/>
      <c r="P53" s="463"/>
      <c r="Q53" s="463"/>
      <c r="R53" s="463"/>
      <c r="S53" s="463"/>
      <c r="T53" s="462"/>
      <c r="U53" s="462"/>
      <c r="V53" s="462"/>
      <c r="W53" s="462"/>
      <c r="X53" s="462"/>
      <c r="AB53" s="463"/>
      <c r="AC53" s="462"/>
      <c r="AD53" s="462"/>
      <c r="AE53" s="462"/>
    </row>
    <row r="54" spans="1:35" ht="20.149999999999999" customHeight="1" x14ac:dyDescent="0.35">
      <c r="G54" s="468"/>
      <c r="H54" s="462"/>
      <c r="I54" s="462"/>
      <c r="K54" s="468"/>
      <c r="U54" s="1679"/>
      <c r="V54" s="1679"/>
      <c r="W54" s="1679"/>
      <c r="X54" s="1679"/>
    </row>
    <row r="55" spans="1:35" ht="5.15" customHeight="1" x14ac:dyDescent="0.35">
      <c r="A55" s="461"/>
      <c r="B55" s="461"/>
      <c r="C55" s="461"/>
      <c r="D55" s="461"/>
      <c r="F55" s="462"/>
      <c r="G55" s="462"/>
      <c r="M55" s="449"/>
      <c r="N55" s="465"/>
      <c r="O55" s="449"/>
      <c r="P55" s="449"/>
      <c r="Q55" s="462"/>
      <c r="R55" s="462"/>
      <c r="S55" s="462"/>
      <c r="T55" s="462"/>
      <c r="AB55" s="462"/>
      <c r="AC55" s="462"/>
    </row>
    <row r="56" spans="1:35" ht="5.15" customHeight="1" x14ac:dyDescent="0.35"/>
  </sheetData>
  <sheetProtection formatCells="0" formatColumns="0" formatRows="0" insertColumns="0" insertRows="0" insertHyperlinks="0" deleteColumns="0" deleteRows="0" sort="0" autoFilter="0" pivotTables="0"/>
  <mergeCells count="165">
    <mergeCell ref="AA50:AD50"/>
    <mergeCell ref="AE50:AI50"/>
    <mergeCell ref="Q50:V50"/>
    <mergeCell ref="I50:J50"/>
    <mergeCell ref="K50:P50"/>
    <mergeCell ref="E50:H50"/>
    <mergeCell ref="W50:Z50"/>
    <mergeCell ref="A9:AI9"/>
    <mergeCell ref="S47:Y47"/>
    <mergeCell ref="Z47:AD47"/>
    <mergeCell ref="AE47:AI47"/>
    <mergeCell ref="AE45:AI45"/>
    <mergeCell ref="A46:B46"/>
    <mergeCell ref="C46:E46"/>
    <mergeCell ref="F46:I46"/>
    <mergeCell ref="J46:M46"/>
    <mergeCell ref="N46:R46"/>
    <mergeCell ref="S46:Y46"/>
    <mergeCell ref="Z46:AD46"/>
    <mergeCell ref="AE46:AI46"/>
    <mergeCell ref="AD25:AF25"/>
    <mergeCell ref="V25:X25"/>
    <mergeCell ref="A50:D51"/>
    <mergeCell ref="Z25:AB25"/>
    <mergeCell ref="A48:B48"/>
    <mergeCell ref="A44:B44"/>
    <mergeCell ref="Z44:AD44"/>
    <mergeCell ref="Z48:AD48"/>
    <mergeCell ref="C44:E44"/>
    <mergeCell ref="C48:E48"/>
    <mergeCell ref="F44:I44"/>
    <mergeCell ref="J44:M44"/>
    <mergeCell ref="F48:Y48"/>
    <mergeCell ref="A45:B45"/>
    <mergeCell ref="C45:E45"/>
    <mergeCell ref="F45:I45"/>
    <mergeCell ref="J45:M45"/>
    <mergeCell ref="N45:R45"/>
    <mergeCell ref="S45:Y45"/>
    <mergeCell ref="Z45:AD45"/>
    <mergeCell ref="A47:B47"/>
    <mergeCell ref="C47:E47"/>
    <mergeCell ref="F47:I47"/>
    <mergeCell ref="J47:M47"/>
    <mergeCell ref="N47:R47"/>
    <mergeCell ref="N44:R44"/>
    <mergeCell ref="S44:Y44"/>
    <mergeCell ref="A43:B43"/>
    <mergeCell ref="A42:B42"/>
    <mergeCell ref="Z42:AD42"/>
    <mergeCell ref="Z43:AD43"/>
    <mergeCell ref="C42:E42"/>
    <mergeCell ref="C43:E43"/>
    <mergeCell ref="F42:I42"/>
    <mergeCell ref="F43:I43"/>
    <mergeCell ref="J42:M42"/>
    <mergeCell ref="J43:M43"/>
    <mergeCell ref="N42:R42"/>
    <mergeCell ref="N43:R43"/>
    <mergeCell ref="S42:Y42"/>
    <mergeCell ref="S43:Y43"/>
    <mergeCell ref="U28:W28"/>
    <mergeCell ref="A36:B37"/>
    <mergeCell ref="C36:E37"/>
    <mergeCell ref="F36:I37"/>
    <mergeCell ref="J36:M37"/>
    <mergeCell ref="N36:Y37"/>
    <mergeCell ref="A29:C29"/>
    <mergeCell ref="A30:C31"/>
    <mergeCell ref="F39:I39"/>
    <mergeCell ref="J38:M38"/>
    <mergeCell ref="J39:M39"/>
    <mergeCell ref="N38:R38"/>
    <mergeCell ref="N39:R39"/>
    <mergeCell ref="S38:Y38"/>
    <mergeCell ref="S39:Y39"/>
    <mergeCell ref="J28:K28"/>
    <mergeCell ref="L28:M28"/>
    <mergeCell ref="N28:O28"/>
    <mergeCell ref="R28:T28"/>
    <mergeCell ref="X28:Z28"/>
    <mergeCell ref="A27:C27"/>
    <mergeCell ref="D27:E27"/>
    <mergeCell ref="F27:G27"/>
    <mergeCell ref="H27:I27"/>
    <mergeCell ref="J27:K27"/>
    <mergeCell ref="L27:M27"/>
    <mergeCell ref="N27:O27"/>
    <mergeCell ref="R27:T27"/>
    <mergeCell ref="U54:X54"/>
    <mergeCell ref="D29:AI31"/>
    <mergeCell ref="A35:AI35"/>
    <mergeCell ref="AE38:AI38"/>
    <mergeCell ref="AE39:AI39"/>
    <mergeCell ref="AE40:AI40"/>
    <mergeCell ref="AE41:AI41"/>
    <mergeCell ref="AE42:AI42"/>
    <mergeCell ref="AE43:AI43"/>
    <mergeCell ref="AE44:AI44"/>
    <mergeCell ref="AE48:AI48"/>
    <mergeCell ref="Z38:AD38"/>
    <mergeCell ref="B33:G33"/>
    <mergeCell ref="H33:L33"/>
    <mergeCell ref="O33:P33"/>
    <mergeCell ref="Q33:T33"/>
    <mergeCell ref="C40:E40"/>
    <mergeCell ref="C41:E41"/>
    <mergeCell ref="F40:I40"/>
    <mergeCell ref="F41:I41"/>
    <mergeCell ref="Z36:AD37"/>
    <mergeCell ref="AE36:AI37"/>
    <mergeCell ref="A39:B39"/>
    <mergeCell ref="A38:B38"/>
    <mergeCell ref="Z39:AD39"/>
    <mergeCell ref="C38:E38"/>
    <mergeCell ref="C39:E39"/>
    <mergeCell ref="F38:I38"/>
    <mergeCell ref="J40:M40"/>
    <mergeCell ref="J41:M41"/>
    <mergeCell ref="N40:R40"/>
    <mergeCell ref="N41:R41"/>
    <mergeCell ref="S40:Y40"/>
    <mergeCell ref="S41:Y41"/>
    <mergeCell ref="A41:B41"/>
    <mergeCell ref="A40:B40"/>
    <mergeCell ref="Z40:AD40"/>
    <mergeCell ref="Z41:AD41"/>
    <mergeCell ref="AB2:AI2"/>
    <mergeCell ref="A10:B11"/>
    <mergeCell ref="A12:A23"/>
    <mergeCell ref="A25:D25"/>
    <mergeCell ref="E25:H25"/>
    <mergeCell ref="I25:J25"/>
    <mergeCell ref="K25:N25"/>
    <mergeCell ref="O25:P25"/>
    <mergeCell ref="Q25:T25"/>
    <mergeCell ref="AA4:AD6"/>
    <mergeCell ref="D7:E7"/>
    <mergeCell ref="F7:J7"/>
    <mergeCell ref="S5:U5"/>
    <mergeCell ref="V5:Z5"/>
    <mergeCell ref="U27:W27"/>
    <mergeCell ref="X27:Z27"/>
    <mergeCell ref="A28:C28"/>
    <mergeCell ref="D28:E28"/>
    <mergeCell ref="F28:G28"/>
    <mergeCell ref="H28:I28"/>
    <mergeCell ref="AB1:AI1"/>
    <mergeCell ref="T1:AA1"/>
    <mergeCell ref="T2:AA2"/>
    <mergeCell ref="A3:AI3"/>
    <mergeCell ref="C1:S2"/>
    <mergeCell ref="C10:AI10"/>
    <mergeCell ref="A1:B2"/>
    <mergeCell ref="AE5:AI5"/>
    <mergeCell ref="L7:M7"/>
    <mergeCell ref="N7:R7"/>
    <mergeCell ref="S7:U7"/>
    <mergeCell ref="V7:Z7"/>
    <mergeCell ref="AA7:AD7"/>
    <mergeCell ref="AE7:AI7"/>
    <mergeCell ref="B5:E5"/>
    <mergeCell ref="F5:J5"/>
    <mergeCell ref="K5:M5"/>
    <mergeCell ref="N5:R5"/>
  </mergeCells>
  <conditionalFormatting sqref="A28">
    <cfRule type="cellIs" dxfId="274" priority="5067" operator="equal">
      <formula>0</formula>
    </cfRule>
  </conditionalFormatting>
  <conditionalFormatting sqref="A38:A47">
    <cfRule type="expression" dxfId="273" priority="4">
      <formula>COUNTIF($A38,"7")</formula>
    </cfRule>
    <cfRule type="expression" dxfId="272" priority="5">
      <formula>COUNTIF($A38,"6")</formula>
    </cfRule>
    <cfRule type="expression" dxfId="271" priority="6">
      <formula>COUNTIF($A38,"5")</formula>
    </cfRule>
    <cfRule type="expression" dxfId="270" priority="7">
      <formula>COUNTIF($A38,"4")</formula>
    </cfRule>
    <cfRule type="expression" dxfId="269" priority="8">
      <formula>COUNTIF($A38,"3")</formula>
    </cfRule>
    <cfRule type="expression" dxfId="268" priority="9">
      <formula>COUNTIF($A38,"2")</formula>
    </cfRule>
    <cfRule type="expression" dxfId="267" priority="10">
      <formula>COUNTIF($A38,"1")</formula>
    </cfRule>
  </conditionalFormatting>
  <conditionalFormatting sqref="A30:C31">
    <cfRule type="expression" dxfId="266" priority="2">
      <formula>$A$30&lt;&gt;""</formula>
    </cfRule>
  </conditionalFormatting>
  <conditionalFormatting sqref="C38:C48">
    <cfRule type="cellIs" dxfId="264" priority="11" operator="equal">
      <formula>0</formula>
    </cfRule>
  </conditionalFormatting>
  <conditionalFormatting sqref="C11:AI11">
    <cfRule type="cellIs" dxfId="263" priority="5044" operator="equal">
      <formula>0</formula>
    </cfRule>
    <cfRule type="beginsWith" dxfId="262" priority="2633" operator="beginsWith" text="0a">
      <formula>LEFT(C11,LEN("0a"))="0a"</formula>
    </cfRule>
  </conditionalFormatting>
  <conditionalFormatting sqref="C12:AI23">
    <cfRule type="expression" dxfId="255" priority="40">
      <formula>AND(COUNTIF(C12,"*V*"),AND(NOT(COUNTIF(B12,"*V*")),NOT(COUNTIF(D12,"*V*"))))</formula>
    </cfRule>
  </conditionalFormatting>
  <conditionalFormatting sqref="D28 F28 H28 J28 L28 N28">
    <cfRule type="cellIs" dxfId="239" priority="5062" operator="equal">
      <formula>0</formula>
    </cfRule>
  </conditionalFormatting>
  <conditionalFormatting sqref="R28">
    <cfRule type="cellIs" dxfId="238" priority="5066" operator="equal">
      <formula>0</formula>
    </cfRule>
  </conditionalFormatting>
  <conditionalFormatting sqref="U28 X28">
    <cfRule type="cellIs" dxfId="237" priority="5063" operator="equal">
      <formula>0</formula>
    </cfRule>
  </conditionalFormatting>
  <conditionalFormatting sqref="Z38:Z48">
    <cfRule type="cellIs" dxfId="236" priority="12" operator="equal">
      <formula>0</formula>
    </cfRule>
  </conditionalFormatting>
  <conditionalFormatting sqref="AE38:AE48">
    <cfRule type="cellIs" dxfId="235" priority="13" operator="equal">
      <formula>0</formula>
    </cfRule>
  </conditionalFormatting>
  <conditionalFormatting sqref="AE7:AI7">
    <cfRule type="cellIs" dxfId="234" priority="3" operator="equal">
      <formula>0</formula>
    </cfRule>
  </conditionalFormatting>
  <pageMargins left="0.3" right="0.25" top="0.1" bottom="0.25" header="0.3" footer="0.3"/>
  <pageSetup paperSize="9" orientation="landscape" r:id="rId1"/>
  <rowBreaks count="1" manualBreakCount="1">
    <brk id="60" max="25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041" id="{23A1D57E-E25E-4D59-AB57-01AF27AA6577}">
            <xm:f>SUM(Data!$BR46:$CV46)=0</xm:f>
            <x14:dxf>
              <font>
                <color theme="0"/>
              </font>
            </x14:dxf>
          </x14:cfRule>
          <xm:sqref>B12:B23</xm:sqref>
        </x14:conditionalFormatting>
        <x14:conditionalFormatting xmlns:xm="http://schemas.microsoft.com/office/excel/2006/main">
          <x14:cfRule type="expression" priority="34" id="{92EB1C0C-5CE7-40C5-ACA8-8BD69F0207A8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35" id="{9C21AE18-A6FD-4AEF-8250-B250870E7811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6" id="{0BE300E2-3AA8-4DFF-B48E-31986D9BFF1D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37" id="{84471717-CF14-493E-AF86-1CA54E665D6D}">
            <xm:f>COUNTIF('ARDT Cutter Entry'!C4,"*10*")</xm:f>
            <x14:dxf>
              <fill>
                <patternFill>
                  <bgColor rgb="FFFF8181"/>
                </patternFill>
              </fill>
            </x14:dxf>
          </x14:cfRule>
          <x14:cfRule type="expression" priority="38" id="{8FB4D2A0-A38A-4FA0-A641-FFEF9C544646}">
            <xm:f>COUNTIF('ARDT Cutter Entry'!C4,"*9*")</xm:f>
            <x14:dxf>
              <fill>
                <patternFill>
                  <bgColor rgb="FF967200"/>
                </patternFill>
              </fill>
            </x14:dxf>
          </x14:cfRule>
          <x14:cfRule type="expression" priority="39" id="{99FEB2F2-6AF1-4BDA-BB66-0D0701B5EA2C}">
            <xm:f>COUNTIF('ARDT Cutter Entry'!C4,"*8*")</xm:f>
            <x14:dxf>
              <fill>
                <patternFill>
                  <bgColor rgb="FF8F45C7"/>
                </patternFill>
              </fill>
            </x14:dxf>
          </x14:cfRule>
          <x14:cfRule type="expression" priority="1" id="{0D185EAF-ED21-420F-95BB-85B83097904D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42" id="{DD3EF021-65B0-4767-B185-E47964B6E97B}">
            <xm:f>COUNTIF('ARDT Cutter Entry'!C4,"*6*")</xm:f>
            <x14:dxf>
              <font>
                <color theme="1"/>
              </font>
              <fill>
                <patternFill>
                  <bgColor rgb="FFDDD9C4"/>
                </patternFill>
              </fill>
            </x14:dxf>
          </x14:cfRule>
          <x14:cfRule type="expression" priority="43" id="{BAFC24CF-090E-4437-A829-B8B73C7DE8F5}">
            <xm:f>COUNTIF('ARDT Cutter Entry'!C4,"*5*")</xm:f>
            <x14:dxf>
              <font>
                <color theme="1"/>
              </font>
              <fill>
                <patternFill>
                  <bgColor rgb="FFE4DFE6"/>
                </patternFill>
              </fill>
            </x14:dxf>
          </x14:cfRule>
          <x14:cfRule type="expression" priority="44" id="{05F16150-BF1C-4243-8BE0-3089731946A5}">
            <xm:f>COUNTIF('ARDT Cutter Entry'!C4,"*4*")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45" id="{945F9210-4306-48FF-9CB8-656D6E2F2D62}">
            <xm:f>COUNTIF('ARDT Cutter Entry'!C4,"*3*")</xm:f>
            <x14:dxf>
              <font>
                <color theme="1"/>
              </font>
              <fill>
                <patternFill>
                  <bgColor rgb="FFFDE9D9"/>
                </patternFill>
              </fill>
            </x14:dxf>
          </x14:cfRule>
          <x14:cfRule type="expression" priority="46" id="{54BDF259-EA72-4310-8847-42A2E6927E67}">
            <xm:f>COUNTIF('ARDT Cutter Entry'!C4,"*2*")</xm:f>
            <x14:dxf>
              <font>
                <color theme="1"/>
              </font>
              <fill>
                <patternFill>
                  <bgColor rgb="FFC4D79B"/>
                </patternFill>
              </fill>
            </x14:dxf>
          </x14:cfRule>
          <x14:cfRule type="expression" priority="47" id="{A02F5D83-F522-404E-BB10-4AC05BFD4BB3}">
            <xm:f>COUNTIF('ARDT Cutter Entry'!C4,"*1*")</xm:f>
            <x14:dxf>
              <font>
                <color theme="1"/>
              </font>
              <fill>
                <patternFill>
                  <bgColor rgb="FF92CDDC"/>
                </patternFill>
              </fill>
            </x14:dxf>
          </x14:cfRule>
          <x14:cfRule type="expression" priority="48" id="{408BC535-A908-4894-9973-698A4EE70585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49" id="{F1A9E016-F2E8-45A6-9652-A2573F62D0D4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50" id="{F4D22040-A120-458B-8429-2D1013A05FFD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51" id="{E65149C0-A89B-4F4A-B2B8-B3D76DA3EAB5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52" id="{1FAC7B2E-42FA-458C-AFC2-C0EB0D559F37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53" id="{9469EF17-B175-4FC0-9FC0-719CBB7DC590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54" id="{CC278CE3-2459-4AD0-AD5F-B09F0EE5D252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1" id="{E7EC808B-0C28-4165-9A23-FD3926927FB5}">
            <xm:f>COUNTIF('ARDT Cutter Entry'!C4,"*7*")</xm:f>
            <x14:dxf>
              <font>
                <color theme="1"/>
              </font>
              <fill>
                <patternFill>
                  <bgColor rgb="FFF2DCDB"/>
                </patternFill>
              </fill>
            </x14:dxf>
          </x14:cfRule>
          <xm:sqref>C12:AI23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tabColor rgb="FFFFFF00"/>
    <pageSetUpPr fitToPage="1"/>
  </sheetPr>
  <dimension ref="A1:AN67"/>
  <sheetViews>
    <sheetView view="pageBreakPreview" topLeftCell="A23" zoomScaleNormal="100" zoomScaleSheetLayoutView="100" workbookViewId="0">
      <selection activeCell="AG67" sqref="AG67"/>
    </sheetView>
  </sheetViews>
  <sheetFormatPr defaultColWidth="9.1796875" defaultRowHeight="14.5" x14ac:dyDescent="0.35"/>
  <cols>
    <col min="1" max="35" width="3.26953125" customWidth="1"/>
    <col min="36" max="36" width="10.26953125" customWidth="1"/>
    <col min="37" max="37" width="3" customWidth="1"/>
    <col min="38" max="38" width="9.81640625" customWidth="1"/>
    <col min="39" max="39" width="9.1796875" customWidth="1"/>
    <col min="40" max="40" width="15.7265625" customWidth="1"/>
  </cols>
  <sheetData>
    <row r="1" spans="1:37" ht="22" customHeight="1" x14ac:dyDescent="0.35">
      <c r="A1" s="450"/>
      <c r="B1" s="450"/>
      <c r="C1" s="450"/>
      <c r="D1" s="450"/>
      <c r="E1" s="1938" t="s">
        <v>22</v>
      </c>
      <c r="F1" s="1938"/>
      <c r="G1" s="1938"/>
      <c r="H1" s="1938"/>
      <c r="I1" s="1938"/>
      <c r="J1" s="1938"/>
      <c r="K1" s="1938"/>
      <c r="L1" s="1938"/>
      <c r="M1" s="1938"/>
      <c r="N1" s="1938"/>
      <c r="O1" s="1938"/>
      <c r="P1" s="1938"/>
      <c r="Q1" s="1938"/>
      <c r="R1" s="1938"/>
      <c r="S1" s="1938"/>
      <c r="T1" s="1938"/>
      <c r="U1" s="1938"/>
      <c r="V1" s="1938"/>
      <c r="W1" s="1938"/>
      <c r="X1" s="1938"/>
      <c r="Y1" s="1938"/>
      <c r="Z1" s="1938"/>
      <c r="AA1" s="1938"/>
      <c r="AB1" s="450"/>
      <c r="AC1" s="450"/>
      <c r="AD1" s="450"/>
      <c r="AE1" s="450"/>
      <c r="AF1" s="450"/>
      <c r="AG1" s="450"/>
      <c r="AH1" s="450"/>
      <c r="AI1" s="450"/>
    </row>
    <row r="2" spans="1:37" ht="5.15" customHeight="1" thickBot="1" x14ac:dyDescent="0.4">
      <c r="A2" s="240"/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450"/>
      <c r="Z2" s="1950"/>
      <c r="AA2" s="1950"/>
    </row>
    <row r="3" spans="1:37" ht="18" customHeight="1" thickBot="1" x14ac:dyDescent="0.4">
      <c r="A3" s="450"/>
      <c r="B3" s="450"/>
      <c r="C3" s="450"/>
      <c r="D3" s="450"/>
      <c r="E3" s="1951" t="s">
        <v>70</v>
      </c>
      <c r="F3" s="1952"/>
      <c r="G3" s="1952"/>
      <c r="H3" s="1952"/>
      <c r="I3" s="1952"/>
      <c r="J3" s="1952"/>
      <c r="K3" s="1952"/>
      <c r="L3" s="1952"/>
      <c r="M3" s="1952"/>
      <c r="N3" s="1952"/>
      <c r="O3" s="1952"/>
      <c r="P3" s="1952"/>
      <c r="Q3" s="1953"/>
      <c r="R3" s="1956" t="s">
        <v>33</v>
      </c>
      <c r="S3" s="1956"/>
      <c r="T3" s="1956"/>
      <c r="U3" s="1956"/>
      <c r="V3" s="1956"/>
      <c r="W3" s="1945">
        <f>IF(Data!B24&lt;&gt;"",Data!B24,IFERROR(VLOOKUP(Data!$B$7,Data!F63:G70,2,FALSE),""))</f>
        <v>6600048646</v>
      </c>
      <c r="X3" s="1946"/>
      <c r="Y3" s="1946"/>
      <c r="Z3" s="1946"/>
      <c r="AA3" s="1947"/>
    </row>
    <row r="4" spans="1:37" ht="5.15" customHeight="1" thickBot="1" x14ac:dyDescent="0.4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X4" s="455"/>
      <c r="Y4" s="455"/>
      <c r="Z4" s="455"/>
      <c r="AA4" s="455"/>
      <c r="AB4" s="455"/>
      <c r="AE4" s="449"/>
      <c r="AF4" s="449"/>
      <c r="AG4" s="449"/>
      <c r="AH4" s="450"/>
      <c r="AI4" s="450"/>
    </row>
    <row r="5" spans="1:37" ht="18" customHeight="1" thickBot="1" x14ac:dyDescent="0.4">
      <c r="E5" s="1679" t="s">
        <v>735</v>
      </c>
      <c r="F5" s="1679"/>
      <c r="G5" s="1679"/>
      <c r="H5" s="1679"/>
      <c r="I5" s="1679"/>
      <c r="J5" s="1679"/>
      <c r="K5" s="1578" t="str">
        <f>IF(Data!B1&lt;&gt;"", Data!B1, " ")</f>
        <v>2025-AR-105</v>
      </c>
      <c r="L5" s="1681"/>
      <c r="M5" s="1681"/>
      <c r="N5" s="1681"/>
      <c r="O5" s="1681"/>
      <c r="P5" s="1681"/>
      <c r="Q5" s="1579"/>
      <c r="R5" s="1673" t="s">
        <v>832</v>
      </c>
      <c r="S5" s="1673"/>
      <c r="T5" s="1673"/>
      <c r="U5" s="1673"/>
      <c r="V5" s="1673"/>
      <c r="W5" s="1942">
        <f>IF(Data!B6&lt;&gt;"",Data!B6," ")</f>
        <v>46002</v>
      </c>
      <c r="X5" s="1943"/>
      <c r="Y5" s="1943"/>
      <c r="Z5" s="1943"/>
      <c r="AA5" s="1944"/>
    </row>
    <row r="6" spans="1:37" ht="5.15" customHeight="1" thickBot="1" x14ac:dyDescent="0.4">
      <c r="A6" s="240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X6" s="455"/>
      <c r="Y6" s="455"/>
      <c r="Z6" s="455"/>
      <c r="AA6" s="455"/>
      <c r="AB6" s="455"/>
      <c r="AE6" s="449"/>
      <c r="AF6" s="449"/>
      <c r="AG6" s="449"/>
      <c r="AH6" s="450"/>
      <c r="AI6" s="450"/>
    </row>
    <row r="7" spans="1:37" ht="18" customHeight="1" thickBot="1" x14ac:dyDescent="0.4">
      <c r="A7" s="450"/>
      <c r="B7" s="1679" t="s">
        <v>28</v>
      </c>
      <c r="C7" s="1679"/>
      <c r="D7" s="1679"/>
      <c r="E7" s="1578">
        <f>IF(Data!B2&lt;&gt;"",IFERROR(LEFT(Data!B2,FIND("R",Data!B2)),Data!B2),"")</f>
        <v>13753277</v>
      </c>
      <c r="F7" s="1681"/>
      <c r="G7" s="1681"/>
      <c r="H7" s="1681"/>
      <c r="I7" s="1681"/>
      <c r="J7" s="1579"/>
      <c r="K7" s="1679" t="str">
        <f>IF('Eval-LSTK'!D66="√","Material No: ","Size: ")</f>
        <v xml:space="preserve">Size: </v>
      </c>
      <c r="L7" s="1679"/>
      <c r="M7" s="1680"/>
      <c r="N7" s="1578" t="str">
        <f>IF('Eval-LSTK'!D66="√",IF(Data!B5&lt;&gt;"",Data!B5," "),IF(Data!B3&lt;&gt;"",Data!B3&amp;""""," "))</f>
        <v>8 3/8""</v>
      </c>
      <c r="O7" s="1681"/>
      <c r="P7" s="1681"/>
      <c r="Q7" s="1579"/>
      <c r="R7" s="1679" t="str">
        <f>IF('Eval-LSTK'!D66="√","Size &amp; Type:","Type: ")</f>
        <v xml:space="preserve">Type: </v>
      </c>
      <c r="S7" s="1679"/>
      <c r="T7" s="1679"/>
      <c r="U7" s="1679"/>
      <c r="V7" s="1680"/>
      <c r="W7" s="1945" t="str">
        <f>IF('Eval-LSTK'!D66="√",IF(AND(Data!B43&lt;&gt;"",Data!B43&lt;&gt;"0 0/1"""),Data!B43,"")&amp;" "&amp;IF(Data!B4&lt;&gt;"",Data!B4," "),IF(Data!B4&lt;&gt;"",Data!B4," "))</f>
        <v>MM65DH</v>
      </c>
      <c r="X7" s="1946"/>
      <c r="Y7" s="1946"/>
      <c r="Z7" s="1946"/>
      <c r="AA7" s="1947"/>
      <c r="AC7" s="1937"/>
      <c r="AD7" s="1937"/>
      <c r="AE7" s="1937"/>
      <c r="AF7" s="1937"/>
      <c r="AG7" s="1937"/>
    </row>
    <row r="8" spans="1:37" ht="5.15" customHeight="1" thickBot="1" x14ac:dyDescent="0.4">
      <c r="A8" s="240"/>
      <c r="B8" s="240"/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X8" s="455"/>
      <c r="Y8" s="455"/>
      <c r="Z8" s="455"/>
      <c r="AA8" s="455"/>
      <c r="AB8" s="455"/>
      <c r="AE8" s="449"/>
      <c r="AF8" s="449"/>
      <c r="AG8" s="449"/>
      <c r="AH8" s="450"/>
      <c r="AI8" s="450"/>
    </row>
    <row r="9" spans="1:37" ht="18" customHeight="1" thickBot="1" x14ac:dyDescent="0.4">
      <c r="A9" s="1939" t="str">
        <f>IF(Data!L5=1,"Scrap Quotation",IF('Eval-LSTK'!D64="√","Repair Quotation",IF(OR('Eval-LSTK'!D68="√",Data!L4=1),"Inspection Charge Quotation","Quotation")))</f>
        <v>Repair Quotation</v>
      </c>
      <c r="B9" s="1940"/>
      <c r="C9" s="1940"/>
      <c r="D9" s="1940"/>
      <c r="E9" s="1940"/>
      <c r="F9" s="1940"/>
      <c r="G9" s="1940"/>
      <c r="H9" s="1940"/>
      <c r="I9" s="1940"/>
      <c r="J9" s="1940"/>
      <c r="K9" s="1940"/>
      <c r="L9" s="1940"/>
      <c r="M9" s="1940"/>
      <c r="N9" s="1940"/>
      <c r="O9" s="1940"/>
      <c r="P9" s="1940"/>
      <c r="Q9" s="1940"/>
      <c r="R9" s="1940"/>
      <c r="S9" s="1940"/>
      <c r="T9" s="1940"/>
      <c r="U9" s="1940"/>
      <c r="V9" s="1940"/>
      <c r="W9" s="1940"/>
      <c r="X9" s="1940"/>
      <c r="Y9" s="1940"/>
      <c r="Z9" s="1940"/>
      <c r="AA9" s="1941"/>
      <c r="AB9" s="472"/>
      <c r="AC9" s="472"/>
      <c r="AD9" s="472"/>
      <c r="AE9" s="472"/>
      <c r="AF9" s="472"/>
      <c r="AG9" s="472"/>
      <c r="AH9" s="472"/>
      <c r="AI9" s="472"/>
      <c r="AJ9" s="472"/>
      <c r="AK9" s="472"/>
    </row>
    <row r="10" spans="1:37" ht="5.15" customHeight="1" x14ac:dyDescent="0.35">
      <c r="A10" s="467"/>
      <c r="B10" s="240"/>
      <c r="C10" s="240"/>
      <c r="D10" s="240"/>
      <c r="E10" s="240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X10" s="455"/>
      <c r="Y10" s="455"/>
      <c r="Z10" s="455"/>
      <c r="AA10" s="459"/>
      <c r="AB10" s="455"/>
      <c r="AE10" s="449"/>
      <c r="AF10" s="449"/>
      <c r="AG10" s="449"/>
      <c r="AH10" s="450"/>
      <c r="AI10" s="450"/>
    </row>
    <row r="11" spans="1:37" ht="15" customHeight="1" x14ac:dyDescent="0.35">
      <c r="A11" s="1948"/>
      <c r="B11" s="1949"/>
      <c r="C11" s="1800" t="s">
        <v>17</v>
      </c>
      <c r="D11" s="1800"/>
      <c r="E11" s="1800"/>
      <c r="F11" s="1800"/>
      <c r="G11" s="1800"/>
      <c r="H11" s="1800"/>
      <c r="I11" s="1800"/>
      <c r="J11" s="1800"/>
      <c r="K11" s="1800"/>
      <c r="L11" s="1800"/>
      <c r="M11" s="1800"/>
      <c r="N11" s="1800"/>
      <c r="O11" s="1800"/>
      <c r="P11" s="1800"/>
      <c r="Q11" s="1800"/>
      <c r="R11" s="1800"/>
      <c r="S11" s="1800"/>
      <c r="T11" s="1800"/>
      <c r="U11" s="1800"/>
      <c r="V11" s="1800"/>
      <c r="W11" s="477"/>
      <c r="X11" s="473"/>
      <c r="Y11" s="473"/>
      <c r="Z11" s="473"/>
      <c r="AA11" s="478"/>
      <c r="AB11" s="450"/>
      <c r="AC11" s="450"/>
      <c r="AD11" s="450"/>
      <c r="AE11" s="450"/>
      <c r="AF11" s="450"/>
      <c r="AG11" s="450"/>
      <c r="AH11" s="450"/>
      <c r="AI11" s="450"/>
      <c r="AJ11" s="450"/>
      <c r="AK11" s="450"/>
    </row>
    <row r="12" spans="1:37" ht="15" customHeight="1" x14ac:dyDescent="0.35">
      <c r="A12" s="1948"/>
      <c r="B12" s="1949"/>
      <c r="C12" s="437" t="str">
        <f>IF(Data!BR42&lt;&gt;"",Data!BR42,"")</f>
        <v>1a</v>
      </c>
      <c r="D12" s="437" t="str">
        <f>IF(Data!BS42&lt;&gt;"",Data!BS42,"")</f>
        <v>2a</v>
      </c>
      <c r="E12" s="437" t="str">
        <f>IF(Data!BT42&lt;&gt;"",Data!BT42,"")</f>
        <v>3a</v>
      </c>
      <c r="F12" s="437" t="str">
        <f>IF(Data!BU42&lt;&gt;"",Data!BU42,"")</f>
        <v>4a</v>
      </c>
      <c r="G12" s="437" t="str">
        <f>IF(Data!BV42&lt;&gt;"",Data!BV42,"")</f>
        <v>5a</v>
      </c>
      <c r="H12" s="437" t="str">
        <f>IF(Data!BW42&lt;&gt;"",Data!BW42,"")</f>
        <v>6a</v>
      </c>
      <c r="I12" s="437" t="str">
        <f>IF(Data!BX42&lt;&gt;"",Data!BX42,"")</f>
        <v>7a</v>
      </c>
      <c r="J12" s="437" t="str">
        <f>IF(Data!BY42&lt;&gt;"",Data!BY42,"")</f>
        <v>8a</v>
      </c>
      <c r="K12" s="437" t="str">
        <f>IF(Data!BZ42&lt;&gt;"",Data!BZ42,"")</f>
        <v>0a</v>
      </c>
      <c r="L12" s="437" t="str">
        <f>IF(Data!CA42&lt;&gt;"",Data!CA42,"")</f>
        <v>1b</v>
      </c>
      <c r="M12" s="437" t="str">
        <f>IF(Data!CB42&lt;&gt;"",Data!CB42,"")</f>
        <v>2b</v>
      </c>
      <c r="N12" s="437" t="str">
        <f>IF(Data!CC42&lt;&gt;"",Data!CC42,"")</f>
        <v>3b</v>
      </c>
      <c r="O12" s="437" t="str">
        <f>IF(Data!CD42&lt;&gt;"",Data!CD42,"")</f>
        <v>4b</v>
      </c>
      <c r="P12" s="437" t="str">
        <f>IF(Data!CE42&lt;&gt;"",Data!CE42,"")</f>
        <v>0a</v>
      </c>
      <c r="Q12" s="437" t="str">
        <f>IF(Data!CF42&lt;&gt;"",Data!CF42,"")</f>
        <v>0a</v>
      </c>
      <c r="R12" s="437" t="str">
        <f>IF(Data!CG42&lt;&gt;"",Data!CG42,"")</f>
        <v>0a</v>
      </c>
      <c r="S12" s="437" t="str">
        <f>IF(Data!CH42&lt;&gt;"",Data!CH42,"")</f>
        <v>0a</v>
      </c>
      <c r="T12" s="437" t="str">
        <f>IF(Data!CI42&lt;&gt;"",Data!CI42,"")</f>
        <v>0a</v>
      </c>
      <c r="U12" s="437" t="str">
        <f>IF(Data!CJ42&lt;&gt;"",Data!CJ42,"")</f>
        <v>0a</v>
      </c>
      <c r="V12" s="437" t="str">
        <f>IF(Data!CK42&lt;&gt;"",Data!CK42,"")</f>
        <v>0a</v>
      </c>
      <c r="W12" s="437" t="str">
        <f>IF(Data!CL42&lt;&gt;"",Data!CL42,"")</f>
        <v>0a</v>
      </c>
      <c r="X12" s="437" t="str">
        <f>IF(Data!CM42&lt;&gt;"",Data!CM42,"")</f>
        <v>0a</v>
      </c>
      <c r="Y12" s="437" t="str">
        <f>IF(Data!CN42&lt;&gt;"",Data!CN42,"")</f>
        <v>0a</v>
      </c>
      <c r="Z12" s="437" t="str">
        <f>IF(Data!CO42&lt;&gt;"",Data!CO42,"")</f>
        <v>0a</v>
      </c>
      <c r="AA12" s="437" t="str">
        <f>IF(Data!CP42&lt;&gt;"",Data!CP42,"")</f>
        <v>0a</v>
      </c>
      <c r="AB12" s="450"/>
      <c r="AC12" s="450"/>
      <c r="AD12" s="450"/>
      <c r="AE12" s="450"/>
      <c r="AF12" s="450"/>
      <c r="AG12" s="450"/>
      <c r="AH12" s="450"/>
      <c r="AI12" s="450"/>
      <c r="AJ12" s="450"/>
      <c r="AK12" s="450"/>
    </row>
    <row r="13" spans="1:37" ht="15" customHeight="1" x14ac:dyDescent="0.35">
      <c r="A13" s="1825" t="s">
        <v>18</v>
      </c>
      <c r="B13" s="437">
        <v>1</v>
      </c>
      <c r="C13" s="167" t="str">
        <f>IF(OR(Data!$L$2=1,Data!$L$3=1),IF(OR(Data!BR46=0,Data!BR46=""),"","O"&amp;Data!BR46),IF('ARDT Cutter Entry'!$C$111&lt;&gt;"",'ARDT Cutter Entry'!C111,'ARDT Cutter Entry'!C43))</f>
        <v>R1</v>
      </c>
      <c r="D13" s="167" t="str">
        <f>IF(OR(Data!$L$2=1,Data!$L$3=1),IF(OR(Data!BS46=0,Data!BS46=""),"","O"&amp;Data!BS46),IF('ARDT Cutter Entry'!$C$111&lt;&gt;"",'ARDT Cutter Entry'!D111,'ARDT Cutter Entry'!D43))</f>
        <v>R1</v>
      </c>
      <c r="E13" s="167" t="str">
        <f>IF(OR(Data!$L$2=1,Data!$L$3=1),IF(OR(Data!BT46=0,Data!BT46=""),"","O"&amp;Data!BT46),IF('ARDT Cutter Entry'!$C$111&lt;&gt;"",'ARDT Cutter Entry'!E111,'ARDT Cutter Entry'!E43))</f>
        <v>X5</v>
      </c>
      <c r="F13" s="167" t="str">
        <f>IF(OR(Data!$L$2=1,Data!$L$3=1),IF(OR(Data!BU46=0,Data!BU46=""),"","O"&amp;Data!BU46),IF('ARDT Cutter Entry'!$C$111&lt;&gt;"",'ARDT Cutter Entry'!F111,'ARDT Cutter Entry'!F43))</f>
        <v>X5</v>
      </c>
      <c r="G13" s="167" t="str">
        <f>IF(OR(Data!$L$2=1,Data!$L$3=1),IF(OR(Data!BV46=0,Data!BV46=""),"","O"&amp;Data!BV46),IF('ARDT Cutter Entry'!$C$111&lt;&gt;"",'ARDT Cutter Entry'!G111,'ARDT Cutter Entry'!G43))</f>
        <v>X5</v>
      </c>
      <c r="H13" s="167" t="str">
        <f>IF(OR(Data!$L$2=1,Data!$L$3=1),IF(OR(Data!BW46=0,Data!BW46=""),"","O"&amp;Data!BW46),IF('ARDT Cutter Entry'!$C$111&lt;&gt;"",'ARDT Cutter Entry'!H111,'ARDT Cutter Entry'!H43))</f>
        <v>X5</v>
      </c>
      <c r="I13" s="167" t="str">
        <f>IF(OR(Data!$L$2=1,Data!$L$3=1),IF(OR(Data!BX46=0,Data!BX46=""),"","O"&amp;Data!BX46),IF('ARDT Cutter Entry'!$C$111&lt;&gt;"",'ARDT Cutter Entry'!I111,'ARDT Cutter Entry'!I43))</f>
        <v>R1</v>
      </c>
      <c r="J13" s="167" t="str">
        <f>IF(OR(Data!$L$2=1,Data!$L$3=1),IF(OR(Data!BY46=0,Data!BY46=""),"","O"&amp;Data!BY46),IF('ARDT Cutter Entry'!$C$111&lt;&gt;"",'ARDT Cutter Entry'!J111,'ARDT Cutter Entry'!J43))</f>
        <v>X3</v>
      </c>
      <c r="K13" s="167" t="str">
        <f>IF(OR(Data!$L$2=1,Data!$L$3=1),IF(OR(Data!BZ46=0,Data!BZ46=""),"","O"&amp;Data!BZ46),IF('ARDT Cutter Entry'!$C$111&lt;&gt;"",'ARDT Cutter Entry'!K111,'ARDT Cutter Entry'!K43))</f>
        <v/>
      </c>
      <c r="L13" s="167" t="str">
        <f>IF(OR(Data!$L$2=1,Data!$L$3=1),IF(OR(Data!CA46=0,Data!CA46=""),"","O"&amp;Data!CA46),IF('ARDT Cutter Entry'!$C$111&lt;&gt;"",'ARDT Cutter Entry'!L111,'ARDT Cutter Entry'!L43))</f>
        <v>S2</v>
      </c>
      <c r="M13" s="167" t="str">
        <f>IF(OR(Data!$L$2=1,Data!$L$3=1),IF(OR(Data!CB46=0,Data!CB46=""),"","O"&amp;Data!CB46),IF('ARDT Cutter Entry'!$C$111&lt;&gt;"",'ARDT Cutter Entry'!M111,'ARDT Cutter Entry'!M43))</f>
        <v>X4</v>
      </c>
      <c r="N13" s="167" t="str">
        <f>IF(OR(Data!$L$2=1,Data!$L$3=1),IF(OR(Data!CC46=0,Data!CC46=""),"","O"&amp;Data!CC46),IF('ARDT Cutter Entry'!$C$111&lt;&gt;"",'ARDT Cutter Entry'!N111,'ARDT Cutter Entry'!N43))</f>
        <v>X4</v>
      </c>
      <c r="O13" s="167" t="str">
        <f>IF(OR(Data!$L$2=1,Data!$L$3=1),IF(OR(Data!CD46=0,Data!CD46=""),"","O"&amp;Data!CD46),IF('ARDT Cutter Entry'!$C$111&lt;&gt;"",'ARDT Cutter Entry'!O111,'ARDT Cutter Entry'!O43))</f>
        <v>R2</v>
      </c>
      <c r="P13" s="167" t="str">
        <f>IF(OR(Data!$L$2=1,Data!$L$3=1),IF(OR(Data!CE46=0,Data!CE46=""),"","O"&amp;Data!CE46),IF('ARDT Cutter Entry'!$C$111&lt;&gt;"",'ARDT Cutter Entry'!P111,'ARDT Cutter Entry'!P43))</f>
        <v/>
      </c>
      <c r="Q13" s="167" t="str">
        <f>IF(OR(Data!$L$2=1,Data!$L$3=1),IF(OR(Data!CF46=0,Data!CF46=""),"","O"&amp;Data!CF46),IF('ARDT Cutter Entry'!$C$111&lt;&gt;"",'ARDT Cutter Entry'!Q111,'ARDT Cutter Entry'!Q43))</f>
        <v/>
      </c>
      <c r="R13" s="167" t="str">
        <f>IF(OR(Data!$L$2=1,Data!$L$3=1),IF(OR(Data!CG46=0,Data!CG46=""),"","O"&amp;Data!CG46),IF('ARDT Cutter Entry'!$C$111&lt;&gt;"",'ARDT Cutter Entry'!R111,'ARDT Cutter Entry'!R43))</f>
        <v/>
      </c>
      <c r="S13" s="167" t="str">
        <f>IF(OR(Data!$L$2=1,Data!$L$3=1),IF(OR(Data!CH46=0,Data!CH46=""),"","O"&amp;Data!CH46),IF('ARDT Cutter Entry'!$C$111&lt;&gt;"",'ARDT Cutter Entry'!S111,'ARDT Cutter Entry'!S43))</f>
        <v/>
      </c>
      <c r="T13" s="167" t="str">
        <f>IF(OR(Data!$L$2=1,Data!$L$3=1),IF(OR(Data!CI46=0,Data!CI46=""),"","O"&amp;Data!CI46),IF('ARDT Cutter Entry'!$C$111&lt;&gt;"",'ARDT Cutter Entry'!T111,'ARDT Cutter Entry'!T43))</f>
        <v/>
      </c>
      <c r="U13" s="167" t="str">
        <f>IF(OR(Data!$L$2=1,Data!$L$3=1),IF(OR(Data!CJ46=0,Data!CJ46=""),"","O"&amp;Data!CJ46),IF('ARDT Cutter Entry'!$C$111&lt;&gt;"",'ARDT Cutter Entry'!U111,'ARDT Cutter Entry'!U43))</f>
        <v/>
      </c>
      <c r="V13" s="167" t="str">
        <f>IF(OR(Data!$L$2=1,Data!$L$3=1),IF(OR(Data!CK46=0,Data!CK46=""),"","O"&amp;Data!CK46),IF('ARDT Cutter Entry'!$C$111&lt;&gt;"",'ARDT Cutter Entry'!V111,'ARDT Cutter Entry'!V43))</f>
        <v/>
      </c>
      <c r="W13" s="167" t="str">
        <f>IF(OR(Data!$L$2=1,Data!$L$3=1),IF(OR(Data!CL46=0,Data!CL46=""),"","O"&amp;Data!CL46),IF('ARDT Cutter Entry'!$C$111&lt;&gt;"",'ARDT Cutter Entry'!W111,'ARDT Cutter Entry'!W43))</f>
        <v/>
      </c>
      <c r="X13" s="167" t="str">
        <f>IF(OR(Data!$L$2=1,Data!$L$3=1),IF(OR(Data!CM46=0,Data!CM46=""),"","O"&amp;Data!CM46),IF('ARDT Cutter Entry'!$C$111&lt;&gt;"",'ARDT Cutter Entry'!X111,'ARDT Cutter Entry'!X43))</f>
        <v/>
      </c>
      <c r="Y13" s="167" t="str">
        <f>IF(OR(Data!$L$2=1,Data!$L$3=1),IF(OR(Data!CN46=0,Data!CN46=""),"","O"&amp;Data!CN46),IF('ARDT Cutter Entry'!$C$111&lt;&gt;"",'ARDT Cutter Entry'!Y111,'ARDT Cutter Entry'!Y43))</f>
        <v/>
      </c>
      <c r="Z13" s="167" t="str">
        <f>IF(OR(Data!$L$2=1,Data!$L$3=1),IF(OR(Data!CO46=0,Data!CO46=""),"","O"&amp;Data!CO46),IF('ARDT Cutter Entry'!$C$111&lt;&gt;"",'ARDT Cutter Entry'!Z111,'ARDT Cutter Entry'!Z43))</f>
        <v/>
      </c>
      <c r="AA13" s="248" t="str">
        <f>IF(OR(Data!$L$2=1,Data!$L$3=1),IF(OR(Data!CP46=0,Data!CP46=""),"","O"&amp;Data!CP46),IF('ARDT Cutter Entry'!$C$111&lt;&gt;"",'ARDT Cutter Entry'!AA111,'ARDT Cutter Entry'!AA43))</f>
        <v/>
      </c>
      <c r="AB13" s="240" t="str">
        <f>IF('ARDT Cutter Entry'!AB111&lt;&gt;"",SUBSTITUTE('ARDT Cutter Entry'!AB111,"*","")," ")</f>
        <v xml:space="preserve"> </v>
      </c>
      <c r="AC13" s="240" t="str">
        <f>IF('ARDT Cutter Entry'!AC111&lt;&gt;"",SUBSTITUTE('ARDT Cutter Entry'!AC111,"*","")," ")</f>
        <v xml:space="preserve"> </v>
      </c>
      <c r="AD13" s="240" t="str">
        <f>IF('ARDT Cutter Entry'!AD111&lt;&gt;"",SUBSTITUTE('ARDT Cutter Entry'!AD111,"*","")," ")</f>
        <v xml:space="preserve"> </v>
      </c>
      <c r="AE13" s="240" t="str">
        <f>IF('ARDT Cutter Entry'!AE111&lt;&gt;"",SUBSTITUTE('ARDT Cutter Entry'!AE111,"*","")," ")</f>
        <v xml:space="preserve"> </v>
      </c>
      <c r="AF13" s="240" t="str">
        <f>IF('ARDT Cutter Entry'!AF111&lt;&gt;"",SUBSTITUTE('ARDT Cutter Entry'!AF111,"*","")," ")</f>
        <v xml:space="preserve"> </v>
      </c>
      <c r="AG13" s="240" t="str">
        <f>IF('ARDT Cutter Entry'!AG111&lt;&gt;"",SUBSTITUTE('ARDT Cutter Entry'!AG111,"*","")," ")</f>
        <v xml:space="preserve"> </v>
      </c>
      <c r="AH13" s="240" t="str">
        <f>IF('ARDT Cutter Entry'!AH111&lt;&gt;"",SUBSTITUTE('ARDT Cutter Entry'!AH111,"*","")," ")</f>
        <v xml:space="preserve"> </v>
      </c>
      <c r="AI13" s="240" t="str">
        <f>IF('ARDT Cutter Entry'!AI111&lt;&gt;"",SUBSTITUTE('ARDT Cutter Entry'!AI111,"*","")," ")</f>
        <v xml:space="preserve"> </v>
      </c>
    </row>
    <row r="14" spans="1:37" ht="15" customHeight="1" x14ac:dyDescent="0.35">
      <c r="A14" s="1825"/>
      <c r="B14" s="437">
        <v>2</v>
      </c>
      <c r="C14" s="167" t="str">
        <f>IF(OR(Data!$L$2=1,Data!$L$3=1),IF(OR(Data!BR47=0,Data!BR47=""),"","O"&amp;Data!BR47),IF('ARDT Cutter Entry'!$C$111&lt;&gt;"",'ARDT Cutter Entry'!C112,'ARDT Cutter Entry'!C44))</f>
        <v>X5</v>
      </c>
      <c r="D14" s="167" t="str">
        <f>IF(OR(Data!$L$2=1,Data!$L$3=1),IF(OR(Data!BS47=0,Data!BS47=""),"","O"&amp;Data!BS47),IF('ARDT Cutter Entry'!$C$111&lt;&gt;"",'ARDT Cutter Entry'!D112,'ARDT Cutter Entry'!D44))</f>
        <v>X5</v>
      </c>
      <c r="E14" s="167" t="str">
        <f>IF(OR(Data!$L$2=1,Data!$L$3=1),IF(OR(Data!BT47=0,Data!BT47=""),"","O"&amp;Data!BT47),IF('ARDT Cutter Entry'!$C$111&lt;&gt;"",'ARDT Cutter Entry'!E112,'ARDT Cutter Entry'!E44))</f>
        <v>X5</v>
      </c>
      <c r="F14" s="167" t="str">
        <f>IF(OR(Data!$L$2=1,Data!$L$3=1),IF(OR(Data!BU47=0,Data!BU47=""),"","O"&amp;Data!BU47),IF('ARDT Cutter Entry'!$C$111&lt;&gt;"",'ARDT Cutter Entry'!F112,'ARDT Cutter Entry'!F44))</f>
        <v>R1</v>
      </c>
      <c r="G14" s="167" t="str">
        <f>IF(OR(Data!$L$2=1,Data!$L$3=1),IF(OR(Data!BV47=0,Data!BV47=""),"","O"&amp;Data!BV47),IF('ARDT Cutter Entry'!$C$111&lt;&gt;"",'ARDT Cutter Entry'!G112,'ARDT Cutter Entry'!G44))</f>
        <v>X3</v>
      </c>
      <c r="H14" s="167" t="str">
        <f>IF(OR(Data!$L$2=1,Data!$L$3=1),IF(OR(Data!BW47=0,Data!BW47=""),"","O"&amp;Data!BW47),IF('ARDT Cutter Entry'!$C$111&lt;&gt;"",'ARDT Cutter Entry'!H112,'ARDT Cutter Entry'!H44))</f>
        <v/>
      </c>
      <c r="I14" s="167" t="str">
        <f>IF(OR(Data!$L$2=1,Data!$L$3=1),IF(OR(Data!BX47=0,Data!BX47=""),"","O"&amp;Data!BX47),IF('ARDT Cutter Entry'!$C$111&lt;&gt;"",'ARDT Cutter Entry'!I112,'ARDT Cutter Entry'!I44))</f>
        <v/>
      </c>
      <c r="J14" s="167" t="str">
        <f>IF(OR(Data!$L$2=1,Data!$L$3=1),IF(OR(Data!BY47=0,Data!BY47=""),"","O"&amp;Data!BY47),IF('ARDT Cutter Entry'!$C$111&lt;&gt;"",'ARDT Cutter Entry'!J112,'ARDT Cutter Entry'!J44))</f>
        <v/>
      </c>
      <c r="K14" s="167" t="str">
        <f>IF(OR(Data!$L$2=1,Data!$L$3=1),IF(OR(Data!BZ47=0,Data!BZ47=""),"","O"&amp;Data!BZ47),IF('ARDT Cutter Entry'!$C$111&lt;&gt;"",'ARDT Cutter Entry'!K112,'ARDT Cutter Entry'!K44))</f>
        <v/>
      </c>
      <c r="L14" s="167" t="str">
        <f>IF(OR(Data!$L$2=1,Data!$L$3=1),IF(OR(Data!CA47=0,Data!CA47=""),"","O"&amp;Data!CA47),IF('ARDT Cutter Entry'!$C$111&lt;&gt;"",'ARDT Cutter Entry'!L112,'ARDT Cutter Entry'!L44))</f>
        <v>S2</v>
      </c>
      <c r="M14" s="167" t="str">
        <f>IF(OR(Data!$L$2=1,Data!$L$3=1),IF(OR(Data!CB47=0,Data!CB47=""),"","O"&amp;Data!CB47),IF('ARDT Cutter Entry'!$C$111&lt;&gt;"",'ARDT Cutter Entry'!M112,'ARDT Cutter Entry'!M44))</f>
        <v>R2</v>
      </c>
      <c r="N14" s="167" t="str">
        <f>IF(OR(Data!$L$2=1,Data!$L$3=1),IF(OR(Data!CC47=0,Data!CC47=""),"","O"&amp;Data!CC47),IF('ARDT Cutter Entry'!$C$111&lt;&gt;"",'ARDT Cutter Entry'!N112,'ARDT Cutter Entry'!N44))</f>
        <v>X4</v>
      </c>
      <c r="O14" s="167" t="str">
        <f>IF(OR(Data!$L$2=1,Data!$L$3=1),IF(OR(Data!CD47=0,Data!CD47=""),"","O"&amp;Data!CD47),IF('ARDT Cutter Entry'!$C$111&lt;&gt;"",'ARDT Cutter Entry'!O112,'ARDT Cutter Entry'!O44))</f>
        <v>R2</v>
      </c>
      <c r="P14" s="167" t="str">
        <f>IF(OR(Data!$L$2=1,Data!$L$3=1),IF(OR(Data!CE47=0,Data!CE47=""),"","O"&amp;Data!CE47),IF('ARDT Cutter Entry'!$C$111&lt;&gt;"",'ARDT Cutter Entry'!P112,'ARDT Cutter Entry'!P44))</f>
        <v/>
      </c>
      <c r="Q14" s="167" t="str">
        <f>IF(OR(Data!$L$2=1,Data!$L$3=1),IF(OR(Data!CF47=0,Data!CF47=""),"","O"&amp;Data!CF47),IF('ARDT Cutter Entry'!$C$111&lt;&gt;"",'ARDT Cutter Entry'!Q112,'ARDT Cutter Entry'!Q44))</f>
        <v/>
      </c>
      <c r="R14" s="167" t="str">
        <f>IF(OR(Data!$L$2=1,Data!$L$3=1),IF(OR(Data!CG47=0,Data!CG47=""),"","O"&amp;Data!CG47),IF('ARDT Cutter Entry'!$C$111&lt;&gt;"",'ARDT Cutter Entry'!R112,'ARDT Cutter Entry'!R44))</f>
        <v/>
      </c>
      <c r="S14" s="167" t="str">
        <f>IF(OR(Data!$L$2=1,Data!$L$3=1),IF(OR(Data!CH47=0,Data!CH47=""),"","O"&amp;Data!CH47),IF('ARDT Cutter Entry'!$C$111&lt;&gt;"",'ARDT Cutter Entry'!S112,'ARDT Cutter Entry'!S44))</f>
        <v/>
      </c>
      <c r="T14" s="167" t="str">
        <f>IF(OR(Data!$L$2=1,Data!$L$3=1),IF(OR(Data!CI47=0,Data!CI47=""),"","O"&amp;Data!CI47),IF('ARDT Cutter Entry'!$C$111&lt;&gt;"",'ARDT Cutter Entry'!T112,'ARDT Cutter Entry'!T44))</f>
        <v/>
      </c>
      <c r="U14" s="167" t="str">
        <f>IF(OR(Data!$L$2=1,Data!$L$3=1),IF(OR(Data!CJ47=0,Data!CJ47=""),"","O"&amp;Data!CJ47),IF('ARDT Cutter Entry'!$C$111&lt;&gt;"",'ARDT Cutter Entry'!U112,'ARDT Cutter Entry'!U44))</f>
        <v/>
      </c>
      <c r="V14" s="167" t="str">
        <f>IF(OR(Data!$L$2=1,Data!$L$3=1),IF(OR(Data!CK47=0,Data!CK47=""),"","O"&amp;Data!CK47),IF('ARDT Cutter Entry'!$C$111&lt;&gt;"",'ARDT Cutter Entry'!V112,'ARDT Cutter Entry'!V44))</f>
        <v/>
      </c>
      <c r="W14" s="167" t="str">
        <f>IF(OR(Data!$L$2=1,Data!$L$3=1),IF(OR(Data!CL47=0,Data!CL47=""),"","O"&amp;Data!CL47),IF('ARDT Cutter Entry'!$C$111&lt;&gt;"",'ARDT Cutter Entry'!W112,'ARDT Cutter Entry'!W44))</f>
        <v/>
      </c>
      <c r="X14" s="167" t="str">
        <f>IF(OR(Data!$L$2=1,Data!$L$3=1),IF(OR(Data!CM47=0,Data!CM47=""),"","O"&amp;Data!CM47),IF('ARDT Cutter Entry'!$C$111&lt;&gt;"",'ARDT Cutter Entry'!X112,'ARDT Cutter Entry'!X44))</f>
        <v/>
      </c>
      <c r="Y14" s="167" t="str">
        <f>IF(OR(Data!$L$2=1,Data!$L$3=1),IF(OR(Data!CN47=0,Data!CN47=""),"","O"&amp;Data!CN47),IF('ARDT Cutter Entry'!$C$111&lt;&gt;"",'ARDT Cutter Entry'!Y112,'ARDT Cutter Entry'!Y44))</f>
        <v/>
      </c>
      <c r="Z14" s="167" t="str">
        <f>IF(OR(Data!$L$2=1,Data!$L$3=1),IF(OR(Data!CO47=0,Data!CO47=""),"","O"&amp;Data!CO47),IF('ARDT Cutter Entry'!$C$111&lt;&gt;"",'ARDT Cutter Entry'!Z112,'ARDT Cutter Entry'!Z44))</f>
        <v/>
      </c>
      <c r="AA14" s="248" t="str">
        <f>IF(OR(Data!$L$2=1,Data!$L$3=1),IF(OR(Data!CP47=0,Data!CP47=""),"","O"&amp;Data!CP47),IF('ARDT Cutter Entry'!$C$111&lt;&gt;"",'ARDT Cutter Entry'!AA112,'ARDT Cutter Entry'!AA44))</f>
        <v/>
      </c>
      <c r="AB14" s="240" t="str">
        <f>IF('ARDT Cutter Entry'!AB112&lt;&gt;"",SUBSTITUTE('ARDT Cutter Entry'!AB112,"*","")," ")</f>
        <v xml:space="preserve"> </v>
      </c>
      <c r="AC14" s="240" t="str">
        <f>IF('ARDT Cutter Entry'!AC112&lt;&gt;"",SUBSTITUTE('ARDT Cutter Entry'!AC112,"*","")," ")</f>
        <v xml:space="preserve"> </v>
      </c>
      <c r="AD14" s="240" t="str">
        <f>IF('ARDT Cutter Entry'!AD112&lt;&gt;"",SUBSTITUTE('ARDT Cutter Entry'!AD112,"*","")," ")</f>
        <v xml:space="preserve"> </v>
      </c>
      <c r="AE14" s="240" t="str">
        <f>IF('ARDT Cutter Entry'!AE112&lt;&gt;"",SUBSTITUTE('ARDT Cutter Entry'!AE112,"*","")," ")</f>
        <v xml:space="preserve"> </v>
      </c>
      <c r="AF14" s="240" t="str">
        <f>IF('ARDT Cutter Entry'!AF112&lt;&gt;"",SUBSTITUTE('ARDT Cutter Entry'!AF112,"*","")," ")</f>
        <v xml:space="preserve"> </v>
      </c>
      <c r="AG14" s="240" t="str">
        <f>IF('ARDT Cutter Entry'!AG112&lt;&gt;"",SUBSTITUTE('ARDT Cutter Entry'!AG112,"*","")," ")</f>
        <v xml:space="preserve"> </v>
      </c>
      <c r="AH14" s="240" t="str">
        <f>IF('ARDT Cutter Entry'!AH112&lt;&gt;"",SUBSTITUTE('ARDT Cutter Entry'!AH112,"*","")," ")</f>
        <v xml:space="preserve"> </v>
      </c>
      <c r="AI14" s="240" t="str">
        <f>IF('ARDT Cutter Entry'!AI112&lt;&gt;"",SUBSTITUTE('ARDT Cutter Entry'!AI112,"*","")," ")</f>
        <v xml:space="preserve"> </v>
      </c>
    </row>
    <row r="15" spans="1:37" ht="15" customHeight="1" x14ac:dyDescent="0.35">
      <c r="A15" s="1825"/>
      <c r="B15" s="437">
        <v>3</v>
      </c>
      <c r="C15" s="167" t="str">
        <f>IF(OR(Data!$L$2=1,Data!$L$3=1),IF(OR(Data!BR48=0,Data!BR48=""),"","O"&amp;Data!BR48),IF('ARDT Cutter Entry'!$C$111&lt;&gt;"",'ARDT Cutter Entry'!C113,'ARDT Cutter Entry'!C45))</f>
        <v>R1</v>
      </c>
      <c r="D15" s="167" t="str">
        <f>IF(OR(Data!$L$2=1,Data!$L$3=1),IF(OR(Data!BS48=0,Data!BS48=""),"","O"&amp;Data!BS48),IF('ARDT Cutter Entry'!$C$111&lt;&gt;"",'ARDT Cutter Entry'!D113,'ARDT Cutter Entry'!D45))</f>
        <v>R1</v>
      </c>
      <c r="E15" s="167" t="str">
        <f>IF(OR(Data!$L$2=1,Data!$L$3=1),IF(OR(Data!BT48=0,Data!BT48=""),"","O"&amp;Data!BT48),IF('ARDT Cutter Entry'!$C$111&lt;&gt;"",'ARDT Cutter Entry'!E113,'ARDT Cutter Entry'!E45))</f>
        <v>R1</v>
      </c>
      <c r="F15" s="167" t="str">
        <f>IF(OR(Data!$L$2=1,Data!$L$3=1),IF(OR(Data!BU48=0,Data!BU48=""),"","O"&amp;Data!BU48),IF('ARDT Cutter Entry'!$C$111&lt;&gt;"",'ARDT Cutter Entry'!F113,'ARDT Cutter Entry'!F45))</f>
        <v>X5</v>
      </c>
      <c r="G15" s="167" t="str">
        <f>IF(OR(Data!$L$2=1,Data!$L$3=1),IF(OR(Data!BV48=0,Data!BV48=""),"","O"&amp;Data!BV48),IF('ARDT Cutter Entry'!$C$111&lt;&gt;"",'ARDT Cutter Entry'!G113,'ARDT Cutter Entry'!G45))</f>
        <v>X5</v>
      </c>
      <c r="H15" s="167" t="str">
        <f>IF(OR(Data!$L$2=1,Data!$L$3=1),IF(OR(Data!BW48=0,Data!BW48=""),"","O"&amp;Data!BW48),IF('ARDT Cutter Entry'!$C$111&lt;&gt;"",'ARDT Cutter Entry'!H113,'ARDT Cutter Entry'!H45))</f>
        <v>X5</v>
      </c>
      <c r="I15" s="167" t="str">
        <f>IF(OR(Data!$L$2=1,Data!$L$3=1),IF(OR(Data!BX48=0,Data!BX48=""),"","O"&amp;Data!BX48),IF('ARDT Cutter Entry'!$C$111&lt;&gt;"",'ARDT Cutter Entry'!I113,'ARDT Cutter Entry'!I45))</f>
        <v>X3</v>
      </c>
      <c r="J15" s="167" t="str">
        <f>IF(OR(Data!$L$2=1,Data!$L$3=1),IF(OR(Data!BY48=0,Data!BY48=""),"","O"&amp;Data!BY48),IF('ARDT Cutter Entry'!$C$111&lt;&gt;"",'ARDT Cutter Entry'!J113,'ARDT Cutter Entry'!J45))</f>
        <v/>
      </c>
      <c r="K15" s="167" t="str">
        <f>IF(OR(Data!$L$2=1,Data!$L$3=1),IF(OR(Data!BZ48=0,Data!BZ48=""),"","O"&amp;Data!BZ48),IF('ARDT Cutter Entry'!$C$111&lt;&gt;"",'ARDT Cutter Entry'!K113,'ARDT Cutter Entry'!K45))</f>
        <v/>
      </c>
      <c r="L15" s="167" t="str">
        <f>IF(OR(Data!$L$2=1,Data!$L$3=1),IF(OR(Data!CA48=0,Data!CA48=""),"","O"&amp;Data!CA48),IF('ARDT Cutter Entry'!$C$111&lt;&gt;"",'ARDT Cutter Entry'!L113,'ARDT Cutter Entry'!L45))</f>
        <v>R2</v>
      </c>
      <c r="M15" s="167" t="str">
        <f>IF(OR(Data!$L$2=1,Data!$L$3=1),IF(OR(Data!CB48=0,Data!CB48=""),"","O"&amp;Data!CB48),IF('ARDT Cutter Entry'!$C$111&lt;&gt;"",'ARDT Cutter Entry'!M113,'ARDT Cutter Entry'!M45))</f>
        <v>X4</v>
      </c>
      <c r="N15" s="167" t="str">
        <f>IF(OR(Data!$L$2=1,Data!$L$3=1),IF(OR(Data!CC48=0,Data!CC48=""),"","O"&amp;Data!CC48),IF('ARDT Cutter Entry'!$C$111&lt;&gt;"",'ARDT Cutter Entry'!N113,'ARDT Cutter Entry'!N45))</f>
        <v>X4</v>
      </c>
      <c r="O15" s="167" t="str">
        <f>IF(OR(Data!$L$2=1,Data!$L$3=1),IF(OR(Data!CD48=0,Data!CD48=""),"","O"&amp;Data!CD48),IF('ARDT Cutter Entry'!$C$111&lt;&gt;"",'ARDT Cutter Entry'!O113,'ARDT Cutter Entry'!O45))</f>
        <v/>
      </c>
      <c r="P15" s="167" t="str">
        <f>IF(OR(Data!$L$2=1,Data!$L$3=1),IF(OR(Data!CE48=0,Data!CE48=""),"","O"&amp;Data!CE48),IF('ARDT Cutter Entry'!$C$111&lt;&gt;"",'ARDT Cutter Entry'!P113,'ARDT Cutter Entry'!P45))</f>
        <v/>
      </c>
      <c r="Q15" s="167" t="str">
        <f>IF(OR(Data!$L$2=1,Data!$L$3=1),IF(OR(Data!CF48=0,Data!CF48=""),"","O"&amp;Data!CF48),IF('ARDT Cutter Entry'!$C$111&lt;&gt;"",'ARDT Cutter Entry'!Q113,'ARDT Cutter Entry'!Q45))</f>
        <v/>
      </c>
      <c r="R15" s="167" t="str">
        <f>IF(OR(Data!$L$2=1,Data!$L$3=1),IF(OR(Data!CG48=0,Data!CG48=""),"","O"&amp;Data!CG48),IF('ARDT Cutter Entry'!$C$111&lt;&gt;"",'ARDT Cutter Entry'!R113,'ARDT Cutter Entry'!R45))</f>
        <v/>
      </c>
      <c r="S15" s="167" t="str">
        <f>IF(OR(Data!$L$2=1,Data!$L$3=1),IF(OR(Data!CH48=0,Data!CH48=""),"","O"&amp;Data!CH48),IF('ARDT Cutter Entry'!$C$111&lt;&gt;"",'ARDT Cutter Entry'!S113,'ARDT Cutter Entry'!S45))</f>
        <v/>
      </c>
      <c r="T15" s="167" t="str">
        <f>IF(OR(Data!$L$2=1,Data!$L$3=1),IF(OR(Data!CI48=0,Data!CI48=""),"","O"&amp;Data!CI48),IF('ARDT Cutter Entry'!$C$111&lt;&gt;"",'ARDT Cutter Entry'!T113,'ARDT Cutter Entry'!T45))</f>
        <v/>
      </c>
      <c r="U15" s="167" t="str">
        <f>IF(OR(Data!$L$2=1,Data!$L$3=1),IF(OR(Data!CJ48=0,Data!CJ48=""),"","O"&amp;Data!CJ48),IF('ARDT Cutter Entry'!$C$111&lt;&gt;"",'ARDT Cutter Entry'!U113,'ARDT Cutter Entry'!U45))</f>
        <v/>
      </c>
      <c r="V15" s="167" t="str">
        <f>IF(OR(Data!$L$2=1,Data!$L$3=1),IF(OR(Data!CK48=0,Data!CK48=""),"","O"&amp;Data!CK48),IF('ARDT Cutter Entry'!$C$111&lt;&gt;"",'ARDT Cutter Entry'!V113,'ARDT Cutter Entry'!V45))</f>
        <v/>
      </c>
      <c r="W15" s="167" t="str">
        <f>IF(OR(Data!$L$2=1,Data!$L$3=1),IF(OR(Data!CL48=0,Data!CL48=""),"","O"&amp;Data!CL48),IF('ARDT Cutter Entry'!$C$111&lt;&gt;"",'ARDT Cutter Entry'!W113,'ARDT Cutter Entry'!W45))</f>
        <v/>
      </c>
      <c r="X15" s="167" t="str">
        <f>IF(OR(Data!$L$2=1,Data!$L$3=1),IF(OR(Data!CM48=0,Data!CM48=""),"","O"&amp;Data!CM48),IF('ARDT Cutter Entry'!$C$111&lt;&gt;"",'ARDT Cutter Entry'!X113,'ARDT Cutter Entry'!X45))</f>
        <v/>
      </c>
      <c r="Y15" s="167" t="str">
        <f>IF(OR(Data!$L$2=1,Data!$L$3=1),IF(OR(Data!CN48=0,Data!CN48=""),"","O"&amp;Data!CN48),IF('ARDT Cutter Entry'!$C$111&lt;&gt;"",'ARDT Cutter Entry'!Y113,'ARDT Cutter Entry'!Y45))</f>
        <v/>
      </c>
      <c r="Z15" s="167" t="str">
        <f>IF(OR(Data!$L$2=1,Data!$L$3=1),IF(OR(Data!CO48=0,Data!CO48=""),"","O"&amp;Data!CO48),IF('ARDT Cutter Entry'!$C$111&lt;&gt;"",'ARDT Cutter Entry'!Z113,'ARDT Cutter Entry'!Z45))</f>
        <v/>
      </c>
      <c r="AA15" s="248" t="str">
        <f>IF(OR(Data!$L$2=1,Data!$L$3=1),IF(OR(Data!CP48=0,Data!CP48=""),"","O"&amp;Data!CP48),IF('ARDT Cutter Entry'!$C$111&lt;&gt;"",'ARDT Cutter Entry'!AA113,'ARDT Cutter Entry'!AA45))</f>
        <v/>
      </c>
      <c r="AB15" s="240" t="str">
        <f>IF('ARDT Cutter Entry'!AB113&lt;&gt;"",SUBSTITUTE('ARDT Cutter Entry'!AB113,"*","")," ")</f>
        <v xml:space="preserve"> </v>
      </c>
      <c r="AC15" s="240" t="str">
        <f>IF('ARDT Cutter Entry'!AC113&lt;&gt;"",SUBSTITUTE('ARDT Cutter Entry'!AC113,"*","")," ")</f>
        <v xml:space="preserve"> </v>
      </c>
      <c r="AD15" s="240" t="str">
        <f>IF('ARDT Cutter Entry'!AD113&lt;&gt;"",SUBSTITUTE('ARDT Cutter Entry'!AD113,"*","")," ")</f>
        <v xml:space="preserve"> </v>
      </c>
      <c r="AE15" s="240" t="str">
        <f>IF('ARDT Cutter Entry'!AE113&lt;&gt;"",SUBSTITUTE('ARDT Cutter Entry'!AE113,"*","")," ")</f>
        <v xml:space="preserve"> </v>
      </c>
      <c r="AF15" s="240" t="str">
        <f>IF('ARDT Cutter Entry'!AF113&lt;&gt;"",SUBSTITUTE('ARDT Cutter Entry'!AF113,"*","")," ")</f>
        <v xml:space="preserve"> </v>
      </c>
      <c r="AG15" s="240" t="str">
        <f>IF('ARDT Cutter Entry'!AG113&lt;&gt;"",SUBSTITUTE('ARDT Cutter Entry'!AG113,"*","")," ")</f>
        <v xml:space="preserve"> </v>
      </c>
      <c r="AH15" s="240" t="str">
        <f>IF('ARDT Cutter Entry'!AH113&lt;&gt;"",SUBSTITUTE('ARDT Cutter Entry'!AH113,"*","")," ")</f>
        <v xml:space="preserve"> </v>
      </c>
      <c r="AI15" s="240" t="str">
        <f>IF('ARDT Cutter Entry'!AI113&lt;&gt;"",SUBSTITUTE('ARDT Cutter Entry'!AI113,"*","")," ")</f>
        <v xml:space="preserve"> </v>
      </c>
    </row>
    <row r="16" spans="1:37" ht="15" customHeight="1" x14ac:dyDescent="0.35">
      <c r="A16" s="1825"/>
      <c r="B16" s="437">
        <v>4</v>
      </c>
      <c r="C16" s="167" t="str">
        <f>IF(OR(Data!$L$2=1,Data!$L$3=1),IF(OR(Data!BR49=0,Data!BR49=""),"","O"&amp;Data!BR49),IF('ARDT Cutter Entry'!$C$111&lt;&gt;"",'ARDT Cutter Entry'!C114,'ARDT Cutter Entry'!C46))</f>
        <v>X5</v>
      </c>
      <c r="D16" s="167" t="str">
        <f>IF(OR(Data!$L$2=1,Data!$L$3=1),IF(OR(Data!BS49=0,Data!BS49=""),"","O"&amp;Data!BS49),IF('ARDT Cutter Entry'!$C$111&lt;&gt;"",'ARDT Cutter Entry'!D114,'ARDT Cutter Entry'!D46))</f>
        <v>X5</v>
      </c>
      <c r="E16" s="167" t="str">
        <f>IF(OR(Data!$L$2=1,Data!$L$3=1),IF(OR(Data!BT49=0,Data!BT49=""),"","O"&amp;Data!BT49),IF('ARDT Cutter Entry'!$C$111&lt;&gt;"",'ARDT Cutter Entry'!E114,'ARDT Cutter Entry'!E46))</f>
        <v>X5</v>
      </c>
      <c r="F16" s="167" t="str">
        <f>IF(OR(Data!$L$2=1,Data!$L$3=1),IF(OR(Data!BU49=0,Data!BU49=""),"","O"&amp;Data!BU49),IF('ARDT Cutter Entry'!$C$111&lt;&gt;"",'ARDT Cutter Entry'!F114,'ARDT Cutter Entry'!F46))</f>
        <v>X5</v>
      </c>
      <c r="G16" s="167" t="str">
        <f>IF(OR(Data!$L$2=1,Data!$L$3=1),IF(OR(Data!BV49=0,Data!BV49=""),"","O"&amp;Data!BV49),IF('ARDT Cutter Entry'!$C$111&lt;&gt;"",'ARDT Cutter Entry'!G114,'ARDT Cutter Entry'!G46))</f>
        <v>R1</v>
      </c>
      <c r="H16" s="167" t="str">
        <f>IF(OR(Data!$L$2=1,Data!$L$3=1),IF(OR(Data!BW49=0,Data!BW49=""),"","O"&amp;Data!BW49),IF('ARDT Cutter Entry'!$C$111&lt;&gt;"",'ARDT Cutter Entry'!H114,'ARDT Cutter Entry'!H46))</f>
        <v>X3</v>
      </c>
      <c r="I16" s="167" t="str">
        <f>IF(OR(Data!$L$2=1,Data!$L$3=1),IF(OR(Data!BX49=0,Data!BX49=""),"","O"&amp;Data!BX49),IF('ARDT Cutter Entry'!$C$111&lt;&gt;"",'ARDT Cutter Entry'!I114,'ARDT Cutter Entry'!I46))</f>
        <v/>
      </c>
      <c r="J16" s="167" t="str">
        <f>IF(OR(Data!$L$2=1,Data!$L$3=1),IF(OR(Data!BY49=0,Data!BY49=""),"","O"&amp;Data!BY49),IF('ARDT Cutter Entry'!$C$111&lt;&gt;"",'ARDT Cutter Entry'!J114,'ARDT Cutter Entry'!J46))</f>
        <v/>
      </c>
      <c r="K16" s="167" t="str">
        <f>IF(OR(Data!$L$2=1,Data!$L$3=1),IF(OR(Data!BZ49=0,Data!BZ49=""),"","O"&amp;Data!BZ49),IF('ARDT Cutter Entry'!$C$111&lt;&gt;"",'ARDT Cutter Entry'!K114,'ARDT Cutter Entry'!K46))</f>
        <v/>
      </c>
      <c r="L16" s="167" t="str">
        <f>IF(OR(Data!$L$2=1,Data!$L$3=1),IF(OR(Data!CA49=0,Data!CA49=""),"","O"&amp;Data!CA49),IF('ARDT Cutter Entry'!$C$111&lt;&gt;"",'ARDT Cutter Entry'!L114,'ARDT Cutter Entry'!L46))</f>
        <v>R2</v>
      </c>
      <c r="M16" s="167" t="str">
        <f>IF(OR(Data!$L$2=1,Data!$L$3=1),IF(OR(Data!CB49=0,Data!CB49=""),"","O"&amp;Data!CB49),IF('ARDT Cutter Entry'!$C$111&lt;&gt;"",'ARDT Cutter Entry'!M114,'ARDT Cutter Entry'!M46))</f>
        <v>R2</v>
      </c>
      <c r="N16" s="167" t="str">
        <f>IF(OR(Data!$L$2=1,Data!$L$3=1),IF(OR(Data!CC49=0,Data!CC49=""),"","O"&amp;Data!CC49),IF('ARDT Cutter Entry'!$C$111&lt;&gt;"",'ARDT Cutter Entry'!N114,'ARDT Cutter Entry'!N46))</f>
        <v>R2</v>
      </c>
      <c r="O16" s="167" t="str">
        <f>IF(OR(Data!$L$2=1,Data!$L$3=1),IF(OR(Data!CD49=0,Data!CD49=""),"","O"&amp;Data!CD49),IF('ARDT Cutter Entry'!$C$111&lt;&gt;"",'ARDT Cutter Entry'!O114,'ARDT Cutter Entry'!O46))</f>
        <v>S2</v>
      </c>
      <c r="P16" s="167" t="str">
        <f>IF(OR(Data!$L$2=1,Data!$L$3=1),IF(OR(Data!CE49=0,Data!CE49=""),"","O"&amp;Data!CE49),IF('ARDT Cutter Entry'!$C$111&lt;&gt;"",'ARDT Cutter Entry'!P114,'ARDT Cutter Entry'!P46))</f>
        <v/>
      </c>
      <c r="Q16" s="167" t="str">
        <f>IF(OR(Data!$L$2=1,Data!$L$3=1),IF(OR(Data!CF49=0,Data!CF49=""),"","O"&amp;Data!CF49),IF('ARDT Cutter Entry'!$C$111&lt;&gt;"",'ARDT Cutter Entry'!Q114,'ARDT Cutter Entry'!Q46))</f>
        <v/>
      </c>
      <c r="R16" s="167" t="str">
        <f>IF(OR(Data!$L$2=1,Data!$L$3=1),IF(OR(Data!CG49=0,Data!CG49=""),"","O"&amp;Data!CG49),IF('ARDT Cutter Entry'!$C$111&lt;&gt;"",'ARDT Cutter Entry'!R114,'ARDT Cutter Entry'!R46))</f>
        <v/>
      </c>
      <c r="S16" s="167" t="str">
        <f>IF(OR(Data!$L$2=1,Data!$L$3=1),IF(OR(Data!CH49=0,Data!CH49=""),"","O"&amp;Data!CH49),IF('ARDT Cutter Entry'!$C$111&lt;&gt;"",'ARDT Cutter Entry'!S114,'ARDT Cutter Entry'!S46))</f>
        <v/>
      </c>
      <c r="T16" s="167" t="str">
        <f>IF(OR(Data!$L$2=1,Data!$L$3=1),IF(OR(Data!CI49=0,Data!CI49=""),"","O"&amp;Data!CI49),IF('ARDT Cutter Entry'!$C$111&lt;&gt;"",'ARDT Cutter Entry'!T114,'ARDT Cutter Entry'!T46))</f>
        <v/>
      </c>
      <c r="U16" s="167" t="str">
        <f>IF(OR(Data!$L$2=1,Data!$L$3=1),IF(OR(Data!CJ49=0,Data!CJ49=""),"","O"&amp;Data!CJ49),IF('ARDT Cutter Entry'!$C$111&lt;&gt;"",'ARDT Cutter Entry'!U114,'ARDT Cutter Entry'!U46))</f>
        <v/>
      </c>
      <c r="V16" s="167" t="str">
        <f>IF(OR(Data!$L$2=1,Data!$L$3=1),IF(OR(Data!CK49=0,Data!CK49=""),"","O"&amp;Data!CK49),IF('ARDT Cutter Entry'!$C$111&lt;&gt;"",'ARDT Cutter Entry'!V114,'ARDT Cutter Entry'!V46))</f>
        <v/>
      </c>
      <c r="W16" s="167" t="str">
        <f>IF(OR(Data!$L$2=1,Data!$L$3=1),IF(OR(Data!CL49=0,Data!CL49=""),"","O"&amp;Data!CL49),IF('ARDT Cutter Entry'!$C$111&lt;&gt;"",'ARDT Cutter Entry'!W114,'ARDT Cutter Entry'!W46))</f>
        <v/>
      </c>
      <c r="X16" s="167" t="str">
        <f>IF(OR(Data!$L$2=1,Data!$L$3=1),IF(OR(Data!CM49=0,Data!CM49=""),"","O"&amp;Data!CM49),IF('ARDT Cutter Entry'!$C$111&lt;&gt;"",'ARDT Cutter Entry'!X114,'ARDT Cutter Entry'!X46))</f>
        <v/>
      </c>
      <c r="Y16" s="167" t="str">
        <f>IF(OR(Data!$L$2=1,Data!$L$3=1),IF(OR(Data!CN49=0,Data!CN49=""),"","O"&amp;Data!CN49),IF('ARDT Cutter Entry'!$C$111&lt;&gt;"",'ARDT Cutter Entry'!Y114,'ARDT Cutter Entry'!Y46))</f>
        <v/>
      </c>
      <c r="Z16" s="167" t="str">
        <f>IF(OR(Data!$L$2=1,Data!$L$3=1),IF(OR(Data!CO49=0,Data!CO49=""),"","O"&amp;Data!CO49),IF('ARDT Cutter Entry'!$C$111&lt;&gt;"",'ARDT Cutter Entry'!Z114,'ARDT Cutter Entry'!Z46))</f>
        <v/>
      </c>
      <c r="AA16" s="248" t="str">
        <f>IF(OR(Data!$L$2=1,Data!$L$3=1),IF(OR(Data!CP49=0,Data!CP49=""),"","O"&amp;Data!CP49),IF('ARDT Cutter Entry'!$C$111&lt;&gt;"",'ARDT Cutter Entry'!AA114,'ARDT Cutter Entry'!AA46))</f>
        <v/>
      </c>
      <c r="AB16" s="240" t="str">
        <f>IF('ARDT Cutter Entry'!AB114&lt;&gt;"",SUBSTITUTE('ARDT Cutter Entry'!AB114,"*","")," ")</f>
        <v xml:space="preserve"> </v>
      </c>
      <c r="AC16" s="240" t="str">
        <f>IF('ARDT Cutter Entry'!AC114&lt;&gt;"",SUBSTITUTE('ARDT Cutter Entry'!AC114,"*","")," ")</f>
        <v xml:space="preserve"> </v>
      </c>
      <c r="AD16" s="240" t="str">
        <f>IF('ARDT Cutter Entry'!AD114&lt;&gt;"",SUBSTITUTE('ARDT Cutter Entry'!AD114,"*","")," ")</f>
        <v xml:space="preserve"> </v>
      </c>
      <c r="AE16" s="240" t="str">
        <f>IF('ARDT Cutter Entry'!AE114&lt;&gt;"",SUBSTITUTE('ARDT Cutter Entry'!AE114,"*","")," ")</f>
        <v xml:space="preserve"> </v>
      </c>
      <c r="AF16" s="240" t="str">
        <f>IF('ARDT Cutter Entry'!AF114&lt;&gt;"",SUBSTITUTE('ARDT Cutter Entry'!AF114,"*","")," ")</f>
        <v xml:space="preserve"> </v>
      </c>
      <c r="AG16" s="240" t="str">
        <f>IF('ARDT Cutter Entry'!AG114&lt;&gt;"",SUBSTITUTE('ARDT Cutter Entry'!AG114,"*","")," ")</f>
        <v xml:space="preserve"> </v>
      </c>
      <c r="AH16" s="240" t="str">
        <f>IF('ARDT Cutter Entry'!AH114&lt;&gt;"",SUBSTITUTE('ARDT Cutter Entry'!AH114,"*","")," ")</f>
        <v xml:space="preserve"> </v>
      </c>
      <c r="AI16" s="240" t="str">
        <f>IF('ARDT Cutter Entry'!AI114&lt;&gt;"",SUBSTITUTE('ARDT Cutter Entry'!AI114,"*","")," ")</f>
        <v xml:space="preserve"> </v>
      </c>
    </row>
    <row r="17" spans="1:38" ht="15" customHeight="1" x14ac:dyDescent="0.35">
      <c r="A17" s="1825"/>
      <c r="B17" s="437">
        <v>5</v>
      </c>
      <c r="C17" s="167" t="str">
        <f>IF(OR(Data!$L$2=1,Data!$L$3=1),IF(OR(Data!BR50=0,Data!BR50=""),"","O"&amp;Data!BR50),IF('ARDT Cutter Entry'!$C$111&lt;&gt;"",'ARDT Cutter Entry'!C115,'ARDT Cutter Entry'!C47))</f>
        <v>R1</v>
      </c>
      <c r="D17" s="167" t="str">
        <f>IF(OR(Data!$L$2=1,Data!$L$3=1),IF(OR(Data!BS50=0,Data!BS50=""),"","O"&amp;Data!BS50),IF('ARDT Cutter Entry'!$C$111&lt;&gt;"",'ARDT Cutter Entry'!D115,'ARDT Cutter Entry'!D47))</f>
        <v>R1</v>
      </c>
      <c r="E17" s="167" t="str">
        <f>IF(OR(Data!$L$2=1,Data!$L$3=1),IF(OR(Data!BT50=0,Data!BT50=""),"","O"&amp;Data!BT50),IF('ARDT Cutter Entry'!$C$111&lt;&gt;"",'ARDT Cutter Entry'!E115,'ARDT Cutter Entry'!E47))</f>
        <v>X5</v>
      </c>
      <c r="F17" s="167" t="str">
        <f>IF(OR(Data!$L$2=1,Data!$L$3=1),IF(OR(Data!BU50=0,Data!BU50=""),"","O"&amp;Data!BU50),IF('ARDT Cutter Entry'!$C$111&lt;&gt;"",'ARDT Cutter Entry'!F115,'ARDT Cutter Entry'!F47))</f>
        <v>X5</v>
      </c>
      <c r="G17" s="167" t="str">
        <f>IF(OR(Data!$L$2=1,Data!$L$3=1),IF(OR(Data!BV50=0,Data!BV50=""),"","O"&amp;Data!BV50),IF('ARDT Cutter Entry'!$C$111&lt;&gt;"",'ARDT Cutter Entry'!G115,'ARDT Cutter Entry'!G47))</f>
        <v>X5</v>
      </c>
      <c r="H17" s="167" t="str">
        <f>IF(OR(Data!$L$2=1,Data!$L$3=1),IF(OR(Data!BW50=0,Data!BW50=""),"","O"&amp;Data!BW50),IF('ARDT Cutter Entry'!$C$111&lt;&gt;"",'ARDT Cutter Entry'!H115,'ARDT Cutter Entry'!H47))</f>
        <v>X5</v>
      </c>
      <c r="I17" s="167" t="str">
        <f>IF(OR(Data!$L$2=1,Data!$L$3=1),IF(OR(Data!BX50=0,Data!BX50=""),"","O"&amp;Data!BX50),IF('ARDT Cutter Entry'!$C$111&lt;&gt;"",'ARDT Cutter Entry'!I115,'ARDT Cutter Entry'!I47))</f>
        <v>R1</v>
      </c>
      <c r="J17" s="167" t="str">
        <f>IF(OR(Data!$L$2=1,Data!$L$3=1),IF(OR(Data!BY50=0,Data!BY50=""),"","O"&amp;Data!BY50),IF('ARDT Cutter Entry'!$C$111&lt;&gt;"",'ARDT Cutter Entry'!J115,'ARDT Cutter Entry'!J47))</f>
        <v>X3</v>
      </c>
      <c r="K17" s="167" t="str">
        <f>IF(OR(Data!$L$2=1,Data!$L$3=1),IF(OR(Data!BZ50=0,Data!BZ50=""),"","O"&amp;Data!BZ50),IF('ARDT Cutter Entry'!$C$111&lt;&gt;"",'ARDT Cutter Entry'!K115,'ARDT Cutter Entry'!K47))</f>
        <v/>
      </c>
      <c r="L17" s="167" t="str">
        <f>IF(OR(Data!$L$2=1,Data!$L$3=1),IF(OR(Data!CA50=0,Data!CA50=""),"","O"&amp;Data!CA50),IF('ARDT Cutter Entry'!$C$111&lt;&gt;"",'ARDT Cutter Entry'!L115,'ARDT Cutter Entry'!L47))</f>
        <v>R2</v>
      </c>
      <c r="M17" s="167" t="str">
        <f>IF(OR(Data!$L$2=1,Data!$L$3=1),IF(OR(Data!CB50=0,Data!CB50=""),"","O"&amp;Data!CB50),IF('ARDT Cutter Entry'!$C$111&lt;&gt;"",'ARDT Cutter Entry'!M115,'ARDT Cutter Entry'!M47))</f>
        <v>X4</v>
      </c>
      <c r="N17" s="167" t="str">
        <f>IF(OR(Data!$L$2=1,Data!$L$3=1),IF(OR(Data!CC50=0,Data!CC50=""),"","O"&amp;Data!CC50),IF('ARDT Cutter Entry'!$C$111&lt;&gt;"",'ARDT Cutter Entry'!N115,'ARDT Cutter Entry'!N47))</f>
        <v>R2</v>
      </c>
      <c r="O17" s="167" t="str">
        <f>IF(OR(Data!$L$2=1,Data!$L$3=1),IF(OR(Data!CD50=0,Data!CD50=""),"","O"&amp;Data!CD50),IF('ARDT Cutter Entry'!$C$111&lt;&gt;"",'ARDT Cutter Entry'!O115,'ARDT Cutter Entry'!O47))</f>
        <v>R2</v>
      </c>
      <c r="P17" s="167" t="str">
        <f>IF(OR(Data!$L$2=1,Data!$L$3=1),IF(OR(Data!CE50=0,Data!CE50=""),"","O"&amp;Data!CE50),IF('ARDT Cutter Entry'!$C$111&lt;&gt;"",'ARDT Cutter Entry'!P115,'ARDT Cutter Entry'!P47))</f>
        <v/>
      </c>
      <c r="Q17" s="167" t="str">
        <f>IF(OR(Data!$L$2=1,Data!$L$3=1),IF(OR(Data!CF50=0,Data!CF50=""),"","O"&amp;Data!CF50),IF('ARDT Cutter Entry'!$C$111&lt;&gt;"",'ARDT Cutter Entry'!Q115,'ARDT Cutter Entry'!Q47))</f>
        <v/>
      </c>
      <c r="R17" s="167" t="str">
        <f>IF(OR(Data!$L$2=1,Data!$L$3=1),IF(OR(Data!CG50=0,Data!CG50=""),"","O"&amp;Data!CG50),IF('ARDT Cutter Entry'!$C$111&lt;&gt;"",'ARDT Cutter Entry'!R115,'ARDT Cutter Entry'!R47))</f>
        <v/>
      </c>
      <c r="S17" s="167" t="str">
        <f>IF(OR(Data!$L$2=1,Data!$L$3=1),IF(OR(Data!CH50=0,Data!CH50=""),"","O"&amp;Data!CH50),IF('ARDT Cutter Entry'!$C$111&lt;&gt;"",'ARDT Cutter Entry'!S115,'ARDT Cutter Entry'!S47))</f>
        <v/>
      </c>
      <c r="T17" s="167" t="str">
        <f>IF(OR(Data!$L$2=1,Data!$L$3=1),IF(OR(Data!CI50=0,Data!CI50=""),"","O"&amp;Data!CI50),IF('ARDT Cutter Entry'!$C$111&lt;&gt;"",'ARDT Cutter Entry'!T115,'ARDT Cutter Entry'!T47))</f>
        <v/>
      </c>
      <c r="U17" s="167" t="str">
        <f>IF(OR(Data!$L$2=1,Data!$L$3=1),IF(OR(Data!CJ50=0,Data!CJ50=""),"","O"&amp;Data!CJ50),IF('ARDT Cutter Entry'!$C$111&lt;&gt;"",'ARDT Cutter Entry'!U115,'ARDT Cutter Entry'!U47))</f>
        <v/>
      </c>
      <c r="V17" s="167" t="str">
        <f>IF(OR(Data!$L$2=1,Data!$L$3=1),IF(OR(Data!CK50=0,Data!CK50=""),"","O"&amp;Data!CK50),IF('ARDT Cutter Entry'!$C$111&lt;&gt;"",'ARDT Cutter Entry'!V115,'ARDT Cutter Entry'!V47))</f>
        <v/>
      </c>
      <c r="W17" s="167" t="str">
        <f>IF(OR(Data!$L$2=1,Data!$L$3=1),IF(OR(Data!CL50=0,Data!CL50=""),"","O"&amp;Data!CL50),IF('ARDT Cutter Entry'!$C$111&lt;&gt;"",'ARDT Cutter Entry'!W115,'ARDT Cutter Entry'!W47))</f>
        <v/>
      </c>
      <c r="X17" s="167" t="str">
        <f>IF(OR(Data!$L$2=1,Data!$L$3=1),IF(OR(Data!CM50=0,Data!CM50=""),"","O"&amp;Data!CM50),IF('ARDT Cutter Entry'!$C$111&lt;&gt;"",'ARDT Cutter Entry'!X115,'ARDT Cutter Entry'!X47))</f>
        <v/>
      </c>
      <c r="Y17" s="167" t="str">
        <f>IF(OR(Data!$L$2=1,Data!$L$3=1),IF(OR(Data!CN50=0,Data!CN50=""),"","O"&amp;Data!CN50),IF('ARDT Cutter Entry'!$C$111&lt;&gt;"",'ARDT Cutter Entry'!Y115,'ARDT Cutter Entry'!Y47))</f>
        <v/>
      </c>
      <c r="Z17" s="167" t="str">
        <f>IF(OR(Data!$L$2=1,Data!$L$3=1),IF(OR(Data!CO50=0,Data!CO50=""),"","O"&amp;Data!CO50),IF('ARDT Cutter Entry'!$C$111&lt;&gt;"",'ARDT Cutter Entry'!Z115,'ARDT Cutter Entry'!Z47))</f>
        <v/>
      </c>
      <c r="AA17" s="248" t="str">
        <f>IF(OR(Data!$L$2=1,Data!$L$3=1),IF(OR(Data!CP50=0,Data!CP50=""),"","O"&amp;Data!CP50),IF('ARDT Cutter Entry'!$C$111&lt;&gt;"",'ARDT Cutter Entry'!AA115,'ARDT Cutter Entry'!AA47))</f>
        <v/>
      </c>
      <c r="AB17" s="240" t="str">
        <f>IF('ARDT Cutter Entry'!AB115&lt;&gt;"",SUBSTITUTE('ARDT Cutter Entry'!AB115,"*","")," ")</f>
        <v xml:space="preserve"> </v>
      </c>
      <c r="AC17" s="240" t="str">
        <f>IF('ARDT Cutter Entry'!AC115&lt;&gt;"",SUBSTITUTE('ARDT Cutter Entry'!AC115,"*","")," ")</f>
        <v xml:space="preserve"> </v>
      </c>
      <c r="AD17" s="240" t="str">
        <f>IF('ARDT Cutter Entry'!AD115&lt;&gt;"",SUBSTITUTE('ARDT Cutter Entry'!AD115,"*","")," ")</f>
        <v xml:space="preserve"> </v>
      </c>
      <c r="AE17" s="240" t="str">
        <f>IF('ARDT Cutter Entry'!AE115&lt;&gt;"",SUBSTITUTE('ARDT Cutter Entry'!AE115,"*","")," ")</f>
        <v xml:space="preserve"> </v>
      </c>
      <c r="AF17" s="240" t="str">
        <f>IF('ARDT Cutter Entry'!AF115&lt;&gt;"",SUBSTITUTE('ARDT Cutter Entry'!AF115,"*","")," ")</f>
        <v xml:space="preserve"> </v>
      </c>
      <c r="AG17" s="240" t="str">
        <f>IF('ARDT Cutter Entry'!AG115&lt;&gt;"",SUBSTITUTE('ARDT Cutter Entry'!AG115,"*","")," ")</f>
        <v xml:space="preserve"> </v>
      </c>
      <c r="AH17" s="240" t="str">
        <f>IF('ARDT Cutter Entry'!AH115&lt;&gt;"",SUBSTITUTE('ARDT Cutter Entry'!AH115,"*","")," ")</f>
        <v xml:space="preserve"> </v>
      </c>
      <c r="AI17" s="240" t="str">
        <f>IF('ARDT Cutter Entry'!AI115&lt;&gt;"",SUBSTITUTE('ARDT Cutter Entry'!AI115,"*","")," ")</f>
        <v xml:space="preserve"> </v>
      </c>
    </row>
    <row r="18" spans="1:38" ht="15" customHeight="1" x14ac:dyDescent="0.35">
      <c r="A18" s="1825"/>
      <c r="B18" s="437">
        <v>6</v>
      </c>
      <c r="C18" s="167" t="str">
        <f>IF(OR(Data!$L$2=1,Data!$L$3=1),IF(OR(Data!BR51=0,Data!BR51=""),"","O"&amp;Data!BR51),IF('ARDT Cutter Entry'!$C$111&lt;&gt;"",'ARDT Cutter Entry'!C116,'ARDT Cutter Entry'!C48))</f>
        <v>X5</v>
      </c>
      <c r="D18" s="167" t="str">
        <f>IF(OR(Data!$L$2=1,Data!$L$3=1),IF(OR(Data!BS51=0,Data!BS51=""),"","O"&amp;Data!BS51),IF('ARDT Cutter Entry'!$C$111&lt;&gt;"",'ARDT Cutter Entry'!D116,'ARDT Cutter Entry'!D48))</f>
        <v>X5</v>
      </c>
      <c r="E18" s="167" t="str">
        <f>IF(OR(Data!$L$2=1,Data!$L$3=1),IF(OR(Data!BT51=0,Data!BT51=""),"","O"&amp;Data!BT51),IF('ARDT Cutter Entry'!$C$111&lt;&gt;"",'ARDT Cutter Entry'!E116,'ARDT Cutter Entry'!E48))</f>
        <v>X5</v>
      </c>
      <c r="F18" s="167" t="str">
        <f>IF(OR(Data!$L$2=1,Data!$L$3=1),IF(OR(Data!BU51=0,Data!BU51=""),"","O"&amp;Data!BU51),IF('ARDT Cutter Entry'!$C$111&lt;&gt;"",'ARDT Cutter Entry'!F116,'ARDT Cutter Entry'!F48))</f>
        <v>R1</v>
      </c>
      <c r="G18" s="167" t="str">
        <f>IF(OR(Data!$L$2=1,Data!$L$3=1),IF(OR(Data!BV51=0,Data!BV51=""),"","O"&amp;Data!BV51),IF('ARDT Cutter Entry'!$C$111&lt;&gt;"",'ARDT Cutter Entry'!G116,'ARDT Cutter Entry'!G48))</f>
        <v>X3</v>
      </c>
      <c r="H18" s="167" t="str">
        <f>IF(OR(Data!$L$2=1,Data!$L$3=1),IF(OR(Data!BW51=0,Data!BW51=""),"","O"&amp;Data!BW51),IF('ARDT Cutter Entry'!$C$111&lt;&gt;"",'ARDT Cutter Entry'!H116,'ARDT Cutter Entry'!H48))</f>
        <v/>
      </c>
      <c r="I18" s="167" t="str">
        <f>IF(OR(Data!$L$2=1,Data!$L$3=1),IF(OR(Data!BX51=0,Data!BX51=""),"","O"&amp;Data!BX51),IF('ARDT Cutter Entry'!$C$111&lt;&gt;"",'ARDT Cutter Entry'!I116,'ARDT Cutter Entry'!I48))</f>
        <v/>
      </c>
      <c r="J18" s="167" t="str">
        <f>IF(OR(Data!$L$2=1,Data!$L$3=1),IF(OR(Data!BY51=0,Data!BY51=""),"","O"&amp;Data!BY51),IF('ARDT Cutter Entry'!$C$111&lt;&gt;"",'ARDT Cutter Entry'!J116,'ARDT Cutter Entry'!J48))</f>
        <v/>
      </c>
      <c r="K18" s="167" t="str">
        <f>IF(OR(Data!$L$2=1,Data!$L$3=1),IF(OR(Data!BZ51=0,Data!BZ51=""),"","O"&amp;Data!BZ51),IF('ARDT Cutter Entry'!$C$111&lt;&gt;"",'ARDT Cutter Entry'!K116,'ARDT Cutter Entry'!K48))</f>
        <v/>
      </c>
      <c r="L18" s="167" t="str">
        <f>IF(OR(Data!$L$2=1,Data!$L$3=1),IF(OR(Data!CA51=0,Data!CA51=""),"","O"&amp;Data!CA51),IF('ARDT Cutter Entry'!$C$111&lt;&gt;"",'ARDT Cutter Entry'!L116,'ARDT Cutter Entry'!L48))</f>
        <v>S2</v>
      </c>
      <c r="M18" s="167" t="str">
        <f>IF(OR(Data!$L$2=1,Data!$L$3=1),IF(OR(Data!CB51=0,Data!CB51=""),"","O"&amp;Data!CB51),IF('ARDT Cutter Entry'!$C$111&lt;&gt;"",'ARDT Cutter Entry'!M116,'ARDT Cutter Entry'!M48))</f>
        <v>R2</v>
      </c>
      <c r="N18" s="167" t="str">
        <f>IF(OR(Data!$L$2=1,Data!$L$3=1),IF(OR(Data!CC51=0,Data!CC51=""),"","O"&amp;Data!CC51),IF('ARDT Cutter Entry'!$C$111&lt;&gt;"",'ARDT Cutter Entry'!N116,'ARDT Cutter Entry'!N48))</f>
        <v>R2</v>
      </c>
      <c r="O18" s="167" t="str">
        <f>IF(OR(Data!$L$2=1,Data!$L$3=1),IF(OR(Data!CD51=0,Data!CD51=""),"","O"&amp;Data!CD51),IF('ARDT Cutter Entry'!$C$111&lt;&gt;"",'ARDT Cutter Entry'!O116,'ARDT Cutter Entry'!O48))</f>
        <v>R2</v>
      </c>
      <c r="P18" s="167" t="str">
        <f>IF(OR(Data!$L$2=1,Data!$L$3=1),IF(OR(Data!CE51=0,Data!CE51=""),"","O"&amp;Data!CE51),IF('ARDT Cutter Entry'!$C$111&lt;&gt;"",'ARDT Cutter Entry'!P116,'ARDT Cutter Entry'!P48))</f>
        <v/>
      </c>
      <c r="Q18" s="167" t="str">
        <f>IF(OR(Data!$L$2=1,Data!$L$3=1),IF(OR(Data!CF51=0,Data!CF51=""),"","O"&amp;Data!CF51),IF('ARDT Cutter Entry'!$C$111&lt;&gt;"",'ARDT Cutter Entry'!Q116,'ARDT Cutter Entry'!Q48))</f>
        <v/>
      </c>
      <c r="R18" s="167" t="str">
        <f>IF(OR(Data!$L$2=1,Data!$L$3=1),IF(OR(Data!CG51=0,Data!CG51=""),"","O"&amp;Data!CG51),IF('ARDT Cutter Entry'!$C$111&lt;&gt;"",'ARDT Cutter Entry'!R116,'ARDT Cutter Entry'!R48))</f>
        <v/>
      </c>
      <c r="S18" s="167" t="str">
        <f>IF(OR(Data!$L$2=1,Data!$L$3=1),IF(OR(Data!CH51=0,Data!CH51=""),"","O"&amp;Data!CH51),IF('ARDT Cutter Entry'!$C$111&lt;&gt;"",'ARDT Cutter Entry'!S116,'ARDT Cutter Entry'!S48))</f>
        <v/>
      </c>
      <c r="T18" s="167" t="str">
        <f>IF(OR(Data!$L$2=1,Data!$L$3=1),IF(OR(Data!CI51=0,Data!CI51=""),"","O"&amp;Data!CI51),IF('ARDT Cutter Entry'!$C$111&lt;&gt;"",'ARDT Cutter Entry'!T116,'ARDT Cutter Entry'!T48))</f>
        <v/>
      </c>
      <c r="U18" s="167" t="str">
        <f>IF(OR(Data!$L$2=1,Data!$L$3=1),IF(OR(Data!CJ51=0,Data!CJ51=""),"","O"&amp;Data!CJ51),IF('ARDT Cutter Entry'!$C$111&lt;&gt;"",'ARDT Cutter Entry'!U116,'ARDT Cutter Entry'!U48))</f>
        <v/>
      </c>
      <c r="V18" s="167" t="str">
        <f>IF(OR(Data!$L$2=1,Data!$L$3=1),IF(OR(Data!CK51=0,Data!CK51=""),"","O"&amp;Data!CK51),IF('ARDT Cutter Entry'!$C$111&lt;&gt;"",'ARDT Cutter Entry'!V116,'ARDT Cutter Entry'!V48))</f>
        <v/>
      </c>
      <c r="W18" s="167" t="str">
        <f>IF(OR(Data!$L$2=1,Data!$L$3=1),IF(OR(Data!CL51=0,Data!CL51=""),"","O"&amp;Data!CL51),IF('ARDT Cutter Entry'!$C$111&lt;&gt;"",'ARDT Cutter Entry'!W116,'ARDT Cutter Entry'!W48))</f>
        <v/>
      </c>
      <c r="X18" s="167" t="str">
        <f>IF(OR(Data!$L$2=1,Data!$L$3=1),IF(OR(Data!CM51=0,Data!CM51=""),"","O"&amp;Data!CM51),IF('ARDT Cutter Entry'!$C$111&lt;&gt;"",'ARDT Cutter Entry'!X116,'ARDT Cutter Entry'!X48))</f>
        <v/>
      </c>
      <c r="Y18" s="167" t="str">
        <f>IF(OR(Data!$L$2=1,Data!$L$3=1),IF(OR(Data!CN51=0,Data!CN51=""),"","O"&amp;Data!CN51),IF('ARDT Cutter Entry'!$C$111&lt;&gt;"",'ARDT Cutter Entry'!Y116,'ARDT Cutter Entry'!Y48))</f>
        <v/>
      </c>
      <c r="Z18" s="167" t="str">
        <f>IF(OR(Data!$L$2=1,Data!$L$3=1),IF(OR(Data!CO51=0,Data!CO51=""),"","O"&amp;Data!CO51),IF('ARDT Cutter Entry'!$C$111&lt;&gt;"",'ARDT Cutter Entry'!Z116,'ARDT Cutter Entry'!Z48))</f>
        <v/>
      </c>
      <c r="AA18" s="248" t="str">
        <f>IF(OR(Data!$L$2=1,Data!$L$3=1),IF(OR(Data!CP51=0,Data!CP51=""),"","O"&amp;Data!CP51),IF('ARDT Cutter Entry'!$C$111&lt;&gt;"",'ARDT Cutter Entry'!AA116,'ARDT Cutter Entry'!AA48))</f>
        <v/>
      </c>
      <c r="AB18" s="240" t="str">
        <f>IF('ARDT Cutter Entry'!AB116&lt;&gt;"",SUBSTITUTE('ARDT Cutter Entry'!AB116,"*","")," ")</f>
        <v xml:space="preserve"> </v>
      </c>
      <c r="AC18" s="240" t="str">
        <f>IF('ARDT Cutter Entry'!AC116&lt;&gt;"",SUBSTITUTE('ARDT Cutter Entry'!AC116,"*","")," ")</f>
        <v xml:space="preserve"> </v>
      </c>
      <c r="AD18" s="240" t="str">
        <f>IF('ARDT Cutter Entry'!AD116&lt;&gt;"",SUBSTITUTE('ARDT Cutter Entry'!AD116,"*","")," ")</f>
        <v xml:space="preserve"> </v>
      </c>
      <c r="AE18" s="240" t="str">
        <f>IF('ARDT Cutter Entry'!AE116&lt;&gt;"",SUBSTITUTE('ARDT Cutter Entry'!AE116,"*","")," ")</f>
        <v xml:space="preserve"> </v>
      </c>
      <c r="AF18" s="240" t="str">
        <f>IF('ARDT Cutter Entry'!AF116&lt;&gt;"",SUBSTITUTE('ARDT Cutter Entry'!AF116,"*","")," ")</f>
        <v xml:space="preserve"> </v>
      </c>
      <c r="AG18" s="240" t="str">
        <f>IF('ARDT Cutter Entry'!AG116&lt;&gt;"",SUBSTITUTE('ARDT Cutter Entry'!AG116,"*","")," ")</f>
        <v xml:space="preserve"> </v>
      </c>
      <c r="AH18" s="240" t="str">
        <f>IF('ARDT Cutter Entry'!AH116&lt;&gt;"",SUBSTITUTE('ARDT Cutter Entry'!AH116,"*","")," ")</f>
        <v xml:space="preserve"> </v>
      </c>
      <c r="AI18" s="240" t="str">
        <f>IF('ARDT Cutter Entry'!AI116&lt;&gt;"",SUBSTITUTE('ARDT Cutter Entry'!AI116,"*","")," ")</f>
        <v xml:space="preserve"> </v>
      </c>
    </row>
    <row r="19" spans="1:38" ht="15" customHeight="1" x14ac:dyDescent="0.35">
      <c r="A19" s="1825"/>
      <c r="B19" s="437">
        <v>7</v>
      </c>
      <c r="C19" s="167" t="str">
        <f>IF(OR(Data!$L$2=1,Data!$L$3=1),IF(OR(Data!BR52=0,Data!BR52=""),"","O"&amp;Data!BR52),IF('ARDT Cutter Entry'!$C$111&lt;&gt;"",'ARDT Cutter Entry'!C117,'ARDT Cutter Entry'!C49))</f>
        <v/>
      </c>
      <c r="D19" s="167" t="str">
        <f>IF(OR(Data!$L$2=1,Data!$L$3=1),IF(OR(Data!BS52=0,Data!BS52=""),"","O"&amp;Data!BS52),IF('ARDT Cutter Entry'!$C$111&lt;&gt;"",'ARDT Cutter Entry'!D117,'ARDT Cutter Entry'!D49))</f>
        <v/>
      </c>
      <c r="E19" s="167" t="str">
        <f>IF(OR(Data!$L$2=1,Data!$L$3=1),IF(OR(Data!BT52=0,Data!BT52=""),"","O"&amp;Data!BT52),IF('ARDT Cutter Entry'!$C$111&lt;&gt;"",'ARDT Cutter Entry'!E117,'ARDT Cutter Entry'!E49))</f>
        <v/>
      </c>
      <c r="F19" s="167" t="str">
        <f>IF(OR(Data!$L$2=1,Data!$L$3=1),IF(OR(Data!BU52=0,Data!BU52=""),"","O"&amp;Data!BU52),IF('ARDT Cutter Entry'!$C$111&lt;&gt;"",'ARDT Cutter Entry'!F117,'ARDT Cutter Entry'!F49))</f>
        <v/>
      </c>
      <c r="G19" s="167" t="str">
        <f>IF(OR(Data!$L$2=1,Data!$L$3=1),IF(OR(Data!BV52=0,Data!BV52=""),"","O"&amp;Data!BV52),IF('ARDT Cutter Entry'!$C$111&lt;&gt;"",'ARDT Cutter Entry'!G117,'ARDT Cutter Entry'!G49))</f>
        <v/>
      </c>
      <c r="H19" s="167" t="str">
        <f>IF(OR(Data!$L$2=1,Data!$L$3=1),IF(OR(Data!BW52=0,Data!BW52=""),"","O"&amp;Data!BW52),IF('ARDT Cutter Entry'!$C$111&lt;&gt;"",'ARDT Cutter Entry'!H117,'ARDT Cutter Entry'!H49))</f>
        <v/>
      </c>
      <c r="I19" s="167" t="str">
        <f>IF(OR(Data!$L$2=1,Data!$L$3=1),IF(OR(Data!BX52=0,Data!BX52=""),"","O"&amp;Data!BX52),IF('ARDT Cutter Entry'!$C$111&lt;&gt;"",'ARDT Cutter Entry'!I117,'ARDT Cutter Entry'!I49))</f>
        <v/>
      </c>
      <c r="J19" s="167" t="str">
        <f>IF(OR(Data!$L$2=1,Data!$L$3=1),IF(OR(Data!BY52=0,Data!BY52=""),"","O"&amp;Data!BY52),IF('ARDT Cutter Entry'!$C$111&lt;&gt;"",'ARDT Cutter Entry'!J117,'ARDT Cutter Entry'!J49))</f>
        <v/>
      </c>
      <c r="K19" s="167" t="str">
        <f>IF(OR(Data!$L$2=1,Data!$L$3=1),IF(OR(Data!BZ52=0,Data!BZ52=""),"","O"&amp;Data!BZ52),IF('ARDT Cutter Entry'!$C$111&lt;&gt;"",'ARDT Cutter Entry'!K117,'ARDT Cutter Entry'!K49))</f>
        <v/>
      </c>
      <c r="L19" s="167" t="str">
        <f>IF(OR(Data!$L$2=1,Data!$L$3=1),IF(OR(Data!CA52=0,Data!CA52=""),"","O"&amp;Data!CA52),IF('ARDT Cutter Entry'!$C$111&lt;&gt;"",'ARDT Cutter Entry'!L117,'ARDT Cutter Entry'!L49))</f>
        <v/>
      </c>
      <c r="M19" s="167" t="str">
        <f>IF(OR(Data!$L$2=1,Data!$L$3=1),IF(OR(Data!CB52=0,Data!CB52=""),"","O"&amp;Data!CB52),IF('ARDT Cutter Entry'!$C$111&lt;&gt;"",'ARDT Cutter Entry'!M117,'ARDT Cutter Entry'!M49))</f>
        <v/>
      </c>
      <c r="N19" s="167" t="str">
        <f>IF(OR(Data!$L$2=1,Data!$L$3=1),IF(OR(Data!CC52=0,Data!CC52=""),"","O"&amp;Data!CC52),IF('ARDT Cutter Entry'!$C$111&lt;&gt;"",'ARDT Cutter Entry'!N117,'ARDT Cutter Entry'!N49))</f>
        <v/>
      </c>
      <c r="O19" s="167" t="str">
        <f>IF(OR(Data!$L$2=1,Data!$L$3=1),IF(OR(Data!CD52=0,Data!CD52=""),"","O"&amp;Data!CD52),IF('ARDT Cutter Entry'!$C$111&lt;&gt;"",'ARDT Cutter Entry'!O117,'ARDT Cutter Entry'!O49))</f>
        <v/>
      </c>
      <c r="P19" s="167" t="str">
        <f>IF(OR(Data!$L$2=1,Data!$L$3=1),IF(OR(Data!CE52=0,Data!CE52=""),"","O"&amp;Data!CE52),IF('ARDT Cutter Entry'!$C$111&lt;&gt;"",'ARDT Cutter Entry'!P117,'ARDT Cutter Entry'!P49))</f>
        <v/>
      </c>
      <c r="Q19" s="167" t="str">
        <f>IF(OR(Data!$L$2=1,Data!$L$3=1),IF(OR(Data!CF52=0,Data!CF52=""),"","O"&amp;Data!CF52),IF('ARDT Cutter Entry'!$C$111&lt;&gt;"",'ARDT Cutter Entry'!Q117,'ARDT Cutter Entry'!Q49))</f>
        <v/>
      </c>
      <c r="R19" s="167" t="str">
        <f>IF(OR(Data!$L$2=1,Data!$L$3=1),IF(OR(Data!CG52=0,Data!CG52=""),"","O"&amp;Data!CG52),IF('ARDT Cutter Entry'!$C$111&lt;&gt;"",'ARDT Cutter Entry'!R117,'ARDT Cutter Entry'!R49))</f>
        <v/>
      </c>
      <c r="S19" s="167" t="str">
        <f>IF(OR(Data!$L$2=1,Data!$L$3=1),IF(OR(Data!CH52=0,Data!CH52=""),"","O"&amp;Data!CH52),IF('ARDT Cutter Entry'!$C$111&lt;&gt;"",'ARDT Cutter Entry'!S117,'ARDT Cutter Entry'!S49))</f>
        <v/>
      </c>
      <c r="T19" s="167" t="str">
        <f>IF(OR(Data!$L$2=1,Data!$L$3=1),IF(OR(Data!CI52=0,Data!CI52=""),"","O"&amp;Data!CI52),IF('ARDT Cutter Entry'!$C$111&lt;&gt;"",'ARDT Cutter Entry'!T117,'ARDT Cutter Entry'!T49))</f>
        <v/>
      </c>
      <c r="U19" s="167" t="str">
        <f>IF(OR(Data!$L$2=1,Data!$L$3=1),IF(OR(Data!CJ52=0,Data!CJ52=""),"","O"&amp;Data!CJ52),IF('ARDT Cutter Entry'!$C$111&lt;&gt;"",'ARDT Cutter Entry'!U117,'ARDT Cutter Entry'!U49))</f>
        <v/>
      </c>
      <c r="V19" s="167" t="str">
        <f>IF(OR(Data!$L$2=1,Data!$L$3=1),IF(OR(Data!CK52=0,Data!CK52=""),"","O"&amp;Data!CK52),IF('ARDT Cutter Entry'!$C$111&lt;&gt;"",'ARDT Cutter Entry'!V117,'ARDT Cutter Entry'!V49))</f>
        <v/>
      </c>
      <c r="W19" s="167" t="str">
        <f>IF(OR(Data!$L$2=1,Data!$L$3=1),IF(OR(Data!CL52=0,Data!CL52=""),"","O"&amp;Data!CL52),IF('ARDT Cutter Entry'!$C$111&lt;&gt;"",'ARDT Cutter Entry'!W117,'ARDT Cutter Entry'!W49))</f>
        <v/>
      </c>
      <c r="X19" s="167" t="str">
        <f>IF(OR(Data!$L$2=1,Data!$L$3=1),IF(OR(Data!CM52=0,Data!CM52=""),"","O"&amp;Data!CM52),IF('ARDT Cutter Entry'!$C$111&lt;&gt;"",'ARDT Cutter Entry'!X117,'ARDT Cutter Entry'!X49))</f>
        <v/>
      </c>
      <c r="Y19" s="167" t="str">
        <f>IF(OR(Data!$L$2=1,Data!$L$3=1),IF(OR(Data!CN52=0,Data!CN52=""),"","O"&amp;Data!CN52),IF('ARDT Cutter Entry'!$C$111&lt;&gt;"",'ARDT Cutter Entry'!Y117,'ARDT Cutter Entry'!Y49))</f>
        <v/>
      </c>
      <c r="Z19" s="167" t="str">
        <f>IF(OR(Data!$L$2=1,Data!$L$3=1),IF(OR(Data!CO52=0,Data!CO52=""),"","O"&amp;Data!CO52),IF('ARDT Cutter Entry'!$C$111&lt;&gt;"",'ARDT Cutter Entry'!Z117,'ARDT Cutter Entry'!Z49))</f>
        <v/>
      </c>
      <c r="AA19" s="248" t="str">
        <f>IF(OR(Data!$L$2=1,Data!$L$3=1),IF(OR(Data!CP52=0,Data!CP52=""),"","O"&amp;Data!CP52),IF('ARDT Cutter Entry'!$C$111&lt;&gt;"",'ARDT Cutter Entry'!AA117,'ARDT Cutter Entry'!AA49))</f>
        <v/>
      </c>
      <c r="AB19" s="240" t="str">
        <f>IF('ARDT Cutter Entry'!AB117&lt;&gt;"",SUBSTITUTE('ARDT Cutter Entry'!AB117,"*","")," ")</f>
        <v xml:space="preserve"> </v>
      </c>
      <c r="AC19" s="240" t="str">
        <f>IF('ARDT Cutter Entry'!AC117&lt;&gt;"",SUBSTITUTE('ARDT Cutter Entry'!AC117,"*","")," ")</f>
        <v xml:space="preserve"> </v>
      </c>
      <c r="AD19" s="240" t="str">
        <f>IF('ARDT Cutter Entry'!AD117&lt;&gt;"",SUBSTITUTE('ARDT Cutter Entry'!AD117,"*","")," ")</f>
        <v xml:space="preserve"> </v>
      </c>
      <c r="AE19" s="240" t="str">
        <f>IF('ARDT Cutter Entry'!AE117&lt;&gt;"",SUBSTITUTE('ARDT Cutter Entry'!AE117,"*","")," ")</f>
        <v xml:space="preserve"> </v>
      </c>
      <c r="AF19" s="240" t="str">
        <f>IF('ARDT Cutter Entry'!AF117&lt;&gt;"",SUBSTITUTE('ARDT Cutter Entry'!AF117,"*","")," ")</f>
        <v xml:space="preserve"> </v>
      </c>
      <c r="AG19" s="240" t="str">
        <f>IF('ARDT Cutter Entry'!AG117&lt;&gt;"",SUBSTITUTE('ARDT Cutter Entry'!AG117,"*","")," ")</f>
        <v xml:space="preserve"> </v>
      </c>
      <c r="AH19" s="240" t="str">
        <f>IF('ARDT Cutter Entry'!AH117&lt;&gt;"",SUBSTITUTE('ARDT Cutter Entry'!AH117,"*","")," ")</f>
        <v xml:space="preserve"> </v>
      </c>
      <c r="AI19" s="240" t="str">
        <f>IF('ARDT Cutter Entry'!AI117&lt;&gt;"",SUBSTITUTE('ARDT Cutter Entry'!AI117,"*","")," ")</f>
        <v xml:space="preserve"> </v>
      </c>
    </row>
    <row r="20" spans="1:38" ht="15" customHeight="1" x14ac:dyDescent="0.35">
      <c r="A20" s="1825"/>
      <c r="B20" s="437">
        <v>8</v>
      </c>
      <c r="C20" s="167" t="str">
        <f>IF(OR(Data!$L$2=1,Data!$L$3=1),IF(OR(Data!BR53=0,Data!BR53=""),"","O"&amp;Data!BR53),IF('ARDT Cutter Entry'!$C$111&lt;&gt;"",'ARDT Cutter Entry'!C118,'ARDT Cutter Entry'!C50))</f>
        <v/>
      </c>
      <c r="D20" s="167" t="str">
        <f>IF(OR(Data!$L$2=1,Data!$L$3=1),IF(OR(Data!BS53=0,Data!BS53=""),"","O"&amp;Data!BS53),IF('ARDT Cutter Entry'!$C$111&lt;&gt;"",'ARDT Cutter Entry'!D118,'ARDT Cutter Entry'!D50))</f>
        <v/>
      </c>
      <c r="E20" s="167" t="str">
        <f>IF(OR(Data!$L$2=1,Data!$L$3=1),IF(OR(Data!BT53=0,Data!BT53=""),"","O"&amp;Data!BT53),IF('ARDT Cutter Entry'!$C$111&lt;&gt;"",'ARDT Cutter Entry'!E118,'ARDT Cutter Entry'!E50))</f>
        <v/>
      </c>
      <c r="F20" s="167" t="str">
        <f>IF(OR(Data!$L$2=1,Data!$L$3=1),IF(OR(Data!BU53=0,Data!BU53=""),"","O"&amp;Data!BU53),IF('ARDT Cutter Entry'!$C$111&lt;&gt;"",'ARDT Cutter Entry'!F118,'ARDT Cutter Entry'!F50))</f>
        <v/>
      </c>
      <c r="G20" s="167" t="str">
        <f>IF(OR(Data!$L$2=1,Data!$L$3=1),IF(OR(Data!BV53=0,Data!BV53=""),"","O"&amp;Data!BV53),IF('ARDT Cutter Entry'!$C$111&lt;&gt;"",'ARDT Cutter Entry'!G118,'ARDT Cutter Entry'!G50))</f>
        <v/>
      </c>
      <c r="H20" s="167" t="str">
        <f>IF(OR(Data!$L$2=1,Data!$L$3=1),IF(OR(Data!BW53=0,Data!BW53=""),"","O"&amp;Data!BW53),IF('ARDT Cutter Entry'!$C$111&lt;&gt;"",'ARDT Cutter Entry'!H118,'ARDT Cutter Entry'!H50))</f>
        <v/>
      </c>
      <c r="I20" s="167" t="str">
        <f>IF(OR(Data!$L$2=1,Data!$L$3=1),IF(OR(Data!BX53=0,Data!BX53=""),"","O"&amp;Data!BX53),IF('ARDT Cutter Entry'!$C$111&lt;&gt;"",'ARDT Cutter Entry'!I118,'ARDT Cutter Entry'!I50))</f>
        <v/>
      </c>
      <c r="J20" s="167" t="str">
        <f>IF(OR(Data!$L$2=1,Data!$L$3=1),IF(OR(Data!BY53=0,Data!BY53=""),"","O"&amp;Data!BY53),IF('ARDT Cutter Entry'!$C$111&lt;&gt;"",'ARDT Cutter Entry'!J118,'ARDT Cutter Entry'!J50))</f>
        <v/>
      </c>
      <c r="K20" s="167" t="str">
        <f>IF(OR(Data!$L$2=1,Data!$L$3=1),IF(OR(Data!BZ53=0,Data!BZ53=""),"","O"&amp;Data!BZ53),IF('ARDT Cutter Entry'!$C$111&lt;&gt;"",'ARDT Cutter Entry'!K118,'ARDT Cutter Entry'!K50))</f>
        <v/>
      </c>
      <c r="L20" s="167" t="str">
        <f>IF(OR(Data!$L$2=1,Data!$L$3=1),IF(OR(Data!CA53=0,Data!CA53=""),"","O"&amp;Data!CA53),IF('ARDT Cutter Entry'!$C$111&lt;&gt;"",'ARDT Cutter Entry'!L118,'ARDT Cutter Entry'!L50))</f>
        <v/>
      </c>
      <c r="M20" s="167" t="str">
        <f>IF(OR(Data!$L$2=1,Data!$L$3=1),IF(OR(Data!CB53=0,Data!CB53=""),"","O"&amp;Data!CB53),IF('ARDT Cutter Entry'!$C$111&lt;&gt;"",'ARDT Cutter Entry'!M118,'ARDT Cutter Entry'!M50))</f>
        <v/>
      </c>
      <c r="N20" s="167" t="str">
        <f>IF(OR(Data!$L$2=1,Data!$L$3=1),IF(OR(Data!CC53=0,Data!CC53=""),"","O"&amp;Data!CC53),IF('ARDT Cutter Entry'!$C$111&lt;&gt;"",'ARDT Cutter Entry'!N118,'ARDT Cutter Entry'!N50))</f>
        <v/>
      </c>
      <c r="O20" s="167" t="str">
        <f>IF(OR(Data!$L$2=1,Data!$L$3=1),IF(OR(Data!CD53=0,Data!CD53=""),"","O"&amp;Data!CD53),IF('ARDT Cutter Entry'!$C$111&lt;&gt;"",'ARDT Cutter Entry'!O118,'ARDT Cutter Entry'!O50))</f>
        <v/>
      </c>
      <c r="P20" s="167" t="str">
        <f>IF(OR(Data!$L$2=1,Data!$L$3=1),IF(OR(Data!CE53=0,Data!CE53=""),"","O"&amp;Data!CE53),IF('ARDT Cutter Entry'!$C$111&lt;&gt;"",'ARDT Cutter Entry'!P118,'ARDT Cutter Entry'!P50))</f>
        <v/>
      </c>
      <c r="Q20" s="167" t="str">
        <f>IF(OR(Data!$L$2=1,Data!$L$3=1),IF(OR(Data!CF53=0,Data!CF53=""),"","O"&amp;Data!CF53),IF('ARDT Cutter Entry'!$C$111&lt;&gt;"",'ARDT Cutter Entry'!Q118,'ARDT Cutter Entry'!Q50))</f>
        <v/>
      </c>
      <c r="R20" s="167" t="str">
        <f>IF(OR(Data!$L$2=1,Data!$L$3=1),IF(OR(Data!CG53=0,Data!CG53=""),"","O"&amp;Data!CG53),IF('ARDT Cutter Entry'!$C$111&lt;&gt;"",'ARDT Cutter Entry'!R118,'ARDT Cutter Entry'!R50))</f>
        <v/>
      </c>
      <c r="S20" s="167" t="str">
        <f>IF(OR(Data!$L$2=1,Data!$L$3=1),IF(OR(Data!CH53=0,Data!CH53=""),"","O"&amp;Data!CH53),IF('ARDT Cutter Entry'!$C$111&lt;&gt;"",'ARDT Cutter Entry'!S118,'ARDT Cutter Entry'!S50))</f>
        <v/>
      </c>
      <c r="T20" s="167" t="str">
        <f>IF(OR(Data!$L$2=1,Data!$L$3=1),IF(OR(Data!CI53=0,Data!CI53=""),"","O"&amp;Data!CI53),IF('ARDT Cutter Entry'!$C$111&lt;&gt;"",'ARDT Cutter Entry'!T118,'ARDT Cutter Entry'!T50))</f>
        <v/>
      </c>
      <c r="U20" s="167" t="str">
        <f>IF(OR(Data!$L$2=1,Data!$L$3=1),IF(OR(Data!CJ53=0,Data!CJ53=""),"","O"&amp;Data!CJ53),IF('ARDT Cutter Entry'!$C$111&lt;&gt;"",'ARDT Cutter Entry'!U118,'ARDT Cutter Entry'!U50))</f>
        <v/>
      </c>
      <c r="V20" s="167" t="str">
        <f>IF(OR(Data!$L$2=1,Data!$L$3=1),IF(OR(Data!CK53=0,Data!CK53=""),"","O"&amp;Data!CK53),IF('ARDT Cutter Entry'!$C$111&lt;&gt;"",'ARDT Cutter Entry'!V118,'ARDT Cutter Entry'!V50))</f>
        <v/>
      </c>
      <c r="W20" s="167" t="str">
        <f>IF(OR(Data!$L$2=1,Data!$L$3=1),IF(OR(Data!CL53=0,Data!CL53=""),"","O"&amp;Data!CL53),IF('ARDT Cutter Entry'!$C$111&lt;&gt;"",'ARDT Cutter Entry'!W118,'ARDT Cutter Entry'!W50))</f>
        <v/>
      </c>
      <c r="X20" s="167" t="str">
        <f>IF(OR(Data!$L$2=1,Data!$L$3=1),IF(OR(Data!CM53=0,Data!CM53=""),"","O"&amp;Data!CM53),IF('ARDT Cutter Entry'!$C$111&lt;&gt;"",'ARDT Cutter Entry'!X118,'ARDT Cutter Entry'!X50))</f>
        <v/>
      </c>
      <c r="Y20" s="167" t="str">
        <f>IF(OR(Data!$L$2=1,Data!$L$3=1),IF(OR(Data!CN53=0,Data!CN53=""),"","O"&amp;Data!CN53),IF('ARDT Cutter Entry'!$C$111&lt;&gt;"",'ARDT Cutter Entry'!Y118,'ARDT Cutter Entry'!Y50))</f>
        <v/>
      </c>
      <c r="Z20" s="167" t="str">
        <f>IF(OR(Data!$L$2=1,Data!$L$3=1),IF(OR(Data!CO53=0,Data!CO53=""),"","O"&amp;Data!CO53),IF('ARDT Cutter Entry'!$C$111&lt;&gt;"",'ARDT Cutter Entry'!Z118,'ARDT Cutter Entry'!Z50))</f>
        <v/>
      </c>
      <c r="AA20" s="248" t="str">
        <f>IF(OR(Data!$L$2=1,Data!$L$3=1),IF(OR(Data!CP53=0,Data!CP53=""),"","O"&amp;Data!CP53),IF('ARDT Cutter Entry'!$C$111&lt;&gt;"",'ARDT Cutter Entry'!AA118,'ARDT Cutter Entry'!AA50))</f>
        <v/>
      </c>
      <c r="AB20" s="240" t="str">
        <f>IF('ARDT Cutter Entry'!AB118&lt;&gt;"",SUBSTITUTE('ARDT Cutter Entry'!AB118,"*","")," ")</f>
        <v xml:space="preserve"> </v>
      </c>
      <c r="AC20" s="240" t="str">
        <f>IF('ARDT Cutter Entry'!AC118&lt;&gt;"",SUBSTITUTE('ARDT Cutter Entry'!AC118,"*","")," ")</f>
        <v xml:space="preserve"> </v>
      </c>
      <c r="AD20" s="240" t="str">
        <f>IF('ARDT Cutter Entry'!AD118&lt;&gt;"",SUBSTITUTE('ARDT Cutter Entry'!AD118,"*","")," ")</f>
        <v xml:space="preserve"> </v>
      </c>
      <c r="AE20" s="240" t="str">
        <f>IF('ARDT Cutter Entry'!AE118&lt;&gt;"",SUBSTITUTE('ARDT Cutter Entry'!AE118,"*","")," ")</f>
        <v xml:space="preserve"> </v>
      </c>
      <c r="AF20" s="240" t="str">
        <f>IF('ARDT Cutter Entry'!AF118&lt;&gt;"",SUBSTITUTE('ARDT Cutter Entry'!AF118,"*","")," ")</f>
        <v xml:space="preserve"> </v>
      </c>
      <c r="AG20" s="240" t="str">
        <f>IF('ARDT Cutter Entry'!AG118&lt;&gt;"",SUBSTITUTE('ARDT Cutter Entry'!AG118,"*","")," ")</f>
        <v xml:space="preserve"> </v>
      </c>
      <c r="AH20" s="240" t="str">
        <f>IF('ARDT Cutter Entry'!AH118&lt;&gt;"",SUBSTITUTE('ARDT Cutter Entry'!AH118,"*","")," ")</f>
        <v xml:space="preserve"> </v>
      </c>
      <c r="AI20" s="240" t="str">
        <f>IF('ARDT Cutter Entry'!AI118&lt;&gt;"",SUBSTITUTE('ARDT Cutter Entry'!AI118,"*","")," ")</f>
        <v xml:space="preserve"> </v>
      </c>
    </row>
    <row r="21" spans="1:38" ht="15" customHeight="1" x14ac:dyDescent="0.35">
      <c r="A21" s="1825"/>
      <c r="B21" s="437">
        <v>9</v>
      </c>
      <c r="C21" s="167" t="str">
        <f>IF(OR(Data!$L$2=1,Data!$L$3=1),IF(OR(Data!BR54=0,Data!BR54=""),"","O"&amp;Data!BR54),IF('ARDT Cutter Entry'!$C$111&lt;&gt;"",'ARDT Cutter Entry'!C119,'ARDT Cutter Entry'!C51))</f>
        <v/>
      </c>
      <c r="D21" s="167" t="str">
        <f>IF(OR(Data!$L$2=1,Data!$L$3=1),IF(OR(Data!BS54=0,Data!BS54=""),"","O"&amp;Data!BS54),IF('ARDT Cutter Entry'!$C$111&lt;&gt;"",'ARDT Cutter Entry'!D119,'ARDT Cutter Entry'!D51))</f>
        <v/>
      </c>
      <c r="E21" s="167" t="str">
        <f>IF(OR(Data!$L$2=1,Data!$L$3=1),IF(OR(Data!BT54=0,Data!BT54=""),"","O"&amp;Data!BT54),IF('ARDT Cutter Entry'!$C$111&lt;&gt;"",'ARDT Cutter Entry'!E119,'ARDT Cutter Entry'!E51))</f>
        <v/>
      </c>
      <c r="F21" s="167" t="str">
        <f>IF(OR(Data!$L$2=1,Data!$L$3=1),IF(OR(Data!BU54=0,Data!BU54=""),"","O"&amp;Data!BU54),IF('ARDT Cutter Entry'!$C$111&lt;&gt;"",'ARDT Cutter Entry'!F119,'ARDT Cutter Entry'!F51))</f>
        <v/>
      </c>
      <c r="G21" s="167" t="str">
        <f>IF(OR(Data!$L$2=1,Data!$L$3=1),IF(OR(Data!BV54=0,Data!BV54=""),"","O"&amp;Data!BV54),IF('ARDT Cutter Entry'!$C$111&lt;&gt;"",'ARDT Cutter Entry'!G119,'ARDT Cutter Entry'!G51))</f>
        <v/>
      </c>
      <c r="H21" s="167" t="str">
        <f>IF(OR(Data!$L$2=1,Data!$L$3=1),IF(OR(Data!BW54=0,Data!BW54=""),"","O"&amp;Data!BW54),IF('ARDT Cutter Entry'!$C$111&lt;&gt;"",'ARDT Cutter Entry'!H119,'ARDT Cutter Entry'!H51))</f>
        <v/>
      </c>
      <c r="I21" s="167" t="str">
        <f>IF(OR(Data!$L$2=1,Data!$L$3=1),IF(OR(Data!BX54=0,Data!BX54=""),"","O"&amp;Data!BX54),IF('ARDT Cutter Entry'!$C$111&lt;&gt;"",'ARDT Cutter Entry'!I119,'ARDT Cutter Entry'!I51))</f>
        <v/>
      </c>
      <c r="J21" s="167" t="str">
        <f>IF(OR(Data!$L$2=1,Data!$L$3=1),IF(OR(Data!BY54=0,Data!BY54=""),"","O"&amp;Data!BY54),IF('ARDT Cutter Entry'!$C$111&lt;&gt;"",'ARDT Cutter Entry'!J119,'ARDT Cutter Entry'!J51))</f>
        <v/>
      </c>
      <c r="K21" s="167" t="str">
        <f>IF(OR(Data!$L$2=1,Data!$L$3=1),IF(OR(Data!BZ54=0,Data!BZ54=""),"","O"&amp;Data!BZ54),IF('ARDT Cutter Entry'!$C$111&lt;&gt;"",'ARDT Cutter Entry'!K119,'ARDT Cutter Entry'!K51))</f>
        <v/>
      </c>
      <c r="L21" s="167" t="str">
        <f>IF(OR(Data!$L$2=1,Data!$L$3=1),IF(OR(Data!CA54=0,Data!CA54=""),"","O"&amp;Data!CA54),IF('ARDT Cutter Entry'!$C$111&lt;&gt;"",'ARDT Cutter Entry'!L119,'ARDT Cutter Entry'!L51))</f>
        <v/>
      </c>
      <c r="M21" s="167" t="str">
        <f>IF(OR(Data!$L$2=1,Data!$L$3=1),IF(OR(Data!CB54=0,Data!CB54=""),"","O"&amp;Data!CB54),IF('ARDT Cutter Entry'!$C$111&lt;&gt;"",'ARDT Cutter Entry'!M119,'ARDT Cutter Entry'!M51))</f>
        <v/>
      </c>
      <c r="N21" s="167" t="str">
        <f>IF(OR(Data!$L$2=1,Data!$L$3=1),IF(OR(Data!CC54=0,Data!CC54=""),"","O"&amp;Data!CC54),IF('ARDT Cutter Entry'!$C$111&lt;&gt;"",'ARDT Cutter Entry'!N119,'ARDT Cutter Entry'!N51))</f>
        <v/>
      </c>
      <c r="O21" s="167" t="str">
        <f>IF(OR(Data!$L$2=1,Data!$L$3=1),IF(OR(Data!CD54=0,Data!CD54=""),"","O"&amp;Data!CD54),IF('ARDT Cutter Entry'!$C$111&lt;&gt;"",'ARDT Cutter Entry'!O119,'ARDT Cutter Entry'!O51))</f>
        <v/>
      </c>
      <c r="P21" s="167" t="str">
        <f>IF(OR(Data!$L$2=1,Data!$L$3=1),IF(OR(Data!CE54=0,Data!CE54=""),"","O"&amp;Data!CE54),IF('ARDT Cutter Entry'!$C$111&lt;&gt;"",'ARDT Cutter Entry'!P119,'ARDT Cutter Entry'!P51))</f>
        <v/>
      </c>
      <c r="Q21" s="167" t="str">
        <f>IF(OR(Data!$L$2=1,Data!$L$3=1),IF(OR(Data!CF54=0,Data!CF54=""),"","O"&amp;Data!CF54),IF('ARDT Cutter Entry'!$C$111&lt;&gt;"",'ARDT Cutter Entry'!Q119,'ARDT Cutter Entry'!Q51))</f>
        <v/>
      </c>
      <c r="R21" s="167" t="str">
        <f>IF(OR(Data!$L$2=1,Data!$L$3=1),IF(OR(Data!CG54=0,Data!CG54=""),"","O"&amp;Data!CG54),IF('ARDT Cutter Entry'!$C$111&lt;&gt;"",'ARDT Cutter Entry'!R119,'ARDT Cutter Entry'!R51))</f>
        <v/>
      </c>
      <c r="S21" s="167" t="str">
        <f>IF(OR(Data!$L$2=1,Data!$L$3=1),IF(OR(Data!CH54=0,Data!CH54=""),"","O"&amp;Data!CH54),IF('ARDT Cutter Entry'!$C$111&lt;&gt;"",'ARDT Cutter Entry'!S119,'ARDT Cutter Entry'!S51))</f>
        <v/>
      </c>
      <c r="T21" s="167" t="str">
        <f>IF(OR(Data!$L$2=1,Data!$L$3=1),IF(OR(Data!CI54=0,Data!CI54=""),"","O"&amp;Data!CI54),IF('ARDT Cutter Entry'!$C$111&lt;&gt;"",'ARDT Cutter Entry'!T119,'ARDT Cutter Entry'!T51))</f>
        <v/>
      </c>
      <c r="U21" s="167" t="str">
        <f>IF(OR(Data!$L$2=1,Data!$L$3=1),IF(OR(Data!CJ54=0,Data!CJ54=""),"","O"&amp;Data!CJ54),IF('ARDT Cutter Entry'!$C$111&lt;&gt;"",'ARDT Cutter Entry'!U119,'ARDT Cutter Entry'!U51))</f>
        <v/>
      </c>
      <c r="V21" s="167" t="str">
        <f>IF(OR(Data!$L$2=1,Data!$L$3=1),IF(OR(Data!CK54=0,Data!CK54=""),"","O"&amp;Data!CK54),IF('ARDT Cutter Entry'!$C$111&lt;&gt;"",'ARDT Cutter Entry'!V119,'ARDT Cutter Entry'!V51))</f>
        <v/>
      </c>
      <c r="W21" s="167" t="str">
        <f>IF(OR(Data!$L$2=1,Data!$L$3=1),IF(OR(Data!CL54=0,Data!CL54=""),"","O"&amp;Data!CL54),IF('ARDT Cutter Entry'!$C$111&lt;&gt;"",'ARDT Cutter Entry'!W119,'ARDT Cutter Entry'!W51))</f>
        <v/>
      </c>
      <c r="X21" s="167" t="str">
        <f>IF(OR(Data!$L$2=1,Data!$L$3=1),IF(OR(Data!CM54=0,Data!CM54=""),"","O"&amp;Data!CM54),IF('ARDT Cutter Entry'!$C$111&lt;&gt;"",'ARDT Cutter Entry'!X119,'ARDT Cutter Entry'!X51))</f>
        <v/>
      </c>
      <c r="Y21" s="167" t="str">
        <f>IF(OR(Data!$L$2=1,Data!$L$3=1),IF(OR(Data!CN54=0,Data!CN54=""),"","O"&amp;Data!CN54),IF('ARDT Cutter Entry'!$C$111&lt;&gt;"",'ARDT Cutter Entry'!Y119,'ARDT Cutter Entry'!Y51))</f>
        <v/>
      </c>
      <c r="Z21" s="167" t="str">
        <f>IF(OR(Data!$L$2=1,Data!$L$3=1),IF(OR(Data!CO54=0,Data!CO54=""),"","O"&amp;Data!CO54),IF('ARDT Cutter Entry'!$C$111&lt;&gt;"",'ARDT Cutter Entry'!Z119,'ARDT Cutter Entry'!Z51))</f>
        <v/>
      </c>
      <c r="AA21" s="248" t="str">
        <f>IF(OR(Data!$L$2=1,Data!$L$3=1),IF(OR(Data!CP54=0,Data!CP54=""),"","O"&amp;Data!CP54),IF('ARDT Cutter Entry'!$C$111&lt;&gt;"",'ARDT Cutter Entry'!AA119,'ARDT Cutter Entry'!AA51))</f>
        <v/>
      </c>
      <c r="AB21" s="240" t="str">
        <f>IF('ARDT Cutter Entry'!AB119&lt;&gt;"",SUBSTITUTE('ARDT Cutter Entry'!AB119,"*","")," ")</f>
        <v xml:space="preserve"> </v>
      </c>
      <c r="AC21" s="240" t="str">
        <f>IF('ARDT Cutter Entry'!AC119&lt;&gt;"",SUBSTITUTE('ARDT Cutter Entry'!AC119,"*","")," ")</f>
        <v xml:space="preserve"> </v>
      </c>
      <c r="AD21" s="240" t="str">
        <f>IF('ARDT Cutter Entry'!AD119&lt;&gt;"",SUBSTITUTE('ARDT Cutter Entry'!AD119,"*","")," ")</f>
        <v xml:space="preserve"> </v>
      </c>
      <c r="AE21" s="240" t="str">
        <f>IF('ARDT Cutter Entry'!AE119&lt;&gt;"",SUBSTITUTE('ARDT Cutter Entry'!AE119,"*","")," ")</f>
        <v xml:space="preserve"> </v>
      </c>
      <c r="AF21" s="240" t="str">
        <f>IF('ARDT Cutter Entry'!AF119&lt;&gt;"",SUBSTITUTE('ARDT Cutter Entry'!AF119,"*","")," ")</f>
        <v xml:space="preserve"> </v>
      </c>
      <c r="AG21" s="240" t="str">
        <f>IF('ARDT Cutter Entry'!AG119&lt;&gt;"",SUBSTITUTE('ARDT Cutter Entry'!AG119,"*","")," ")</f>
        <v xml:space="preserve"> </v>
      </c>
      <c r="AH21" s="240" t="str">
        <f>IF('ARDT Cutter Entry'!AH119&lt;&gt;"",SUBSTITUTE('ARDT Cutter Entry'!AH119,"*","")," ")</f>
        <v xml:space="preserve"> </v>
      </c>
      <c r="AI21" s="240" t="str">
        <f>IF('ARDT Cutter Entry'!AI119&lt;&gt;"",SUBSTITUTE('ARDT Cutter Entry'!AI119,"*","")," ")</f>
        <v xml:space="preserve"> </v>
      </c>
    </row>
    <row r="22" spans="1:38" ht="5.15" customHeight="1" x14ac:dyDescent="0.35">
      <c r="A22" s="458"/>
      <c r="B22" s="449"/>
      <c r="C22" s="240"/>
      <c r="D22" s="240"/>
      <c r="E22" s="240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0"/>
      <c r="U22" s="240"/>
      <c r="V22" s="240"/>
      <c r="W22" s="240"/>
      <c r="X22" s="240"/>
      <c r="Y22" s="240"/>
      <c r="Z22" s="240"/>
      <c r="AA22" s="457"/>
      <c r="AB22" s="240"/>
      <c r="AC22" s="240"/>
      <c r="AD22" s="240"/>
      <c r="AE22" s="240"/>
      <c r="AF22" s="240"/>
      <c r="AG22" s="240"/>
      <c r="AH22" s="240"/>
    </row>
    <row r="23" spans="1:38" ht="12.75" customHeight="1" x14ac:dyDescent="0.35">
      <c r="A23" s="1930" t="s">
        <v>19</v>
      </c>
      <c r="B23" s="1800"/>
      <c r="C23" s="1800"/>
      <c r="D23" s="1804" t="str">
        <f>IF(Data!L2=1,"The bit is Rerunable, No need for repair. ",IF('ARDT Cutter Entry'!Y57=1,"Accepted as rerun by LSTK engineer.",IF(Data!L5=1,"The bit is scrap. "&amp;" "&amp;IF(AND('ARDT Cutter Entry'!D17&lt;&gt;'Eng. Cutter Entry'!D17,'Eng. Cutter Entry'!D17&lt;&gt;""),'Eng. Cutter Entry'!D17,'ARDT Cutter Entry'!D17),IF('ARDT Cutter Entry'!D21&lt;&gt;"",'ARDT Cutter Entry'!D21,IF(Data!L4=1,"Minimum initial charge, damage beyond repair. "," ")))))</f>
        <v xml:space="preserve">Shank need clean. Pinface and mud seal need buffing.  </v>
      </c>
      <c r="E23" s="1804"/>
      <c r="F23" s="1804"/>
      <c r="G23" s="1804"/>
      <c r="H23" s="1804"/>
      <c r="I23" s="1804"/>
      <c r="J23" s="1804"/>
      <c r="K23" s="1804"/>
      <c r="L23" s="1804"/>
      <c r="M23" s="1804"/>
      <c r="N23" s="1804"/>
      <c r="O23" s="1804"/>
      <c r="P23" s="1804"/>
      <c r="Q23" s="1804"/>
      <c r="R23" s="1804"/>
      <c r="S23" s="1804"/>
      <c r="T23" s="1804"/>
      <c r="U23" s="1804"/>
      <c r="V23" s="1804"/>
      <c r="W23" s="1804"/>
      <c r="X23" s="1804"/>
      <c r="Y23" s="1804"/>
      <c r="Z23" s="1804"/>
      <c r="AA23" s="1958"/>
    </row>
    <row r="24" spans="1:38" ht="12.75" customHeight="1" x14ac:dyDescent="0.35">
      <c r="A24" s="1930"/>
      <c r="B24" s="1800"/>
      <c r="C24" s="1800"/>
      <c r="D24" s="1804"/>
      <c r="E24" s="1804"/>
      <c r="F24" s="1804"/>
      <c r="G24" s="1804"/>
      <c r="H24" s="1804"/>
      <c r="I24" s="1804"/>
      <c r="J24" s="1804"/>
      <c r="K24" s="1804"/>
      <c r="L24" s="1804"/>
      <c r="M24" s="1804"/>
      <c r="N24" s="1804"/>
      <c r="O24" s="1804"/>
      <c r="P24" s="1804"/>
      <c r="Q24" s="1804"/>
      <c r="R24" s="1804"/>
      <c r="S24" s="1804"/>
      <c r="T24" s="1804"/>
      <c r="U24" s="1804"/>
      <c r="V24" s="1804"/>
      <c r="W24" s="1804"/>
      <c r="X24" s="1804"/>
      <c r="Y24" s="1804"/>
      <c r="Z24" s="1804"/>
      <c r="AA24" s="1958"/>
    </row>
    <row r="25" spans="1:38" ht="12.75" customHeight="1" thickBot="1" x14ac:dyDescent="0.4">
      <c r="A25" s="1931"/>
      <c r="B25" s="1806"/>
      <c r="C25" s="1806"/>
      <c r="D25" s="1959"/>
      <c r="E25" s="1959"/>
      <c r="F25" s="1959"/>
      <c r="G25" s="1959"/>
      <c r="H25" s="1959"/>
      <c r="I25" s="1959"/>
      <c r="J25" s="1959"/>
      <c r="K25" s="1959"/>
      <c r="L25" s="1959"/>
      <c r="M25" s="1959"/>
      <c r="N25" s="1959"/>
      <c r="O25" s="1959"/>
      <c r="P25" s="1959"/>
      <c r="Q25" s="1959"/>
      <c r="R25" s="1959"/>
      <c r="S25" s="1959"/>
      <c r="T25" s="1959"/>
      <c r="U25" s="1959"/>
      <c r="V25" s="1959"/>
      <c r="W25" s="1959"/>
      <c r="X25" s="1959"/>
      <c r="Y25" s="1959"/>
      <c r="Z25" s="1959"/>
      <c r="AA25" s="1883"/>
    </row>
    <row r="26" spans="1:38" ht="18" customHeight="1" x14ac:dyDescent="0.35">
      <c r="A26" s="1878" t="s">
        <v>2</v>
      </c>
      <c r="B26" s="1878"/>
      <c r="C26" s="1878" t="s">
        <v>3</v>
      </c>
      <c r="D26" s="1878"/>
      <c r="E26" s="1878"/>
      <c r="F26" s="1878"/>
      <c r="G26" s="1878"/>
      <c r="H26" s="1878"/>
      <c r="I26" s="1878"/>
      <c r="J26" s="1878"/>
      <c r="K26" s="1878"/>
      <c r="L26" s="1878"/>
      <c r="M26" s="1878"/>
      <c r="N26" s="1878"/>
      <c r="O26" s="1878"/>
      <c r="P26" s="1878"/>
      <c r="Q26" s="1878"/>
      <c r="R26" s="1878"/>
      <c r="S26" s="1878" t="s">
        <v>4</v>
      </c>
      <c r="T26" s="1878"/>
      <c r="U26" s="1878" t="s">
        <v>71</v>
      </c>
      <c r="V26" s="1878"/>
      <c r="W26" s="1878" t="s">
        <v>16</v>
      </c>
      <c r="X26" s="1878"/>
      <c r="Y26" s="1878" t="s">
        <v>21</v>
      </c>
      <c r="Z26" s="1878"/>
      <c r="AA26" s="1878"/>
    </row>
    <row r="27" spans="1:38" ht="16.5" customHeight="1" x14ac:dyDescent="0.35">
      <c r="A27" s="1800">
        <v>1</v>
      </c>
      <c r="B27" s="1800"/>
      <c r="C27" s="1957" t="str">
        <f>IF(Data!L5=1,"Scrapping charge","Inspection Charges")</f>
        <v>Inspection Charges</v>
      </c>
      <c r="D27" s="1957"/>
      <c r="E27" s="1957"/>
      <c r="F27" s="1957"/>
      <c r="G27" s="1957"/>
      <c r="H27" s="1957"/>
      <c r="I27" s="1957"/>
      <c r="J27" s="1957"/>
      <c r="K27" s="1957"/>
      <c r="L27" s="1957"/>
      <c r="M27" s="1957"/>
      <c r="N27" s="1957"/>
      <c r="O27" s="1957"/>
      <c r="P27" s="1957"/>
      <c r="Q27" s="1957"/>
      <c r="R27" s="1957"/>
      <c r="S27" s="1935">
        <f>IF(AND(Data!B5&lt;&gt;"",OR(Data!L2=1,Data!L3=1,Data!L4=1,Data!L5=1)),1,0)</f>
        <v>0</v>
      </c>
      <c r="T27" s="1935"/>
      <c r="U27" s="1935" t="str">
        <f>IF(AND(TRIM(S27)&lt;&gt;"",S27&lt;&gt;0),"EA","")</f>
        <v/>
      </c>
      <c r="V27" s="1935"/>
      <c r="W27" s="1936">
        <f>IF(S27&gt;0,IF(Data!L5=1,500,550),0)</f>
        <v>0</v>
      </c>
      <c r="X27" s="1936"/>
      <c r="Y27" s="1936">
        <f>IF(S27&gt;0,S27*W27,0)</f>
        <v>0</v>
      </c>
      <c r="Z27" s="1936"/>
      <c r="AA27" s="1936"/>
    </row>
    <row r="28" spans="1:38" ht="15.75" customHeight="1" x14ac:dyDescent="0.35">
      <c r="A28" s="435"/>
      <c r="B28" s="435"/>
      <c r="C28" s="436"/>
      <c r="D28" s="436"/>
      <c r="E28" s="436"/>
      <c r="F28" s="436"/>
      <c r="G28" s="436"/>
      <c r="H28" s="436"/>
      <c r="I28" s="436"/>
      <c r="J28" s="436"/>
      <c r="K28" s="436"/>
      <c r="L28" s="436"/>
      <c r="M28" s="436"/>
      <c r="N28" s="436"/>
      <c r="O28" s="436"/>
      <c r="P28" s="436"/>
      <c r="Q28" s="436"/>
      <c r="R28" s="436"/>
      <c r="S28" s="117"/>
      <c r="T28" s="117"/>
      <c r="U28" s="117"/>
      <c r="V28" s="117"/>
      <c r="W28" s="434"/>
      <c r="X28" s="434"/>
      <c r="Y28" s="434"/>
      <c r="Z28" s="434"/>
      <c r="AA28" s="434"/>
    </row>
    <row r="29" spans="1:38" ht="14.25" customHeight="1" x14ac:dyDescent="0.35">
      <c r="A29" s="1800">
        <v>2</v>
      </c>
      <c r="B29" s="1800"/>
      <c r="C29" s="1957" t="s">
        <v>824</v>
      </c>
      <c r="D29" s="1957"/>
      <c r="E29" s="1957"/>
      <c r="F29" s="1957"/>
      <c r="G29" s="1957"/>
      <c r="H29" s="1957"/>
      <c r="I29" s="1957"/>
      <c r="J29" s="1957"/>
      <c r="K29" s="1957"/>
      <c r="L29" s="1957"/>
      <c r="M29" s="1957"/>
      <c r="N29" s="1957"/>
      <c r="O29" s="1957"/>
      <c r="P29" s="1957"/>
      <c r="Q29" s="1957"/>
      <c r="R29" s="1957"/>
      <c r="S29" s="1935">
        <f>IF(W29&gt;1,1,"")</f>
        <v>1</v>
      </c>
      <c r="T29" s="1935"/>
      <c r="U29" s="1935" t="str">
        <f>IF(AND(TRIM(S29)&lt;&gt;"",S29&lt;&gt;0),"EA","")</f>
        <v>EA</v>
      </c>
      <c r="V29" s="1935"/>
      <c r="W29" s="1936">
        <f>IF(W27=550,0,IF(AND(Data!B5&lt;&gt;"",Data!C53&lt;&gt;"",OR('Eng. Cutter Entry'!C4&lt;&gt;"",'ARDT Cutter Entry'!C4&lt;&gt;"")),Data!C53,0))</f>
        <v>5495</v>
      </c>
      <c r="X29" s="1936"/>
      <c r="Y29" s="1936">
        <f>IF(S29=1,S29*W29,0)</f>
        <v>5495</v>
      </c>
      <c r="Z29" s="1936"/>
      <c r="AA29" s="1936"/>
      <c r="AL29" t="str">
        <f>""</f>
        <v/>
      </c>
    </row>
    <row r="30" spans="1:38" ht="15" customHeight="1" x14ac:dyDescent="0.35">
      <c r="A30" s="1909">
        <f>IF(OR(Data!L3=1,Data!L4=1),"",3)</f>
        <v>3</v>
      </c>
      <c r="B30" s="1910"/>
      <c r="C30" s="1921" t="str">
        <f>IF(Data!G33&lt;&gt;"","Cerebro Installation","")</f>
        <v/>
      </c>
      <c r="D30" s="1922"/>
      <c r="E30" s="1922"/>
      <c r="F30" s="1922"/>
      <c r="G30" s="1922"/>
      <c r="H30" s="1922"/>
      <c r="I30" s="1922"/>
      <c r="J30" s="1932"/>
      <c r="K30" s="1932"/>
      <c r="L30" s="1932"/>
      <c r="M30" s="1932"/>
      <c r="N30" s="1932"/>
      <c r="O30" s="1932"/>
      <c r="P30" s="1932"/>
      <c r="Q30" s="1932"/>
      <c r="R30" s="1933"/>
      <c r="S30" s="1928">
        <f>IF(W27=550,0,IF(Data!$B$5&lt;&gt;"",IF(Data!G33=1,1,0),0))</f>
        <v>0</v>
      </c>
      <c r="T30" s="1929"/>
      <c r="U30" s="1928" t="str">
        <f>IF(AND(TRIM(S30)&lt;&gt;"",S30&lt;&gt;0),"EA","")</f>
        <v/>
      </c>
      <c r="V30" s="1929"/>
      <c r="W30" s="1917">
        <f>IF(S30&gt;0,836,0)</f>
        <v>0</v>
      </c>
      <c r="X30" s="1919"/>
      <c r="Y30" s="1917">
        <f>IF(S30=1,W30,0)</f>
        <v>0</v>
      </c>
      <c r="Z30" s="1918"/>
      <c r="AA30" s="1919"/>
    </row>
    <row r="31" spans="1:38" ht="14.25" customHeight="1" x14ac:dyDescent="0.35">
      <c r="A31" s="1909">
        <f>IF(OR(Data!L4=1,Data!L5=1),"",3)</f>
        <v>3</v>
      </c>
      <c r="B31" s="1920"/>
      <c r="C31" s="1921" t="str">
        <f>IF(OR(Data!L4=1,Data!L5=1),"","Cutter Rotation Charge")</f>
        <v>Cutter Rotation Charge</v>
      </c>
      <c r="D31" s="1922"/>
      <c r="E31" s="1922"/>
      <c r="F31" s="1922"/>
      <c r="G31" s="1922"/>
      <c r="H31" s="1922"/>
      <c r="I31" s="1922"/>
      <c r="J31" s="1932"/>
      <c r="K31" s="1932"/>
      <c r="L31" s="1932"/>
      <c r="M31" s="1932"/>
      <c r="N31" s="1932"/>
      <c r="O31" s="1932"/>
      <c r="P31" s="1932"/>
      <c r="Q31" s="1932"/>
      <c r="R31" s="1933"/>
      <c r="S31" s="1928">
        <f>IF(W27&gt;=500,0,IF(Data!$B$5&lt;&gt;"",IF('Eng. Cutter Entry'!C4&lt;&gt;"",'ARDT Cutter Entry'!BI62,'ARDT Cutter Entry'!BI6),0))</f>
        <v>25</v>
      </c>
      <c r="T31" s="1929"/>
      <c r="U31" s="1928" t="str">
        <f>IF(AND(TRIM(S31)&lt;&gt;"",S31&lt;&gt;0),"EA","")</f>
        <v>EA</v>
      </c>
      <c r="V31" s="1929"/>
      <c r="W31" s="1917">
        <f>IF(S31&gt;0,25,0)</f>
        <v>25</v>
      </c>
      <c r="X31" s="1919"/>
      <c r="Y31" s="1917">
        <f>IF(OR(Data!L4=1,Data!L5=1),Y27,IF(S31&gt;0,S31*W31,0))</f>
        <v>625</v>
      </c>
      <c r="Z31" s="1918"/>
      <c r="AA31" s="1919"/>
    </row>
    <row r="32" spans="1:38" ht="15" customHeight="1" x14ac:dyDescent="0.35">
      <c r="A32" s="435"/>
      <c r="B32" s="435"/>
      <c r="C32" s="436"/>
      <c r="D32" s="436"/>
      <c r="E32" s="436"/>
      <c r="F32" s="436"/>
      <c r="G32" s="436"/>
      <c r="H32" s="436"/>
      <c r="I32" s="436"/>
      <c r="J32" s="436"/>
      <c r="K32" s="436"/>
      <c r="L32" s="436"/>
      <c r="M32" s="436"/>
      <c r="N32" s="436"/>
      <c r="O32" s="436"/>
      <c r="P32" s="436"/>
      <c r="Q32" s="436"/>
      <c r="R32" s="436"/>
      <c r="S32" s="117"/>
      <c r="T32" s="117"/>
      <c r="U32" s="117"/>
      <c r="V32" s="117"/>
      <c r="W32" s="434"/>
      <c r="X32" s="434"/>
      <c r="Y32" s="434"/>
      <c r="Z32" s="434"/>
      <c r="AA32" s="434"/>
    </row>
    <row r="33" spans="1:40" ht="14.25" customHeight="1" x14ac:dyDescent="0.35">
      <c r="A33" s="1909">
        <v>4</v>
      </c>
      <c r="B33" s="1920"/>
      <c r="C33" s="1921" t="s">
        <v>1227</v>
      </c>
      <c r="D33" s="1922"/>
      <c r="E33" s="1922"/>
      <c r="F33" s="1922"/>
      <c r="G33" s="1922"/>
      <c r="H33" s="1922"/>
      <c r="I33" s="1922"/>
      <c r="J33" s="1922"/>
      <c r="K33" s="1922"/>
      <c r="L33" s="1922"/>
      <c r="M33" s="1922"/>
      <c r="N33" s="1922"/>
      <c r="O33" s="1922"/>
      <c r="P33" s="1922"/>
      <c r="Q33" s="1922"/>
      <c r="R33" s="1923"/>
      <c r="S33" s="1928">
        <f>IF(W27=550,0,IF(Data!$B$5&lt;&gt;"",IF('Eng. Cutter Entry'!C4&lt;&gt;"",'ARDT Cutter Entry'!AL62+'ARDT Cutter Entry'!AL63+'ARDT Cutter Entry'!AL64+'ARDT Cutter Entry'!AL65,'ARDT Cutter Entry'!AL2+'ARDT Cutter Entry'!AL3+'ARDT Cutter Entry'!AL4+'ARDT Cutter Entry'!AL5),0))</f>
        <v>0</v>
      </c>
      <c r="T33" s="1929"/>
      <c r="U33" s="1928" t="str">
        <f>IF(AND(TRIM(S33)&lt;&gt;"",S33&lt;&gt;0),"EA","")</f>
        <v/>
      </c>
      <c r="V33" s="1929"/>
      <c r="W33" s="1917" t="str">
        <f>IF(S33&gt;0,100,"")</f>
        <v/>
      </c>
      <c r="X33" s="1919"/>
      <c r="Y33" s="1917">
        <f>IF(S33&gt;0,S33*W33,0)</f>
        <v>0</v>
      </c>
      <c r="Z33" s="1918"/>
      <c r="AA33" s="1919"/>
    </row>
    <row r="34" spans="1:40" ht="0.75" hidden="1" customHeight="1" x14ac:dyDescent="0.35">
      <c r="A34" s="435"/>
      <c r="B34" s="435"/>
      <c r="C34" s="436"/>
      <c r="D34" s="436"/>
      <c r="E34" s="436"/>
      <c r="F34" s="436"/>
      <c r="G34" s="436"/>
      <c r="H34" s="436"/>
      <c r="I34" s="436"/>
      <c r="J34" s="436"/>
      <c r="K34" s="436"/>
      <c r="L34" s="436"/>
      <c r="M34" s="436"/>
      <c r="N34" s="436"/>
      <c r="O34" s="436"/>
      <c r="P34" s="436"/>
      <c r="Q34" s="436"/>
      <c r="R34" s="436"/>
      <c r="S34" s="117"/>
      <c r="T34" s="117"/>
      <c r="U34" s="117"/>
      <c r="V34" s="117"/>
      <c r="W34" s="434"/>
      <c r="X34" s="434"/>
      <c r="Y34" s="434"/>
      <c r="Z34" s="434"/>
      <c r="AA34" s="434"/>
    </row>
    <row r="35" spans="1:40" ht="15" customHeight="1" x14ac:dyDescent="0.35">
      <c r="A35" s="1920" t="s">
        <v>825</v>
      </c>
      <c r="B35" s="1920"/>
      <c r="C35" s="1920"/>
      <c r="D35" s="1920"/>
      <c r="E35" s="1934" t="str">
        <f>IF(Data!B16&lt;&gt;"",Data!B16,"")</f>
        <v>SAUDI ARAMCO</v>
      </c>
      <c r="F35" s="1934"/>
      <c r="G35" s="1934"/>
      <c r="H35" s="1934"/>
      <c r="I35" s="1934"/>
      <c r="J35" s="1920" t="s">
        <v>833</v>
      </c>
      <c r="K35" s="1920"/>
      <c r="L35" s="1920"/>
      <c r="M35" s="1920"/>
      <c r="N35" s="1920"/>
      <c r="O35" s="1920"/>
      <c r="P35" s="1920"/>
      <c r="Q35" s="1920"/>
      <c r="R35" s="1934" t="str">
        <f>IF(Data!B17&lt;&gt;"",Data!B17,"")</f>
        <v>Ramzi Kassab</v>
      </c>
      <c r="S35" s="1934"/>
      <c r="T35" s="1934"/>
      <c r="U35" s="1934"/>
      <c r="V35" s="1934"/>
      <c r="W35" s="116"/>
      <c r="X35" s="116"/>
      <c r="Y35" s="116"/>
      <c r="Z35" s="116"/>
      <c r="AA35" s="116"/>
    </row>
    <row r="36" spans="1:40" ht="0.75" hidden="1" customHeight="1" x14ac:dyDescent="0.35">
      <c r="A36" s="435"/>
      <c r="B36" s="435"/>
      <c r="C36" s="436"/>
      <c r="D36" s="436"/>
      <c r="E36" s="436"/>
      <c r="F36" s="436"/>
      <c r="G36" s="436"/>
      <c r="H36" s="436"/>
      <c r="I36" s="436"/>
      <c r="J36" s="436"/>
      <c r="K36" s="436"/>
      <c r="L36" s="436"/>
      <c r="M36" s="436"/>
      <c r="N36" s="436"/>
      <c r="O36" s="436"/>
      <c r="P36" s="436"/>
      <c r="Q36" s="436"/>
      <c r="R36" s="436"/>
      <c r="S36" s="117"/>
      <c r="T36" s="117"/>
      <c r="U36" s="117"/>
      <c r="V36" s="117"/>
      <c r="W36" s="434"/>
      <c r="X36" s="434"/>
      <c r="Y36" s="434"/>
      <c r="Z36" s="434"/>
      <c r="AA36" s="434"/>
    </row>
    <row r="37" spans="1:40" ht="14.25" customHeight="1" x14ac:dyDescent="0.35">
      <c r="A37" s="1909">
        <v>5</v>
      </c>
      <c r="B37" s="1920"/>
      <c r="C37" s="1921" t="str">
        <f>IF(COUNTIF(Data!B4,"S*"),"Hardfacing Charge (1inx1inx1/8in)","Matrix Build up charge (1inx1inx1/8in)")</f>
        <v>Matrix Build up charge (1inx1inx1/8in)</v>
      </c>
      <c r="D37" s="1922"/>
      <c r="E37" s="1922"/>
      <c r="F37" s="1922"/>
      <c r="G37" s="1922"/>
      <c r="H37" s="1922"/>
      <c r="I37" s="1922"/>
      <c r="J37" s="1922"/>
      <c r="K37" s="1922"/>
      <c r="L37" s="1922"/>
      <c r="M37" s="1922"/>
      <c r="N37" s="1922"/>
      <c r="O37" s="1922"/>
      <c r="P37" s="1922"/>
      <c r="Q37" s="1922"/>
      <c r="R37" s="1923"/>
      <c r="S37" s="1928">
        <f>IF(W27=550,0,IF(Data!$B$5&lt;&gt;"",IF('Eng. Cutter Entry'!C4&lt;&gt;"",Data!L8,Data!L7),0))</f>
        <v>0</v>
      </c>
      <c r="T37" s="1929"/>
      <c r="U37" s="1928" t="s">
        <v>779</v>
      </c>
      <c r="V37" s="1929"/>
      <c r="W37" s="1917" t="str">
        <f>IF(AND(S37&gt;0,COUNTIF(Data!B4,"S*")),IF(S37&gt;0,100," "),IF(S37&gt;0,135," "))</f>
        <v xml:space="preserve"> </v>
      </c>
      <c r="X37" s="1919"/>
      <c r="Y37" s="1917">
        <f>IF(S37&gt;0,S37*W37,0)</f>
        <v>0</v>
      </c>
      <c r="Z37" s="1918"/>
      <c r="AA37" s="1919"/>
    </row>
    <row r="38" spans="1:40" ht="3.75" hidden="1" customHeight="1" x14ac:dyDescent="0.35">
      <c r="A38" s="435"/>
      <c r="B38" s="435"/>
      <c r="C38" s="436"/>
      <c r="D38" s="436"/>
      <c r="E38" s="436"/>
      <c r="F38" s="436"/>
      <c r="G38" s="436"/>
      <c r="H38" s="436"/>
      <c r="I38" s="436"/>
      <c r="J38" s="436"/>
      <c r="K38" s="436"/>
      <c r="L38" s="436"/>
      <c r="M38" s="436"/>
      <c r="N38" s="436"/>
      <c r="O38" s="436"/>
      <c r="P38" s="436"/>
      <c r="Q38" s="436"/>
      <c r="R38" s="436"/>
      <c r="S38" s="117"/>
      <c r="T38" s="117"/>
      <c r="U38" s="117"/>
      <c r="V38" s="117"/>
      <c r="W38" s="434"/>
      <c r="X38" s="434"/>
      <c r="Y38" s="434"/>
      <c r="Z38" s="434"/>
      <c r="AA38" s="434"/>
    </row>
    <row r="39" spans="1:40" ht="15" customHeight="1" x14ac:dyDescent="0.35">
      <c r="A39" s="1920" t="s">
        <v>826</v>
      </c>
      <c r="B39" s="1920"/>
      <c r="C39" s="1920"/>
      <c r="D39" s="1920"/>
      <c r="E39" s="1934" t="str">
        <f>IF(Data!B11&lt;&gt;"",Data!B11,"")</f>
        <v>Yakoob Alajawad</v>
      </c>
      <c r="F39" s="1934"/>
      <c r="G39" s="1934"/>
      <c r="H39" s="1934"/>
      <c r="I39" s="1934"/>
      <c r="J39" s="1920" t="s">
        <v>827</v>
      </c>
      <c r="K39" s="1920"/>
      <c r="L39" s="1920"/>
      <c r="M39" s="1920"/>
      <c r="N39" s="1920"/>
      <c r="O39" s="1924">
        <f>IF(Data!B13&lt;&gt;"",Data!B13,"")</f>
        <v>46022</v>
      </c>
      <c r="P39" s="1924"/>
      <c r="Q39" s="1924"/>
      <c r="R39" s="1924"/>
      <c r="S39" s="1924"/>
      <c r="T39" s="1920" t="s">
        <v>828</v>
      </c>
      <c r="U39" s="1920"/>
      <c r="V39" s="1920"/>
      <c r="W39" s="1924" t="str">
        <f>IF(Data!B18&lt;&gt;"",Data!B18,"")</f>
        <v/>
      </c>
      <c r="X39" s="1924"/>
      <c r="Y39" s="1924"/>
      <c r="Z39" s="1924"/>
      <c r="AA39" s="1924"/>
    </row>
    <row r="40" spans="1:40" ht="0.75" hidden="1" customHeight="1" x14ac:dyDescent="0.35">
      <c r="A40" s="435"/>
      <c r="B40" s="435"/>
      <c r="C40" s="436"/>
      <c r="D40" s="436"/>
      <c r="E40" s="436"/>
      <c r="F40" s="436"/>
      <c r="G40" s="436"/>
      <c r="H40" s="436"/>
      <c r="I40" s="436"/>
      <c r="J40" s="436"/>
      <c r="K40" s="436"/>
      <c r="L40" s="436"/>
      <c r="M40" s="436"/>
      <c r="N40" s="436"/>
      <c r="O40" s="436"/>
      <c r="P40" s="436"/>
      <c r="Q40" s="436"/>
      <c r="R40" s="436"/>
      <c r="S40" s="117"/>
      <c r="T40" s="117"/>
      <c r="U40" s="117"/>
      <c r="V40" s="117"/>
      <c r="W40" s="434"/>
      <c r="X40" s="434"/>
      <c r="Y40" s="434"/>
      <c r="Z40" s="434"/>
      <c r="AA40" s="434"/>
    </row>
    <row r="41" spans="1:40" ht="14.25" customHeight="1" x14ac:dyDescent="0.35">
      <c r="A41" s="1909">
        <v>6</v>
      </c>
      <c r="B41" s="1920"/>
      <c r="C41" s="1921" t="str">
        <f>IF(Data!E31&lt;&gt;"",CONCATENATE("Upper Section Replacement Size ",TEXT(Data!E31,"0 0/0")&amp;"""",", MAT NO:" &amp;" "&amp;Data!F31),"Upper Section Replacement")</f>
        <v>Upper Section Replacement</v>
      </c>
      <c r="D41" s="1922"/>
      <c r="E41" s="1922"/>
      <c r="F41" s="1922"/>
      <c r="G41" s="1922"/>
      <c r="H41" s="1922"/>
      <c r="I41" s="1922"/>
      <c r="J41" s="1922"/>
      <c r="K41" s="1922"/>
      <c r="L41" s="1922"/>
      <c r="M41" s="1922"/>
      <c r="N41" s="1922"/>
      <c r="O41" s="1922"/>
      <c r="P41" s="1922"/>
      <c r="Q41" s="1922"/>
      <c r="R41" s="1923"/>
      <c r="S41" s="1928">
        <f>IF(W27=550,0,IF(Data!$B$5&lt;&gt;"",IF(Data!E31&lt;&gt;"",1,0),0))</f>
        <v>0</v>
      </c>
      <c r="T41" s="1929"/>
      <c r="U41" s="1928" t="str">
        <f>IF(AND(TRIM(S41)&lt;&gt;"",S41&lt;&gt;0),"EA","")</f>
        <v/>
      </c>
      <c r="V41" s="1929"/>
      <c r="W41" s="1917">
        <f>IF(W27=550,0,IF(S41&gt;0,IF(Data!G31&lt;&gt;"",Data!G31,""),0))</f>
        <v>0</v>
      </c>
      <c r="X41" s="1919"/>
      <c r="Y41" s="1917">
        <f>IF(S41=1,W41,0)</f>
        <v>0</v>
      </c>
      <c r="Z41" s="1918"/>
      <c r="AA41" s="1919"/>
    </row>
    <row r="42" spans="1:40" ht="3.75" hidden="1" customHeight="1" x14ac:dyDescent="0.35">
      <c r="A42" s="435"/>
      <c r="B42" s="435"/>
      <c r="C42" s="436"/>
      <c r="D42" s="436"/>
      <c r="E42" s="436"/>
      <c r="F42" s="436"/>
      <c r="G42" s="436"/>
      <c r="H42" s="436"/>
      <c r="I42" s="436"/>
      <c r="J42" s="436"/>
      <c r="K42" s="436"/>
      <c r="L42" s="436"/>
      <c r="M42" s="436"/>
      <c r="N42" s="436"/>
      <c r="O42" s="436"/>
      <c r="P42" s="436"/>
      <c r="Q42" s="436"/>
      <c r="R42" s="436"/>
      <c r="S42" s="117"/>
      <c r="T42" s="117"/>
      <c r="U42" s="117"/>
      <c r="V42" s="117"/>
      <c r="W42" s="434"/>
      <c r="X42" s="434"/>
      <c r="Y42" s="434"/>
      <c r="Z42" s="434"/>
      <c r="AA42" s="434"/>
    </row>
    <row r="43" spans="1:40" ht="13.5" customHeight="1" x14ac:dyDescent="0.35">
      <c r="A43" s="1920" t="s">
        <v>829</v>
      </c>
      <c r="B43" s="1920"/>
      <c r="C43" s="1920"/>
      <c r="D43" s="1920"/>
      <c r="E43" s="1934" t="str">
        <f>IF(Data!B19&lt;&gt;"",Data!B19,"")</f>
        <v/>
      </c>
      <c r="F43" s="1934"/>
      <c r="G43" s="1934"/>
      <c r="H43" s="1934"/>
      <c r="I43" s="1934"/>
      <c r="J43" s="1920" t="s">
        <v>830</v>
      </c>
      <c r="K43" s="1920"/>
      <c r="L43" s="1920"/>
      <c r="M43" s="1920"/>
      <c r="N43" s="1924" t="str">
        <f>IF(Data!B20&lt;&gt;"",Data!B20,"")</f>
        <v/>
      </c>
      <c r="O43" s="1924"/>
      <c r="P43" s="1924"/>
      <c r="Q43" s="1924"/>
      <c r="R43" s="1924"/>
      <c r="S43" s="116"/>
      <c r="T43" s="1920" t="s">
        <v>831</v>
      </c>
      <c r="U43" s="1920"/>
      <c r="V43" s="1920"/>
      <c r="W43" s="1920"/>
      <c r="X43" s="1934" t="str">
        <f>IF(Data!B21&lt;&gt;"",Data!B21,"")</f>
        <v/>
      </c>
      <c r="Y43" s="1934"/>
      <c r="Z43" s="1934"/>
      <c r="AA43" s="1934"/>
    </row>
    <row r="44" spans="1:40" ht="3.75" hidden="1" customHeight="1" x14ac:dyDescent="0.35">
      <c r="A44" s="435"/>
      <c r="B44" s="435"/>
      <c r="C44" s="436"/>
      <c r="D44" s="436"/>
      <c r="E44" s="436"/>
      <c r="F44" s="436"/>
      <c r="G44" s="436"/>
      <c r="H44" s="436"/>
      <c r="I44" s="436"/>
      <c r="J44" s="436"/>
      <c r="K44" s="436"/>
      <c r="L44" s="436"/>
      <c r="M44" s="436"/>
      <c r="N44" s="436"/>
      <c r="O44" s="436"/>
      <c r="P44" s="436"/>
      <c r="Q44" s="436"/>
      <c r="R44" s="436"/>
      <c r="S44" s="117"/>
      <c r="T44" s="117"/>
      <c r="U44" s="117"/>
      <c r="V44" s="117"/>
      <c r="W44" s="434"/>
      <c r="X44" s="434"/>
      <c r="Y44" s="434"/>
      <c r="Z44" s="434"/>
      <c r="AA44" s="434"/>
    </row>
    <row r="45" spans="1:40" ht="16" customHeight="1" x14ac:dyDescent="0.35">
      <c r="A45" s="1909">
        <v>7</v>
      </c>
      <c r="B45" s="1920"/>
      <c r="C45" s="1909" t="s">
        <v>819</v>
      </c>
      <c r="D45" s="1920"/>
      <c r="E45" s="1920"/>
      <c r="F45" s="1920"/>
      <c r="G45" s="1920"/>
      <c r="H45" s="1920"/>
      <c r="I45" s="1920"/>
      <c r="J45" s="1920"/>
      <c r="K45" s="1920"/>
      <c r="L45" s="1920"/>
      <c r="M45" s="1920"/>
      <c r="N45" s="1920"/>
      <c r="O45" s="1920"/>
      <c r="P45" s="1920"/>
      <c r="Q45" s="1920"/>
      <c r="R45" s="1910"/>
      <c r="S45" s="1928"/>
      <c r="T45" s="1929"/>
      <c r="U45" s="1928"/>
      <c r="V45" s="1929"/>
      <c r="W45" s="1917"/>
      <c r="X45" s="1919"/>
      <c r="Y45" s="1917"/>
      <c r="Z45" s="1918"/>
      <c r="AA45" s="1919"/>
      <c r="AF45" s="1633" t="s">
        <v>871</v>
      </c>
      <c r="AG45" s="1633"/>
      <c r="AH45" s="1633"/>
      <c r="AI45" s="1633"/>
      <c r="AJ45" s="1633"/>
      <c r="AK45" s="1633"/>
      <c r="AL45" s="1633"/>
    </row>
    <row r="46" spans="1:40" ht="16" customHeight="1" x14ac:dyDescent="0.35">
      <c r="A46" s="1800"/>
      <c r="B46" s="1800"/>
      <c r="C46" s="1916" t="s">
        <v>108</v>
      </c>
      <c r="D46" s="1434" t="s">
        <v>4</v>
      </c>
      <c r="E46" s="1434"/>
      <c r="F46" s="1803" t="s">
        <v>1055</v>
      </c>
      <c r="G46" s="1803"/>
      <c r="H46" s="1803" t="s">
        <v>730</v>
      </c>
      <c r="I46" s="1803"/>
      <c r="J46" s="1803"/>
      <c r="K46" s="1648" t="s">
        <v>43</v>
      </c>
      <c r="L46" s="1648"/>
      <c r="M46" s="1648"/>
      <c r="N46" s="1648"/>
      <c r="O46" s="1648"/>
      <c r="P46" s="1648"/>
      <c r="Q46" s="1434" t="s">
        <v>727</v>
      </c>
      <c r="R46" s="1434"/>
      <c r="S46" s="1434" t="s">
        <v>728</v>
      </c>
      <c r="T46" s="1434"/>
      <c r="U46" s="1434" t="s">
        <v>71</v>
      </c>
      <c r="V46" s="1434"/>
      <c r="W46" s="1434" t="s">
        <v>16</v>
      </c>
      <c r="X46" s="1434"/>
      <c r="Y46" s="1434" t="s">
        <v>21</v>
      </c>
      <c r="Z46" s="1434"/>
      <c r="AA46" s="1434"/>
      <c r="AF46" s="1911" t="s">
        <v>4</v>
      </c>
      <c r="AG46" s="1912"/>
      <c r="AH46" s="1911" t="s">
        <v>728</v>
      </c>
      <c r="AI46" s="1912"/>
      <c r="AJ46" s="1911" t="s">
        <v>16</v>
      </c>
      <c r="AK46" s="1912"/>
      <c r="AL46" s="1954" t="s">
        <v>21</v>
      </c>
      <c r="AN46" s="1954" t="s">
        <v>1268</v>
      </c>
    </row>
    <row r="47" spans="1:40" ht="16" customHeight="1" x14ac:dyDescent="0.35">
      <c r="A47" s="1800"/>
      <c r="B47" s="1800"/>
      <c r="C47" s="1916"/>
      <c r="D47" s="1434"/>
      <c r="E47" s="1434"/>
      <c r="F47" s="1803"/>
      <c r="G47" s="1803"/>
      <c r="H47" s="1803"/>
      <c r="I47" s="1803"/>
      <c r="J47" s="1803"/>
      <c r="K47" s="1648"/>
      <c r="L47" s="1648"/>
      <c r="M47" s="1648"/>
      <c r="N47" s="1648"/>
      <c r="O47" s="1648"/>
      <c r="P47" s="1648"/>
      <c r="Q47" s="1434"/>
      <c r="R47" s="1434"/>
      <c r="S47" s="1434"/>
      <c r="T47" s="1434"/>
      <c r="U47" s="1434"/>
      <c r="V47" s="1434"/>
      <c r="W47" s="1434"/>
      <c r="X47" s="1434"/>
      <c r="Y47" s="1434"/>
      <c r="Z47" s="1434"/>
      <c r="AA47" s="1434"/>
      <c r="AF47" s="1913"/>
      <c r="AG47" s="1914"/>
      <c r="AH47" s="1913"/>
      <c r="AI47" s="1914"/>
      <c r="AJ47" s="1913"/>
      <c r="AK47" s="1914"/>
      <c r="AL47" s="1955"/>
      <c r="AN47" s="1955"/>
    </row>
    <row r="48" spans="1:40" ht="16" customHeight="1" x14ac:dyDescent="0.35">
      <c r="A48" s="1800"/>
      <c r="B48" s="1800"/>
      <c r="C48" s="168">
        <f>IF(TRIM(H48)="","",IF(Data!CX60&gt;0,IF(Data!CX60&lt;&gt;"", Data!CX60, " ")," "))</f>
        <v>1</v>
      </c>
      <c r="D48" s="1799">
        <f>IF($W$27=550,0,IF('Eng. Cutter Entry'!$C$4&lt;&gt;"",IF(Data!E12&gt;0,IF(Data!E12&lt;&gt;"", Data!E12,0),0),IF(Data!L9=1,'ARDT Cutter Entry'!AQ2+'ARDT Cutter Entry'!AQ3+'ARDT Cutter Entry'!AQ4+'ARDT Cutter Entry'!AQ5+#REF!,'ARDT Cutter Entry'!AQ2+'ARDT Cutter Entry'!AQ3+'ARDT Cutter Entry'!AQ4+'ARDT Cutter Entry'!AQ5)))</f>
        <v>0</v>
      </c>
      <c r="E48" s="1799"/>
      <c r="F48" s="1904" t="str">
        <f>IF(COUNTIF(IF(Data!F12&gt;0,IF(Data!F12&lt;&gt;"", Data!F12, " ")," "),"10.5"),IF(Data!F12&gt;0,IF(Data!F12&lt;&gt;"", Data!F12, " ")," "),LEFT(IF(Data!F12&gt;0,IF(Data!F12&lt;&gt;"", Data!F12, " ")," "),2))</f>
        <v>16</v>
      </c>
      <c r="G48" s="1905"/>
      <c r="H48" s="1960">
        <f>IF(Data!G12&gt;0,IF(Data!G12&lt;&gt;"", Data!G12, " ")," ")</f>
        <v>1039060</v>
      </c>
      <c r="I48" s="1960"/>
      <c r="J48" s="1960"/>
      <c r="K48" s="1915" t="str">
        <f>IF(AND(COUNTIF(H48,"418525"),D48&lt;&gt;0),"Drop In Cutter",IF(Data!H12&gt;0,IF(Data!H12&lt;&gt;"",""," ")," ")&amp;"  "&amp;IF(COUNTIF(Data!J12,"B*"),"Base",IF(COUNTIF(Data!J12,"P*"),"Pre.",IF(COUNTIF(Data!J12,"S*"),"S.Pre.",""))))</f>
        <v xml:space="preserve">  </v>
      </c>
      <c r="L48" s="1915"/>
      <c r="M48" s="1915"/>
      <c r="N48" s="1915"/>
      <c r="O48" s="1915"/>
      <c r="P48" s="1915"/>
      <c r="Q48" s="1800">
        <f>IF($W$27=550,0,IF(Data!L12&gt;0,IF(Data!L12&lt;&gt;"",Data!L12,0),0))</f>
        <v>0</v>
      </c>
      <c r="R48" s="1800"/>
      <c r="S48" s="1799">
        <f>IF($W$27=550,0,IF('Eng. Cutter Entry'!C4&lt;&gt;"",IF(Data!K12&gt;0,IF(Data!K12&lt;&gt;"",Data!K12," ")," "),D48-Q48))</f>
        <v>0</v>
      </c>
      <c r="T48" s="1799"/>
      <c r="U48" s="1799" t="str">
        <f t="shared" ref="U48:U57" si="0">IF(AND(TRIM(S48)&lt;&gt;"",S48&lt;&gt;0),"EA","")</f>
        <v/>
      </c>
      <c r="V48" s="1799"/>
      <c r="W48" s="1799">
        <f>IF(AND(TRIM(S48)&lt;&gt;"",S48&lt;&gt;0),Data!GQ2,0)</f>
        <v>0</v>
      </c>
      <c r="X48" s="1799"/>
      <c r="Y48" s="1927">
        <f t="shared" ref="Y48:Y57" si="1">IF(TRIM(S48)&lt;&gt;"",S48*W48,0)</f>
        <v>0</v>
      </c>
      <c r="Z48" s="1927"/>
      <c r="AA48" s="1927"/>
      <c r="AF48" s="1904">
        <f>IF($W$27=550,0,IF('Eng. Cutter Entry'!$C$4&lt;&gt;"",IF('ARDT Cutter Entry'!AQ94&gt;0,IF('ARDT Cutter Entry'!AQ94&lt;&gt;"",'ARDT Cutter Entry'!AQ94,0),0),'ARDT Cutter Entry'!AQ2+'ARDT Cutter Entry'!AQ3+'ARDT Cutter Entry'!AQ4+'ARDT Cutter Entry'!AQ5))</f>
        <v>0</v>
      </c>
      <c r="AG48" s="1905"/>
      <c r="AH48" s="1909">
        <f>IF($W$27=550,0,IF('Eng. Cutter Entry'!$C$4&lt;&gt;"",AF48-Q48,0))</f>
        <v>0</v>
      </c>
      <c r="AI48" s="1910"/>
      <c r="AJ48" s="1909">
        <f>IF(Data!GQ2&lt;&gt;"",Data!GQ2,0)</f>
        <v>497</v>
      </c>
      <c r="AK48" s="1910"/>
      <c r="AL48" s="36">
        <f>IF(AH48&lt;0,0,AJ48*AH48)</f>
        <v>0</v>
      </c>
      <c r="AN48" s="37">
        <f>Q48*W48</f>
        <v>0</v>
      </c>
    </row>
    <row r="49" spans="1:40" ht="16" customHeight="1" x14ac:dyDescent="0.35">
      <c r="A49" s="1800"/>
      <c r="B49" s="1800"/>
      <c r="C49" s="168">
        <f>IF(TRIM(H49)="","",IF(Data!CX61&gt;0,IF(Data!CX61&lt;&gt;"", Data!CX61, " ")," "))</f>
        <v>2</v>
      </c>
      <c r="D49" s="1904">
        <f>IF($W$27=550,0,IF('Eng. Cutter Entry'!$C$4&lt;&gt;"",IF(Data!E13&gt;0,IF(Data!E13&lt;&gt;"", Data!E13, 0),0),IF(Data!$L$9=1,#REF!+'ARDT Cutter Entry'!AR2+'ARDT Cutter Entry'!AR3+'ARDT Cutter Entry'!AR4+'ARDT Cutter Entry'!AR5,'ARDT Cutter Entry'!AR2+'ARDT Cutter Entry'!AR3+'ARDT Cutter Entry'!AR4+'ARDT Cutter Entry'!AR5)))</f>
        <v>0</v>
      </c>
      <c r="E49" s="1905"/>
      <c r="F49" s="1904" t="str">
        <f>IF(COUNTIF(IF(Data!F13&gt;0,IF(Data!F13&lt;&gt;"", Data!F13, " ")," "),"10.5"),IF(Data!F13&gt;0,IF(Data!F13&lt;&gt;"", Data!F13, " ")," "),LEFT(IF(Data!F13&gt;0,IF(Data!F13&lt;&gt;"", Data!F13, " ")," "),2))</f>
        <v>16</v>
      </c>
      <c r="G49" s="1905"/>
      <c r="H49" s="1906">
        <f>IF(Data!G13&gt;0,IF(Data!G13&lt;&gt;"", Data!G13, " ")," ")</f>
        <v>1130197</v>
      </c>
      <c r="I49" s="1907"/>
      <c r="J49" s="1908"/>
      <c r="K49" s="1915" t="str">
        <f>IF(AND(COUNTIF(H49,"418525"),D49&lt;&gt;0),"Drop In Cutter",IF(Data!H13&gt;0,IF(Data!H13&lt;&gt;"",""," ")," ")&amp;"  "&amp;IF(COUNTIF(Data!J13,"B*"),"Base",IF(COUNTIF(Data!J13,"P*"),"Pre.",IF(COUNTIF(Data!J13,"S*"),"S.Pre.",""))))</f>
        <v xml:space="preserve">  </v>
      </c>
      <c r="L49" s="1915"/>
      <c r="M49" s="1915"/>
      <c r="N49" s="1915"/>
      <c r="O49" s="1915"/>
      <c r="P49" s="1915"/>
      <c r="Q49" s="1800">
        <f>IF($W$27=550,0,IF(Data!L13&gt;0,IF(Data!L13&lt;&gt;"",Data!L13,0),0))</f>
        <v>0</v>
      </c>
      <c r="R49" s="1800"/>
      <c r="S49" s="1799">
        <f>IF($W$27=550,0,IF('Eng. Cutter Entry'!C4&lt;&gt;"",IF(Data!K13&gt;0,IF(Data!K13&lt;&gt;"",Data!K13," ")," "),D49-Q49))</f>
        <v>0</v>
      </c>
      <c r="T49" s="1799"/>
      <c r="U49" s="1799" t="str">
        <f t="shared" si="0"/>
        <v/>
      </c>
      <c r="V49" s="1799"/>
      <c r="W49" s="1799">
        <f>IF(AND(TRIM(S49)&lt;&gt;"",S49&lt;&gt;0),Data!GQ3,0)</f>
        <v>0</v>
      </c>
      <c r="X49" s="1799"/>
      <c r="Y49" s="1927">
        <f t="shared" si="1"/>
        <v>0</v>
      </c>
      <c r="Z49" s="1927"/>
      <c r="AA49" s="1927"/>
      <c r="AF49" s="1904">
        <f>IF($W$27=550,0,IF('Eng. Cutter Entry'!C4&lt;&gt;"",IF('ARDT Cutter Entry'!AQ95&gt;0,IF('ARDT Cutter Entry'!AQ95&lt;&gt;"",'ARDT Cutter Entry'!AQ95, 0),0),'ARDT Cutter Entry'!AR2+'ARDT Cutter Entry'!AR3+'ARDT Cutter Entry'!AR4+'ARDT Cutter Entry'!AR5))</f>
        <v>0</v>
      </c>
      <c r="AG49" s="1905"/>
      <c r="AH49" s="1909">
        <f>IF($W$27=550,0,IF('Eng. Cutter Entry'!$C$4&lt;&gt;"",AF49-Q49,0))</f>
        <v>0</v>
      </c>
      <c r="AI49" s="1910"/>
      <c r="AJ49" s="1909">
        <f>IF(Data!GQ3&lt;&gt;"",Data!GQ3,0)</f>
        <v>497</v>
      </c>
      <c r="AK49" s="1910"/>
      <c r="AL49" s="36">
        <f t="shared" ref="AL49:AL57" si="2">IF(AH49&lt;0,0,AJ49*AH49)</f>
        <v>0</v>
      </c>
      <c r="AN49" s="37">
        <f t="shared" ref="AN49:AN57" si="3">Q49*W49</f>
        <v>0</v>
      </c>
    </row>
    <row r="50" spans="1:40" ht="16" customHeight="1" x14ac:dyDescent="0.35">
      <c r="A50" s="1800"/>
      <c r="B50" s="1800"/>
      <c r="C50" s="168">
        <f>IF(TRIM(H50)="","",IF(Data!CX62&gt;0,IF(Data!CX62&lt;&gt;"", Data!CX62, " ")," "))</f>
        <v>3</v>
      </c>
      <c r="D50" s="1904">
        <f>IF($W$27=550,0,IF('Eng. Cutter Entry'!$C$4&lt;&gt;"",IF(Data!E14&gt;0,IF(Data!E14&lt;&gt;"", Data!E14, 0),0),IF(Data!$L$9=1,#REF!+'ARDT Cutter Entry'!AS2+'ARDT Cutter Entry'!AS3+'ARDT Cutter Entry'!AS4+'ARDT Cutter Entry'!AS5,'ARDT Cutter Entry'!AS2+'ARDT Cutter Entry'!AS3+'ARDT Cutter Entry'!AS4+'ARDT Cutter Entry'!AS5)))</f>
        <v>6</v>
      </c>
      <c r="E50" s="1905"/>
      <c r="F50" s="1904" t="str">
        <f>IF(COUNTIF(IF(Data!F14&gt;0,IF(Data!F14&lt;&gt;"", Data!F14, " ")," "),"10.5"),IF(Data!F14&gt;0,IF(Data!F14&lt;&gt;"", Data!F14, " ")," "),LEFT(IF(Data!F14&gt;0,IF(Data!F14&lt;&gt;"", Data!F14, " ")," "),2))</f>
        <v>13</v>
      </c>
      <c r="G50" s="1905"/>
      <c r="H50" s="1906">
        <f>IF(Data!G14&gt;0,IF(Data!G14&lt;&gt;"", Data!G14, " ")," ")</f>
        <v>418525</v>
      </c>
      <c r="I50" s="1907"/>
      <c r="J50" s="1908"/>
      <c r="K50" s="1915" t="str">
        <f>IF(AND(COUNTIF(H50,"418525"),D50&lt;&gt;0),"Drop In Cutter",IF(Data!H14&gt;0,IF(Data!H14&lt;&gt;"",""," ")," ")&amp;"  "&amp;IF(COUNTIF(Data!J14,"B*"),"Base",IF(COUNTIF(Data!J14,"P*"),"Pre.",IF(COUNTIF(Data!J14,"S*"),"S.Pre.",""))))</f>
        <v>Drop In Cutter</v>
      </c>
      <c r="L50" s="1915"/>
      <c r="M50" s="1915"/>
      <c r="N50" s="1915"/>
      <c r="O50" s="1915"/>
      <c r="P50" s="1915"/>
      <c r="Q50" s="1800">
        <f>IF($W$27=550,0,IF(Data!L14&gt;0,IF(Data!L14&lt;&gt;"",Data!L14,0),0))</f>
        <v>0</v>
      </c>
      <c r="R50" s="1800"/>
      <c r="S50" s="1799">
        <f>IF($W$27=550,0,IF('Eng. Cutter Entry'!C4&lt;&gt;"",IF(Data!K14&gt;0,IF(Data!K14&lt;&gt;"",Data!K14," ")," "),D50-Q50))</f>
        <v>6</v>
      </c>
      <c r="T50" s="1799"/>
      <c r="U50" s="1799" t="str">
        <f t="shared" si="0"/>
        <v>EA</v>
      </c>
      <c r="V50" s="1799"/>
      <c r="W50" s="1799">
        <f>IF(AND(TRIM(S50)&lt;&gt;"",S50&lt;&gt;0),Data!GQ4,0)</f>
        <v>100</v>
      </c>
      <c r="X50" s="1799"/>
      <c r="Y50" s="1927">
        <f t="shared" si="1"/>
        <v>600</v>
      </c>
      <c r="Z50" s="1927"/>
      <c r="AA50" s="1927"/>
      <c r="AF50" s="1904">
        <f>IF($W$27=550,0,IF('Eng. Cutter Entry'!C4&lt;&gt;"",IF('ARDT Cutter Entry'!AQ96&gt;0,IF('ARDT Cutter Entry'!AQ96&lt;&gt;"",'ARDT Cutter Entry'!AQ96, 0),0),'ARDT Cutter Entry'!AS2+'ARDT Cutter Entry'!AS3+'ARDT Cutter Entry'!AS4+'ARDT Cutter Entry'!AS5))</f>
        <v>6</v>
      </c>
      <c r="AG50" s="1905"/>
      <c r="AH50" s="1909">
        <f>IF($W$27=550,0,IF('Eng. Cutter Entry'!$C$4&lt;&gt;"",AF50-Q50,0))</f>
        <v>0</v>
      </c>
      <c r="AI50" s="1910"/>
      <c r="AJ50" s="1909">
        <f>IF(Data!GQ4&lt;&gt;"",Data!GQ4,0)</f>
        <v>100</v>
      </c>
      <c r="AK50" s="1910"/>
      <c r="AL50" s="36">
        <f t="shared" si="2"/>
        <v>0</v>
      </c>
      <c r="AN50" s="37">
        <f t="shared" si="3"/>
        <v>0</v>
      </c>
    </row>
    <row r="51" spans="1:40" ht="16" customHeight="1" x14ac:dyDescent="0.35">
      <c r="A51" s="1800"/>
      <c r="B51" s="1800"/>
      <c r="C51" s="168">
        <f>IF(TRIM(H51)="","",IF(Data!CX63&gt;0,IF(Data!CX63&lt;&gt;"", Data!CX63, " ")," "))</f>
        <v>4</v>
      </c>
      <c r="D51" s="1904">
        <f>IF($W$27=550,0,IF('Eng. Cutter Entry'!$C$4&lt;&gt;"",IF(Data!E15&gt;0,IF(Data!E15&lt;&gt;"",Data!E15,0),0),IF(Data!$L$9=1,#REF!+'ARDT Cutter Entry'!AT2+'ARDT Cutter Entry'!AT3+'ARDT Cutter Entry'!AT4+'ARDT Cutter Entry'!AT5,'ARDT Cutter Entry'!AT2+'ARDT Cutter Entry'!AT3+'ARDT Cutter Entry'!AT4+'ARDT Cutter Entry'!AT5)))</f>
        <v>6</v>
      </c>
      <c r="E51" s="1905"/>
      <c r="F51" s="1904" t="str">
        <f>IF(COUNTIF(IF(Data!F15&gt;0,IF(Data!F15&lt;&gt;"", Data!F15, " ")," "),"10.5"),IF(Data!F15&gt;0,IF(Data!F15&lt;&gt;"", Data!F15, " ")," "),LEFT(IF(Data!F15&gt;0,IF(Data!F15&lt;&gt;"", Data!F15, " ")," "),2))</f>
        <v>16</v>
      </c>
      <c r="G51" s="1905"/>
      <c r="H51" s="1906">
        <f>IF(Data!G15&gt;0,IF(Data!G15&lt;&gt;"", Data!G15, " ")," ")</f>
        <v>643738</v>
      </c>
      <c r="I51" s="1907"/>
      <c r="J51" s="1908"/>
      <c r="K51" s="1915" t="str">
        <f>IF(AND(COUNTIF(H51,"418525"),D51&lt;&gt;0),"Drop In Cutter",IF(Data!H15&gt;0,IF(Data!H15&lt;&gt;"",""," ")," ")&amp;"  "&amp;IF(COUNTIF(Data!J15,"B*"),"Base",IF(COUNTIF(Data!J15,"P*"),"Pre.",IF(COUNTIF(Data!J15,"S*"),"S.Pre.",""))))</f>
        <v xml:space="preserve">  </v>
      </c>
      <c r="L51" s="1915"/>
      <c r="M51" s="1915"/>
      <c r="N51" s="1915"/>
      <c r="O51" s="1915"/>
      <c r="P51" s="1915"/>
      <c r="Q51" s="1800">
        <f>IF($W$27=550,0,IF(Data!L15&gt;0,IF(Data!L15&lt;&gt;"",Data!L15,0),0))</f>
        <v>0</v>
      </c>
      <c r="R51" s="1800"/>
      <c r="S51" s="1799">
        <f>IF($W$27=550,0,IF('Eng. Cutter Entry'!C4&lt;&gt;"",IF(Data!K15&gt;0,IF(Data!K15&lt;&gt;"",Data!K15," ")," "),D51-Q51))</f>
        <v>6</v>
      </c>
      <c r="T51" s="1799"/>
      <c r="U51" s="1799" t="str">
        <f t="shared" si="0"/>
        <v>EA</v>
      </c>
      <c r="V51" s="1799"/>
      <c r="W51" s="1799">
        <f>IF(AND(TRIM(S51)&lt;&gt;"",S51&lt;&gt;0),Data!GQ5,0)</f>
        <v>497</v>
      </c>
      <c r="X51" s="1799"/>
      <c r="Y51" s="1927">
        <f t="shared" si="1"/>
        <v>2982</v>
      </c>
      <c r="Z51" s="1927"/>
      <c r="AA51" s="1927"/>
      <c r="AF51" s="1904">
        <f>IF($W$27=550,0,IF('Eng. Cutter Entry'!C4&lt;&gt;"",IF('ARDT Cutter Entry'!AQ97&gt;0,IF('ARDT Cutter Entry'!AQ97&lt;&gt;"",'ARDT Cutter Entry'!AQ97,0),0),'ARDT Cutter Entry'!AT2+'ARDT Cutter Entry'!AT3+'ARDT Cutter Entry'!AT4+'ARDT Cutter Entry'!AT5))</f>
        <v>6</v>
      </c>
      <c r="AG51" s="1905"/>
      <c r="AH51" s="1909">
        <f>IF($W$27=550,0,IF('Eng. Cutter Entry'!$C$4&lt;&gt;"",AF51-Q51,0))</f>
        <v>0</v>
      </c>
      <c r="AI51" s="1910"/>
      <c r="AJ51" s="1909">
        <f>IF(Data!GQ5&lt;&gt;"",Data!GQ5,0)</f>
        <v>497</v>
      </c>
      <c r="AK51" s="1910"/>
      <c r="AL51" s="36">
        <f t="shared" si="2"/>
        <v>0</v>
      </c>
      <c r="AN51" s="37">
        <f t="shared" si="3"/>
        <v>0</v>
      </c>
    </row>
    <row r="52" spans="1:40" ht="16" customHeight="1" x14ac:dyDescent="0.35">
      <c r="A52" s="1800"/>
      <c r="B52" s="1800"/>
      <c r="C52" s="168">
        <f>IF(TRIM(H52)="","",IF(Data!CX64&gt;0,IF(Data!CX64&lt;&gt;"", Data!CX64, " ")," "))</f>
        <v>5</v>
      </c>
      <c r="D52" s="1904">
        <f>IF($W$27=550,0,IF('Eng. Cutter Entry'!$C$4&lt;&gt;"",IF(Data!E16&gt;0,IF(Data!E16&lt;&gt;"", Data!E16, 0),0),IF(Data!$L$9=1,#REF!+'ARDT Cutter Entry'!AU2+'ARDT Cutter Entry'!AU3+'ARDT Cutter Entry'!AU4+'ARDT Cutter Entry'!AU5,'ARDT Cutter Entry'!AU2+'ARDT Cutter Entry'!AU3+'ARDT Cutter Entry'!AU4+'ARDT Cutter Entry'!AU5)))</f>
        <v>21</v>
      </c>
      <c r="E52" s="1905"/>
      <c r="F52" s="1904" t="str">
        <f>IF(COUNTIF(IF(Data!F16&gt;0,IF(Data!F16&lt;&gt;"", Data!F16, " ")," "),"10.5"),IF(Data!F16&gt;0,IF(Data!F16&lt;&gt;"", Data!F16, " ")," "),LEFT(IF(Data!F16&gt;0,IF(Data!F16&lt;&gt;"", Data!F16, " ")," "),2))</f>
        <v>16</v>
      </c>
      <c r="G52" s="1905"/>
      <c r="H52" s="1906">
        <f>IF(Data!G16&gt;0,IF(Data!G16&lt;&gt;"", Data!G16, " ")," ")</f>
        <v>1126402</v>
      </c>
      <c r="I52" s="1907"/>
      <c r="J52" s="1908"/>
      <c r="K52" s="1915" t="str">
        <f>IF(AND(COUNTIF(H52,"418525"),D52&lt;&gt;0),"Drop In Cutter",IF(Data!H16&gt;0,IF(Data!H16&lt;&gt;"",""," ")," ")&amp;"  "&amp;IF(COUNTIF(Data!J16,"B*"),"Base",IF(COUNTIF(Data!J16,"P*"),"Pre.",IF(COUNTIF(Data!J16,"S*"),"S.Pre.",""))))</f>
        <v xml:space="preserve">  </v>
      </c>
      <c r="L52" s="1915"/>
      <c r="M52" s="1915"/>
      <c r="N52" s="1915"/>
      <c r="O52" s="1915"/>
      <c r="P52" s="1915"/>
      <c r="Q52" s="1800">
        <f>IF($W$27=550,0,IF(Data!L16&gt;0,IF(Data!L16&lt;&gt;"",Data!L16,0),0))</f>
        <v>0</v>
      </c>
      <c r="R52" s="1800"/>
      <c r="S52" s="1799">
        <f>IF($W$27=550,0,IF('Eng. Cutter Entry'!C4&lt;&gt;"",IF(Data!K16&gt;0,IF(Data!K16&lt;&gt;"",Data!K16," ")," "),D52-Q52))</f>
        <v>21</v>
      </c>
      <c r="T52" s="1799"/>
      <c r="U52" s="1799" t="str">
        <f t="shared" si="0"/>
        <v>EA</v>
      </c>
      <c r="V52" s="1799"/>
      <c r="W52" s="1799">
        <f>IF(AND(TRIM(S52)&lt;&gt;"",S52&lt;&gt;0),Data!GQ6,0)</f>
        <v>497</v>
      </c>
      <c r="X52" s="1799"/>
      <c r="Y52" s="1927">
        <f t="shared" si="1"/>
        <v>10437</v>
      </c>
      <c r="Z52" s="1927"/>
      <c r="AA52" s="1927"/>
      <c r="AF52" s="1904">
        <f>IF($W$27=550,0,IF('Eng. Cutter Entry'!C4&lt;&gt;"",IF('ARDT Cutter Entry'!AQ98&gt;0,IF('ARDT Cutter Entry'!AQ98&lt;&gt;"",'ARDT Cutter Entry'!AQ98, 0),0),'ARDT Cutter Entry'!AU2+'ARDT Cutter Entry'!AU3+'ARDT Cutter Entry'!AU4+'ARDT Cutter Entry'!AU5))</f>
        <v>21</v>
      </c>
      <c r="AG52" s="1905"/>
      <c r="AH52" s="1800">
        <f>IF($W$27=550,0,IF('Eng. Cutter Entry'!$C$4&lt;&gt;"",AF52-Q52,0))</f>
        <v>0</v>
      </c>
      <c r="AI52" s="1800"/>
      <c r="AJ52" s="1800">
        <f>IF(Data!GQ6&lt;&gt;"",Data!GQ6,0)</f>
        <v>497</v>
      </c>
      <c r="AK52" s="1800"/>
      <c r="AL52" s="36">
        <f t="shared" si="2"/>
        <v>0</v>
      </c>
      <c r="AN52" s="37">
        <f t="shared" si="3"/>
        <v>0</v>
      </c>
    </row>
    <row r="53" spans="1:40" ht="16" customHeight="1" x14ac:dyDescent="0.35">
      <c r="A53" s="1800"/>
      <c r="B53" s="1800"/>
      <c r="C53" s="168" t="str">
        <f>IF(TRIM(H53)="","",IF(Data!CX65&gt;0,IF(Data!CX65&lt;&gt;"", Data!CX65, " ")," "))</f>
        <v/>
      </c>
      <c r="D53" s="1904">
        <f>IF($W$27=550,0,IF('Eng. Cutter Entry'!$C$4&lt;&gt;"",IF(Data!E17&gt;0,IF(Data!E17&lt;&gt;"", Data!E17, 0),0),IF(Data!$L$9=1,#REF!+'ARDT Cutter Entry'!AV2+'ARDT Cutter Entry'!AV3+'ARDT Cutter Entry'!AV4+'ARDT Cutter Entry'!AV5,'ARDT Cutter Entry'!AV2+'ARDT Cutter Entry'!AV3+'ARDT Cutter Entry'!AV4+'ARDT Cutter Entry'!AV5)))</f>
        <v>0</v>
      </c>
      <c r="E53" s="1905"/>
      <c r="F53" s="1904" t="str">
        <f>IF(COUNTIF(IF(Data!F17&gt;0,IF(Data!F17&lt;&gt;"", Data!F17, " ")," "),"10.5"),IF(Data!F17&gt;0,IF(Data!F17&lt;&gt;"", Data!F17, " ")," "),LEFT(IF(Data!F17&gt;0,IF(Data!F17&lt;&gt;"", Data!F17, " ")," "),2))</f>
        <v xml:space="preserve"> </v>
      </c>
      <c r="G53" s="1905"/>
      <c r="H53" s="1906" t="str">
        <f>IF(Data!G17&gt;0,IF(Data!G17&lt;&gt;"", Data!G17, " ")," ")</f>
        <v xml:space="preserve"> </v>
      </c>
      <c r="I53" s="1907"/>
      <c r="J53" s="1908"/>
      <c r="K53" s="1915" t="str">
        <f>IF(AND(COUNTIF(H53,"418525"),D53&lt;&gt;0),"Drop In Cutter",IF(Data!H17&gt;0,IF(Data!H17&lt;&gt;"",""," ")," ")&amp;"  "&amp;IF(COUNTIF(Data!J17,"B*"),"Base",IF(COUNTIF(Data!J17,"P*"),"Pre.",IF(COUNTIF(Data!J17,"S*"),"S.Pre.",""))))</f>
        <v xml:space="preserve">   </v>
      </c>
      <c r="L53" s="1915"/>
      <c r="M53" s="1915"/>
      <c r="N53" s="1915"/>
      <c r="O53" s="1915"/>
      <c r="P53" s="1915"/>
      <c r="Q53" s="1800">
        <f>IF($W$27=550,0,IF(Data!L17&gt;0,IF(Data!L17&lt;&gt;"",Data!L17,0),0))</f>
        <v>0</v>
      </c>
      <c r="R53" s="1800"/>
      <c r="S53" s="1799">
        <f>IF($W$27=550,0,IF('Eng. Cutter Entry'!C5&lt;&gt;"",IF(Data!K17&gt;0,IF(Data!K17&lt;&gt;"",Data!K17," ")," "),D53-Q53))</f>
        <v>0</v>
      </c>
      <c r="T53" s="1799"/>
      <c r="U53" s="1799" t="str">
        <f t="shared" si="0"/>
        <v/>
      </c>
      <c r="V53" s="1799"/>
      <c r="W53" s="1799">
        <f>IF(AND(TRIM(S53)&lt;&gt;"",S53&lt;&gt;0),Data!GQ7,0)</f>
        <v>0</v>
      </c>
      <c r="X53" s="1799"/>
      <c r="Y53" s="1927">
        <f t="shared" si="1"/>
        <v>0</v>
      </c>
      <c r="Z53" s="1927"/>
      <c r="AA53" s="1927"/>
      <c r="AF53" s="1904">
        <f>IF($W$27=550,0,IF('Eng. Cutter Entry'!C4&lt;&gt;"",IF('ARDT Cutter Entry'!AQ99&gt;0,IF('ARDT Cutter Entry'!AQ99&lt;&gt;"",'ARDT Cutter Entry'!AQ99, 0),0),'ARDT Cutter Entry'!AV2+'ARDT Cutter Entry'!AV3+'ARDT Cutter Entry'!AV4+'ARDT Cutter Entry'!AV5))</f>
        <v>0</v>
      </c>
      <c r="AG53" s="1905"/>
      <c r="AH53" s="1800">
        <f>IF($W$27=550,0,IF('Eng. Cutter Entry'!$C$4&lt;&gt;"",AF53-Q53,0))</f>
        <v>0</v>
      </c>
      <c r="AI53" s="1800"/>
      <c r="AJ53" s="1800">
        <f>IF(Data!GQ7&lt;&gt;"",Data!GQ7,0)</f>
        <v>0</v>
      </c>
      <c r="AK53" s="1800"/>
      <c r="AL53" s="36">
        <f t="shared" si="2"/>
        <v>0</v>
      </c>
      <c r="AN53" s="37">
        <f t="shared" si="3"/>
        <v>0</v>
      </c>
    </row>
    <row r="54" spans="1:40" ht="16" customHeight="1" x14ac:dyDescent="0.35">
      <c r="A54" s="1800"/>
      <c r="B54" s="1800"/>
      <c r="C54" s="168" t="str">
        <f>IF(TRIM(H54)="","",IF(Data!CX66&gt;0,IF(Data!CX66&lt;&gt;"", Data!CX66, " ")," "))</f>
        <v/>
      </c>
      <c r="D54" s="1904">
        <f>IF($W$27=550,0,IF('Eng. Cutter Entry'!$C$4&lt;&gt;"",IF(Data!E18&gt;0,IF(Data!E18&lt;&gt;"", Data!E18, 0),0),IF(Data!$L$9=1,#REF!+'ARDT Cutter Entry'!AW2+'ARDT Cutter Entry'!AW3+'ARDT Cutter Entry'!AW4+'ARDT Cutter Entry'!AW5,'ARDT Cutter Entry'!AW2+'ARDT Cutter Entry'!AW3+'ARDT Cutter Entry'!AW4+'ARDT Cutter Entry'!AW5)))</f>
        <v>0</v>
      </c>
      <c r="E54" s="1905"/>
      <c r="F54" s="1904" t="str">
        <f>IF(COUNTIF(IF(Data!F18&gt;0,IF(Data!F18&lt;&gt;"", Data!F18, " ")," "),"10.5"),IF(Data!F18&gt;0,IF(Data!F18&lt;&gt;"", Data!F18, " ")," "),LEFT(IF(Data!F18&gt;0,IF(Data!F18&lt;&gt;"", Data!F18, " ")," "),2))</f>
        <v xml:space="preserve"> </v>
      </c>
      <c r="G54" s="1905"/>
      <c r="H54" s="1906" t="str">
        <f>IF(Data!G18&gt;0,IF(Data!G18&lt;&gt;"", Data!G18, " ")," ")</f>
        <v xml:space="preserve"> </v>
      </c>
      <c r="I54" s="1907"/>
      <c r="J54" s="1908"/>
      <c r="K54" s="1915" t="str">
        <f>IF(AND(COUNTIF(H54,"418525"),D54&lt;&gt;0),"Drop In Cutter",IF(Data!H18&gt;0,IF(Data!H18&lt;&gt;"",""," ")," ")&amp;"  "&amp;IF(COUNTIF(Data!J18,"B*"),"Base",IF(COUNTIF(Data!J18,"P*"),"Pre.",IF(COUNTIF(Data!J18,"S*"),"S.Pre.",""))))</f>
        <v xml:space="preserve">   </v>
      </c>
      <c r="L54" s="1915"/>
      <c r="M54" s="1915"/>
      <c r="N54" s="1915"/>
      <c r="O54" s="1915"/>
      <c r="P54" s="1915"/>
      <c r="Q54" s="1800">
        <f>IF($W$27=550,0,IF(Data!L17&gt;0,IF(Data!L17&lt;&gt;"",Data!L17,0),0))</f>
        <v>0</v>
      </c>
      <c r="R54" s="1800"/>
      <c r="S54" s="1799">
        <f>IF($W$27=550,0,IF('Eng. Cutter Entry'!C6&lt;&gt;"",IF(Data!K18&gt;0,IF(Data!K18&lt;&gt;"",Data!K18," ")," "),D54-Q54))</f>
        <v>0</v>
      </c>
      <c r="T54" s="1799"/>
      <c r="U54" s="1799" t="str">
        <f t="shared" si="0"/>
        <v/>
      </c>
      <c r="V54" s="1799"/>
      <c r="W54" s="1799">
        <f>IF(AND(TRIM(S54)&lt;&gt;"",S54&lt;&gt;0),Data!GQ8,0)</f>
        <v>0</v>
      </c>
      <c r="X54" s="1799"/>
      <c r="Y54" s="1927">
        <f>IF(TRIM(S54)&lt;&gt;"",S54*W54,0)</f>
        <v>0</v>
      </c>
      <c r="Z54" s="1927"/>
      <c r="AA54" s="1927"/>
      <c r="AF54" s="1904">
        <f>IF($W$27=550,0,IF('Eng. Cutter Entry'!C4&lt;&gt;"",IF('ARDT Cutter Entry'!AQ100&gt;0,IF('ARDT Cutter Entry'!AQ100&lt;&gt;"",'ARDT Cutter Entry'!AQ100, 0),0),'ARDT Cutter Entry'!AW2+'ARDT Cutter Entry'!AW3+'ARDT Cutter Entry'!AW4+'ARDT Cutter Entry'!AW5))</f>
        <v>0</v>
      </c>
      <c r="AG54" s="1905"/>
      <c r="AH54" s="1800">
        <f>IF($W$27=550,0,IF('Eng. Cutter Entry'!$C$4&lt;&gt;"",AF54-Q54,0))</f>
        <v>0</v>
      </c>
      <c r="AI54" s="1800"/>
      <c r="AJ54" s="1800">
        <f>IF(Data!GQ8&lt;&gt;"",Data!GQ8,0)</f>
        <v>0</v>
      </c>
      <c r="AK54" s="1800"/>
      <c r="AL54" s="36">
        <f>IF(AH54&lt;0,0,AJ54*AH54)</f>
        <v>0</v>
      </c>
      <c r="AN54" s="37">
        <f t="shared" si="3"/>
        <v>0</v>
      </c>
    </row>
    <row r="55" spans="1:40" ht="16" customHeight="1" x14ac:dyDescent="0.35">
      <c r="A55" s="1800"/>
      <c r="B55" s="1800"/>
      <c r="C55" s="168" t="str">
        <f>IF(TRIM(H55)="","",IF(Data!CX67&gt;0,IF(Data!CX67&lt;&gt;"", Data!CX67, " ")," "))</f>
        <v/>
      </c>
      <c r="D55" s="1904">
        <f>IF($W$27=550,0,IF('Eng. Cutter Entry'!$C$4&lt;&gt;"",IF(Data!E19&gt;0,IF(Data!E19&lt;&gt;"", Data!E19, 0),0),IF(Data!$L$9=1,#REF!+'ARDT Cutter Entry'!AX2+'ARDT Cutter Entry'!AX3+'ARDT Cutter Entry'!AX4+'ARDT Cutter Entry'!AX5,'ARDT Cutter Entry'!AX2+'ARDT Cutter Entry'!AX3+'ARDT Cutter Entry'!AX4+'ARDT Cutter Entry'!AX5)))</f>
        <v>0</v>
      </c>
      <c r="E55" s="1905"/>
      <c r="F55" s="1904" t="str">
        <f>IF(COUNTIF(IF(Data!F19&gt;0,IF(Data!F19&lt;&gt;"", Data!F19, " ")," "),"10.5"),IF(Data!F19&gt;0,IF(Data!F19&lt;&gt;"", Data!F19, " ")," "),LEFT(IF(Data!F19&gt;0,IF(Data!F19&lt;&gt;"", Data!F19, " ")," "),2))</f>
        <v xml:space="preserve"> </v>
      </c>
      <c r="G55" s="1905"/>
      <c r="H55" s="1906" t="str">
        <f>IF(Data!G19&gt;0,IF(Data!G19&lt;&gt;"", Data!G19, " ")," ")</f>
        <v xml:space="preserve"> </v>
      </c>
      <c r="I55" s="1907"/>
      <c r="J55" s="1908"/>
      <c r="K55" s="1915" t="str">
        <f>IF(AND(COUNTIF(H55,"418525"),D55&lt;&gt;0),"Drop In Cutter",IF(Data!H19&gt;0,IF(Data!H19&lt;&gt;"",""," ")," ")&amp;"  "&amp;IF(COUNTIF(Data!J19,"B*"),"Base",IF(COUNTIF(Data!J19,"P*"),"Pre.",IF(COUNTIF(Data!J19,"S*"),"S.Pre.",""))))</f>
        <v xml:space="preserve">   </v>
      </c>
      <c r="L55" s="1915"/>
      <c r="M55" s="1915"/>
      <c r="N55" s="1915"/>
      <c r="O55" s="1915"/>
      <c r="P55" s="1915"/>
      <c r="Q55" s="1800">
        <f>IF($W$27=550,0,IF(Data!L17&gt;0,IF(Data!L17&lt;&gt;"",Data!L17,0),0))</f>
        <v>0</v>
      </c>
      <c r="R55" s="1800"/>
      <c r="S55" s="1799">
        <f>IF($W$27=550,0,IF('Eng. Cutter Entry'!C7&lt;&gt;"",IF(Data!K19&gt;0,IF(Data!K19&lt;&gt;"",Data!K19," ")," "),D55-Q55))</f>
        <v>0</v>
      </c>
      <c r="T55" s="1799"/>
      <c r="U55" s="1799" t="str">
        <f t="shared" si="0"/>
        <v/>
      </c>
      <c r="V55" s="1799"/>
      <c r="W55" s="1799">
        <f>IF(AND(TRIM(S55)&lt;&gt;"",S55&lt;&gt;0),Data!GQ9,0)</f>
        <v>0</v>
      </c>
      <c r="X55" s="1799"/>
      <c r="Y55" s="1927">
        <f>IF(TRIM(S55)&lt;&gt;"",S55*W55,0)</f>
        <v>0</v>
      </c>
      <c r="Z55" s="1927"/>
      <c r="AA55" s="1927"/>
      <c r="AF55" s="1904">
        <f>IF($W$27=550,0,IF('Eng. Cutter Entry'!C4&lt;&gt;"",IF('ARDT Cutter Entry'!AQ101&gt;0,IF('ARDT Cutter Entry'!AQ101&lt;&gt;"",'ARDT Cutter Entry'!AQ101, 0),0),'ARDT Cutter Entry'!AX2+'ARDT Cutter Entry'!AX3+'ARDT Cutter Entry'!AX4+'ARDT Cutter Entry'!AX5))</f>
        <v>0</v>
      </c>
      <c r="AG55" s="1905"/>
      <c r="AH55" s="1800">
        <f>IF($W$27=550,0,IF('Eng. Cutter Entry'!$C$4&lt;&gt;"",AF55-Q55,0))</f>
        <v>0</v>
      </c>
      <c r="AI55" s="1800"/>
      <c r="AJ55" s="1800">
        <f>IF(Data!GQ9&lt;&gt;"",Data!GQ9,0)</f>
        <v>0</v>
      </c>
      <c r="AK55" s="1800"/>
      <c r="AL55" s="36">
        <f>IF(AH55&lt;0,0,AJ55*AH55)</f>
        <v>0</v>
      </c>
      <c r="AN55" s="37">
        <f t="shared" si="3"/>
        <v>0</v>
      </c>
    </row>
    <row r="56" spans="1:40" ht="16" customHeight="1" x14ac:dyDescent="0.35">
      <c r="A56" s="1800"/>
      <c r="B56" s="1800"/>
      <c r="C56" s="168" t="str">
        <f>IF(TRIM(H56)="","",IF(Data!CX68&gt;0,IF(Data!CX68&lt;&gt;"", Data!CX68, " ")," "))</f>
        <v/>
      </c>
      <c r="D56" s="1904">
        <f>IF($W$27=550,0,IF('Eng. Cutter Entry'!$C$4&lt;&gt;"",IF(Data!E20&gt;0,IF(Data!E20&lt;&gt;"", Data!E20, 0),0),IF(Data!$L$9=1,#REF!+'ARDT Cutter Entry'!AY2+'ARDT Cutter Entry'!AY3+'ARDT Cutter Entry'!AY4+'ARDT Cutter Entry'!AY5,'ARDT Cutter Entry'!AY2+'ARDT Cutter Entry'!AY3+'ARDT Cutter Entry'!AY4+'ARDT Cutter Entry'!AY5)))</f>
        <v>0</v>
      </c>
      <c r="E56" s="1905"/>
      <c r="F56" s="1904" t="str">
        <f>IF(COUNTIF(IF(Data!F20&gt;0,IF(Data!F20&lt;&gt;"", Data!F20, " ")," "),"10.5"),IF(Data!F20&gt;0,IF(Data!F20&lt;&gt;"", Data!F20, " ")," "),LEFT(IF(Data!F20&gt;0,IF(Data!F20&lt;&gt;"", Data!F20, " ")," "),2))</f>
        <v xml:space="preserve"> </v>
      </c>
      <c r="G56" s="1905"/>
      <c r="H56" s="1906" t="str">
        <f>IF(Data!G20&gt;0,IF(Data!G20&lt;&gt;"", Data!G20, " ")," ")</f>
        <v xml:space="preserve"> </v>
      </c>
      <c r="I56" s="1907"/>
      <c r="J56" s="1908"/>
      <c r="K56" s="1915" t="str">
        <f>IF(AND(COUNTIF(H56,"418525"),D56&lt;&gt;0),"Drop In Cutter",IF(Data!H20&gt;0,IF(Data!H20&lt;&gt;"",""," ")," ")&amp;"  "&amp;IF(COUNTIF(Data!J20,"B*"),"Base",IF(COUNTIF(Data!J20,"P*"),"Pre.",IF(COUNTIF(Data!J20,"S*"),"S.Pre.",""))))</f>
        <v xml:space="preserve">   </v>
      </c>
      <c r="L56" s="1915"/>
      <c r="M56" s="1915"/>
      <c r="N56" s="1915"/>
      <c r="O56" s="1915"/>
      <c r="P56" s="1915"/>
      <c r="Q56" s="1800">
        <f>IF($W$27=550,0,IF(Data!L17&gt;0,IF(Data!L17&lt;&gt;"",Data!L17,0),0))</f>
        <v>0</v>
      </c>
      <c r="R56" s="1800"/>
      <c r="S56" s="1799">
        <f>IF($W$27=550,0,IF('Eng. Cutter Entry'!C8&lt;&gt;"",IF(Data!K20&gt;0,IF(Data!K20&lt;&gt;"",Data!K20," ")," "),D56-Q56))</f>
        <v>0</v>
      </c>
      <c r="T56" s="1799"/>
      <c r="U56" s="1799" t="str">
        <f t="shared" si="0"/>
        <v/>
      </c>
      <c r="V56" s="1799"/>
      <c r="W56" s="1799">
        <f>IF(AND(TRIM(S56)&lt;&gt;"",S56&lt;&gt;0),Data!GQ10,0)</f>
        <v>0</v>
      </c>
      <c r="X56" s="1799"/>
      <c r="Y56" s="1927">
        <f>IF(TRIM(S56)&lt;&gt;"",S56*W56,0)</f>
        <v>0</v>
      </c>
      <c r="Z56" s="1927"/>
      <c r="AA56" s="1927"/>
      <c r="AF56" s="1904">
        <f>IF($W$27=550,0,IF('Eng. Cutter Entry'!C4&lt;&gt;"",IF('ARDT Cutter Entry'!AQ102&gt;0,IF('ARDT Cutter Entry'!AQ102&lt;&gt;"",'ARDT Cutter Entry'!AQ102, 0),0),'ARDT Cutter Entry'!AY2+'ARDT Cutter Entry'!AY3+'ARDT Cutter Entry'!AY4+'ARDT Cutter Entry'!AY5))</f>
        <v>0</v>
      </c>
      <c r="AG56" s="1905"/>
      <c r="AH56" s="1800">
        <f>IF($W$27=550,0,IF('Eng. Cutter Entry'!$C$4&lt;&gt;"",AF56-Q56,0))</f>
        <v>0</v>
      </c>
      <c r="AI56" s="1800"/>
      <c r="AJ56" s="1800">
        <f>IF(Data!GQ10&lt;&gt;"",Data!GQ10,0)</f>
        <v>0</v>
      </c>
      <c r="AK56" s="1800"/>
      <c r="AL56" s="36">
        <f>IF(AH56&lt;0,0,AJ56*AH56)</f>
        <v>0</v>
      </c>
      <c r="AN56" s="37">
        <f t="shared" si="3"/>
        <v>0</v>
      </c>
    </row>
    <row r="57" spans="1:40" ht="16" customHeight="1" x14ac:dyDescent="0.35">
      <c r="A57" s="1800"/>
      <c r="B57" s="1800"/>
      <c r="C57" s="168" t="str">
        <f>IF(TRIM(H57)="","",IF(Data!CX69&gt;0,IF(Data!CX69&lt;&gt;"", Data!CX69, " ")," "))</f>
        <v/>
      </c>
      <c r="D57" s="1904">
        <f>IF($W$27=550,0,IF('Eng. Cutter Entry'!$C$4&lt;&gt;"",IF(Data!E21&gt;0,IF(Data!E21&lt;&gt;"", Data!E21, 0),0),IF(Data!$L$9=1,#REF!+'ARDT Cutter Entry'!AZ2+'ARDT Cutter Entry'!AZ3+'ARDT Cutter Entry'!AZ4+'ARDT Cutter Entry'!AZ5,'ARDT Cutter Entry'!AZ2+'ARDT Cutter Entry'!AZ3+'ARDT Cutter Entry'!AZ4+'ARDT Cutter Entry'!AZ5)))</f>
        <v>0</v>
      </c>
      <c r="E57" s="1905"/>
      <c r="F57" s="1904" t="str">
        <f>IF(COUNTIF(IF(Data!F21&gt;0,IF(Data!F21&lt;&gt;"", Data!F21, " ")," "),"10.5"),IF(Data!F21&gt;0,IF(Data!F21&lt;&gt;"", Data!F21, " ")," "),LEFT(IF(Data!F21&gt;0,IF(Data!F21&lt;&gt;"", Data!F21, " ")," "),2))</f>
        <v xml:space="preserve"> </v>
      </c>
      <c r="G57" s="1905"/>
      <c r="H57" s="1906" t="str">
        <f>IF(Data!G21&gt;0,IF(Data!G21&lt;&gt;"", Data!G21, " ")," ")</f>
        <v xml:space="preserve"> </v>
      </c>
      <c r="I57" s="1907"/>
      <c r="J57" s="1908"/>
      <c r="K57" s="1915" t="str">
        <f>IF(AND(COUNTIF(H57,"418525"),D57&lt;&gt;0),"Drop In Cutter",IF(Data!H21&gt;0,IF(Data!H21&lt;&gt;"",""," ")," ")&amp;"  "&amp;IF(COUNTIF(Data!J21,"B*"),"Base",IF(COUNTIF(Data!J21,"P*"),"Pre.",IF(COUNTIF(Data!J21,"S*"),"S.Pre.",""))))</f>
        <v xml:space="preserve">   </v>
      </c>
      <c r="L57" s="1915"/>
      <c r="M57" s="1915"/>
      <c r="N57" s="1915"/>
      <c r="O57" s="1915"/>
      <c r="P57" s="1915"/>
      <c r="Q57" s="1800">
        <f>IF($W$27=550,0,IF(Data!L18&gt;0,IF(Data!L18&lt;&gt;"",Data!L18,0),0))</f>
        <v>0</v>
      </c>
      <c r="R57" s="1800"/>
      <c r="S57" s="1799">
        <f>IF($W$27=550,0,IF('Eng. Cutter Entry'!C9&lt;&gt;"",IF(Data!K21&gt;0,IF(Data!K21&lt;&gt;"",Data!K21," ")," "),D57-Q57))</f>
        <v>0</v>
      </c>
      <c r="T57" s="1799"/>
      <c r="U57" s="1799" t="str">
        <f t="shared" si="0"/>
        <v/>
      </c>
      <c r="V57" s="1799"/>
      <c r="W57" s="1799">
        <f>IF(AND(TRIM(S57)&lt;&gt;"",S57&lt;&gt;0),Data!GQ11,0)</f>
        <v>0</v>
      </c>
      <c r="X57" s="1799"/>
      <c r="Y57" s="1927">
        <f t="shared" si="1"/>
        <v>0</v>
      </c>
      <c r="Z57" s="1927"/>
      <c r="AA57" s="1927"/>
      <c r="AF57" s="1904">
        <f>IF($W$27=550,0,IF('Eng. Cutter Entry'!C4&lt;&gt;"",IF('ARDT Cutter Entry'!AQ103&gt;0,IF('ARDT Cutter Entry'!AQ103&lt;&gt;"",'ARDT Cutter Entry'!AQ103, 0),0),'ARDT Cutter Entry'!AZ2+'ARDT Cutter Entry'!AZ3+'ARDT Cutter Entry'!AZ4+'ARDT Cutter Entry'!AZ5))</f>
        <v>0</v>
      </c>
      <c r="AG57" s="1905"/>
      <c r="AH57" s="1800">
        <f>IF($W$27=550,0,IF('Eng. Cutter Entry'!$C$4&lt;&gt;"",AF57-Q57,0))</f>
        <v>0</v>
      </c>
      <c r="AI57" s="1800"/>
      <c r="AJ57" s="1800">
        <f>IF(Data!GQ11&lt;&gt;"",Data!GQ11,0)</f>
        <v>0</v>
      </c>
      <c r="AK57" s="1800"/>
      <c r="AL57" s="36">
        <f t="shared" si="2"/>
        <v>0</v>
      </c>
      <c r="AN57" s="37">
        <f t="shared" si="3"/>
        <v>0</v>
      </c>
    </row>
    <row r="58" spans="1:40" ht="16" customHeight="1" x14ac:dyDescent="0.35">
      <c r="A58" s="1800"/>
      <c r="B58" s="1800"/>
      <c r="C58" s="1800" t="s">
        <v>834</v>
      </c>
      <c r="D58" s="1800"/>
      <c r="E58" s="1800"/>
      <c r="F58" s="1800"/>
      <c r="G58" s="1800"/>
      <c r="H58" s="1800"/>
      <c r="I58" s="1800"/>
      <c r="J58" s="1800"/>
      <c r="K58" s="1800"/>
      <c r="L58" s="1800"/>
      <c r="M58" s="1800"/>
      <c r="N58" s="1800"/>
      <c r="O58" s="1800"/>
      <c r="P58" s="1800"/>
      <c r="Q58" s="1800"/>
      <c r="R58" s="1800"/>
      <c r="S58" s="1800"/>
      <c r="T58" s="1800"/>
      <c r="U58" s="1800"/>
      <c r="V58" s="1800"/>
      <c r="W58" s="1800"/>
      <c r="X58" s="1800"/>
      <c r="Y58" s="1903">
        <f>IF(Data!L4=1,550,IF(Data!L5=1,500,SUM(Y27+Y29+Y30+Y31+Y33+Y37+Y41+Y48+Y49+Y50+Y51+Y52+Y53+Y54+Y55+Y56+Y57)))</f>
        <v>20139</v>
      </c>
      <c r="Z58" s="1903"/>
      <c r="AA58" s="1903"/>
      <c r="AL58" s="474">
        <f>IF(Data!L4=1,550,IF(Data!L5=1,500,IF(Data!B5&lt;&gt;"",SUM(Y27+Y29+Y31+Y33+Y37+Y41+AL48+AL50+AL49+AL51+AL52+AL53+AL54+AL55+AL56+AL57),0)))</f>
        <v>6120</v>
      </c>
      <c r="AN58" s="37">
        <f>SUM(AN48:AN57)</f>
        <v>0</v>
      </c>
    </row>
    <row r="59" spans="1:40" ht="4.5" customHeight="1" x14ac:dyDescent="0.35">
      <c r="A59" s="449"/>
      <c r="B59" s="449"/>
      <c r="C59" s="449"/>
      <c r="D59" s="449"/>
      <c r="E59" s="449"/>
      <c r="F59" s="449"/>
      <c r="G59" s="449"/>
      <c r="H59" s="449"/>
      <c r="I59" s="449"/>
      <c r="J59" s="449"/>
      <c r="K59" s="449"/>
      <c r="L59" s="449"/>
      <c r="M59" s="449"/>
      <c r="N59" s="449"/>
      <c r="O59" s="449"/>
      <c r="P59" s="449"/>
      <c r="Q59" s="449"/>
      <c r="R59" s="449"/>
      <c r="S59" s="449"/>
      <c r="T59" s="449"/>
      <c r="U59" s="449"/>
      <c r="V59" s="449"/>
      <c r="W59" s="449"/>
      <c r="X59" s="449"/>
      <c r="Y59" s="475"/>
      <c r="Z59" s="475"/>
      <c r="AA59" s="475"/>
      <c r="AL59" s="463"/>
    </row>
    <row r="60" spans="1:40" ht="15.75" customHeight="1" x14ac:dyDescent="0.35">
      <c r="A60" s="1687" t="s">
        <v>835</v>
      </c>
      <c r="B60" s="1687"/>
      <c r="C60" s="1687"/>
      <c r="D60" s="1687"/>
      <c r="E60" s="1925" t="str">
        <f>IF(Data!B17&lt;&gt;"",Data!B17,"")</f>
        <v>Ramzi Kassab</v>
      </c>
      <c r="F60" s="1925"/>
      <c r="G60" s="1925"/>
      <c r="H60" s="1925"/>
      <c r="I60" s="1925"/>
      <c r="J60" s="1687" t="s">
        <v>836</v>
      </c>
      <c r="K60" s="1687"/>
      <c r="L60" s="1687"/>
      <c r="M60" s="1687"/>
      <c r="N60" s="1925" t="str">
        <f>IF(Data!B14&lt;&gt;"",Data!B14,"")</f>
        <v/>
      </c>
      <c r="O60" s="1925"/>
      <c r="P60" s="1925"/>
      <c r="Q60" s="1925"/>
      <c r="R60" s="1925"/>
      <c r="S60" s="1687" t="s">
        <v>837</v>
      </c>
      <c r="T60" s="1687"/>
      <c r="U60" s="1687"/>
      <c r="V60" s="1687"/>
      <c r="W60" s="1925" t="str">
        <f>IF(Data!B19&lt;&gt;"",Data!B19,"")</f>
        <v/>
      </c>
      <c r="X60" s="1925"/>
      <c r="Y60" s="1925"/>
      <c r="Z60" s="1925"/>
      <c r="AA60" s="1925"/>
    </row>
    <row r="61" spans="1:40" ht="15.75" customHeight="1" x14ac:dyDescent="0.35">
      <c r="A61" s="1687"/>
      <c r="B61" s="1687"/>
      <c r="C61" s="1687"/>
      <c r="D61" s="1687"/>
      <c r="E61" s="1926"/>
      <c r="F61" s="1926"/>
      <c r="G61" s="1926"/>
      <c r="H61" s="1926"/>
      <c r="I61" s="1926"/>
      <c r="J61" s="1687"/>
      <c r="K61" s="1687"/>
      <c r="L61" s="1687"/>
      <c r="M61" s="1687"/>
      <c r="N61" s="1926"/>
      <c r="O61" s="1926"/>
      <c r="P61" s="1926"/>
      <c r="Q61" s="1926"/>
      <c r="R61" s="1926"/>
      <c r="S61" s="1687"/>
      <c r="T61" s="1687"/>
      <c r="U61" s="1687"/>
      <c r="V61" s="1687"/>
      <c r="W61" s="1926"/>
      <c r="X61" s="1926"/>
      <c r="Y61" s="1926"/>
      <c r="Z61" s="1926"/>
      <c r="AA61" s="1926"/>
    </row>
    <row r="62" spans="1:40" ht="5.15" customHeight="1" x14ac:dyDescent="0.35">
      <c r="A62" s="450"/>
      <c r="B62" s="450"/>
      <c r="C62" s="450"/>
      <c r="D62" s="450"/>
      <c r="E62" s="455"/>
      <c r="F62" s="450"/>
      <c r="G62" s="450"/>
      <c r="H62" s="450"/>
      <c r="I62" s="450"/>
      <c r="J62" s="450"/>
      <c r="K62" s="450"/>
      <c r="L62" s="450"/>
      <c r="M62" s="450"/>
      <c r="N62" s="450"/>
      <c r="O62" s="450"/>
      <c r="P62" s="450"/>
      <c r="Q62" s="450"/>
      <c r="R62" s="450"/>
      <c r="S62" s="450"/>
      <c r="T62" s="450"/>
      <c r="U62" s="450"/>
      <c r="V62" s="450"/>
      <c r="W62" s="450"/>
      <c r="X62" s="450"/>
      <c r="Y62" s="450"/>
      <c r="Z62" s="450"/>
      <c r="AA62" s="450"/>
    </row>
    <row r="63" spans="1:40" ht="14.25" customHeight="1" x14ac:dyDescent="0.35">
      <c r="A63" s="455"/>
      <c r="B63" s="455"/>
      <c r="C63" s="455"/>
      <c r="D63" s="455"/>
      <c r="E63" s="455"/>
      <c r="F63" s="455"/>
      <c r="G63" s="455"/>
      <c r="H63" s="455"/>
      <c r="I63" s="455"/>
      <c r="J63" s="455"/>
      <c r="K63" s="455"/>
      <c r="L63" s="455"/>
      <c r="M63" s="455"/>
      <c r="N63" s="455"/>
      <c r="O63" s="455"/>
      <c r="P63" s="455"/>
      <c r="Q63" s="455"/>
      <c r="R63" s="455"/>
      <c r="S63" s="455"/>
      <c r="T63" s="455"/>
      <c r="U63" s="455"/>
      <c r="V63" s="455"/>
      <c r="W63" s="455"/>
      <c r="X63" s="455"/>
      <c r="Y63" s="455"/>
      <c r="Z63" s="455"/>
      <c r="AA63" s="455"/>
    </row>
    <row r="64" spans="1:40" ht="14.25" customHeight="1" x14ac:dyDescent="0.35">
      <c r="A64" s="450"/>
      <c r="B64" s="450"/>
      <c r="C64" s="450"/>
      <c r="D64" s="450"/>
      <c r="E64" s="455"/>
      <c r="F64" s="450"/>
      <c r="G64" s="450"/>
      <c r="H64" s="450"/>
      <c r="I64" s="450"/>
      <c r="J64" s="450"/>
      <c r="K64" s="450"/>
      <c r="L64" s="450"/>
      <c r="M64" s="450"/>
      <c r="N64" s="450"/>
      <c r="O64" s="450"/>
      <c r="P64" s="450"/>
      <c r="Q64" s="450"/>
      <c r="R64" s="450"/>
      <c r="S64" s="450"/>
      <c r="T64" s="450"/>
      <c r="U64" s="450"/>
      <c r="V64" s="450"/>
      <c r="W64" s="450"/>
      <c r="X64" s="450"/>
      <c r="Y64" s="450"/>
      <c r="Z64" s="450"/>
      <c r="AA64" s="450"/>
    </row>
    <row r="65" spans="1:37" ht="14.25" customHeight="1" x14ac:dyDescent="0.35">
      <c r="A65" s="455"/>
      <c r="B65" s="455"/>
      <c r="C65" s="455"/>
      <c r="D65" s="455"/>
      <c r="E65" s="455"/>
      <c r="F65" s="455"/>
      <c r="G65" s="455"/>
      <c r="H65" s="455"/>
      <c r="I65" s="455"/>
      <c r="J65" s="455"/>
      <c r="K65" s="455"/>
      <c r="L65" s="455"/>
      <c r="M65" s="455"/>
      <c r="N65" s="455"/>
      <c r="O65" s="455"/>
      <c r="P65" s="455"/>
      <c r="Q65" s="455"/>
      <c r="R65" s="455"/>
      <c r="S65" s="455"/>
      <c r="T65" s="455"/>
      <c r="U65" s="455"/>
      <c r="V65" s="455"/>
      <c r="W65" s="455"/>
      <c r="X65" s="455"/>
      <c r="Y65" s="455"/>
      <c r="Z65" s="455"/>
      <c r="AA65" s="455"/>
    </row>
    <row r="66" spans="1:37" ht="13.5" customHeight="1" x14ac:dyDescent="0.35">
      <c r="B66" s="455"/>
      <c r="C66" s="455"/>
      <c r="D66" s="455"/>
      <c r="E66" s="455"/>
      <c r="F66" s="455"/>
      <c r="G66" s="455"/>
      <c r="H66" s="455"/>
      <c r="I66" s="449"/>
      <c r="J66" s="449"/>
      <c r="K66" s="449"/>
      <c r="L66" s="449"/>
      <c r="M66" s="449"/>
      <c r="N66" s="449"/>
      <c r="O66" s="449"/>
      <c r="P66" s="449"/>
      <c r="Q66" s="449"/>
      <c r="R66" s="465"/>
      <c r="S66" s="465"/>
      <c r="T66" s="449"/>
      <c r="U66" s="449"/>
      <c r="V66" s="449"/>
      <c r="W66" s="449"/>
      <c r="X66" s="449"/>
      <c r="Y66" s="449"/>
      <c r="Z66" s="449"/>
      <c r="AB66" s="455"/>
      <c r="AC66" s="476"/>
      <c r="AD66" s="476"/>
      <c r="AE66" s="476"/>
      <c r="AF66" s="476"/>
      <c r="AG66" s="449"/>
      <c r="AH66" s="449"/>
      <c r="AI66" s="449"/>
      <c r="AJ66" s="449"/>
      <c r="AK66" s="449"/>
    </row>
    <row r="67" spans="1:37" ht="10" customHeight="1" x14ac:dyDescent="0.35"/>
  </sheetData>
  <sheetProtection formatCells="0" formatColumns="0" formatRows="0" insertColumns="0" insertRows="0" insertHyperlinks="0" deleteColumns="0" deleteRows="0" sort="0" autoFilter="0" pivotTables="0"/>
  <mergeCells count="239">
    <mergeCell ref="AF56:AG56"/>
    <mergeCell ref="AH56:AI56"/>
    <mergeCell ref="AH55:AI55"/>
    <mergeCell ref="H49:J49"/>
    <mergeCell ref="Y48:AA48"/>
    <mergeCell ref="Y49:AA49"/>
    <mergeCell ref="K49:P49"/>
    <mergeCell ref="W48:X48"/>
    <mergeCell ref="K51:P51"/>
    <mergeCell ref="S53:T53"/>
    <mergeCell ref="AF55:AG55"/>
    <mergeCell ref="AF46:AG47"/>
    <mergeCell ref="A30:B30"/>
    <mergeCell ref="C30:I30"/>
    <mergeCell ref="J30:R30"/>
    <mergeCell ref="S30:T30"/>
    <mergeCell ref="U30:V30"/>
    <mergeCell ref="W30:X30"/>
    <mergeCell ref="Y30:AA30"/>
    <mergeCell ref="D52:E52"/>
    <mergeCell ref="W39:AA39"/>
    <mergeCell ref="A35:D35"/>
    <mergeCell ref="E35:I35"/>
    <mergeCell ref="J43:M43"/>
    <mergeCell ref="N43:R43"/>
    <mergeCell ref="T43:W43"/>
    <mergeCell ref="AF49:AG49"/>
    <mergeCell ref="K48:P48"/>
    <mergeCell ref="R35:V35"/>
    <mergeCell ref="K46:P47"/>
    <mergeCell ref="W41:X41"/>
    <mergeCell ref="C41:R41"/>
    <mergeCell ref="S41:T41"/>
    <mergeCell ref="A39:D39"/>
    <mergeCell ref="E39:I39"/>
    <mergeCell ref="AN46:AN47"/>
    <mergeCell ref="D56:E56"/>
    <mergeCell ref="F56:G56"/>
    <mergeCell ref="H56:J56"/>
    <mergeCell ref="K56:P56"/>
    <mergeCell ref="Q56:R56"/>
    <mergeCell ref="S56:T56"/>
    <mergeCell ref="U56:V56"/>
    <mergeCell ref="W56:X56"/>
    <mergeCell ref="Y56:AA56"/>
    <mergeCell ref="AF54:AG54"/>
    <mergeCell ref="AH54:AI54"/>
    <mergeCell ref="AJ54:AK54"/>
    <mergeCell ref="D55:E55"/>
    <mergeCell ref="F55:G55"/>
    <mergeCell ref="H55:J55"/>
    <mergeCell ref="K55:P55"/>
    <mergeCell ref="Q55:R55"/>
    <mergeCell ref="S55:T55"/>
    <mergeCell ref="U55:V55"/>
    <mergeCell ref="W55:X55"/>
    <mergeCell ref="Y55:AA55"/>
    <mergeCell ref="F51:G51"/>
    <mergeCell ref="F46:G47"/>
    <mergeCell ref="F57:G57"/>
    <mergeCell ref="D57:E57"/>
    <mergeCell ref="H57:J57"/>
    <mergeCell ref="D48:E48"/>
    <mergeCell ref="H48:J48"/>
    <mergeCell ref="D49:E49"/>
    <mergeCell ref="AJ55:AK55"/>
    <mergeCell ref="D54:E54"/>
    <mergeCell ref="F54:G54"/>
    <mergeCell ref="H54:J54"/>
    <mergeCell ref="K54:P54"/>
    <mergeCell ref="Q54:R54"/>
    <mergeCell ref="S54:T54"/>
    <mergeCell ref="U54:V54"/>
    <mergeCell ref="W54:X54"/>
    <mergeCell ref="Y54:AA54"/>
    <mergeCell ref="AJ56:AK56"/>
    <mergeCell ref="D51:E51"/>
    <mergeCell ref="H51:J51"/>
    <mergeCell ref="D50:E50"/>
    <mergeCell ref="H50:J50"/>
    <mergeCell ref="AF48:AG48"/>
    <mergeCell ref="Q52:R52"/>
    <mergeCell ref="Q53:R53"/>
    <mergeCell ref="Q57:R57"/>
    <mergeCell ref="Q49:R49"/>
    <mergeCell ref="Q50:R50"/>
    <mergeCell ref="S46:T47"/>
    <mergeCell ref="W46:X47"/>
    <mergeCell ref="X43:AA43"/>
    <mergeCell ref="S51:T51"/>
    <mergeCell ref="U48:V48"/>
    <mergeCell ref="U49:V49"/>
    <mergeCell ref="U50:V50"/>
    <mergeCell ref="Y45:AA45"/>
    <mergeCell ref="W49:X49"/>
    <mergeCell ref="W50:X50"/>
    <mergeCell ref="W51:X51"/>
    <mergeCell ref="S49:T49"/>
    <mergeCell ref="S50:T50"/>
    <mergeCell ref="AL46:AL47"/>
    <mergeCell ref="R3:V3"/>
    <mergeCell ref="K5:Q5"/>
    <mergeCell ref="K7:M7"/>
    <mergeCell ref="E7:J7"/>
    <mergeCell ref="N7:Q7"/>
    <mergeCell ref="R7:V7"/>
    <mergeCell ref="Y26:AA26"/>
    <mergeCell ref="Y27:AA27"/>
    <mergeCell ref="Y29:AA29"/>
    <mergeCell ref="C27:R27"/>
    <mergeCell ref="C29:R29"/>
    <mergeCell ref="Y31:AA31"/>
    <mergeCell ref="U29:V29"/>
    <mergeCell ref="C26:R26"/>
    <mergeCell ref="W33:X33"/>
    <mergeCell ref="U31:V31"/>
    <mergeCell ref="W31:X31"/>
    <mergeCell ref="W29:X29"/>
    <mergeCell ref="Y37:AA37"/>
    <mergeCell ref="U37:V37"/>
    <mergeCell ref="D23:AA25"/>
    <mergeCell ref="S26:T26"/>
    <mergeCell ref="U41:V41"/>
    <mergeCell ref="W26:X26"/>
    <mergeCell ref="W27:X27"/>
    <mergeCell ref="Y33:AA33"/>
    <mergeCell ref="W37:X37"/>
    <mergeCell ref="U26:V26"/>
    <mergeCell ref="U27:V27"/>
    <mergeCell ref="C33:R33"/>
    <mergeCell ref="AC7:AG7"/>
    <mergeCell ref="E1:AA1"/>
    <mergeCell ref="A9:AA9"/>
    <mergeCell ref="W5:AA5"/>
    <mergeCell ref="W3:AA3"/>
    <mergeCell ref="A11:B12"/>
    <mergeCell ref="C11:V11"/>
    <mergeCell ref="W7:AA7"/>
    <mergeCell ref="B7:D7"/>
    <mergeCell ref="E5:J5"/>
    <mergeCell ref="R5:V5"/>
    <mergeCell ref="Z2:AA2"/>
    <mergeCell ref="E3:Q3"/>
    <mergeCell ref="AF45:AL45"/>
    <mergeCell ref="U45:V45"/>
    <mergeCell ref="C45:R45"/>
    <mergeCell ref="S45:T45"/>
    <mergeCell ref="A23:C25"/>
    <mergeCell ref="A45:B45"/>
    <mergeCell ref="A13:A21"/>
    <mergeCell ref="A41:B41"/>
    <mergeCell ref="U33:V33"/>
    <mergeCell ref="A26:B26"/>
    <mergeCell ref="A27:B27"/>
    <mergeCell ref="C31:I31"/>
    <mergeCell ref="J31:R31"/>
    <mergeCell ref="A33:B33"/>
    <mergeCell ref="S33:T33"/>
    <mergeCell ref="A43:D43"/>
    <mergeCell ref="E43:I43"/>
    <mergeCell ref="A29:B29"/>
    <mergeCell ref="A31:B31"/>
    <mergeCell ref="S31:T31"/>
    <mergeCell ref="S37:T37"/>
    <mergeCell ref="J35:Q35"/>
    <mergeCell ref="S27:T27"/>
    <mergeCell ref="S29:T29"/>
    <mergeCell ref="E60:I61"/>
    <mergeCell ref="N60:R61"/>
    <mergeCell ref="W60:AA61"/>
    <mergeCell ref="F52:G52"/>
    <mergeCell ref="F53:G53"/>
    <mergeCell ref="H52:J52"/>
    <mergeCell ref="F48:G48"/>
    <mergeCell ref="F49:G49"/>
    <mergeCell ref="F50:G50"/>
    <mergeCell ref="Y57:AA57"/>
    <mergeCell ref="K50:P50"/>
    <mergeCell ref="W52:X52"/>
    <mergeCell ref="W53:X53"/>
    <mergeCell ref="W57:X57"/>
    <mergeCell ref="Q48:R48"/>
    <mergeCell ref="Y53:AA53"/>
    <mergeCell ref="Y52:AA52"/>
    <mergeCell ref="U51:V51"/>
    <mergeCell ref="U52:V52"/>
    <mergeCell ref="Y51:AA51"/>
    <mergeCell ref="Y50:AA50"/>
    <mergeCell ref="S48:T48"/>
    <mergeCell ref="S60:V61"/>
    <mergeCell ref="Q51:R51"/>
    <mergeCell ref="AF57:AG57"/>
    <mergeCell ref="AJ53:AK53"/>
    <mergeCell ref="AJ57:AK57"/>
    <mergeCell ref="D46:E47"/>
    <mergeCell ref="H46:J47"/>
    <mergeCell ref="C46:C47"/>
    <mergeCell ref="Q46:R47"/>
    <mergeCell ref="Y41:AA41"/>
    <mergeCell ref="A37:B37"/>
    <mergeCell ref="C37:R37"/>
    <mergeCell ref="A46:B58"/>
    <mergeCell ref="U46:V47"/>
    <mergeCell ref="W45:X45"/>
    <mergeCell ref="Y46:AA47"/>
    <mergeCell ref="AF52:AG52"/>
    <mergeCell ref="AF50:AG50"/>
    <mergeCell ref="AF51:AG51"/>
    <mergeCell ref="AJ52:AK52"/>
    <mergeCell ref="AJ51:AK51"/>
    <mergeCell ref="AJ50:AK50"/>
    <mergeCell ref="AJ49:AK49"/>
    <mergeCell ref="J39:N39"/>
    <mergeCell ref="O39:S39"/>
    <mergeCell ref="T39:V39"/>
    <mergeCell ref="Y58:AA58"/>
    <mergeCell ref="U53:V53"/>
    <mergeCell ref="U57:V57"/>
    <mergeCell ref="S52:T52"/>
    <mergeCell ref="D53:E53"/>
    <mergeCell ref="H53:J53"/>
    <mergeCell ref="AJ48:AK48"/>
    <mergeCell ref="AJ46:AK47"/>
    <mergeCell ref="A60:D61"/>
    <mergeCell ref="J60:M61"/>
    <mergeCell ref="C58:X58"/>
    <mergeCell ref="AH46:AI47"/>
    <mergeCell ref="AH48:AI48"/>
    <mergeCell ref="AH49:AI49"/>
    <mergeCell ref="AH50:AI50"/>
    <mergeCell ref="AH51:AI51"/>
    <mergeCell ref="AH52:AI52"/>
    <mergeCell ref="AH53:AI53"/>
    <mergeCell ref="AH57:AI57"/>
    <mergeCell ref="S57:T57"/>
    <mergeCell ref="K52:P52"/>
    <mergeCell ref="K53:P53"/>
    <mergeCell ref="K57:P57"/>
    <mergeCell ref="AF53:AG53"/>
  </mergeCells>
  <conditionalFormatting sqref="A31:I31">
    <cfRule type="expression" dxfId="233" priority="65">
      <formula>$S$31=0</formula>
    </cfRule>
  </conditionalFormatting>
  <conditionalFormatting sqref="A27:R27">
    <cfRule type="expression" dxfId="232" priority="67">
      <formula>$S$27=0</formula>
    </cfRule>
  </conditionalFormatting>
  <conditionalFormatting sqref="A29:R29">
    <cfRule type="expression" dxfId="231" priority="66">
      <formula>$S$29=0</formula>
    </cfRule>
  </conditionalFormatting>
  <conditionalFormatting sqref="A33:R33">
    <cfRule type="expression" dxfId="230" priority="64">
      <formula>$S$33=0</formula>
    </cfRule>
  </conditionalFormatting>
  <conditionalFormatting sqref="A37:R37">
    <cfRule type="expression" dxfId="229" priority="63">
      <formula>$S$37=0</formula>
    </cfRule>
  </conditionalFormatting>
  <conditionalFormatting sqref="A41:R41">
    <cfRule type="expression" dxfId="228" priority="62">
      <formula>$S$41=0</formula>
    </cfRule>
  </conditionalFormatting>
  <conditionalFormatting sqref="A30:AA30">
    <cfRule type="expression" dxfId="227" priority="1">
      <formula>$S$30&lt;&gt;1</formula>
    </cfRule>
  </conditionalFormatting>
  <conditionalFormatting sqref="C48:C57">
    <cfRule type="expression" dxfId="222" priority="114">
      <formula>$D$48=0</formula>
    </cfRule>
  </conditionalFormatting>
  <conditionalFormatting sqref="C29:R29">
    <cfRule type="expression" dxfId="221" priority="60">
      <formula>$S$27=1</formula>
    </cfRule>
  </conditionalFormatting>
  <conditionalFormatting sqref="C12:AA12">
    <cfRule type="cellIs" dxfId="220" priority="111" operator="equal">
      <formula>0</formula>
    </cfRule>
    <cfRule type="beginsWith" dxfId="219" priority="61" operator="beginsWith" text="0a">
      <formula>LEFT(C12,LEN("0a"))="0a"</formula>
    </cfRule>
  </conditionalFormatting>
  <conditionalFormatting sqref="D48:E57">
    <cfRule type="cellIs" dxfId="218" priority="38" operator="equal">
      <formula>0</formula>
    </cfRule>
  </conditionalFormatting>
  <conditionalFormatting sqref="F48:G57">
    <cfRule type="expression" dxfId="217" priority="80">
      <formula>$D48=0</formula>
    </cfRule>
  </conditionalFormatting>
  <conditionalFormatting sqref="Q48:T57">
    <cfRule type="cellIs" dxfId="211" priority="20" operator="equal">
      <formula>0</formula>
    </cfRule>
  </conditionalFormatting>
  <conditionalFormatting sqref="S27:T29 S31:T34">
    <cfRule type="cellIs" dxfId="210" priority="146" operator="equal">
      <formula>0</formula>
    </cfRule>
  </conditionalFormatting>
  <conditionalFormatting sqref="S36:T38">
    <cfRule type="cellIs" dxfId="209" priority="155" operator="equal">
      <formula>0</formula>
    </cfRule>
  </conditionalFormatting>
  <conditionalFormatting sqref="S40:T42 W40:AA42">
    <cfRule type="cellIs" dxfId="208" priority="142" operator="equal">
      <formula>0</formula>
    </cfRule>
  </conditionalFormatting>
  <conditionalFormatting sqref="S44:T45 W44:AA45">
    <cfRule type="cellIs" dxfId="207" priority="141" operator="equal">
      <formula>0</formula>
    </cfRule>
  </conditionalFormatting>
  <conditionalFormatting sqref="U37:V37">
    <cfRule type="expression" dxfId="205" priority="69">
      <formula>$S$37=0</formula>
    </cfRule>
  </conditionalFormatting>
  <conditionalFormatting sqref="W48:X57">
    <cfRule type="cellIs" dxfId="203" priority="200" operator="equal">
      <formula>0</formula>
    </cfRule>
  </conditionalFormatting>
  <conditionalFormatting sqref="W3:AA3">
    <cfRule type="cellIs" dxfId="202" priority="6" operator="equal">
      <formula>0</formula>
    </cfRule>
  </conditionalFormatting>
  <conditionalFormatting sqref="W27:AA29 W31:AA34">
    <cfRule type="cellIs" dxfId="201" priority="145" operator="equal">
      <formula>0</formula>
    </cfRule>
  </conditionalFormatting>
  <conditionalFormatting sqref="W36:AA38">
    <cfRule type="cellIs" dxfId="200" priority="154" operator="equal">
      <formula>0</formula>
    </cfRule>
  </conditionalFormatting>
  <conditionalFormatting sqref="Y48:AA48">
    <cfRule type="cellIs" dxfId="199" priority="230" operator="equal">
      <formula>0</formula>
    </cfRule>
  </conditionalFormatting>
  <conditionalFormatting sqref="Y49:AA57">
    <cfRule type="cellIs" dxfId="198" priority="22" operator="equal">
      <formula>0</formula>
    </cfRule>
  </conditionalFormatting>
  <conditionalFormatting sqref="AF48:AK57">
    <cfRule type="cellIs" dxfId="196" priority="12" operator="equal">
      <formula>0</formula>
    </cfRule>
  </conditionalFormatting>
  <pageMargins left="0.5" right="0.5" top="0.5" bottom="0.5" header="0.3" footer="0.3"/>
  <pageSetup paperSize="9" scale="97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388" id="{1C8FAEF7-BFB7-4661-AB43-BCD8AD036D44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A45:AA52 A53:R53 A29:AA29 A31:AA31 A33:AA33 A37:AA37 A41:AA41 A58:AA59 A60:E60 J60:M61 S60:V61 A61:D61</xm:sqref>
        </x14:conditionalFormatting>
        <x14:conditionalFormatting xmlns:xm="http://schemas.microsoft.com/office/excel/2006/main">
          <x14:cfRule type="expression" priority="68" id="{880282E0-0559-43C4-8CB7-F8C127888CB6}">
            <xm:f>OR(Data!$L$4=1,Data!$L$5=1)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A60:AA62</xm:sqref>
        </x14:conditionalFormatting>
        <x14:conditionalFormatting xmlns:xm="http://schemas.microsoft.com/office/excel/2006/main">
          <x14:cfRule type="expression" priority="110" id="{347497B1-059B-411D-A766-BC65C8DC8BE0}">
            <xm:f>SUM(Data!BR46:CV46)=0</xm:f>
            <x14:dxf>
              <font>
                <color theme="0"/>
              </font>
            </x14:dxf>
          </x14:cfRule>
          <xm:sqref>B13</xm:sqref>
        </x14:conditionalFormatting>
        <x14:conditionalFormatting xmlns:xm="http://schemas.microsoft.com/office/excel/2006/main">
          <x14:cfRule type="expression" priority="109" id="{93E8E7A7-22BF-4B10-B670-A0D032EB0E8C}">
            <xm:f>SUM(Data!$BR47:$CV47)=0</xm:f>
            <x14:dxf>
              <font>
                <color theme="0"/>
              </font>
            </x14:dxf>
          </x14:cfRule>
          <xm:sqref>B14:B21</xm:sqref>
        </x14:conditionalFormatting>
        <x14:conditionalFormatting xmlns:xm="http://schemas.microsoft.com/office/excel/2006/main">
          <x14:cfRule type="expression" priority="41" id="{E0809168-7526-4B1F-9BF5-BCE6A6977803}">
            <xm:f>AND(AND(Data!$L$4&lt;&gt;1,Data!$L$5&lt;&gt;1,$D48&lt;&gt;0),COUNTIF($H48,418525))</xm:f>
            <x14:dxf>
              <font>
                <color theme="1"/>
              </font>
            </x14:dxf>
          </x14:cfRule>
          <xm:sqref>H48:J57</xm:sqref>
        </x14:conditionalFormatting>
        <x14:conditionalFormatting xmlns:xm="http://schemas.microsoft.com/office/excel/2006/main">
          <x14:cfRule type="expression" priority="57" id="{6FAFFE6D-9370-4880-89F2-2E4D94980ED3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H54:R54 H55:J57</xm:sqref>
        </x14:conditionalFormatting>
        <x14:conditionalFormatting xmlns:xm="http://schemas.microsoft.com/office/excel/2006/main">
          <x14:cfRule type="expression" priority="4417" id="{DCC2B641-5969-4E18-A9CA-1171D5AC5AE8}">
            <xm:f>AND(Data!$L$4&lt;&gt;1,Data!$L$5&lt;&gt;1)</xm:f>
            <x14:dxf>
              <font>
                <color theme="0"/>
              </font>
            </x14:dxf>
          </x14:cfRule>
          <xm:sqref>J31:R31 A35:AA35 A39:AA39 A43:AA43</xm:sqref>
        </x14:conditionalFormatting>
        <x14:conditionalFormatting xmlns:xm="http://schemas.microsoft.com/office/excel/2006/main">
          <x14:cfRule type="expression" priority="8" id="{E8CE8E48-6C18-470E-AC17-DCE6A1C9D326}">
            <xm:f>OR(Data!$L$2=1,Data!$L$3=1)</xm:f>
            <x14:dxf>
              <font>
                <color theme="0"/>
              </font>
            </x14:dxf>
          </x14:cfRule>
          <xm:sqref>K48:P57</xm:sqref>
        </x14:conditionalFormatting>
        <x14:conditionalFormatting xmlns:xm="http://schemas.microsoft.com/office/excel/2006/main">
          <x14:cfRule type="expression" priority="71" id="{A7E90C52-3A02-47D4-80CC-57F68F9F73EE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N60</xm:sqref>
        </x14:conditionalFormatting>
        <x14:conditionalFormatting xmlns:xm="http://schemas.microsoft.com/office/excel/2006/main">
          <x14:cfRule type="expression" priority="23" id="{7691CD1F-8E42-46E4-898D-4C8B075BB9C7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S53:AA57 A54:G57 K55:R57</xm:sqref>
        </x14:conditionalFormatting>
        <x14:conditionalFormatting xmlns:xm="http://schemas.microsoft.com/office/excel/2006/main">
          <x14:cfRule type="expression" priority="70" id="{1BEE4485-6DC6-4281-B999-FE54017EFA9A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W60</xm:sqref>
        </x14:conditionalFormatting>
        <x14:conditionalFormatting xmlns:xm="http://schemas.microsoft.com/office/excel/2006/main">
          <x14:cfRule type="expression" priority="13" id="{448FB99A-7746-4DA7-9575-BFEADDA4A231}">
            <xm:f>OR(Data!$L$4,Data!$L$5)=1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AF46:AK57</xm:sqref>
        </x14:conditionalFormatting>
        <x14:conditionalFormatting xmlns:xm="http://schemas.microsoft.com/office/excel/2006/main">
          <x14:cfRule type="expression" priority="127" id="{6271AAB0-69F5-4B17-96B7-6BC7C0DD0654}">
            <xm:f>OR(Data!$L$4,Data!$L$5)=1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AL58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9">
    <tabColor rgb="FFFFFF00"/>
  </sheetPr>
  <dimension ref="A1:AT59"/>
  <sheetViews>
    <sheetView view="pageBreakPreview" zoomScaleNormal="100" zoomScaleSheetLayoutView="100" workbookViewId="0">
      <selection activeCell="AE50" sqref="AE50:AI50"/>
    </sheetView>
  </sheetViews>
  <sheetFormatPr defaultRowHeight="12.5" x14ac:dyDescent="0.25"/>
  <cols>
    <col min="1" max="1" width="2.1796875" style="491" customWidth="1"/>
    <col min="2" max="52" width="3" style="491" customWidth="1"/>
    <col min="53" max="60" width="3.1796875" style="491" customWidth="1"/>
    <col min="61" max="256" width="9.1796875" style="491"/>
    <col min="257" max="257" width="2.1796875" style="491" customWidth="1"/>
    <col min="258" max="308" width="3" style="491" customWidth="1"/>
    <col min="309" max="316" width="3.1796875" style="491" customWidth="1"/>
    <col min="317" max="512" width="9.1796875" style="491"/>
    <col min="513" max="513" width="2.1796875" style="491" customWidth="1"/>
    <col min="514" max="564" width="3" style="491" customWidth="1"/>
    <col min="565" max="572" width="3.1796875" style="491" customWidth="1"/>
    <col min="573" max="768" width="9.1796875" style="491"/>
    <col min="769" max="769" width="2.1796875" style="491" customWidth="1"/>
    <col min="770" max="820" width="3" style="491" customWidth="1"/>
    <col min="821" max="828" width="3.1796875" style="491" customWidth="1"/>
    <col min="829" max="1024" width="9.1796875" style="491"/>
    <col min="1025" max="1025" width="2.1796875" style="491" customWidth="1"/>
    <col min="1026" max="1076" width="3" style="491" customWidth="1"/>
    <col min="1077" max="1084" width="3.1796875" style="491" customWidth="1"/>
    <col min="1085" max="1280" width="9.1796875" style="491"/>
    <col min="1281" max="1281" width="2.1796875" style="491" customWidth="1"/>
    <col min="1282" max="1332" width="3" style="491" customWidth="1"/>
    <col min="1333" max="1340" width="3.1796875" style="491" customWidth="1"/>
    <col min="1341" max="1536" width="9.1796875" style="491"/>
    <col min="1537" max="1537" width="2.1796875" style="491" customWidth="1"/>
    <col min="1538" max="1588" width="3" style="491" customWidth="1"/>
    <col min="1589" max="1596" width="3.1796875" style="491" customWidth="1"/>
    <col min="1597" max="1792" width="9.1796875" style="491"/>
    <col min="1793" max="1793" width="2.1796875" style="491" customWidth="1"/>
    <col min="1794" max="1844" width="3" style="491" customWidth="1"/>
    <col min="1845" max="1852" width="3.1796875" style="491" customWidth="1"/>
    <col min="1853" max="2048" width="9.1796875" style="491"/>
    <col min="2049" max="2049" width="2.1796875" style="491" customWidth="1"/>
    <col min="2050" max="2100" width="3" style="491" customWidth="1"/>
    <col min="2101" max="2108" width="3.1796875" style="491" customWidth="1"/>
    <col min="2109" max="2304" width="9.1796875" style="491"/>
    <col min="2305" max="2305" width="2.1796875" style="491" customWidth="1"/>
    <col min="2306" max="2356" width="3" style="491" customWidth="1"/>
    <col min="2357" max="2364" width="3.1796875" style="491" customWidth="1"/>
    <col min="2365" max="2560" width="9.1796875" style="491"/>
    <col min="2561" max="2561" width="2.1796875" style="491" customWidth="1"/>
    <col min="2562" max="2612" width="3" style="491" customWidth="1"/>
    <col min="2613" max="2620" width="3.1796875" style="491" customWidth="1"/>
    <col min="2621" max="2816" width="9.1796875" style="491"/>
    <col min="2817" max="2817" width="2.1796875" style="491" customWidth="1"/>
    <col min="2818" max="2868" width="3" style="491" customWidth="1"/>
    <col min="2869" max="2876" width="3.1796875" style="491" customWidth="1"/>
    <col min="2877" max="3072" width="9.1796875" style="491"/>
    <col min="3073" max="3073" width="2.1796875" style="491" customWidth="1"/>
    <col min="3074" max="3124" width="3" style="491" customWidth="1"/>
    <col min="3125" max="3132" width="3.1796875" style="491" customWidth="1"/>
    <col min="3133" max="3328" width="9.1796875" style="491"/>
    <col min="3329" max="3329" width="2.1796875" style="491" customWidth="1"/>
    <col min="3330" max="3380" width="3" style="491" customWidth="1"/>
    <col min="3381" max="3388" width="3.1796875" style="491" customWidth="1"/>
    <col min="3389" max="3584" width="9.1796875" style="491"/>
    <col min="3585" max="3585" width="2.1796875" style="491" customWidth="1"/>
    <col min="3586" max="3636" width="3" style="491" customWidth="1"/>
    <col min="3637" max="3644" width="3.1796875" style="491" customWidth="1"/>
    <col min="3645" max="3840" width="9.1796875" style="491"/>
    <col min="3841" max="3841" width="2.1796875" style="491" customWidth="1"/>
    <col min="3842" max="3892" width="3" style="491" customWidth="1"/>
    <col min="3893" max="3900" width="3.1796875" style="491" customWidth="1"/>
    <col min="3901" max="4096" width="9.1796875" style="491"/>
    <col min="4097" max="4097" width="2.1796875" style="491" customWidth="1"/>
    <col min="4098" max="4148" width="3" style="491" customWidth="1"/>
    <col min="4149" max="4156" width="3.1796875" style="491" customWidth="1"/>
    <col min="4157" max="4352" width="9.1796875" style="491"/>
    <col min="4353" max="4353" width="2.1796875" style="491" customWidth="1"/>
    <col min="4354" max="4404" width="3" style="491" customWidth="1"/>
    <col min="4405" max="4412" width="3.1796875" style="491" customWidth="1"/>
    <col min="4413" max="4608" width="9.1796875" style="491"/>
    <col min="4609" max="4609" width="2.1796875" style="491" customWidth="1"/>
    <col min="4610" max="4660" width="3" style="491" customWidth="1"/>
    <col min="4661" max="4668" width="3.1796875" style="491" customWidth="1"/>
    <col min="4669" max="4864" width="9.1796875" style="491"/>
    <col min="4865" max="4865" width="2.1796875" style="491" customWidth="1"/>
    <col min="4866" max="4916" width="3" style="491" customWidth="1"/>
    <col min="4917" max="4924" width="3.1796875" style="491" customWidth="1"/>
    <col min="4925" max="5120" width="9.1796875" style="491"/>
    <col min="5121" max="5121" width="2.1796875" style="491" customWidth="1"/>
    <col min="5122" max="5172" width="3" style="491" customWidth="1"/>
    <col min="5173" max="5180" width="3.1796875" style="491" customWidth="1"/>
    <col min="5181" max="5376" width="9.1796875" style="491"/>
    <col min="5377" max="5377" width="2.1796875" style="491" customWidth="1"/>
    <col min="5378" max="5428" width="3" style="491" customWidth="1"/>
    <col min="5429" max="5436" width="3.1796875" style="491" customWidth="1"/>
    <col min="5437" max="5632" width="9.1796875" style="491"/>
    <col min="5633" max="5633" width="2.1796875" style="491" customWidth="1"/>
    <col min="5634" max="5684" width="3" style="491" customWidth="1"/>
    <col min="5685" max="5692" width="3.1796875" style="491" customWidth="1"/>
    <col min="5693" max="5888" width="9.1796875" style="491"/>
    <col min="5889" max="5889" width="2.1796875" style="491" customWidth="1"/>
    <col min="5890" max="5940" width="3" style="491" customWidth="1"/>
    <col min="5941" max="5948" width="3.1796875" style="491" customWidth="1"/>
    <col min="5949" max="6144" width="9.1796875" style="491"/>
    <col min="6145" max="6145" width="2.1796875" style="491" customWidth="1"/>
    <col min="6146" max="6196" width="3" style="491" customWidth="1"/>
    <col min="6197" max="6204" width="3.1796875" style="491" customWidth="1"/>
    <col min="6205" max="6400" width="9.1796875" style="491"/>
    <col min="6401" max="6401" width="2.1796875" style="491" customWidth="1"/>
    <col min="6402" max="6452" width="3" style="491" customWidth="1"/>
    <col min="6453" max="6460" width="3.1796875" style="491" customWidth="1"/>
    <col min="6461" max="6656" width="9.1796875" style="491"/>
    <col min="6657" max="6657" width="2.1796875" style="491" customWidth="1"/>
    <col min="6658" max="6708" width="3" style="491" customWidth="1"/>
    <col min="6709" max="6716" width="3.1796875" style="491" customWidth="1"/>
    <col min="6717" max="6912" width="9.1796875" style="491"/>
    <col min="6913" max="6913" width="2.1796875" style="491" customWidth="1"/>
    <col min="6914" max="6964" width="3" style="491" customWidth="1"/>
    <col min="6965" max="6972" width="3.1796875" style="491" customWidth="1"/>
    <col min="6973" max="7168" width="9.1796875" style="491"/>
    <col min="7169" max="7169" width="2.1796875" style="491" customWidth="1"/>
    <col min="7170" max="7220" width="3" style="491" customWidth="1"/>
    <col min="7221" max="7228" width="3.1796875" style="491" customWidth="1"/>
    <col min="7229" max="7424" width="9.1796875" style="491"/>
    <col min="7425" max="7425" width="2.1796875" style="491" customWidth="1"/>
    <col min="7426" max="7476" width="3" style="491" customWidth="1"/>
    <col min="7477" max="7484" width="3.1796875" style="491" customWidth="1"/>
    <col min="7485" max="7680" width="9.1796875" style="491"/>
    <col min="7681" max="7681" width="2.1796875" style="491" customWidth="1"/>
    <col min="7682" max="7732" width="3" style="491" customWidth="1"/>
    <col min="7733" max="7740" width="3.1796875" style="491" customWidth="1"/>
    <col min="7741" max="7936" width="9.1796875" style="491"/>
    <col min="7937" max="7937" width="2.1796875" style="491" customWidth="1"/>
    <col min="7938" max="7988" width="3" style="491" customWidth="1"/>
    <col min="7989" max="7996" width="3.1796875" style="491" customWidth="1"/>
    <col min="7997" max="8192" width="9.1796875" style="491"/>
    <col min="8193" max="8193" width="2.1796875" style="491" customWidth="1"/>
    <col min="8194" max="8244" width="3" style="491" customWidth="1"/>
    <col min="8245" max="8252" width="3.1796875" style="491" customWidth="1"/>
    <col min="8253" max="8448" width="9.1796875" style="491"/>
    <col min="8449" max="8449" width="2.1796875" style="491" customWidth="1"/>
    <col min="8450" max="8500" width="3" style="491" customWidth="1"/>
    <col min="8501" max="8508" width="3.1796875" style="491" customWidth="1"/>
    <col min="8509" max="8704" width="9.1796875" style="491"/>
    <col min="8705" max="8705" width="2.1796875" style="491" customWidth="1"/>
    <col min="8706" max="8756" width="3" style="491" customWidth="1"/>
    <col min="8757" max="8764" width="3.1796875" style="491" customWidth="1"/>
    <col min="8765" max="8960" width="9.1796875" style="491"/>
    <col min="8961" max="8961" width="2.1796875" style="491" customWidth="1"/>
    <col min="8962" max="9012" width="3" style="491" customWidth="1"/>
    <col min="9013" max="9020" width="3.1796875" style="491" customWidth="1"/>
    <col min="9021" max="9216" width="9.1796875" style="491"/>
    <col min="9217" max="9217" width="2.1796875" style="491" customWidth="1"/>
    <col min="9218" max="9268" width="3" style="491" customWidth="1"/>
    <col min="9269" max="9276" width="3.1796875" style="491" customWidth="1"/>
    <col min="9277" max="9472" width="9.1796875" style="491"/>
    <col min="9473" max="9473" width="2.1796875" style="491" customWidth="1"/>
    <col min="9474" max="9524" width="3" style="491" customWidth="1"/>
    <col min="9525" max="9532" width="3.1796875" style="491" customWidth="1"/>
    <col min="9533" max="9728" width="9.1796875" style="491"/>
    <col min="9729" max="9729" width="2.1796875" style="491" customWidth="1"/>
    <col min="9730" max="9780" width="3" style="491" customWidth="1"/>
    <col min="9781" max="9788" width="3.1796875" style="491" customWidth="1"/>
    <col min="9789" max="9984" width="9.1796875" style="491"/>
    <col min="9985" max="9985" width="2.1796875" style="491" customWidth="1"/>
    <col min="9986" max="10036" width="3" style="491" customWidth="1"/>
    <col min="10037" max="10044" width="3.1796875" style="491" customWidth="1"/>
    <col min="10045" max="10240" width="9.1796875" style="491"/>
    <col min="10241" max="10241" width="2.1796875" style="491" customWidth="1"/>
    <col min="10242" max="10292" width="3" style="491" customWidth="1"/>
    <col min="10293" max="10300" width="3.1796875" style="491" customWidth="1"/>
    <col min="10301" max="10496" width="9.1796875" style="491"/>
    <col min="10497" max="10497" width="2.1796875" style="491" customWidth="1"/>
    <col min="10498" max="10548" width="3" style="491" customWidth="1"/>
    <col min="10549" max="10556" width="3.1796875" style="491" customWidth="1"/>
    <col min="10557" max="10752" width="9.1796875" style="491"/>
    <col min="10753" max="10753" width="2.1796875" style="491" customWidth="1"/>
    <col min="10754" max="10804" width="3" style="491" customWidth="1"/>
    <col min="10805" max="10812" width="3.1796875" style="491" customWidth="1"/>
    <col min="10813" max="11008" width="9.1796875" style="491"/>
    <col min="11009" max="11009" width="2.1796875" style="491" customWidth="1"/>
    <col min="11010" max="11060" width="3" style="491" customWidth="1"/>
    <col min="11061" max="11068" width="3.1796875" style="491" customWidth="1"/>
    <col min="11069" max="11264" width="9.1796875" style="491"/>
    <col min="11265" max="11265" width="2.1796875" style="491" customWidth="1"/>
    <col min="11266" max="11316" width="3" style="491" customWidth="1"/>
    <col min="11317" max="11324" width="3.1796875" style="491" customWidth="1"/>
    <col min="11325" max="11520" width="9.1796875" style="491"/>
    <col min="11521" max="11521" width="2.1796875" style="491" customWidth="1"/>
    <col min="11522" max="11572" width="3" style="491" customWidth="1"/>
    <col min="11573" max="11580" width="3.1796875" style="491" customWidth="1"/>
    <col min="11581" max="11776" width="9.1796875" style="491"/>
    <col min="11777" max="11777" width="2.1796875" style="491" customWidth="1"/>
    <col min="11778" max="11828" width="3" style="491" customWidth="1"/>
    <col min="11829" max="11836" width="3.1796875" style="491" customWidth="1"/>
    <col min="11837" max="12032" width="9.1796875" style="491"/>
    <col min="12033" max="12033" width="2.1796875" style="491" customWidth="1"/>
    <col min="12034" max="12084" width="3" style="491" customWidth="1"/>
    <col min="12085" max="12092" width="3.1796875" style="491" customWidth="1"/>
    <col min="12093" max="12288" width="9.1796875" style="491"/>
    <col min="12289" max="12289" width="2.1796875" style="491" customWidth="1"/>
    <col min="12290" max="12340" width="3" style="491" customWidth="1"/>
    <col min="12341" max="12348" width="3.1796875" style="491" customWidth="1"/>
    <col min="12349" max="12544" width="9.1796875" style="491"/>
    <col min="12545" max="12545" width="2.1796875" style="491" customWidth="1"/>
    <col min="12546" max="12596" width="3" style="491" customWidth="1"/>
    <col min="12597" max="12604" width="3.1796875" style="491" customWidth="1"/>
    <col min="12605" max="12800" width="9.1796875" style="491"/>
    <col min="12801" max="12801" width="2.1796875" style="491" customWidth="1"/>
    <col min="12802" max="12852" width="3" style="491" customWidth="1"/>
    <col min="12853" max="12860" width="3.1796875" style="491" customWidth="1"/>
    <col min="12861" max="13056" width="9.1796875" style="491"/>
    <col min="13057" max="13057" width="2.1796875" style="491" customWidth="1"/>
    <col min="13058" max="13108" width="3" style="491" customWidth="1"/>
    <col min="13109" max="13116" width="3.1796875" style="491" customWidth="1"/>
    <col min="13117" max="13312" width="9.1796875" style="491"/>
    <col min="13313" max="13313" width="2.1796875" style="491" customWidth="1"/>
    <col min="13314" max="13364" width="3" style="491" customWidth="1"/>
    <col min="13365" max="13372" width="3.1796875" style="491" customWidth="1"/>
    <col min="13373" max="13568" width="9.1796875" style="491"/>
    <col min="13569" max="13569" width="2.1796875" style="491" customWidth="1"/>
    <col min="13570" max="13620" width="3" style="491" customWidth="1"/>
    <col min="13621" max="13628" width="3.1796875" style="491" customWidth="1"/>
    <col min="13629" max="13824" width="9.1796875" style="491"/>
    <col min="13825" max="13825" width="2.1796875" style="491" customWidth="1"/>
    <col min="13826" max="13876" width="3" style="491" customWidth="1"/>
    <col min="13877" max="13884" width="3.1796875" style="491" customWidth="1"/>
    <col min="13885" max="14080" width="9.1796875" style="491"/>
    <col min="14081" max="14081" width="2.1796875" style="491" customWidth="1"/>
    <col min="14082" max="14132" width="3" style="491" customWidth="1"/>
    <col min="14133" max="14140" width="3.1796875" style="491" customWidth="1"/>
    <col min="14141" max="14336" width="9.1796875" style="491"/>
    <col min="14337" max="14337" width="2.1796875" style="491" customWidth="1"/>
    <col min="14338" max="14388" width="3" style="491" customWidth="1"/>
    <col min="14389" max="14396" width="3.1796875" style="491" customWidth="1"/>
    <col min="14397" max="14592" width="9.1796875" style="491"/>
    <col min="14593" max="14593" width="2.1796875" style="491" customWidth="1"/>
    <col min="14594" max="14644" width="3" style="491" customWidth="1"/>
    <col min="14645" max="14652" width="3.1796875" style="491" customWidth="1"/>
    <col min="14653" max="14848" width="9.1796875" style="491"/>
    <col min="14849" max="14849" width="2.1796875" style="491" customWidth="1"/>
    <col min="14850" max="14900" width="3" style="491" customWidth="1"/>
    <col min="14901" max="14908" width="3.1796875" style="491" customWidth="1"/>
    <col min="14909" max="15104" width="9.1796875" style="491"/>
    <col min="15105" max="15105" width="2.1796875" style="491" customWidth="1"/>
    <col min="15106" max="15156" width="3" style="491" customWidth="1"/>
    <col min="15157" max="15164" width="3.1796875" style="491" customWidth="1"/>
    <col min="15165" max="15360" width="9.1796875" style="491"/>
    <col min="15361" max="15361" width="2.1796875" style="491" customWidth="1"/>
    <col min="15362" max="15412" width="3" style="491" customWidth="1"/>
    <col min="15413" max="15420" width="3.1796875" style="491" customWidth="1"/>
    <col min="15421" max="15616" width="9.1796875" style="491"/>
    <col min="15617" max="15617" width="2.1796875" style="491" customWidth="1"/>
    <col min="15618" max="15668" width="3" style="491" customWidth="1"/>
    <col min="15669" max="15676" width="3.1796875" style="491" customWidth="1"/>
    <col min="15677" max="15872" width="9.1796875" style="491"/>
    <col min="15873" max="15873" width="2.1796875" style="491" customWidth="1"/>
    <col min="15874" max="15924" width="3" style="491" customWidth="1"/>
    <col min="15925" max="15932" width="3.1796875" style="491" customWidth="1"/>
    <col min="15933" max="16128" width="9.1796875" style="491"/>
    <col min="16129" max="16129" width="2.1796875" style="491" customWidth="1"/>
    <col min="16130" max="16180" width="3" style="491" customWidth="1"/>
    <col min="16181" max="16188" width="3.1796875" style="491" customWidth="1"/>
    <col min="16189" max="16384" width="9.1796875" style="491"/>
  </cols>
  <sheetData>
    <row r="1" spans="1:35" ht="21.75" customHeight="1" x14ac:dyDescent="0.5">
      <c r="A1" s="489"/>
      <c r="B1" s="490"/>
      <c r="C1" s="490"/>
      <c r="D1" s="1970" t="s">
        <v>22</v>
      </c>
      <c r="E1" s="1970"/>
      <c r="F1" s="1970"/>
      <c r="G1" s="1970"/>
      <c r="H1" s="1970"/>
      <c r="I1" s="1970"/>
      <c r="J1" s="1970"/>
      <c r="K1" s="1970"/>
      <c r="L1" s="1970"/>
      <c r="M1" s="1970"/>
      <c r="N1" s="1970"/>
      <c r="O1" s="1970"/>
      <c r="P1" s="1970"/>
      <c r="Q1" s="1970"/>
      <c r="R1" s="1970"/>
      <c r="S1" s="1970"/>
      <c r="T1" s="1970"/>
      <c r="U1" s="1970"/>
      <c r="V1" s="1970"/>
      <c r="W1" s="1970"/>
      <c r="X1" s="1970"/>
      <c r="Y1" s="1970"/>
      <c r="Z1" s="1970"/>
      <c r="AA1" s="1970"/>
      <c r="AB1" s="1970"/>
      <c r="AC1" s="1970"/>
      <c r="AD1" s="1970"/>
      <c r="AE1" s="1970"/>
      <c r="AF1" s="1970"/>
      <c r="AG1" s="1970"/>
      <c r="AH1" s="1970"/>
      <c r="AI1" s="1971"/>
    </row>
    <row r="2" spans="1:35" ht="16.5" customHeight="1" x14ac:dyDescent="0.35">
      <c r="A2" s="1972" t="s">
        <v>1067</v>
      </c>
      <c r="B2" s="1973"/>
      <c r="C2" s="1973"/>
      <c r="D2" s="1973"/>
      <c r="E2" s="1973"/>
      <c r="F2" s="1973"/>
      <c r="G2" s="1973"/>
      <c r="H2" s="1973"/>
      <c r="I2" s="1973"/>
      <c r="J2" s="1973"/>
      <c r="K2" s="1973"/>
      <c r="L2" s="1973"/>
      <c r="M2" s="1973"/>
      <c r="N2" s="1973"/>
      <c r="O2" s="1973"/>
      <c r="P2" s="1973"/>
      <c r="Q2" s="1973"/>
      <c r="R2" s="1973"/>
      <c r="S2" s="1973"/>
      <c r="T2" s="1973"/>
      <c r="U2" s="1973"/>
      <c r="V2" s="1973"/>
      <c r="W2" s="1973"/>
      <c r="X2" s="1973"/>
      <c r="Y2" s="1973"/>
      <c r="Z2" s="1973"/>
      <c r="AA2" s="1973"/>
      <c r="AB2" s="1973"/>
      <c r="AC2" s="1973"/>
      <c r="AD2" s="1973"/>
      <c r="AE2" s="1973"/>
      <c r="AF2" s="1973"/>
      <c r="AG2" s="1973"/>
      <c r="AH2" s="1973"/>
      <c r="AI2" s="1974"/>
    </row>
    <row r="3" spans="1:35" ht="15.75" customHeight="1" thickBot="1" x14ac:dyDescent="0.4">
      <c r="A3" s="492" t="s">
        <v>23</v>
      </c>
      <c r="B3" s="493"/>
      <c r="C3" s="493"/>
      <c r="D3" s="1975" t="s">
        <v>1125</v>
      </c>
      <c r="E3" s="1975"/>
      <c r="F3" s="1975"/>
      <c r="G3" s="1975"/>
      <c r="H3" s="1975"/>
      <c r="I3" s="1975"/>
      <c r="J3" s="1975"/>
      <c r="K3" s="1975"/>
      <c r="L3" s="1975"/>
      <c r="M3" s="1975"/>
      <c r="N3" s="1975"/>
      <c r="O3" s="1975"/>
      <c r="P3" s="1975"/>
      <c r="Q3" s="1975"/>
      <c r="R3" s="1975"/>
      <c r="S3" s="1975"/>
      <c r="T3" s="1975"/>
      <c r="U3" s="1975"/>
      <c r="V3" s="1975"/>
      <c r="W3" s="1975"/>
      <c r="X3" s="1975"/>
      <c r="Y3" s="1975"/>
      <c r="Z3" s="1975"/>
      <c r="AA3" s="1975"/>
      <c r="AB3" s="1975"/>
      <c r="AC3" s="1975"/>
      <c r="AD3" s="1975"/>
      <c r="AE3" s="1975"/>
      <c r="AF3" s="1975"/>
      <c r="AG3" s="1975"/>
      <c r="AH3" s="1975"/>
      <c r="AI3" s="1976"/>
    </row>
    <row r="4" spans="1:35" ht="15.75" customHeight="1" thickBot="1" x14ac:dyDescent="0.45">
      <c r="A4" s="494"/>
      <c r="B4" s="494"/>
      <c r="C4" s="494"/>
      <c r="D4" s="495"/>
      <c r="E4" s="495"/>
      <c r="F4" s="495"/>
      <c r="G4" s="495"/>
      <c r="H4" s="495"/>
      <c r="I4" s="495"/>
      <c r="J4" s="495"/>
      <c r="K4" s="495"/>
      <c r="L4" s="495"/>
      <c r="M4" s="495"/>
      <c r="N4" s="495"/>
      <c r="O4" s="495"/>
      <c r="P4" s="495"/>
      <c r="Q4" s="495"/>
      <c r="R4" s="495"/>
      <c r="S4" s="495"/>
      <c r="T4" s="495"/>
      <c r="U4" s="495"/>
      <c r="V4" s="495"/>
      <c r="W4" s="495"/>
      <c r="X4" s="495"/>
      <c r="Y4" s="495"/>
      <c r="Z4" s="495"/>
      <c r="AA4" s="495"/>
      <c r="AB4" s="495"/>
      <c r="AC4" s="495"/>
      <c r="AD4" s="495"/>
      <c r="AE4" s="495"/>
      <c r="AF4" s="495"/>
      <c r="AG4" s="495"/>
      <c r="AH4" s="495"/>
    </row>
    <row r="5" spans="1:35" ht="15.75" customHeight="1" thickBot="1" x14ac:dyDescent="0.35">
      <c r="A5" s="1961" t="s">
        <v>1068</v>
      </c>
      <c r="B5" s="1961"/>
      <c r="C5" s="1961"/>
      <c r="D5" s="1961"/>
      <c r="E5" s="1961"/>
      <c r="F5" s="1963" t="str">
        <f>IF(Data!B1&lt;&gt;"", Data!B1, " ")</f>
        <v>2025-AR-105</v>
      </c>
      <c r="G5" s="1964"/>
      <c r="H5" s="1964"/>
      <c r="I5" s="1964"/>
      <c r="J5" s="1964"/>
      <c r="K5" s="1964"/>
      <c r="L5" s="1965"/>
      <c r="M5" s="1977" t="s">
        <v>1069</v>
      </c>
      <c r="N5" s="1978"/>
      <c r="O5" s="1978"/>
      <c r="P5" s="1963" t="str">
        <f>IF(Data!B5&lt;&gt;"",Data!B5," ")</f>
        <v>1061407M</v>
      </c>
      <c r="Q5" s="1964"/>
      <c r="R5" s="1964"/>
      <c r="S5" s="1964"/>
      <c r="T5" s="1964"/>
      <c r="U5" s="1964"/>
      <c r="V5" s="1965"/>
      <c r="X5" s="1979" t="s">
        <v>1070</v>
      </c>
      <c r="Y5" s="1979"/>
      <c r="Z5" s="1963" t="str">
        <f>IF(Data!B7&lt;&gt;"",Data!B7, " ")</f>
        <v>SAUDI ARAMCO</v>
      </c>
      <c r="AA5" s="1964"/>
      <c r="AB5" s="1964"/>
      <c r="AC5" s="1964"/>
      <c r="AD5" s="1964"/>
      <c r="AE5" s="1964"/>
      <c r="AF5" s="1964"/>
      <c r="AG5" s="1964"/>
      <c r="AH5" s="1964"/>
      <c r="AI5" s="1965"/>
    </row>
    <row r="6" spans="1:35" ht="6.65" customHeight="1" thickBot="1" x14ac:dyDescent="0.3"/>
    <row r="7" spans="1:35" ht="15.75" customHeight="1" thickBot="1" x14ac:dyDescent="0.35">
      <c r="A7" s="1961" t="s">
        <v>1071</v>
      </c>
      <c r="B7" s="1961"/>
      <c r="C7" s="1961"/>
      <c r="D7" s="1961"/>
      <c r="E7" s="1962"/>
      <c r="F7" s="1963">
        <f>IF(Data!B2&lt;&gt;"", Data!B2, " ")</f>
        <v>13753277</v>
      </c>
      <c r="G7" s="1964"/>
      <c r="H7" s="1964"/>
      <c r="I7" s="1964"/>
      <c r="J7" s="1964"/>
      <c r="K7" s="1964"/>
      <c r="L7" s="1965"/>
      <c r="N7" s="1961" t="s">
        <v>6</v>
      </c>
      <c r="O7" s="1961"/>
      <c r="P7" s="1966" t="str">
        <f>IF(LEN(Data!B3)&gt;3,IF(AND(Data!B43&lt;&gt;"",Data!B43&lt;&gt;"0 0/1"""),Data!B43,""),IF(Data!B3&lt;&gt;"",Data!B3&amp;"""",""))</f>
        <v>8 3/8"</v>
      </c>
      <c r="Q7" s="1964"/>
      <c r="R7" s="1964"/>
      <c r="S7" s="1964"/>
      <c r="T7" s="1964"/>
      <c r="U7" s="1964"/>
      <c r="V7" s="1965"/>
      <c r="X7" s="1961" t="s">
        <v>1072</v>
      </c>
      <c r="Y7" s="1961"/>
      <c r="Z7" s="1961"/>
      <c r="AA7" s="1961"/>
      <c r="AB7" s="1961"/>
      <c r="AC7" s="1967">
        <f>IF(Data!B6&lt;&gt;"",Data!B6," ")</f>
        <v>46002</v>
      </c>
      <c r="AD7" s="1968"/>
      <c r="AE7" s="1968"/>
      <c r="AF7" s="1968"/>
      <c r="AG7" s="1968"/>
      <c r="AH7" s="1968"/>
      <c r="AI7" s="1969"/>
    </row>
    <row r="8" spans="1:35" ht="6" customHeight="1" thickBot="1" x14ac:dyDescent="0.3">
      <c r="A8" s="496"/>
      <c r="B8" s="496"/>
      <c r="C8" s="496"/>
      <c r="D8" s="496"/>
      <c r="E8" s="496"/>
      <c r="F8" s="496"/>
      <c r="X8" s="497"/>
      <c r="Y8" s="497"/>
      <c r="Z8" s="497"/>
      <c r="AB8" s="497"/>
      <c r="AC8" s="497"/>
      <c r="AD8" s="497"/>
      <c r="AE8" s="497"/>
      <c r="AF8" s="497"/>
      <c r="AG8" s="497"/>
      <c r="AH8" s="497"/>
    </row>
    <row r="9" spans="1:35" ht="15.75" customHeight="1" thickBot="1" x14ac:dyDescent="0.35">
      <c r="A9" s="1961" t="s">
        <v>1073</v>
      </c>
      <c r="B9" s="1961"/>
      <c r="C9" s="1961"/>
      <c r="D9" s="1961"/>
      <c r="E9" s="1962"/>
      <c r="F9" s="1963" t="str">
        <f>IF(Data!B5&lt;&gt;"",Data!B5," ")</f>
        <v>1061407M</v>
      </c>
      <c r="G9" s="1964"/>
      <c r="H9" s="1964"/>
      <c r="I9" s="1964"/>
      <c r="J9" s="1964"/>
      <c r="K9" s="1964"/>
      <c r="L9" s="1965"/>
      <c r="N9" s="1961" t="s">
        <v>7</v>
      </c>
      <c r="O9" s="1961"/>
      <c r="P9" s="1963" t="str">
        <f>IF(Data!B4&lt;&gt;"",Data!B4," ")</f>
        <v>MM65DH</v>
      </c>
      <c r="Q9" s="1964"/>
      <c r="R9" s="1964"/>
      <c r="S9" s="1964"/>
      <c r="T9" s="1964"/>
      <c r="U9" s="1964"/>
      <c r="V9" s="1965"/>
      <c r="X9" s="498" t="s">
        <v>1074</v>
      </c>
      <c r="AB9" s="1988" t="str">
        <f>IF(Data!B23&lt;&gt;"",Data!B23, " ")</f>
        <v xml:space="preserve"> </v>
      </c>
      <c r="AC9" s="1989"/>
      <c r="AD9" s="1989"/>
      <c r="AE9" s="1989"/>
      <c r="AF9" s="1989"/>
      <c r="AG9" s="1989"/>
      <c r="AH9" s="1989"/>
      <c r="AI9" s="1990"/>
    </row>
    <row r="10" spans="1:35" ht="9.75" customHeight="1" x14ac:dyDescent="0.25"/>
    <row r="11" spans="1:35" ht="10.5" customHeight="1" x14ac:dyDescent="0.25">
      <c r="A11" s="1991" t="s">
        <v>1075</v>
      </c>
      <c r="B11" s="1991"/>
      <c r="C11" s="1991"/>
      <c r="D11" s="1991"/>
    </row>
    <row r="12" spans="1:35" ht="10.15" customHeight="1" x14ac:dyDescent="0.25">
      <c r="A12" s="1980" t="s">
        <v>1076</v>
      </c>
      <c r="B12" s="1980"/>
      <c r="C12" s="1980"/>
      <c r="D12" s="1980"/>
      <c r="E12" s="1980"/>
      <c r="F12" s="1980"/>
      <c r="G12" s="1980"/>
      <c r="H12" s="1980"/>
      <c r="I12" s="1980"/>
      <c r="J12" s="1980"/>
      <c r="K12" s="1980"/>
      <c r="L12" s="1980"/>
      <c r="M12" s="1980"/>
      <c r="N12" s="1980"/>
      <c r="O12" s="1980"/>
      <c r="P12" s="1980"/>
      <c r="Q12" s="1980"/>
      <c r="R12" s="1980"/>
      <c r="S12" s="1980"/>
      <c r="T12" s="1980"/>
      <c r="U12" s="1980"/>
      <c r="V12" s="1980"/>
      <c r="W12" s="1980"/>
      <c r="X12" s="1980"/>
      <c r="Y12" s="1980"/>
      <c r="Z12" s="1980"/>
      <c r="AA12" s="1980"/>
      <c r="AB12" s="1980"/>
      <c r="AC12" s="1980"/>
      <c r="AD12" s="1980"/>
      <c r="AE12" s="1980"/>
      <c r="AF12" s="1980"/>
      <c r="AG12" s="1980"/>
      <c r="AH12" s="1980"/>
    </row>
    <row r="13" spans="1:35" ht="10.15" customHeight="1" x14ac:dyDescent="0.25">
      <c r="A13" s="1980" t="s">
        <v>1077</v>
      </c>
      <c r="B13" s="1980"/>
      <c r="C13" s="1980"/>
      <c r="D13" s="1980"/>
      <c r="E13" s="1980"/>
      <c r="F13" s="1980"/>
      <c r="G13" s="1980"/>
      <c r="H13" s="1980"/>
      <c r="I13" s="1980"/>
      <c r="J13" s="1980"/>
      <c r="K13" s="1980"/>
      <c r="L13" s="1980"/>
      <c r="M13" s="1980"/>
      <c r="N13" s="1980"/>
      <c r="O13" s="1980"/>
      <c r="P13" s="1980"/>
      <c r="Q13" s="1980"/>
      <c r="R13" s="1980"/>
      <c r="S13" s="1980"/>
      <c r="T13" s="1980"/>
      <c r="U13" s="1980"/>
      <c r="V13" s="1980"/>
      <c r="W13" s="1980"/>
      <c r="X13" s="1980"/>
      <c r="Y13" s="1980"/>
      <c r="Z13" s="1980"/>
      <c r="AA13" s="1980"/>
      <c r="AB13" s="1980"/>
      <c r="AC13" s="1980"/>
      <c r="AD13" s="1980"/>
      <c r="AE13" s="1980"/>
      <c r="AF13" s="1980"/>
      <c r="AG13" s="1980"/>
      <c r="AH13" s="1980"/>
    </row>
    <row r="14" spans="1:35" ht="10.15" customHeight="1" x14ac:dyDescent="0.25">
      <c r="A14" s="1980" t="s">
        <v>1078</v>
      </c>
      <c r="B14" s="1980"/>
      <c r="C14" s="1980"/>
      <c r="D14" s="1980"/>
      <c r="E14" s="1980"/>
      <c r="F14" s="1980"/>
      <c r="G14" s="1980"/>
      <c r="H14" s="1980"/>
      <c r="I14" s="1980"/>
      <c r="J14" s="1980"/>
      <c r="K14" s="1980"/>
      <c r="L14" s="1980"/>
      <c r="M14" s="1980"/>
      <c r="N14" s="1980"/>
      <c r="O14" s="1980"/>
      <c r="P14" s="1980"/>
      <c r="Q14" s="1980"/>
      <c r="R14" s="1980"/>
      <c r="S14" s="1980"/>
      <c r="T14" s="1980"/>
      <c r="U14" s="1980"/>
      <c r="V14" s="1980"/>
      <c r="W14" s="1980"/>
      <c r="X14" s="1980"/>
      <c r="Y14" s="1980"/>
      <c r="Z14" s="1980"/>
      <c r="AA14" s="1980"/>
      <c r="AB14" s="1980"/>
      <c r="AC14" s="1980"/>
      <c r="AD14" s="1980"/>
      <c r="AE14" s="1980"/>
      <c r="AF14" s="1980"/>
      <c r="AG14" s="1980"/>
      <c r="AH14" s="1980"/>
    </row>
    <row r="15" spans="1:35" ht="10.5" customHeight="1" thickBot="1" x14ac:dyDescent="0.3"/>
    <row r="16" spans="1:35" ht="15.75" customHeight="1" x14ac:dyDescent="0.25">
      <c r="A16" s="1981"/>
      <c r="B16" s="1982"/>
      <c r="C16" s="1985" t="s">
        <v>17</v>
      </c>
      <c r="D16" s="1985"/>
      <c r="E16" s="1985"/>
      <c r="F16" s="1985"/>
      <c r="G16" s="1985"/>
      <c r="H16" s="1985"/>
      <c r="I16" s="1985"/>
      <c r="J16" s="1985"/>
      <c r="K16" s="1985"/>
      <c r="L16" s="1985"/>
      <c r="M16" s="1985"/>
      <c r="N16" s="1985"/>
      <c r="O16" s="1985"/>
      <c r="P16" s="1985"/>
      <c r="Q16" s="1985"/>
      <c r="R16" s="1985"/>
      <c r="S16" s="1985"/>
      <c r="T16" s="1985"/>
      <c r="U16" s="1985"/>
      <c r="V16" s="1985"/>
      <c r="W16" s="499"/>
      <c r="X16" s="499"/>
      <c r="Y16" s="499"/>
      <c r="Z16" s="499"/>
      <c r="AA16" s="499"/>
      <c r="AB16" s="499"/>
      <c r="AC16" s="499"/>
      <c r="AD16" s="499"/>
      <c r="AE16" s="499"/>
      <c r="AF16" s="499"/>
      <c r="AG16" s="499"/>
      <c r="AH16" s="499"/>
      <c r="AI16" s="500"/>
    </row>
    <row r="17" spans="1:35" ht="15.75" customHeight="1" x14ac:dyDescent="0.25">
      <c r="A17" s="1983"/>
      <c r="B17" s="1984"/>
      <c r="C17" s="557">
        <v>1</v>
      </c>
      <c r="D17" s="503">
        <v>2</v>
      </c>
      <c r="E17" s="503">
        <v>3</v>
      </c>
      <c r="F17" s="503">
        <v>4</v>
      </c>
      <c r="G17" s="503">
        <v>5</v>
      </c>
      <c r="H17" s="503">
        <v>6</v>
      </c>
      <c r="I17" s="503">
        <v>7</v>
      </c>
      <c r="J17" s="503">
        <v>8</v>
      </c>
      <c r="K17" s="503">
        <v>9</v>
      </c>
      <c r="L17" s="503">
        <v>10</v>
      </c>
      <c r="M17" s="503">
        <v>11</v>
      </c>
      <c r="N17" s="503">
        <v>12</v>
      </c>
      <c r="O17" s="503">
        <v>13</v>
      </c>
      <c r="P17" s="503">
        <v>14</v>
      </c>
      <c r="Q17" s="503">
        <v>15</v>
      </c>
      <c r="R17" s="503">
        <v>16</v>
      </c>
      <c r="S17" s="503">
        <v>17</v>
      </c>
      <c r="T17" s="503">
        <v>18</v>
      </c>
      <c r="U17" s="503">
        <v>19</v>
      </c>
      <c r="V17" s="503">
        <v>20</v>
      </c>
      <c r="W17" s="556"/>
      <c r="X17" s="556"/>
      <c r="Y17" s="556"/>
      <c r="Z17" s="556"/>
      <c r="AA17" s="556"/>
      <c r="AB17" s="556"/>
      <c r="AC17" s="556"/>
      <c r="AD17" s="556"/>
      <c r="AE17" s="556"/>
      <c r="AF17" s="556"/>
      <c r="AG17" s="556"/>
      <c r="AH17" s="556"/>
      <c r="AI17" s="558"/>
    </row>
    <row r="18" spans="1:35" ht="15.75" customHeight="1" x14ac:dyDescent="0.25">
      <c r="A18" s="1986" t="s">
        <v>18</v>
      </c>
      <c r="B18" s="503">
        <v>1</v>
      </c>
      <c r="C18" s="231" t="str">
        <f>IF(OR(Data!$L$2=1,Data!$L$3=1),IF(OR(Data!BR46=0,Data!BR46=""),"","O"&amp;Data!BR46),IF('ARDT Cutter Entry'!$C$111&lt;&gt;"",'ARDT Cutter Entry'!C111,'ARDT Cutter Entry'!C43))</f>
        <v>R1</v>
      </c>
      <c r="D18" s="231" t="str">
        <f>IF(OR(Data!$L$2=1,Data!$L$3=1),IF(OR(Data!BS46=0,Data!BS46=""),"","O"&amp;Data!BS46),IF('ARDT Cutter Entry'!$C$111&lt;&gt;"",'ARDT Cutter Entry'!D111,'ARDT Cutter Entry'!D43))</f>
        <v>R1</v>
      </c>
      <c r="E18" s="231" t="str">
        <f>IF(OR(Data!$L$2=1,Data!$L$3=1),IF(OR(Data!BT46=0,Data!BT46=""),"","O"&amp;Data!BT46),IF('ARDT Cutter Entry'!$C$111&lt;&gt;"",'ARDT Cutter Entry'!E111,'ARDT Cutter Entry'!E43))</f>
        <v>X5</v>
      </c>
      <c r="F18" s="231" t="str">
        <f>IF(OR(Data!$L$2=1,Data!$L$3=1),IF(OR(Data!BU46=0,Data!BU46=""),"","O"&amp;Data!BU46),IF('ARDT Cutter Entry'!$C$111&lt;&gt;"",'ARDT Cutter Entry'!F111,'ARDT Cutter Entry'!F43))</f>
        <v>X5</v>
      </c>
      <c r="G18" s="231" t="str">
        <f>IF(OR(Data!$L$2=1,Data!$L$3=1),IF(OR(Data!BV46=0,Data!BV46=""),"","O"&amp;Data!BV46),IF('ARDT Cutter Entry'!$C$111&lt;&gt;"",'ARDT Cutter Entry'!G111,'ARDT Cutter Entry'!G43))</f>
        <v>X5</v>
      </c>
      <c r="H18" s="231" t="str">
        <f>IF(OR(Data!$L$2=1,Data!$L$3=1),IF(OR(Data!BW46=0,Data!BW46=""),"","O"&amp;Data!BW46),IF('ARDT Cutter Entry'!$C$111&lt;&gt;"",'ARDT Cutter Entry'!H111,'ARDT Cutter Entry'!H43))</f>
        <v>X5</v>
      </c>
      <c r="I18" s="231" t="str">
        <f>IF(OR(Data!$L$2=1,Data!$L$3=1),IF(OR(Data!BX46=0,Data!BX46=""),"","O"&amp;Data!BX46),IF('ARDT Cutter Entry'!$C$111&lt;&gt;"",'ARDT Cutter Entry'!I111,'ARDT Cutter Entry'!I43))</f>
        <v>R1</v>
      </c>
      <c r="J18" s="231" t="str">
        <f>IF(OR(Data!$L$2=1,Data!$L$3=1),IF(OR(Data!BY46=0,Data!BY46=""),"","O"&amp;Data!BY46),IF('ARDT Cutter Entry'!$C$111&lt;&gt;"",'ARDT Cutter Entry'!J111,'ARDT Cutter Entry'!J43))</f>
        <v>X3</v>
      </c>
      <c r="K18" s="231" t="str">
        <f>IF(OR(Data!$L$2=1,Data!$L$3=1),IF(OR(Data!BZ46=0,Data!BZ46=""),"","O"&amp;Data!BZ46),IF('ARDT Cutter Entry'!$C$111&lt;&gt;"",'ARDT Cutter Entry'!K111,'ARDT Cutter Entry'!K43))</f>
        <v/>
      </c>
      <c r="L18" s="231" t="str">
        <f>IF(OR(Data!$L$2=1,Data!$L$3=1),IF(OR(Data!CA46=0,Data!CA46=""),"","O"&amp;Data!CA46),IF('ARDT Cutter Entry'!$C$111&lt;&gt;"",'ARDT Cutter Entry'!L111,'ARDT Cutter Entry'!L43))</f>
        <v>S2</v>
      </c>
      <c r="M18" s="231" t="str">
        <f>IF(OR(Data!$L$2=1,Data!$L$3=1),IF(OR(Data!CB46=0,Data!CB46=""),"","O"&amp;Data!CB46),IF('ARDT Cutter Entry'!$C$111&lt;&gt;"",'ARDT Cutter Entry'!M111,'ARDT Cutter Entry'!M43))</f>
        <v>X4</v>
      </c>
      <c r="N18" s="231" t="str">
        <f>IF(OR(Data!$L$2=1,Data!$L$3=1),IF(OR(Data!CC46=0,Data!CC46=""),"","O"&amp;Data!CC46),IF('ARDT Cutter Entry'!$C$111&lt;&gt;"",'ARDT Cutter Entry'!N111,'ARDT Cutter Entry'!N43))</f>
        <v>X4</v>
      </c>
      <c r="O18" s="231" t="str">
        <f>IF(OR(Data!$L$2=1,Data!$L$3=1),IF(OR(Data!CD46=0,Data!CD46=""),"","O"&amp;Data!CD46),IF('ARDT Cutter Entry'!$C$111&lt;&gt;"",'ARDT Cutter Entry'!O111,'ARDT Cutter Entry'!O43))</f>
        <v>R2</v>
      </c>
      <c r="P18" s="231" t="str">
        <f>IF(OR(Data!$L$2=1,Data!$L$3=1),IF(OR(Data!CE46=0,Data!CE46=""),"","O"&amp;Data!CE46),IF('ARDT Cutter Entry'!$C$111&lt;&gt;"",'ARDT Cutter Entry'!P111,'ARDT Cutter Entry'!P43))</f>
        <v/>
      </c>
      <c r="Q18" s="231" t="str">
        <f>IF(OR(Data!$L$2=1,Data!$L$3=1),IF(OR(Data!CF46=0,Data!CF46=""),"","O"&amp;Data!CF46),IF('ARDT Cutter Entry'!$C$111&lt;&gt;"",'ARDT Cutter Entry'!Q111,'ARDT Cutter Entry'!Q43))</f>
        <v/>
      </c>
      <c r="R18" s="231" t="str">
        <f>IF(OR(Data!$L$2=1,Data!$L$3=1),IF(OR(Data!CG46=0,Data!CG46=""),"","O"&amp;Data!CG46),IF('ARDT Cutter Entry'!$C$111&lt;&gt;"",'ARDT Cutter Entry'!R111,'ARDT Cutter Entry'!R43))</f>
        <v/>
      </c>
      <c r="S18" s="231" t="str">
        <f>IF(OR(Data!$L$2=1,Data!$L$3=1),IF(OR(Data!CH46=0,Data!CH46=""),"","O"&amp;Data!CH46),IF('ARDT Cutter Entry'!$C$111&lt;&gt;"",'ARDT Cutter Entry'!S111,'ARDT Cutter Entry'!S43))</f>
        <v/>
      </c>
      <c r="T18" s="231" t="str">
        <f>IF(OR(Data!$L$2=1,Data!$L$3=1),IF(OR(Data!CI46=0,Data!CI46=""),"","O"&amp;Data!CI46),IF('ARDT Cutter Entry'!$C$111&lt;&gt;"",'ARDT Cutter Entry'!T111,'ARDT Cutter Entry'!T43))</f>
        <v/>
      </c>
      <c r="U18" s="231" t="str">
        <f>IF(OR(Data!$L$2=1,Data!$L$3=1),IF(OR(Data!CJ46=0,Data!CJ46=""),"","O"&amp;Data!CJ46),IF('ARDT Cutter Entry'!$C$111&lt;&gt;"",'ARDT Cutter Entry'!U111,'ARDT Cutter Entry'!U43))</f>
        <v/>
      </c>
      <c r="V18" s="231" t="str">
        <f>IF(OR(Data!$L$2=1,Data!$L$3=1),IF(OR(Data!CK46=0,Data!CK46=""),"","O"&amp;Data!CK46),IF('ARDT Cutter Entry'!$C$111&lt;&gt;"",'ARDT Cutter Entry'!V111,'ARDT Cutter Entry'!V43))</f>
        <v/>
      </c>
      <c r="W18" s="231" t="str">
        <f>IF(OR(Data!$L$2=1,Data!$L$3=1),IF(OR(Data!CL46=0,Data!CL46=""),"","O"&amp;Data!CL46),IF('ARDT Cutter Entry'!$C$111&lt;&gt;"",'ARDT Cutter Entry'!W111,'ARDT Cutter Entry'!W43))</f>
        <v/>
      </c>
      <c r="X18" s="231" t="str">
        <f>IF(OR(Data!$L$2=1,Data!$L$3=1),IF(OR(Data!CM46=0,Data!CM46=""),"","O"&amp;Data!CM46),IF('ARDT Cutter Entry'!$C$111&lt;&gt;"",'ARDT Cutter Entry'!X111,'ARDT Cutter Entry'!X43))</f>
        <v/>
      </c>
      <c r="Y18" s="231" t="str">
        <f>IF(OR(Data!$L$2=1,Data!$L$3=1),IF(OR(Data!CN46=0,Data!CN46=""),"","O"&amp;Data!CN46),IF('ARDT Cutter Entry'!$C$111&lt;&gt;"",'ARDT Cutter Entry'!Y111,'ARDT Cutter Entry'!Y43))</f>
        <v/>
      </c>
      <c r="Z18" s="231" t="str">
        <f>IF(OR(Data!$L$2=1,Data!$L$3=1),IF(OR(Data!CO46=0,Data!CO46=""),"","O"&amp;Data!CO46),IF('ARDT Cutter Entry'!$C$111&lt;&gt;"",'ARDT Cutter Entry'!Z111,'ARDT Cutter Entry'!Z43))</f>
        <v/>
      </c>
      <c r="AA18" s="231" t="str">
        <f>IF(OR(Data!$L$2=1,Data!$L$3=1),IF(OR(Data!CP46=0,Data!CP46=""),"","O"&amp;Data!CP46),IF('ARDT Cutter Entry'!$C$111&lt;&gt;"",'ARDT Cutter Entry'!AA111,'ARDT Cutter Entry'!AA43))</f>
        <v/>
      </c>
      <c r="AB18" s="231" t="str">
        <f>IF(OR(Data!$L$2=1,Data!$L$3=1),IF(OR(Data!CQ46=0,Data!CQ46=""),"","O"&amp;Data!CQ46),IF('ARDT Cutter Entry'!$C$111&lt;&gt;"",'ARDT Cutter Entry'!AB111,'ARDT Cutter Entry'!AB43))</f>
        <v/>
      </c>
      <c r="AC18" s="231" t="str">
        <f>IF(OR(Data!$L$2=1,Data!$L$3=1),IF(OR(Data!CR46=0,Data!CR46=""),"","O"&amp;Data!CR46),IF('ARDT Cutter Entry'!$C$111&lt;&gt;"",'ARDT Cutter Entry'!AC111,'ARDT Cutter Entry'!AC43))</f>
        <v/>
      </c>
      <c r="AD18" s="231" t="str">
        <f>IF(OR(Data!$L$2=1,Data!$L$3=1),IF(OR(Data!CS46=0,Data!CS46=""),"","O"&amp;Data!CS46),IF('ARDT Cutter Entry'!$C$111&lt;&gt;"",'ARDT Cutter Entry'!AD111,'ARDT Cutter Entry'!AD43))</f>
        <v/>
      </c>
      <c r="AE18" s="231" t="str">
        <f>IF(OR(Data!$L$2=1,Data!$L$3=1),IF(OR(Data!CT46=0,Data!CT46=""),"","O"&amp;Data!CT46),IF('ARDT Cutter Entry'!$C$111&lt;&gt;"",'ARDT Cutter Entry'!AE111,'ARDT Cutter Entry'!AE43))</f>
        <v/>
      </c>
      <c r="AF18" s="231" t="str">
        <f>IF(OR(Data!$L$2=1,Data!$L$3=1),IF(OR(Data!CU46=0,Data!CU46=""),"","O"&amp;Data!CU46),IF('ARDT Cutter Entry'!$C$111&lt;&gt;"",'ARDT Cutter Entry'!AF111,'ARDT Cutter Entry'!AF43))</f>
        <v/>
      </c>
      <c r="AG18" s="231" t="str">
        <f>IF(OR(Data!$L$2=1,Data!$L$3=1),IF(OR(Data!CV46=0,Data!CV46=""),"","O"&amp;Data!CV46),IF('ARDT Cutter Entry'!$C$111&lt;&gt;"",'ARDT Cutter Entry'!AG111,'ARDT Cutter Entry'!AG43))</f>
        <v/>
      </c>
      <c r="AH18" s="231" t="str">
        <f>IF(OR(Data!$L$2=1,Data!$L$3=1),IF(OR(Data!CW46=0,Data!CW46=""),"","O"&amp;Data!CW46),IF('ARDT Cutter Entry'!$C$111&lt;&gt;"",'ARDT Cutter Entry'!AH111,'ARDT Cutter Entry'!AH43))</f>
        <v/>
      </c>
      <c r="AI18" s="245" t="str">
        <f>IF(OR(Data!$L$2=1,Data!$L$3=1),IF(OR(Data!CX60=0,Data!CX60=""),"","O"&amp;Data!CX60),IF('ARDT Cutter Entry'!$C$111&lt;&gt;"",'ARDT Cutter Entry'!AI111,'ARDT Cutter Entry'!AI43))</f>
        <v/>
      </c>
    </row>
    <row r="19" spans="1:35" ht="15.75" customHeight="1" x14ac:dyDescent="0.25">
      <c r="A19" s="1986"/>
      <c r="B19" s="503">
        <v>2</v>
      </c>
      <c r="C19" s="167" t="str">
        <f>IF(OR(Data!$L$2=1,Data!$L$3=1),IF(OR(Data!BR47=0,Data!BR47=""),"","O"&amp;Data!BR47),IF('ARDT Cutter Entry'!$C$111&lt;&gt;"",'ARDT Cutter Entry'!C112,'ARDT Cutter Entry'!C44))</f>
        <v>X5</v>
      </c>
      <c r="D19" s="167" t="str">
        <f>IF(OR(Data!$L$2=1,Data!$L$3=1),IF(OR(Data!BS47=0,Data!BS47=""),"","O"&amp;Data!BS47),IF('ARDT Cutter Entry'!$C$111&lt;&gt;"",'ARDT Cutter Entry'!D112,'ARDT Cutter Entry'!D44))</f>
        <v>X5</v>
      </c>
      <c r="E19" s="167" t="str">
        <f>IF(OR(Data!$L$2=1,Data!$L$3=1),IF(OR(Data!BT47=0,Data!BT47=""),"","O"&amp;Data!BT47),IF('ARDT Cutter Entry'!$C$111&lt;&gt;"",'ARDT Cutter Entry'!E112,'ARDT Cutter Entry'!E44))</f>
        <v>X5</v>
      </c>
      <c r="F19" s="167" t="str">
        <f>IF(OR(Data!$L$2=1,Data!$L$3=1),IF(OR(Data!BU47=0,Data!BU47=""),"","O"&amp;Data!BU47),IF('ARDT Cutter Entry'!$C$111&lt;&gt;"",'ARDT Cutter Entry'!F112,'ARDT Cutter Entry'!F44))</f>
        <v>R1</v>
      </c>
      <c r="G19" s="167" t="str">
        <f>IF(OR(Data!$L$2=1,Data!$L$3=1),IF(OR(Data!BV47=0,Data!BV47=""),"","O"&amp;Data!BV47),IF('ARDT Cutter Entry'!$C$111&lt;&gt;"",'ARDT Cutter Entry'!G112,'ARDT Cutter Entry'!G44))</f>
        <v>X3</v>
      </c>
      <c r="H19" s="167" t="str">
        <f>IF(OR(Data!$L$2=1,Data!$L$3=1),IF(OR(Data!BW47=0,Data!BW47=""),"","O"&amp;Data!BW47),IF('ARDT Cutter Entry'!$C$111&lt;&gt;"",'ARDT Cutter Entry'!H112,'ARDT Cutter Entry'!H44))</f>
        <v/>
      </c>
      <c r="I19" s="167" t="str">
        <f>IF(OR(Data!$L$2=1,Data!$L$3=1),IF(OR(Data!BX47=0,Data!BX47=""),"","O"&amp;Data!BX47),IF('ARDT Cutter Entry'!$C$111&lt;&gt;"",'ARDT Cutter Entry'!I112,'ARDT Cutter Entry'!I44))</f>
        <v/>
      </c>
      <c r="J19" s="167" t="str">
        <f>IF(OR(Data!$L$2=1,Data!$L$3=1),IF(OR(Data!BY47=0,Data!BY47=""),"","O"&amp;Data!BY47),IF('ARDT Cutter Entry'!$C$111&lt;&gt;"",'ARDT Cutter Entry'!J112,'ARDT Cutter Entry'!J44))</f>
        <v/>
      </c>
      <c r="K19" s="167" t="str">
        <f>IF(OR(Data!$L$2=1,Data!$L$3=1),IF(OR(Data!BZ47=0,Data!BZ47=""),"","O"&amp;Data!BZ47),IF('ARDT Cutter Entry'!$C$111&lt;&gt;"",'ARDT Cutter Entry'!K112,'ARDT Cutter Entry'!K44))</f>
        <v/>
      </c>
      <c r="L19" s="167" t="str">
        <f>IF(OR(Data!$L$2=1,Data!$L$3=1),IF(OR(Data!CA47=0,Data!CA47=""),"","O"&amp;Data!CA47),IF('ARDT Cutter Entry'!$C$111&lt;&gt;"",'ARDT Cutter Entry'!L112,'ARDT Cutter Entry'!L44))</f>
        <v>S2</v>
      </c>
      <c r="M19" s="167" t="str">
        <f>IF(OR(Data!$L$2=1,Data!$L$3=1),IF(OR(Data!CB47=0,Data!CB47=""),"","O"&amp;Data!CB47),IF('ARDT Cutter Entry'!$C$111&lt;&gt;"",'ARDT Cutter Entry'!M112,'ARDT Cutter Entry'!M44))</f>
        <v>R2</v>
      </c>
      <c r="N19" s="167" t="str">
        <f>IF(OR(Data!$L$2=1,Data!$L$3=1),IF(OR(Data!CC47=0,Data!CC47=""),"","O"&amp;Data!CC47),IF('ARDT Cutter Entry'!$C$111&lt;&gt;"",'ARDT Cutter Entry'!N112,'ARDT Cutter Entry'!N44))</f>
        <v>X4</v>
      </c>
      <c r="O19" s="167" t="str">
        <f>IF(OR(Data!$L$2=1,Data!$L$3=1),IF(OR(Data!CD47=0,Data!CD47=""),"","O"&amp;Data!CD47),IF('ARDT Cutter Entry'!$C$111&lt;&gt;"",'ARDT Cutter Entry'!O112,'ARDT Cutter Entry'!O44))</f>
        <v>R2</v>
      </c>
      <c r="P19" s="167" t="str">
        <f>IF(OR(Data!$L$2=1,Data!$L$3=1),IF(OR(Data!CE47=0,Data!CE47=""),"","O"&amp;Data!CE47),IF('ARDT Cutter Entry'!$C$111&lt;&gt;"",'ARDT Cutter Entry'!P112,'ARDT Cutter Entry'!P44))</f>
        <v/>
      </c>
      <c r="Q19" s="167" t="str">
        <f>IF(OR(Data!$L$2=1,Data!$L$3=1),IF(OR(Data!CF47=0,Data!CF47=""),"","O"&amp;Data!CF47),IF('ARDT Cutter Entry'!$C$111&lt;&gt;"",'ARDT Cutter Entry'!Q112,'ARDT Cutter Entry'!Q44))</f>
        <v/>
      </c>
      <c r="R19" s="167" t="str">
        <f>IF(OR(Data!$L$2=1,Data!$L$3=1),IF(OR(Data!CG47=0,Data!CG47=""),"","O"&amp;Data!CG47),IF('ARDT Cutter Entry'!$C$111&lt;&gt;"",'ARDT Cutter Entry'!R112,'ARDT Cutter Entry'!R44))</f>
        <v/>
      </c>
      <c r="S19" s="167" t="str">
        <f>IF(OR(Data!$L$2=1,Data!$L$3=1),IF(OR(Data!CH47=0,Data!CH47=""),"","O"&amp;Data!CH47),IF('ARDT Cutter Entry'!$C$111&lt;&gt;"",'ARDT Cutter Entry'!S112,'ARDT Cutter Entry'!S44))</f>
        <v/>
      </c>
      <c r="T19" s="167" t="str">
        <f>IF(OR(Data!$L$2=1,Data!$L$3=1),IF(OR(Data!CI47=0,Data!CI47=""),"","O"&amp;Data!CI47),IF('ARDT Cutter Entry'!$C$111&lt;&gt;"",'ARDT Cutter Entry'!T112,'ARDT Cutter Entry'!T44))</f>
        <v/>
      </c>
      <c r="U19" s="167" t="str">
        <f>IF(OR(Data!$L$2=1,Data!$L$3=1),IF(OR(Data!CJ47=0,Data!CJ47=""),"","O"&amp;Data!CJ47),IF('ARDT Cutter Entry'!$C$111&lt;&gt;"",'ARDT Cutter Entry'!U112,'ARDT Cutter Entry'!U44))</f>
        <v/>
      </c>
      <c r="V19" s="167" t="str">
        <f>IF(OR(Data!$L$2=1,Data!$L$3=1),IF(OR(Data!CK47=0,Data!CK47=""),"","O"&amp;Data!CK47),IF('ARDT Cutter Entry'!$C$111&lt;&gt;"",'ARDT Cutter Entry'!V112,'ARDT Cutter Entry'!V44))</f>
        <v/>
      </c>
      <c r="W19" s="167" t="str">
        <f>IF(OR(Data!$L$2=1,Data!$L$3=1),IF(OR(Data!CL47=0,Data!CL47=""),"","O"&amp;Data!CL47),IF('ARDT Cutter Entry'!$C$111&lt;&gt;"",'ARDT Cutter Entry'!W112,'ARDT Cutter Entry'!W44))</f>
        <v/>
      </c>
      <c r="X19" s="167" t="str">
        <f>IF(OR(Data!$L$2=1,Data!$L$3=1),IF(OR(Data!CM47=0,Data!CM47=""),"","O"&amp;Data!CM47),IF('ARDT Cutter Entry'!$C$111&lt;&gt;"",'ARDT Cutter Entry'!X112,'ARDT Cutter Entry'!X44))</f>
        <v/>
      </c>
      <c r="Y19" s="167" t="str">
        <f>IF(OR(Data!$L$2=1,Data!$L$3=1),IF(OR(Data!CN47=0,Data!CN47=""),"","O"&amp;Data!CN47),IF('ARDT Cutter Entry'!$C$111&lt;&gt;"",'ARDT Cutter Entry'!Y112,'ARDT Cutter Entry'!Y44))</f>
        <v/>
      </c>
      <c r="Z19" s="167" t="str">
        <f>IF(OR(Data!$L$2=1,Data!$L$3=1),IF(OR(Data!CO47=0,Data!CO47=""),"","O"&amp;Data!CO47),IF('ARDT Cutter Entry'!$C$111&lt;&gt;"",'ARDT Cutter Entry'!Z112,'ARDT Cutter Entry'!Z44))</f>
        <v/>
      </c>
      <c r="AA19" s="167" t="str">
        <f>IF(OR(Data!$L$2=1,Data!$L$3=1),IF(OR(Data!CP47=0,Data!CP47=""),"","O"&amp;Data!CP47),IF('ARDT Cutter Entry'!$C$111&lt;&gt;"",'ARDT Cutter Entry'!AA112,'ARDT Cutter Entry'!AA44))</f>
        <v/>
      </c>
      <c r="AB19" s="167" t="str">
        <f>IF(OR(Data!$L$2=1,Data!$L$3=1),IF(OR(Data!CQ47=0,Data!CQ47=""),"","O"&amp;Data!CQ47),IF('ARDT Cutter Entry'!$C$111&lt;&gt;"",'ARDT Cutter Entry'!AB112,'ARDT Cutter Entry'!AB44))</f>
        <v/>
      </c>
      <c r="AC19" s="167" t="str">
        <f>IF(OR(Data!$L$2=1,Data!$L$3=1),IF(OR(Data!CR47=0,Data!CR47=""),"","O"&amp;Data!CR47),IF('ARDT Cutter Entry'!$C$111&lt;&gt;"",'ARDT Cutter Entry'!AC112,'ARDT Cutter Entry'!AC44))</f>
        <v/>
      </c>
      <c r="AD19" s="167" t="str">
        <f>IF(OR(Data!$L$2=1,Data!$L$3=1),IF(OR(Data!CS47=0,Data!CS47=""),"","O"&amp;Data!CS47),IF('ARDT Cutter Entry'!$C$111&lt;&gt;"",'ARDT Cutter Entry'!AD112,'ARDT Cutter Entry'!AD44))</f>
        <v/>
      </c>
      <c r="AE19" s="167" t="str">
        <f>IF(OR(Data!$L$2=1,Data!$L$3=1),IF(OR(Data!CT47=0,Data!CT47=""),"","O"&amp;Data!CT47),IF('ARDT Cutter Entry'!$C$111&lt;&gt;"",'ARDT Cutter Entry'!AE112,'ARDT Cutter Entry'!AE44))</f>
        <v/>
      </c>
      <c r="AF19" s="167" t="str">
        <f>IF(OR(Data!$L$2=1,Data!$L$3=1),IF(OR(Data!CU47=0,Data!CU47=""),"","O"&amp;Data!CU47),IF('ARDT Cutter Entry'!$C$111&lt;&gt;"",'ARDT Cutter Entry'!AF112,'ARDT Cutter Entry'!AF44))</f>
        <v/>
      </c>
      <c r="AG19" s="167" t="str">
        <f>IF(OR(Data!$L$2=1,Data!$L$3=1),IF(OR(Data!CV47=0,Data!CV47=""),"","O"&amp;Data!CV47),IF('ARDT Cutter Entry'!$C$111&lt;&gt;"",'ARDT Cutter Entry'!AG112,'ARDT Cutter Entry'!AG44))</f>
        <v/>
      </c>
      <c r="AH19" s="167" t="str">
        <f>IF(OR(Data!$L$2=1,Data!$L$3=1),IF(OR(Data!CW47=0,Data!CW47=""),"","O"&amp;Data!CW47),IF('ARDT Cutter Entry'!$C$111&lt;&gt;"",'ARDT Cutter Entry'!AH112,'ARDT Cutter Entry'!AH44))</f>
        <v/>
      </c>
      <c r="AI19" s="248" t="str">
        <f>IF(OR(Data!$L$2=1,Data!$L$3=1),IF(OR(Data!CX61=0,Data!CX61=""),"","O"&amp;Data!CX61),IF('ARDT Cutter Entry'!$C$111&lt;&gt;"",'ARDT Cutter Entry'!AI112,'ARDT Cutter Entry'!AI44))</f>
        <v/>
      </c>
    </row>
    <row r="20" spans="1:35" ht="15.75" customHeight="1" x14ac:dyDescent="0.25">
      <c r="A20" s="1986"/>
      <c r="B20" s="503">
        <v>3</v>
      </c>
      <c r="C20" s="167" t="str">
        <f>IF(OR(Data!$L$2=1,Data!$L$3=1),IF(OR(Data!BR48=0,Data!BR48=""),"","O"&amp;Data!BR48),IF('ARDT Cutter Entry'!$C$111&lt;&gt;"",'ARDT Cutter Entry'!C113,'ARDT Cutter Entry'!C45))</f>
        <v>R1</v>
      </c>
      <c r="D20" s="167" t="str">
        <f>IF(OR(Data!$L$2=1,Data!$L$3=1),IF(OR(Data!BS48=0,Data!BS48=""),"","O"&amp;Data!BS48),IF('ARDT Cutter Entry'!$C$111&lt;&gt;"",'ARDT Cutter Entry'!D113,'ARDT Cutter Entry'!D45))</f>
        <v>R1</v>
      </c>
      <c r="E20" s="167" t="str">
        <f>IF(OR(Data!$L$2=1,Data!$L$3=1),IF(OR(Data!BT48=0,Data!BT48=""),"","O"&amp;Data!BT48),IF('ARDT Cutter Entry'!$C$111&lt;&gt;"",'ARDT Cutter Entry'!E113,'ARDT Cutter Entry'!E45))</f>
        <v>R1</v>
      </c>
      <c r="F20" s="167" t="str">
        <f>IF(OR(Data!$L$2=1,Data!$L$3=1),IF(OR(Data!BU48=0,Data!BU48=""),"","O"&amp;Data!BU48),IF('ARDT Cutter Entry'!$C$111&lt;&gt;"",'ARDT Cutter Entry'!F113,'ARDT Cutter Entry'!F45))</f>
        <v>X5</v>
      </c>
      <c r="G20" s="167" t="str">
        <f>IF(OR(Data!$L$2=1,Data!$L$3=1),IF(OR(Data!BV48=0,Data!BV48=""),"","O"&amp;Data!BV48),IF('ARDT Cutter Entry'!$C$111&lt;&gt;"",'ARDT Cutter Entry'!G113,'ARDT Cutter Entry'!G45))</f>
        <v>X5</v>
      </c>
      <c r="H20" s="167" t="str">
        <f>IF(OR(Data!$L$2=1,Data!$L$3=1),IF(OR(Data!BW48=0,Data!BW48=""),"","O"&amp;Data!BW48),IF('ARDT Cutter Entry'!$C$111&lt;&gt;"",'ARDT Cutter Entry'!H113,'ARDT Cutter Entry'!H45))</f>
        <v>X5</v>
      </c>
      <c r="I20" s="167" t="str">
        <f>IF(OR(Data!$L$2=1,Data!$L$3=1),IF(OR(Data!BX48=0,Data!BX48=""),"","O"&amp;Data!BX48),IF('ARDT Cutter Entry'!$C$111&lt;&gt;"",'ARDT Cutter Entry'!I113,'ARDT Cutter Entry'!I45))</f>
        <v>X3</v>
      </c>
      <c r="J20" s="167" t="str">
        <f>IF(OR(Data!$L$2=1,Data!$L$3=1),IF(OR(Data!BY48=0,Data!BY48=""),"","O"&amp;Data!BY48),IF('ARDT Cutter Entry'!$C$111&lt;&gt;"",'ARDT Cutter Entry'!J113,'ARDT Cutter Entry'!J45))</f>
        <v/>
      </c>
      <c r="K20" s="167" t="str">
        <f>IF(OR(Data!$L$2=1,Data!$L$3=1),IF(OR(Data!BZ48=0,Data!BZ48=""),"","O"&amp;Data!BZ48),IF('ARDT Cutter Entry'!$C$111&lt;&gt;"",'ARDT Cutter Entry'!K113,'ARDT Cutter Entry'!K45))</f>
        <v/>
      </c>
      <c r="L20" s="167" t="str">
        <f>IF(OR(Data!$L$2=1,Data!$L$3=1),IF(OR(Data!CA48=0,Data!CA48=""),"","O"&amp;Data!CA48),IF('ARDT Cutter Entry'!$C$111&lt;&gt;"",'ARDT Cutter Entry'!L113,'ARDT Cutter Entry'!L45))</f>
        <v>R2</v>
      </c>
      <c r="M20" s="167" t="str">
        <f>IF(OR(Data!$L$2=1,Data!$L$3=1),IF(OR(Data!CB48=0,Data!CB48=""),"","O"&amp;Data!CB48),IF('ARDT Cutter Entry'!$C$111&lt;&gt;"",'ARDT Cutter Entry'!M113,'ARDT Cutter Entry'!M45))</f>
        <v>X4</v>
      </c>
      <c r="N20" s="167" t="str">
        <f>IF(OR(Data!$L$2=1,Data!$L$3=1),IF(OR(Data!CC48=0,Data!CC48=""),"","O"&amp;Data!CC48),IF('ARDT Cutter Entry'!$C$111&lt;&gt;"",'ARDT Cutter Entry'!N113,'ARDT Cutter Entry'!N45))</f>
        <v>X4</v>
      </c>
      <c r="O20" s="167" t="str">
        <f>IF(OR(Data!$L$2=1,Data!$L$3=1),IF(OR(Data!CD48=0,Data!CD48=""),"","O"&amp;Data!CD48),IF('ARDT Cutter Entry'!$C$111&lt;&gt;"",'ARDT Cutter Entry'!O113,'ARDT Cutter Entry'!O45))</f>
        <v/>
      </c>
      <c r="P20" s="167" t="str">
        <f>IF(OR(Data!$L$2=1,Data!$L$3=1),IF(OR(Data!CE48=0,Data!CE48=""),"","O"&amp;Data!CE48),IF('ARDT Cutter Entry'!$C$111&lt;&gt;"",'ARDT Cutter Entry'!P113,'ARDT Cutter Entry'!P45))</f>
        <v/>
      </c>
      <c r="Q20" s="167" t="str">
        <f>IF(OR(Data!$L$2=1,Data!$L$3=1),IF(OR(Data!CF48=0,Data!CF48=""),"","O"&amp;Data!CF48),IF('ARDT Cutter Entry'!$C$111&lt;&gt;"",'ARDT Cutter Entry'!Q113,'ARDT Cutter Entry'!Q45))</f>
        <v/>
      </c>
      <c r="R20" s="167" t="str">
        <f>IF(OR(Data!$L$2=1,Data!$L$3=1),IF(OR(Data!CG48=0,Data!CG48=""),"","O"&amp;Data!CG48),IF('ARDT Cutter Entry'!$C$111&lt;&gt;"",'ARDT Cutter Entry'!R113,'ARDT Cutter Entry'!R45))</f>
        <v/>
      </c>
      <c r="S20" s="167" t="str">
        <f>IF(OR(Data!$L$2=1,Data!$L$3=1),IF(OR(Data!CH48=0,Data!CH48=""),"","O"&amp;Data!CH48),IF('ARDT Cutter Entry'!$C$111&lt;&gt;"",'ARDT Cutter Entry'!S113,'ARDT Cutter Entry'!S45))</f>
        <v/>
      </c>
      <c r="T20" s="167" t="str">
        <f>IF(OR(Data!$L$2=1,Data!$L$3=1),IF(OR(Data!CI48=0,Data!CI48=""),"","O"&amp;Data!CI48),IF('ARDT Cutter Entry'!$C$111&lt;&gt;"",'ARDT Cutter Entry'!T113,'ARDT Cutter Entry'!T45))</f>
        <v/>
      </c>
      <c r="U20" s="167" t="str">
        <f>IF(OR(Data!$L$2=1,Data!$L$3=1),IF(OR(Data!CJ48=0,Data!CJ48=""),"","O"&amp;Data!CJ48),IF('ARDT Cutter Entry'!$C$111&lt;&gt;"",'ARDT Cutter Entry'!U113,'ARDT Cutter Entry'!U45))</f>
        <v/>
      </c>
      <c r="V20" s="167" t="str">
        <f>IF(OR(Data!$L$2=1,Data!$L$3=1),IF(OR(Data!CK48=0,Data!CK48=""),"","O"&amp;Data!CK48),IF('ARDT Cutter Entry'!$C$111&lt;&gt;"",'ARDT Cutter Entry'!V113,'ARDT Cutter Entry'!V45))</f>
        <v/>
      </c>
      <c r="W20" s="167" t="str">
        <f>IF(OR(Data!$L$2=1,Data!$L$3=1),IF(OR(Data!CL48=0,Data!CL48=""),"","O"&amp;Data!CL48),IF('ARDT Cutter Entry'!$C$111&lt;&gt;"",'ARDT Cutter Entry'!W113,'ARDT Cutter Entry'!W45))</f>
        <v/>
      </c>
      <c r="X20" s="167" t="str">
        <f>IF(OR(Data!$L$2=1,Data!$L$3=1),IF(OR(Data!CM48=0,Data!CM48=""),"","O"&amp;Data!CM48),IF('ARDT Cutter Entry'!$C$111&lt;&gt;"",'ARDT Cutter Entry'!X113,'ARDT Cutter Entry'!X45))</f>
        <v/>
      </c>
      <c r="Y20" s="167" t="str">
        <f>IF(OR(Data!$L$2=1,Data!$L$3=1),IF(OR(Data!CN48=0,Data!CN48=""),"","O"&amp;Data!CN48),IF('ARDT Cutter Entry'!$C$111&lt;&gt;"",'ARDT Cutter Entry'!Y113,'ARDT Cutter Entry'!Y45))</f>
        <v/>
      </c>
      <c r="Z20" s="167" t="str">
        <f>IF(OR(Data!$L$2=1,Data!$L$3=1),IF(OR(Data!CO48=0,Data!CO48=""),"","O"&amp;Data!CO48),IF('ARDT Cutter Entry'!$C$111&lt;&gt;"",'ARDT Cutter Entry'!Z113,'ARDT Cutter Entry'!Z45))</f>
        <v/>
      </c>
      <c r="AA20" s="167" t="str">
        <f>IF(OR(Data!$L$2=1,Data!$L$3=1),IF(OR(Data!CP48=0,Data!CP48=""),"","O"&amp;Data!CP48),IF('ARDT Cutter Entry'!$C$111&lt;&gt;"",'ARDT Cutter Entry'!AA113,'ARDT Cutter Entry'!AA45))</f>
        <v/>
      </c>
      <c r="AB20" s="167" t="str">
        <f>IF(OR(Data!$L$2=1,Data!$L$3=1),IF(OR(Data!CQ48=0,Data!CQ48=""),"","O"&amp;Data!CQ48),IF('ARDT Cutter Entry'!$C$111&lt;&gt;"",'ARDT Cutter Entry'!AB113,'ARDT Cutter Entry'!AB45))</f>
        <v/>
      </c>
      <c r="AC20" s="167" t="str">
        <f>IF(OR(Data!$L$2=1,Data!$L$3=1),IF(OR(Data!CR48=0,Data!CR48=""),"","O"&amp;Data!CR48),IF('ARDT Cutter Entry'!$C$111&lt;&gt;"",'ARDT Cutter Entry'!AC113,'ARDT Cutter Entry'!AC45))</f>
        <v/>
      </c>
      <c r="AD20" s="167" t="str">
        <f>IF(OR(Data!$L$2=1,Data!$L$3=1),IF(OR(Data!CS48=0,Data!CS48=""),"","O"&amp;Data!CS48),IF('ARDT Cutter Entry'!$C$111&lt;&gt;"",'ARDT Cutter Entry'!AD113,'ARDT Cutter Entry'!AD45))</f>
        <v/>
      </c>
      <c r="AE20" s="167" t="str">
        <f>IF(OR(Data!$L$2=1,Data!$L$3=1),IF(OR(Data!CT48=0,Data!CT48=""),"","O"&amp;Data!CT48),IF('ARDT Cutter Entry'!$C$111&lt;&gt;"",'ARDT Cutter Entry'!AE113,'ARDT Cutter Entry'!AE45))</f>
        <v/>
      </c>
      <c r="AF20" s="167" t="str">
        <f>IF(OR(Data!$L$2=1,Data!$L$3=1),IF(OR(Data!CU48=0,Data!CU48=""),"","O"&amp;Data!CU48),IF('ARDT Cutter Entry'!$C$111&lt;&gt;"",'ARDT Cutter Entry'!AF113,'ARDT Cutter Entry'!AF45))</f>
        <v/>
      </c>
      <c r="AG20" s="167" t="str">
        <f>IF(OR(Data!$L$2=1,Data!$L$3=1),IF(OR(Data!CV48=0,Data!CV48=""),"","O"&amp;Data!CV48),IF('ARDT Cutter Entry'!$C$111&lt;&gt;"",'ARDT Cutter Entry'!AG113,'ARDT Cutter Entry'!AG45))</f>
        <v/>
      </c>
      <c r="AH20" s="167" t="str">
        <f>IF(OR(Data!$L$2=1,Data!$L$3=1),IF(OR(Data!CW48=0,Data!CW48=""),"","O"&amp;Data!CW48),IF('ARDT Cutter Entry'!$C$111&lt;&gt;"",'ARDT Cutter Entry'!AH113,'ARDT Cutter Entry'!AH45))</f>
        <v/>
      </c>
      <c r="AI20" s="248" t="str">
        <f>IF(OR(Data!$L$2=1,Data!$L$3=1),IF(OR(Data!CX62=0,Data!CX62=""),"","O"&amp;Data!CX62),IF('ARDT Cutter Entry'!$C$111&lt;&gt;"",'ARDT Cutter Entry'!AI113,'ARDT Cutter Entry'!AI45))</f>
        <v/>
      </c>
    </row>
    <row r="21" spans="1:35" ht="15.75" customHeight="1" x14ac:dyDescent="0.25">
      <c r="A21" s="1986"/>
      <c r="B21" s="503">
        <v>4</v>
      </c>
      <c r="C21" s="167" t="str">
        <f>IF(OR(Data!$L$2=1,Data!$L$3=1),IF(OR(Data!BR49=0,Data!BR49=""),"","O"&amp;Data!BR49),IF('ARDT Cutter Entry'!$C$111&lt;&gt;"",'ARDT Cutter Entry'!C114,'ARDT Cutter Entry'!C46))</f>
        <v>X5</v>
      </c>
      <c r="D21" s="167" t="str">
        <f>IF(OR(Data!$L$2=1,Data!$L$3=1),IF(OR(Data!BS49=0,Data!BS49=""),"","O"&amp;Data!BS49),IF('ARDT Cutter Entry'!$C$111&lt;&gt;"",'ARDT Cutter Entry'!D114,'ARDT Cutter Entry'!D46))</f>
        <v>X5</v>
      </c>
      <c r="E21" s="167" t="str">
        <f>IF(OR(Data!$L$2=1,Data!$L$3=1),IF(OR(Data!BT49=0,Data!BT49=""),"","O"&amp;Data!BT49),IF('ARDT Cutter Entry'!$C$111&lt;&gt;"",'ARDT Cutter Entry'!E114,'ARDT Cutter Entry'!E46))</f>
        <v>X5</v>
      </c>
      <c r="F21" s="167" t="str">
        <f>IF(OR(Data!$L$2=1,Data!$L$3=1),IF(OR(Data!BU49=0,Data!BU49=""),"","O"&amp;Data!BU49),IF('ARDT Cutter Entry'!$C$111&lt;&gt;"",'ARDT Cutter Entry'!F114,'ARDT Cutter Entry'!F46))</f>
        <v>X5</v>
      </c>
      <c r="G21" s="167" t="str">
        <f>IF(OR(Data!$L$2=1,Data!$L$3=1),IF(OR(Data!BV49=0,Data!BV49=""),"","O"&amp;Data!BV49),IF('ARDT Cutter Entry'!$C$111&lt;&gt;"",'ARDT Cutter Entry'!G114,'ARDT Cutter Entry'!G46))</f>
        <v>R1</v>
      </c>
      <c r="H21" s="167" t="str">
        <f>IF(OR(Data!$L$2=1,Data!$L$3=1),IF(OR(Data!BW49=0,Data!BW49=""),"","O"&amp;Data!BW49),IF('ARDT Cutter Entry'!$C$111&lt;&gt;"",'ARDT Cutter Entry'!H114,'ARDT Cutter Entry'!H46))</f>
        <v>X3</v>
      </c>
      <c r="I21" s="167" t="str">
        <f>IF(OR(Data!$L$2=1,Data!$L$3=1),IF(OR(Data!BX49=0,Data!BX49=""),"","O"&amp;Data!BX49),IF('ARDT Cutter Entry'!$C$111&lt;&gt;"",'ARDT Cutter Entry'!I114,'ARDT Cutter Entry'!I46))</f>
        <v/>
      </c>
      <c r="J21" s="167" t="str">
        <f>IF(OR(Data!$L$2=1,Data!$L$3=1),IF(OR(Data!BY49=0,Data!BY49=""),"","O"&amp;Data!BY49),IF('ARDT Cutter Entry'!$C$111&lt;&gt;"",'ARDT Cutter Entry'!J114,'ARDT Cutter Entry'!J46))</f>
        <v/>
      </c>
      <c r="K21" s="167" t="str">
        <f>IF(OR(Data!$L$2=1,Data!$L$3=1),IF(OR(Data!BZ49=0,Data!BZ49=""),"","O"&amp;Data!BZ49),IF('ARDT Cutter Entry'!$C$111&lt;&gt;"",'ARDT Cutter Entry'!K114,'ARDT Cutter Entry'!K46))</f>
        <v/>
      </c>
      <c r="L21" s="167" t="str">
        <f>IF(OR(Data!$L$2=1,Data!$L$3=1),IF(OR(Data!CA49=0,Data!CA49=""),"","O"&amp;Data!CA49),IF('ARDT Cutter Entry'!$C$111&lt;&gt;"",'ARDT Cutter Entry'!L114,'ARDT Cutter Entry'!L46))</f>
        <v>R2</v>
      </c>
      <c r="M21" s="167" t="str">
        <f>IF(OR(Data!$L$2=1,Data!$L$3=1),IF(OR(Data!CB49=0,Data!CB49=""),"","O"&amp;Data!CB49),IF('ARDT Cutter Entry'!$C$111&lt;&gt;"",'ARDT Cutter Entry'!M114,'ARDT Cutter Entry'!M46))</f>
        <v>R2</v>
      </c>
      <c r="N21" s="167" t="str">
        <f>IF(OR(Data!$L$2=1,Data!$L$3=1),IF(OR(Data!CC49=0,Data!CC49=""),"","O"&amp;Data!CC49),IF('ARDT Cutter Entry'!$C$111&lt;&gt;"",'ARDT Cutter Entry'!N114,'ARDT Cutter Entry'!N46))</f>
        <v>R2</v>
      </c>
      <c r="O21" s="167" t="str">
        <f>IF(OR(Data!$L$2=1,Data!$L$3=1),IF(OR(Data!CD49=0,Data!CD49=""),"","O"&amp;Data!CD49),IF('ARDT Cutter Entry'!$C$111&lt;&gt;"",'ARDT Cutter Entry'!O114,'ARDT Cutter Entry'!O46))</f>
        <v>S2</v>
      </c>
      <c r="P21" s="167" t="str">
        <f>IF(OR(Data!$L$2=1,Data!$L$3=1),IF(OR(Data!CE49=0,Data!CE49=""),"","O"&amp;Data!CE49),IF('ARDT Cutter Entry'!$C$111&lt;&gt;"",'ARDT Cutter Entry'!P114,'ARDT Cutter Entry'!P46))</f>
        <v/>
      </c>
      <c r="Q21" s="167" t="str">
        <f>IF(OR(Data!$L$2=1,Data!$L$3=1),IF(OR(Data!CF49=0,Data!CF49=""),"","O"&amp;Data!CF49),IF('ARDT Cutter Entry'!$C$111&lt;&gt;"",'ARDT Cutter Entry'!Q114,'ARDT Cutter Entry'!Q46))</f>
        <v/>
      </c>
      <c r="R21" s="167" t="str">
        <f>IF(OR(Data!$L$2=1,Data!$L$3=1),IF(OR(Data!CG49=0,Data!CG49=""),"","O"&amp;Data!CG49),IF('ARDT Cutter Entry'!$C$111&lt;&gt;"",'ARDT Cutter Entry'!R114,'ARDT Cutter Entry'!R46))</f>
        <v/>
      </c>
      <c r="S21" s="167" t="str">
        <f>IF(OR(Data!$L$2=1,Data!$L$3=1),IF(OR(Data!CH49=0,Data!CH49=""),"","O"&amp;Data!CH49),IF('ARDT Cutter Entry'!$C$111&lt;&gt;"",'ARDT Cutter Entry'!S114,'ARDT Cutter Entry'!S46))</f>
        <v/>
      </c>
      <c r="T21" s="167" t="str">
        <f>IF(OR(Data!$L$2=1,Data!$L$3=1),IF(OR(Data!CI49=0,Data!CI49=""),"","O"&amp;Data!CI49),IF('ARDT Cutter Entry'!$C$111&lt;&gt;"",'ARDT Cutter Entry'!T114,'ARDT Cutter Entry'!T46))</f>
        <v/>
      </c>
      <c r="U21" s="167" t="str">
        <f>IF(OR(Data!$L$2=1,Data!$L$3=1),IF(OR(Data!CJ49=0,Data!CJ49=""),"","O"&amp;Data!CJ49),IF('ARDT Cutter Entry'!$C$111&lt;&gt;"",'ARDT Cutter Entry'!U114,'ARDT Cutter Entry'!U46))</f>
        <v/>
      </c>
      <c r="V21" s="167" t="str">
        <f>IF(OR(Data!$L$2=1,Data!$L$3=1),IF(OR(Data!CK49=0,Data!CK49=""),"","O"&amp;Data!CK49),IF('ARDT Cutter Entry'!$C$111&lt;&gt;"",'ARDT Cutter Entry'!V114,'ARDT Cutter Entry'!V46))</f>
        <v/>
      </c>
      <c r="W21" s="167" t="str">
        <f>IF(OR(Data!$L$2=1,Data!$L$3=1),IF(OR(Data!CL49=0,Data!CL49=""),"","O"&amp;Data!CL49),IF('ARDT Cutter Entry'!$C$111&lt;&gt;"",'ARDT Cutter Entry'!W114,'ARDT Cutter Entry'!W46))</f>
        <v/>
      </c>
      <c r="X21" s="167" t="str">
        <f>IF(OR(Data!$L$2=1,Data!$L$3=1),IF(OR(Data!CM49=0,Data!CM49=""),"","O"&amp;Data!CM49),IF('ARDT Cutter Entry'!$C$111&lt;&gt;"",'ARDT Cutter Entry'!X114,'ARDT Cutter Entry'!X46))</f>
        <v/>
      </c>
      <c r="Y21" s="167" t="str">
        <f>IF(OR(Data!$L$2=1,Data!$L$3=1),IF(OR(Data!CN49=0,Data!CN49=""),"","O"&amp;Data!CN49),IF('ARDT Cutter Entry'!$C$111&lt;&gt;"",'ARDT Cutter Entry'!Y114,'ARDT Cutter Entry'!Y46))</f>
        <v/>
      </c>
      <c r="Z21" s="167" t="str">
        <f>IF(OR(Data!$L$2=1,Data!$L$3=1),IF(OR(Data!CO49=0,Data!CO49=""),"","O"&amp;Data!CO49),IF('ARDT Cutter Entry'!$C$111&lt;&gt;"",'ARDT Cutter Entry'!Z114,'ARDT Cutter Entry'!Z46))</f>
        <v/>
      </c>
      <c r="AA21" s="167" t="str">
        <f>IF(OR(Data!$L$2=1,Data!$L$3=1),IF(OR(Data!CP49=0,Data!CP49=""),"","O"&amp;Data!CP49),IF('ARDT Cutter Entry'!$C$111&lt;&gt;"",'ARDT Cutter Entry'!AA114,'ARDT Cutter Entry'!AA46))</f>
        <v/>
      </c>
      <c r="AB21" s="167" t="str">
        <f>IF(OR(Data!$L$2=1,Data!$L$3=1),IF(OR(Data!CQ49=0,Data!CQ49=""),"","O"&amp;Data!CQ49),IF('ARDT Cutter Entry'!$C$111&lt;&gt;"",'ARDT Cutter Entry'!AB114,'ARDT Cutter Entry'!AB46))</f>
        <v/>
      </c>
      <c r="AC21" s="167" t="str">
        <f>IF(OR(Data!$L$2=1,Data!$L$3=1),IF(OR(Data!CR49=0,Data!CR49=""),"","O"&amp;Data!CR49),IF('ARDT Cutter Entry'!$C$111&lt;&gt;"",'ARDT Cutter Entry'!AC114,'ARDT Cutter Entry'!AC46))</f>
        <v/>
      </c>
      <c r="AD21" s="167" t="str">
        <f>IF(OR(Data!$L$2=1,Data!$L$3=1),IF(OR(Data!CS49=0,Data!CS49=""),"","O"&amp;Data!CS49),IF('ARDT Cutter Entry'!$C$111&lt;&gt;"",'ARDT Cutter Entry'!AD114,'ARDT Cutter Entry'!AD46))</f>
        <v/>
      </c>
      <c r="AE21" s="167" t="str">
        <f>IF(OR(Data!$L$2=1,Data!$L$3=1),IF(OR(Data!CT49=0,Data!CT49=""),"","O"&amp;Data!CT49),IF('ARDT Cutter Entry'!$C$111&lt;&gt;"",'ARDT Cutter Entry'!AE114,'ARDT Cutter Entry'!AE46))</f>
        <v/>
      </c>
      <c r="AF21" s="167" t="str">
        <f>IF(OR(Data!$L$2=1,Data!$L$3=1),IF(OR(Data!CU49=0,Data!CU49=""),"","O"&amp;Data!CU49),IF('ARDT Cutter Entry'!$C$111&lt;&gt;"",'ARDT Cutter Entry'!AF114,'ARDT Cutter Entry'!AF46))</f>
        <v/>
      </c>
      <c r="AG21" s="167" t="str">
        <f>IF(OR(Data!$L$2=1,Data!$L$3=1),IF(OR(Data!CV49=0,Data!CV49=""),"","O"&amp;Data!CV49),IF('ARDT Cutter Entry'!$C$111&lt;&gt;"",'ARDT Cutter Entry'!AG114,'ARDT Cutter Entry'!AG46))</f>
        <v/>
      </c>
      <c r="AH21" s="167" t="str">
        <f>IF(OR(Data!$L$2=1,Data!$L$3=1),IF(OR(Data!CW49=0,Data!CW49=""),"","O"&amp;Data!CW49),IF('ARDT Cutter Entry'!$C$111&lt;&gt;"",'ARDT Cutter Entry'!AH114,'ARDT Cutter Entry'!AH46))</f>
        <v/>
      </c>
      <c r="AI21" s="248" t="str">
        <f>IF(OR(Data!$L$2=1,Data!$L$3=1),IF(OR(Data!CX63=0,Data!CX63=""),"","O"&amp;Data!CX63),IF('ARDT Cutter Entry'!$C$111&lt;&gt;"",'ARDT Cutter Entry'!AI114,'ARDT Cutter Entry'!AI46))</f>
        <v/>
      </c>
    </row>
    <row r="22" spans="1:35" ht="15.75" customHeight="1" x14ac:dyDescent="0.25">
      <c r="A22" s="1986"/>
      <c r="B22" s="503">
        <v>5</v>
      </c>
      <c r="C22" s="167" t="str">
        <f>IF(OR(Data!$L$2=1,Data!$L$3=1),IF(OR(Data!BR50=0,Data!BR50=""),"","O"&amp;Data!BR50),IF('ARDT Cutter Entry'!$C$111&lt;&gt;"",'ARDT Cutter Entry'!C115,'ARDT Cutter Entry'!C47))</f>
        <v>R1</v>
      </c>
      <c r="D22" s="167" t="str">
        <f>IF(OR(Data!$L$2=1,Data!$L$3=1),IF(OR(Data!BS50=0,Data!BS50=""),"","O"&amp;Data!BS50),IF('ARDT Cutter Entry'!$C$111&lt;&gt;"",'ARDT Cutter Entry'!D115,'ARDT Cutter Entry'!D47))</f>
        <v>R1</v>
      </c>
      <c r="E22" s="167" t="str">
        <f>IF(OR(Data!$L$2=1,Data!$L$3=1),IF(OR(Data!BT50=0,Data!BT50=""),"","O"&amp;Data!BT50),IF('ARDT Cutter Entry'!$C$111&lt;&gt;"",'ARDT Cutter Entry'!E115,'ARDT Cutter Entry'!E47))</f>
        <v>X5</v>
      </c>
      <c r="F22" s="167" t="str">
        <f>IF(OR(Data!$L$2=1,Data!$L$3=1),IF(OR(Data!BU50=0,Data!BU50=""),"","O"&amp;Data!BU50),IF('ARDT Cutter Entry'!$C$111&lt;&gt;"",'ARDT Cutter Entry'!F115,'ARDT Cutter Entry'!F47))</f>
        <v>X5</v>
      </c>
      <c r="G22" s="167" t="str">
        <f>IF(OR(Data!$L$2=1,Data!$L$3=1),IF(OR(Data!BV50=0,Data!BV50=""),"","O"&amp;Data!BV50),IF('ARDT Cutter Entry'!$C$111&lt;&gt;"",'ARDT Cutter Entry'!G115,'ARDT Cutter Entry'!G47))</f>
        <v>X5</v>
      </c>
      <c r="H22" s="167" t="str">
        <f>IF(OR(Data!$L$2=1,Data!$L$3=1),IF(OR(Data!BW50=0,Data!BW50=""),"","O"&amp;Data!BW50),IF('ARDT Cutter Entry'!$C$111&lt;&gt;"",'ARDT Cutter Entry'!H115,'ARDT Cutter Entry'!H47))</f>
        <v>X5</v>
      </c>
      <c r="I22" s="167" t="str">
        <f>IF(OR(Data!$L$2=1,Data!$L$3=1),IF(OR(Data!BX50=0,Data!BX50=""),"","O"&amp;Data!BX50),IF('ARDT Cutter Entry'!$C$111&lt;&gt;"",'ARDT Cutter Entry'!I115,'ARDT Cutter Entry'!I47))</f>
        <v>R1</v>
      </c>
      <c r="J22" s="167" t="str">
        <f>IF(OR(Data!$L$2=1,Data!$L$3=1),IF(OR(Data!BY50=0,Data!BY50=""),"","O"&amp;Data!BY50),IF('ARDT Cutter Entry'!$C$111&lt;&gt;"",'ARDT Cutter Entry'!J115,'ARDT Cutter Entry'!J47))</f>
        <v>X3</v>
      </c>
      <c r="K22" s="167" t="str">
        <f>IF(OR(Data!$L$2=1,Data!$L$3=1),IF(OR(Data!BZ50=0,Data!BZ50=""),"","O"&amp;Data!BZ50),IF('ARDT Cutter Entry'!$C$111&lt;&gt;"",'ARDT Cutter Entry'!K115,'ARDT Cutter Entry'!K47))</f>
        <v/>
      </c>
      <c r="L22" s="167" t="str">
        <f>IF(OR(Data!$L$2=1,Data!$L$3=1),IF(OR(Data!CA50=0,Data!CA50=""),"","O"&amp;Data!CA50),IF('ARDT Cutter Entry'!$C$111&lt;&gt;"",'ARDT Cutter Entry'!L115,'ARDT Cutter Entry'!L47))</f>
        <v>R2</v>
      </c>
      <c r="M22" s="167" t="str">
        <f>IF(OR(Data!$L$2=1,Data!$L$3=1),IF(OR(Data!CB50=0,Data!CB50=""),"","O"&amp;Data!CB50),IF('ARDT Cutter Entry'!$C$111&lt;&gt;"",'ARDT Cutter Entry'!M115,'ARDT Cutter Entry'!M47))</f>
        <v>X4</v>
      </c>
      <c r="N22" s="167" t="str">
        <f>IF(OR(Data!$L$2=1,Data!$L$3=1),IF(OR(Data!CC50=0,Data!CC50=""),"","O"&amp;Data!CC50),IF('ARDT Cutter Entry'!$C$111&lt;&gt;"",'ARDT Cutter Entry'!N115,'ARDT Cutter Entry'!N47))</f>
        <v>R2</v>
      </c>
      <c r="O22" s="167" t="str">
        <f>IF(OR(Data!$L$2=1,Data!$L$3=1),IF(OR(Data!CD50=0,Data!CD50=""),"","O"&amp;Data!CD50),IF('ARDT Cutter Entry'!$C$111&lt;&gt;"",'ARDT Cutter Entry'!O115,'ARDT Cutter Entry'!O47))</f>
        <v>R2</v>
      </c>
      <c r="P22" s="167" t="str">
        <f>IF(OR(Data!$L$2=1,Data!$L$3=1),IF(OR(Data!CE50=0,Data!CE50=""),"","O"&amp;Data!CE50),IF('ARDT Cutter Entry'!$C$111&lt;&gt;"",'ARDT Cutter Entry'!P115,'ARDT Cutter Entry'!P47))</f>
        <v/>
      </c>
      <c r="Q22" s="167" t="str">
        <f>IF(OR(Data!$L$2=1,Data!$L$3=1),IF(OR(Data!CF50=0,Data!CF50=""),"","O"&amp;Data!CF50),IF('ARDT Cutter Entry'!$C$111&lt;&gt;"",'ARDT Cutter Entry'!Q115,'ARDT Cutter Entry'!Q47))</f>
        <v/>
      </c>
      <c r="R22" s="167" t="str">
        <f>IF(OR(Data!$L$2=1,Data!$L$3=1),IF(OR(Data!CG50=0,Data!CG50=""),"","O"&amp;Data!CG50),IF('ARDT Cutter Entry'!$C$111&lt;&gt;"",'ARDT Cutter Entry'!R115,'ARDT Cutter Entry'!R47))</f>
        <v/>
      </c>
      <c r="S22" s="167" t="str">
        <f>IF(OR(Data!$L$2=1,Data!$L$3=1),IF(OR(Data!CH50=0,Data!CH50=""),"","O"&amp;Data!CH50),IF('ARDT Cutter Entry'!$C$111&lt;&gt;"",'ARDT Cutter Entry'!S115,'ARDT Cutter Entry'!S47))</f>
        <v/>
      </c>
      <c r="T22" s="167" t="str">
        <f>IF(OR(Data!$L$2=1,Data!$L$3=1),IF(OR(Data!CI50=0,Data!CI50=""),"","O"&amp;Data!CI50),IF('ARDT Cutter Entry'!$C$111&lt;&gt;"",'ARDT Cutter Entry'!T115,'ARDT Cutter Entry'!T47))</f>
        <v/>
      </c>
      <c r="U22" s="167" t="str">
        <f>IF(OR(Data!$L$2=1,Data!$L$3=1),IF(OR(Data!CJ50=0,Data!CJ50=""),"","O"&amp;Data!CJ50),IF('ARDT Cutter Entry'!$C$111&lt;&gt;"",'ARDT Cutter Entry'!U115,'ARDT Cutter Entry'!U47))</f>
        <v/>
      </c>
      <c r="V22" s="167" t="str">
        <f>IF(OR(Data!$L$2=1,Data!$L$3=1),IF(OR(Data!CK50=0,Data!CK50=""),"","O"&amp;Data!CK50),IF('ARDT Cutter Entry'!$C$111&lt;&gt;"",'ARDT Cutter Entry'!V115,'ARDT Cutter Entry'!V47))</f>
        <v/>
      </c>
      <c r="W22" s="167" t="str">
        <f>IF(OR(Data!$L$2=1,Data!$L$3=1),IF(OR(Data!CL50=0,Data!CL50=""),"","O"&amp;Data!CL50),IF('ARDT Cutter Entry'!$C$111&lt;&gt;"",'ARDT Cutter Entry'!W115,'ARDT Cutter Entry'!W47))</f>
        <v/>
      </c>
      <c r="X22" s="167" t="str">
        <f>IF(OR(Data!$L$2=1,Data!$L$3=1),IF(OR(Data!CM50=0,Data!CM50=""),"","O"&amp;Data!CM50),IF('ARDT Cutter Entry'!$C$111&lt;&gt;"",'ARDT Cutter Entry'!X115,'ARDT Cutter Entry'!X47))</f>
        <v/>
      </c>
      <c r="Y22" s="167" t="str">
        <f>IF(OR(Data!$L$2=1,Data!$L$3=1),IF(OR(Data!CN50=0,Data!CN50=""),"","O"&amp;Data!CN50),IF('ARDT Cutter Entry'!$C$111&lt;&gt;"",'ARDT Cutter Entry'!Y115,'ARDT Cutter Entry'!Y47))</f>
        <v/>
      </c>
      <c r="Z22" s="167" t="str">
        <f>IF(OR(Data!$L$2=1,Data!$L$3=1),IF(OR(Data!CO50=0,Data!CO50=""),"","O"&amp;Data!CO50),IF('ARDT Cutter Entry'!$C$111&lt;&gt;"",'ARDT Cutter Entry'!Z115,'ARDT Cutter Entry'!Z47))</f>
        <v/>
      </c>
      <c r="AA22" s="167" t="str">
        <f>IF(OR(Data!$L$2=1,Data!$L$3=1),IF(OR(Data!CP50=0,Data!CP50=""),"","O"&amp;Data!CP50),IF('ARDT Cutter Entry'!$C$111&lt;&gt;"",'ARDT Cutter Entry'!AA115,'ARDT Cutter Entry'!AA47))</f>
        <v/>
      </c>
      <c r="AB22" s="167" t="str">
        <f>IF(OR(Data!$L$2=1,Data!$L$3=1),IF(OR(Data!CQ50=0,Data!CQ50=""),"","O"&amp;Data!CQ50),IF('ARDT Cutter Entry'!$C$111&lt;&gt;"",'ARDT Cutter Entry'!AB115,'ARDT Cutter Entry'!AB47))</f>
        <v/>
      </c>
      <c r="AC22" s="167" t="str">
        <f>IF(OR(Data!$L$2=1,Data!$L$3=1),IF(OR(Data!CR50=0,Data!CR50=""),"","O"&amp;Data!CR50),IF('ARDT Cutter Entry'!$C$111&lt;&gt;"",'ARDT Cutter Entry'!AC115,'ARDT Cutter Entry'!AC47))</f>
        <v/>
      </c>
      <c r="AD22" s="167" t="str">
        <f>IF(OR(Data!$L$2=1,Data!$L$3=1),IF(OR(Data!CS50=0,Data!CS50=""),"","O"&amp;Data!CS50),IF('ARDT Cutter Entry'!$C$111&lt;&gt;"",'ARDT Cutter Entry'!AD115,'ARDT Cutter Entry'!AD47))</f>
        <v/>
      </c>
      <c r="AE22" s="167" t="str">
        <f>IF(OR(Data!$L$2=1,Data!$L$3=1),IF(OR(Data!CT50=0,Data!CT50=""),"","O"&amp;Data!CT50),IF('ARDT Cutter Entry'!$C$111&lt;&gt;"",'ARDT Cutter Entry'!AE115,'ARDT Cutter Entry'!AE47))</f>
        <v/>
      </c>
      <c r="AF22" s="167" t="str">
        <f>IF(OR(Data!$L$2=1,Data!$L$3=1),IF(OR(Data!CU50=0,Data!CU50=""),"","O"&amp;Data!CU50),IF('ARDT Cutter Entry'!$C$111&lt;&gt;"",'ARDT Cutter Entry'!AF115,'ARDT Cutter Entry'!AF47))</f>
        <v/>
      </c>
      <c r="AG22" s="167" t="str">
        <f>IF(OR(Data!$L$2=1,Data!$L$3=1),IF(OR(Data!CV50=0,Data!CV50=""),"","O"&amp;Data!CV50),IF('ARDT Cutter Entry'!$C$111&lt;&gt;"",'ARDT Cutter Entry'!AG115,'ARDT Cutter Entry'!AG47))</f>
        <v/>
      </c>
      <c r="AH22" s="167" t="str">
        <f>IF(OR(Data!$L$2=1,Data!$L$3=1),IF(OR(Data!CW50=0,Data!CW50=""),"","O"&amp;Data!CW50),IF('ARDT Cutter Entry'!$C$111&lt;&gt;"",'ARDT Cutter Entry'!AH115,'ARDT Cutter Entry'!AH47))</f>
        <v/>
      </c>
      <c r="AI22" s="248" t="str">
        <f>IF(OR(Data!$L$2=1,Data!$L$3=1),IF(OR(Data!CX64=0,Data!CX64=""),"","O"&amp;Data!CX64),IF('ARDT Cutter Entry'!$C$111&lt;&gt;"",'ARDT Cutter Entry'!AI115,'ARDT Cutter Entry'!AI47))</f>
        <v/>
      </c>
    </row>
    <row r="23" spans="1:35" ht="15.75" customHeight="1" x14ac:dyDescent="0.25">
      <c r="A23" s="1986"/>
      <c r="B23" s="503">
        <v>6</v>
      </c>
      <c r="C23" s="167" t="str">
        <f>IF(OR(Data!$L$2=1,Data!$L$3=1),IF(OR(Data!BR51=0,Data!BR51=""),"","O"&amp;Data!BR51),IF('ARDT Cutter Entry'!$C$111&lt;&gt;"",'ARDT Cutter Entry'!C116,'ARDT Cutter Entry'!C48))</f>
        <v>X5</v>
      </c>
      <c r="D23" s="167" t="str">
        <f>IF(OR(Data!$L$2=1,Data!$L$3=1),IF(OR(Data!BS51=0,Data!BS51=""),"","O"&amp;Data!BS51),IF('ARDT Cutter Entry'!$C$111&lt;&gt;"",'ARDT Cutter Entry'!D116,'ARDT Cutter Entry'!D48))</f>
        <v>X5</v>
      </c>
      <c r="E23" s="167" t="str">
        <f>IF(OR(Data!$L$2=1,Data!$L$3=1),IF(OR(Data!BT51=0,Data!BT51=""),"","O"&amp;Data!BT51),IF('ARDT Cutter Entry'!$C$111&lt;&gt;"",'ARDT Cutter Entry'!E116,'ARDT Cutter Entry'!E48))</f>
        <v>X5</v>
      </c>
      <c r="F23" s="167" t="str">
        <f>IF(OR(Data!$L$2=1,Data!$L$3=1),IF(OR(Data!BU51=0,Data!BU51=""),"","O"&amp;Data!BU51),IF('ARDT Cutter Entry'!$C$111&lt;&gt;"",'ARDT Cutter Entry'!F116,'ARDT Cutter Entry'!F48))</f>
        <v>R1</v>
      </c>
      <c r="G23" s="167" t="str">
        <f>IF(OR(Data!$L$2=1,Data!$L$3=1),IF(OR(Data!BV51=0,Data!BV51=""),"","O"&amp;Data!BV51),IF('ARDT Cutter Entry'!$C$111&lt;&gt;"",'ARDT Cutter Entry'!G116,'ARDT Cutter Entry'!G48))</f>
        <v>X3</v>
      </c>
      <c r="H23" s="167" t="str">
        <f>IF(OR(Data!$L$2=1,Data!$L$3=1),IF(OR(Data!BW51=0,Data!BW51=""),"","O"&amp;Data!BW51),IF('ARDT Cutter Entry'!$C$111&lt;&gt;"",'ARDT Cutter Entry'!H116,'ARDT Cutter Entry'!H48))</f>
        <v/>
      </c>
      <c r="I23" s="167" t="str">
        <f>IF(OR(Data!$L$2=1,Data!$L$3=1),IF(OR(Data!BX51=0,Data!BX51=""),"","O"&amp;Data!BX51),IF('ARDT Cutter Entry'!$C$111&lt;&gt;"",'ARDT Cutter Entry'!I116,'ARDT Cutter Entry'!I48))</f>
        <v/>
      </c>
      <c r="J23" s="167" t="str">
        <f>IF(OR(Data!$L$2=1,Data!$L$3=1),IF(OR(Data!BY51=0,Data!BY51=""),"","O"&amp;Data!BY51),IF('ARDT Cutter Entry'!$C$111&lt;&gt;"",'ARDT Cutter Entry'!J116,'ARDT Cutter Entry'!J48))</f>
        <v/>
      </c>
      <c r="K23" s="167" t="str">
        <f>IF(OR(Data!$L$2=1,Data!$L$3=1),IF(OR(Data!BZ51=0,Data!BZ51=""),"","O"&amp;Data!BZ51),IF('ARDT Cutter Entry'!$C$111&lt;&gt;"",'ARDT Cutter Entry'!K116,'ARDT Cutter Entry'!K48))</f>
        <v/>
      </c>
      <c r="L23" s="167" t="str">
        <f>IF(OR(Data!$L$2=1,Data!$L$3=1),IF(OR(Data!CA51=0,Data!CA51=""),"","O"&amp;Data!CA51),IF('ARDT Cutter Entry'!$C$111&lt;&gt;"",'ARDT Cutter Entry'!L116,'ARDT Cutter Entry'!L48))</f>
        <v>S2</v>
      </c>
      <c r="M23" s="167" t="str">
        <f>IF(OR(Data!$L$2=1,Data!$L$3=1),IF(OR(Data!CB51=0,Data!CB51=""),"","O"&amp;Data!CB51),IF('ARDT Cutter Entry'!$C$111&lt;&gt;"",'ARDT Cutter Entry'!M116,'ARDT Cutter Entry'!M48))</f>
        <v>R2</v>
      </c>
      <c r="N23" s="167" t="str">
        <f>IF(OR(Data!$L$2=1,Data!$L$3=1),IF(OR(Data!CC51=0,Data!CC51=""),"","O"&amp;Data!CC51),IF('ARDT Cutter Entry'!$C$111&lt;&gt;"",'ARDT Cutter Entry'!N116,'ARDT Cutter Entry'!N48))</f>
        <v>R2</v>
      </c>
      <c r="O23" s="167" t="str">
        <f>IF(OR(Data!$L$2=1,Data!$L$3=1),IF(OR(Data!CD51=0,Data!CD51=""),"","O"&amp;Data!CD51),IF('ARDT Cutter Entry'!$C$111&lt;&gt;"",'ARDT Cutter Entry'!O116,'ARDT Cutter Entry'!O48))</f>
        <v>R2</v>
      </c>
      <c r="P23" s="167" t="str">
        <f>IF(OR(Data!$L$2=1,Data!$L$3=1),IF(OR(Data!CE51=0,Data!CE51=""),"","O"&amp;Data!CE51),IF('ARDT Cutter Entry'!$C$111&lt;&gt;"",'ARDT Cutter Entry'!P116,'ARDT Cutter Entry'!P48))</f>
        <v/>
      </c>
      <c r="Q23" s="167" t="str">
        <f>IF(OR(Data!$L$2=1,Data!$L$3=1),IF(OR(Data!CF51=0,Data!CF51=""),"","O"&amp;Data!CF51),IF('ARDT Cutter Entry'!$C$111&lt;&gt;"",'ARDT Cutter Entry'!Q116,'ARDT Cutter Entry'!Q48))</f>
        <v/>
      </c>
      <c r="R23" s="167" t="str">
        <f>IF(OR(Data!$L$2=1,Data!$L$3=1),IF(OR(Data!CG51=0,Data!CG51=""),"","O"&amp;Data!CG51),IF('ARDT Cutter Entry'!$C$111&lt;&gt;"",'ARDT Cutter Entry'!R116,'ARDT Cutter Entry'!R48))</f>
        <v/>
      </c>
      <c r="S23" s="167" t="str">
        <f>IF(OR(Data!$L$2=1,Data!$L$3=1),IF(OR(Data!CH51=0,Data!CH51=""),"","O"&amp;Data!CH51),IF('ARDT Cutter Entry'!$C$111&lt;&gt;"",'ARDT Cutter Entry'!S116,'ARDT Cutter Entry'!S48))</f>
        <v/>
      </c>
      <c r="T23" s="167" t="str">
        <f>IF(OR(Data!$L$2=1,Data!$L$3=1),IF(OR(Data!CI51=0,Data!CI51=""),"","O"&amp;Data!CI51),IF('ARDT Cutter Entry'!$C$111&lt;&gt;"",'ARDT Cutter Entry'!T116,'ARDT Cutter Entry'!T48))</f>
        <v/>
      </c>
      <c r="U23" s="167" t="str">
        <f>IF(OR(Data!$L$2=1,Data!$L$3=1),IF(OR(Data!CJ51=0,Data!CJ51=""),"","O"&amp;Data!CJ51),IF('ARDT Cutter Entry'!$C$111&lt;&gt;"",'ARDT Cutter Entry'!U116,'ARDT Cutter Entry'!U48))</f>
        <v/>
      </c>
      <c r="V23" s="167" t="str">
        <f>IF(OR(Data!$L$2=1,Data!$L$3=1),IF(OR(Data!CK51=0,Data!CK51=""),"","O"&amp;Data!CK51),IF('ARDT Cutter Entry'!$C$111&lt;&gt;"",'ARDT Cutter Entry'!V116,'ARDT Cutter Entry'!V48))</f>
        <v/>
      </c>
      <c r="W23" s="167" t="str">
        <f>IF(OR(Data!$L$2=1,Data!$L$3=1),IF(OR(Data!CL51=0,Data!CL51=""),"","O"&amp;Data!CL51),IF('ARDT Cutter Entry'!$C$111&lt;&gt;"",'ARDT Cutter Entry'!W116,'ARDT Cutter Entry'!W48))</f>
        <v/>
      </c>
      <c r="X23" s="167" t="str">
        <f>IF(OR(Data!$L$2=1,Data!$L$3=1),IF(OR(Data!CM51=0,Data!CM51=""),"","O"&amp;Data!CM51),IF('ARDT Cutter Entry'!$C$111&lt;&gt;"",'ARDT Cutter Entry'!X116,'ARDT Cutter Entry'!X48))</f>
        <v/>
      </c>
      <c r="Y23" s="167" t="str">
        <f>IF(OR(Data!$L$2=1,Data!$L$3=1),IF(OR(Data!CN51=0,Data!CN51=""),"","O"&amp;Data!CN51),IF('ARDT Cutter Entry'!$C$111&lt;&gt;"",'ARDT Cutter Entry'!Y116,'ARDT Cutter Entry'!Y48))</f>
        <v/>
      </c>
      <c r="Z23" s="167" t="str">
        <f>IF(OR(Data!$L$2=1,Data!$L$3=1),IF(OR(Data!CO51=0,Data!CO51=""),"","O"&amp;Data!CO51),IF('ARDT Cutter Entry'!$C$111&lt;&gt;"",'ARDT Cutter Entry'!Z116,'ARDT Cutter Entry'!Z48))</f>
        <v/>
      </c>
      <c r="AA23" s="167" t="str">
        <f>IF(OR(Data!$L$2=1,Data!$L$3=1),IF(OR(Data!CP51=0,Data!CP51=""),"","O"&amp;Data!CP51),IF('ARDT Cutter Entry'!$C$111&lt;&gt;"",'ARDT Cutter Entry'!AA116,'ARDT Cutter Entry'!AA48))</f>
        <v/>
      </c>
      <c r="AB23" s="167" t="str">
        <f>IF(OR(Data!$L$2=1,Data!$L$3=1),IF(OR(Data!CQ51=0,Data!CQ51=""),"","O"&amp;Data!CQ51),IF('ARDT Cutter Entry'!$C$111&lt;&gt;"",'ARDT Cutter Entry'!AB116,'ARDT Cutter Entry'!AB48))</f>
        <v/>
      </c>
      <c r="AC23" s="167" t="str">
        <f>IF(OR(Data!$L$2=1,Data!$L$3=1),IF(OR(Data!CR51=0,Data!CR51=""),"","O"&amp;Data!CR51),IF('ARDT Cutter Entry'!$C$111&lt;&gt;"",'ARDT Cutter Entry'!AC116,'ARDT Cutter Entry'!AC48))</f>
        <v/>
      </c>
      <c r="AD23" s="167" t="str">
        <f>IF(OR(Data!$L$2=1,Data!$L$3=1),IF(OR(Data!CS51=0,Data!CS51=""),"","O"&amp;Data!CS51),IF('ARDT Cutter Entry'!$C$111&lt;&gt;"",'ARDT Cutter Entry'!AD116,'ARDT Cutter Entry'!AD48))</f>
        <v/>
      </c>
      <c r="AE23" s="167" t="str">
        <f>IF(OR(Data!$L$2=1,Data!$L$3=1),IF(OR(Data!CT51=0,Data!CT51=""),"","O"&amp;Data!CT51),IF('ARDT Cutter Entry'!$C$111&lt;&gt;"",'ARDT Cutter Entry'!AE116,'ARDT Cutter Entry'!AE48))</f>
        <v/>
      </c>
      <c r="AF23" s="167" t="str">
        <f>IF(OR(Data!$L$2=1,Data!$L$3=1),IF(OR(Data!CU51=0,Data!CU51=""),"","O"&amp;Data!CU51),IF('ARDT Cutter Entry'!$C$111&lt;&gt;"",'ARDT Cutter Entry'!AF116,'ARDT Cutter Entry'!AF48))</f>
        <v/>
      </c>
      <c r="AG23" s="167" t="str">
        <f>IF(OR(Data!$L$2=1,Data!$L$3=1),IF(OR(Data!CV51=0,Data!CV51=""),"","O"&amp;Data!CV51),IF('ARDT Cutter Entry'!$C$111&lt;&gt;"",'ARDT Cutter Entry'!AG116,'ARDT Cutter Entry'!AG48))</f>
        <v/>
      </c>
      <c r="AH23" s="167" t="str">
        <f>IF(OR(Data!$L$2=1,Data!$L$3=1),IF(OR(Data!CW51=0,Data!CW51=""),"","O"&amp;Data!CW51),IF('ARDT Cutter Entry'!$C$111&lt;&gt;"",'ARDT Cutter Entry'!AH116,'ARDT Cutter Entry'!AH48))</f>
        <v/>
      </c>
      <c r="AI23" s="248" t="str">
        <f>IF(OR(Data!$L$2=1,Data!$L$3=1),IF(OR(Data!CX65=0,Data!CX65=""),"","O"&amp;Data!CX65),IF('ARDT Cutter Entry'!$C$111&lt;&gt;"",'ARDT Cutter Entry'!AI116,'ARDT Cutter Entry'!AI48))</f>
        <v/>
      </c>
    </row>
    <row r="24" spans="1:35" ht="15.75" customHeight="1" x14ac:dyDescent="0.25">
      <c r="A24" s="1986"/>
      <c r="B24" s="503">
        <v>7</v>
      </c>
      <c r="C24" s="167" t="str">
        <f>IF(OR(Data!$L$2=1,Data!$L$3=1),IF(OR(Data!BR52=0,Data!BR52=""),"","O"&amp;Data!BR52),IF('ARDT Cutter Entry'!$C$111&lt;&gt;"",'ARDT Cutter Entry'!C117,'ARDT Cutter Entry'!C49))</f>
        <v/>
      </c>
      <c r="D24" s="167" t="str">
        <f>IF(OR(Data!$L$2=1,Data!$L$3=1),IF(OR(Data!BS52=0,Data!BS52=""),"","O"&amp;Data!BS52),IF('ARDT Cutter Entry'!$C$111&lt;&gt;"",'ARDT Cutter Entry'!D117,'ARDT Cutter Entry'!D49))</f>
        <v/>
      </c>
      <c r="E24" s="167" t="str">
        <f>IF(OR(Data!$L$2=1,Data!$L$3=1),IF(OR(Data!BT52=0,Data!BT52=""),"","O"&amp;Data!BT52),IF('ARDT Cutter Entry'!$C$111&lt;&gt;"",'ARDT Cutter Entry'!E117,'ARDT Cutter Entry'!E49))</f>
        <v/>
      </c>
      <c r="F24" s="167" t="str">
        <f>IF(OR(Data!$L$2=1,Data!$L$3=1),IF(OR(Data!BU52=0,Data!BU52=""),"","O"&amp;Data!BU52),IF('ARDT Cutter Entry'!$C$111&lt;&gt;"",'ARDT Cutter Entry'!F117,'ARDT Cutter Entry'!F49))</f>
        <v/>
      </c>
      <c r="G24" s="167" t="str">
        <f>IF(OR(Data!$L$2=1,Data!$L$3=1),IF(OR(Data!BV52=0,Data!BV52=""),"","O"&amp;Data!BV52),IF('ARDT Cutter Entry'!$C$111&lt;&gt;"",'ARDT Cutter Entry'!G117,'ARDT Cutter Entry'!G49))</f>
        <v/>
      </c>
      <c r="H24" s="167" t="str">
        <f>IF(OR(Data!$L$2=1,Data!$L$3=1),IF(OR(Data!BW52=0,Data!BW52=""),"","O"&amp;Data!BW52),IF('ARDT Cutter Entry'!$C$111&lt;&gt;"",'ARDT Cutter Entry'!H117,'ARDT Cutter Entry'!H49))</f>
        <v/>
      </c>
      <c r="I24" s="167" t="str">
        <f>IF(OR(Data!$L$2=1,Data!$L$3=1),IF(OR(Data!BX52=0,Data!BX52=""),"","O"&amp;Data!BX52),IF('ARDT Cutter Entry'!$C$111&lt;&gt;"",'ARDT Cutter Entry'!I117,'ARDT Cutter Entry'!I49))</f>
        <v/>
      </c>
      <c r="J24" s="167" t="str">
        <f>IF(OR(Data!$L$2=1,Data!$L$3=1),IF(OR(Data!BY52=0,Data!BY52=""),"","O"&amp;Data!BY52),IF('ARDT Cutter Entry'!$C$111&lt;&gt;"",'ARDT Cutter Entry'!J117,'ARDT Cutter Entry'!J49))</f>
        <v/>
      </c>
      <c r="K24" s="167" t="str">
        <f>IF(OR(Data!$L$2=1,Data!$L$3=1),IF(OR(Data!BZ52=0,Data!BZ52=""),"","O"&amp;Data!BZ52),IF('ARDT Cutter Entry'!$C$111&lt;&gt;"",'ARDT Cutter Entry'!K117,'ARDT Cutter Entry'!K49))</f>
        <v/>
      </c>
      <c r="L24" s="167" t="str">
        <f>IF(OR(Data!$L$2=1,Data!$L$3=1),IF(OR(Data!CA52=0,Data!CA52=""),"","O"&amp;Data!CA52),IF('ARDT Cutter Entry'!$C$111&lt;&gt;"",'ARDT Cutter Entry'!L117,'ARDT Cutter Entry'!L49))</f>
        <v/>
      </c>
      <c r="M24" s="167" t="str">
        <f>IF(OR(Data!$L$2=1,Data!$L$3=1),IF(OR(Data!CB52=0,Data!CB52=""),"","O"&amp;Data!CB52),IF('ARDT Cutter Entry'!$C$111&lt;&gt;"",'ARDT Cutter Entry'!M117,'ARDT Cutter Entry'!M49))</f>
        <v/>
      </c>
      <c r="N24" s="167" t="str">
        <f>IF(OR(Data!$L$2=1,Data!$L$3=1),IF(OR(Data!CC52=0,Data!CC52=""),"","O"&amp;Data!CC52),IF('ARDT Cutter Entry'!$C$111&lt;&gt;"",'ARDT Cutter Entry'!N117,'ARDT Cutter Entry'!N49))</f>
        <v/>
      </c>
      <c r="O24" s="167" t="str">
        <f>IF(OR(Data!$L$2=1,Data!$L$3=1),IF(OR(Data!CD52=0,Data!CD52=""),"","O"&amp;Data!CD52),IF('ARDT Cutter Entry'!$C$111&lt;&gt;"",'ARDT Cutter Entry'!O117,'ARDT Cutter Entry'!O49))</f>
        <v/>
      </c>
      <c r="P24" s="167" t="str">
        <f>IF(OR(Data!$L$2=1,Data!$L$3=1),IF(OR(Data!CE52=0,Data!CE52=""),"","O"&amp;Data!CE52),IF('ARDT Cutter Entry'!$C$111&lt;&gt;"",'ARDT Cutter Entry'!P117,'ARDT Cutter Entry'!P49))</f>
        <v/>
      </c>
      <c r="Q24" s="167" t="str">
        <f>IF(OR(Data!$L$2=1,Data!$L$3=1),IF(OR(Data!CF52=0,Data!CF52=""),"","O"&amp;Data!CF52),IF('ARDT Cutter Entry'!$C$111&lt;&gt;"",'ARDT Cutter Entry'!Q117,'ARDT Cutter Entry'!Q49))</f>
        <v/>
      </c>
      <c r="R24" s="167" t="str">
        <f>IF(OR(Data!$L$2=1,Data!$L$3=1),IF(OR(Data!CG52=0,Data!CG52=""),"","O"&amp;Data!CG52),IF('ARDT Cutter Entry'!$C$111&lt;&gt;"",'ARDT Cutter Entry'!R117,'ARDT Cutter Entry'!R49))</f>
        <v/>
      </c>
      <c r="S24" s="167" t="str">
        <f>IF(OR(Data!$L$2=1,Data!$L$3=1),IF(OR(Data!CH52=0,Data!CH52=""),"","O"&amp;Data!CH52),IF('ARDT Cutter Entry'!$C$111&lt;&gt;"",'ARDT Cutter Entry'!S117,'ARDT Cutter Entry'!S49))</f>
        <v/>
      </c>
      <c r="T24" s="167" t="str">
        <f>IF(OR(Data!$L$2=1,Data!$L$3=1),IF(OR(Data!CI52=0,Data!CI52=""),"","O"&amp;Data!CI52),IF('ARDT Cutter Entry'!$C$111&lt;&gt;"",'ARDT Cutter Entry'!T117,'ARDT Cutter Entry'!T49))</f>
        <v/>
      </c>
      <c r="U24" s="167" t="str">
        <f>IF(OR(Data!$L$2=1,Data!$L$3=1),IF(OR(Data!CJ52=0,Data!CJ52=""),"","O"&amp;Data!CJ52),IF('ARDT Cutter Entry'!$C$111&lt;&gt;"",'ARDT Cutter Entry'!U117,'ARDT Cutter Entry'!U49))</f>
        <v/>
      </c>
      <c r="V24" s="167" t="str">
        <f>IF(OR(Data!$L$2=1,Data!$L$3=1),IF(OR(Data!CK52=0,Data!CK52=""),"","O"&amp;Data!CK52),IF('ARDT Cutter Entry'!$C$111&lt;&gt;"",'ARDT Cutter Entry'!V117,'ARDT Cutter Entry'!V49))</f>
        <v/>
      </c>
      <c r="W24" s="167" t="str">
        <f>IF(OR(Data!$L$2=1,Data!$L$3=1),IF(OR(Data!CL52=0,Data!CL52=""),"","O"&amp;Data!CL52),IF('ARDT Cutter Entry'!$C$111&lt;&gt;"",'ARDT Cutter Entry'!W117,'ARDT Cutter Entry'!W49))</f>
        <v/>
      </c>
      <c r="X24" s="167" t="str">
        <f>IF(OR(Data!$L$2=1,Data!$L$3=1),IF(OR(Data!CM52=0,Data!CM52=""),"","O"&amp;Data!CM52),IF('ARDT Cutter Entry'!$C$111&lt;&gt;"",'ARDT Cutter Entry'!X117,'ARDT Cutter Entry'!X49))</f>
        <v/>
      </c>
      <c r="Y24" s="167" t="str">
        <f>IF(OR(Data!$L$2=1,Data!$L$3=1),IF(OR(Data!CN52=0,Data!CN52=""),"","O"&amp;Data!CN52),IF('ARDT Cutter Entry'!$C$111&lt;&gt;"",'ARDT Cutter Entry'!Y117,'ARDT Cutter Entry'!Y49))</f>
        <v/>
      </c>
      <c r="Z24" s="167" t="str">
        <f>IF(OR(Data!$L$2=1,Data!$L$3=1),IF(OR(Data!CO52=0,Data!CO52=""),"","O"&amp;Data!CO52),IF('ARDT Cutter Entry'!$C$111&lt;&gt;"",'ARDT Cutter Entry'!Z117,'ARDT Cutter Entry'!Z49))</f>
        <v/>
      </c>
      <c r="AA24" s="167" t="str">
        <f>IF(OR(Data!$L$2=1,Data!$L$3=1),IF(OR(Data!CP52=0,Data!CP52=""),"","O"&amp;Data!CP52),IF('ARDT Cutter Entry'!$C$111&lt;&gt;"",'ARDT Cutter Entry'!AA117,'ARDT Cutter Entry'!AA49))</f>
        <v/>
      </c>
      <c r="AB24" s="167" t="str">
        <f>IF(OR(Data!$L$2=1,Data!$L$3=1),IF(OR(Data!CQ52=0,Data!CQ52=""),"","O"&amp;Data!CQ52),IF('ARDT Cutter Entry'!$C$111&lt;&gt;"",'ARDT Cutter Entry'!AB117,'ARDT Cutter Entry'!AB49))</f>
        <v/>
      </c>
      <c r="AC24" s="167" t="str">
        <f>IF(OR(Data!$L$2=1,Data!$L$3=1),IF(OR(Data!CR52=0,Data!CR52=""),"","O"&amp;Data!CR52),IF('ARDT Cutter Entry'!$C$111&lt;&gt;"",'ARDT Cutter Entry'!AC117,'ARDT Cutter Entry'!AC49))</f>
        <v/>
      </c>
      <c r="AD24" s="167" t="str">
        <f>IF(OR(Data!$L$2=1,Data!$L$3=1),IF(OR(Data!CS52=0,Data!CS52=""),"","O"&amp;Data!CS52),IF('ARDT Cutter Entry'!$C$111&lt;&gt;"",'ARDT Cutter Entry'!AD117,'ARDT Cutter Entry'!AD49))</f>
        <v/>
      </c>
      <c r="AE24" s="167" t="str">
        <f>IF(OR(Data!$L$2=1,Data!$L$3=1),IF(OR(Data!CT52=0,Data!CT52=""),"","O"&amp;Data!CT52),IF('ARDT Cutter Entry'!$C$111&lt;&gt;"",'ARDT Cutter Entry'!AE117,'ARDT Cutter Entry'!AE49))</f>
        <v/>
      </c>
      <c r="AF24" s="167" t="str">
        <f>IF(OR(Data!$L$2=1,Data!$L$3=1),IF(OR(Data!CU52=0,Data!CU52=""),"","O"&amp;Data!CU52),IF('ARDT Cutter Entry'!$C$111&lt;&gt;"",'ARDT Cutter Entry'!AF117,'ARDT Cutter Entry'!AF49))</f>
        <v/>
      </c>
      <c r="AG24" s="167" t="str">
        <f>IF(OR(Data!$L$2=1,Data!$L$3=1),IF(OR(Data!CV52=0,Data!CV52=""),"","O"&amp;Data!CV52),IF('ARDT Cutter Entry'!$C$111&lt;&gt;"",'ARDT Cutter Entry'!AG117,'ARDT Cutter Entry'!AG49))</f>
        <v/>
      </c>
      <c r="AH24" s="167" t="str">
        <f>IF(OR(Data!$L$2=1,Data!$L$3=1),IF(OR(Data!CW52=0,Data!CW52=""),"","O"&amp;Data!CW52),IF('ARDT Cutter Entry'!$C$111&lt;&gt;"",'ARDT Cutter Entry'!AH117,'ARDT Cutter Entry'!AH49))</f>
        <v/>
      </c>
      <c r="AI24" s="248" t="str">
        <f>IF(OR(Data!$L$2=1,Data!$L$3=1),IF(OR(Data!CX66=0,Data!CX66=""),"","O"&amp;Data!CX66),IF('ARDT Cutter Entry'!$C$111&lt;&gt;"",'ARDT Cutter Entry'!AI117,'ARDT Cutter Entry'!AI49))</f>
        <v/>
      </c>
    </row>
    <row r="25" spans="1:35" ht="15.75" customHeight="1" x14ac:dyDescent="0.25">
      <c r="A25" s="1986"/>
      <c r="B25" s="503">
        <v>8</v>
      </c>
      <c r="C25" s="167" t="str">
        <f>IF(OR(Data!$L$2=1,Data!$L$3=1),IF(OR(Data!BR53=0,Data!BR53=""),"","O"&amp;Data!BR53),IF('ARDT Cutter Entry'!$C$111&lt;&gt;"",'ARDT Cutter Entry'!C118,'ARDT Cutter Entry'!C50))</f>
        <v/>
      </c>
      <c r="D25" s="167" t="str">
        <f>IF(OR(Data!$L$2=1,Data!$L$3=1),IF(OR(Data!BS53=0,Data!BS53=""),"","O"&amp;Data!BS53),IF('ARDT Cutter Entry'!$C$111&lt;&gt;"",'ARDT Cutter Entry'!D118,'ARDT Cutter Entry'!D50))</f>
        <v/>
      </c>
      <c r="E25" s="167" t="str">
        <f>IF(OR(Data!$L$2=1,Data!$L$3=1),IF(OR(Data!BT53=0,Data!BT53=""),"","O"&amp;Data!BT53),IF('ARDT Cutter Entry'!$C$111&lt;&gt;"",'ARDT Cutter Entry'!E118,'ARDT Cutter Entry'!E50))</f>
        <v/>
      </c>
      <c r="F25" s="167" t="str">
        <f>IF(OR(Data!$L$2=1,Data!$L$3=1),IF(OR(Data!BU53=0,Data!BU53=""),"","O"&amp;Data!BU53),IF('ARDT Cutter Entry'!$C$111&lt;&gt;"",'ARDT Cutter Entry'!F118,'ARDT Cutter Entry'!F50))</f>
        <v/>
      </c>
      <c r="G25" s="167" t="str">
        <f>IF(OR(Data!$L$2=1,Data!$L$3=1),IF(OR(Data!BV53=0,Data!BV53=""),"","O"&amp;Data!BV53),IF('ARDT Cutter Entry'!$C$111&lt;&gt;"",'ARDT Cutter Entry'!G118,'ARDT Cutter Entry'!G50))</f>
        <v/>
      </c>
      <c r="H25" s="167" t="str">
        <f>IF(OR(Data!$L$2=1,Data!$L$3=1),IF(OR(Data!BW53=0,Data!BW53=""),"","O"&amp;Data!BW53),IF('ARDT Cutter Entry'!$C$111&lt;&gt;"",'ARDT Cutter Entry'!H118,'ARDT Cutter Entry'!H50))</f>
        <v/>
      </c>
      <c r="I25" s="167" t="str">
        <f>IF(OR(Data!$L$2=1,Data!$L$3=1),IF(OR(Data!BX53=0,Data!BX53=""),"","O"&amp;Data!BX53),IF('ARDT Cutter Entry'!$C$111&lt;&gt;"",'ARDT Cutter Entry'!I118,'ARDT Cutter Entry'!I50))</f>
        <v/>
      </c>
      <c r="J25" s="167" t="str">
        <f>IF(OR(Data!$L$2=1,Data!$L$3=1),IF(OR(Data!BY53=0,Data!BY53=""),"","O"&amp;Data!BY53),IF('ARDT Cutter Entry'!$C$111&lt;&gt;"",'ARDT Cutter Entry'!J118,'ARDT Cutter Entry'!J50))</f>
        <v/>
      </c>
      <c r="K25" s="167" t="str">
        <f>IF(OR(Data!$L$2=1,Data!$L$3=1),IF(OR(Data!BZ53=0,Data!BZ53=""),"","O"&amp;Data!BZ53),IF('ARDT Cutter Entry'!$C$111&lt;&gt;"",'ARDT Cutter Entry'!K118,'ARDT Cutter Entry'!K50))</f>
        <v/>
      </c>
      <c r="L25" s="167" t="str">
        <f>IF(OR(Data!$L$2=1,Data!$L$3=1),IF(OR(Data!CA53=0,Data!CA53=""),"","O"&amp;Data!CA53),IF('ARDT Cutter Entry'!$C$111&lt;&gt;"",'ARDT Cutter Entry'!L118,'ARDT Cutter Entry'!L50))</f>
        <v/>
      </c>
      <c r="M25" s="167" t="str">
        <f>IF(OR(Data!$L$2=1,Data!$L$3=1),IF(OR(Data!CB53=0,Data!CB53=""),"","O"&amp;Data!CB53),IF('ARDT Cutter Entry'!$C$111&lt;&gt;"",'ARDT Cutter Entry'!M118,'ARDT Cutter Entry'!M50))</f>
        <v/>
      </c>
      <c r="N25" s="167" t="str">
        <f>IF(OR(Data!$L$2=1,Data!$L$3=1),IF(OR(Data!CC53=0,Data!CC53=""),"","O"&amp;Data!CC53),IF('ARDT Cutter Entry'!$C$111&lt;&gt;"",'ARDT Cutter Entry'!N118,'ARDT Cutter Entry'!N50))</f>
        <v/>
      </c>
      <c r="O25" s="167" t="str">
        <f>IF(OR(Data!$L$2=1,Data!$L$3=1),IF(OR(Data!CD53=0,Data!CD53=""),"","O"&amp;Data!CD53),IF('ARDT Cutter Entry'!$C$111&lt;&gt;"",'ARDT Cutter Entry'!O118,'ARDT Cutter Entry'!O50))</f>
        <v/>
      </c>
      <c r="P25" s="167" t="str">
        <f>IF(OR(Data!$L$2=1,Data!$L$3=1),IF(OR(Data!CE53=0,Data!CE53=""),"","O"&amp;Data!CE53),IF('ARDT Cutter Entry'!$C$111&lt;&gt;"",'ARDT Cutter Entry'!P118,'ARDT Cutter Entry'!P50))</f>
        <v/>
      </c>
      <c r="Q25" s="167" t="str">
        <f>IF(OR(Data!$L$2=1,Data!$L$3=1),IF(OR(Data!CF53=0,Data!CF53=""),"","O"&amp;Data!CF53),IF('ARDT Cutter Entry'!$C$111&lt;&gt;"",'ARDT Cutter Entry'!Q118,'ARDT Cutter Entry'!Q50))</f>
        <v/>
      </c>
      <c r="R25" s="167" t="str">
        <f>IF(OR(Data!$L$2=1,Data!$L$3=1),IF(OR(Data!CG53=0,Data!CG53=""),"","O"&amp;Data!CG53),IF('ARDT Cutter Entry'!$C$111&lt;&gt;"",'ARDT Cutter Entry'!R118,'ARDT Cutter Entry'!R50))</f>
        <v/>
      </c>
      <c r="S25" s="167" t="str">
        <f>IF(OR(Data!$L$2=1,Data!$L$3=1),IF(OR(Data!CH53=0,Data!CH53=""),"","O"&amp;Data!CH53),IF('ARDT Cutter Entry'!$C$111&lt;&gt;"",'ARDT Cutter Entry'!S118,'ARDT Cutter Entry'!S50))</f>
        <v/>
      </c>
      <c r="T25" s="167" t="str">
        <f>IF(OR(Data!$L$2=1,Data!$L$3=1),IF(OR(Data!CI53=0,Data!CI53=""),"","O"&amp;Data!CI53),IF('ARDT Cutter Entry'!$C$111&lt;&gt;"",'ARDT Cutter Entry'!T118,'ARDT Cutter Entry'!T50))</f>
        <v/>
      </c>
      <c r="U25" s="167" t="str">
        <f>IF(OR(Data!$L$2=1,Data!$L$3=1),IF(OR(Data!CJ53=0,Data!CJ53=""),"","O"&amp;Data!CJ53),IF('ARDT Cutter Entry'!$C$111&lt;&gt;"",'ARDT Cutter Entry'!U118,'ARDT Cutter Entry'!U50))</f>
        <v/>
      </c>
      <c r="V25" s="167" t="str">
        <f>IF(OR(Data!$L$2=1,Data!$L$3=1),IF(OR(Data!CK53=0,Data!CK53=""),"","O"&amp;Data!CK53),IF('ARDT Cutter Entry'!$C$111&lt;&gt;"",'ARDT Cutter Entry'!V118,'ARDT Cutter Entry'!V50))</f>
        <v/>
      </c>
      <c r="W25" s="167" t="str">
        <f>IF(OR(Data!$L$2=1,Data!$L$3=1),IF(OR(Data!CL53=0,Data!CL53=""),"","O"&amp;Data!CL53),IF('ARDT Cutter Entry'!$C$111&lt;&gt;"",'ARDT Cutter Entry'!W118,'ARDT Cutter Entry'!W50))</f>
        <v/>
      </c>
      <c r="X25" s="167" t="str">
        <f>IF(OR(Data!$L$2=1,Data!$L$3=1),IF(OR(Data!CM53=0,Data!CM53=""),"","O"&amp;Data!CM53),IF('ARDT Cutter Entry'!$C$111&lt;&gt;"",'ARDT Cutter Entry'!X118,'ARDT Cutter Entry'!X50))</f>
        <v/>
      </c>
      <c r="Y25" s="167" t="str">
        <f>IF(OR(Data!$L$2=1,Data!$L$3=1),IF(OR(Data!CN53=0,Data!CN53=""),"","O"&amp;Data!CN53),IF('ARDT Cutter Entry'!$C$111&lt;&gt;"",'ARDT Cutter Entry'!Y118,'ARDT Cutter Entry'!Y50))</f>
        <v/>
      </c>
      <c r="Z25" s="167" t="str">
        <f>IF(OR(Data!$L$2=1,Data!$L$3=1),IF(OR(Data!CO53=0,Data!CO53=""),"","O"&amp;Data!CO53),IF('ARDT Cutter Entry'!$C$111&lt;&gt;"",'ARDT Cutter Entry'!Z118,'ARDT Cutter Entry'!Z50))</f>
        <v/>
      </c>
      <c r="AA25" s="167" t="str">
        <f>IF(OR(Data!$L$2=1,Data!$L$3=1),IF(OR(Data!CP53=0,Data!CP53=""),"","O"&amp;Data!CP53),IF('ARDT Cutter Entry'!$C$111&lt;&gt;"",'ARDT Cutter Entry'!AA118,'ARDT Cutter Entry'!AA50))</f>
        <v/>
      </c>
      <c r="AB25" s="167" t="str">
        <f>IF(OR(Data!$L$2=1,Data!$L$3=1),IF(OR(Data!CQ53=0,Data!CQ53=""),"","O"&amp;Data!CQ53),IF('ARDT Cutter Entry'!$C$111&lt;&gt;"",'ARDT Cutter Entry'!AB118,'ARDT Cutter Entry'!AB50))</f>
        <v/>
      </c>
      <c r="AC25" s="167" t="str">
        <f>IF(OR(Data!$L$2=1,Data!$L$3=1),IF(OR(Data!CR53=0,Data!CR53=""),"","O"&amp;Data!CR53),IF('ARDT Cutter Entry'!$C$111&lt;&gt;"",'ARDT Cutter Entry'!AC118,'ARDT Cutter Entry'!AC50))</f>
        <v/>
      </c>
      <c r="AD25" s="167" t="str">
        <f>IF(OR(Data!$L$2=1,Data!$L$3=1),IF(OR(Data!CS53=0,Data!CS53=""),"","O"&amp;Data!CS53),IF('ARDT Cutter Entry'!$C$111&lt;&gt;"",'ARDT Cutter Entry'!AD118,'ARDT Cutter Entry'!AD50))</f>
        <v/>
      </c>
      <c r="AE25" s="167" t="str">
        <f>IF(OR(Data!$L$2=1,Data!$L$3=1),IF(OR(Data!CT53=0,Data!CT53=""),"","O"&amp;Data!CT53),IF('ARDT Cutter Entry'!$C$111&lt;&gt;"",'ARDT Cutter Entry'!AE118,'ARDT Cutter Entry'!AE50))</f>
        <v/>
      </c>
      <c r="AF25" s="167" t="str">
        <f>IF(OR(Data!$L$2=1,Data!$L$3=1),IF(OR(Data!CU53=0,Data!CU53=""),"","O"&amp;Data!CU53),IF('ARDT Cutter Entry'!$C$111&lt;&gt;"",'ARDT Cutter Entry'!AF118,'ARDT Cutter Entry'!AF50))</f>
        <v/>
      </c>
      <c r="AG25" s="167" t="str">
        <f>IF(OR(Data!$L$2=1,Data!$L$3=1),IF(OR(Data!CV53=0,Data!CV53=""),"","O"&amp;Data!CV53),IF('ARDT Cutter Entry'!$C$111&lt;&gt;"",'ARDT Cutter Entry'!AG118,'ARDT Cutter Entry'!AG50))</f>
        <v/>
      </c>
      <c r="AH25" s="167" t="str">
        <f>IF(OR(Data!$L$2=1,Data!$L$3=1),IF(OR(Data!CW53=0,Data!CW53=""),"","O"&amp;Data!CW53),IF('ARDT Cutter Entry'!$C$111&lt;&gt;"",'ARDT Cutter Entry'!AH118,'ARDT Cutter Entry'!AH50))</f>
        <v/>
      </c>
      <c r="AI25" s="248" t="str">
        <f>IF(OR(Data!$L$2=1,Data!$L$3=1),IF(OR(Data!CX67=0,Data!CX67=""),"","O"&amp;Data!CX67),IF('ARDT Cutter Entry'!$C$111&lt;&gt;"",'ARDT Cutter Entry'!AI118,'ARDT Cutter Entry'!AI50))</f>
        <v/>
      </c>
    </row>
    <row r="26" spans="1:35" ht="15.75" customHeight="1" x14ac:dyDescent="0.25">
      <c r="A26" s="1986"/>
      <c r="B26" s="503">
        <v>9</v>
      </c>
      <c r="C26" s="167" t="str">
        <f>IF(OR(Data!$L$2=1,Data!$L$3=1),IF(OR(Data!BR54=0,Data!BR54=""),"","O"&amp;Data!BR54),IF('ARDT Cutter Entry'!$C$111&lt;&gt;"",'ARDT Cutter Entry'!C119,'ARDT Cutter Entry'!C51))</f>
        <v/>
      </c>
      <c r="D26" s="167" t="str">
        <f>IF(OR(Data!$L$2=1,Data!$L$3=1),IF(OR(Data!BS54=0,Data!BS54=""),"","O"&amp;Data!BS54),IF('ARDT Cutter Entry'!$C$111&lt;&gt;"",'ARDT Cutter Entry'!D119,'ARDT Cutter Entry'!D51))</f>
        <v/>
      </c>
      <c r="E26" s="167" t="str">
        <f>IF(OR(Data!$L$2=1,Data!$L$3=1),IF(OR(Data!BT54=0,Data!BT54=""),"","O"&amp;Data!BT54),IF('ARDT Cutter Entry'!$C$111&lt;&gt;"",'ARDT Cutter Entry'!E119,'ARDT Cutter Entry'!E51))</f>
        <v/>
      </c>
      <c r="F26" s="167" t="str">
        <f>IF(OR(Data!$L$2=1,Data!$L$3=1),IF(OR(Data!BU54=0,Data!BU54=""),"","O"&amp;Data!BU54),IF('ARDT Cutter Entry'!$C$111&lt;&gt;"",'ARDT Cutter Entry'!F119,'ARDT Cutter Entry'!F51))</f>
        <v/>
      </c>
      <c r="G26" s="167" t="str">
        <f>IF(OR(Data!$L$2=1,Data!$L$3=1),IF(OR(Data!BV54=0,Data!BV54=""),"","O"&amp;Data!BV54),IF('ARDT Cutter Entry'!$C$111&lt;&gt;"",'ARDT Cutter Entry'!G119,'ARDT Cutter Entry'!G51))</f>
        <v/>
      </c>
      <c r="H26" s="167" t="str">
        <f>IF(OR(Data!$L$2=1,Data!$L$3=1),IF(OR(Data!BW54=0,Data!BW54=""),"","O"&amp;Data!BW54),IF('ARDT Cutter Entry'!$C$111&lt;&gt;"",'ARDT Cutter Entry'!H119,'ARDT Cutter Entry'!H51))</f>
        <v/>
      </c>
      <c r="I26" s="167" t="str">
        <f>IF(OR(Data!$L$2=1,Data!$L$3=1),IF(OR(Data!BX54=0,Data!BX54=""),"","O"&amp;Data!BX54),IF('ARDT Cutter Entry'!$C$111&lt;&gt;"",'ARDT Cutter Entry'!I119,'ARDT Cutter Entry'!I51))</f>
        <v/>
      </c>
      <c r="J26" s="167" t="str">
        <f>IF(OR(Data!$L$2=1,Data!$L$3=1),IF(OR(Data!BY54=0,Data!BY54=""),"","O"&amp;Data!BY54),IF('ARDT Cutter Entry'!$C$111&lt;&gt;"",'ARDT Cutter Entry'!J119,'ARDT Cutter Entry'!J51))</f>
        <v/>
      </c>
      <c r="K26" s="167" t="str">
        <f>IF(OR(Data!$L$2=1,Data!$L$3=1),IF(OR(Data!BZ54=0,Data!BZ54=""),"","O"&amp;Data!BZ54),IF('ARDT Cutter Entry'!$C$111&lt;&gt;"",'ARDT Cutter Entry'!K119,'ARDT Cutter Entry'!K51))</f>
        <v/>
      </c>
      <c r="L26" s="167" t="str">
        <f>IF(OR(Data!$L$2=1,Data!$L$3=1),IF(OR(Data!CA54=0,Data!CA54=""),"","O"&amp;Data!CA54),IF('ARDT Cutter Entry'!$C$111&lt;&gt;"",'ARDT Cutter Entry'!L119,'ARDT Cutter Entry'!L51))</f>
        <v/>
      </c>
      <c r="M26" s="167" t="str">
        <f>IF(OR(Data!$L$2=1,Data!$L$3=1),IF(OR(Data!CB54=0,Data!CB54=""),"","O"&amp;Data!CB54),IF('ARDT Cutter Entry'!$C$111&lt;&gt;"",'ARDT Cutter Entry'!M119,'ARDT Cutter Entry'!M51))</f>
        <v/>
      </c>
      <c r="N26" s="167" t="str">
        <f>IF(OR(Data!$L$2=1,Data!$L$3=1),IF(OR(Data!CC54=0,Data!CC54=""),"","O"&amp;Data!CC54),IF('ARDT Cutter Entry'!$C$111&lt;&gt;"",'ARDT Cutter Entry'!N119,'ARDT Cutter Entry'!N51))</f>
        <v/>
      </c>
      <c r="O26" s="167" t="str">
        <f>IF(OR(Data!$L$2=1,Data!$L$3=1),IF(OR(Data!CD54=0,Data!CD54=""),"","O"&amp;Data!CD54),IF('ARDT Cutter Entry'!$C$111&lt;&gt;"",'ARDT Cutter Entry'!O119,'ARDT Cutter Entry'!O51))</f>
        <v/>
      </c>
      <c r="P26" s="167" t="str">
        <f>IF(OR(Data!$L$2=1,Data!$L$3=1),IF(OR(Data!CE54=0,Data!CE54=""),"","O"&amp;Data!CE54),IF('ARDT Cutter Entry'!$C$111&lt;&gt;"",'ARDT Cutter Entry'!P119,'ARDT Cutter Entry'!P51))</f>
        <v/>
      </c>
      <c r="Q26" s="167" t="str">
        <f>IF(OR(Data!$L$2=1,Data!$L$3=1),IF(OR(Data!CF54=0,Data!CF54=""),"","O"&amp;Data!CF54),IF('ARDT Cutter Entry'!$C$111&lt;&gt;"",'ARDT Cutter Entry'!Q119,'ARDT Cutter Entry'!Q51))</f>
        <v/>
      </c>
      <c r="R26" s="167" t="str">
        <f>IF(OR(Data!$L$2=1,Data!$L$3=1),IF(OR(Data!CG54=0,Data!CG54=""),"","O"&amp;Data!CG54),IF('ARDT Cutter Entry'!$C$111&lt;&gt;"",'ARDT Cutter Entry'!R119,'ARDT Cutter Entry'!R51))</f>
        <v/>
      </c>
      <c r="S26" s="167" t="str">
        <f>IF(OR(Data!$L$2=1,Data!$L$3=1),IF(OR(Data!CH54=0,Data!CH54=""),"","O"&amp;Data!CH54),IF('ARDT Cutter Entry'!$C$111&lt;&gt;"",'ARDT Cutter Entry'!S119,'ARDT Cutter Entry'!S51))</f>
        <v/>
      </c>
      <c r="T26" s="167" t="str">
        <f>IF(OR(Data!$L$2=1,Data!$L$3=1),IF(OR(Data!CI54=0,Data!CI54=""),"","O"&amp;Data!CI54),IF('ARDT Cutter Entry'!$C$111&lt;&gt;"",'ARDT Cutter Entry'!T119,'ARDT Cutter Entry'!T51))</f>
        <v/>
      </c>
      <c r="U26" s="167" t="str">
        <f>IF(OR(Data!$L$2=1,Data!$L$3=1),IF(OR(Data!CJ54=0,Data!CJ54=""),"","O"&amp;Data!CJ54),IF('ARDT Cutter Entry'!$C$111&lt;&gt;"",'ARDT Cutter Entry'!U119,'ARDT Cutter Entry'!U51))</f>
        <v/>
      </c>
      <c r="V26" s="167" t="str">
        <f>IF(OR(Data!$L$2=1,Data!$L$3=1),IF(OR(Data!CK54=0,Data!CK54=""),"","O"&amp;Data!CK54),IF('ARDT Cutter Entry'!$C$111&lt;&gt;"",'ARDT Cutter Entry'!V119,'ARDT Cutter Entry'!V51))</f>
        <v/>
      </c>
      <c r="W26" s="167" t="str">
        <f>IF(OR(Data!$L$2=1,Data!$L$3=1),IF(OR(Data!CL54=0,Data!CL54=""),"","O"&amp;Data!CL54),IF('ARDT Cutter Entry'!$C$111&lt;&gt;"",'ARDT Cutter Entry'!W119,'ARDT Cutter Entry'!W51))</f>
        <v/>
      </c>
      <c r="X26" s="167" t="str">
        <f>IF(OR(Data!$L$2=1,Data!$L$3=1),IF(OR(Data!CM54=0,Data!CM54=""),"","O"&amp;Data!CM54),IF('ARDT Cutter Entry'!$C$111&lt;&gt;"",'ARDT Cutter Entry'!X119,'ARDT Cutter Entry'!X51))</f>
        <v/>
      </c>
      <c r="Y26" s="167" t="str">
        <f>IF(OR(Data!$L$2=1,Data!$L$3=1),IF(OR(Data!CN54=0,Data!CN54=""),"","O"&amp;Data!CN54),IF('ARDT Cutter Entry'!$C$111&lt;&gt;"",'ARDT Cutter Entry'!Y119,'ARDT Cutter Entry'!Y51))</f>
        <v/>
      </c>
      <c r="Z26" s="167" t="str">
        <f>IF(OR(Data!$L$2=1,Data!$L$3=1),IF(OR(Data!CO54=0,Data!CO54=""),"","O"&amp;Data!CO54),IF('ARDT Cutter Entry'!$C$111&lt;&gt;"",'ARDT Cutter Entry'!Z119,'ARDT Cutter Entry'!Z51))</f>
        <v/>
      </c>
      <c r="AA26" s="167" t="str">
        <f>IF(OR(Data!$L$2=1,Data!$L$3=1),IF(OR(Data!CP54=0,Data!CP54=""),"","O"&amp;Data!CP54),IF('ARDT Cutter Entry'!$C$111&lt;&gt;"",'ARDT Cutter Entry'!AA119,'ARDT Cutter Entry'!AA51))</f>
        <v/>
      </c>
      <c r="AB26" s="167" t="str">
        <f>IF(OR(Data!$L$2=1,Data!$L$3=1),IF(OR(Data!CQ54=0,Data!CQ54=""),"","O"&amp;Data!CQ54),IF('ARDT Cutter Entry'!$C$111&lt;&gt;"",'ARDT Cutter Entry'!AB119,'ARDT Cutter Entry'!AB51))</f>
        <v/>
      </c>
      <c r="AC26" s="167" t="str">
        <f>IF(OR(Data!$L$2=1,Data!$L$3=1),IF(OR(Data!CR54=0,Data!CR54=""),"","O"&amp;Data!CR54),IF('ARDT Cutter Entry'!$C$111&lt;&gt;"",'ARDT Cutter Entry'!AC119,'ARDT Cutter Entry'!AC51))</f>
        <v/>
      </c>
      <c r="AD26" s="167" t="str">
        <f>IF(OR(Data!$L$2=1,Data!$L$3=1),IF(OR(Data!CS54=0,Data!CS54=""),"","O"&amp;Data!CS54),IF('ARDT Cutter Entry'!$C$111&lt;&gt;"",'ARDT Cutter Entry'!AD119,'ARDT Cutter Entry'!AD51))</f>
        <v/>
      </c>
      <c r="AE26" s="167" t="str">
        <f>IF(OR(Data!$L$2=1,Data!$L$3=1),IF(OR(Data!CT54=0,Data!CT54=""),"","O"&amp;Data!CT54),IF('ARDT Cutter Entry'!$C$111&lt;&gt;"",'ARDT Cutter Entry'!AE119,'ARDT Cutter Entry'!AE51))</f>
        <v/>
      </c>
      <c r="AF26" s="167" t="str">
        <f>IF(OR(Data!$L$2=1,Data!$L$3=1),IF(OR(Data!CU54=0,Data!CU54=""),"","O"&amp;Data!CU54),IF('ARDT Cutter Entry'!$C$111&lt;&gt;"",'ARDT Cutter Entry'!AF119,'ARDT Cutter Entry'!AF51))</f>
        <v/>
      </c>
      <c r="AG26" s="167" t="str">
        <f>IF(OR(Data!$L$2=1,Data!$L$3=1),IF(OR(Data!CV54=0,Data!CV54=""),"","O"&amp;Data!CV54),IF('ARDT Cutter Entry'!$C$111&lt;&gt;"",'ARDT Cutter Entry'!AG119,'ARDT Cutter Entry'!AG51))</f>
        <v/>
      </c>
      <c r="AH26" s="167" t="str">
        <f>IF(OR(Data!$L$2=1,Data!$L$3=1),IF(OR(Data!CW54=0,Data!CW54=""),"","O"&amp;Data!CW54),IF('ARDT Cutter Entry'!$C$111&lt;&gt;"",'ARDT Cutter Entry'!AH119,'ARDT Cutter Entry'!AH51))</f>
        <v/>
      </c>
      <c r="AI26" s="248" t="str">
        <f>IF(OR(Data!$L$2=1,Data!$L$3=1),IF(OR(Data!CX68=0,Data!CX68=""),"","O"&amp;Data!CX68),IF('ARDT Cutter Entry'!$C$111&lt;&gt;"",'ARDT Cutter Entry'!AI119,'ARDT Cutter Entry'!AI51))</f>
        <v/>
      </c>
    </row>
    <row r="27" spans="1:35" ht="15.75" customHeight="1" x14ac:dyDescent="0.25">
      <c r="A27" s="1986"/>
      <c r="B27" s="503">
        <v>10</v>
      </c>
      <c r="C27" s="167" t="str">
        <f>IF(OR(Data!$L$2=1,Data!$L$3=1),IF(OR(Data!BR55=0,Data!BR55=""),"","O"&amp;Data!BR55),IF('ARDT Cutter Entry'!$C$111&lt;&gt;"",'ARDT Cutter Entry'!C120,'ARDT Cutter Entry'!C52))</f>
        <v/>
      </c>
      <c r="D27" s="167" t="str">
        <f>IF(OR(Data!$L$2=1,Data!$L$3=1),IF(OR(Data!BS55=0,Data!BS55=""),"","O"&amp;Data!BS55),IF('ARDT Cutter Entry'!$C$111&lt;&gt;"",'ARDT Cutter Entry'!D120,'ARDT Cutter Entry'!D52))</f>
        <v/>
      </c>
      <c r="E27" s="167" t="str">
        <f>IF(OR(Data!$L$2=1,Data!$L$3=1),IF(OR(Data!BT55=0,Data!BT55=""),"","O"&amp;Data!BT55),IF('ARDT Cutter Entry'!$C$111&lt;&gt;"",'ARDT Cutter Entry'!E120,'ARDT Cutter Entry'!E52))</f>
        <v/>
      </c>
      <c r="F27" s="167" t="str">
        <f>IF(OR(Data!$L$2=1,Data!$L$3=1),IF(OR(Data!BU55=0,Data!BU55=""),"","O"&amp;Data!BU55),IF('ARDT Cutter Entry'!$C$111&lt;&gt;"",'ARDT Cutter Entry'!F120,'ARDT Cutter Entry'!F52))</f>
        <v/>
      </c>
      <c r="G27" s="167" t="str">
        <f>IF(OR(Data!$L$2=1,Data!$L$3=1),IF(OR(Data!BV55=0,Data!BV55=""),"","O"&amp;Data!BV55),IF('ARDT Cutter Entry'!$C$111&lt;&gt;"",'ARDT Cutter Entry'!G120,'ARDT Cutter Entry'!G52))</f>
        <v/>
      </c>
      <c r="H27" s="167" t="str">
        <f>IF(OR(Data!$L$2=1,Data!$L$3=1),IF(OR(Data!BW55=0,Data!BW55=""),"","O"&amp;Data!BW55),IF('ARDT Cutter Entry'!$C$111&lt;&gt;"",'ARDT Cutter Entry'!H120,'ARDT Cutter Entry'!H52))</f>
        <v/>
      </c>
      <c r="I27" s="167" t="str">
        <f>IF(OR(Data!$L$2=1,Data!$L$3=1),IF(OR(Data!BX55=0,Data!BX55=""),"","O"&amp;Data!BX55),IF('ARDT Cutter Entry'!$C$111&lt;&gt;"",'ARDT Cutter Entry'!I120,'ARDT Cutter Entry'!I52))</f>
        <v/>
      </c>
      <c r="J27" s="167" t="str">
        <f>IF(OR(Data!$L$2=1,Data!$L$3=1),IF(OR(Data!BY55=0,Data!BY55=""),"","O"&amp;Data!BY55),IF('ARDT Cutter Entry'!$C$111&lt;&gt;"",'ARDT Cutter Entry'!J120,'ARDT Cutter Entry'!J52))</f>
        <v/>
      </c>
      <c r="K27" s="167" t="str">
        <f>IF(OR(Data!$L$2=1,Data!$L$3=1),IF(OR(Data!BZ55=0,Data!BZ55=""),"","O"&amp;Data!BZ55),IF('ARDT Cutter Entry'!$C$111&lt;&gt;"",'ARDT Cutter Entry'!K120,'ARDT Cutter Entry'!K52))</f>
        <v/>
      </c>
      <c r="L27" s="167" t="str">
        <f>IF(OR(Data!$L$2=1,Data!$L$3=1),IF(OR(Data!CA55=0,Data!CA55=""),"","O"&amp;Data!CA55),IF('ARDT Cutter Entry'!$C$111&lt;&gt;"",'ARDT Cutter Entry'!L120,'ARDT Cutter Entry'!L52))</f>
        <v/>
      </c>
      <c r="M27" s="167" t="str">
        <f>IF(OR(Data!$L$2=1,Data!$L$3=1),IF(OR(Data!CB55=0,Data!CB55=""),"","O"&amp;Data!CB55),IF('ARDT Cutter Entry'!$C$111&lt;&gt;"",'ARDT Cutter Entry'!M120,'ARDT Cutter Entry'!M52))</f>
        <v/>
      </c>
      <c r="N27" s="167" t="str">
        <f>IF(OR(Data!$L$2=1,Data!$L$3=1),IF(OR(Data!CC55=0,Data!CC55=""),"","O"&amp;Data!CC55),IF('ARDT Cutter Entry'!$C$111&lt;&gt;"",'ARDT Cutter Entry'!N120,'ARDT Cutter Entry'!N52))</f>
        <v/>
      </c>
      <c r="O27" s="167" t="str">
        <f>IF(OR(Data!$L$2=1,Data!$L$3=1),IF(OR(Data!CD55=0,Data!CD55=""),"","O"&amp;Data!CD55),IF('ARDT Cutter Entry'!$C$111&lt;&gt;"",'ARDT Cutter Entry'!O120,'ARDT Cutter Entry'!O52))</f>
        <v/>
      </c>
      <c r="P27" s="167" t="str">
        <f>IF(OR(Data!$L$2=1,Data!$L$3=1),IF(OR(Data!CE55=0,Data!CE55=""),"","O"&amp;Data!CE55),IF('ARDT Cutter Entry'!$C$111&lt;&gt;"",'ARDT Cutter Entry'!P120,'ARDT Cutter Entry'!P52))</f>
        <v/>
      </c>
      <c r="Q27" s="167" t="str">
        <f>IF(OR(Data!$L$2=1,Data!$L$3=1),IF(OR(Data!CF55=0,Data!CF55=""),"","O"&amp;Data!CF55),IF('ARDT Cutter Entry'!$C$111&lt;&gt;"",'ARDT Cutter Entry'!Q120,'ARDT Cutter Entry'!Q52))</f>
        <v/>
      </c>
      <c r="R27" s="167" t="str">
        <f>IF(OR(Data!$L$2=1,Data!$L$3=1),IF(OR(Data!CG55=0,Data!CG55=""),"","O"&amp;Data!CG55),IF('ARDT Cutter Entry'!$C$111&lt;&gt;"",'ARDT Cutter Entry'!R120,'ARDT Cutter Entry'!R52))</f>
        <v/>
      </c>
      <c r="S27" s="167" t="str">
        <f>IF(OR(Data!$L$2=1,Data!$L$3=1),IF(OR(Data!CH55=0,Data!CH55=""),"","O"&amp;Data!CH55),IF('ARDT Cutter Entry'!$C$111&lt;&gt;"",'ARDT Cutter Entry'!S120,'ARDT Cutter Entry'!S52))</f>
        <v/>
      </c>
      <c r="T27" s="167" t="str">
        <f>IF(OR(Data!$L$2=1,Data!$L$3=1),IF(OR(Data!CI55=0,Data!CI55=""),"","O"&amp;Data!CI55),IF('ARDT Cutter Entry'!$C$111&lt;&gt;"",'ARDT Cutter Entry'!T120,'ARDT Cutter Entry'!T52))</f>
        <v/>
      </c>
      <c r="U27" s="167" t="str">
        <f>IF(OR(Data!$L$2=1,Data!$L$3=1),IF(OR(Data!CJ55=0,Data!CJ55=""),"","O"&amp;Data!CJ55),IF('ARDT Cutter Entry'!$C$111&lt;&gt;"",'ARDT Cutter Entry'!U120,'ARDT Cutter Entry'!U52))</f>
        <v/>
      </c>
      <c r="V27" s="167" t="str">
        <f>IF(OR(Data!$L$2=1,Data!$L$3=1),IF(OR(Data!CK55=0,Data!CK55=""),"","O"&amp;Data!CK55),IF('ARDT Cutter Entry'!$C$111&lt;&gt;"",'ARDT Cutter Entry'!V120,'ARDT Cutter Entry'!V52))</f>
        <v/>
      </c>
      <c r="W27" s="167" t="str">
        <f>IF(OR(Data!$L$2=1,Data!$L$3=1),IF(OR(Data!CL55=0,Data!CL55=""),"","O"&amp;Data!CL55),IF('ARDT Cutter Entry'!$C$111&lt;&gt;"",'ARDT Cutter Entry'!W120,'ARDT Cutter Entry'!W52))</f>
        <v/>
      </c>
      <c r="X27" s="167" t="str">
        <f>IF(OR(Data!$L$2=1,Data!$L$3=1),IF(OR(Data!CM55=0,Data!CM55=""),"","O"&amp;Data!CM55),IF('ARDT Cutter Entry'!$C$111&lt;&gt;"",'ARDT Cutter Entry'!X120,'ARDT Cutter Entry'!X52))</f>
        <v/>
      </c>
      <c r="Y27" s="167" t="str">
        <f>IF(OR(Data!$L$2=1,Data!$L$3=1),IF(OR(Data!CN55=0,Data!CN55=""),"","O"&amp;Data!CN55),IF('ARDT Cutter Entry'!$C$111&lt;&gt;"",'ARDT Cutter Entry'!Y120,'ARDT Cutter Entry'!Y52))</f>
        <v/>
      </c>
      <c r="Z27" s="167" t="str">
        <f>IF(OR(Data!$L$2=1,Data!$L$3=1),IF(OR(Data!CO55=0,Data!CO55=""),"","O"&amp;Data!CO55),IF('ARDT Cutter Entry'!$C$111&lt;&gt;"",'ARDT Cutter Entry'!Z120,'ARDT Cutter Entry'!Z52))</f>
        <v/>
      </c>
      <c r="AA27" s="167" t="str">
        <f>IF(OR(Data!$L$2=1,Data!$L$3=1),IF(OR(Data!CP55=0,Data!CP55=""),"","O"&amp;Data!CP55),IF('ARDT Cutter Entry'!$C$111&lt;&gt;"",'ARDT Cutter Entry'!AA120,'ARDT Cutter Entry'!AA52))</f>
        <v/>
      </c>
      <c r="AB27" s="167" t="str">
        <f>IF(OR(Data!$L$2=1,Data!$L$3=1),IF(OR(Data!CQ55=0,Data!CQ55=""),"","O"&amp;Data!CQ55),IF('ARDT Cutter Entry'!$C$111&lt;&gt;"",'ARDT Cutter Entry'!AB120,'ARDT Cutter Entry'!AB52))</f>
        <v/>
      </c>
      <c r="AC27" s="167" t="str">
        <f>IF(OR(Data!$L$2=1,Data!$L$3=1),IF(OR(Data!CR55=0,Data!CR55=""),"","O"&amp;Data!CR55),IF('ARDT Cutter Entry'!$C$111&lt;&gt;"",'ARDT Cutter Entry'!AC120,'ARDT Cutter Entry'!AC52))</f>
        <v/>
      </c>
      <c r="AD27" s="167" t="str">
        <f>IF(OR(Data!$L$2=1,Data!$L$3=1),IF(OR(Data!CS55=0,Data!CS55=""),"","O"&amp;Data!CS55),IF('ARDT Cutter Entry'!$C$111&lt;&gt;"",'ARDT Cutter Entry'!AD120,'ARDT Cutter Entry'!AD52))</f>
        <v/>
      </c>
      <c r="AE27" s="167" t="str">
        <f>IF(OR(Data!$L$2=1,Data!$L$3=1),IF(OR(Data!CT55=0,Data!CT55=""),"","O"&amp;Data!CT55),IF('ARDT Cutter Entry'!$C$111&lt;&gt;"",'ARDT Cutter Entry'!AE120,'ARDT Cutter Entry'!AE52))</f>
        <v/>
      </c>
      <c r="AF27" s="167" t="str">
        <f>IF(OR(Data!$L$2=1,Data!$L$3=1),IF(OR(Data!CU55=0,Data!CU55=""),"","O"&amp;Data!CU55),IF('ARDT Cutter Entry'!$C$111&lt;&gt;"",'ARDT Cutter Entry'!AF120,'ARDT Cutter Entry'!AF52))</f>
        <v/>
      </c>
      <c r="AG27" s="167" t="str">
        <f>IF(OR(Data!$L$2=1,Data!$L$3=1),IF(OR(Data!CV55=0,Data!CV55=""),"","O"&amp;Data!CV55),IF('ARDT Cutter Entry'!$C$111&lt;&gt;"",'ARDT Cutter Entry'!AG120,'ARDT Cutter Entry'!AG52))</f>
        <v/>
      </c>
      <c r="AH27" s="167" t="str">
        <f>IF(OR(Data!$L$2=1,Data!$L$3=1),IF(OR(Data!CW55=0,Data!CW55=""),"","O"&amp;Data!CW55),IF('ARDT Cutter Entry'!$C$111&lt;&gt;"",'ARDT Cutter Entry'!AH120,'ARDT Cutter Entry'!AH52))</f>
        <v/>
      </c>
      <c r="AI27" s="248" t="str">
        <f>IF(OR(Data!$L$2=1,Data!$L$3=1),IF(OR(Data!CX69=0,Data!CX69=""),"","O"&amp;Data!CX69),IF('ARDT Cutter Entry'!$C$111&lt;&gt;"",'ARDT Cutter Entry'!AI120,'ARDT Cutter Entry'!AI52))</f>
        <v/>
      </c>
    </row>
    <row r="28" spans="1:35" ht="15.75" customHeight="1" x14ac:dyDescent="0.25">
      <c r="A28" s="1986"/>
      <c r="B28" s="503">
        <v>11</v>
      </c>
      <c r="C28" s="167" t="str">
        <f>IF(OR(Data!$L$2=1,Data!$L$3=1),IF(OR(Data!BR56=0,Data!BR56=""),"","O"&amp;Data!BR56),IF('ARDT Cutter Entry'!$C$111&lt;&gt;"",'ARDT Cutter Entry'!C121,'ARDT Cutter Entry'!C53))</f>
        <v/>
      </c>
      <c r="D28" s="167" t="str">
        <f>IF(OR(Data!$L$2=1,Data!$L$3=1),IF(OR(Data!BS56=0,Data!BS56=""),"","O"&amp;Data!BS56),IF('ARDT Cutter Entry'!$C$111&lt;&gt;"",'ARDT Cutter Entry'!D121,'ARDT Cutter Entry'!D53))</f>
        <v/>
      </c>
      <c r="E28" s="167" t="str">
        <f>IF(OR(Data!$L$2=1,Data!$L$3=1),IF(OR(Data!BT56=0,Data!BT56=""),"","O"&amp;Data!BT56),IF('ARDT Cutter Entry'!$C$111&lt;&gt;"",'ARDT Cutter Entry'!E121,'ARDT Cutter Entry'!E53))</f>
        <v/>
      </c>
      <c r="F28" s="167" t="str">
        <f>IF(OR(Data!$L$2=1,Data!$L$3=1),IF(OR(Data!BU56=0,Data!BU56=""),"","O"&amp;Data!BU56),IF('ARDT Cutter Entry'!$C$111&lt;&gt;"",'ARDT Cutter Entry'!F121,'ARDT Cutter Entry'!F53))</f>
        <v/>
      </c>
      <c r="G28" s="167" t="str">
        <f>IF(OR(Data!$L$2=1,Data!$L$3=1),IF(OR(Data!BV56=0,Data!BV56=""),"","O"&amp;Data!BV56),IF('ARDT Cutter Entry'!$C$111&lt;&gt;"",'ARDT Cutter Entry'!G121,'ARDT Cutter Entry'!G53))</f>
        <v/>
      </c>
      <c r="H28" s="167" t="str">
        <f>IF(OR(Data!$L$2=1,Data!$L$3=1),IF(OR(Data!BW56=0,Data!BW56=""),"","O"&amp;Data!BW56),IF('ARDT Cutter Entry'!$C$111&lt;&gt;"",'ARDT Cutter Entry'!H121,'ARDT Cutter Entry'!H53))</f>
        <v/>
      </c>
      <c r="I28" s="167" t="str">
        <f>IF(OR(Data!$L$2=1,Data!$L$3=1),IF(OR(Data!BX56=0,Data!BX56=""),"","O"&amp;Data!BX56),IF('ARDT Cutter Entry'!$C$111&lt;&gt;"",'ARDT Cutter Entry'!I121,'ARDT Cutter Entry'!I53))</f>
        <v/>
      </c>
      <c r="J28" s="167" t="str">
        <f>IF(OR(Data!$L$2=1,Data!$L$3=1),IF(OR(Data!BY56=0,Data!BY56=""),"","O"&amp;Data!BY56),IF('ARDT Cutter Entry'!$C$111&lt;&gt;"",'ARDT Cutter Entry'!J121,'ARDT Cutter Entry'!J53))</f>
        <v/>
      </c>
      <c r="K28" s="167" t="str">
        <f>IF(OR(Data!$L$2=1,Data!$L$3=1),IF(OR(Data!BZ56=0,Data!BZ56=""),"","O"&amp;Data!BZ56),IF('ARDT Cutter Entry'!$C$111&lt;&gt;"",'ARDT Cutter Entry'!K121,'ARDT Cutter Entry'!K53))</f>
        <v/>
      </c>
      <c r="L28" s="167" t="str">
        <f>IF(OR(Data!$L$2=1,Data!$L$3=1),IF(OR(Data!CA56=0,Data!CA56=""),"","O"&amp;Data!CA56),IF('ARDT Cutter Entry'!$C$111&lt;&gt;"",'ARDT Cutter Entry'!L121,'ARDT Cutter Entry'!L53))</f>
        <v/>
      </c>
      <c r="M28" s="167" t="str">
        <f>IF(OR(Data!$L$2=1,Data!$L$3=1),IF(OR(Data!CB56=0,Data!CB56=""),"","O"&amp;Data!CB56),IF('ARDT Cutter Entry'!$C$111&lt;&gt;"",'ARDT Cutter Entry'!M121,'ARDT Cutter Entry'!M53))</f>
        <v/>
      </c>
      <c r="N28" s="167" t="str">
        <f>IF(OR(Data!$L$2=1,Data!$L$3=1),IF(OR(Data!CC56=0,Data!CC56=""),"","O"&amp;Data!CC56),IF('ARDT Cutter Entry'!$C$111&lt;&gt;"",'ARDT Cutter Entry'!N121,'ARDT Cutter Entry'!N53))</f>
        <v/>
      </c>
      <c r="O28" s="167" t="str">
        <f>IF(OR(Data!$L$2=1,Data!$L$3=1),IF(OR(Data!CD56=0,Data!CD56=""),"","O"&amp;Data!CD56),IF('ARDT Cutter Entry'!$C$111&lt;&gt;"",'ARDT Cutter Entry'!O121,'ARDT Cutter Entry'!O53))</f>
        <v/>
      </c>
      <c r="P28" s="167" t="str">
        <f>IF(OR(Data!$L$2=1,Data!$L$3=1),IF(OR(Data!CE56=0,Data!CE56=""),"","O"&amp;Data!CE56),IF('ARDT Cutter Entry'!$C$111&lt;&gt;"",'ARDT Cutter Entry'!P121,'ARDT Cutter Entry'!P53))</f>
        <v/>
      </c>
      <c r="Q28" s="167" t="str">
        <f>IF(OR(Data!$L$2=1,Data!$L$3=1),IF(OR(Data!CF56=0,Data!CF56=""),"","O"&amp;Data!CF56),IF('ARDT Cutter Entry'!$C$111&lt;&gt;"",'ARDT Cutter Entry'!Q121,'ARDT Cutter Entry'!Q53))</f>
        <v/>
      </c>
      <c r="R28" s="167" t="str">
        <f>IF(OR(Data!$L$2=1,Data!$L$3=1),IF(OR(Data!CG56=0,Data!CG56=""),"","O"&amp;Data!CG56),IF('ARDT Cutter Entry'!$C$111&lt;&gt;"",'ARDT Cutter Entry'!R121,'ARDT Cutter Entry'!R53))</f>
        <v/>
      </c>
      <c r="S28" s="167" t="str">
        <f>IF(OR(Data!$L$2=1,Data!$L$3=1),IF(OR(Data!CH56=0,Data!CH56=""),"","O"&amp;Data!CH56),IF('ARDT Cutter Entry'!$C$111&lt;&gt;"",'ARDT Cutter Entry'!S121,'ARDT Cutter Entry'!S53))</f>
        <v/>
      </c>
      <c r="T28" s="167" t="str">
        <f>IF(OR(Data!$L$2=1,Data!$L$3=1),IF(OR(Data!CI56=0,Data!CI56=""),"","O"&amp;Data!CI56),IF('ARDT Cutter Entry'!$C$111&lt;&gt;"",'ARDT Cutter Entry'!T121,'ARDT Cutter Entry'!T53))</f>
        <v/>
      </c>
      <c r="U28" s="167" t="str">
        <f>IF(OR(Data!$L$2=1,Data!$L$3=1),IF(OR(Data!CJ56=0,Data!CJ56=""),"","O"&amp;Data!CJ56),IF('ARDT Cutter Entry'!$C$111&lt;&gt;"",'ARDT Cutter Entry'!U121,'ARDT Cutter Entry'!U53))</f>
        <v/>
      </c>
      <c r="V28" s="167" t="str">
        <f>IF(OR(Data!$L$2=1,Data!$L$3=1),IF(OR(Data!CK56=0,Data!CK56=""),"","O"&amp;Data!CK56),IF('ARDT Cutter Entry'!$C$111&lt;&gt;"",'ARDT Cutter Entry'!V121,'ARDT Cutter Entry'!V53))</f>
        <v/>
      </c>
      <c r="W28" s="167" t="str">
        <f>IF(OR(Data!$L$2=1,Data!$L$3=1),IF(OR(Data!CL56=0,Data!CL56=""),"","O"&amp;Data!CL56),IF('ARDT Cutter Entry'!$C$111&lt;&gt;"",'ARDT Cutter Entry'!W121,'ARDT Cutter Entry'!W53))</f>
        <v/>
      </c>
      <c r="X28" s="167" t="str">
        <f>IF(OR(Data!$L$2=1,Data!$L$3=1),IF(OR(Data!CM56=0,Data!CM56=""),"","O"&amp;Data!CM56),IF('ARDT Cutter Entry'!$C$111&lt;&gt;"",'ARDT Cutter Entry'!X121,'ARDT Cutter Entry'!X53))</f>
        <v/>
      </c>
      <c r="Y28" s="167" t="str">
        <f>IF(OR(Data!$L$2=1,Data!$L$3=1),IF(OR(Data!CN56=0,Data!CN56=""),"","O"&amp;Data!CN56),IF('ARDT Cutter Entry'!$C$111&lt;&gt;"",'ARDT Cutter Entry'!Y121,'ARDT Cutter Entry'!Y53))</f>
        <v/>
      </c>
      <c r="Z28" s="167" t="str">
        <f>IF(OR(Data!$L$2=1,Data!$L$3=1),IF(OR(Data!CO56=0,Data!CO56=""),"","O"&amp;Data!CO56),IF('ARDT Cutter Entry'!$C$111&lt;&gt;"",'ARDT Cutter Entry'!Z121,'ARDT Cutter Entry'!Z53))</f>
        <v/>
      </c>
      <c r="AA28" s="167" t="str">
        <f>IF(OR(Data!$L$2=1,Data!$L$3=1),IF(OR(Data!CP56=0,Data!CP56=""),"","O"&amp;Data!CP56),IF('ARDT Cutter Entry'!$C$111&lt;&gt;"",'ARDT Cutter Entry'!AA121,'ARDT Cutter Entry'!AA53))</f>
        <v/>
      </c>
      <c r="AB28" s="167" t="str">
        <f>IF(OR(Data!$L$2=1,Data!$L$3=1),IF(OR(Data!CQ56=0,Data!CQ56=""),"","O"&amp;Data!CQ56),IF('ARDT Cutter Entry'!$C$111&lt;&gt;"",'ARDT Cutter Entry'!AB121,'ARDT Cutter Entry'!AB53))</f>
        <v/>
      </c>
      <c r="AC28" s="167" t="str">
        <f>IF(OR(Data!$L$2=1,Data!$L$3=1),IF(OR(Data!CR56=0,Data!CR56=""),"","O"&amp;Data!CR56),IF('ARDT Cutter Entry'!$C$111&lt;&gt;"",'ARDT Cutter Entry'!AC121,'ARDT Cutter Entry'!AC53))</f>
        <v/>
      </c>
      <c r="AD28" s="167" t="str">
        <f>IF(OR(Data!$L$2=1,Data!$L$3=1),IF(OR(Data!CS56=0,Data!CS56=""),"","O"&amp;Data!CS56),IF('ARDT Cutter Entry'!$C$111&lt;&gt;"",'ARDT Cutter Entry'!AD121,'ARDT Cutter Entry'!AD53))</f>
        <v/>
      </c>
      <c r="AE28" s="167" t="str">
        <f>IF(OR(Data!$L$2=1,Data!$L$3=1),IF(OR(Data!CT56=0,Data!CT56=""),"","O"&amp;Data!CT56),IF('ARDT Cutter Entry'!$C$111&lt;&gt;"",'ARDT Cutter Entry'!AE121,'ARDT Cutter Entry'!AE53))</f>
        <v/>
      </c>
      <c r="AF28" s="167" t="str">
        <f>IF(OR(Data!$L$2=1,Data!$L$3=1),IF(OR(Data!CU56=0,Data!CU56=""),"","O"&amp;Data!CU56),IF('ARDT Cutter Entry'!$C$111&lt;&gt;"",'ARDT Cutter Entry'!AF121,'ARDT Cutter Entry'!AF53))</f>
        <v/>
      </c>
      <c r="AG28" s="167" t="str">
        <f>IF(OR(Data!$L$2=1,Data!$L$3=1),IF(OR(Data!CV56=0,Data!CV56=""),"","O"&amp;Data!CV56),IF('ARDT Cutter Entry'!$C$111&lt;&gt;"",'ARDT Cutter Entry'!AG121,'ARDT Cutter Entry'!AG53))</f>
        <v/>
      </c>
      <c r="AH28" s="167" t="str">
        <f>IF(OR(Data!$L$2=1,Data!$L$3=1),IF(OR(Data!CW56=0,Data!CW56=""),"","O"&amp;Data!CW56),IF('ARDT Cutter Entry'!$C$111&lt;&gt;"",'ARDT Cutter Entry'!AH121,'ARDT Cutter Entry'!AH53))</f>
        <v/>
      </c>
      <c r="AI28" s="248" t="str">
        <f>IF(OR(Data!$L$2=1,Data!$L$3=1),IF(OR(Data!CX70=0,Data!CX70=""),"","O"&amp;Data!CX70),IF('ARDT Cutter Entry'!$C$111&lt;&gt;"",'ARDT Cutter Entry'!AI121,'ARDT Cutter Entry'!AI53))</f>
        <v/>
      </c>
    </row>
    <row r="29" spans="1:35" ht="15.75" customHeight="1" thickBot="1" x14ac:dyDescent="0.3">
      <c r="A29" s="1987"/>
      <c r="B29" s="504">
        <v>12</v>
      </c>
      <c r="C29" s="250" t="str">
        <f>IF(OR(Data!$L$2=1,Data!$L$3=1),IF(OR(Data!BR57=0,Data!BR57=""),"","O"&amp;Data!BR57),IF('ARDT Cutter Entry'!$C$111&lt;&gt;"",'ARDT Cutter Entry'!C122,'ARDT Cutter Entry'!C54))</f>
        <v/>
      </c>
      <c r="D29" s="250" t="str">
        <f>IF(OR(Data!$L$2=1,Data!$L$3=1),IF(OR(Data!BS57=0,Data!BS57=""),"","O"&amp;Data!BS57),IF('ARDT Cutter Entry'!$C$111&lt;&gt;"",'ARDT Cutter Entry'!D122,'ARDT Cutter Entry'!D54))</f>
        <v/>
      </c>
      <c r="E29" s="250" t="str">
        <f>IF(OR(Data!$L$2=1,Data!$L$3=1),IF(OR(Data!BT57=0,Data!BT57=""),"","O"&amp;Data!BT57),IF('ARDT Cutter Entry'!$C$111&lt;&gt;"",'ARDT Cutter Entry'!E122,'ARDT Cutter Entry'!E54))</f>
        <v/>
      </c>
      <c r="F29" s="250" t="str">
        <f>IF(OR(Data!$L$2=1,Data!$L$3=1),IF(OR(Data!BU57=0,Data!BU57=""),"","O"&amp;Data!BU57),IF('ARDT Cutter Entry'!$C$111&lt;&gt;"",'ARDT Cutter Entry'!F122,'ARDT Cutter Entry'!F54))</f>
        <v/>
      </c>
      <c r="G29" s="250" t="str">
        <f>IF(OR(Data!$L$2=1,Data!$L$3=1),IF(OR(Data!BV57=0,Data!BV57=""),"","O"&amp;Data!BV57),IF('ARDT Cutter Entry'!$C$111&lt;&gt;"",'ARDT Cutter Entry'!G122,'ARDT Cutter Entry'!G54))</f>
        <v/>
      </c>
      <c r="H29" s="250" t="str">
        <f>IF(OR(Data!$L$2=1,Data!$L$3=1),IF(OR(Data!BW57=0,Data!BW57=""),"","O"&amp;Data!BW57),IF('ARDT Cutter Entry'!$C$111&lt;&gt;"",'ARDT Cutter Entry'!H122,'ARDT Cutter Entry'!H54))</f>
        <v/>
      </c>
      <c r="I29" s="250" t="str">
        <f>IF(OR(Data!$L$2=1,Data!$L$3=1),IF(OR(Data!BX57=0,Data!BX57=""),"","O"&amp;Data!BX57),IF('ARDT Cutter Entry'!$C$111&lt;&gt;"",'ARDT Cutter Entry'!I122,'ARDT Cutter Entry'!I54))</f>
        <v/>
      </c>
      <c r="J29" s="250" t="str">
        <f>IF(OR(Data!$L$2=1,Data!$L$3=1),IF(OR(Data!BY57=0,Data!BY57=""),"","O"&amp;Data!BY57),IF('ARDT Cutter Entry'!$C$111&lt;&gt;"",'ARDT Cutter Entry'!J122,'ARDT Cutter Entry'!J54))</f>
        <v/>
      </c>
      <c r="K29" s="250" t="str">
        <f>IF(OR(Data!$L$2=1,Data!$L$3=1),IF(OR(Data!BZ57=0,Data!BZ57=""),"","O"&amp;Data!BZ57),IF('ARDT Cutter Entry'!$C$111&lt;&gt;"",'ARDT Cutter Entry'!K122,'ARDT Cutter Entry'!K54))</f>
        <v/>
      </c>
      <c r="L29" s="250" t="str">
        <f>IF(OR(Data!$L$2=1,Data!$L$3=1),IF(OR(Data!CA57=0,Data!CA57=""),"","O"&amp;Data!CA57),IF('ARDT Cutter Entry'!$C$111&lt;&gt;"",'ARDT Cutter Entry'!L122,'ARDT Cutter Entry'!L54))</f>
        <v/>
      </c>
      <c r="M29" s="250" t="str">
        <f>IF(OR(Data!$L$2=1,Data!$L$3=1),IF(OR(Data!CB57=0,Data!CB57=""),"","O"&amp;Data!CB57),IF('ARDT Cutter Entry'!$C$111&lt;&gt;"",'ARDT Cutter Entry'!M122,'ARDT Cutter Entry'!M54))</f>
        <v/>
      </c>
      <c r="N29" s="250" t="str">
        <f>IF(OR(Data!$L$2=1,Data!$L$3=1),IF(OR(Data!CC57=0,Data!CC57=""),"","O"&amp;Data!CC57),IF('ARDT Cutter Entry'!$C$111&lt;&gt;"",'ARDT Cutter Entry'!N122,'ARDT Cutter Entry'!N54))</f>
        <v/>
      </c>
      <c r="O29" s="250" t="str">
        <f>IF(OR(Data!$L$2=1,Data!$L$3=1),IF(OR(Data!CD57=0,Data!CD57=""),"","O"&amp;Data!CD57),IF('ARDT Cutter Entry'!$C$111&lt;&gt;"",'ARDT Cutter Entry'!O122,'ARDT Cutter Entry'!O54))</f>
        <v/>
      </c>
      <c r="P29" s="250" t="str">
        <f>IF(OR(Data!$L$2=1,Data!$L$3=1),IF(OR(Data!CE57=0,Data!CE57=""),"","O"&amp;Data!CE57),IF('ARDT Cutter Entry'!$C$111&lt;&gt;"",'ARDT Cutter Entry'!P122,'ARDT Cutter Entry'!P54))</f>
        <v/>
      </c>
      <c r="Q29" s="250" t="str">
        <f>IF(OR(Data!$L$2=1,Data!$L$3=1),IF(OR(Data!CF57=0,Data!CF57=""),"","O"&amp;Data!CF57),IF('ARDT Cutter Entry'!$C$111&lt;&gt;"",'ARDT Cutter Entry'!Q122,'ARDT Cutter Entry'!Q54))</f>
        <v/>
      </c>
      <c r="R29" s="250" t="str">
        <f>IF(OR(Data!$L$2=1,Data!$L$3=1),IF(OR(Data!CG57=0,Data!CG57=""),"","O"&amp;Data!CG57),IF('ARDT Cutter Entry'!$C$111&lt;&gt;"",'ARDT Cutter Entry'!R122,'ARDT Cutter Entry'!R54))</f>
        <v/>
      </c>
      <c r="S29" s="250" t="str">
        <f>IF(OR(Data!$L$2=1,Data!$L$3=1),IF(OR(Data!CH57=0,Data!CH57=""),"","O"&amp;Data!CH57),IF('ARDT Cutter Entry'!$C$111&lt;&gt;"",'ARDT Cutter Entry'!S122,'ARDT Cutter Entry'!S54))</f>
        <v/>
      </c>
      <c r="T29" s="250" t="str">
        <f>IF(OR(Data!$L$2=1,Data!$L$3=1),IF(OR(Data!CI57=0,Data!CI57=""),"","O"&amp;Data!CI57),IF('ARDT Cutter Entry'!$C$111&lt;&gt;"",'ARDT Cutter Entry'!T122,'ARDT Cutter Entry'!T54))</f>
        <v/>
      </c>
      <c r="U29" s="250" t="str">
        <f>IF(OR(Data!$L$2=1,Data!$L$3=1),IF(OR(Data!CJ57=0,Data!CJ57=""),"","O"&amp;Data!CJ57),IF('ARDT Cutter Entry'!$C$111&lt;&gt;"",'ARDT Cutter Entry'!U122,'ARDT Cutter Entry'!U54))</f>
        <v/>
      </c>
      <c r="V29" s="250" t="str">
        <f>IF(OR(Data!$L$2=1,Data!$L$3=1),IF(OR(Data!CK57=0,Data!CK57=""),"","O"&amp;Data!CK57),IF('ARDT Cutter Entry'!$C$111&lt;&gt;"",'ARDT Cutter Entry'!V122,'ARDT Cutter Entry'!V54))</f>
        <v/>
      </c>
      <c r="W29" s="250" t="str">
        <f>IF(OR(Data!$L$2=1,Data!$L$3=1),IF(OR(Data!CL57=0,Data!CL57=""),"","O"&amp;Data!CL57),IF('ARDT Cutter Entry'!$C$111&lt;&gt;"",'ARDT Cutter Entry'!W122,'ARDT Cutter Entry'!W54))</f>
        <v/>
      </c>
      <c r="X29" s="250" t="str">
        <f>IF(OR(Data!$L$2=1,Data!$L$3=1),IF(OR(Data!CM57=0,Data!CM57=""),"","O"&amp;Data!CM57),IF('ARDT Cutter Entry'!$C$111&lt;&gt;"",'ARDT Cutter Entry'!X122,'ARDT Cutter Entry'!X54))</f>
        <v/>
      </c>
      <c r="Y29" s="250" t="str">
        <f>IF(OR(Data!$L$2=1,Data!$L$3=1),IF(OR(Data!CN57=0,Data!CN57=""),"","O"&amp;Data!CN57),IF('ARDT Cutter Entry'!$C$111&lt;&gt;"",'ARDT Cutter Entry'!Y122,'ARDT Cutter Entry'!Y54))</f>
        <v/>
      </c>
      <c r="Z29" s="250" t="str">
        <f>IF(OR(Data!$L$2=1,Data!$L$3=1),IF(OR(Data!CO57=0,Data!CO57=""),"","O"&amp;Data!CO57),IF('ARDT Cutter Entry'!$C$111&lt;&gt;"",'ARDT Cutter Entry'!Z122,'ARDT Cutter Entry'!Z54))</f>
        <v/>
      </c>
      <c r="AA29" s="250" t="str">
        <f>IF(OR(Data!$L$2=1,Data!$L$3=1),IF(OR(Data!CP57=0,Data!CP57=""),"","O"&amp;Data!CP57),IF('ARDT Cutter Entry'!$C$111&lt;&gt;"",'ARDT Cutter Entry'!AA122,'ARDT Cutter Entry'!AA54))</f>
        <v/>
      </c>
      <c r="AB29" s="250" t="str">
        <f>IF(OR(Data!$L$2=1,Data!$L$3=1),IF(OR(Data!CQ57=0,Data!CQ57=""),"","O"&amp;Data!CQ57),IF('ARDT Cutter Entry'!$C$111&lt;&gt;"",'ARDT Cutter Entry'!AB122,'ARDT Cutter Entry'!AB54))</f>
        <v/>
      </c>
      <c r="AC29" s="250" t="str">
        <f>IF(OR(Data!$L$2=1,Data!$L$3=1),IF(OR(Data!CR57=0,Data!CR57=""),"","O"&amp;Data!CR57),IF('ARDT Cutter Entry'!$C$111&lt;&gt;"",'ARDT Cutter Entry'!AC122,'ARDT Cutter Entry'!AC54))</f>
        <v/>
      </c>
      <c r="AD29" s="250" t="str">
        <f>IF(OR(Data!$L$2=1,Data!$L$3=1),IF(OR(Data!CS57=0,Data!CS57=""),"","O"&amp;Data!CS57),IF('ARDT Cutter Entry'!$C$111&lt;&gt;"",'ARDT Cutter Entry'!AD122,'ARDT Cutter Entry'!AD54))</f>
        <v/>
      </c>
      <c r="AE29" s="250" t="str">
        <f>IF(OR(Data!$L$2=1,Data!$L$3=1),IF(OR(Data!CT57=0,Data!CT57=""),"","O"&amp;Data!CT57),IF('ARDT Cutter Entry'!$C$111&lt;&gt;"",'ARDT Cutter Entry'!AE122,'ARDT Cutter Entry'!AE54))</f>
        <v/>
      </c>
      <c r="AF29" s="250" t="str">
        <f>IF(OR(Data!$L$2=1,Data!$L$3=1),IF(OR(Data!CU57=0,Data!CU57=""),"","O"&amp;Data!CU57),IF('ARDT Cutter Entry'!$C$111&lt;&gt;"",'ARDT Cutter Entry'!AF122,'ARDT Cutter Entry'!AF54))</f>
        <v/>
      </c>
      <c r="AG29" s="250" t="str">
        <f>IF(OR(Data!$L$2=1,Data!$L$3=1),IF(OR(Data!CV57=0,Data!CV57=""),"","O"&amp;Data!CV57),IF('ARDT Cutter Entry'!$C$111&lt;&gt;"",'ARDT Cutter Entry'!AG122,'ARDT Cutter Entry'!AG54))</f>
        <v/>
      </c>
      <c r="AH29" s="250" t="str">
        <f>IF(OR(Data!$L$2=1,Data!$L$3=1),IF(OR(Data!CW57=0,Data!CW57=""),"","O"&amp;Data!CW57),IF('ARDT Cutter Entry'!$C$111&lt;&gt;"",'ARDT Cutter Entry'!AH122,'ARDT Cutter Entry'!AH54))</f>
        <v/>
      </c>
      <c r="AI29" s="251" t="str">
        <f>IF(OR(Data!$L$2=1,Data!$L$3=1),IF(OR(Data!CX71=0,Data!CX71=""),"","O"&amp;Data!CX71),IF('ARDT Cutter Entry'!$C$111&lt;&gt;"",'ARDT Cutter Entry'!AI122,'ARDT Cutter Entry'!AI54))</f>
        <v/>
      </c>
    </row>
    <row r="30" spans="1:35" ht="8.25" customHeight="1" thickBot="1" x14ac:dyDescent="0.3">
      <c r="A30" s="505"/>
      <c r="B30" s="506"/>
      <c r="C30" s="506"/>
    </row>
    <row r="31" spans="1:35" ht="15.75" customHeight="1" thickBot="1" x14ac:dyDescent="0.35">
      <c r="A31" s="1995" t="s">
        <v>826</v>
      </c>
      <c r="B31" s="1961"/>
      <c r="C31" s="1961"/>
      <c r="D31" s="1961"/>
      <c r="E31" s="1961"/>
      <c r="F31" s="1996" t="str">
        <f>IF(Data!B11&lt;&gt;"",Data!B11," ")</f>
        <v>Yakoob Alajawad</v>
      </c>
      <c r="G31" s="1996"/>
      <c r="H31" s="1996"/>
      <c r="I31" s="1996"/>
      <c r="J31" s="1979" t="s">
        <v>949</v>
      </c>
      <c r="K31" s="1979"/>
      <c r="L31" s="1997" t="str">
        <f>IF(Data!B12&lt;&gt;"",Data!B12," ")</f>
        <v>Ali Alhammad</v>
      </c>
      <c r="M31" s="1997"/>
      <c r="N31" s="1997"/>
      <c r="O31" s="1997"/>
      <c r="P31" s="1997"/>
      <c r="Q31" s="1979" t="s">
        <v>1079</v>
      </c>
      <c r="R31" s="1979"/>
      <c r="S31" s="1998">
        <f>IF(Data!B13&lt;&gt;"",Data!B13," ")</f>
        <v>46022</v>
      </c>
      <c r="T31" s="1998"/>
      <c r="U31" s="1998"/>
      <c r="V31" s="1998"/>
      <c r="W31" s="1998"/>
      <c r="X31" s="507"/>
      <c r="Y31" s="498"/>
      <c r="Z31" s="498"/>
      <c r="AA31" s="498"/>
      <c r="AB31" s="498"/>
      <c r="AC31" s="1992" t="s">
        <v>37</v>
      </c>
      <c r="AD31" s="1992"/>
      <c r="AE31" s="1992"/>
      <c r="AF31" s="1992"/>
      <c r="AG31" s="1993" t="str">
        <f>IF(AG33&lt;&gt;"","","√")</f>
        <v>√</v>
      </c>
      <c r="AH31" s="1994"/>
    </row>
    <row r="32" spans="1:35" ht="11.25" customHeight="1" thickBot="1" x14ac:dyDescent="0.3">
      <c r="A32" s="508"/>
      <c r="AC32" s="509"/>
      <c r="AD32" s="509"/>
      <c r="AE32" s="509"/>
      <c r="AF32" s="509"/>
      <c r="AG32" s="497"/>
      <c r="AH32" s="497"/>
    </row>
    <row r="33" spans="1:45" ht="15.75" customHeight="1" thickBot="1" x14ac:dyDescent="0.3">
      <c r="A33" s="1963" t="s">
        <v>1080</v>
      </c>
      <c r="B33" s="1964"/>
      <c r="C33" s="1965"/>
      <c r="D33" s="1963" t="s">
        <v>1081</v>
      </c>
      <c r="E33" s="1964"/>
      <c r="F33" s="1964"/>
      <c r="G33" s="1963" t="s">
        <v>1082</v>
      </c>
      <c r="H33" s="1964"/>
      <c r="I33" s="1965"/>
      <c r="J33" s="1963" t="s">
        <v>1083</v>
      </c>
      <c r="K33" s="1964"/>
      <c r="L33" s="1965"/>
      <c r="M33" s="1963" t="s">
        <v>1084</v>
      </c>
      <c r="N33" s="1964"/>
      <c r="O33" s="1964"/>
      <c r="P33" s="1963" t="s">
        <v>1085</v>
      </c>
      <c r="Q33" s="1964"/>
      <c r="R33" s="1965"/>
      <c r="S33" s="1963" t="s">
        <v>21</v>
      </c>
      <c r="T33" s="1964"/>
      <c r="U33" s="1965"/>
      <c r="AC33" s="1992" t="s">
        <v>38</v>
      </c>
      <c r="AD33" s="1992"/>
      <c r="AE33" s="1992"/>
      <c r="AF33" s="1992"/>
      <c r="AG33" s="2026" t="str">
        <f>IF(Data!L5=1, "√", "")</f>
        <v/>
      </c>
      <c r="AH33" s="2027"/>
    </row>
    <row r="34" spans="1:45" ht="15.75" customHeight="1" thickBot="1" x14ac:dyDescent="0.35">
      <c r="A34" s="2028">
        <f>IF('Eng. Cutter Entry'!C4&lt;&gt;"",'ARDT Cutter Entry'!BI62,'ARDT Cutter Entry'!BI6)</f>
        <v>25</v>
      </c>
      <c r="B34" s="2029"/>
      <c r="C34" s="2030"/>
      <c r="D34" s="2028">
        <f>IF('Eng. Cutter Entry'!C4&lt;&gt;"",'ARDT Cutter Entry'!BI63,'ARDT Cutter Entry'!BI5)</f>
        <v>0</v>
      </c>
      <c r="E34" s="2029"/>
      <c r="F34" s="2029"/>
      <c r="G34" s="2028">
        <f>IF('Eng. Cutter Entry'!C4&lt;&gt;"",'ARDT Cutter Entry'!BI65,'ARDT Cutter Entry'!BI9)</f>
        <v>0</v>
      </c>
      <c r="H34" s="2029"/>
      <c r="I34" s="2030"/>
      <c r="J34" s="1963">
        <f>IF('Eng. Cutter Entry'!C4&lt;&gt;"",'ARDT Cutter Entry'!BI64,'ARDT Cutter Entry'!BI8)</f>
        <v>0</v>
      </c>
      <c r="K34" s="1964"/>
      <c r="L34" s="1965"/>
      <c r="M34" s="2028">
        <f>IF('Eng. Cutter Entry'!C4&lt;&gt;"",'ARDT Cutter Entry'!BI58+'ARDT Cutter Entry'!BI59,'ARDT Cutter Entry'!BI2+'ARDT Cutter Entry'!BI3)</f>
        <v>33</v>
      </c>
      <c r="N34" s="2029"/>
      <c r="O34" s="2029"/>
      <c r="P34" s="2031">
        <f>IF('Eng. Cutter Entry'!C4&lt;&gt;"",'ARDT Cutter Entry'!BI60+'ARDT Cutter Entry'!BI61,'ARDT Cutter Entry'!BI4+'ARDT Cutter Entry'!BI5)</f>
        <v>0</v>
      </c>
      <c r="Q34" s="2032"/>
      <c r="R34" s="2033"/>
      <c r="S34" s="1963">
        <f>IF(Data!BO63&lt;&gt;"",Data!BO63," ")</f>
        <v>62</v>
      </c>
      <c r="T34" s="1964"/>
      <c r="U34" s="1965"/>
      <c r="V34" s="1978"/>
      <c r="W34" s="1978"/>
      <c r="X34" s="1978"/>
      <c r="Y34" s="1978"/>
      <c r="Z34" s="1978"/>
      <c r="AA34" s="498"/>
    </row>
    <row r="35" spans="1:45" ht="5.25" hidden="1" customHeight="1" x14ac:dyDescent="0.25">
      <c r="A35" s="508"/>
      <c r="AH35" s="502"/>
    </row>
    <row r="36" spans="1:45" ht="12.75" customHeight="1" x14ac:dyDescent="0.25">
      <c r="A36" s="1999" t="s">
        <v>19</v>
      </c>
      <c r="B36" s="2000"/>
      <c r="C36" s="2000"/>
      <c r="D36" s="2001"/>
      <c r="E36" s="2008" t="str">
        <f>IF(Data!L2=1,"The bit is Rerunable, No need for repair. ",IF('ARDT Cutter Entry'!Y57=1,"Accepted as rerun by LSTK engineer.",IF('ARDT Cutter Entry'!D21&lt;&gt;"",'ARDT Cutter Entry'!D21," ")))</f>
        <v xml:space="preserve">Shank need clean. Pinface and mud seal need buffing.  </v>
      </c>
      <c r="F36" s="2009"/>
      <c r="G36" s="2009"/>
      <c r="H36" s="2009"/>
      <c r="I36" s="2009"/>
      <c r="J36" s="2009"/>
      <c r="K36" s="2009"/>
      <c r="L36" s="2009"/>
      <c r="M36" s="2009"/>
      <c r="N36" s="2009"/>
      <c r="O36" s="2009"/>
      <c r="P36" s="2009"/>
      <c r="Q36" s="2009"/>
      <c r="R36" s="2009"/>
      <c r="S36" s="2009"/>
      <c r="T36" s="2009"/>
      <c r="U36" s="2009"/>
      <c r="V36" s="2009"/>
      <c r="W36" s="2009"/>
      <c r="X36" s="2009"/>
      <c r="Y36" s="2009"/>
      <c r="Z36" s="2009"/>
      <c r="AA36" s="2009"/>
      <c r="AB36" s="2009"/>
      <c r="AC36" s="2009"/>
      <c r="AD36" s="2009"/>
      <c r="AE36" s="2009"/>
      <c r="AF36" s="2009"/>
      <c r="AG36" s="2009"/>
      <c r="AH36" s="2009"/>
      <c r="AI36" s="2010"/>
    </row>
    <row r="37" spans="1:45" ht="16.5" customHeight="1" x14ac:dyDescent="0.25">
      <c r="A37" s="2002"/>
      <c r="B37" s="2003"/>
      <c r="C37" s="2003"/>
      <c r="D37" s="2004"/>
      <c r="E37" s="2011"/>
      <c r="F37" s="2012"/>
      <c r="G37" s="2012"/>
      <c r="H37" s="2012"/>
      <c r="I37" s="2012"/>
      <c r="J37" s="2012"/>
      <c r="K37" s="2012"/>
      <c r="L37" s="2012"/>
      <c r="M37" s="2012"/>
      <c r="N37" s="2012"/>
      <c r="O37" s="2012"/>
      <c r="P37" s="2012"/>
      <c r="Q37" s="2012"/>
      <c r="R37" s="2012"/>
      <c r="S37" s="2012"/>
      <c r="T37" s="2012"/>
      <c r="U37" s="2012"/>
      <c r="V37" s="2012"/>
      <c r="W37" s="2012"/>
      <c r="X37" s="2012"/>
      <c r="Y37" s="2012"/>
      <c r="Z37" s="2012"/>
      <c r="AA37" s="2012"/>
      <c r="AB37" s="2012"/>
      <c r="AC37" s="2012"/>
      <c r="AD37" s="2012"/>
      <c r="AE37" s="2012"/>
      <c r="AF37" s="2012"/>
      <c r="AG37" s="2012"/>
      <c r="AH37" s="2012"/>
      <c r="AI37" s="2013"/>
    </row>
    <row r="38" spans="1:45" ht="15.75" customHeight="1" x14ac:dyDescent="0.25">
      <c r="A38" s="2005"/>
      <c r="B38" s="2006"/>
      <c r="C38" s="2006"/>
      <c r="D38" s="2007"/>
      <c r="E38" s="2014"/>
      <c r="F38" s="2015"/>
      <c r="G38" s="2015"/>
      <c r="H38" s="2015"/>
      <c r="I38" s="2015"/>
      <c r="J38" s="2015"/>
      <c r="K38" s="2015"/>
      <c r="L38" s="2015"/>
      <c r="M38" s="2015"/>
      <c r="N38" s="2015"/>
      <c r="O38" s="2015"/>
      <c r="P38" s="2015"/>
      <c r="Q38" s="2015"/>
      <c r="R38" s="2015"/>
      <c r="S38" s="2015"/>
      <c r="T38" s="2015"/>
      <c r="U38" s="2015"/>
      <c r="V38" s="2015"/>
      <c r="W38" s="2015"/>
      <c r="X38" s="2015"/>
      <c r="Y38" s="2015"/>
      <c r="Z38" s="2015"/>
      <c r="AA38" s="2015"/>
      <c r="AB38" s="2015"/>
      <c r="AC38" s="2015"/>
      <c r="AD38" s="2015"/>
      <c r="AE38" s="2015"/>
      <c r="AF38" s="2015"/>
      <c r="AG38" s="2015"/>
      <c r="AH38" s="2015"/>
      <c r="AI38" s="2016"/>
    </row>
    <row r="39" spans="1:45" ht="15.75" customHeight="1" x14ac:dyDescent="0.25">
      <c r="A39" s="2017" t="s">
        <v>1086</v>
      </c>
      <c r="B39" s="2018"/>
      <c r="C39" s="2018"/>
      <c r="D39" s="2018"/>
      <c r="E39" s="2018"/>
      <c r="F39" s="2018"/>
      <c r="G39" s="2018"/>
      <c r="H39" s="2018"/>
      <c r="I39" s="2019">
        <f>SUM(M34+P34)</f>
        <v>33</v>
      </c>
      <c r="J39" s="2019"/>
      <c r="K39" s="2019"/>
      <c r="L39" s="2019"/>
      <c r="M39" s="2019"/>
      <c r="N39" s="2019"/>
      <c r="O39" s="2019"/>
      <c r="P39" s="2019"/>
      <c r="Q39" s="2019"/>
      <c r="R39" s="2020"/>
      <c r="S39" s="2021"/>
      <c r="T39" s="2021"/>
      <c r="U39" s="2021"/>
      <c r="V39" s="2021"/>
      <c r="W39" s="2021"/>
      <c r="X39" s="2021"/>
      <c r="Y39" s="2021"/>
      <c r="Z39" s="2021"/>
      <c r="AA39" s="2021"/>
      <c r="AB39" s="2021"/>
      <c r="AC39" s="2021"/>
      <c r="AD39" s="2021"/>
      <c r="AE39" s="2021"/>
      <c r="AF39" s="2021"/>
      <c r="AG39" s="2021"/>
      <c r="AH39" s="2021"/>
      <c r="AI39" s="2022"/>
    </row>
    <row r="40" spans="1:45" ht="15.75" customHeight="1" x14ac:dyDescent="0.3">
      <c r="A40" s="2023" t="s">
        <v>1087</v>
      </c>
      <c r="B40" s="2024"/>
      <c r="C40" s="2024"/>
      <c r="D40" s="2024"/>
      <c r="E40" s="2024"/>
      <c r="F40" s="2024"/>
      <c r="G40" s="2024"/>
      <c r="H40" s="2024"/>
      <c r="I40" s="2024"/>
      <c r="J40" s="2024"/>
      <c r="K40" s="2024"/>
      <c r="L40" s="2024"/>
      <c r="M40" s="2024"/>
      <c r="N40" s="2024"/>
      <c r="O40" s="2024"/>
      <c r="P40" s="2024"/>
      <c r="Q40" s="2024"/>
      <c r="R40" s="2024"/>
      <c r="S40" s="2024"/>
      <c r="T40" s="2024"/>
      <c r="U40" s="2024"/>
      <c r="V40" s="2024"/>
      <c r="W40" s="2024"/>
      <c r="X40" s="2024"/>
      <c r="Y40" s="2024"/>
      <c r="Z40" s="2024"/>
      <c r="AA40" s="2024"/>
      <c r="AB40" s="2024"/>
      <c r="AC40" s="2024"/>
      <c r="AD40" s="2024"/>
      <c r="AE40" s="2024"/>
      <c r="AF40" s="2024"/>
      <c r="AG40" s="2024"/>
      <c r="AH40" s="2024"/>
      <c r="AI40" s="2025"/>
    </row>
    <row r="41" spans="1:45" ht="15.75" customHeight="1" x14ac:dyDescent="0.25">
      <c r="A41" s="2043" t="s">
        <v>1088</v>
      </c>
      <c r="B41" s="2040"/>
      <c r="C41" s="2040"/>
      <c r="D41" s="2040"/>
      <c r="E41" s="2040" t="s">
        <v>1088</v>
      </c>
      <c r="F41" s="2040"/>
      <c r="G41" s="2040"/>
      <c r="H41" s="2040" t="s">
        <v>1089</v>
      </c>
      <c r="I41" s="2040"/>
      <c r="J41" s="2040"/>
      <c r="K41" s="2040"/>
      <c r="L41" s="2040" t="s">
        <v>1090</v>
      </c>
      <c r="M41" s="2040"/>
      <c r="N41" s="2040"/>
      <c r="O41" s="2040"/>
      <c r="P41" s="2040" t="s">
        <v>1091</v>
      </c>
      <c r="Q41" s="2040"/>
      <c r="R41" s="2040"/>
      <c r="S41" s="2040"/>
      <c r="T41" s="2040" t="s">
        <v>1092</v>
      </c>
      <c r="U41" s="2041"/>
      <c r="V41" s="2041"/>
      <c r="W41" s="2041"/>
      <c r="X41" s="2040" t="s">
        <v>1093</v>
      </c>
      <c r="Y41" s="2040"/>
      <c r="Z41" s="2040"/>
      <c r="AA41" s="2040"/>
      <c r="AB41" s="2049" t="s">
        <v>16</v>
      </c>
      <c r="AC41" s="2041"/>
      <c r="AD41" s="2041"/>
      <c r="AE41" s="2034"/>
      <c r="AF41" s="2035"/>
      <c r="AG41" s="2035"/>
      <c r="AH41" s="2035"/>
      <c r="AI41" s="2036"/>
    </row>
    <row r="42" spans="1:45" ht="15.75" customHeight="1" thickBot="1" x14ac:dyDescent="0.3">
      <c r="A42" s="614" t="s">
        <v>108</v>
      </c>
      <c r="B42" s="2110" t="s">
        <v>1094</v>
      </c>
      <c r="C42" s="2111"/>
      <c r="D42" s="2112"/>
      <c r="E42" s="2042" t="s">
        <v>1095</v>
      </c>
      <c r="F42" s="2042"/>
      <c r="G42" s="2042"/>
      <c r="H42" s="2042" t="s">
        <v>728</v>
      </c>
      <c r="I42" s="2042"/>
      <c r="J42" s="2042" t="s">
        <v>1096</v>
      </c>
      <c r="K42" s="2042"/>
      <c r="L42" s="2042" t="s">
        <v>728</v>
      </c>
      <c r="M42" s="2042"/>
      <c r="N42" s="2042" t="s">
        <v>1096</v>
      </c>
      <c r="O42" s="2042"/>
      <c r="P42" s="2042" t="s">
        <v>728</v>
      </c>
      <c r="Q42" s="2042"/>
      <c r="R42" s="2042" t="s">
        <v>1096</v>
      </c>
      <c r="S42" s="2042"/>
      <c r="T42" s="2042" t="s">
        <v>728</v>
      </c>
      <c r="U42" s="2042"/>
      <c r="V42" s="2042" t="s">
        <v>1096</v>
      </c>
      <c r="W42" s="2042"/>
      <c r="X42" s="2042" t="s">
        <v>728</v>
      </c>
      <c r="Y42" s="2042"/>
      <c r="Z42" s="2042" t="s">
        <v>1096</v>
      </c>
      <c r="AA42" s="2042"/>
      <c r="AB42" s="2047" t="s">
        <v>1097</v>
      </c>
      <c r="AC42" s="2048"/>
      <c r="AD42" s="2048"/>
      <c r="AE42" s="2037"/>
      <c r="AF42" s="2038"/>
      <c r="AG42" s="2038"/>
      <c r="AH42" s="2038"/>
      <c r="AI42" s="2039"/>
    </row>
    <row r="43" spans="1:45" ht="15.75" customHeight="1" x14ac:dyDescent="0.35">
      <c r="A43" s="615">
        <v>1</v>
      </c>
      <c r="B43" s="2105">
        <f>IF(Data!G12&gt;0,IF(Data!G12&lt;&gt;"", Data!G12, " ")," ")</f>
        <v>1039060</v>
      </c>
      <c r="C43" s="2072"/>
      <c r="D43" s="2073"/>
      <c r="E43" s="2074">
        <f>IF(Data!F12&gt;0,IF(Data!F12&lt;&gt;"", Data!F12, ""),"")</f>
        <v>1613</v>
      </c>
      <c r="F43" s="2075"/>
      <c r="G43" s="2076"/>
      <c r="H43" s="2074">
        <f>IF(Quotation!$W$27=550,0,IF('Eng. Cutter Entry'!C4&lt;&gt;"",IF(Data!K12&gt;0,IF(Data!K12&lt;&gt;"",Data!K12," ")," "),Quotation!D48-Quotation!Q48))</f>
        <v>0</v>
      </c>
      <c r="I43" s="2077"/>
      <c r="J43" s="2045" t="str">
        <f>IF(Data!L12&lt;&gt;0,IF(Quotation!$W$27=550,0,IF(Data!L12&gt;0,IF(Data!L12&lt;&gt;"",Data!L12,0),0)),"")</f>
        <v/>
      </c>
      <c r="K43" s="2046"/>
      <c r="L43" s="2044"/>
      <c r="M43" s="2045"/>
      <c r="N43" s="2045"/>
      <c r="O43" s="2046"/>
      <c r="P43" s="2044"/>
      <c r="Q43" s="2045"/>
      <c r="R43" s="2072"/>
      <c r="S43" s="2073"/>
      <c r="T43" s="2044"/>
      <c r="U43" s="2045"/>
      <c r="V43" s="2045"/>
      <c r="W43" s="2046"/>
      <c r="X43" s="2044"/>
      <c r="Y43" s="2045"/>
      <c r="Z43" s="2045"/>
      <c r="AA43" s="2046"/>
      <c r="AB43" s="2059">
        <f>IF(OR(Data!L4=1,Data!L5=1),0,IF(AND(TRIM(Quotation!S48)&lt;&gt;"",Quotation!S48&lt;&gt;0),Data!GQ2,0))</f>
        <v>0</v>
      </c>
      <c r="AC43" s="2060"/>
      <c r="AD43" s="2061"/>
      <c r="AE43" s="2062">
        <f>AB43*SUM(H43)+L43+P43+T43+X43</f>
        <v>0</v>
      </c>
      <c r="AF43" s="2063"/>
      <c r="AG43" s="2063"/>
      <c r="AH43" s="2063"/>
      <c r="AI43" s="2064"/>
    </row>
    <row r="44" spans="1:45" ht="15.75" customHeight="1" x14ac:dyDescent="0.35">
      <c r="A44" s="616">
        <v>2</v>
      </c>
      <c r="B44" s="2106">
        <f>IF(Data!G13&gt;0,IF(Data!G13&lt;&gt;"", Data!G13, " ")," ")</f>
        <v>1130197</v>
      </c>
      <c r="C44" s="1620"/>
      <c r="D44" s="2071"/>
      <c r="E44" s="2065">
        <f>IF(Data!F13&gt;0,IF(Data!F13&lt;&gt;"", Data!F13, ""),"")</f>
        <v>1608</v>
      </c>
      <c r="F44" s="2066"/>
      <c r="G44" s="2067"/>
      <c r="H44" s="2065">
        <f>IF(Quotation!$W$27=550,0,IF('Eng. Cutter Entry'!C5&lt;&gt;"",IF(Data!K13&gt;0,IF(Data!K13&lt;&gt;"",Data!K13," ")," "),Quotation!D49-Quotation!Q49))</f>
        <v>0</v>
      </c>
      <c r="I44" s="2068"/>
      <c r="J44" s="2069" t="str">
        <f>IF(Data!L13&lt;&gt;0,IF(Quotation!$W$27=550,0,IF(Data!L13&gt;0,IF(Data!L13&lt;&gt;"",Data!L13,0),0)),"")</f>
        <v/>
      </c>
      <c r="K44" s="2070"/>
      <c r="L44" s="2050"/>
      <c r="M44" s="2051"/>
      <c r="N44" s="2051"/>
      <c r="O44" s="2052"/>
      <c r="P44" s="2050"/>
      <c r="Q44" s="2051"/>
      <c r="R44" s="1620"/>
      <c r="S44" s="2071"/>
      <c r="T44" s="2050"/>
      <c r="U44" s="2051"/>
      <c r="V44" s="2051"/>
      <c r="W44" s="2052"/>
      <c r="X44" s="2050"/>
      <c r="Y44" s="2051"/>
      <c r="Z44" s="2051"/>
      <c r="AA44" s="2052"/>
      <c r="AB44" s="2053">
        <f>IF(OR(Data!L4=1,Data!L5=1),0,IF(AND(TRIM(Quotation!S49)&lt;&gt;"",Quotation!S49&lt;&gt;0),Data!GQ3,0))</f>
        <v>0</v>
      </c>
      <c r="AC44" s="2054"/>
      <c r="AD44" s="2055"/>
      <c r="AE44" s="2056">
        <f t="shared" ref="AE44:AE49" si="0">AB44*SUM(H44:Z44)</f>
        <v>0</v>
      </c>
      <c r="AF44" s="2057"/>
      <c r="AG44" s="2057"/>
      <c r="AH44" s="2057"/>
      <c r="AI44" s="2058"/>
      <c r="AS44" s="491">
        <v>853551</v>
      </c>
    </row>
    <row r="45" spans="1:45" ht="15.75" customHeight="1" x14ac:dyDescent="0.35">
      <c r="A45" s="616">
        <v>3</v>
      </c>
      <c r="B45" s="2106">
        <f>IF(Data!G14&gt;0,IF(Data!G14&lt;&gt;"", Data!G14, " ")," ")</f>
        <v>418525</v>
      </c>
      <c r="C45" s="1620"/>
      <c r="D45" s="2071"/>
      <c r="E45" s="2065">
        <f>IF(Data!F14&gt;0,IF(Data!F14&lt;&gt;"", Data!F14, ""),"")</f>
        <v>1308</v>
      </c>
      <c r="F45" s="2066"/>
      <c r="G45" s="2067"/>
      <c r="H45" s="2078">
        <f>IF(Quotation!$W$27=550,0,IF('Eng. Cutter Entry'!C6&lt;&gt;"",IF(Data!K14&gt;0,IF(Data!K14&lt;&gt;"",Data!K14," ")," "),Quotation!D50-Quotation!Q50))</f>
        <v>6</v>
      </c>
      <c r="I45" s="2079"/>
      <c r="J45" s="2069" t="str">
        <f>IF(Data!L14&lt;&gt;0,IF(Quotation!$W$27=550,0,IF(Data!L14&gt;0,IF(Data!L14&lt;&gt;"",Data!L14,0),0)),"")</f>
        <v/>
      </c>
      <c r="K45" s="2070"/>
      <c r="L45" s="2050"/>
      <c r="M45" s="2051"/>
      <c r="N45" s="2051"/>
      <c r="O45" s="2052"/>
      <c r="P45" s="2050"/>
      <c r="Q45" s="2051"/>
      <c r="R45" s="2051"/>
      <c r="S45" s="2052"/>
      <c r="T45" s="2050"/>
      <c r="U45" s="2051"/>
      <c r="V45" s="2051"/>
      <c r="W45" s="2052"/>
      <c r="X45" s="2050"/>
      <c r="Y45" s="2051"/>
      <c r="Z45" s="2051"/>
      <c r="AA45" s="2052"/>
      <c r="AB45" s="2053">
        <f>IF(OR(Data!L4=1,Data!L5=1),0,IF(AND(TRIM(Quotation!S50)&lt;&gt;"",Quotation!S50&lt;&gt;0),Data!GQ4,0))</f>
        <v>100</v>
      </c>
      <c r="AC45" s="2054"/>
      <c r="AD45" s="2055"/>
      <c r="AE45" s="2056">
        <f t="shared" si="0"/>
        <v>600</v>
      </c>
      <c r="AF45" s="2057"/>
      <c r="AG45" s="2057"/>
      <c r="AH45" s="2057"/>
      <c r="AI45" s="2058"/>
      <c r="AS45" s="491">
        <v>983150</v>
      </c>
    </row>
    <row r="46" spans="1:45" ht="15.75" customHeight="1" x14ac:dyDescent="0.35">
      <c r="A46" s="616">
        <v>4</v>
      </c>
      <c r="B46" s="2106">
        <f>IF(Data!G15&gt;0,IF(Data!G15&lt;&gt;"", Data!G15, " ")," ")</f>
        <v>643738</v>
      </c>
      <c r="C46" s="1620"/>
      <c r="D46" s="2071"/>
      <c r="E46" s="2065">
        <f>IF(Data!F15&gt;0,IF(Data!F15&lt;&gt;"", Data!F15, ""),"")</f>
        <v>1608</v>
      </c>
      <c r="F46" s="2066"/>
      <c r="G46" s="2067"/>
      <c r="H46" s="2078">
        <f>IF(Quotation!$W$27=550,0,IF('Eng. Cutter Entry'!C7&lt;&gt;"",IF(Data!K15&gt;0,IF(Data!K15&lt;&gt;"",Data!K15," ")," "),Quotation!D51-Quotation!Q51))</f>
        <v>6</v>
      </c>
      <c r="I46" s="2079"/>
      <c r="J46" s="2069" t="str">
        <f>IF(Data!L15&lt;&gt;0,IF(Quotation!$W$27=550,0,IF(Data!L15&gt;0,IF(Data!L15&lt;&gt;"",Data!L15,0),0)),"")</f>
        <v/>
      </c>
      <c r="K46" s="2070"/>
      <c r="L46" s="2050"/>
      <c r="M46" s="2051"/>
      <c r="N46" s="2051"/>
      <c r="O46" s="2052"/>
      <c r="P46" s="2050"/>
      <c r="Q46" s="2051"/>
      <c r="R46" s="2051"/>
      <c r="S46" s="2052"/>
      <c r="T46" s="2050" t="s">
        <v>304</v>
      </c>
      <c r="U46" s="2051"/>
      <c r="V46" s="2051"/>
      <c r="W46" s="2052"/>
      <c r="X46" s="2050"/>
      <c r="Y46" s="2051"/>
      <c r="Z46" s="2051"/>
      <c r="AA46" s="2052"/>
      <c r="AB46" s="2053">
        <f>IF(OR(Data!L4=1,Data!L5=1),0,IF(AND(TRIM(Quotation!S51)&lt;&gt;"",Quotation!S51&lt;&gt;0),Data!GQ5,0))</f>
        <v>497</v>
      </c>
      <c r="AC46" s="2054"/>
      <c r="AD46" s="2055"/>
      <c r="AE46" s="2056">
        <f>AB46*SUM(H46:Z46)</f>
        <v>2982</v>
      </c>
      <c r="AF46" s="2057"/>
      <c r="AG46" s="2057"/>
      <c r="AH46" s="2057"/>
      <c r="AI46" s="2058"/>
      <c r="AS46" s="491">
        <v>625854</v>
      </c>
    </row>
    <row r="47" spans="1:45" ht="15.75" customHeight="1" x14ac:dyDescent="0.35">
      <c r="A47" s="616">
        <v>5</v>
      </c>
      <c r="B47" s="2106">
        <f>IF(Data!G16&gt;0,IF(Data!G16&lt;&gt;"", Data!G16, " ")," ")</f>
        <v>1126402</v>
      </c>
      <c r="C47" s="1620"/>
      <c r="D47" s="2071"/>
      <c r="E47" s="2065">
        <f>IF(Data!F16&gt;0,IF(Data!F16&lt;&gt;"", Data!F16, ""),"")</f>
        <v>1613</v>
      </c>
      <c r="F47" s="2066"/>
      <c r="G47" s="2067"/>
      <c r="H47" s="2078">
        <f>IF(Quotation!$W$27=550,0,IF('Eng. Cutter Entry'!C8&lt;&gt;"",IF(Data!K16&gt;0,IF(Data!K16&lt;&gt;"",Data!K16," ")," "),Quotation!D52-Quotation!Q52))</f>
        <v>21</v>
      </c>
      <c r="I47" s="2079"/>
      <c r="J47" s="2069" t="str">
        <f>IF(Data!L16&lt;&gt;0,IF(Quotation!$W$27=550,0,IF(Data!L16&gt;0,IF(Data!L16&lt;&gt;"",Data!L16,0),0)),"")</f>
        <v/>
      </c>
      <c r="K47" s="2070"/>
      <c r="L47" s="2050"/>
      <c r="M47" s="2051"/>
      <c r="N47" s="2051"/>
      <c r="O47" s="2052"/>
      <c r="P47" s="2050"/>
      <c r="Q47" s="2051"/>
      <c r="R47" s="2051"/>
      <c r="S47" s="2052"/>
      <c r="T47" s="2050"/>
      <c r="U47" s="2051"/>
      <c r="V47" s="2051"/>
      <c r="W47" s="2052"/>
      <c r="X47" s="2050"/>
      <c r="Y47" s="2051"/>
      <c r="Z47" s="2051"/>
      <c r="AA47" s="2052"/>
      <c r="AB47" s="2053">
        <f>IF(OR(Data!L4=1,Data!L5=1),0,IF(AND(TRIM(Quotation!S52)&lt;&gt;"",Quotation!S52&lt;&gt;0),Data!GQ6,0))</f>
        <v>497</v>
      </c>
      <c r="AC47" s="2054"/>
      <c r="AD47" s="2055"/>
      <c r="AE47" s="2056">
        <f t="shared" si="0"/>
        <v>10437</v>
      </c>
      <c r="AF47" s="2057"/>
      <c r="AG47" s="2057"/>
      <c r="AH47" s="2057"/>
      <c r="AI47" s="2058"/>
      <c r="AS47" s="491">
        <v>418525</v>
      </c>
    </row>
    <row r="48" spans="1:45" ht="15.75" customHeight="1" x14ac:dyDescent="0.35">
      <c r="A48" s="616">
        <v>6</v>
      </c>
      <c r="B48" s="2106" t="str">
        <f>IF(Data!G17&gt;0,IF(Data!G17&lt;&gt;"", Data!G17, " ")," ")</f>
        <v xml:space="preserve"> </v>
      </c>
      <c r="C48" s="1620"/>
      <c r="D48" s="2071"/>
      <c r="E48" s="2065" t="str">
        <f>IF(Data!F17&gt;0,IF(Data!F17&lt;&gt;"", Data!F17, ""),"")</f>
        <v xml:space="preserve"> </v>
      </c>
      <c r="F48" s="2066"/>
      <c r="G48" s="2067"/>
      <c r="H48" s="2078">
        <f>IF(Quotation!$W$27=550,0,IF('Eng. Cutter Entry'!C9&lt;&gt;"",IF(Data!K17&gt;0,IF(Data!K17&lt;&gt;"",Data!K17," ")," "),Quotation!D53-Quotation!Q53))</f>
        <v>0</v>
      </c>
      <c r="I48" s="2079"/>
      <c r="J48" s="2069" t="str">
        <f>IF(Data!L17&lt;&gt;0,IF(Quotation!$W$27=550,0,IF(Data!L17&gt;0,IF(Data!L17&lt;&gt;"",Data!L17,0),0)),"")</f>
        <v/>
      </c>
      <c r="K48" s="2070"/>
      <c r="L48" s="2050"/>
      <c r="M48" s="2051"/>
      <c r="N48" s="2051"/>
      <c r="O48" s="2052"/>
      <c r="P48" s="2050"/>
      <c r="Q48" s="2051"/>
      <c r="R48" s="2051"/>
      <c r="S48" s="2052"/>
      <c r="T48" s="2050"/>
      <c r="U48" s="2051"/>
      <c r="V48" s="2051"/>
      <c r="W48" s="2052"/>
      <c r="X48" s="2050"/>
      <c r="Y48" s="2051"/>
      <c r="Z48" s="2051"/>
      <c r="AA48" s="2052"/>
      <c r="AB48" s="2053">
        <f>IF(OR(Data!L4=1,Data!L5=1),0,IF(AND(TRIM(Quotation!S53)&lt;&gt;"",Quotation!S53&lt;&gt;0),Data!GQ7,0))</f>
        <v>0</v>
      </c>
      <c r="AC48" s="2054"/>
      <c r="AD48" s="2055"/>
      <c r="AE48" s="2056">
        <f t="shared" si="0"/>
        <v>0</v>
      </c>
      <c r="AF48" s="2057"/>
      <c r="AG48" s="2057"/>
      <c r="AH48" s="2057"/>
      <c r="AI48" s="2058"/>
    </row>
    <row r="49" spans="1:46" ht="15.75" customHeight="1" thickBot="1" x14ac:dyDescent="0.4">
      <c r="A49" s="617">
        <v>7</v>
      </c>
      <c r="B49" s="2107" t="str">
        <f>IF(Data!G18&gt;0,IF(Data!G18&lt;&gt;"", Data!G18, " ")," ")</f>
        <v xml:space="preserve"> </v>
      </c>
      <c r="C49" s="2108"/>
      <c r="D49" s="2109"/>
      <c r="E49" s="2113" t="str">
        <f>IF(Data!F18&gt;0,IF(Data!F18&lt;&gt;"", Data!F18, ""),"")</f>
        <v xml:space="preserve"> </v>
      </c>
      <c r="F49" s="1996"/>
      <c r="G49" s="2114"/>
      <c r="H49" s="2115">
        <f>IF(Quotation!$W$27=550,0,IF('Eng. Cutter Entry'!C10&lt;&gt;"",IF(Data!K18&gt;0,IF(Data!K18&lt;&gt;"",Data!K18," ")," "),Quotation!D54-Quotation!Q54))</f>
        <v>0</v>
      </c>
      <c r="I49" s="2116"/>
      <c r="J49" s="2117" t="str">
        <f>IF(Data!L18&lt;&gt;0,IF(Quotation!$W$27=550,0,IF(Data!L18&gt;0,IF(Data!L18&lt;&gt;"",Data!L18,0),0)),"")</f>
        <v/>
      </c>
      <c r="K49" s="2118"/>
      <c r="L49" s="2084"/>
      <c r="M49" s="2085"/>
      <c r="N49" s="2085"/>
      <c r="O49" s="2086"/>
      <c r="P49" s="2084"/>
      <c r="Q49" s="2085"/>
      <c r="R49" s="2085"/>
      <c r="S49" s="2086"/>
      <c r="T49" s="2084"/>
      <c r="U49" s="2085"/>
      <c r="V49" s="2085"/>
      <c r="W49" s="2086"/>
      <c r="X49" s="2084"/>
      <c r="Y49" s="2085"/>
      <c r="Z49" s="2085"/>
      <c r="AA49" s="2086"/>
      <c r="AB49" s="2080">
        <f>IF(OR(Data!L4=1,Data!L5=1),0,IF(AND(TRIM(Quotation!S54)&lt;&gt;"",Quotation!S54&lt;&gt;0),Data!GQ8,0))</f>
        <v>0</v>
      </c>
      <c r="AC49" s="2081"/>
      <c r="AD49" s="2082"/>
      <c r="AE49" s="2056">
        <f t="shared" si="0"/>
        <v>0</v>
      </c>
      <c r="AF49" s="2057"/>
      <c r="AG49" s="2057"/>
      <c r="AH49" s="2057"/>
      <c r="AI49" s="2058"/>
    </row>
    <row r="50" spans="1:46" ht="15.75" customHeight="1" x14ac:dyDescent="0.3">
      <c r="A50" s="510"/>
      <c r="B50" s="511"/>
      <c r="C50" s="511"/>
      <c r="D50" s="511"/>
      <c r="E50" s="511"/>
      <c r="F50" s="511"/>
      <c r="G50" s="511"/>
      <c r="H50" s="511"/>
      <c r="I50" s="511"/>
      <c r="J50" s="511"/>
      <c r="K50" s="511"/>
      <c r="L50" s="511"/>
      <c r="M50" s="511"/>
      <c r="N50" s="511"/>
      <c r="O50" s="511"/>
      <c r="P50" s="511"/>
      <c r="Q50" s="511"/>
      <c r="R50" s="512"/>
      <c r="S50" s="511"/>
      <c r="T50" s="513" t="s">
        <v>1098</v>
      </c>
      <c r="U50" s="512"/>
      <c r="V50" s="511"/>
      <c r="W50" s="511"/>
      <c r="X50" s="501"/>
      <c r="Y50" s="511"/>
      <c r="Z50" s="511"/>
      <c r="AA50" s="512"/>
      <c r="AB50" s="511"/>
      <c r="AC50" s="511"/>
      <c r="AD50" s="511"/>
      <c r="AE50" s="2056">
        <f>IF(Data!L5=1,550,IF(Data!L2=1,550,IF(Data!B28="",IF(OR(COUNTIF(Data!B43,"*x*"),COUNTIF(Data!B43,"*X*")),Data!F109,IF(OR(Data!B7="ARDTS",Data!B7="Halliburton Reg."),Data!C109,0)),Data!B28)))</f>
        <v>0</v>
      </c>
      <c r="AF50" s="2057"/>
      <c r="AG50" s="2057"/>
      <c r="AH50" s="2057"/>
      <c r="AI50" s="2058"/>
    </row>
    <row r="51" spans="1:46" ht="15.75" customHeight="1" x14ac:dyDescent="0.3">
      <c r="A51" s="514"/>
      <c r="B51" s="515"/>
      <c r="C51" s="515"/>
      <c r="D51" s="515"/>
      <c r="E51" s="515"/>
      <c r="F51" s="515"/>
      <c r="G51" s="515"/>
      <c r="H51" s="515"/>
      <c r="I51" s="515"/>
      <c r="J51" s="515"/>
      <c r="K51" s="515"/>
      <c r="L51" s="515"/>
      <c r="M51" s="515"/>
      <c r="N51" s="515"/>
      <c r="O51" s="515"/>
      <c r="P51" s="515"/>
      <c r="Q51" s="515"/>
      <c r="R51" s="515"/>
      <c r="S51" s="515"/>
      <c r="T51" s="516"/>
      <c r="U51" s="517"/>
      <c r="V51" s="517"/>
      <c r="W51" s="518" t="s">
        <v>1099</v>
      </c>
      <c r="X51" s="519">
        <f>IF(OR(Data!L4=1,Data!L5=1),0,IF(Data!B26&lt;&gt;"",Data!B26,Data!E109))</f>
        <v>11</v>
      </c>
      <c r="Y51" s="520" t="s">
        <v>1100</v>
      </c>
      <c r="Z51" s="517"/>
      <c r="AA51" s="519" t="s">
        <v>110</v>
      </c>
      <c r="AB51" s="2083">
        <v>60</v>
      </c>
      <c r="AC51" s="2083"/>
      <c r="AD51" s="2083"/>
      <c r="AE51" s="2056">
        <f>IF(Data!L5=1,0,IF(Data!L2=1,0,SUM(X51*AB51)))</f>
        <v>660</v>
      </c>
      <c r="AF51" s="2057"/>
      <c r="AG51" s="2057"/>
      <c r="AH51" s="2057"/>
      <c r="AI51" s="2058"/>
      <c r="AT51" s="491" t="s">
        <v>1101</v>
      </c>
    </row>
    <row r="52" spans="1:46" ht="15.75" customHeight="1" x14ac:dyDescent="0.3">
      <c r="A52" s="605"/>
      <c r="B52" s="520"/>
      <c r="C52" s="520"/>
      <c r="D52" s="520"/>
      <c r="E52" s="520"/>
      <c r="F52" s="520"/>
      <c r="G52" s="520"/>
      <c r="H52" s="520"/>
      <c r="I52" s="520"/>
      <c r="J52" s="520"/>
      <c r="K52" s="520"/>
      <c r="L52" s="520"/>
      <c r="M52" s="520"/>
      <c r="N52" s="520"/>
      <c r="O52" s="520"/>
      <c r="P52" s="520"/>
      <c r="Q52" s="520"/>
      <c r="R52" s="520"/>
      <c r="S52" s="520"/>
      <c r="T52" s="520" t="s">
        <v>1388</v>
      </c>
      <c r="U52" s="520"/>
      <c r="V52" s="520"/>
      <c r="W52" s="520"/>
      <c r="X52" s="520"/>
      <c r="Y52" s="606"/>
      <c r="Z52" s="606"/>
      <c r="AA52" s="606"/>
      <c r="AB52" s="606"/>
      <c r="AC52" s="520"/>
      <c r="AD52" s="520"/>
      <c r="AE52" s="2056">
        <f>IF(OR(Data!L4=1,Data!L5=1),0,IF(Data!G31&lt;&gt;"",Data!G31,0))</f>
        <v>0</v>
      </c>
      <c r="AF52" s="2057"/>
      <c r="AG52" s="2057"/>
      <c r="AH52" s="2057"/>
      <c r="AI52" s="2058"/>
    </row>
    <row r="53" spans="1:46" ht="15.75" customHeight="1" x14ac:dyDescent="0.3">
      <c r="A53" s="605"/>
      <c r="B53" s="520"/>
      <c r="C53" s="520"/>
      <c r="D53" s="520"/>
      <c r="E53" s="520"/>
      <c r="F53" s="520"/>
      <c r="G53" s="520"/>
      <c r="H53" s="520"/>
      <c r="I53" s="520"/>
      <c r="J53" s="520"/>
      <c r="K53" s="520"/>
      <c r="L53" s="520"/>
      <c r="M53" s="520"/>
      <c r="N53" s="520"/>
      <c r="O53" s="520"/>
      <c r="P53" s="520"/>
      <c r="Q53" s="520"/>
      <c r="R53" s="520"/>
      <c r="S53" s="520"/>
      <c r="T53" s="520" t="s">
        <v>1224</v>
      </c>
      <c r="U53" s="520"/>
      <c r="V53" s="520"/>
      <c r="W53" s="520"/>
      <c r="X53" s="520"/>
      <c r="Y53" s="606"/>
      <c r="Z53" s="606"/>
      <c r="AA53" s="606"/>
      <c r="AB53" s="606"/>
      <c r="AC53" s="520"/>
      <c r="AD53" s="520"/>
      <c r="AE53" s="2056">
        <f>IF(Data!L5=1,0,IF(Data!L2=1,0,IF(Data!G32=1,Data!G108,0)))</f>
        <v>0</v>
      </c>
      <c r="AF53" s="2057"/>
      <c r="AG53" s="2057"/>
      <c r="AH53" s="2057"/>
      <c r="AI53" s="2058"/>
    </row>
    <row r="54" spans="1:46" ht="15.75" customHeight="1" thickBot="1" x14ac:dyDescent="0.35">
      <c r="A54" s="521"/>
      <c r="B54" s="522"/>
      <c r="C54" s="522"/>
      <c r="D54" s="522"/>
      <c r="E54" s="522"/>
      <c r="F54" s="522"/>
      <c r="G54" s="522"/>
      <c r="H54" s="522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3"/>
      <c r="U54" s="522"/>
      <c r="V54" s="522"/>
      <c r="W54" s="524" t="s">
        <v>1102</v>
      </c>
      <c r="X54" s="525">
        <f>IF(OR(Data!L4=1,Data!L5=1),0,IF(Data!B27="",0,IF(Data!B27&lt;&gt;"",Data!B27,Data!E109)))</f>
        <v>0</v>
      </c>
      <c r="Y54" s="526" t="s">
        <v>1100</v>
      </c>
      <c r="Z54" s="522"/>
      <c r="AA54" s="603" t="s">
        <v>110</v>
      </c>
      <c r="AB54" s="2096">
        <v>90</v>
      </c>
      <c r="AC54" s="2096"/>
      <c r="AD54" s="2097"/>
      <c r="AE54" s="2087">
        <f>IF(Data!L5=1,0,IF(Data!L2=1,0,SUM(X54*AB54)))</f>
        <v>0</v>
      </c>
      <c r="AF54" s="2083"/>
      <c r="AG54" s="2083"/>
      <c r="AH54" s="2083"/>
      <c r="AI54" s="2088"/>
    </row>
    <row r="55" spans="1:46" ht="15.75" customHeight="1" thickBot="1" x14ac:dyDescent="0.35">
      <c r="A55" s="2089" t="s">
        <v>1401</v>
      </c>
      <c r="B55" s="2090"/>
      <c r="C55" s="2090"/>
      <c r="D55" s="2090"/>
      <c r="E55" s="2090"/>
      <c r="F55" s="2090"/>
      <c r="G55" s="2090"/>
      <c r="H55" s="2090"/>
      <c r="I55" s="2090"/>
      <c r="J55" s="2090"/>
      <c r="K55" s="2090"/>
      <c r="L55" s="2090"/>
      <c r="M55" s="2090"/>
      <c r="N55" s="2090"/>
      <c r="O55" s="2090"/>
      <c r="P55" s="2090"/>
      <c r="Q55" s="2090"/>
      <c r="R55" s="2090"/>
      <c r="S55" s="2091"/>
      <c r="T55" s="527" t="s">
        <v>1103</v>
      </c>
      <c r="U55" s="527"/>
      <c r="V55" s="527" t="s">
        <v>1104</v>
      </c>
      <c r="W55" s="618">
        <f>IF(OR(Data!L4=1,Data!L5=1),0,IF(Data!L7&gt;0,IF(Data!G13&lt;&gt;"",Data!L7,0),0))</f>
        <v>0</v>
      </c>
      <c r="X55" s="527"/>
      <c r="Y55" s="2092">
        <f>IF(OR(Data!L4=1,Data!L5=1),0,100)</f>
        <v>100</v>
      </c>
      <c r="Z55" s="2093"/>
      <c r="AA55" s="2093"/>
      <c r="AB55" s="2094"/>
      <c r="AC55" s="528"/>
      <c r="AD55" s="528"/>
      <c r="AE55" s="2095">
        <f>IF(Data!L5=1,0,IF(Data!L2=1,0,SUM(W55*Y55)))</f>
        <v>0</v>
      </c>
      <c r="AF55" s="2096"/>
      <c r="AG55" s="2096"/>
      <c r="AH55" s="2096"/>
      <c r="AI55" s="2097"/>
    </row>
    <row r="56" spans="1:46" ht="15.75" customHeight="1" thickBot="1" x14ac:dyDescent="0.4">
      <c r="W56" s="2098"/>
      <c r="X56" s="2098"/>
      <c r="AA56" s="2098" t="s">
        <v>21</v>
      </c>
      <c r="AB56" s="2098"/>
      <c r="AC56" s="2099"/>
      <c r="AD56" s="2100">
        <f>SUM(AE43:AI55)</f>
        <v>14679</v>
      </c>
      <c r="AE56" s="2101"/>
      <c r="AF56" s="2101"/>
      <c r="AG56" s="2101"/>
      <c r="AH56" s="2101"/>
      <c r="AI56" s="2102"/>
    </row>
    <row r="57" spans="1:46" ht="15.75" customHeight="1" thickBot="1" x14ac:dyDescent="0.35">
      <c r="A57" s="1961" t="s">
        <v>1105</v>
      </c>
      <c r="B57" s="1961"/>
      <c r="C57" s="1961"/>
      <c r="D57" s="1961"/>
      <c r="E57" s="1961"/>
      <c r="F57" s="1961"/>
      <c r="G57" s="1961"/>
      <c r="H57" s="2103" t="str">
        <f>IF(Data!B19&lt;&gt;"",Data!B19," ")</f>
        <v xml:space="preserve"> </v>
      </c>
      <c r="I57" s="2103"/>
      <c r="J57" s="2103"/>
      <c r="K57" s="2103"/>
      <c r="L57" s="2103"/>
      <c r="M57" s="2103"/>
      <c r="N57" s="498"/>
      <c r="O57" s="1978" t="s">
        <v>1079</v>
      </c>
      <c r="P57" s="1978"/>
      <c r="Q57" s="2104" t="str">
        <f>IF(Data!B20&lt;&gt;"",Data!B20," ")</f>
        <v xml:space="preserve"> </v>
      </c>
      <c r="R57" s="1996"/>
      <c r="S57" s="1996"/>
      <c r="T57" s="1996"/>
      <c r="U57" s="1996"/>
      <c r="W57" s="1978" t="s">
        <v>831</v>
      </c>
      <c r="X57" s="1978"/>
      <c r="Y57" s="1978"/>
      <c r="Z57" s="1978"/>
      <c r="AA57" s="1978"/>
      <c r="AB57" s="2103" t="str">
        <f>IF(Data!B21&lt;&gt;"",Data!B21," ")</f>
        <v xml:space="preserve"> </v>
      </c>
      <c r="AC57" s="2103"/>
      <c r="AD57" s="2103"/>
      <c r="AE57" s="2103"/>
      <c r="AF57" s="2103"/>
      <c r="AG57" s="2103"/>
      <c r="AH57" s="2103"/>
    </row>
    <row r="58" spans="1:46" ht="15.75" customHeight="1" x14ac:dyDescent="0.25">
      <c r="Q58" s="529"/>
      <c r="R58" s="529"/>
      <c r="S58" s="529"/>
      <c r="T58" s="529"/>
      <c r="U58" s="529"/>
    </row>
    <row r="59" spans="1:46" ht="13" x14ac:dyDescent="0.3">
      <c r="N59" s="530"/>
      <c r="O59" s="530"/>
      <c r="P59" s="530"/>
      <c r="Q59" s="530"/>
      <c r="R59" s="530"/>
      <c r="S59" s="497"/>
      <c r="T59" s="497"/>
      <c r="U59" s="497"/>
      <c r="V59" s="497"/>
      <c r="W59" s="497"/>
      <c r="X59" s="497"/>
      <c r="Z59" s="498"/>
      <c r="AB59" s="496"/>
      <c r="AC59" s="496"/>
      <c r="AD59" s="496"/>
      <c r="AE59" s="496"/>
      <c r="AF59" s="496"/>
    </row>
  </sheetData>
  <mergeCells count="197">
    <mergeCell ref="B43:D43"/>
    <mergeCell ref="B44:D44"/>
    <mergeCell ref="B45:D45"/>
    <mergeCell ref="B46:D46"/>
    <mergeCell ref="B47:D47"/>
    <mergeCell ref="B48:D48"/>
    <mergeCell ref="B49:D49"/>
    <mergeCell ref="B42:D42"/>
    <mergeCell ref="AB54:AD54"/>
    <mergeCell ref="E49:G49"/>
    <mergeCell ref="H49:I49"/>
    <mergeCell ref="J49:K49"/>
    <mergeCell ref="L49:M49"/>
    <mergeCell ref="N49:O49"/>
    <mergeCell ref="T48:U48"/>
    <mergeCell ref="V48:W48"/>
    <mergeCell ref="X48:Y48"/>
    <mergeCell ref="E48:G48"/>
    <mergeCell ref="H48:I48"/>
    <mergeCell ref="J48:K48"/>
    <mergeCell ref="L48:M48"/>
    <mergeCell ref="N48:O48"/>
    <mergeCell ref="P48:Q48"/>
    <mergeCell ref="R48:S48"/>
    <mergeCell ref="AE54:AI54"/>
    <mergeCell ref="A55:S55"/>
    <mergeCell ref="Y55:AB55"/>
    <mergeCell ref="AE55:AI55"/>
    <mergeCell ref="W56:X56"/>
    <mergeCell ref="AA56:AC56"/>
    <mergeCell ref="AD56:AI56"/>
    <mergeCell ref="A57:G57"/>
    <mergeCell ref="H57:M57"/>
    <mergeCell ref="O57:P57"/>
    <mergeCell ref="Q57:U57"/>
    <mergeCell ref="W57:AA57"/>
    <mergeCell ref="AB57:AH57"/>
    <mergeCell ref="AE53:AI53"/>
    <mergeCell ref="AB49:AD49"/>
    <mergeCell ref="AE49:AI49"/>
    <mergeCell ref="AE50:AI50"/>
    <mergeCell ref="AB51:AD51"/>
    <mergeCell ref="AE51:AI51"/>
    <mergeCell ref="AE52:AI52"/>
    <mergeCell ref="P49:Q49"/>
    <mergeCell ref="R49:S49"/>
    <mergeCell ref="T49:U49"/>
    <mergeCell ref="V49:W49"/>
    <mergeCell ref="X49:Y49"/>
    <mergeCell ref="Z49:AA49"/>
    <mergeCell ref="Z48:AA48"/>
    <mergeCell ref="AB48:AD48"/>
    <mergeCell ref="AE48:AI48"/>
    <mergeCell ref="AB47:AD47"/>
    <mergeCell ref="AE47:AI47"/>
    <mergeCell ref="T47:U47"/>
    <mergeCell ref="V47:W47"/>
    <mergeCell ref="X47:Y47"/>
    <mergeCell ref="Z47:AA47"/>
    <mergeCell ref="P47:Q47"/>
    <mergeCell ref="R47:S47"/>
    <mergeCell ref="E47:G47"/>
    <mergeCell ref="H47:I47"/>
    <mergeCell ref="J47:K47"/>
    <mergeCell ref="L47:M47"/>
    <mergeCell ref="N47:O47"/>
    <mergeCell ref="T46:U46"/>
    <mergeCell ref="V46:W46"/>
    <mergeCell ref="X46:Y46"/>
    <mergeCell ref="Z46:AA46"/>
    <mergeCell ref="AB46:AD46"/>
    <mergeCell ref="AE46:AI46"/>
    <mergeCell ref="AB45:AD45"/>
    <mergeCell ref="AE45:AI45"/>
    <mergeCell ref="E46:G46"/>
    <mergeCell ref="H46:I46"/>
    <mergeCell ref="J46:K46"/>
    <mergeCell ref="L46:M46"/>
    <mergeCell ref="N46:O46"/>
    <mergeCell ref="P46:Q46"/>
    <mergeCell ref="R46:S46"/>
    <mergeCell ref="P45:Q45"/>
    <mergeCell ref="R45:S45"/>
    <mergeCell ref="T45:U45"/>
    <mergeCell ref="V45:W45"/>
    <mergeCell ref="X45:Y45"/>
    <mergeCell ref="Z45:AA45"/>
    <mergeCell ref="E45:G45"/>
    <mergeCell ref="H45:I45"/>
    <mergeCell ref="J45:K45"/>
    <mergeCell ref="L45:M45"/>
    <mergeCell ref="N45:O45"/>
    <mergeCell ref="T44:U44"/>
    <mergeCell ref="V44:W44"/>
    <mergeCell ref="X44:Y44"/>
    <mergeCell ref="Z44:AA44"/>
    <mergeCell ref="AB44:AD44"/>
    <mergeCell ref="AE44:AI44"/>
    <mergeCell ref="AB43:AD43"/>
    <mergeCell ref="AE43:AI43"/>
    <mergeCell ref="E44:G44"/>
    <mergeCell ref="H44:I44"/>
    <mergeCell ref="J44:K44"/>
    <mergeCell ref="L44:M44"/>
    <mergeCell ref="N44:O44"/>
    <mergeCell ref="P44:Q44"/>
    <mergeCell ref="R44:S44"/>
    <mergeCell ref="P43:Q43"/>
    <mergeCell ref="R43:S43"/>
    <mergeCell ref="T43:U43"/>
    <mergeCell ref="V43:W43"/>
    <mergeCell ref="X43:Y43"/>
    <mergeCell ref="Z43:AA43"/>
    <mergeCell ref="E43:G43"/>
    <mergeCell ref="H43:I43"/>
    <mergeCell ref="J43:K43"/>
    <mergeCell ref="L43:M43"/>
    <mergeCell ref="N43:O43"/>
    <mergeCell ref="T42:U42"/>
    <mergeCell ref="V42:W42"/>
    <mergeCell ref="X42:Y42"/>
    <mergeCell ref="Z42:AA42"/>
    <mergeCell ref="AB42:AD42"/>
    <mergeCell ref="X41:AA41"/>
    <mergeCell ref="AB41:AD41"/>
    <mergeCell ref="AE41:AI42"/>
    <mergeCell ref="T41:W41"/>
    <mergeCell ref="E42:G42"/>
    <mergeCell ref="H42:I42"/>
    <mergeCell ref="J42:K42"/>
    <mergeCell ref="L42:M42"/>
    <mergeCell ref="N42:O42"/>
    <mergeCell ref="P42:Q42"/>
    <mergeCell ref="A41:D41"/>
    <mergeCell ref="E41:G41"/>
    <mergeCell ref="H41:K41"/>
    <mergeCell ref="L41:O41"/>
    <mergeCell ref="P41:S41"/>
    <mergeCell ref="R42:S42"/>
    <mergeCell ref="A36:D38"/>
    <mergeCell ref="E36:AI38"/>
    <mergeCell ref="A39:H39"/>
    <mergeCell ref="I39:Q39"/>
    <mergeCell ref="R39:AI39"/>
    <mergeCell ref="A40:AI40"/>
    <mergeCell ref="AG33:AH33"/>
    <mergeCell ref="A34:C34"/>
    <mergeCell ref="D34:F34"/>
    <mergeCell ref="G34:I34"/>
    <mergeCell ref="J34:L34"/>
    <mergeCell ref="M34:O34"/>
    <mergeCell ref="P34:R34"/>
    <mergeCell ref="S34:U34"/>
    <mergeCell ref="V34:Z34"/>
    <mergeCell ref="AC31:AF31"/>
    <mergeCell ref="AG31:AH31"/>
    <mergeCell ref="A33:C33"/>
    <mergeCell ref="D33:F33"/>
    <mergeCell ref="G33:I33"/>
    <mergeCell ref="J33:L33"/>
    <mergeCell ref="M33:O33"/>
    <mergeCell ref="P33:R33"/>
    <mergeCell ref="S33:U33"/>
    <mergeCell ref="AC33:AF33"/>
    <mergeCell ref="A31:E31"/>
    <mergeCell ref="F31:I31"/>
    <mergeCell ref="J31:K31"/>
    <mergeCell ref="L31:P31"/>
    <mergeCell ref="Q31:R31"/>
    <mergeCell ref="S31:W31"/>
    <mergeCell ref="A12:AH12"/>
    <mergeCell ref="A13:AH13"/>
    <mergeCell ref="A14:AH14"/>
    <mergeCell ref="A16:B17"/>
    <mergeCell ref="C16:V16"/>
    <mergeCell ref="A18:A29"/>
    <mergeCell ref="A9:E9"/>
    <mergeCell ref="F9:L9"/>
    <mergeCell ref="N9:O9"/>
    <mergeCell ref="P9:V9"/>
    <mergeCell ref="AB9:AI9"/>
    <mergeCell ref="A11:D11"/>
    <mergeCell ref="A7:E7"/>
    <mergeCell ref="F7:L7"/>
    <mergeCell ref="N7:O7"/>
    <mergeCell ref="P7:V7"/>
    <mergeCell ref="X7:AB7"/>
    <mergeCell ref="AC7:AI7"/>
    <mergeCell ref="D1:AI1"/>
    <mergeCell ref="A2:AI2"/>
    <mergeCell ref="D3:AI3"/>
    <mergeCell ref="A5:E5"/>
    <mergeCell ref="F5:L5"/>
    <mergeCell ref="M5:O5"/>
    <mergeCell ref="P5:V5"/>
    <mergeCell ref="X5:Y5"/>
    <mergeCell ref="Z5:AI5"/>
  </mergeCells>
  <conditionalFormatting sqref="A34:U34">
    <cfRule type="cellIs" dxfId="194" priority="2" operator="equal">
      <formula>0</formula>
    </cfRule>
  </conditionalFormatting>
  <conditionalFormatting sqref="I39:Q39">
    <cfRule type="cellIs" dxfId="193" priority="1" operator="equal">
      <formula>0</formula>
    </cfRule>
  </conditionalFormatting>
  <pageMargins left="0.32" right="0.26" top="0.34" bottom="0.49" header="0.5" footer="0.5"/>
  <pageSetup paperSize="9" scale="93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53E3-D64B-4436-8213-01CD2222ECEB}">
  <sheetPr>
    <tabColor rgb="FF8F45FF"/>
  </sheetPr>
  <dimension ref="A1:L21"/>
  <sheetViews>
    <sheetView view="pageBreakPreview" zoomScaleNormal="100" zoomScaleSheetLayoutView="100" workbookViewId="0">
      <selection activeCell="B20" sqref="B20:H21"/>
    </sheetView>
  </sheetViews>
  <sheetFormatPr defaultColWidth="9.1796875" defaultRowHeight="13" x14ac:dyDescent="0.35"/>
  <cols>
    <col min="1" max="1" width="5.81640625" style="1028" customWidth="1"/>
    <col min="2" max="2" width="17" style="1028" customWidth="1"/>
    <col min="3" max="4" width="7.453125" style="1028" customWidth="1"/>
    <col min="5" max="6" width="13.54296875" style="1028" customWidth="1"/>
    <col min="7" max="7" width="1.54296875" style="1028" customWidth="1"/>
    <col min="8" max="8" width="2.81640625" style="1028" customWidth="1"/>
    <col min="9" max="9" width="11" style="1028" customWidth="1"/>
    <col min="10" max="10" width="3" style="1028" customWidth="1"/>
    <col min="11" max="11" width="7.26953125" style="1028" customWidth="1"/>
    <col min="12" max="12" width="18.7265625" style="1028" customWidth="1"/>
    <col min="13" max="16384" width="9.1796875" style="1028"/>
  </cols>
  <sheetData>
    <row r="1" spans="1:12" ht="20.25" customHeight="1" x14ac:dyDescent="0.35">
      <c r="A1" s="2174" t="s">
        <v>2379</v>
      </c>
      <c r="B1" s="2175"/>
      <c r="C1" s="2175"/>
      <c r="D1" s="2175"/>
      <c r="E1" s="2175"/>
      <c r="F1" s="2175"/>
      <c r="G1" s="2176"/>
      <c r="H1" s="2180" t="s">
        <v>2380</v>
      </c>
      <c r="I1" s="2181"/>
      <c r="J1" s="2181"/>
      <c r="K1" s="2181"/>
      <c r="L1" s="2182"/>
    </row>
    <row r="2" spans="1:12" ht="20.25" customHeight="1" x14ac:dyDescent="0.35">
      <c r="A2" s="2177"/>
      <c r="B2" s="2178"/>
      <c r="C2" s="2178"/>
      <c r="D2" s="2178"/>
      <c r="E2" s="2178"/>
      <c r="F2" s="2178"/>
      <c r="G2" s="2179"/>
      <c r="H2" s="2183" t="s">
        <v>2381</v>
      </c>
      <c r="I2" s="2184"/>
      <c r="J2" s="2184"/>
      <c r="K2" s="2184"/>
      <c r="L2" s="2185"/>
    </row>
    <row r="3" spans="1:12" ht="20.25" customHeight="1" x14ac:dyDescent="0.35">
      <c r="A3" s="2186" t="s">
        <v>2382</v>
      </c>
      <c r="B3" s="2187"/>
      <c r="C3" s="2187"/>
      <c r="D3" s="2187"/>
      <c r="E3" s="2187"/>
      <c r="F3" s="2187"/>
      <c r="G3" s="2188"/>
      <c r="H3" s="2183" t="s">
        <v>2383</v>
      </c>
      <c r="I3" s="2184"/>
      <c r="J3" s="2184"/>
      <c r="K3" s="2184"/>
      <c r="L3" s="2185"/>
    </row>
    <row r="4" spans="1:12" ht="20.25" customHeight="1" thickBot="1" x14ac:dyDescent="0.4">
      <c r="A4" s="2189"/>
      <c r="B4" s="2190"/>
      <c r="C4" s="2190"/>
      <c r="D4" s="2190"/>
      <c r="E4" s="2190"/>
      <c r="F4" s="2190"/>
      <c r="G4" s="2191"/>
      <c r="H4" s="2192" t="s">
        <v>2384</v>
      </c>
      <c r="I4" s="2193"/>
      <c r="J4" s="2193"/>
      <c r="K4" s="2193"/>
      <c r="L4" s="2194"/>
    </row>
    <row r="5" spans="1:12" ht="46.5" customHeight="1" thickBot="1" x14ac:dyDescent="0.4">
      <c r="A5" s="1036" t="s">
        <v>2410</v>
      </c>
      <c r="B5" s="1043" t="str">
        <f>IF(Data!B1&lt;&gt;"", Data!B1, " ")</f>
        <v>2025-AR-105</v>
      </c>
      <c r="C5" s="1036" t="s">
        <v>1032</v>
      </c>
      <c r="D5" s="2195">
        <f>IF(Data!B2&lt;&gt;"", Data!B2, " ")</f>
        <v>13753277</v>
      </c>
      <c r="E5" s="2196"/>
      <c r="F5" s="1036" t="s">
        <v>1894</v>
      </c>
      <c r="G5" s="2195" t="str">
        <f>IF(LEN(Data!B3)&gt;3,IF(AND(Data!B43&lt;&gt;"",Data!B43&lt;&gt;"0 0/1"""),Data!B43,""),IF(Data!B3&lt;&gt;"",Data!B3&amp;"""",""))</f>
        <v>8 3/8"</v>
      </c>
      <c r="H5" s="2195"/>
      <c r="I5" s="2196"/>
      <c r="J5" s="2197" t="s">
        <v>1895</v>
      </c>
      <c r="K5" s="2198"/>
      <c r="L5" s="1043" t="str">
        <f>IF(Data!B4&lt;&gt;"",Data!B4," ")</f>
        <v>MM65DH</v>
      </c>
    </row>
    <row r="6" spans="1:12" ht="37.5" customHeight="1" x14ac:dyDescent="0.35">
      <c r="A6" s="2166" t="s">
        <v>2385</v>
      </c>
      <c r="B6" s="2166" t="s">
        <v>2386</v>
      </c>
      <c r="C6" s="2168" t="s">
        <v>2377</v>
      </c>
      <c r="D6" s="2169"/>
      <c r="E6" s="2169"/>
      <c r="F6" s="2169"/>
      <c r="G6" s="2169"/>
      <c r="H6" s="2170"/>
      <c r="I6" s="2171" t="s">
        <v>2387</v>
      </c>
      <c r="J6" s="2172"/>
      <c r="K6" s="2172"/>
      <c r="L6" s="2173"/>
    </row>
    <row r="7" spans="1:12" ht="38.25" customHeight="1" x14ac:dyDescent="0.35">
      <c r="A7" s="2167"/>
      <c r="B7" s="2167"/>
      <c r="C7" s="1035" t="s">
        <v>2388</v>
      </c>
      <c r="D7" s="1029" t="s">
        <v>2389</v>
      </c>
      <c r="E7" s="2163" t="s">
        <v>2390</v>
      </c>
      <c r="F7" s="2164"/>
      <c r="G7" s="2164"/>
      <c r="H7" s="2165"/>
      <c r="I7" s="1037" t="s">
        <v>2378</v>
      </c>
      <c r="J7" s="2199" t="s">
        <v>2390</v>
      </c>
      <c r="K7" s="2200"/>
      <c r="L7" s="2201"/>
    </row>
    <row r="8" spans="1:12" ht="57.75" customHeight="1" x14ac:dyDescent="0.35">
      <c r="A8" s="1032">
        <v>1</v>
      </c>
      <c r="B8" s="1033" t="s">
        <v>2391</v>
      </c>
      <c r="C8" s="1034"/>
      <c r="D8" s="1031"/>
      <c r="E8" s="1030"/>
      <c r="F8" s="2119"/>
      <c r="G8" s="2120"/>
      <c r="H8" s="2121"/>
      <c r="I8" s="1034"/>
      <c r="J8" s="2119"/>
      <c r="K8" s="2120"/>
      <c r="L8" s="2121"/>
    </row>
    <row r="9" spans="1:12" ht="57.75" customHeight="1" x14ac:dyDescent="0.35">
      <c r="A9" s="1032">
        <v>2</v>
      </c>
      <c r="B9" s="1033" t="s">
        <v>2392</v>
      </c>
      <c r="C9" s="1034"/>
      <c r="D9" s="1031"/>
      <c r="E9" s="1030"/>
      <c r="F9" s="2119"/>
      <c r="G9" s="2120"/>
      <c r="H9" s="2121"/>
      <c r="I9" s="1034"/>
      <c r="J9" s="2119"/>
      <c r="K9" s="2120"/>
      <c r="L9" s="2121"/>
    </row>
    <row r="10" spans="1:12" ht="57.75" customHeight="1" x14ac:dyDescent="0.35">
      <c r="A10" s="1032">
        <v>3</v>
      </c>
      <c r="B10" s="1033" t="s">
        <v>2393</v>
      </c>
      <c r="C10" s="1034"/>
      <c r="D10" s="1031"/>
      <c r="E10" s="1030"/>
      <c r="F10" s="2122"/>
      <c r="G10" s="2123"/>
      <c r="H10" s="2124"/>
      <c r="I10" s="1034"/>
      <c r="J10" s="2119"/>
      <c r="K10" s="2120"/>
      <c r="L10" s="2121"/>
    </row>
    <row r="11" spans="1:12" ht="57.75" customHeight="1" x14ac:dyDescent="0.35">
      <c r="A11" s="1032">
        <v>4</v>
      </c>
      <c r="B11" s="1033" t="s">
        <v>2394</v>
      </c>
      <c r="C11" s="1034"/>
      <c r="D11" s="1031"/>
      <c r="E11" s="1030"/>
      <c r="F11" s="2119"/>
      <c r="G11" s="2120"/>
      <c r="H11" s="2121"/>
      <c r="I11" s="1034"/>
      <c r="J11" s="2119"/>
      <c r="K11" s="2120"/>
      <c r="L11" s="2121"/>
    </row>
    <row r="12" spans="1:12" ht="57.75" customHeight="1" x14ac:dyDescent="0.35">
      <c r="A12" s="1032">
        <v>5</v>
      </c>
      <c r="B12" s="1033" t="s">
        <v>2395</v>
      </c>
      <c r="C12" s="1034"/>
      <c r="D12" s="1031"/>
      <c r="E12" s="1030"/>
      <c r="F12" s="2119"/>
      <c r="G12" s="2120"/>
      <c r="H12" s="2121"/>
      <c r="I12" s="1034"/>
      <c r="J12" s="2119"/>
      <c r="K12" s="2120"/>
      <c r="L12" s="2121"/>
    </row>
    <row r="13" spans="1:12" ht="57.75" customHeight="1" x14ac:dyDescent="0.35">
      <c r="A13" s="1032">
        <v>6</v>
      </c>
      <c r="B13" s="1033" t="s">
        <v>2396</v>
      </c>
      <c r="C13" s="1034"/>
      <c r="D13" s="1031"/>
      <c r="E13" s="1030"/>
      <c r="F13" s="2119"/>
      <c r="G13" s="2120"/>
      <c r="H13" s="2121"/>
      <c r="I13" s="1034"/>
      <c r="J13" s="2119"/>
      <c r="K13" s="2120"/>
      <c r="L13" s="2121"/>
    </row>
    <row r="14" spans="1:12" ht="57.75" customHeight="1" thickBot="1" x14ac:dyDescent="0.4">
      <c r="A14" s="1038">
        <v>7</v>
      </c>
      <c r="B14" s="1039" t="s">
        <v>2397</v>
      </c>
      <c r="C14" s="1040"/>
      <c r="D14" s="1041"/>
      <c r="E14" s="1042"/>
      <c r="F14" s="2139"/>
      <c r="G14" s="2137"/>
      <c r="H14" s="2138"/>
      <c r="I14" s="1040"/>
      <c r="J14" s="2139"/>
      <c r="K14" s="2137"/>
      <c r="L14" s="2138"/>
    </row>
    <row r="15" spans="1:12" ht="45.75" customHeight="1" x14ac:dyDescent="0.35">
      <c r="A15" s="2140" t="s">
        <v>2398</v>
      </c>
      <c r="B15" s="2142" t="s">
        <v>2399</v>
      </c>
      <c r="C15" s="2143"/>
      <c r="D15" s="2143"/>
      <c r="E15" s="2143"/>
      <c r="F15" s="2143"/>
      <c r="G15" s="2143"/>
      <c r="H15" s="2144"/>
      <c r="I15" s="2148" t="s">
        <v>2400</v>
      </c>
      <c r="J15" s="2149"/>
      <c r="K15" s="2150"/>
      <c r="L15" s="1044" t="s">
        <v>2401</v>
      </c>
    </row>
    <row r="16" spans="1:12" ht="45.75" customHeight="1" thickBot="1" x14ac:dyDescent="0.4">
      <c r="A16" s="2141"/>
      <c r="B16" s="2145"/>
      <c r="C16" s="2146"/>
      <c r="D16" s="2146"/>
      <c r="E16" s="2146"/>
      <c r="F16" s="2146"/>
      <c r="G16" s="2146"/>
      <c r="H16" s="2147"/>
      <c r="I16" s="2151" t="s">
        <v>2402</v>
      </c>
      <c r="J16" s="2152"/>
      <c r="K16" s="2153"/>
      <c r="L16" s="1045" t="s">
        <v>2403</v>
      </c>
    </row>
    <row r="17" spans="1:12" ht="45.75" customHeight="1" x14ac:dyDescent="0.35">
      <c r="A17" s="2154" t="s">
        <v>2404</v>
      </c>
      <c r="B17" s="2142" t="s">
        <v>2399</v>
      </c>
      <c r="C17" s="2143"/>
      <c r="D17" s="2143"/>
      <c r="E17" s="2143"/>
      <c r="F17" s="2143"/>
      <c r="G17" s="2143"/>
      <c r="H17" s="2144"/>
      <c r="I17" s="2148" t="s">
        <v>2405</v>
      </c>
      <c r="J17" s="2149"/>
      <c r="K17" s="2150"/>
      <c r="L17" s="1044" t="s">
        <v>2401</v>
      </c>
    </row>
    <row r="18" spans="1:12" ht="45.75" customHeight="1" x14ac:dyDescent="0.35">
      <c r="A18" s="2155"/>
      <c r="B18" s="2157"/>
      <c r="C18" s="2158"/>
      <c r="D18" s="2158"/>
      <c r="E18" s="2158"/>
      <c r="F18" s="2158"/>
      <c r="G18" s="2158"/>
      <c r="H18" s="2159"/>
      <c r="I18" s="2160" t="s">
        <v>2402</v>
      </c>
      <c r="J18" s="2161"/>
      <c r="K18" s="2162"/>
      <c r="L18" s="1046" t="s">
        <v>2403</v>
      </c>
    </row>
    <row r="19" spans="1:12" ht="45.75" customHeight="1" thickBot="1" x14ac:dyDescent="0.4">
      <c r="A19" s="2156"/>
      <c r="B19" s="2145"/>
      <c r="C19" s="2146"/>
      <c r="D19" s="2146"/>
      <c r="E19" s="2146"/>
      <c r="F19" s="2146"/>
      <c r="G19" s="2146"/>
      <c r="H19" s="2147"/>
      <c r="I19" s="2136" t="s">
        <v>2411</v>
      </c>
      <c r="J19" s="2137"/>
      <c r="K19" s="2137"/>
      <c r="L19" s="2138"/>
    </row>
    <row r="20" spans="1:12" ht="45.75" customHeight="1" x14ac:dyDescent="0.35">
      <c r="A20" s="2125" t="s">
        <v>2406</v>
      </c>
      <c r="B20" s="2127" t="s">
        <v>2407</v>
      </c>
      <c r="C20" s="2128"/>
      <c r="D20" s="2128"/>
      <c r="E20" s="2128"/>
      <c r="F20" s="2128"/>
      <c r="G20" s="2128"/>
      <c r="H20" s="2129"/>
      <c r="I20" s="2133" t="s">
        <v>2408</v>
      </c>
      <c r="J20" s="2134"/>
      <c r="K20" s="2135"/>
      <c r="L20" s="1047" t="s">
        <v>2409</v>
      </c>
    </row>
    <row r="21" spans="1:12" ht="45.75" customHeight="1" thickBot="1" x14ac:dyDescent="0.4">
      <c r="A21" s="2126"/>
      <c r="B21" s="2130"/>
      <c r="C21" s="2131"/>
      <c r="D21" s="2131"/>
      <c r="E21" s="2131"/>
      <c r="F21" s="2131"/>
      <c r="G21" s="2131"/>
      <c r="H21" s="2132"/>
      <c r="I21" s="2136" t="s">
        <v>2412</v>
      </c>
      <c r="J21" s="2137"/>
      <c r="K21" s="2137"/>
      <c r="L21" s="2138"/>
    </row>
  </sheetData>
  <mergeCells count="42">
    <mergeCell ref="A6:A7"/>
    <mergeCell ref="B6:B7"/>
    <mergeCell ref="C6:H6"/>
    <mergeCell ref="I6:L6"/>
    <mergeCell ref="A1:G2"/>
    <mergeCell ref="H1:L1"/>
    <mergeCell ref="H2:L2"/>
    <mergeCell ref="A3:G4"/>
    <mergeCell ref="H3:L3"/>
    <mergeCell ref="H4:L4"/>
    <mergeCell ref="D5:E5"/>
    <mergeCell ref="J5:K5"/>
    <mergeCell ref="G5:I5"/>
    <mergeCell ref="J7:L7"/>
    <mergeCell ref="F8:H8"/>
    <mergeCell ref="J8:L8"/>
    <mergeCell ref="F9:H9"/>
    <mergeCell ref="J9:L9"/>
    <mergeCell ref="E7:H7"/>
    <mergeCell ref="A20:A21"/>
    <mergeCell ref="B20:H21"/>
    <mergeCell ref="I20:K20"/>
    <mergeCell ref="I21:L21"/>
    <mergeCell ref="F14:H14"/>
    <mergeCell ref="J14:L14"/>
    <mergeCell ref="A15:A16"/>
    <mergeCell ref="B15:H16"/>
    <mergeCell ref="I15:K15"/>
    <mergeCell ref="I16:K16"/>
    <mergeCell ref="A17:A19"/>
    <mergeCell ref="B17:H19"/>
    <mergeCell ref="I17:K17"/>
    <mergeCell ref="I18:K18"/>
    <mergeCell ref="I19:L19"/>
    <mergeCell ref="F12:H12"/>
    <mergeCell ref="J12:L12"/>
    <mergeCell ref="F13:H13"/>
    <mergeCell ref="J13:L13"/>
    <mergeCell ref="F10:H10"/>
    <mergeCell ref="J10:L10"/>
    <mergeCell ref="F11:H11"/>
    <mergeCell ref="J11:L11"/>
  </mergeCells>
  <pageMargins left="0.7" right="0.7" top="0.75" bottom="0.75" header="0.3" footer="0.3"/>
  <pageSetup paperSize="9" scale="8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rgb="FFFF0000"/>
  </sheetPr>
  <dimension ref="A1:BK250"/>
  <sheetViews>
    <sheetView zoomScaleNormal="100" workbookViewId="0">
      <selection activeCell="D19" sqref="D19:Z21"/>
    </sheetView>
  </sheetViews>
  <sheetFormatPr defaultColWidth="9.1796875" defaultRowHeight="14.5" x14ac:dyDescent="0.35"/>
  <cols>
    <col min="1" max="1" width="3.7265625" customWidth="1"/>
    <col min="2" max="2" width="4.7265625" customWidth="1"/>
    <col min="3" max="36" width="3.81640625" customWidth="1"/>
    <col min="37" max="37" width="38.1796875" bestFit="1" customWidth="1"/>
    <col min="38" max="38" width="4.1796875" bestFit="1" customWidth="1"/>
    <col min="39" max="39" width="8.7265625" bestFit="1" customWidth="1"/>
    <col min="40" max="40" width="53.453125" style="13" customWidth="1"/>
    <col min="41" max="42" width="6.26953125" style="13" bestFit="1" customWidth="1"/>
    <col min="43" max="43" width="12.26953125" style="13" bestFit="1" customWidth="1"/>
    <col min="44" max="44" width="21.54296875" style="13" bestFit="1" customWidth="1"/>
    <col min="45" max="45" width="22" style="13" bestFit="1" customWidth="1"/>
    <col min="46" max="47" width="15.54296875" style="13" bestFit="1" customWidth="1"/>
    <col min="48" max="51" width="6.26953125" style="13" bestFit="1" customWidth="1"/>
    <col min="52" max="52" width="7" style="13" bestFit="1" customWidth="1"/>
    <col min="53" max="54" width="8.453125" style="13" bestFit="1" customWidth="1"/>
    <col min="55" max="63" width="0" hidden="1" customWidth="1"/>
  </cols>
  <sheetData>
    <row r="1" spans="1:54" ht="21" customHeight="1" thickBot="1" x14ac:dyDescent="0.65">
      <c r="A1" s="2245" t="s">
        <v>843</v>
      </c>
      <c r="B1" s="2246"/>
      <c r="C1" s="2246"/>
      <c r="D1" s="2246"/>
      <c r="E1" s="2246"/>
      <c r="F1" s="2246"/>
      <c r="G1" s="2246"/>
      <c r="H1" s="2246"/>
      <c r="I1" s="2246"/>
      <c r="J1" s="2246"/>
      <c r="K1" s="2246"/>
      <c r="L1" s="2246"/>
      <c r="M1" s="2246"/>
      <c r="N1" s="2246"/>
      <c r="O1" s="2246"/>
      <c r="P1" s="2246"/>
      <c r="Q1" s="2246"/>
      <c r="R1" s="2246"/>
      <c r="S1" s="2246"/>
      <c r="T1" s="2246"/>
      <c r="U1" s="2246"/>
      <c r="V1" s="2246"/>
      <c r="W1" s="2246"/>
      <c r="X1" s="2246"/>
      <c r="Y1" s="2246"/>
      <c r="Z1" s="2246"/>
      <c r="AA1" s="2246"/>
      <c r="AB1" s="2246"/>
      <c r="AC1" s="2246"/>
      <c r="AD1" s="2246"/>
      <c r="AE1" s="2246"/>
      <c r="AF1" s="2246"/>
      <c r="AG1" s="2246"/>
      <c r="AH1" s="2246"/>
      <c r="AI1" s="2246"/>
      <c r="AJ1" s="2246"/>
    </row>
    <row r="2" spans="1:54" ht="21" customHeight="1" thickBot="1" x14ac:dyDescent="0.4">
      <c r="A2" s="2227" t="s">
        <v>17</v>
      </c>
      <c r="B2" s="2225"/>
      <c r="C2" s="2225"/>
      <c r="D2" s="2225"/>
      <c r="E2" s="2225"/>
      <c r="F2" s="2225"/>
      <c r="G2" s="2225"/>
      <c r="H2" s="2225"/>
      <c r="I2" s="2225"/>
      <c r="J2" s="2225"/>
      <c r="K2" s="2226"/>
      <c r="L2" s="2224" t="s">
        <v>788</v>
      </c>
      <c r="M2" s="2225"/>
      <c r="N2" s="2226"/>
      <c r="O2" s="2224"/>
      <c r="P2" s="2225"/>
      <c r="Q2" s="2226"/>
      <c r="R2" s="2203" t="s">
        <v>785</v>
      </c>
      <c r="S2" s="2204"/>
      <c r="T2" s="2204"/>
      <c r="U2" s="2204"/>
      <c r="V2" s="2204"/>
      <c r="W2" s="2204"/>
      <c r="X2" s="2205"/>
      <c r="Y2" s="11"/>
      <c r="Z2" s="11"/>
      <c r="AA2" s="2247" t="s">
        <v>785</v>
      </c>
      <c r="AB2" s="2247"/>
      <c r="AC2" s="2247"/>
      <c r="AD2" s="67"/>
      <c r="AE2" s="67"/>
      <c r="AF2" s="67"/>
      <c r="AG2" s="67"/>
      <c r="AH2" s="37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</row>
    <row r="3" spans="1:54" ht="15.75" customHeight="1" thickBot="1" x14ac:dyDescent="0.4">
      <c r="A3" s="373"/>
      <c r="B3" s="160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6a</v>
      </c>
      <c r="I3" s="35" t="str">
        <f>IF(Data!BX42&lt;&gt;"",Data!BX42,"")</f>
        <v>7a</v>
      </c>
      <c r="J3" s="35" t="str">
        <f>IF(Data!BY42&lt;&gt;"",Data!BY42,"")</f>
        <v>8a</v>
      </c>
      <c r="K3" s="35" t="str">
        <f>IF(Data!BZ42&lt;&gt;"",Data!BZ42,"")</f>
        <v>0a</v>
      </c>
      <c r="L3" s="35" t="str">
        <f>IF(Data!CA42&lt;&gt;"",Data!CA42,"")</f>
        <v>1b</v>
      </c>
      <c r="M3" s="35" t="str">
        <f>IF(Data!CB42&lt;&gt;"",Data!CB42,"")</f>
        <v>2b</v>
      </c>
      <c r="N3" s="35" t="str">
        <f>IF(Data!CC42&lt;&gt;"",Data!CC42,"")</f>
        <v>3b</v>
      </c>
      <c r="O3" s="35" t="str">
        <f>IF(Data!CD42&lt;&gt;"",Data!CD42,"")</f>
        <v>4b</v>
      </c>
      <c r="P3" s="35" t="str">
        <f>IF(Data!CE42&lt;&gt;"",Data!CE42,"")</f>
        <v>0a</v>
      </c>
      <c r="Q3" s="35" t="str">
        <f>IF(Data!CF42&lt;&gt;"",Data!CF42,"")</f>
        <v>0a</v>
      </c>
      <c r="R3" s="35" t="str">
        <f>IF(Data!CG42&lt;&gt;"",Data!CG42,"")</f>
        <v>0a</v>
      </c>
      <c r="S3" s="35" t="str">
        <f>IF(Data!CH42&lt;&gt;"",Data!CH42,"")</f>
        <v>0a</v>
      </c>
      <c r="T3" s="35" t="str">
        <f>IF(Data!CI42&lt;&gt;"",Data!CI42,"")</f>
        <v>0a</v>
      </c>
      <c r="U3" s="35" t="str">
        <f>IF(Data!CJ42&lt;&gt;"",Data!CJ42,"")</f>
        <v>0a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</row>
    <row r="4" spans="1:54" ht="20.25" hidden="1" customHeight="1" thickBot="1" x14ac:dyDescent="0.4">
      <c r="A4" s="375"/>
      <c r="B4" s="362"/>
      <c r="C4" s="35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356"/>
      <c r="S4" s="6"/>
      <c r="T4" s="6"/>
      <c r="U4" s="6"/>
      <c r="V4" s="6"/>
      <c r="W4" s="11"/>
      <c r="X4" s="11"/>
      <c r="Y4" s="363"/>
      <c r="Z4" s="364"/>
      <c r="AH4" s="37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</row>
    <row r="5" spans="1:54" ht="17.25" customHeight="1" x14ac:dyDescent="0.35">
      <c r="A5" s="2251" t="s">
        <v>18</v>
      </c>
      <c r="B5" s="35">
        <v>1</v>
      </c>
      <c r="C5" s="344"/>
      <c r="D5" s="345"/>
      <c r="E5" s="345"/>
      <c r="F5" s="345"/>
      <c r="G5" s="345"/>
      <c r="H5" s="345"/>
      <c r="I5" s="345"/>
      <c r="J5" s="345"/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5"/>
      <c r="V5" s="345"/>
      <c r="W5" s="345"/>
      <c r="X5" s="345"/>
      <c r="Y5" s="345"/>
      <c r="Z5" s="345"/>
      <c r="AA5" s="345"/>
      <c r="AB5" s="345"/>
      <c r="AC5" s="345"/>
      <c r="AD5" s="345"/>
      <c r="AE5" s="345"/>
      <c r="AF5" s="345"/>
      <c r="AG5" s="345"/>
      <c r="AH5" s="345"/>
      <c r="AI5" s="345"/>
      <c r="AJ5" s="346"/>
      <c r="AK5" t="b">
        <f>COUNTBLANK(C5:AG16)&lt;372</f>
        <v>0</v>
      </c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</row>
    <row r="6" spans="1:54" ht="17.25" customHeight="1" x14ac:dyDescent="0.35">
      <c r="A6" s="2251"/>
      <c r="B6" s="35">
        <v>2</v>
      </c>
      <c r="C6" s="347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</row>
    <row r="7" spans="1:54" ht="17.25" customHeight="1" x14ac:dyDescent="0.35">
      <c r="A7" s="2251"/>
      <c r="B7" s="35">
        <v>3</v>
      </c>
      <c r="C7" s="347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</row>
    <row r="8" spans="1:54" ht="17.25" customHeight="1" x14ac:dyDescent="0.35">
      <c r="A8" s="2251"/>
      <c r="B8" s="35">
        <v>4</v>
      </c>
      <c r="C8" s="347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</row>
    <row r="9" spans="1:54" ht="17.25" customHeight="1" x14ac:dyDescent="0.35">
      <c r="A9" s="2251"/>
      <c r="B9" s="35">
        <v>5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</row>
    <row r="10" spans="1:54" ht="17.25" customHeight="1" x14ac:dyDescent="0.35">
      <c r="A10" s="2251"/>
      <c r="B10" s="35">
        <v>6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</row>
    <row r="11" spans="1:54" ht="17.25" customHeight="1" x14ac:dyDescent="0.35">
      <c r="A11" s="2251"/>
      <c r="B11" s="35">
        <v>7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</row>
    <row r="12" spans="1:54" ht="17.25" customHeight="1" x14ac:dyDescent="0.35">
      <c r="A12" s="2251"/>
      <c r="B12" s="35">
        <v>8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</row>
    <row r="13" spans="1:54" ht="17.25" customHeight="1" x14ac:dyDescent="0.35">
      <c r="A13" s="2251"/>
      <c r="B13" s="35">
        <v>9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</row>
    <row r="14" spans="1:54" ht="17.25" customHeight="1" x14ac:dyDescent="0.35">
      <c r="A14" s="2251"/>
      <c r="B14" s="35">
        <v>10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</row>
    <row r="15" spans="1:54" ht="17.25" customHeight="1" x14ac:dyDescent="0.35">
      <c r="A15" s="2251"/>
      <c r="B15" s="35">
        <v>11</v>
      </c>
      <c r="C15" s="347"/>
      <c r="D15" s="348"/>
      <c r="E15" s="348"/>
      <c r="F15" s="348"/>
      <c r="G15" s="348"/>
      <c r="H15" s="348"/>
      <c r="I15" s="348"/>
      <c r="J15" s="348"/>
      <c r="K15" s="348"/>
      <c r="L15" s="348"/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  <c r="AA15" s="348"/>
      <c r="AB15" s="348"/>
      <c r="AC15" s="348"/>
      <c r="AD15" s="348"/>
      <c r="AE15" s="348"/>
      <c r="AF15" s="348"/>
      <c r="AG15" s="348"/>
      <c r="AH15" s="348"/>
      <c r="AI15" s="348"/>
      <c r="AJ15" s="349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</row>
    <row r="16" spans="1:54" ht="17.25" customHeight="1" thickBot="1" x14ac:dyDescent="0.4">
      <c r="A16" s="2251"/>
      <c r="B16" s="35">
        <v>12</v>
      </c>
      <c r="C16" s="350"/>
      <c r="D16" s="351"/>
      <c r="E16" s="351"/>
      <c r="F16" s="351"/>
      <c r="G16" s="351"/>
      <c r="H16" s="351"/>
      <c r="I16" s="351"/>
      <c r="J16" s="351"/>
      <c r="K16" s="351"/>
      <c r="L16" s="351"/>
      <c r="M16" s="351"/>
      <c r="N16" s="351"/>
      <c r="O16" s="351"/>
      <c r="P16" s="351"/>
      <c r="Q16" s="351"/>
      <c r="R16" s="351"/>
      <c r="S16" s="351"/>
      <c r="T16" s="351"/>
      <c r="U16" s="351"/>
      <c r="V16" s="351"/>
      <c r="W16" s="351"/>
      <c r="X16" s="351"/>
      <c r="Y16" s="351"/>
      <c r="Z16" s="351"/>
      <c r="AA16" s="351"/>
      <c r="AB16" s="351"/>
      <c r="AC16" s="351"/>
      <c r="AD16" s="351"/>
      <c r="AE16" s="351"/>
      <c r="AF16" s="351"/>
      <c r="AG16" s="351"/>
      <c r="AH16" s="351"/>
      <c r="AI16" s="351"/>
      <c r="AJ16" s="352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</row>
    <row r="17" spans="1:54" ht="7.5" customHeight="1" x14ac:dyDescent="0.35">
      <c r="A17" s="376"/>
      <c r="B17" s="35"/>
      <c r="C17" s="12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H17" s="374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</row>
    <row r="18" spans="1:54" ht="7.5" customHeight="1" thickBot="1" x14ac:dyDescent="0.4">
      <c r="A18" s="376"/>
      <c r="B18" s="35"/>
      <c r="C18" s="12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H18" s="374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</row>
    <row r="19" spans="1:54" ht="16" customHeight="1" x14ac:dyDescent="0.35">
      <c r="A19" s="2206" t="s">
        <v>19</v>
      </c>
      <c r="B19" s="2207"/>
      <c r="C19" s="2208"/>
      <c r="D19" s="2215"/>
      <c r="E19" s="2216"/>
      <c r="F19" s="2216"/>
      <c r="G19" s="2216"/>
      <c r="H19" s="2216"/>
      <c r="I19" s="2216"/>
      <c r="J19" s="2216"/>
      <c r="K19" s="2216"/>
      <c r="L19" s="2216"/>
      <c r="M19" s="2216"/>
      <c r="N19" s="2216"/>
      <c r="O19" s="2216"/>
      <c r="P19" s="2216"/>
      <c r="Q19" s="2216"/>
      <c r="R19" s="2216"/>
      <c r="S19" s="2216"/>
      <c r="T19" s="2216"/>
      <c r="U19" s="2216"/>
      <c r="V19" s="2216"/>
      <c r="W19" s="2216"/>
      <c r="X19" s="2216"/>
      <c r="Y19" s="2216"/>
      <c r="Z19" s="2217"/>
      <c r="AH19" s="374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</row>
    <row r="20" spans="1:54" ht="16" customHeight="1" x14ac:dyDescent="0.35">
      <c r="A20" s="2209"/>
      <c r="B20" s="2210"/>
      <c r="C20" s="2211"/>
      <c r="D20" s="2218"/>
      <c r="E20" s="2219"/>
      <c r="F20" s="2219"/>
      <c r="G20" s="2219"/>
      <c r="H20" s="2219"/>
      <c r="I20" s="2219"/>
      <c r="J20" s="2219"/>
      <c r="K20" s="2219"/>
      <c r="L20" s="2219"/>
      <c r="M20" s="2219"/>
      <c r="N20" s="2219"/>
      <c r="O20" s="2219"/>
      <c r="P20" s="2219"/>
      <c r="Q20" s="2219"/>
      <c r="R20" s="2219"/>
      <c r="S20" s="2219"/>
      <c r="T20" s="2219"/>
      <c r="U20" s="2219"/>
      <c r="V20" s="2219"/>
      <c r="W20" s="2219"/>
      <c r="X20" s="2219"/>
      <c r="Y20" s="2219"/>
      <c r="Z20" s="2220"/>
      <c r="AH20" s="374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</row>
    <row r="21" spans="1:54" ht="20.25" customHeight="1" thickBot="1" x14ac:dyDescent="0.4">
      <c r="A21" s="2212"/>
      <c r="B21" s="2213"/>
      <c r="C21" s="2214"/>
      <c r="D21" s="2221"/>
      <c r="E21" s="2222"/>
      <c r="F21" s="2222"/>
      <c r="G21" s="2222"/>
      <c r="H21" s="2222"/>
      <c r="I21" s="2222"/>
      <c r="J21" s="2222"/>
      <c r="K21" s="2222"/>
      <c r="L21" s="2222"/>
      <c r="M21" s="2222"/>
      <c r="N21" s="2222"/>
      <c r="O21" s="2222"/>
      <c r="P21" s="2222"/>
      <c r="Q21" s="2222"/>
      <c r="R21" s="2222"/>
      <c r="S21" s="2222"/>
      <c r="T21" s="2222"/>
      <c r="U21" s="2222"/>
      <c r="V21" s="2222"/>
      <c r="W21" s="2222"/>
      <c r="X21" s="2222"/>
      <c r="Y21" s="2222"/>
      <c r="Z21" s="2223"/>
      <c r="AA21" s="377"/>
      <c r="AB21" s="378"/>
      <c r="AC21" s="378"/>
      <c r="AD21" s="378"/>
      <c r="AE21" s="378"/>
      <c r="AF21" s="378"/>
      <c r="AG21" s="378"/>
      <c r="AH21" s="379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</row>
    <row r="22" spans="1:54" ht="23.25" customHeight="1" thickBot="1" x14ac:dyDescent="0.4">
      <c r="A22" s="380"/>
      <c r="B22" s="381"/>
      <c r="C22" s="382"/>
      <c r="D22" s="383"/>
      <c r="E22" s="383"/>
      <c r="F22" s="383"/>
      <c r="G22" s="383"/>
      <c r="H22" s="383"/>
      <c r="I22" s="383"/>
      <c r="J22" s="383"/>
      <c r="K22" s="383"/>
      <c r="L22" s="383"/>
      <c r="M22" s="383"/>
      <c r="N22" s="383"/>
      <c r="O22" s="383"/>
      <c r="P22" s="383"/>
      <c r="Q22" s="383"/>
      <c r="R22" s="383"/>
      <c r="S22" s="383"/>
      <c r="T22" s="383"/>
      <c r="U22" s="383"/>
      <c r="V22" s="383"/>
      <c r="W22" s="383"/>
      <c r="X22" s="383"/>
      <c r="Y22" s="383"/>
      <c r="Z22" s="383"/>
      <c r="AA22" s="384"/>
      <c r="AB22" s="384"/>
      <c r="AC22" s="384"/>
      <c r="AD22" s="384"/>
      <c r="AE22" s="384"/>
      <c r="AF22" s="384"/>
      <c r="AG22" s="384"/>
      <c r="AH22" s="385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</row>
    <row r="23" spans="1:54" ht="21" customHeight="1" thickBot="1" x14ac:dyDescent="0.4">
      <c r="A23" s="2227" t="s">
        <v>17</v>
      </c>
      <c r="B23" s="2225"/>
      <c r="C23" s="2225"/>
      <c r="D23" s="2225"/>
      <c r="E23" s="2225"/>
      <c r="F23" s="2225"/>
      <c r="G23" s="2225"/>
      <c r="H23" s="2225"/>
      <c r="I23" s="2225"/>
      <c r="J23" s="2225"/>
      <c r="K23" s="2226"/>
      <c r="L23" s="2224" t="s">
        <v>788</v>
      </c>
      <c r="M23" s="2225"/>
      <c r="N23" s="2226"/>
      <c r="O23" s="2224"/>
      <c r="P23" s="2225"/>
      <c r="Q23" s="2226"/>
      <c r="R23" s="2203" t="s">
        <v>786</v>
      </c>
      <c r="S23" s="2204"/>
      <c r="T23" s="2204"/>
      <c r="U23" s="2204"/>
      <c r="V23" s="2204"/>
      <c r="W23" s="2204"/>
      <c r="X23" s="2205"/>
      <c r="Y23" s="10"/>
      <c r="Z23" s="10"/>
      <c r="AA23" s="2248" t="s">
        <v>786</v>
      </c>
      <c r="AB23" s="2248"/>
      <c r="AC23" s="2248"/>
      <c r="AH23" s="374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</row>
    <row r="24" spans="1:54" ht="15.75" customHeight="1" thickBot="1" x14ac:dyDescent="0.4">
      <c r="A24" s="2228"/>
      <c r="B24" s="2229"/>
      <c r="C24" s="355" t="str">
        <f>IF(Data!BR42&lt;&gt;"",Data!BR42,"")</f>
        <v>1a</v>
      </c>
      <c r="D24" s="35" t="str">
        <f>IF(Data!BS42&lt;&gt;"",Data!BS42,"")</f>
        <v>2a</v>
      </c>
      <c r="E24" s="35" t="str">
        <f>IF(Data!BT42&lt;&gt;"",Data!BT42,"")</f>
        <v>3a</v>
      </c>
      <c r="F24" s="35" t="str">
        <f>IF(Data!BU42&lt;&gt;"",Data!BU42,"")</f>
        <v>4a</v>
      </c>
      <c r="G24" s="35" t="str">
        <f>IF(Data!BV42&lt;&gt;"",Data!BV42,"")</f>
        <v>5a</v>
      </c>
      <c r="H24" s="35" t="str">
        <f>IF(Data!BW42&lt;&gt;"",Data!BW42,"")</f>
        <v>6a</v>
      </c>
      <c r="I24" s="35" t="str">
        <f>IF(Data!BX42&lt;&gt;"",Data!BX42,"")</f>
        <v>7a</v>
      </c>
      <c r="J24" s="35" t="str">
        <f>IF(Data!BY42&lt;&gt;"",Data!BY42,"")</f>
        <v>8a</v>
      </c>
      <c r="K24" s="35" t="str">
        <f>IF(Data!BZ42&lt;&gt;"",Data!BZ42,"")</f>
        <v>0a</v>
      </c>
      <c r="L24" s="35" t="str">
        <f>IF(Data!CA42&lt;&gt;"",Data!CA42,"")</f>
        <v>1b</v>
      </c>
      <c r="M24" s="35" t="str">
        <f>IF(Data!CB42&lt;&gt;"",Data!CB42,"")</f>
        <v>2b</v>
      </c>
      <c r="N24" s="35" t="str">
        <f>IF(Data!CC42&lt;&gt;"",Data!CC42,"")</f>
        <v>3b</v>
      </c>
      <c r="O24" s="35" t="str">
        <f>IF(Data!CD42&lt;&gt;"",Data!CD42,"")</f>
        <v>4b</v>
      </c>
      <c r="P24" s="35" t="str">
        <f>IF(Data!CE42&lt;&gt;"",Data!CE42,"")</f>
        <v>0a</v>
      </c>
      <c r="Q24" s="35" t="str">
        <f>IF(Data!CF42&lt;&gt;"",Data!CF42,"")</f>
        <v>0a</v>
      </c>
      <c r="R24" s="35" t="str">
        <f>IF(Data!CG42&lt;&gt;"",Data!CG42,"")</f>
        <v>0a</v>
      </c>
      <c r="S24" s="35" t="str">
        <f>IF(Data!CH42&lt;&gt;"",Data!CH42,"")</f>
        <v>0a</v>
      </c>
      <c r="T24" s="35" t="str">
        <f>IF(Data!CI42&lt;&gt;"",Data!CI42,"")</f>
        <v>0a</v>
      </c>
      <c r="U24" s="35" t="str">
        <f>IF(Data!CJ42&lt;&gt;"",Data!CJ42,"")</f>
        <v>0a</v>
      </c>
      <c r="V24" s="35" t="str">
        <f>IF(Data!CK42&lt;&gt;"",Data!CK42,"")</f>
        <v>0a</v>
      </c>
      <c r="W24" s="35" t="str">
        <f>IF(Data!CL42&lt;&gt;"",Data!CL42,"")</f>
        <v>0a</v>
      </c>
      <c r="X24" s="35" t="str">
        <f>IF(Data!CM42&lt;&gt;"",Data!CM42,"")</f>
        <v>0a</v>
      </c>
      <c r="Y24" s="35" t="str">
        <f>IF(Data!CN42&lt;&gt;"",Data!CN42,"")</f>
        <v>0a</v>
      </c>
      <c r="Z24" s="35" t="str">
        <f>IF(Data!CO42&lt;&gt;"",Data!CO42,"")</f>
        <v>0a</v>
      </c>
      <c r="AA24" s="35" t="str">
        <f>IF(Data!CP42&lt;&gt;"",Data!CP42,"")</f>
        <v>0a</v>
      </c>
      <c r="AB24" s="35" t="str">
        <f>IF(Data!CQ42&lt;&gt;"",Data!CQ42,"")</f>
        <v>0a</v>
      </c>
      <c r="AC24" s="35" t="str">
        <f>IF(Data!CR42&lt;&gt;"",Data!CR42,"")</f>
        <v>0a</v>
      </c>
      <c r="AD24" s="35" t="str">
        <f>IF(Data!CS42&lt;&gt;"",Data!CS42,"")</f>
        <v>0a</v>
      </c>
      <c r="AE24" s="35" t="str">
        <f>IF(Data!CT42&lt;&gt;"",Data!CT42,"")</f>
        <v>0a</v>
      </c>
      <c r="AF24" s="35" t="str">
        <f>IF(Data!CU42&lt;&gt;"",Data!CU42,"")</f>
        <v>0a</v>
      </c>
      <c r="AG24" s="35" t="str">
        <f>IF(Data!CV42&lt;&gt;"",Data!CV42,"")</f>
        <v>0a</v>
      </c>
      <c r="AH24" s="35" t="str">
        <f>IF(Data!CW42&lt;&gt;"",Data!CW42,"")</f>
        <v>0a</v>
      </c>
      <c r="AI24" s="35" t="str">
        <f>IF(Data!CX42&lt;&gt;"",Data!CX42,"")</f>
        <v>0a</v>
      </c>
      <c r="AJ24" s="35" t="str">
        <f>IF(Data!CY42&lt;&gt;"",Data!CY42,"")</f>
        <v>0a</v>
      </c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</row>
    <row r="25" spans="1:54" ht="15.75" hidden="1" customHeight="1" thickBot="1" x14ac:dyDescent="0.4">
      <c r="A25" s="386"/>
      <c r="B25" s="358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61"/>
      <c r="S25" s="35"/>
      <c r="T25" s="35"/>
      <c r="U25" s="35"/>
      <c r="V25" s="35"/>
      <c r="W25" s="78"/>
      <c r="X25" s="78"/>
      <c r="Y25" s="359"/>
      <c r="Z25" s="150"/>
      <c r="AH25" s="374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</row>
    <row r="26" spans="1:54" ht="15.75" customHeight="1" x14ac:dyDescent="0.35">
      <c r="A26" s="2252" t="s">
        <v>18</v>
      </c>
      <c r="B26" s="6">
        <v>1</v>
      </c>
      <c r="C26" s="344"/>
      <c r="D26" s="345"/>
      <c r="E26" s="345"/>
      <c r="F26" s="345"/>
      <c r="G26" s="345"/>
      <c r="H26" s="345"/>
      <c r="I26" s="345"/>
      <c r="J26" s="345"/>
      <c r="K26" s="345"/>
      <c r="L26" s="345"/>
      <c r="M26" s="345"/>
      <c r="N26" s="345"/>
      <c r="O26" s="345"/>
      <c r="P26" s="345"/>
      <c r="Q26" s="345"/>
      <c r="R26" s="345"/>
      <c r="S26" s="345"/>
      <c r="T26" s="345"/>
      <c r="U26" s="345"/>
      <c r="V26" s="345"/>
      <c r="W26" s="345"/>
      <c r="X26" s="345"/>
      <c r="Y26" s="345"/>
      <c r="Z26" s="345"/>
      <c r="AA26" s="345"/>
      <c r="AB26" s="345"/>
      <c r="AC26" s="345"/>
      <c r="AD26" s="345"/>
      <c r="AE26" s="345"/>
      <c r="AF26" s="345"/>
      <c r="AG26" s="345"/>
      <c r="AH26" s="345"/>
      <c r="AI26" s="345"/>
      <c r="AJ26" s="34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</row>
    <row r="27" spans="1:54" ht="15.75" customHeight="1" x14ac:dyDescent="0.35">
      <c r="A27" s="2251"/>
      <c r="B27" s="35">
        <v>2</v>
      </c>
      <c r="C27" s="347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48"/>
      <c r="AB27" s="348"/>
      <c r="AC27" s="348"/>
      <c r="AD27" s="348"/>
      <c r="AE27" s="348"/>
      <c r="AF27" s="348"/>
      <c r="AG27" s="348"/>
      <c r="AH27" s="348"/>
      <c r="AI27" s="348"/>
      <c r="AJ27" s="349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</row>
    <row r="28" spans="1:54" ht="15.75" customHeight="1" x14ac:dyDescent="0.35">
      <c r="A28" s="2251"/>
      <c r="B28" s="35">
        <v>3</v>
      </c>
      <c r="C28" s="347"/>
      <c r="D28" s="348"/>
      <c r="E28" s="348"/>
      <c r="F28" s="348"/>
      <c r="G28" s="348"/>
      <c r="H28" s="348"/>
      <c r="I28" s="348"/>
      <c r="J28" s="348"/>
      <c r="K28" s="348"/>
      <c r="L28" s="348"/>
      <c r="M28" s="348"/>
      <c r="N28" s="348"/>
      <c r="O28" s="348"/>
      <c r="P28" s="348"/>
      <c r="Q28" s="348"/>
      <c r="R28" s="348"/>
      <c r="S28" s="348"/>
      <c r="T28" s="348"/>
      <c r="U28" s="348"/>
      <c r="V28" s="348"/>
      <c r="W28" s="348"/>
      <c r="X28" s="348"/>
      <c r="Y28" s="348"/>
      <c r="Z28" s="348"/>
      <c r="AA28" s="348"/>
      <c r="AB28" s="348"/>
      <c r="AC28" s="348"/>
      <c r="AD28" s="348"/>
      <c r="AE28" s="348"/>
      <c r="AF28" s="348"/>
      <c r="AG28" s="348"/>
      <c r="AH28" s="348"/>
      <c r="AI28" s="348"/>
      <c r="AJ28" s="349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</row>
    <row r="29" spans="1:54" ht="15.75" customHeight="1" x14ac:dyDescent="0.35">
      <c r="A29" s="2251"/>
      <c r="B29" s="35">
        <v>4</v>
      </c>
      <c r="C29" s="347"/>
      <c r="D29" s="348"/>
      <c r="E29" s="348"/>
      <c r="F29" s="348"/>
      <c r="G29" s="348"/>
      <c r="H29" s="348"/>
      <c r="I29" s="348"/>
      <c r="J29" s="348"/>
      <c r="K29" s="348"/>
      <c r="L29" s="348"/>
      <c r="M29" s="348"/>
      <c r="N29" s="348"/>
      <c r="O29" s="348"/>
      <c r="P29" s="348"/>
      <c r="Q29" s="348"/>
      <c r="R29" s="348"/>
      <c r="S29" s="348"/>
      <c r="T29" s="348"/>
      <c r="U29" s="348"/>
      <c r="V29" s="348"/>
      <c r="W29" s="348"/>
      <c r="X29" s="348"/>
      <c r="Y29" s="348"/>
      <c r="Z29" s="348"/>
      <c r="AA29" s="348"/>
      <c r="AB29" s="348"/>
      <c r="AC29" s="348"/>
      <c r="AD29" s="348"/>
      <c r="AE29" s="348"/>
      <c r="AF29" s="348"/>
      <c r="AG29" s="348"/>
      <c r="AH29" s="348"/>
      <c r="AI29" s="348"/>
      <c r="AJ29" s="34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</row>
    <row r="30" spans="1:54" ht="15.75" customHeight="1" x14ac:dyDescent="0.35">
      <c r="A30" s="2251"/>
      <c r="B30" s="35">
        <v>5</v>
      </c>
      <c r="C30" s="347"/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348"/>
      <c r="AB30" s="348"/>
      <c r="AC30" s="348"/>
      <c r="AD30" s="348"/>
      <c r="AE30" s="348"/>
      <c r="AF30" s="348"/>
      <c r="AG30" s="348"/>
      <c r="AH30" s="348"/>
      <c r="AI30" s="348"/>
      <c r="AJ30" s="349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</row>
    <row r="31" spans="1:54" ht="15.75" customHeight="1" x14ac:dyDescent="0.35">
      <c r="A31" s="2251"/>
      <c r="B31" s="35">
        <v>6</v>
      </c>
      <c r="C31" s="347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  <c r="AC31" s="348"/>
      <c r="AD31" s="348"/>
      <c r="AE31" s="348"/>
      <c r="AF31" s="348"/>
      <c r="AG31" s="348"/>
      <c r="AH31" s="348"/>
      <c r="AI31" s="348"/>
      <c r="AJ31" s="349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</row>
    <row r="32" spans="1:54" ht="15.75" customHeight="1" x14ac:dyDescent="0.35">
      <c r="A32" s="2251"/>
      <c r="B32" s="35">
        <v>7</v>
      </c>
      <c r="C32" s="347"/>
      <c r="D32" s="348"/>
      <c r="E32" s="348"/>
      <c r="F32" s="348"/>
      <c r="G32" s="348"/>
      <c r="H32" s="348"/>
      <c r="I32" s="348"/>
      <c r="J32" s="348"/>
      <c r="K32" s="348"/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/>
      <c r="Z32" s="348"/>
      <c r="AA32" s="348"/>
      <c r="AB32" s="348"/>
      <c r="AC32" s="348"/>
      <c r="AD32" s="348"/>
      <c r="AE32" s="348"/>
      <c r="AF32" s="348"/>
      <c r="AG32" s="348"/>
      <c r="AH32" s="348"/>
      <c r="AI32" s="348"/>
      <c r="AJ32" s="349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</row>
    <row r="33" spans="1:54" ht="15.75" customHeight="1" x14ac:dyDescent="0.35">
      <c r="A33" s="2251"/>
      <c r="B33" s="35">
        <v>8</v>
      </c>
      <c r="C33" s="347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348"/>
      <c r="AB33" s="348"/>
      <c r="AC33" s="348"/>
      <c r="AD33" s="348"/>
      <c r="AE33" s="348"/>
      <c r="AF33" s="348"/>
      <c r="AG33" s="348"/>
      <c r="AH33" s="348"/>
      <c r="AI33" s="348"/>
      <c r="AJ33" s="349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</row>
    <row r="34" spans="1:54" ht="15.75" customHeight="1" x14ac:dyDescent="0.35">
      <c r="A34" s="2251"/>
      <c r="B34" s="35">
        <v>9</v>
      </c>
      <c r="C34" s="347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48"/>
      <c r="AB34" s="348"/>
      <c r="AC34" s="348"/>
      <c r="AD34" s="348"/>
      <c r="AE34" s="348"/>
      <c r="AF34" s="348"/>
      <c r="AG34" s="348"/>
      <c r="AH34" s="348"/>
      <c r="AI34" s="348"/>
      <c r="AJ34" s="349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</row>
    <row r="35" spans="1:54" ht="15.75" customHeight="1" x14ac:dyDescent="0.35">
      <c r="A35" s="2251"/>
      <c r="B35" s="35">
        <v>10</v>
      </c>
      <c r="C35" s="347"/>
      <c r="D35" s="348"/>
      <c r="E35" s="348"/>
      <c r="F35" s="348"/>
      <c r="G35" s="348"/>
      <c r="H35" s="348"/>
      <c r="I35" s="348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  <c r="AA35" s="348"/>
      <c r="AB35" s="348"/>
      <c r="AC35" s="348"/>
      <c r="AD35" s="348"/>
      <c r="AE35" s="348"/>
      <c r="AF35" s="348"/>
      <c r="AG35" s="348"/>
      <c r="AH35" s="348"/>
      <c r="AI35" s="348"/>
      <c r="AJ35" s="349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</row>
    <row r="36" spans="1:54" ht="15.75" customHeight="1" x14ac:dyDescent="0.35">
      <c r="A36" s="2251"/>
      <c r="B36" s="35">
        <v>11</v>
      </c>
      <c r="C36" s="347"/>
      <c r="D36" s="348"/>
      <c r="E36" s="348"/>
      <c r="F36" s="348"/>
      <c r="G36" s="348"/>
      <c r="H36" s="348"/>
      <c r="I36" s="348"/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  <c r="Z36" s="348"/>
      <c r="AA36" s="348"/>
      <c r="AB36" s="348"/>
      <c r="AC36" s="348"/>
      <c r="AD36" s="348"/>
      <c r="AE36" s="348"/>
      <c r="AF36" s="348"/>
      <c r="AG36" s="348"/>
      <c r="AH36" s="348"/>
      <c r="AI36" s="348"/>
      <c r="AJ36" s="349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</row>
    <row r="37" spans="1:54" ht="15.75" customHeight="1" thickBot="1" x14ac:dyDescent="0.4">
      <c r="A37" s="2253"/>
      <c r="B37" s="355">
        <v>12</v>
      </c>
      <c r="C37" s="350"/>
      <c r="D37" s="351"/>
      <c r="E37" s="351"/>
      <c r="F37" s="351"/>
      <c r="G37" s="351"/>
      <c r="H37" s="351"/>
      <c r="I37" s="351"/>
      <c r="J37" s="351"/>
      <c r="K37" s="351"/>
      <c r="L37" s="351"/>
      <c r="M37" s="351"/>
      <c r="N37" s="351"/>
      <c r="O37" s="351"/>
      <c r="P37" s="351"/>
      <c r="Q37" s="351"/>
      <c r="R37" s="351"/>
      <c r="S37" s="351"/>
      <c r="T37" s="351"/>
      <c r="U37" s="351"/>
      <c r="V37" s="351"/>
      <c r="W37" s="351"/>
      <c r="X37" s="351"/>
      <c r="Y37" s="351"/>
      <c r="Z37" s="351"/>
      <c r="AA37" s="351"/>
      <c r="AB37" s="351"/>
      <c r="AC37" s="351"/>
      <c r="AD37" s="351"/>
      <c r="AE37" s="351"/>
      <c r="AF37" s="351"/>
      <c r="AG37" s="351"/>
      <c r="AH37" s="351"/>
      <c r="AI37" s="351"/>
      <c r="AJ37" s="352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</row>
    <row r="38" spans="1:54" ht="7.5" customHeight="1" x14ac:dyDescent="0.35">
      <c r="A38" s="376"/>
      <c r="B38" s="35"/>
      <c r="C38" s="12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H38" s="374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</row>
    <row r="39" spans="1:54" ht="7.5" customHeight="1" thickBot="1" x14ac:dyDescent="0.4">
      <c r="A39" s="376"/>
      <c r="B39" s="35"/>
      <c r="C39" s="12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H39" s="374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</row>
    <row r="40" spans="1:54" ht="16" customHeight="1" x14ac:dyDescent="0.35">
      <c r="A40" s="2230" t="s">
        <v>19</v>
      </c>
      <c r="B40" s="2231"/>
      <c r="C40" s="2232"/>
      <c r="D40" s="2215"/>
      <c r="E40" s="2216"/>
      <c r="F40" s="2216"/>
      <c r="G40" s="2216"/>
      <c r="H40" s="2216"/>
      <c r="I40" s="2216"/>
      <c r="J40" s="2216"/>
      <c r="K40" s="2216"/>
      <c r="L40" s="2216"/>
      <c r="M40" s="2216"/>
      <c r="N40" s="2216"/>
      <c r="O40" s="2216"/>
      <c r="P40" s="2216"/>
      <c r="Q40" s="2216"/>
      <c r="R40" s="2216"/>
      <c r="S40" s="2216"/>
      <c r="T40" s="2216"/>
      <c r="U40" s="2216"/>
      <c r="V40" s="2216"/>
      <c r="W40" s="2216"/>
      <c r="X40" s="2216"/>
      <c r="Y40" s="2216"/>
      <c r="Z40" s="2217"/>
      <c r="AH40" s="374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</row>
    <row r="41" spans="1:54" ht="16" customHeight="1" x14ac:dyDescent="0.35">
      <c r="A41" s="2233"/>
      <c r="B41" s="2234"/>
      <c r="C41" s="2235"/>
      <c r="D41" s="2218"/>
      <c r="E41" s="2219"/>
      <c r="F41" s="2219"/>
      <c r="G41" s="2219"/>
      <c r="H41" s="2219"/>
      <c r="I41" s="2219"/>
      <c r="J41" s="2219"/>
      <c r="K41" s="2219"/>
      <c r="L41" s="2219"/>
      <c r="M41" s="2219"/>
      <c r="N41" s="2219"/>
      <c r="O41" s="2219"/>
      <c r="P41" s="2219"/>
      <c r="Q41" s="2219"/>
      <c r="R41" s="2219"/>
      <c r="S41" s="2219"/>
      <c r="T41" s="2219"/>
      <c r="U41" s="2219"/>
      <c r="V41" s="2219"/>
      <c r="W41" s="2219"/>
      <c r="X41" s="2219"/>
      <c r="Y41" s="2219"/>
      <c r="Z41" s="2220"/>
      <c r="AH41" s="374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</row>
    <row r="42" spans="1:54" ht="20.25" customHeight="1" thickBot="1" x14ac:dyDescent="0.4">
      <c r="A42" s="2254"/>
      <c r="B42" s="2255"/>
      <c r="C42" s="2256"/>
      <c r="D42" s="2221"/>
      <c r="E42" s="2222"/>
      <c r="F42" s="2222"/>
      <c r="G42" s="2222"/>
      <c r="H42" s="2222"/>
      <c r="I42" s="2222"/>
      <c r="J42" s="2222"/>
      <c r="K42" s="2222"/>
      <c r="L42" s="2222"/>
      <c r="M42" s="2222"/>
      <c r="N42" s="2222"/>
      <c r="O42" s="2222"/>
      <c r="P42" s="2222"/>
      <c r="Q42" s="2222"/>
      <c r="R42" s="2222"/>
      <c r="S42" s="2222"/>
      <c r="T42" s="2222"/>
      <c r="U42" s="2222"/>
      <c r="V42" s="2222"/>
      <c r="W42" s="2222"/>
      <c r="X42" s="2222"/>
      <c r="Y42" s="2222"/>
      <c r="Z42" s="2223"/>
      <c r="AA42" s="378"/>
      <c r="AB42" s="378"/>
      <c r="AC42" s="378"/>
      <c r="AD42" s="378"/>
      <c r="AE42" s="378"/>
      <c r="AF42" s="378"/>
      <c r="AG42" s="378"/>
      <c r="AH42" s="379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</row>
    <row r="43" spans="1:54" ht="23.25" customHeight="1" thickBot="1" x14ac:dyDescent="0.4">
      <c r="A43" s="380"/>
      <c r="B43" s="381"/>
      <c r="C43" s="382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3"/>
      <c r="Q43" s="383"/>
      <c r="R43" s="383"/>
      <c r="S43" s="383"/>
      <c r="T43" s="383"/>
      <c r="U43" s="383"/>
      <c r="V43" s="383"/>
      <c r="W43" s="383"/>
      <c r="X43" s="383"/>
      <c r="Y43" s="383"/>
      <c r="Z43" s="383"/>
      <c r="AA43" s="384"/>
      <c r="AB43" s="384"/>
      <c r="AC43" s="384"/>
      <c r="AD43" s="384"/>
      <c r="AE43" s="384"/>
      <c r="AF43" s="384"/>
      <c r="AG43" s="384"/>
      <c r="AH43" s="385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</row>
    <row r="44" spans="1:54" ht="21" customHeight="1" thickBot="1" x14ac:dyDescent="0.4">
      <c r="A44" s="2227" t="s">
        <v>17</v>
      </c>
      <c r="B44" s="2225"/>
      <c r="C44" s="2225"/>
      <c r="D44" s="2225"/>
      <c r="E44" s="2225"/>
      <c r="F44" s="2225"/>
      <c r="G44" s="2225"/>
      <c r="H44" s="2225"/>
      <c r="I44" s="2225"/>
      <c r="J44" s="2225"/>
      <c r="K44" s="2226"/>
      <c r="L44" s="2224" t="s">
        <v>788</v>
      </c>
      <c r="M44" s="2225"/>
      <c r="N44" s="2226"/>
      <c r="O44" s="2224"/>
      <c r="P44" s="2225"/>
      <c r="Q44" s="2226"/>
      <c r="R44" s="2203" t="s">
        <v>787</v>
      </c>
      <c r="S44" s="2204"/>
      <c r="T44" s="2204"/>
      <c r="U44" s="2204"/>
      <c r="V44" s="2204"/>
      <c r="W44" s="2204"/>
      <c r="X44" s="2205"/>
      <c r="Y44" s="10"/>
      <c r="Z44" s="10"/>
      <c r="AA44" s="2248" t="s">
        <v>787</v>
      </c>
      <c r="AB44" s="2248"/>
      <c r="AC44" s="2248"/>
      <c r="AH44" s="37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</row>
    <row r="45" spans="1:54" ht="15.75" customHeight="1" x14ac:dyDescent="0.35">
      <c r="A45" s="2249"/>
      <c r="B45" s="2250"/>
      <c r="C45" s="35" t="str">
        <f>IF(Data!BR42&lt;&gt;"",Data!BR42,"")</f>
        <v>1a</v>
      </c>
      <c r="D45" s="35" t="str">
        <f>IF(Data!BS42&lt;&gt;"",Data!BS42,"")</f>
        <v>2a</v>
      </c>
      <c r="E45" s="35" t="str">
        <f>IF(Data!BT42&lt;&gt;"",Data!BT42,"")</f>
        <v>3a</v>
      </c>
      <c r="F45" s="35" t="str">
        <f>IF(Data!BU42&lt;&gt;"",Data!BU42,"")</f>
        <v>4a</v>
      </c>
      <c r="G45" s="35" t="str">
        <f>IF(Data!BV42&lt;&gt;"",Data!BV42,"")</f>
        <v>5a</v>
      </c>
      <c r="H45" s="35" t="str">
        <f>IF(Data!BW42&lt;&gt;"",Data!BW42,"")</f>
        <v>6a</v>
      </c>
      <c r="I45" s="35" t="str">
        <f>IF(Data!BX42&lt;&gt;"",Data!BX42,"")</f>
        <v>7a</v>
      </c>
      <c r="J45" s="35" t="str">
        <f>IF(Data!BY42&lt;&gt;"",Data!BY42,"")</f>
        <v>8a</v>
      </c>
      <c r="K45" s="35" t="str">
        <f>IF(Data!BZ42&lt;&gt;"",Data!BZ42,"")</f>
        <v>0a</v>
      </c>
      <c r="L45" s="35" t="str">
        <f>IF(Data!CA42&lt;&gt;"",Data!CA42,"")</f>
        <v>1b</v>
      </c>
      <c r="M45" s="35" t="str">
        <f>IF(Data!CB42&lt;&gt;"",Data!CB42,"")</f>
        <v>2b</v>
      </c>
      <c r="N45" s="35" t="str">
        <f>IF(Data!CC42&lt;&gt;"",Data!CC42,"")</f>
        <v>3b</v>
      </c>
      <c r="O45" s="35" t="str">
        <f>IF(Data!CD42&lt;&gt;"",Data!CD42,"")</f>
        <v>4b</v>
      </c>
      <c r="P45" s="35" t="str">
        <f>IF(Data!CE42&lt;&gt;"",Data!CE42,"")</f>
        <v>0a</v>
      </c>
      <c r="Q45" s="35" t="str">
        <f>IF(Data!CF42&lt;&gt;"",Data!CF42,"")</f>
        <v>0a</v>
      </c>
      <c r="R45" s="35" t="str">
        <f>IF(Data!CG42&lt;&gt;"",Data!CG42,"")</f>
        <v>0a</v>
      </c>
      <c r="S45" s="35" t="str">
        <f>IF(Data!CH42&lt;&gt;"",Data!CH42,"")</f>
        <v>0a</v>
      </c>
      <c r="T45" s="35" t="str">
        <f>IF(Data!CI42&lt;&gt;"",Data!CI42,"")</f>
        <v>0a</v>
      </c>
      <c r="U45" s="35" t="str">
        <f>IF(Data!CJ42&lt;&gt;"",Data!CJ42,"")</f>
        <v>0a</v>
      </c>
      <c r="V45" s="35" t="str">
        <f>IF(Data!CK42&lt;&gt;"",Data!CK42,"")</f>
        <v>0a</v>
      </c>
      <c r="W45" s="35" t="str">
        <f>IF(Data!CL42&lt;&gt;"",Data!CL42,"")</f>
        <v>0a</v>
      </c>
      <c r="X45" s="35" t="str">
        <f>IF(Data!CM42&lt;&gt;"",Data!CM42,"")</f>
        <v>0a</v>
      </c>
      <c r="Y45" s="35" t="str">
        <f>IF(Data!CN42&lt;&gt;"",Data!CN42,"")</f>
        <v>0a</v>
      </c>
      <c r="Z45" s="35" t="str">
        <f>IF(Data!CO42&lt;&gt;"",Data!CO42,"")</f>
        <v>0a</v>
      </c>
      <c r="AA45" s="35" t="str">
        <f>IF(Data!CP42&lt;&gt;"",Data!CP42,"")</f>
        <v>0a</v>
      </c>
      <c r="AB45" s="35" t="str">
        <f>IF(Data!CQ42&lt;&gt;"",Data!CQ42,"")</f>
        <v>0a</v>
      </c>
      <c r="AC45" s="35" t="str">
        <f>IF(Data!CR42&lt;&gt;"",Data!CR42,"")</f>
        <v>0a</v>
      </c>
      <c r="AD45" s="35" t="str">
        <f>IF(Data!CS42&lt;&gt;"",Data!CS42,"")</f>
        <v>0a</v>
      </c>
      <c r="AE45" s="35" t="str">
        <f>IF(Data!CT42&lt;&gt;"",Data!CT42,"")</f>
        <v>0a</v>
      </c>
      <c r="AF45" s="35" t="str">
        <f>IF(Data!CU42&lt;&gt;"",Data!CU42,"")</f>
        <v>0a</v>
      </c>
      <c r="AG45" s="35" t="str">
        <f>IF(Data!CV42&lt;&gt;"",Data!CV42,"")</f>
        <v>0a</v>
      </c>
      <c r="AH45" s="35" t="str">
        <f>IF(Data!CW42&lt;&gt;"",Data!CW42,"")</f>
        <v>0a</v>
      </c>
      <c r="AI45" s="35" t="str">
        <f>IF(Data!CX42&lt;&gt;"",Data!CX42,"")</f>
        <v>0a</v>
      </c>
      <c r="AJ45" s="35" t="str">
        <f>IF(Data!CY42&lt;&gt;"",Data!CY42,"")</f>
        <v>0a</v>
      </c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</row>
    <row r="46" spans="1:54" ht="7.5" customHeight="1" thickBot="1" x14ac:dyDescent="0.4">
      <c r="A46" s="376"/>
      <c r="B46" s="35"/>
      <c r="C46" s="12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H46" s="374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</row>
    <row r="47" spans="1:54" ht="15.75" customHeight="1" x14ac:dyDescent="0.35">
      <c r="A47" s="2242" t="s">
        <v>18</v>
      </c>
      <c r="B47" s="6">
        <v>1</v>
      </c>
      <c r="C47" s="344"/>
      <c r="D47" s="345"/>
      <c r="E47" s="345"/>
      <c r="F47" s="345"/>
      <c r="G47" s="345"/>
      <c r="H47" s="345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Y47" s="345"/>
      <c r="Z47" s="345"/>
      <c r="AA47" s="345"/>
      <c r="AB47" s="345"/>
      <c r="AC47" s="345"/>
      <c r="AD47" s="345"/>
      <c r="AE47" s="345"/>
      <c r="AF47" s="345"/>
      <c r="AG47" s="345"/>
      <c r="AH47" s="345"/>
      <c r="AI47" s="345"/>
      <c r="AJ47" s="346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</row>
    <row r="48" spans="1:54" ht="15.75" customHeight="1" x14ac:dyDescent="0.35">
      <c r="A48" s="2243"/>
      <c r="B48" s="35">
        <v>2</v>
      </c>
      <c r="C48" s="347"/>
      <c r="D48" s="348"/>
      <c r="E48" s="348"/>
      <c r="F48" s="348"/>
      <c r="G48" s="348"/>
      <c r="H48" s="348"/>
      <c r="I48" s="348"/>
      <c r="J48" s="348"/>
      <c r="K48" s="348"/>
      <c r="L48" s="348"/>
      <c r="M48" s="348"/>
      <c r="N48" s="348"/>
      <c r="O48" s="348"/>
      <c r="P48" s="348"/>
      <c r="Q48" s="348"/>
      <c r="R48" s="348"/>
      <c r="S48" s="348"/>
      <c r="T48" s="348"/>
      <c r="U48" s="348"/>
      <c r="V48" s="348"/>
      <c r="W48" s="348"/>
      <c r="X48" s="348"/>
      <c r="Y48" s="348"/>
      <c r="Z48" s="348"/>
      <c r="AA48" s="348"/>
      <c r="AB48" s="348"/>
      <c r="AC48" s="348"/>
      <c r="AD48" s="348"/>
      <c r="AE48" s="348"/>
      <c r="AF48" s="348"/>
      <c r="AG48" s="348"/>
      <c r="AH48" s="348"/>
      <c r="AI48" s="348"/>
      <c r="AJ48" s="349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</row>
    <row r="49" spans="1:54" ht="15.75" customHeight="1" x14ac:dyDescent="0.35">
      <c r="A49" s="2243"/>
      <c r="B49" s="35">
        <v>3</v>
      </c>
      <c r="C49" s="347"/>
      <c r="D49" s="348"/>
      <c r="E49" s="348"/>
      <c r="F49" s="348"/>
      <c r="G49" s="348"/>
      <c r="H49" s="348"/>
      <c r="I49" s="348"/>
      <c r="J49" s="348"/>
      <c r="K49" s="348"/>
      <c r="L49" s="348"/>
      <c r="M49" s="348"/>
      <c r="N49" s="348"/>
      <c r="O49" s="348"/>
      <c r="P49" s="348"/>
      <c r="Q49" s="348"/>
      <c r="R49" s="348"/>
      <c r="S49" s="348"/>
      <c r="T49" s="348"/>
      <c r="U49" s="348"/>
      <c r="V49" s="348"/>
      <c r="W49" s="348"/>
      <c r="X49" s="348"/>
      <c r="Y49" s="348"/>
      <c r="Z49" s="348"/>
      <c r="AA49" s="348"/>
      <c r="AB49" s="348"/>
      <c r="AC49" s="348"/>
      <c r="AD49" s="348"/>
      <c r="AE49" s="348"/>
      <c r="AF49" s="348"/>
      <c r="AG49" s="348"/>
      <c r="AH49" s="348"/>
      <c r="AI49" s="348"/>
      <c r="AJ49" s="3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</row>
    <row r="50" spans="1:54" ht="15.75" customHeight="1" x14ac:dyDescent="0.35">
      <c r="A50" s="2243"/>
      <c r="B50" s="35">
        <v>4</v>
      </c>
      <c r="C50" s="347"/>
      <c r="D50" s="348"/>
      <c r="E50" s="348"/>
      <c r="F50" s="348"/>
      <c r="G50" s="348"/>
      <c r="H50" s="348"/>
      <c r="I50" s="348"/>
      <c r="J50" s="348"/>
      <c r="K50" s="348"/>
      <c r="L50" s="348"/>
      <c r="M50" s="348"/>
      <c r="N50" s="348"/>
      <c r="O50" s="348"/>
      <c r="P50" s="348"/>
      <c r="Q50" s="348"/>
      <c r="R50" s="348"/>
      <c r="S50" s="348"/>
      <c r="T50" s="348"/>
      <c r="U50" s="348"/>
      <c r="V50" s="348"/>
      <c r="W50" s="348"/>
      <c r="X50" s="348"/>
      <c r="Y50" s="348"/>
      <c r="Z50" s="348"/>
      <c r="AA50" s="348"/>
      <c r="AB50" s="348"/>
      <c r="AC50" s="348"/>
      <c r="AD50" s="348"/>
      <c r="AE50" s="348"/>
      <c r="AF50" s="348"/>
      <c r="AG50" s="348"/>
      <c r="AH50" s="348"/>
      <c r="AI50" s="348"/>
      <c r="AJ50" s="349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</row>
    <row r="51" spans="1:54" ht="15.75" customHeight="1" x14ac:dyDescent="0.35">
      <c r="A51" s="2243"/>
      <c r="B51" s="35">
        <v>5</v>
      </c>
      <c r="C51" s="347"/>
      <c r="D51" s="348"/>
      <c r="E51" s="348"/>
      <c r="F51" s="348"/>
      <c r="G51" s="348"/>
      <c r="H51" s="348"/>
      <c r="I51" s="348"/>
      <c r="J51" s="348"/>
      <c r="K51" s="348"/>
      <c r="L51" s="348"/>
      <c r="M51" s="348"/>
      <c r="N51" s="348"/>
      <c r="O51" s="348"/>
      <c r="P51" s="348"/>
      <c r="Q51" s="348"/>
      <c r="R51" s="348"/>
      <c r="S51" s="348"/>
      <c r="T51" s="348"/>
      <c r="U51" s="348"/>
      <c r="V51" s="348"/>
      <c r="W51" s="348"/>
      <c r="X51" s="348"/>
      <c r="Y51" s="348"/>
      <c r="Z51" s="348"/>
      <c r="AA51" s="348"/>
      <c r="AB51" s="348"/>
      <c r="AC51" s="348"/>
      <c r="AD51" s="348"/>
      <c r="AE51" s="348"/>
      <c r="AF51" s="348"/>
      <c r="AG51" s="348"/>
      <c r="AH51" s="348"/>
      <c r="AI51" s="348"/>
      <c r="AJ51" s="349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</row>
    <row r="52" spans="1:54" ht="15.75" customHeight="1" x14ac:dyDescent="0.35">
      <c r="A52" s="2243"/>
      <c r="B52" s="35">
        <v>6</v>
      </c>
      <c r="C52" s="347"/>
      <c r="D52" s="348"/>
      <c r="E52" s="348"/>
      <c r="F52" s="348"/>
      <c r="G52" s="348"/>
      <c r="H52" s="348"/>
      <c r="I52" s="348"/>
      <c r="J52" s="348"/>
      <c r="K52" s="348"/>
      <c r="L52" s="348"/>
      <c r="M52" s="348"/>
      <c r="N52" s="348"/>
      <c r="O52" s="348"/>
      <c r="P52" s="348"/>
      <c r="Q52" s="348"/>
      <c r="R52" s="348"/>
      <c r="S52" s="348"/>
      <c r="T52" s="348"/>
      <c r="U52" s="348"/>
      <c r="V52" s="348"/>
      <c r="W52" s="348"/>
      <c r="X52" s="348"/>
      <c r="Y52" s="348"/>
      <c r="Z52" s="348"/>
      <c r="AA52" s="348"/>
      <c r="AB52" s="348"/>
      <c r="AC52" s="348"/>
      <c r="AD52" s="348"/>
      <c r="AE52" s="348"/>
      <c r="AF52" s="348"/>
      <c r="AG52" s="348"/>
      <c r="AH52" s="348"/>
      <c r="AI52" s="348"/>
      <c r="AJ52" s="349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</row>
    <row r="53" spans="1:54" ht="15.75" customHeight="1" x14ac:dyDescent="0.35">
      <c r="A53" s="2243"/>
      <c r="B53" s="35">
        <v>7</v>
      </c>
      <c r="C53" s="347"/>
      <c r="D53" s="348"/>
      <c r="E53" s="348"/>
      <c r="F53" s="348"/>
      <c r="G53" s="348"/>
      <c r="H53" s="348"/>
      <c r="I53" s="348"/>
      <c r="J53" s="348"/>
      <c r="K53" s="348"/>
      <c r="L53" s="348"/>
      <c r="M53" s="348"/>
      <c r="N53" s="348"/>
      <c r="O53" s="348"/>
      <c r="P53" s="348"/>
      <c r="Q53" s="348"/>
      <c r="R53" s="348"/>
      <c r="S53" s="348"/>
      <c r="T53" s="348"/>
      <c r="U53" s="348"/>
      <c r="V53" s="348"/>
      <c r="W53" s="348"/>
      <c r="X53" s="348"/>
      <c r="Y53" s="348"/>
      <c r="Z53" s="348"/>
      <c r="AA53" s="348"/>
      <c r="AB53" s="348"/>
      <c r="AC53" s="348"/>
      <c r="AD53" s="348"/>
      <c r="AE53" s="348"/>
      <c r="AF53" s="348"/>
      <c r="AG53" s="348"/>
      <c r="AH53" s="348"/>
      <c r="AI53" s="348"/>
      <c r="AJ53" s="349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</row>
    <row r="54" spans="1:54" ht="15.75" customHeight="1" x14ac:dyDescent="0.35">
      <c r="A54" s="2243"/>
      <c r="B54" s="35">
        <v>8</v>
      </c>
      <c r="C54" s="347"/>
      <c r="D54" s="348"/>
      <c r="E54" s="348"/>
      <c r="F54" s="348"/>
      <c r="G54" s="348"/>
      <c r="H54" s="348"/>
      <c r="I54" s="348"/>
      <c r="J54" s="348"/>
      <c r="K54" s="348"/>
      <c r="L54" s="348"/>
      <c r="M54" s="348"/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48"/>
      <c r="Z54" s="348"/>
      <c r="AA54" s="348"/>
      <c r="AB54" s="348"/>
      <c r="AC54" s="348"/>
      <c r="AD54" s="348"/>
      <c r="AE54" s="348"/>
      <c r="AF54" s="348"/>
      <c r="AG54" s="348"/>
      <c r="AH54" s="348"/>
      <c r="AI54" s="348"/>
      <c r="AJ54" s="349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</row>
    <row r="55" spans="1:54" ht="15.75" customHeight="1" x14ac:dyDescent="0.35">
      <c r="A55" s="2243"/>
      <c r="B55" s="35">
        <v>9</v>
      </c>
      <c r="C55" s="347"/>
      <c r="D55" s="348"/>
      <c r="E55" s="348"/>
      <c r="F55" s="348"/>
      <c r="G55" s="348"/>
      <c r="H55" s="348"/>
      <c r="I55" s="348"/>
      <c r="J55" s="348"/>
      <c r="K55" s="348"/>
      <c r="L55" s="348"/>
      <c r="M55" s="348"/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/>
      <c r="Z55" s="348"/>
      <c r="AA55" s="348"/>
      <c r="AB55" s="348"/>
      <c r="AC55" s="348"/>
      <c r="AD55" s="348"/>
      <c r="AE55" s="348"/>
      <c r="AF55" s="348"/>
      <c r="AG55" s="348"/>
      <c r="AH55" s="348"/>
      <c r="AI55" s="348"/>
      <c r="AJ55" s="349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</row>
    <row r="56" spans="1:54" ht="15.75" customHeight="1" x14ac:dyDescent="0.35">
      <c r="A56" s="2243"/>
      <c r="B56" s="35">
        <v>10</v>
      </c>
      <c r="C56" s="347"/>
      <c r="D56" s="348"/>
      <c r="E56" s="348"/>
      <c r="F56" s="348"/>
      <c r="G56" s="348"/>
      <c r="H56" s="348"/>
      <c r="I56" s="348"/>
      <c r="J56" s="348"/>
      <c r="K56" s="348"/>
      <c r="L56" s="348"/>
      <c r="M56" s="348"/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/>
      <c r="Z56" s="348"/>
      <c r="AA56" s="348"/>
      <c r="AB56" s="348"/>
      <c r="AC56" s="348"/>
      <c r="AD56" s="348"/>
      <c r="AE56" s="348"/>
      <c r="AF56" s="348"/>
      <c r="AG56" s="348"/>
      <c r="AH56" s="348"/>
      <c r="AI56" s="348"/>
      <c r="AJ56" s="349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</row>
    <row r="57" spans="1:54" ht="15.75" customHeight="1" x14ac:dyDescent="0.35">
      <c r="A57" s="2243"/>
      <c r="B57" s="35">
        <v>11</v>
      </c>
      <c r="C57" s="347"/>
      <c r="D57" s="348"/>
      <c r="E57" s="348"/>
      <c r="F57" s="348"/>
      <c r="G57" s="348"/>
      <c r="H57" s="348"/>
      <c r="I57" s="348"/>
      <c r="J57" s="348"/>
      <c r="K57" s="348"/>
      <c r="L57" s="348"/>
      <c r="M57" s="348"/>
      <c r="N57" s="348"/>
      <c r="O57" s="348"/>
      <c r="P57" s="348"/>
      <c r="Q57" s="348"/>
      <c r="R57" s="348"/>
      <c r="S57" s="348"/>
      <c r="T57" s="348"/>
      <c r="U57" s="348"/>
      <c r="V57" s="348"/>
      <c r="W57" s="348"/>
      <c r="X57" s="348"/>
      <c r="Y57" s="348"/>
      <c r="Z57" s="348"/>
      <c r="AA57" s="348"/>
      <c r="AB57" s="348"/>
      <c r="AC57" s="348"/>
      <c r="AD57" s="348"/>
      <c r="AE57" s="348"/>
      <c r="AF57" s="348"/>
      <c r="AG57" s="348"/>
      <c r="AH57" s="348"/>
      <c r="AI57" s="348"/>
      <c r="AJ57" s="349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</row>
    <row r="58" spans="1:54" ht="15.75" customHeight="1" thickBot="1" x14ac:dyDescent="0.4">
      <c r="A58" s="2244"/>
      <c r="B58" s="355">
        <v>12</v>
      </c>
      <c r="C58" s="350"/>
      <c r="D58" s="351"/>
      <c r="E58" s="351"/>
      <c r="F58" s="351"/>
      <c r="G58" s="351"/>
      <c r="H58" s="351"/>
      <c r="I58" s="351"/>
      <c r="J58" s="351"/>
      <c r="K58" s="351"/>
      <c r="L58" s="351"/>
      <c r="M58" s="351"/>
      <c r="N58" s="351"/>
      <c r="O58" s="351"/>
      <c r="P58" s="351"/>
      <c r="Q58" s="351"/>
      <c r="R58" s="351"/>
      <c r="S58" s="351"/>
      <c r="T58" s="351"/>
      <c r="U58" s="351"/>
      <c r="V58" s="351"/>
      <c r="W58" s="351"/>
      <c r="X58" s="351"/>
      <c r="Y58" s="351"/>
      <c r="Z58" s="351"/>
      <c r="AA58" s="351"/>
      <c r="AB58" s="351"/>
      <c r="AC58" s="351"/>
      <c r="AD58" s="351"/>
      <c r="AE58" s="351"/>
      <c r="AF58" s="351"/>
      <c r="AG58" s="351"/>
      <c r="AH58" s="351"/>
      <c r="AI58" s="351"/>
      <c r="AJ58" s="352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</row>
    <row r="59" spans="1:54" ht="7.5" customHeight="1" x14ac:dyDescent="0.35">
      <c r="A59" s="376"/>
      <c r="B59" s="35"/>
      <c r="C59" s="12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H59" s="374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</row>
    <row r="60" spans="1:54" ht="7.5" customHeight="1" thickBot="1" x14ac:dyDescent="0.4">
      <c r="A60" s="376"/>
      <c r="B60" s="35"/>
      <c r="C60" s="12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H60" s="374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</row>
    <row r="61" spans="1:54" ht="16" customHeight="1" x14ac:dyDescent="0.35">
      <c r="A61" s="2230" t="s">
        <v>19</v>
      </c>
      <c r="B61" s="2231"/>
      <c r="C61" s="2232"/>
      <c r="D61" s="2215"/>
      <c r="E61" s="2216"/>
      <c r="F61" s="2216"/>
      <c r="G61" s="2216"/>
      <c r="H61" s="2216"/>
      <c r="I61" s="2216"/>
      <c r="J61" s="2216"/>
      <c r="K61" s="2216"/>
      <c r="L61" s="2216"/>
      <c r="M61" s="2216"/>
      <c r="N61" s="2216"/>
      <c r="O61" s="2216"/>
      <c r="P61" s="2216"/>
      <c r="Q61" s="2216"/>
      <c r="R61" s="2216"/>
      <c r="S61" s="2216"/>
      <c r="T61" s="2216"/>
      <c r="U61" s="2216"/>
      <c r="V61" s="2216"/>
      <c r="W61" s="2216"/>
      <c r="X61" s="2216"/>
      <c r="Y61" s="2216"/>
      <c r="Z61" s="2217"/>
      <c r="AH61" s="374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</row>
    <row r="62" spans="1:54" ht="16" customHeight="1" x14ac:dyDescent="0.35">
      <c r="A62" s="2233"/>
      <c r="B62" s="2234"/>
      <c r="C62" s="2235"/>
      <c r="D62" s="2218"/>
      <c r="E62" s="2219"/>
      <c r="F62" s="2219"/>
      <c r="G62" s="2219"/>
      <c r="H62" s="2219"/>
      <c r="I62" s="2219"/>
      <c r="J62" s="2219"/>
      <c r="K62" s="2219"/>
      <c r="L62" s="2219"/>
      <c r="M62" s="2219"/>
      <c r="N62" s="2219"/>
      <c r="O62" s="2219"/>
      <c r="P62" s="2219"/>
      <c r="Q62" s="2219"/>
      <c r="R62" s="2219"/>
      <c r="S62" s="2219"/>
      <c r="T62" s="2219"/>
      <c r="U62" s="2219"/>
      <c r="V62" s="2219"/>
      <c r="W62" s="2219"/>
      <c r="X62" s="2219"/>
      <c r="Y62" s="2219"/>
      <c r="Z62" s="2220"/>
      <c r="AH62" s="374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</row>
    <row r="63" spans="1:54" ht="20.25" customHeight="1" thickBot="1" x14ac:dyDescent="0.4">
      <c r="A63" s="2236"/>
      <c r="B63" s="2237"/>
      <c r="C63" s="2238"/>
      <c r="D63" s="2239"/>
      <c r="E63" s="2240"/>
      <c r="F63" s="2240"/>
      <c r="G63" s="2240"/>
      <c r="H63" s="2240"/>
      <c r="I63" s="2240"/>
      <c r="J63" s="2240"/>
      <c r="K63" s="2240"/>
      <c r="L63" s="2240"/>
      <c r="M63" s="2240"/>
      <c r="N63" s="2240"/>
      <c r="O63" s="2240"/>
      <c r="P63" s="2240"/>
      <c r="Q63" s="2240"/>
      <c r="R63" s="2240"/>
      <c r="S63" s="2240"/>
      <c r="T63" s="2240"/>
      <c r="U63" s="2240"/>
      <c r="V63" s="2240"/>
      <c r="W63" s="2240"/>
      <c r="X63" s="2240"/>
      <c r="Y63" s="2240"/>
      <c r="Z63" s="2241"/>
      <c r="AH63" s="374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</row>
    <row r="64" spans="1:54" ht="23.25" customHeight="1" thickBot="1" x14ac:dyDescent="0.4">
      <c r="A64" s="387"/>
      <c r="B64" s="388"/>
      <c r="C64" s="389"/>
      <c r="D64" s="390"/>
      <c r="E64" s="390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0"/>
      <c r="Q64" s="390"/>
      <c r="R64" s="390"/>
      <c r="S64" s="390"/>
      <c r="T64" s="390"/>
      <c r="U64" s="390"/>
      <c r="V64" s="390"/>
      <c r="W64" s="390"/>
      <c r="X64" s="390"/>
      <c r="Y64" s="390"/>
      <c r="Z64" s="390"/>
      <c r="AA64" s="378"/>
      <c r="AB64" s="378"/>
      <c r="AC64" s="378"/>
      <c r="AD64" s="378"/>
      <c r="AE64" s="378"/>
      <c r="AF64" s="378"/>
      <c r="AG64" s="378"/>
      <c r="AH64" s="379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</row>
    <row r="65" spans="1:54" ht="21" customHeight="1" x14ac:dyDescent="0.35">
      <c r="A65" s="1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</row>
    <row r="66" spans="1:54" ht="20.25" customHeight="1" x14ac:dyDescent="0.35">
      <c r="A66" s="103"/>
      <c r="B66" s="103"/>
      <c r="C66" s="103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</row>
    <row r="67" spans="1:54" ht="15" thickBot="1" x14ac:dyDescent="0.4"/>
    <row r="68" spans="1:54" x14ac:dyDescent="0.35">
      <c r="A68" s="1202"/>
      <c r="B68" s="1203"/>
      <c r="C68" s="1207" t="s">
        <v>17</v>
      </c>
      <c r="D68" s="1207"/>
      <c r="E68" s="1207"/>
      <c r="F68" s="1207"/>
      <c r="G68" s="1207"/>
      <c r="H68" s="1207"/>
      <c r="I68" s="1207"/>
      <c r="J68" s="1207"/>
      <c r="K68" s="1207"/>
      <c r="L68" s="1207"/>
      <c r="M68" s="1207"/>
      <c r="N68" s="1207"/>
      <c r="O68" s="1207"/>
      <c r="P68" s="1207"/>
      <c r="Q68" s="1207"/>
      <c r="R68" s="1207"/>
      <c r="S68" s="1207"/>
      <c r="T68" s="1207"/>
      <c r="U68" s="1207"/>
      <c r="V68" s="1208"/>
      <c r="W68" s="6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8"/>
    </row>
    <row r="69" spans="1:54" ht="15" thickBot="1" x14ac:dyDescent="0.4">
      <c r="A69" s="1204"/>
      <c r="B69" s="1205"/>
      <c r="C69" s="361">
        <v>1</v>
      </c>
      <c r="D69" s="35">
        <v>2</v>
      </c>
      <c r="E69" s="35">
        <v>3</v>
      </c>
      <c r="F69" s="35">
        <v>4</v>
      </c>
      <c r="G69" s="35">
        <v>5</v>
      </c>
      <c r="H69" s="35">
        <v>6</v>
      </c>
      <c r="I69" s="35">
        <v>7</v>
      </c>
      <c r="J69" s="35">
        <v>8</v>
      </c>
      <c r="K69" s="35">
        <v>9</v>
      </c>
      <c r="L69" s="35">
        <v>10</v>
      </c>
      <c r="M69" s="35">
        <v>11</v>
      </c>
      <c r="N69" s="35">
        <v>12</v>
      </c>
      <c r="O69" s="35">
        <v>13</v>
      </c>
      <c r="P69" s="35">
        <v>14</v>
      </c>
      <c r="Q69" s="35">
        <v>15</v>
      </c>
      <c r="R69" s="35">
        <v>16</v>
      </c>
      <c r="S69" s="35">
        <v>17</v>
      </c>
      <c r="T69" s="35">
        <v>18</v>
      </c>
      <c r="U69" s="35">
        <v>19</v>
      </c>
      <c r="V69" s="357">
        <v>20</v>
      </c>
      <c r="W69" s="35">
        <v>21</v>
      </c>
      <c r="X69" s="357">
        <v>22</v>
      </c>
      <c r="Y69" s="35">
        <v>23</v>
      </c>
      <c r="Z69" s="357">
        <v>24</v>
      </c>
      <c r="AA69" s="35">
        <v>25</v>
      </c>
      <c r="AB69" s="357">
        <v>26</v>
      </c>
      <c r="AC69" s="35">
        <v>27</v>
      </c>
      <c r="AD69" s="357">
        <v>28</v>
      </c>
      <c r="AE69" s="35">
        <v>29</v>
      </c>
      <c r="AF69" s="357">
        <v>30</v>
      </c>
      <c r="AG69" s="35">
        <v>31</v>
      </c>
      <c r="AH69" s="357">
        <v>32</v>
      </c>
      <c r="AI69" s="35">
        <v>33</v>
      </c>
      <c r="AJ69" s="357">
        <v>34</v>
      </c>
    </row>
    <row r="70" spans="1:54" x14ac:dyDescent="0.35">
      <c r="A70" s="1196" t="s">
        <v>18</v>
      </c>
      <c r="B70" s="6">
        <v>1</v>
      </c>
      <c r="C70" s="845" t="s">
        <v>313</v>
      </c>
      <c r="D70" s="846" t="s">
        <v>314</v>
      </c>
      <c r="E70" s="846" t="s">
        <v>315</v>
      </c>
      <c r="F70" s="846" t="s">
        <v>316</v>
      </c>
      <c r="G70" s="846" t="s">
        <v>317</v>
      </c>
      <c r="H70" s="846" t="s">
        <v>318</v>
      </c>
      <c r="I70" s="846" t="s">
        <v>319</v>
      </c>
      <c r="J70" s="846" t="s">
        <v>320</v>
      </c>
      <c r="K70" s="846" t="s">
        <v>321</v>
      </c>
      <c r="L70" s="846" t="s">
        <v>322</v>
      </c>
      <c r="M70" s="846" t="s">
        <v>323</v>
      </c>
      <c r="N70" s="846" t="s">
        <v>324</v>
      </c>
      <c r="O70" s="846" t="s">
        <v>325</v>
      </c>
      <c r="P70" s="846" t="s">
        <v>326</v>
      </c>
      <c r="Q70" s="846" t="s">
        <v>327</v>
      </c>
      <c r="R70" s="846" t="s">
        <v>328</v>
      </c>
      <c r="S70" s="846" t="s">
        <v>329</v>
      </c>
      <c r="T70" s="846" t="s">
        <v>330</v>
      </c>
      <c r="U70" s="846" t="s">
        <v>331</v>
      </c>
      <c r="V70" s="846" t="s">
        <v>332</v>
      </c>
      <c r="W70" s="846" t="s">
        <v>333</v>
      </c>
      <c r="X70" s="846" t="s">
        <v>334</v>
      </c>
      <c r="Y70" s="846" t="s">
        <v>335</v>
      </c>
      <c r="Z70" s="846" t="s">
        <v>336</v>
      </c>
      <c r="AA70" s="846" t="s">
        <v>337</v>
      </c>
      <c r="AB70" s="846" t="s">
        <v>338</v>
      </c>
      <c r="AC70" s="846" t="s">
        <v>339</v>
      </c>
      <c r="AD70" s="846" t="s">
        <v>340</v>
      </c>
      <c r="AE70" s="846" t="s">
        <v>341</v>
      </c>
      <c r="AF70" s="846" t="s">
        <v>342</v>
      </c>
      <c r="AG70" s="846" t="s">
        <v>343</v>
      </c>
      <c r="AH70" s="846" t="s">
        <v>344</v>
      </c>
      <c r="AI70" s="846" t="s">
        <v>345</v>
      </c>
      <c r="AJ70" s="847" t="s">
        <v>1778</v>
      </c>
    </row>
    <row r="71" spans="1:54" x14ac:dyDescent="0.35">
      <c r="A71" s="1196"/>
      <c r="B71" s="35">
        <v>2</v>
      </c>
      <c r="C71" s="848" t="s">
        <v>346</v>
      </c>
      <c r="D71" s="61" t="s">
        <v>347</v>
      </c>
      <c r="E71" s="61" t="s">
        <v>348</v>
      </c>
      <c r="F71" s="61" t="s">
        <v>349</v>
      </c>
      <c r="G71" s="61" t="s">
        <v>350</v>
      </c>
      <c r="H71" s="61" t="s">
        <v>351</v>
      </c>
      <c r="I71" s="61" t="s">
        <v>352</v>
      </c>
      <c r="J71" s="61" t="s">
        <v>353</v>
      </c>
      <c r="K71" s="61" t="s">
        <v>354</v>
      </c>
      <c r="L71" s="61" t="s">
        <v>355</v>
      </c>
      <c r="M71" s="61" t="s">
        <v>356</v>
      </c>
      <c r="N71" s="61" t="s">
        <v>357</v>
      </c>
      <c r="O71" s="61" t="s">
        <v>358</v>
      </c>
      <c r="P71" s="61" t="s">
        <v>359</v>
      </c>
      <c r="Q71" s="61" t="s">
        <v>360</v>
      </c>
      <c r="R71" s="61" t="s">
        <v>361</v>
      </c>
      <c r="S71" s="61" t="s">
        <v>362</v>
      </c>
      <c r="T71" s="61" t="s">
        <v>363</v>
      </c>
      <c r="U71" s="61" t="s">
        <v>364</v>
      </c>
      <c r="V71" s="61" t="s">
        <v>365</v>
      </c>
      <c r="W71" s="61" t="s">
        <v>366</v>
      </c>
      <c r="X71" s="61" t="s">
        <v>367</v>
      </c>
      <c r="Y71" s="61" t="s">
        <v>368</v>
      </c>
      <c r="Z71" s="61" t="s">
        <v>369</v>
      </c>
      <c r="AA71" s="61" t="s">
        <v>370</v>
      </c>
      <c r="AB71" s="61" t="s">
        <v>371</v>
      </c>
      <c r="AC71" s="61" t="s">
        <v>372</v>
      </c>
      <c r="AD71" s="61" t="s">
        <v>373</v>
      </c>
      <c r="AE71" s="61" t="s">
        <v>374</v>
      </c>
      <c r="AF71" s="61" t="s">
        <v>375</v>
      </c>
      <c r="AG71" s="61" t="s">
        <v>376</v>
      </c>
      <c r="AH71" s="61" t="s">
        <v>377</v>
      </c>
      <c r="AI71" s="61" t="s">
        <v>378</v>
      </c>
      <c r="AJ71" s="849" t="s">
        <v>1779</v>
      </c>
    </row>
    <row r="72" spans="1:54" x14ac:dyDescent="0.35">
      <c r="A72" s="1196"/>
      <c r="B72" s="35">
        <v>3</v>
      </c>
      <c r="C72" s="848" t="s">
        <v>379</v>
      </c>
      <c r="D72" s="61" t="s">
        <v>380</v>
      </c>
      <c r="E72" s="61" t="s">
        <v>381</v>
      </c>
      <c r="F72" s="61" t="s">
        <v>382</v>
      </c>
      <c r="G72" s="61" t="s">
        <v>383</v>
      </c>
      <c r="H72" s="61" t="s">
        <v>384</v>
      </c>
      <c r="I72" s="61" t="s">
        <v>385</v>
      </c>
      <c r="J72" s="61" t="s">
        <v>386</v>
      </c>
      <c r="K72" s="61" t="s">
        <v>387</v>
      </c>
      <c r="L72" s="61" t="s">
        <v>388</v>
      </c>
      <c r="M72" s="61" t="s">
        <v>389</v>
      </c>
      <c r="N72" s="61" t="s">
        <v>390</v>
      </c>
      <c r="O72" s="61" t="s">
        <v>391</v>
      </c>
      <c r="P72" s="61" t="s">
        <v>392</v>
      </c>
      <c r="Q72" s="61" t="s">
        <v>393</v>
      </c>
      <c r="R72" s="61" t="s">
        <v>394</v>
      </c>
      <c r="S72" s="61" t="s">
        <v>395</v>
      </c>
      <c r="T72" s="61" t="s">
        <v>396</v>
      </c>
      <c r="U72" s="61" t="s">
        <v>397</v>
      </c>
      <c r="V72" s="61" t="s">
        <v>398</v>
      </c>
      <c r="W72" s="61" t="s">
        <v>399</v>
      </c>
      <c r="X72" s="61" t="s">
        <v>400</v>
      </c>
      <c r="Y72" s="61" t="s">
        <v>401</v>
      </c>
      <c r="Z72" s="61" t="s">
        <v>402</v>
      </c>
      <c r="AA72" s="61" t="s">
        <v>403</v>
      </c>
      <c r="AB72" s="61" t="s">
        <v>404</v>
      </c>
      <c r="AC72" s="61" t="s">
        <v>405</v>
      </c>
      <c r="AD72" s="61" t="s">
        <v>406</v>
      </c>
      <c r="AE72" s="61" t="s">
        <v>407</v>
      </c>
      <c r="AF72" s="61" t="s">
        <v>408</v>
      </c>
      <c r="AG72" s="61" t="s">
        <v>409</v>
      </c>
      <c r="AH72" s="61" t="s">
        <v>410</v>
      </c>
      <c r="AI72" s="61" t="s">
        <v>411</v>
      </c>
      <c r="AJ72" s="849" t="s">
        <v>1780</v>
      </c>
    </row>
    <row r="73" spans="1:54" x14ac:dyDescent="0.35">
      <c r="A73" s="1196"/>
      <c r="B73" s="35">
        <v>4</v>
      </c>
      <c r="C73" s="848" t="s">
        <v>412</v>
      </c>
      <c r="D73" s="61" t="s">
        <v>413</v>
      </c>
      <c r="E73" s="61" t="s">
        <v>414</v>
      </c>
      <c r="F73" s="61" t="s">
        <v>415</v>
      </c>
      <c r="G73" s="61" t="s">
        <v>416</v>
      </c>
      <c r="H73" s="61" t="s">
        <v>417</v>
      </c>
      <c r="I73" s="61" t="s">
        <v>418</v>
      </c>
      <c r="J73" s="61" t="s">
        <v>419</v>
      </c>
      <c r="K73" s="61" t="s">
        <v>420</v>
      </c>
      <c r="L73" s="61" t="s">
        <v>421</v>
      </c>
      <c r="M73" s="61" t="s">
        <v>422</v>
      </c>
      <c r="N73" s="61" t="s">
        <v>423</v>
      </c>
      <c r="O73" s="61" t="s">
        <v>424</v>
      </c>
      <c r="P73" s="61" t="s">
        <v>425</v>
      </c>
      <c r="Q73" s="61" t="s">
        <v>426</v>
      </c>
      <c r="R73" s="61" t="s">
        <v>427</v>
      </c>
      <c r="S73" s="61" t="s">
        <v>428</v>
      </c>
      <c r="T73" s="61" t="s">
        <v>429</v>
      </c>
      <c r="U73" s="61" t="s">
        <v>430</v>
      </c>
      <c r="V73" s="61" t="s">
        <v>431</v>
      </c>
      <c r="W73" s="61" t="s">
        <v>432</v>
      </c>
      <c r="X73" s="61" t="s">
        <v>433</v>
      </c>
      <c r="Y73" s="61" t="s">
        <v>434</v>
      </c>
      <c r="Z73" s="61" t="s">
        <v>435</v>
      </c>
      <c r="AA73" s="61" t="s">
        <v>436</v>
      </c>
      <c r="AB73" s="61" t="s">
        <v>437</v>
      </c>
      <c r="AC73" s="61" t="s">
        <v>438</v>
      </c>
      <c r="AD73" s="61" t="s">
        <v>439</v>
      </c>
      <c r="AE73" s="61" t="s">
        <v>440</v>
      </c>
      <c r="AF73" s="61" t="s">
        <v>441</v>
      </c>
      <c r="AG73" s="61" t="s">
        <v>442</v>
      </c>
      <c r="AH73" s="61" t="s">
        <v>443</v>
      </c>
      <c r="AI73" s="61" t="s">
        <v>444</v>
      </c>
      <c r="AJ73" s="849" t="s">
        <v>1781</v>
      </c>
    </row>
    <row r="74" spans="1:54" x14ac:dyDescent="0.35">
      <c r="A74" s="1196"/>
      <c r="B74" s="35">
        <v>5</v>
      </c>
      <c r="C74" s="848" t="s">
        <v>445</v>
      </c>
      <c r="D74" s="61" t="s">
        <v>446</v>
      </c>
      <c r="E74" s="61" t="s">
        <v>447</v>
      </c>
      <c r="F74" s="61" t="s">
        <v>448</v>
      </c>
      <c r="G74" s="61" t="s">
        <v>449</v>
      </c>
      <c r="H74" s="61" t="s">
        <v>450</v>
      </c>
      <c r="I74" s="61" t="s">
        <v>451</v>
      </c>
      <c r="J74" s="61" t="s">
        <v>452</v>
      </c>
      <c r="K74" s="61" t="s">
        <v>453</v>
      </c>
      <c r="L74" s="61" t="s">
        <v>454</v>
      </c>
      <c r="M74" s="61" t="s">
        <v>455</v>
      </c>
      <c r="N74" s="61" t="s">
        <v>456</v>
      </c>
      <c r="O74" s="61" t="s">
        <v>457</v>
      </c>
      <c r="P74" s="61" t="s">
        <v>458</v>
      </c>
      <c r="Q74" s="61" t="s">
        <v>459</v>
      </c>
      <c r="R74" s="61" t="s">
        <v>460</v>
      </c>
      <c r="S74" s="61" t="s">
        <v>461</v>
      </c>
      <c r="T74" s="61" t="s">
        <v>462</v>
      </c>
      <c r="U74" s="61" t="s">
        <v>463</v>
      </c>
      <c r="V74" s="61" t="s">
        <v>464</v>
      </c>
      <c r="W74" s="61" t="s">
        <v>465</v>
      </c>
      <c r="X74" s="61" t="s">
        <v>466</v>
      </c>
      <c r="Y74" s="61" t="s">
        <v>467</v>
      </c>
      <c r="Z74" s="61" t="s">
        <v>468</v>
      </c>
      <c r="AA74" s="61" t="s">
        <v>469</v>
      </c>
      <c r="AB74" s="61" t="s">
        <v>470</v>
      </c>
      <c r="AC74" s="61" t="s">
        <v>471</v>
      </c>
      <c r="AD74" s="61" t="s">
        <v>472</v>
      </c>
      <c r="AE74" s="61" t="s">
        <v>473</v>
      </c>
      <c r="AF74" s="61" t="s">
        <v>474</v>
      </c>
      <c r="AG74" s="61" t="s">
        <v>475</v>
      </c>
      <c r="AH74" s="61" t="s">
        <v>476</v>
      </c>
      <c r="AI74" s="61" t="s">
        <v>477</v>
      </c>
      <c r="AJ74" s="849" t="s">
        <v>1782</v>
      </c>
    </row>
    <row r="75" spans="1:54" x14ac:dyDescent="0.35">
      <c r="A75" s="1196"/>
      <c r="B75" s="35">
        <v>6</v>
      </c>
      <c r="C75" s="848" t="s">
        <v>478</v>
      </c>
      <c r="D75" s="61" t="s">
        <v>479</v>
      </c>
      <c r="E75" s="61" t="s">
        <v>480</v>
      </c>
      <c r="F75" s="61" t="s">
        <v>481</v>
      </c>
      <c r="G75" s="61" t="s">
        <v>482</v>
      </c>
      <c r="H75" s="61" t="s">
        <v>483</v>
      </c>
      <c r="I75" s="61" t="s">
        <v>484</v>
      </c>
      <c r="J75" s="61" t="s">
        <v>485</v>
      </c>
      <c r="K75" s="61" t="s">
        <v>486</v>
      </c>
      <c r="L75" s="61" t="s">
        <v>487</v>
      </c>
      <c r="M75" s="61" t="s">
        <v>488</v>
      </c>
      <c r="N75" s="61" t="s">
        <v>489</v>
      </c>
      <c r="O75" s="61" t="s">
        <v>490</v>
      </c>
      <c r="P75" s="61" t="s">
        <v>491</v>
      </c>
      <c r="Q75" s="61" t="s">
        <v>492</v>
      </c>
      <c r="R75" s="61" t="s">
        <v>493</v>
      </c>
      <c r="S75" s="61" t="s">
        <v>494</v>
      </c>
      <c r="T75" s="61" t="s">
        <v>495</v>
      </c>
      <c r="U75" s="61" t="s">
        <v>496</v>
      </c>
      <c r="V75" s="61" t="s">
        <v>497</v>
      </c>
      <c r="W75" s="61" t="s">
        <v>498</v>
      </c>
      <c r="X75" s="61" t="s">
        <v>499</v>
      </c>
      <c r="Y75" s="61" t="s">
        <v>500</v>
      </c>
      <c r="Z75" s="61" t="s">
        <v>501</v>
      </c>
      <c r="AA75" s="61" t="s">
        <v>502</v>
      </c>
      <c r="AB75" s="61" t="s">
        <v>503</v>
      </c>
      <c r="AC75" s="61" t="s">
        <v>504</v>
      </c>
      <c r="AD75" s="61" t="s">
        <v>505</v>
      </c>
      <c r="AE75" s="61" t="s">
        <v>506</v>
      </c>
      <c r="AF75" s="61" t="s">
        <v>507</v>
      </c>
      <c r="AG75" s="61" t="s">
        <v>508</v>
      </c>
      <c r="AH75" s="61" t="s">
        <v>509</v>
      </c>
      <c r="AI75" s="61" t="s">
        <v>510</v>
      </c>
      <c r="AJ75" s="849" t="s">
        <v>1783</v>
      </c>
    </row>
    <row r="76" spans="1:54" x14ac:dyDescent="0.35">
      <c r="A76" s="1196"/>
      <c r="B76" s="35">
        <v>7</v>
      </c>
      <c r="C76" s="848" t="s">
        <v>511</v>
      </c>
      <c r="D76" s="61" t="s">
        <v>512</v>
      </c>
      <c r="E76" s="61" t="s">
        <v>513</v>
      </c>
      <c r="F76" s="61" t="s">
        <v>514</v>
      </c>
      <c r="G76" s="61" t="s">
        <v>515</v>
      </c>
      <c r="H76" s="61" t="s">
        <v>516</v>
      </c>
      <c r="I76" s="61" t="s">
        <v>517</v>
      </c>
      <c r="J76" s="61" t="s">
        <v>518</v>
      </c>
      <c r="K76" s="61" t="s">
        <v>519</v>
      </c>
      <c r="L76" s="61" t="s">
        <v>520</v>
      </c>
      <c r="M76" s="61" t="s">
        <v>521</v>
      </c>
      <c r="N76" s="61" t="s">
        <v>522</v>
      </c>
      <c r="O76" s="61" t="s">
        <v>523</v>
      </c>
      <c r="P76" s="61" t="s">
        <v>524</v>
      </c>
      <c r="Q76" s="61" t="s">
        <v>525</v>
      </c>
      <c r="R76" s="61" t="s">
        <v>526</v>
      </c>
      <c r="S76" s="61" t="s">
        <v>527</v>
      </c>
      <c r="T76" s="61" t="s">
        <v>528</v>
      </c>
      <c r="U76" s="61" t="s">
        <v>529</v>
      </c>
      <c r="V76" s="61" t="s">
        <v>530</v>
      </c>
      <c r="W76" s="61" t="s">
        <v>531</v>
      </c>
      <c r="X76" s="61" t="s">
        <v>532</v>
      </c>
      <c r="Y76" s="61" t="s">
        <v>533</v>
      </c>
      <c r="Z76" s="61" t="s">
        <v>534</v>
      </c>
      <c r="AA76" s="61" t="s">
        <v>535</v>
      </c>
      <c r="AB76" s="61" t="s">
        <v>536</v>
      </c>
      <c r="AC76" s="61" t="s">
        <v>537</v>
      </c>
      <c r="AD76" s="61" t="s">
        <v>538</v>
      </c>
      <c r="AE76" s="61" t="s">
        <v>539</v>
      </c>
      <c r="AF76" s="61" t="s">
        <v>540</v>
      </c>
      <c r="AG76" s="61" t="s">
        <v>541</v>
      </c>
      <c r="AH76" s="61" t="s">
        <v>542</v>
      </c>
      <c r="AI76" s="61" t="s">
        <v>543</v>
      </c>
      <c r="AJ76" s="849" t="s">
        <v>1784</v>
      </c>
    </row>
    <row r="77" spans="1:54" x14ac:dyDescent="0.35">
      <c r="A77" s="1196"/>
      <c r="B77" s="35">
        <v>8</v>
      </c>
      <c r="C77" s="848" t="s">
        <v>544</v>
      </c>
      <c r="D77" s="61" t="s">
        <v>545</v>
      </c>
      <c r="E77" s="61" t="s">
        <v>546</v>
      </c>
      <c r="F77" s="61" t="s">
        <v>547</v>
      </c>
      <c r="G77" s="61" t="s">
        <v>548</v>
      </c>
      <c r="H77" s="61" t="s">
        <v>549</v>
      </c>
      <c r="I77" s="61" t="s">
        <v>550</v>
      </c>
      <c r="J77" s="61" t="s">
        <v>551</v>
      </c>
      <c r="K77" s="61" t="s">
        <v>552</v>
      </c>
      <c r="L77" s="61" t="s">
        <v>553</v>
      </c>
      <c r="M77" s="61" t="s">
        <v>554</v>
      </c>
      <c r="N77" s="61" t="s">
        <v>555</v>
      </c>
      <c r="O77" s="61" t="s">
        <v>556</v>
      </c>
      <c r="P77" s="61" t="s">
        <v>557</v>
      </c>
      <c r="Q77" s="61" t="s">
        <v>558</v>
      </c>
      <c r="R77" s="61" t="s">
        <v>559</v>
      </c>
      <c r="S77" s="61" t="s">
        <v>560</v>
      </c>
      <c r="T77" s="61" t="s">
        <v>561</v>
      </c>
      <c r="U77" s="61" t="s">
        <v>562</v>
      </c>
      <c r="V77" s="61" t="s">
        <v>563</v>
      </c>
      <c r="W77" s="61" t="s">
        <v>564</v>
      </c>
      <c r="X77" s="61" t="s">
        <v>565</v>
      </c>
      <c r="Y77" s="61" t="s">
        <v>566</v>
      </c>
      <c r="Z77" s="61" t="s">
        <v>567</v>
      </c>
      <c r="AA77" s="61" t="s">
        <v>568</v>
      </c>
      <c r="AB77" s="61" t="s">
        <v>569</v>
      </c>
      <c r="AC77" s="61" t="s">
        <v>570</v>
      </c>
      <c r="AD77" s="61" t="s">
        <v>571</v>
      </c>
      <c r="AE77" s="61" t="s">
        <v>572</v>
      </c>
      <c r="AF77" s="61" t="s">
        <v>573</v>
      </c>
      <c r="AG77" s="61" t="s">
        <v>574</v>
      </c>
      <c r="AH77" s="61" t="s">
        <v>575</v>
      </c>
      <c r="AI77" s="61" t="s">
        <v>576</v>
      </c>
      <c r="AJ77" s="849" t="s">
        <v>1785</v>
      </c>
    </row>
    <row r="78" spans="1:54" x14ac:dyDescent="0.35">
      <c r="A78" s="1196"/>
      <c r="B78" s="35">
        <v>9</v>
      </c>
      <c r="C78" s="848" t="s">
        <v>577</v>
      </c>
      <c r="D78" s="61" t="s">
        <v>578</v>
      </c>
      <c r="E78" s="61" t="s">
        <v>579</v>
      </c>
      <c r="F78" s="61" t="s">
        <v>580</v>
      </c>
      <c r="G78" s="61" t="s">
        <v>581</v>
      </c>
      <c r="H78" s="61" t="s">
        <v>582</v>
      </c>
      <c r="I78" s="61" t="s">
        <v>583</v>
      </c>
      <c r="J78" s="61" t="s">
        <v>584</v>
      </c>
      <c r="K78" s="61" t="s">
        <v>585</v>
      </c>
      <c r="L78" s="61" t="s">
        <v>586</v>
      </c>
      <c r="M78" s="61" t="s">
        <v>587</v>
      </c>
      <c r="N78" s="61" t="s">
        <v>588</v>
      </c>
      <c r="O78" s="61" t="s">
        <v>589</v>
      </c>
      <c r="P78" s="61" t="s">
        <v>590</v>
      </c>
      <c r="Q78" s="61" t="s">
        <v>591</v>
      </c>
      <c r="R78" s="61" t="s">
        <v>592</v>
      </c>
      <c r="S78" s="61" t="s">
        <v>593</v>
      </c>
      <c r="T78" s="61" t="s">
        <v>594</v>
      </c>
      <c r="U78" s="61" t="s">
        <v>595</v>
      </c>
      <c r="V78" s="61" t="s">
        <v>596</v>
      </c>
      <c r="W78" s="61" t="s">
        <v>597</v>
      </c>
      <c r="X78" s="61" t="s">
        <v>598</v>
      </c>
      <c r="Y78" s="61" t="s">
        <v>599</v>
      </c>
      <c r="Z78" s="61" t="s">
        <v>600</v>
      </c>
      <c r="AA78" s="61" t="s">
        <v>601</v>
      </c>
      <c r="AB78" s="61" t="s">
        <v>602</v>
      </c>
      <c r="AC78" s="61" t="s">
        <v>603</v>
      </c>
      <c r="AD78" s="61" t="s">
        <v>604</v>
      </c>
      <c r="AE78" s="61" t="s">
        <v>605</v>
      </c>
      <c r="AF78" s="61" t="s">
        <v>606</v>
      </c>
      <c r="AG78" s="61" t="s">
        <v>607</v>
      </c>
      <c r="AH78" s="61" t="s">
        <v>608</v>
      </c>
      <c r="AI78" s="61" t="s">
        <v>609</v>
      </c>
      <c r="AJ78" s="849" t="s">
        <v>1786</v>
      </c>
    </row>
    <row r="79" spans="1:54" x14ac:dyDescent="0.35">
      <c r="A79" s="1196"/>
      <c r="B79" s="35">
        <v>10</v>
      </c>
      <c r="C79" s="848" t="s">
        <v>610</v>
      </c>
      <c r="D79" s="61" t="s">
        <v>611</v>
      </c>
      <c r="E79" s="61" t="s">
        <v>612</v>
      </c>
      <c r="F79" s="61" t="s">
        <v>613</v>
      </c>
      <c r="G79" s="61" t="s">
        <v>614</v>
      </c>
      <c r="H79" s="61" t="s">
        <v>615</v>
      </c>
      <c r="I79" s="61" t="s">
        <v>616</v>
      </c>
      <c r="J79" s="61" t="s">
        <v>617</v>
      </c>
      <c r="K79" s="61" t="s">
        <v>618</v>
      </c>
      <c r="L79" s="61" t="s">
        <v>619</v>
      </c>
      <c r="M79" s="61" t="s">
        <v>620</v>
      </c>
      <c r="N79" s="61" t="s">
        <v>621</v>
      </c>
      <c r="O79" s="61" t="s">
        <v>622</v>
      </c>
      <c r="P79" s="61" t="s">
        <v>623</v>
      </c>
      <c r="Q79" s="61" t="s">
        <v>624</v>
      </c>
      <c r="R79" s="61" t="s">
        <v>625</v>
      </c>
      <c r="S79" s="61" t="s">
        <v>626</v>
      </c>
      <c r="T79" s="61" t="s">
        <v>627</v>
      </c>
      <c r="U79" s="61" t="s">
        <v>628</v>
      </c>
      <c r="V79" s="61" t="s">
        <v>629</v>
      </c>
      <c r="W79" s="61" t="s">
        <v>630</v>
      </c>
      <c r="X79" s="61" t="s">
        <v>631</v>
      </c>
      <c r="Y79" s="61" t="s">
        <v>632</v>
      </c>
      <c r="Z79" s="61" t="s">
        <v>633</v>
      </c>
      <c r="AA79" s="61" t="s">
        <v>634</v>
      </c>
      <c r="AB79" s="61" t="s">
        <v>635</v>
      </c>
      <c r="AC79" s="61" t="s">
        <v>636</v>
      </c>
      <c r="AD79" s="61" t="s">
        <v>637</v>
      </c>
      <c r="AE79" s="61" t="s">
        <v>638</v>
      </c>
      <c r="AF79" s="61" t="s">
        <v>639</v>
      </c>
      <c r="AG79" s="61" t="s">
        <v>640</v>
      </c>
      <c r="AH79" s="61" t="s">
        <v>641</v>
      </c>
      <c r="AI79" s="61" t="s">
        <v>642</v>
      </c>
      <c r="AJ79" s="849" t="s">
        <v>1787</v>
      </c>
    </row>
    <row r="80" spans="1:54" x14ac:dyDescent="0.35">
      <c r="A80" s="1196"/>
      <c r="B80" s="35">
        <v>11</v>
      </c>
      <c r="C80" s="848" t="s">
        <v>643</v>
      </c>
      <c r="D80" s="61" t="s">
        <v>644</v>
      </c>
      <c r="E80" s="61" t="s">
        <v>645</v>
      </c>
      <c r="F80" s="61" t="s">
        <v>646</v>
      </c>
      <c r="G80" s="61" t="s">
        <v>647</v>
      </c>
      <c r="H80" s="61" t="s">
        <v>648</v>
      </c>
      <c r="I80" s="61" t="s">
        <v>649</v>
      </c>
      <c r="J80" s="61" t="s">
        <v>650</v>
      </c>
      <c r="K80" s="61" t="s">
        <v>651</v>
      </c>
      <c r="L80" s="61" t="s">
        <v>652</v>
      </c>
      <c r="M80" s="61" t="s">
        <v>653</v>
      </c>
      <c r="N80" s="61" t="s">
        <v>654</v>
      </c>
      <c r="O80" s="61" t="s">
        <v>655</v>
      </c>
      <c r="P80" s="61" t="s">
        <v>656</v>
      </c>
      <c r="Q80" s="61" t="s">
        <v>657</v>
      </c>
      <c r="R80" s="61" t="s">
        <v>658</v>
      </c>
      <c r="S80" s="61" t="s">
        <v>659</v>
      </c>
      <c r="T80" s="61" t="s">
        <v>660</v>
      </c>
      <c r="U80" s="61" t="s">
        <v>661</v>
      </c>
      <c r="V80" s="61" t="s">
        <v>662</v>
      </c>
      <c r="W80" s="61" t="s">
        <v>663</v>
      </c>
      <c r="X80" s="61" t="s">
        <v>664</v>
      </c>
      <c r="Y80" s="61" t="s">
        <v>665</v>
      </c>
      <c r="Z80" s="61" t="s">
        <v>666</v>
      </c>
      <c r="AA80" s="61" t="s">
        <v>667</v>
      </c>
      <c r="AB80" s="61" t="s">
        <v>668</v>
      </c>
      <c r="AC80" s="61" t="s">
        <v>669</v>
      </c>
      <c r="AD80" s="61" t="s">
        <v>670</v>
      </c>
      <c r="AE80" s="61" t="s">
        <v>671</v>
      </c>
      <c r="AF80" s="61" t="s">
        <v>672</v>
      </c>
      <c r="AG80" s="61" t="s">
        <v>673</v>
      </c>
      <c r="AH80" s="61" t="s">
        <v>674</v>
      </c>
      <c r="AI80" s="61" t="s">
        <v>675</v>
      </c>
      <c r="AJ80" s="849" t="s">
        <v>1788</v>
      </c>
    </row>
    <row r="81" spans="1:37" ht="15" thickBot="1" x14ac:dyDescent="0.4">
      <c r="A81" s="1197"/>
      <c r="B81" s="355">
        <v>12</v>
      </c>
      <c r="C81" s="850" t="s">
        <v>676</v>
      </c>
      <c r="D81" s="851" t="s">
        <v>677</v>
      </c>
      <c r="E81" s="851" t="s">
        <v>678</v>
      </c>
      <c r="F81" s="851" t="s">
        <v>679</v>
      </c>
      <c r="G81" s="851" t="s">
        <v>680</v>
      </c>
      <c r="H81" s="851" t="s">
        <v>681</v>
      </c>
      <c r="I81" s="851" t="s">
        <v>682</v>
      </c>
      <c r="J81" s="851" t="s">
        <v>683</v>
      </c>
      <c r="K81" s="851" t="s">
        <v>684</v>
      </c>
      <c r="L81" s="851" t="s">
        <v>685</v>
      </c>
      <c r="M81" s="851" t="s">
        <v>686</v>
      </c>
      <c r="N81" s="851" t="s">
        <v>687</v>
      </c>
      <c r="O81" s="851" t="s">
        <v>688</v>
      </c>
      <c r="P81" s="851" t="s">
        <v>689</v>
      </c>
      <c r="Q81" s="851" t="s">
        <v>690</v>
      </c>
      <c r="R81" s="851" t="s">
        <v>691</v>
      </c>
      <c r="S81" s="851" t="s">
        <v>692</v>
      </c>
      <c r="T81" s="851" t="s">
        <v>693</v>
      </c>
      <c r="U81" s="851" t="s">
        <v>694</v>
      </c>
      <c r="V81" s="851" t="s">
        <v>695</v>
      </c>
      <c r="W81" s="851" t="s">
        <v>696</v>
      </c>
      <c r="X81" s="851" t="s">
        <v>697</v>
      </c>
      <c r="Y81" s="851" t="s">
        <v>698</v>
      </c>
      <c r="Z81" s="851" t="s">
        <v>699</v>
      </c>
      <c r="AA81" s="851" t="s">
        <v>700</v>
      </c>
      <c r="AB81" s="851" t="s">
        <v>701</v>
      </c>
      <c r="AC81" s="851" t="s">
        <v>702</v>
      </c>
      <c r="AD81" s="851" t="s">
        <v>703</v>
      </c>
      <c r="AE81" s="851" t="s">
        <v>704</v>
      </c>
      <c r="AF81" s="851" t="s">
        <v>705</v>
      </c>
      <c r="AG81" s="851" t="s">
        <v>706</v>
      </c>
      <c r="AH81" s="851" t="s">
        <v>707</v>
      </c>
      <c r="AI81" s="851" t="s">
        <v>708</v>
      </c>
      <c r="AJ81" s="852" t="s">
        <v>1789</v>
      </c>
    </row>
    <row r="83" spans="1:37" ht="15" thickBot="1" x14ac:dyDescent="0.4">
      <c r="C83" s="1201" t="s">
        <v>306</v>
      </c>
      <c r="D83" s="1201"/>
      <c r="E83" s="1201"/>
      <c r="F83" s="1201"/>
      <c r="G83" s="1201"/>
      <c r="H83" s="1201"/>
      <c r="I83" s="1201"/>
      <c r="J83" s="1201"/>
      <c r="K83" s="1201"/>
      <c r="L83" s="1201"/>
      <c r="M83" s="1201"/>
      <c r="N83" s="1201"/>
      <c r="O83" s="1201"/>
      <c r="P83" s="1201"/>
      <c r="Q83" s="1201"/>
      <c r="R83" s="1201"/>
      <c r="S83" s="1201"/>
      <c r="T83" s="1201"/>
      <c r="U83" s="1201"/>
      <c r="V83" s="1201"/>
      <c r="W83" s="1201"/>
      <c r="X83" s="1201"/>
      <c r="Y83" s="1201"/>
      <c r="Z83" s="1201"/>
      <c r="AA83" s="1201"/>
      <c r="AB83" s="1201"/>
      <c r="AC83" s="1201"/>
      <c r="AD83" s="1201"/>
      <c r="AE83" s="1201"/>
      <c r="AF83" s="1201"/>
      <c r="AG83" s="1201"/>
      <c r="AH83" s="1201"/>
      <c r="AI83" s="1201"/>
    </row>
    <row r="84" spans="1:37" x14ac:dyDescent="0.35">
      <c r="A84" s="1202"/>
      <c r="B84" s="1203"/>
      <c r="C84" s="1207" t="s">
        <v>17</v>
      </c>
      <c r="D84" s="1207"/>
      <c r="E84" s="1207"/>
      <c r="F84" s="1207"/>
      <c r="G84" s="1207"/>
      <c r="H84" s="1207"/>
      <c r="I84" s="1207"/>
      <c r="J84" s="1207"/>
      <c r="K84" s="1207"/>
      <c r="L84" s="1207"/>
      <c r="M84" s="1207"/>
      <c r="N84" s="1207"/>
      <c r="O84" s="1207"/>
      <c r="P84" s="1207"/>
      <c r="Q84" s="1207"/>
      <c r="R84" s="1207"/>
      <c r="S84" s="1207"/>
      <c r="T84" s="1207"/>
      <c r="U84" s="1207"/>
      <c r="V84" s="1208"/>
      <c r="W84" s="6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8"/>
    </row>
    <row r="85" spans="1:37" ht="15" thickBot="1" x14ac:dyDescent="0.4">
      <c r="A85" s="1204"/>
      <c r="B85" s="1205"/>
      <c r="C85" s="361">
        <v>1</v>
      </c>
      <c r="D85" s="35">
        <v>2</v>
      </c>
      <c r="E85" s="35">
        <v>3</v>
      </c>
      <c r="F85" s="35">
        <v>4</v>
      </c>
      <c r="G85" s="35">
        <v>5</v>
      </c>
      <c r="H85" s="35">
        <v>6</v>
      </c>
      <c r="I85" s="35">
        <v>7</v>
      </c>
      <c r="J85" s="35">
        <v>8</v>
      </c>
      <c r="K85" s="35">
        <v>9</v>
      </c>
      <c r="L85" s="35">
        <v>10</v>
      </c>
      <c r="M85" s="35">
        <v>11</v>
      </c>
      <c r="N85" s="35">
        <v>12</v>
      </c>
      <c r="O85" s="35">
        <v>13</v>
      </c>
      <c r="P85" s="35">
        <v>14</v>
      </c>
      <c r="Q85" s="35">
        <v>15</v>
      </c>
      <c r="R85" s="35">
        <v>16</v>
      </c>
      <c r="S85" s="35">
        <v>17</v>
      </c>
      <c r="T85" s="35">
        <v>18</v>
      </c>
      <c r="U85" s="35">
        <v>19</v>
      </c>
      <c r="V85" s="35">
        <v>20</v>
      </c>
      <c r="W85" s="35">
        <v>21</v>
      </c>
      <c r="X85" s="35">
        <v>22</v>
      </c>
      <c r="Y85" s="35">
        <v>23</v>
      </c>
      <c r="Z85" s="35">
        <v>24</v>
      </c>
      <c r="AA85" s="35">
        <v>25</v>
      </c>
      <c r="AB85" s="35">
        <v>26</v>
      </c>
      <c r="AC85" s="35">
        <v>27</v>
      </c>
      <c r="AD85" s="35">
        <v>28</v>
      </c>
      <c r="AE85" s="35">
        <v>29</v>
      </c>
      <c r="AF85" s="35">
        <v>30</v>
      </c>
      <c r="AG85" s="35">
        <v>31</v>
      </c>
      <c r="AH85" s="35">
        <v>32</v>
      </c>
      <c r="AI85" s="35">
        <v>33</v>
      </c>
      <c r="AJ85" s="35">
        <v>34</v>
      </c>
    </row>
    <row r="86" spans="1:37" ht="15" thickBot="1" x14ac:dyDescent="0.4">
      <c r="A86" s="1196" t="s">
        <v>18</v>
      </c>
      <c r="B86" s="6">
        <v>1</v>
      </c>
      <c r="C86" s="184" t="str">
        <f t="shared" ref="C86:AJ86" si="0">IF(COUNTBLANK($C$47:$AG$58)&lt;372,IF(COUNTIF(C47,"*P*"),C70,""),IF(COUNTBLANK($C$26:$AG$37)&lt;372,IF(COUNTIF(C26,"*P*"),C70,""),IF(COUNTIF(C5,"*P*"),C70,"")))</f>
        <v/>
      </c>
      <c r="D86" s="185" t="str">
        <f t="shared" si="0"/>
        <v/>
      </c>
      <c r="E86" s="185" t="str">
        <f t="shared" si="0"/>
        <v/>
      </c>
      <c r="F86" s="185" t="str">
        <f t="shared" si="0"/>
        <v/>
      </c>
      <c r="G86" s="185" t="str">
        <f t="shared" si="0"/>
        <v/>
      </c>
      <c r="H86" s="185" t="str">
        <f t="shared" si="0"/>
        <v/>
      </c>
      <c r="I86" s="185" t="str">
        <f t="shared" si="0"/>
        <v/>
      </c>
      <c r="J86" s="185" t="str">
        <f t="shared" si="0"/>
        <v/>
      </c>
      <c r="K86" s="185" t="str">
        <f t="shared" si="0"/>
        <v/>
      </c>
      <c r="L86" s="185" t="str">
        <f t="shared" si="0"/>
        <v/>
      </c>
      <c r="M86" s="185" t="str">
        <f t="shared" si="0"/>
        <v/>
      </c>
      <c r="N86" s="185" t="str">
        <f t="shared" si="0"/>
        <v/>
      </c>
      <c r="O86" s="185" t="str">
        <f t="shared" si="0"/>
        <v/>
      </c>
      <c r="P86" s="185" t="str">
        <f t="shared" si="0"/>
        <v/>
      </c>
      <c r="Q86" s="185" t="str">
        <f t="shared" si="0"/>
        <v/>
      </c>
      <c r="R86" s="185" t="str">
        <f t="shared" si="0"/>
        <v/>
      </c>
      <c r="S86" s="185" t="str">
        <f t="shared" si="0"/>
        <v/>
      </c>
      <c r="T86" s="185" t="str">
        <f t="shared" si="0"/>
        <v/>
      </c>
      <c r="U86" s="185" t="str">
        <f t="shared" si="0"/>
        <v/>
      </c>
      <c r="V86" s="185" t="str">
        <f t="shared" si="0"/>
        <v/>
      </c>
      <c r="W86" s="185" t="str">
        <f t="shared" si="0"/>
        <v/>
      </c>
      <c r="X86" s="185" t="str">
        <f t="shared" si="0"/>
        <v/>
      </c>
      <c r="Y86" s="185" t="str">
        <f t="shared" si="0"/>
        <v/>
      </c>
      <c r="Z86" s="185" t="str">
        <f t="shared" si="0"/>
        <v/>
      </c>
      <c r="AA86" s="185" t="str">
        <f t="shared" si="0"/>
        <v/>
      </c>
      <c r="AB86" s="185" t="str">
        <f t="shared" si="0"/>
        <v/>
      </c>
      <c r="AC86" s="185" t="str">
        <f t="shared" si="0"/>
        <v/>
      </c>
      <c r="AD86" s="185" t="str">
        <f t="shared" si="0"/>
        <v/>
      </c>
      <c r="AE86" s="185" t="str">
        <f t="shared" si="0"/>
        <v/>
      </c>
      <c r="AF86" s="185" t="str">
        <f t="shared" si="0"/>
        <v/>
      </c>
      <c r="AG86" s="185" t="str">
        <f t="shared" si="0"/>
        <v/>
      </c>
      <c r="AH86" s="185" t="str">
        <f t="shared" si="0"/>
        <v/>
      </c>
      <c r="AI86" s="185" t="str">
        <f t="shared" si="0"/>
        <v/>
      </c>
      <c r="AJ86" s="853" t="str">
        <f t="shared" si="0"/>
        <v/>
      </c>
      <c r="AK86" s="68" t="str">
        <f>CONCATENATE(C86,D86,E86,F86,G86,H86,I86,J86,K86,L86,M86,N86,O86,P86,Q86,R86,S86,T86,U86,V86,W86,X86,Y86,Z86,AA86,AB86,AC86,AD86,AE86,AF86,AG86,AH86,AI86,AJ86)</f>
        <v/>
      </c>
    </row>
    <row r="87" spans="1:37" ht="15" thickBot="1" x14ac:dyDescent="0.4">
      <c r="A87" s="1196"/>
      <c r="B87" s="35">
        <v>2</v>
      </c>
      <c r="C87" s="115" t="str">
        <f t="shared" ref="C87:AJ87" si="1">IF(COUNTBLANK($C$47:$AG$58)&lt;372,IF(COUNTIF(C48,"*P*"),C71,""),IF(COUNTBLANK($C$26:$AG$37)&lt;372,IF(COUNTIF(C27,"*P*"),C71,""),IF(COUNTIF(C6,"*P*"),C71,"")))</f>
        <v/>
      </c>
      <c r="D87" s="40" t="str">
        <f t="shared" si="1"/>
        <v/>
      </c>
      <c r="E87" s="40" t="str">
        <f t="shared" si="1"/>
        <v/>
      </c>
      <c r="F87" s="40" t="str">
        <f t="shared" si="1"/>
        <v/>
      </c>
      <c r="G87" s="40" t="str">
        <f t="shared" si="1"/>
        <v/>
      </c>
      <c r="H87" s="40" t="str">
        <f t="shared" si="1"/>
        <v/>
      </c>
      <c r="I87" s="40" t="str">
        <f t="shared" si="1"/>
        <v/>
      </c>
      <c r="J87" s="40" t="str">
        <f t="shared" si="1"/>
        <v/>
      </c>
      <c r="K87" s="40" t="str">
        <f t="shared" si="1"/>
        <v/>
      </c>
      <c r="L87" s="40" t="str">
        <f t="shared" si="1"/>
        <v/>
      </c>
      <c r="M87" s="40" t="str">
        <f t="shared" si="1"/>
        <v/>
      </c>
      <c r="N87" s="40" t="str">
        <f t="shared" si="1"/>
        <v/>
      </c>
      <c r="O87" s="40" t="str">
        <f t="shared" si="1"/>
        <v/>
      </c>
      <c r="P87" s="40" t="str">
        <f t="shared" si="1"/>
        <v/>
      </c>
      <c r="Q87" s="40" t="str">
        <f t="shared" si="1"/>
        <v/>
      </c>
      <c r="R87" s="40" t="str">
        <f t="shared" si="1"/>
        <v/>
      </c>
      <c r="S87" s="40" t="str">
        <f t="shared" si="1"/>
        <v/>
      </c>
      <c r="T87" s="40" t="str">
        <f t="shared" si="1"/>
        <v/>
      </c>
      <c r="U87" s="40" t="str">
        <f t="shared" si="1"/>
        <v/>
      </c>
      <c r="V87" s="40" t="str">
        <f t="shared" si="1"/>
        <v/>
      </c>
      <c r="W87" s="40" t="str">
        <f t="shared" si="1"/>
        <v/>
      </c>
      <c r="X87" s="40" t="str">
        <f t="shared" si="1"/>
        <v/>
      </c>
      <c r="Y87" s="40" t="str">
        <f t="shared" si="1"/>
        <v/>
      </c>
      <c r="Z87" s="40" t="str">
        <f t="shared" si="1"/>
        <v/>
      </c>
      <c r="AA87" s="40" t="str">
        <f t="shared" si="1"/>
        <v/>
      </c>
      <c r="AB87" s="40" t="str">
        <f t="shared" si="1"/>
        <v/>
      </c>
      <c r="AC87" s="40" t="str">
        <f t="shared" si="1"/>
        <v/>
      </c>
      <c r="AD87" s="40" t="str">
        <f t="shared" si="1"/>
        <v/>
      </c>
      <c r="AE87" s="40" t="str">
        <f t="shared" si="1"/>
        <v/>
      </c>
      <c r="AF87" s="40" t="str">
        <f t="shared" si="1"/>
        <v/>
      </c>
      <c r="AG87" s="40" t="str">
        <f t="shared" si="1"/>
        <v/>
      </c>
      <c r="AH87" s="40" t="str">
        <f t="shared" si="1"/>
        <v/>
      </c>
      <c r="AI87" s="40" t="str">
        <f t="shared" si="1"/>
        <v/>
      </c>
      <c r="AJ87" s="854" t="str">
        <f t="shared" si="1"/>
        <v/>
      </c>
      <c r="AK87" s="68" t="str">
        <f t="shared" ref="AK87:AK97" si="2">CONCATENATE(C87,D87,E87,F87,G87,H87,I87,J87,K87,L87,M87,N87,O87,P87,Q87,R87,S87,T87,U87,V87,W87,X87,Y87,Z87,AA87,AB87,AC87,AD87,AE87,AF87,AG87,AH87,AI87,AJ87)</f>
        <v/>
      </c>
    </row>
    <row r="88" spans="1:37" ht="15" thickBot="1" x14ac:dyDescent="0.4">
      <c r="A88" s="1196"/>
      <c r="B88" s="35">
        <v>3</v>
      </c>
      <c r="C88" s="115" t="str">
        <f t="shared" ref="C88:AJ88" si="3">IF(COUNTBLANK($C$47:$AG$58)&lt;372,IF(COUNTIF(C49,"*P*"),C72,""),IF(COUNTBLANK($C$26:$AG$37)&lt;372,IF(COUNTIF(C28,"*P*"),C72,""),IF(COUNTIF(C7,"*P*"),C72,"")))</f>
        <v/>
      </c>
      <c r="D88" s="40" t="str">
        <f t="shared" si="3"/>
        <v/>
      </c>
      <c r="E88" s="40" t="str">
        <f t="shared" si="3"/>
        <v/>
      </c>
      <c r="F88" s="40" t="str">
        <f t="shared" si="3"/>
        <v/>
      </c>
      <c r="G88" s="40" t="str">
        <f t="shared" si="3"/>
        <v/>
      </c>
      <c r="H88" s="40" t="str">
        <f t="shared" si="3"/>
        <v/>
      </c>
      <c r="I88" s="40" t="str">
        <f t="shared" si="3"/>
        <v/>
      </c>
      <c r="J88" s="40" t="str">
        <f t="shared" si="3"/>
        <v/>
      </c>
      <c r="K88" s="40" t="str">
        <f t="shared" si="3"/>
        <v/>
      </c>
      <c r="L88" s="40" t="str">
        <f t="shared" si="3"/>
        <v/>
      </c>
      <c r="M88" s="40" t="str">
        <f t="shared" si="3"/>
        <v/>
      </c>
      <c r="N88" s="40" t="str">
        <f t="shared" si="3"/>
        <v/>
      </c>
      <c r="O88" s="40" t="str">
        <f t="shared" si="3"/>
        <v/>
      </c>
      <c r="P88" s="40" t="str">
        <f t="shared" si="3"/>
        <v/>
      </c>
      <c r="Q88" s="40" t="str">
        <f t="shared" si="3"/>
        <v/>
      </c>
      <c r="R88" s="40" t="str">
        <f t="shared" si="3"/>
        <v/>
      </c>
      <c r="S88" s="40" t="str">
        <f t="shared" si="3"/>
        <v/>
      </c>
      <c r="T88" s="40" t="str">
        <f t="shared" si="3"/>
        <v/>
      </c>
      <c r="U88" s="40" t="str">
        <f t="shared" si="3"/>
        <v/>
      </c>
      <c r="V88" s="40" t="str">
        <f t="shared" si="3"/>
        <v/>
      </c>
      <c r="W88" s="40" t="str">
        <f t="shared" si="3"/>
        <v/>
      </c>
      <c r="X88" s="40" t="str">
        <f t="shared" si="3"/>
        <v/>
      </c>
      <c r="Y88" s="40" t="str">
        <f t="shared" si="3"/>
        <v/>
      </c>
      <c r="Z88" s="40" t="str">
        <f t="shared" si="3"/>
        <v/>
      </c>
      <c r="AA88" s="40" t="str">
        <f t="shared" si="3"/>
        <v/>
      </c>
      <c r="AB88" s="40" t="str">
        <f t="shared" si="3"/>
        <v/>
      </c>
      <c r="AC88" s="40" t="str">
        <f t="shared" si="3"/>
        <v/>
      </c>
      <c r="AD88" s="40" t="str">
        <f t="shared" si="3"/>
        <v/>
      </c>
      <c r="AE88" s="40" t="str">
        <f t="shared" si="3"/>
        <v/>
      </c>
      <c r="AF88" s="40" t="str">
        <f t="shared" si="3"/>
        <v/>
      </c>
      <c r="AG88" s="40" t="str">
        <f t="shared" si="3"/>
        <v/>
      </c>
      <c r="AH88" s="40" t="str">
        <f t="shared" si="3"/>
        <v/>
      </c>
      <c r="AI88" s="40" t="str">
        <f t="shared" si="3"/>
        <v/>
      </c>
      <c r="AJ88" s="854" t="str">
        <f t="shared" si="3"/>
        <v/>
      </c>
      <c r="AK88" s="68" t="str">
        <f t="shared" si="2"/>
        <v/>
      </c>
    </row>
    <row r="89" spans="1:37" ht="15" thickBot="1" x14ac:dyDescent="0.4">
      <c r="A89" s="1196"/>
      <c r="B89" s="35">
        <v>4</v>
      </c>
      <c r="C89" s="115" t="str">
        <f t="shared" ref="C89:AJ89" si="4">IF(COUNTBLANK($C$47:$AG$58)&lt;372,IF(COUNTIF(C50,"*P*"),C73,""),IF(COUNTBLANK($C$26:$AG$37)&lt;372,IF(COUNTIF(C29,"*P*"),C73,""),IF(COUNTIF(C8,"*P*"),C73,"")))</f>
        <v/>
      </c>
      <c r="D89" s="40" t="str">
        <f t="shared" si="4"/>
        <v/>
      </c>
      <c r="E89" s="40" t="str">
        <f t="shared" si="4"/>
        <v/>
      </c>
      <c r="F89" s="40" t="str">
        <f t="shared" si="4"/>
        <v/>
      </c>
      <c r="G89" s="40" t="str">
        <f t="shared" si="4"/>
        <v/>
      </c>
      <c r="H89" s="40" t="str">
        <f t="shared" si="4"/>
        <v/>
      </c>
      <c r="I89" s="40" t="str">
        <f t="shared" si="4"/>
        <v/>
      </c>
      <c r="J89" s="40" t="str">
        <f t="shared" si="4"/>
        <v/>
      </c>
      <c r="K89" s="40" t="str">
        <f t="shared" si="4"/>
        <v/>
      </c>
      <c r="L89" s="40" t="str">
        <f t="shared" si="4"/>
        <v/>
      </c>
      <c r="M89" s="40" t="str">
        <f t="shared" si="4"/>
        <v/>
      </c>
      <c r="N89" s="40" t="str">
        <f t="shared" si="4"/>
        <v/>
      </c>
      <c r="O89" s="40" t="str">
        <f t="shared" si="4"/>
        <v/>
      </c>
      <c r="P89" s="40" t="str">
        <f t="shared" si="4"/>
        <v/>
      </c>
      <c r="Q89" s="40" t="str">
        <f t="shared" si="4"/>
        <v/>
      </c>
      <c r="R89" s="40" t="str">
        <f t="shared" si="4"/>
        <v/>
      </c>
      <c r="S89" s="40" t="str">
        <f t="shared" si="4"/>
        <v/>
      </c>
      <c r="T89" s="40" t="str">
        <f t="shared" si="4"/>
        <v/>
      </c>
      <c r="U89" s="40" t="str">
        <f t="shared" si="4"/>
        <v/>
      </c>
      <c r="V89" s="40" t="str">
        <f t="shared" si="4"/>
        <v/>
      </c>
      <c r="W89" s="40" t="str">
        <f t="shared" si="4"/>
        <v/>
      </c>
      <c r="X89" s="40" t="str">
        <f t="shared" si="4"/>
        <v/>
      </c>
      <c r="Y89" s="40" t="str">
        <f t="shared" si="4"/>
        <v/>
      </c>
      <c r="Z89" s="40" t="str">
        <f t="shared" si="4"/>
        <v/>
      </c>
      <c r="AA89" s="40" t="str">
        <f t="shared" si="4"/>
        <v/>
      </c>
      <c r="AB89" s="40" t="str">
        <f t="shared" si="4"/>
        <v/>
      </c>
      <c r="AC89" s="40" t="str">
        <f t="shared" si="4"/>
        <v/>
      </c>
      <c r="AD89" s="40" t="str">
        <f t="shared" si="4"/>
        <v/>
      </c>
      <c r="AE89" s="40" t="str">
        <f t="shared" si="4"/>
        <v/>
      </c>
      <c r="AF89" s="40" t="str">
        <f t="shared" si="4"/>
        <v/>
      </c>
      <c r="AG89" s="40" t="str">
        <f t="shared" si="4"/>
        <v/>
      </c>
      <c r="AH89" s="40" t="str">
        <f t="shared" si="4"/>
        <v/>
      </c>
      <c r="AI89" s="40" t="str">
        <f t="shared" si="4"/>
        <v/>
      </c>
      <c r="AJ89" s="854" t="str">
        <f t="shared" si="4"/>
        <v/>
      </c>
      <c r="AK89" s="68" t="str">
        <f t="shared" si="2"/>
        <v/>
      </c>
    </row>
    <row r="90" spans="1:37" ht="15" thickBot="1" x14ac:dyDescent="0.4">
      <c r="A90" s="1196"/>
      <c r="B90" s="35">
        <v>5</v>
      </c>
      <c r="C90" s="115" t="str">
        <f t="shared" ref="C90:AJ90" si="5">IF(COUNTBLANK($C$47:$AG$58)&lt;372,IF(COUNTIF(C51,"*P*"),C74,""),IF(COUNTBLANK($C$26:$AG$37)&lt;372,IF(COUNTIF(C30,"*P*"),C74,""),IF(COUNTIF(C9,"*P*"),C74,"")))</f>
        <v/>
      </c>
      <c r="D90" s="40" t="str">
        <f t="shared" si="5"/>
        <v/>
      </c>
      <c r="E90" s="40" t="str">
        <f t="shared" si="5"/>
        <v/>
      </c>
      <c r="F90" s="40" t="str">
        <f t="shared" si="5"/>
        <v/>
      </c>
      <c r="G90" s="40" t="str">
        <f t="shared" si="5"/>
        <v/>
      </c>
      <c r="H90" s="40" t="str">
        <f t="shared" si="5"/>
        <v/>
      </c>
      <c r="I90" s="40" t="str">
        <f t="shared" si="5"/>
        <v/>
      </c>
      <c r="J90" s="40" t="str">
        <f t="shared" si="5"/>
        <v/>
      </c>
      <c r="K90" s="40" t="str">
        <f t="shared" si="5"/>
        <v/>
      </c>
      <c r="L90" s="40" t="str">
        <f t="shared" si="5"/>
        <v/>
      </c>
      <c r="M90" s="40" t="str">
        <f t="shared" si="5"/>
        <v/>
      </c>
      <c r="N90" s="40" t="str">
        <f t="shared" si="5"/>
        <v/>
      </c>
      <c r="O90" s="40" t="str">
        <f t="shared" si="5"/>
        <v/>
      </c>
      <c r="P90" s="40" t="str">
        <f t="shared" si="5"/>
        <v/>
      </c>
      <c r="Q90" s="40" t="str">
        <f t="shared" si="5"/>
        <v/>
      </c>
      <c r="R90" s="40" t="str">
        <f t="shared" si="5"/>
        <v/>
      </c>
      <c r="S90" s="40" t="str">
        <f t="shared" si="5"/>
        <v/>
      </c>
      <c r="T90" s="40" t="str">
        <f t="shared" si="5"/>
        <v/>
      </c>
      <c r="U90" s="40" t="str">
        <f t="shared" si="5"/>
        <v/>
      </c>
      <c r="V90" s="40" t="str">
        <f t="shared" si="5"/>
        <v/>
      </c>
      <c r="W90" s="40" t="str">
        <f t="shared" si="5"/>
        <v/>
      </c>
      <c r="X90" s="40" t="str">
        <f t="shared" si="5"/>
        <v/>
      </c>
      <c r="Y90" s="40" t="str">
        <f t="shared" si="5"/>
        <v/>
      </c>
      <c r="Z90" s="40" t="str">
        <f t="shared" si="5"/>
        <v/>
      </c>
      <c r="AA90" s="40" t="str">
        <f t="shared" si="5"/>
        <v/>
      </c>
      <c r="AB90" s="40" t="str">
        <f t="shared" si="5"/>
        <v/>
      </c>
      <c r="AC90" s="40" t="str">
        <f t="shared" si="5"/>
        <v/>
      </c>
      <c r="AD90" s="40" t="str">
        <f t="shared" si="5"/>
        <v/>
      </c>
      <c r="AE90" s="40" t="str">
        <f t="shared" si="5"/>
        <v/>
      </c>
      <c r="AF90" s="40" t="str">
        <f t="shared" si="5"/>
        <v/>
      </c>
      <c r="AG90" s="40" t="str">
        <f t="shared" si="5"/>
        <v/>
      </c>
      <c r="AH90" s="40" t="str">
        <f t="shared" si="5"/>
        <v/>
      </c>
      <c r="AI90" s="40" t="str">
        <f t="shared" si="5"/>
        <v/>
      </c>
      <c r="AJ90" s="854" t="str">
        <f t="shared" si="5"/>
        <v/>
      </c>
      <c r="AK90" s="68" t="str">
        <f t="shared" si="2"/>
        <v/>
      </c>
    </row>
    <row r="91" spans="1:37" ht="15" thickBot="1" x14ac:dyDescent="0.4">
      <c r="A91" s="1196"/>
      <c r="B91" s="35">
        <v>6</v>
      </c>
      <c r="C91" s="115" t="str">
        <f t="shared" ref="C91:AJ91" si="6">IF(COUNTBLANK($C$47:$AG$58)&lt;372,IF(COUNTIF(C52,"*P*"),C75,""),IF(COUNTBLANK($C$26:$AG$37)&lt;372,IF(COUNTIF(C31,"*P*"),C75,""),IF(COUNTIF(C10,"*P*"),C75,"")))</f>
        <v/>
      </c>
      <c r="D91" s="40" t="str">
        <f t="shared" si="6"/>
        <v/>
      </c>
      <c r="E91" s="40" t="str">
        <f t="shared" si="6"/>
        <v/>
      </c>
      <c r="F91" s="40" t="str">
        <f t="shared" si="6"/>
        <v/>
      </c>
      <c r="G91" s="40" t="str">
        <f t="shared" si="6"/>
        <v/>
      </c>
      <c r="H91" s="40" t="str">
        <f t="shared" si="6"/>
        <v/>
      </c>
      <c r="I91" s="40" t="str">
        <f t="shared" si="6"/>
        <v/>
      </c>
      <c r="J91" s="40" t="str">
        <f t="shared" si="6"/>
        <v/>
      </c>
      <c r="K91" s="40" t="str">
        <f t="shared" si="6"/>
        <v/>
      </c>
      <c r="L91" s="40" t="str">
        <f t="shared" si="6"/>
        <v/>
      </c>
      <c r="M91" s="40" t="str">
        <f t="shared" si="6"/>
        <v/>
      </c>
      <c r="N91" s="40" t="str">
        <f t="shared" si="6"/>
        <v/>
      </c>
      <c r="O91" s="40" t="str">
        <f t="shared" si="6"/>
        <v/>
      </c>
      <c r="P91" s="40" t="str">
        <f t="shared" si="6"/>
        <v/>
      </c>
      <c r="Q91" s="40" t="str">
        <f t="shared" si="6"/>
        <v/>
      </c>
      <c r="R91" s="40" t="str">
        <f t="shared" si="6"/>
        <v/>
      </c>
      <c r="S91" s="40" t="str">
        <f t="shared" si="6"/>
        <v/>
      </c>
      <c r="T91" s="40" t="str">
        <f t="shared" si="6"/>
        <v/>
      </c>
      <c r="U91" s="40" t="str">
        <f t="shared" si="6"/>
        <v/>
      </c>
      <c r="V91" s="40" t="str">
        <f t="shared" si="6"/>
        <v/>
      </c>
      <c r="W91" s="40" t="str">
        <f t="shared" si="6"/>
        <v/>
      </c>
      <c r="X91" s="40" t="str">
        <f t="shared" si="6"/>
        <v/>
      </c>
      <c r="Y91" s="40" t="str">
        <f t="shared" si="6"/>
        <v/>
      </c>
      <c r="Z91" s="40" t="str">
        <f t="shared" si="6"/>
        <v/>
      </c>
      <c r="AA91" s="40" t="str">
        <f t="shared" si="6"/>
        <v/>
      </c>
      <c r="AB91" s="40" t="str">
        <f t="shared" si="6"/>
        <v/>
      </c>
      <c r="AC91" s="40" t="str">
        <f t="shared" si="6"/>
        <v/>
      </c>
      <c r="AD91" s="40" t="str">
        <f t="shared" si="6"/>
        <v/>
      </c>
      <c r="AE91" s="40" t="str">
        <f t="shared" si="6"/>
        <v/>
      </c>
      <c r="AF91" s="40" t="str">
        <f t="shared" si="6"/>
        <v/>
      </c>
      <c r="AG91" s="40" t="str">
        <f t="shared" si="6"/>
        <v/>
      </c>
      <c r="AH91" s="40" t="str">
        <f t="shared" si="6"/>
        <v/>
      </c>
      <c r="AI91" s="40" t="str">
        <f t="shared" si="6"/>
        <v/>
      </c>
      <c r="AJ91" s="854" t="str">
        <f t="shared" si="6"/>
        <v/>
      </c>
      <c r="AK91" s="68" t="str">
        <f t="shared" si="2"/>
        <v/>
      </c>
    </row>
    <row r="92" spans="1:37" ht="15" thickBot="1" x14ac:dyDescent="0.4">
      <c r="A92" s="1196"/>
      <c r="B92" s="35">
        <v>7</v>
      </c>
      <c r="C92" s="115" t="str">
        <f t="shared" ref="C92:AJ92" si="7">IF(COUNTBLANK($C$47:$AG$58)&lt;372,IF(COUNTIF(C53,"*P*"),C76,""),IF(COUNTBLANK($C$26:$AG$37)&lt;372,IF(COUNTIF(C32,"*P*"),C76,""),IF(COUNTIF(C11,"*P*"),C76,"")))</f>
        <v/>
      </c>
      <c r="D92" s="40" t="str">
        <f t="shared" si="7"/>
        <v/>
      </c>
      <c r="E92" s="40" t="str">
        <f t="shared" si="7"/>
        <v/>
      </c>
      <c r="F92" s="40" t="str">
        <f t="shared" si="7"/>
        <v/>
      </c>
      <c r="G92" s="40" t="str">
        <f t="shared" si="7"/>
        <v/>
      </c>
      <c r="H92" s="40" t="str">
        <f t="shared" si="7"/>
        <v/>
      </c>
      <c r="I92" s="40" t="str">
        <f t="shared" si="7"/>
        <v/>
      </c>
      <c r="J92" s="40" t="str">
        <f t="shared" si="7"/>
        <v/>
      </c>
      <c r="K92" s="40" t="str">
        <f t="shared" si="7"/>
        <v/>
      </c>
      <c r="L92" s="40" t="str">
        <f t="shared" si="7"/>
        <v/>
      </c>
      <c r="M92" s="40" t="str">
        <f t="shared" si="7"/>
        <v/>
      </c>
      <c r="N92" s="40" t="str">
        <f t="shared" si="7"/>
        <v/>
      </c>
      <c r="O92" s="40" t="str">
        <f t="shared" si="7"/>
        <v/>
      </c>
      <c r="P92" s="40" t="str">
        <f t="shared" si="7"/>
        <v/>
      </c>
      <c r="Q92" s="40" t="str">
        <f t="shared" si="7"/>
        <v/>
      </c>
      <c r="R92" s="40" t="str">
        <f t="shared" si="7"/>
        <v/>
      </c>
      <c r="S92" s="40" t="str">
        <f t="shared" si="7"/>
        <v/>
      </c>
      <c r="T92" s="40" t="str">
        <f t="shared" si="7"/>
        <v/>
      </c>
      <c r="U92" s="40" t="str">
        <f t="shared" si="7"/>
        <v/>
      </c>
      <c r="V92" s="40" t="str">
        <f t="shared" si="7"/>
        <v/>
      </c>
      <c r="W92" s="40" t="str">
        <f t="shared" si="7"/>
        <v/>
      </c>
      <c r="X92" s="40" t="str">
        <f t="shared" si="7"/>
        <v/>
      </c>
      <c r="Y92" s="40" t="str">
        <f t="shared" si="7"/>
        <v/>
      </c>
      <c r="Z92" s="40" t="str">
        <f t="shared" si="7"/>
        <v/>
      </c>
      <c r="AA92" s="40" t="str">
        <f t="shared" si="7"/>
        <v/>
      </c>
      <c r="AB92" s="40" t="str">
        <f t="shared" si="7"/>
        <v/>
      </c>
      <c r="AC92" s="40" t="str">
        <f t="shared" si="7"/>
        <v/>
      </c>
      <c r="AD92" s="40" t="str">
        <f t="shared" si="7"/>
        <v/>
      </c>
      <c r="AE92" s="40" t="str">
        <f t="shared" si="7"/>
        <v/>
      </c>
      <c r="AF92" s="40" t="str">
        <f t="shared" si="7"/>
        <v/>
      </c>
      <c r="AG92" s="40" t="str">
        <f t="shared" si="7"/>
        <v/>
      </c>
      <c r="AH92" s="40" t="str">
        <f t="shared" si="7"/>
        <v/>
      </c>
      <c r="AI92" s="40" t="str">
        <f t="shared" si="7"/>
        <v/>
      </c>
      <c r="AJ92" s="854" t="str">
        <f t="shared" si="7"/>
        <v/>
      </c>
      <c r="AK92" s="68" t="str">
        <f t="shared" si="2"/>
        <v/>
      </c>
    </row>
    <row r="93" spans="1:37" ht="15" thickBot="1" x14ac:dyDescent="0.4">
      <c r="A93" s="1196"/>
      <c r="B93" s="35">
        <v>8</v>
      </c>
      <c r="C93" s="115" t="str">
        <f t="shared" ref="C93:AJ93" si="8">IF(COUNTBLANK($C$47:$AG$58)&lt;372,IF(COUNTIF(C54,"*P*"),C77,""),IF(COUNTBLANK($C$26:$AG$37)&lt;372,IF(COUNTIF(C33,"*P*"),C77,""),IF(COUNTIF(C12,"*P*"),C77,"")))</f>
        <v/>
      </c>
      <c r="D93" s="40" t="str">
        <f t="shared" si="8"/>
        <v/>
      </c>
      <c r="E93" s="40" t="str">
        <f t="shared" si="8"/>
        <v/>
      </c>
      <c r="F93" s="40" t="str">
        <f t="shared" si="8"/>
        <v/>
      </c>
      <c r="G93" s="40" t="str">
        <f t="shared" si="8"/>
        <v/>
      </c>
      <c r="H93" s="40" t="str">
        <f t="shared" si="8"/>
        <v/>
      </c>
      <c r="I93" s="40" t="str">
        <f t="shared" si="8"/>
        <v/>
      </c>
      <c r="J93" s="40" t="str">
        <f t="shared" si="8"/>
        <v/>
      </c>
      <c r="K93" s="40" t="str">
        <f t="shared" si="8"/>
        <v/>
      </c>
      <c r="L93" s="40" t="str">
        <f t="shared" si="8"/>
        <v/>
      </c>
      <c r="M93" s="40" t="str">
        <f t="shared" si="8"/>
        <v/>
      </c>
      <c r="N93" s="40" t="str">
        <f t="shared" si="8"/>
        <v/>
      </c>
      <c r="O93" s="40" t="str">
        <f t="shared" si="8"/>
        <v/>
      </c>
      <c r="P93" s="40" t="str">
        <f t="shared" si="8"/>
        <v/>
      </c>
      <c r="Q93" s="40" t="str">
        <f t="shared" si="8"/>
        <v/>
      </c>
      <c r="R93" s="40" t="str">
        <f t="shared" si="8"/>
        <v/>
      </c>
      <c r="S93" s="40" t="str">
        <f t="shared" si="8"/>
        <v/>
      </c>
      <c r="T93" s="40" t="str">
        <f t="shared" si="8"/>
        <v/>
      </c>
      <c r="U93" s="40" t="str">
        <f t="shared" si="8"/>
        <v/>
      </c>
      <c r="V93" s="40" t="str">
        <f t="shared" si="8"/>
        <v/>
      </c>
      <c r="W93" s="40" t="str">
        <f t="shared" si="8"/>
        <v/>
      </c>
      <c r="X93" s="40" t="str">
        <f t="shared" si="8"/>
        <v/>
      </c>
      <c r="Y93" s="40" t="str">
        <f t="shared" si="8"/>
        <v/>
      </c>
      <c r="Z93" s="40" t="str">
        <f t="shared" si="8"/>
        <v/>
      </c>
      <c r="AA93" s="40" t="str">
        <f t="shared" si="8"/>
        <v/>
      </c>
      <c r="AB93" s="40" t="str">
        <f t="shared" si="8"/>
        <v/>
      </c>
      <c r="AC93" s="40" t="str">
        <f t="shared" si="8"/>
        <v/>
      </c>
      <c r="AD93" s="40" t="str">
        <f t="shared" si="8"/>
        <v/>
      </c>
      <c r="AE93" s="40" t="str">
        <f t="shared" si="8"/>
        <v/>
      </c>
      <c r="AF93" s="40" t="str">
        <f t="shared" si="8"/>
        <v/>
      </c>
      <c r="AG93" s="40" t="str">
        <f t="shared" si="8"/>
        <v/>
      </c>
      <c r="AH93" s="40" t="str">
        <f t="shared" si="8"/>
        <v/>
      </c>
      <c r="AI93" s="40" t="str">
        <f t="shared" si="8"/>
        <v/>
      </c>
      <c r="AJ93" s="854" t="str">
        <f t="shared" si="8"/>
        <v/>
      </c>
      <c r="AK93" s="68" t="str">
        <f t="shared" si="2"/>
        <v/>
      </c>
    </row>
    <row r="94" spans="1:37" ht="15" thickBot="1" x14ac:dyDescent="0.4">
      <c r="A94" s="1196"/>
      <c r="B94" s="35">
        <v>9</v>
      </c>
      <c r="C94" s="115" t="str">
        <f t="shared" ref="C94:AJ94" si="9">IF(COUNTBLANK($C$47:$AG$58)&lt;372,IF(COUNTIF(C55,"*P*"),C78,""),IF(COUNTBLANK($C$26:$AG$37)&lt;372,IF(COUNTIF(C34,"*P*"),C78,""),IF(COUNTIF(C13,"*P*"),C78,"")))</f>
        <v/>
      </c>
      <c r="D94" s="40" t="str">
        <f t="shared" si="9"/>
        <v/>
      </c>
      <c r="E94" s="40" t="str">
        <f t="shared" si="9"/>
        <v/>
      </c>
      <c r="F94" s="40" t="str">
        <f t="shared" si="9"/>
        <v/>
      </c>
      <c r="G94" s="40" t="str">
        <f t="shared" si="9"/>
        <v/>
      </c>
      <c r="H94" s="40" t="str">
        <f t="shared" si="9"/>
        <v/>
      </c>
      <c r="I94" s="40" t="str">
        <f t="shared" si="9"/>
        <v/>
      </c>
      <c r="J94" s="40" t="str">
        <f t="shared" si="9"/>
        <v/>
      </c>
      <c r="K94" s="40" t="str">
        <f t="shared" si="9"/>
        <v/>
      </c>
      <c r="L94" s="40" t="str">
        <f t="shared" si="9"/>
        <v/>
      </c>
      <c r="M94" s="40" t="str">
        <f t="shared" si="9"/>
        <v/>
      </c>
      <c r="N94" s="40" t="str">
        <f t="shared" si="9"/>
        <v/>
      </c>
      <c r="O94" s="40" t="str">
        <f t="shared" si="9"/>
        <v/>
      </c>
      <c r="P94" s="40" t="str">
        <f t="shared" si="9"/>
        <v/>
      </c>
      <c r="Q94" s="40" t="str">
        <f t="shared" si="9"/>
        <v/>
      </c>
      <c r="R94" s="40" t="str">
        <f t="shared" si="9"/>
        <v/>
      </c>
      <c r="S94" s="40" t="str">
        <f t="shared" si="9"/>
        <v/>
      </c>
      <c r="T94" s="40" t="str">
        <f t="shared" si="9"/>
        <v/>
      </c>
      <c r="U94" s="40" t="str">
        <f t="shared" si="9"/>
        <v/>
      </c>
      <c r="V94" s="40" t="str">
        <f t="shared" si="9"/>
        <v/>
      </c>
      <c r="W94" s="40" t="str">
        <f t="shared" si="9"/>
        <v/>
      </c>
      <c r="X94" s="40" t="str">
        <f t="shared" si="9"/>
        <v/>
      </c>
      <c r="Y94" s="40" t="str">
        <f t="shared" si="9"/>
        <v/>
      </c>
      <c r="Z94" s="40" t="str">
        <f t="shared" si="9"/>
        <v/>
      </c>
      <c r="AA94" s="40" t="str">
        <f t="shared" si="9"/>
        <v/>
      </c>
      <c r="AB94" s="40" t="str">
        <f t="shared" si="9"/>
        <v/>
      </c>
      <c r="AC94" s="40" t="str">
        <f t="shared" si="9"/>
        <v/>
      </c>
      <c r="AD94" s="40" t="str">
        <f t="shared" si="9"/>
        <v/>
      </c>
      <c r="AE94" s="40" t="str">
        <f t="shared" si="9"/>
        <v/>
      </c>
      <c r="AF94" s="40" t="str">
        <f t="shared" si="9"/>
        <v/>
      </c>
      <c r="AG94" s="40" t="str">
        <f t="shared" si="9"/>
        <v/>
      </c>
      <c r="AH94" s="40" t="str">
        <f t="shared" si="9"/>
        <v/>
      </c>
      <c r="AI94" s="40" t="str">
        <f t="shared" si="9"/>
        <v/>
      </c>
      <c r="AJ94" s="854" t="str">
        <f t="shared" si="9"/>
        <v/>
      </c>
      <c r="AK94" s="68" t="str">
        <f t="shared" si="2"/>
        <v/>
      </c>
    </row>
    <row r="95" spans="1:37" ht="15" thickBot="1" x14ac:dyDescent="0.4">
      <c r="A95" s="1196"/>
      <c r="B95" s="35">
        <v>10</v>
      </c>
      <c r="C95" s="115" t="str">
        <f t="shared" ref="C95:AJ95" si="10">IF(COUNTBLANK($C$47:$AG$58)&lt;372,IF(COUNTIF(C56,"*P*"),C79,""),IF(COUNTBLANK($C$26:$AG$37)&lt;372,IF(COUNTIF(C35,"*P*"),C79,""),IF(COUNTIF(C14,"*P*"),C79,"")))</f>
        <v/>
      </c>
      <c r="D95" s="40" t="str">
        <f t="shared" si="10"/>
        <v/>
      </c>
      <c r="E95" s="40" t="str">
        <f t="shared" si="10"/>
        <v/>
      </c>
      <c r="F95" s="40" t="str">
        <f t="shared" si="10"/>
        <v/>
      </c>
      <c r="G95" s="40" t="str">
        <f t="shared" si="10"/>
        <v/>
      </c>
      <c r="H95" s="40" t="str">
        <f t="shared" si="10"/>
        <v/>
      </c>
      <c r="I95" s="40" t="str">
        <f t="shared" si="10"/>
        <v/>
      </c>
      <c r="J95" s="40" t="str">
        <f t="shared" si="10"/>
        <v/>
      </c>
      <c r="K95" s="40" t="str">
        <f t="shared" si="10"/>
        <v/>
      </c>
      <c r="L95" s="40" t="str">
        <f t="shared" si="10"/>
        <v/>
      </c>
      <c r="M95" s="40" t="str">
        <f t="shared" si="10"/>
        <v/>
      </c>
      <c r="N95" s="40" t="str">
        <f t="shared" si="10"/>
        <v/>
      </c>
      <c r="O95" s="40" t="str">
        <f t="shared" si="10"/>
        <v/>
      </c>
      <c r="P95" s="40" t="str">
        <f t="shared" si="10"/>
        <v/>
      </c>
      <c r="Q95" s="40" t="str">
        <f t="shared" si="10"/>
        <v/>
      </c>
      <c r="R95" s="40" t="str">
        <f t="shared" si="10"/>
        <v/>
      </c>
      <c r="S95" s="40" t="str">
        <f t="shared" si="10"/>
        <v/>
      </c>
      <c r="T95" s="40" t="str">
        <f t="shared" si="10"/>
        <v/>
      </c>
      <c r="U95" s="40" t="str">
        <f t="shared" si="10"/>
        <v/>
      </c>
      <c r="V95" s="40" t="str">
        <f t="shared" si="10"/>
        <v/>
      </c>
      <c r="W95" s="40" t="str">
        <f t="shared" si="10"/>
        <v/>
      </c>
      <c r="X95" s="40" t="str">
        <f t="shared" si="10"/>
        <v/>
      </c>
      <c r="Y95" s="40" t="str">
        <f t="shared" si="10"/>
        <v/>
      </c>
      <c r="Z95" s="40" t="str">
        <f t="shared" si="10"/>
        <v/>
      </c>
      <c r="AA95" s="40" t="str">
        <f t="shared" si="10"/>
        <v/>
      </c>
      <c r="AB95" s="40" t="str">
        <f t="shared" si="10"/>
        <v/>
      </c>
      <c r="AC95" s="40" t="str">
        <f t="shared" si="10"/>
        <v/>
      </c>
      <c r="AD95" s="40" t="str">
        <f t="shared" si="10"/>
        <v/>
      </c>
      <c r="AE95" s="40" t="str">
        <f t="shared" si="10"/>
        <v/>
      </c>
      <c r="AF95" s="40" t="str">
        <f t="shared" si="10"/>
        <v/>
      </c>
      <c r="AG95" s="40" t="str">
        <f t="shared" si="10"/>
        <v/>
      </c>
      <c r="AH95" s="40" t="str">
        <f t="shared" si="10"/>
        <v/>
      </c>
      <c r="AI95" s="40" t="str">
        <f t="shared" si="10"/>
        <v/>
      </c>
      <c r="AJ95" s="854" t="str">
        <f t="shared" si="10"/>
        <v/>
      </c>
      <c r="AK95" s="68" t="str">
        <f t="shared" si="2"/>
        <v/>
      </c>
    </row>
    <row r="96" spans="1:37" ht="15" thickBot="1" x14ac:dyDescent="0.4">
      <c r="A96" s="1196"/>
      <c r="B96" s="35">
        <v>11</v>
      </c>
      <c r="C96" s="115" t="str">
        <f t="shared" ref="C96:AJ96" si="11">IF(COUNTBLANK($C$47:$AG$58)&lt;372,IF(COUNTIF(C57,"*P*"),C80,""),IF(COUNTBLANK($C$26:$AG$37)&lt;372,IF(COUNTIF(C36,"*P*"),C80,""),IF(COUNTIF(C15,"*P*"),C80,"")))</f>
        <v/>
      </c>
      <c r="D96" s="40" t="str">
        <f t="shared" si="11"/>
        <v/>
      </c>
      <c r="E96" s="40" t="str">
        <f t="shared" si="11"/>
        <v/>
      </c>
      <c r="F96" s="40" t="str">
        <f t="shared" si="11"/>
        <v/>
      </c>
      <c r="G96" s="40" t="str">
        <f t="shared" si="11"/>
        <v/>
      </c>
      <c r="H96" s="40" t="str">
        <f t="shared" si="11"/>
        <v/>
      </c>
      <c r="I96" s="40" t="str">
        <f t="shared" si="11"/>
        <v/>
      </c>
      <c r="J96" s="40" t="str">
        <f t="shared" si="11"/>
        <v/>
      </c>
      <c r="K96" s="40" t="str">
        <f t="shared" si="11"/>
        <v/>
      </c>
      <c r="L96" s="40" t="str">
        <f t="shared" si="11"/>
        <v/>
      </c>
      <c r="M96" s="40" t="str">
        <f t="shared" si="11"/>
        <v/>
      </c>
      <c r="N96" s="40" t="str">
        <f t="shared" si="11"/>
        <v/>
      </c>
      <c r="O96" s="40" t="str">
        <f t="shared" si="11"/>
        <v/>
      </c>
      <c r="P96" s="40" t="str">
        <f t="shared" si="11"/>
        <v/>
      </c>
      <c r="Q96" s="40" t="str">
        <f t="shared" si="11"/>
        <v/>
      </c>
      <c r="R96" s="40" t="str">
        <f t="shared" si="11"/>
        <v/>
      </c>
      <c r="S96" s="40" t="str">
        <f t="shared" si="11"/>
        <v/>
      </c>
      <c r="T96" s="40" t="str">
        <f t="shared" si="11"/>
        <v/>
      </c>
      <c r="U96" s="40" t="str">
        <f t="shared" si="11"/>
        <v/>
      </c>
      <c r="V96" s="40" t="str">
        <f t="shared" si="11"/>
        <v/>
      </c>
      <c r="W96" s="40" t="str">
        <f t="shared" si="11"/>
        <v/>
      </c>
      <c r="X96" s="40" t="str">
        <f t="shared" si="11"/>
        <v/>
      </c>
      <c r="Y96" s="40" t="str">
        <f t="shared" si="11"/>
        <v/>
      </c>
      <c r="Z96" s="40" t="str">
        <f t="shared" si="11"/>
        <v/>
      </c>
      <c r="AA96" s="40" t="str">
        <f t="shared" si="11"/>
        <v/>
      </c>
      <c r="AB96" s="40" t="str">
        <f t="shared" si="11"/>
        <v/>
      </c>
      <c r="AC96" s="40" t="str">
        <f t="shared" si="11"/>
        <v/>
      </c>
      <c r="AD96" s="40" t="str">
        <f t="shared" si="11"/>
        <v/>
      </c>
      <c r="AE96" s="40" t="str">
        <f t="shared" si="11"/>
        <v/>
      </c>
      <c r="AF96" s="40" t="str">
        <f t="shared" si="11"/>
        <v/>
      </c>
      <c r="AG96" s="40" t="str">
        <f t="shared" si="11"/>
        <v/>
      </c>
      <c r="AH96" s="40" t="str">
        <f t="shared" si="11"/>
        <v/>
      </c>
      <c r="AI96" s="40" t="str">
        <f t="shared" si="11"/>
        <v/>
      </c>
      <c r="AJ96" s="854" t="str">
        <f t="shared" si="11"/>
        <v/>
      </c>
      <c r="AK96" s="68" t="str">
        <f t="shared" si="2"/>
        <v/>
      </c>
    </row>
    <row r="97" spans="1:37" ht="15" thickBot="1" x14ac:dyDescent="0.4">
      <c r="A97" s="1197"/>
      <c r="B97" s="355">
        <v>12</v>
      </c>
      <c r="C97" s="228" t="str">
        <f t="shared" ref="C97:AJ97" si="12">IF(COUNTBLANK($C$47:$AG$58)&lt;372,IF(COUNTIF(C58,"*P*"),C81,""),IF(COUNTBLANK($C$26:$AG$37)&lt;372,IF(COUNTIF(C37,"*P*"),C81,""),IF(COUNTIF(C16,"*P*"),C81,"")))</f>
        <v/>
      </c>
      <c r="D97" s="229" t="str">
        <f t="shared" si="12"/>
        <v/>
      </c>
      <c r="E97" s="229" t="str">
        <f t="shared" si="12"/>
        <v/>
      </c>
      <c r="F97" s="229" t="str">
        <f t="shared" si="12"/>
        <v/>
      </c>
      <c r="G97" s="229" t="str">
        <f t="shared" si="12"/>
        <v/>
      </c>
      <c r="H97" s="229" t="str">
        <f t="shared" si="12"/>
        <v/>
      </c>
      <c r="I97" s="229" t="str">
        <f t="shared" si="12"/>
        <v/>
      </c>
      <c r="J97" s="229" t="str">
        <f t="shared" si="12"/>
        <v/>
      </c>
      <c r="K97" s="229" t="str">
        <f t="shared" si="12"/>
        <v/>
      </c>
      <c r="L97" s="229" t="str">
        <f t="shared" si="12"/>
        <v/>
      </c>
      <c r="M97" s="229" t="str">
        <f t="shared" si="12"/>
        <v/>
      </c>
      <c r="N97" s="229" t="str">
        <f t="shared" si="12"/>
        <v/>
      </c>
      <c r="O97" s="229" t="str">
        <f t="shared" si="12"/>
        <v/>
      </c>
      <c r="P97" s="229" t="str">
        <f t="shared" si="12"/>
        <v/>
      </c>
      <c r="Q97" s="229" t="str">
        <f t="shared" si="12"/>
        <v/>
      </c>
      <c r="R97" s="229" t="str">
        <f t="shared" si="12"/>
        <v/>
      </c>
      <c r="S97" s="229" t="str">
        <f t="shared" si="12"/>
        <v/>
      </c>
      <c r="T97" s="229" t="str">
        <f t="shared" si="12"/>
        <v/>
      </c>
      <c r="U97" s="229" t="str">
        <f t="shared" si="12"/>
        <v/>
      </c>
      <c r="V97" s="229" t="str">
        <f t="shared" si="12"/>
        <v/>
      </c>
      <c r="W97" s="229" t="str">
        <f t="shared" si="12"/>
        <v/>
      </c>
      <c r="X97" s="229" t="str">
        <f t="shared" si="12"/>
        <v/>
      </c>
      <c r="Y97" s="229" t="str">
        <f t="shared" si="12"/>
        <v/>
      </c>
      <c r="Z97" s="229" t="str">
        <f t="shared" si="12"/>
        <v/>
      </c>
      <c r="AA97" s="229" t="str">
        <f t="shared" si="12"/>
        <v/>
      </c>
      <c r="AB97" s="229" t="str">
        <f t="shared" si="12"/>
        <v/>
      </c>
      <c r="AC97" s="229" t="str">
        <f t="shared" si="12"/>
        <v/>
      </c>
      <c r="AD97" s="229" t="str">
        <f t="shared" si="12"/>
        <v/>
      </c>
      <c r="AE97" s="229" t="str">
        <f t="shared" si="12"/>
        <v/>
      </c>
      <c r="AF97" s="229" t="str">
        <f t="shared" si="12"/>
        <v/>
      </c>
      <c r="AG97" s="229" t="str">
        <f t="shared" si="12"/>
        <v/>
      </c>
      <c r="AH97" s="229" t="str">
        <f t="shared" si="12"/>
        <v/>
      </c>
      <c r="AI97" s="229" t="str">
        <f t="shared" si="12"/>
        <v/>
      </c>
      <c r="AJ97" s="855" t="str">
        <f t="shared" si="12"/>
        <v/>
      </c>
      <c r="AK97" s="68" t="str">
        <f t="shared" si="2"/>
        <v/>
      </c>
    </row>
    <row r="98" spans="1:37" x14ac:dyDescent="0.35">
      <c r="AK98" s="63" t="str">
        <f>CONCATENATE(AK86,AK87,AK88,AK89,AK90,AK91,AK92,AK93,AK94,AK95,AK96,AK97)</f>
        <v/>
      </c>
    </row>
    <row r="99" spans="1:37" x14ac:dyDescent="0.35">
      <c r="AK99" s="63" t="s">
        <v>712</v>
      </c>
    </row>
    <row r="100" spans="1:37" x14ac:dyDescent="0.35">
      <c r="AK100" s="63" t="s">
        <v>713</v>
      </c>
    </row>
    <row r="101" spans="1:37" ht="15" thickBot="1" x14ac:dyDescent="0.4">
      <c r="AK101" s="64" t="str">
        <f>IF(AK98&lt;&gt;"",IF(LEN(AK98)&lt;9,CONCATENATE(AK99,LEFT(AK98,4),"."),IF(LEN(AK98&gt;6),LEFT(CONCATENATE(AK100,LEFT(AK98,LEN(AK98)-10),SUBSTITUTE(RIGHT(AK98,10),", "," and ")),LEN(CONCATENATE(AK100,LEFT(AK98,LEN(AK98)-10),SUBSTITUTE(RIGHT(AK98,10),", "," and ")))-5)&amp;".")),"")</f>
        <v/>
      </c>
    </row>
    <row r="102" spans="1:37" ht="23.25" customHeight="1" x14ac:dyDescent="0.35"/>
    <row r="104" spans="1:37" ht="15" thickBot="1" x14ac:dyDescent="0.4">
      <c r="C104" s="1201" t="s">
        <v>709</v>
      </c>
      <c r="D104" s="1201"/>
      <c r="E104" s="1201"/>
      <c r="F104" s="1201"/>
      <c r="G104" s="1201"/>
      <c r="H104" s="1201"/>
      <c r="I104" s="1201"/>
      <c r="J104" s="1201"/>
      <c r="K104" s="1201"/>
      <c r="L104" s="1201"/>
      <c r="M104" s="1201"/>
      <c r="N104" s="1201"/>
      <c r="O104" s="1201"/>
      <c r="P104" s="1201"/>
      <c r="Q104" s="1201"/>
      <c r="R104" s="1201"/>
      <c r="S104" s="1201"/>
      <c r="T104" s="1201"/>
      <c r="U104" s="1201"/>
      <c r="V104" s="1201"/>
      <c r="W104" s="1201"/>
      <c r="X104" s="1201"/>
      <c r="Y104" s="1201"/>
      <c r="Z104" s="1201"/>
      <c r="AA104" s="1201"/>
      <c r="AB104" s="1201"/>
      <c r="AC104" s="1201"/>
      <c r="AD104" s="1201"/>
      <c r="AE104" s="1201"/>
      <c r="AF104" s="1201"/>
      <c r="AG104" s="1201"/>
      <c r="AH104" s="1201"/>
      <c r="AI104" s="1201"/>
    </row>
    <row r="105" spans="1:37" x14ac:dyDescent="0.35">
      <c r="A105" s="1202"/>
      <c r="B105" s="1203"/>
      <c r="C105" s="1207" t="s">
        <v>17</v>
      </c>
      <c r="D105" s="1207"/>
      <c r="E105" s="1207"/>
      <c r="F105" s="1207"/>
      <c r="G105" s="1207"/>
      <c r="H105" s="1207"/>
      <c r="I105" s="1207"/>
      <c r="J105" s="1207"/>
      <c r="K105" s="1207"/>
      <c r="L105" s="1207"/>
      <c r="M105" s="1207"/>
      <c r="N105" s="1207"/>
      <c r="O105" s="1207"/>
      <c r="P105" s="1207"/>
      <c r="Q105" s="1207"/>
      <c r="R105" s="1207"/>
      <c r="S105" s="1207"/>
      <c r="T105" s="1207"/>
      <c r="U105" s="1207"/>
      <c r="V105" s="1208"/>
      <c r="W105" s="6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8"/>
    </row>
    <row r="106" spans="1:37" ht="15" thickBot="1" x14ac:dyDescent="0.4">
      <c r="A106" s="1204"/>
      <c r="B106" s="1205"/>
      <c r="C106" s="16">
        <v>1</v>
      </c>
      <c r="D106" s="17">
        <v>2</v>
      </c>
      <c r="E106" s="17">
        <v>3</v>
      </c>
      <c r="F106" s="17">
        <v>4</v>
      </c>
      <c r="G106" s="17">
        <v>5</v>
      </c>
      <c r="H106" s="17">
        <v>6</v>
      </c>
      <c r="I106" s="17">
        <v>7</v>
      </c>
      <c r="J106" s="17">
        <v>8</v>
      </c>
      <c r="K106" s="17">
        <v>9</v>
      </c>
      <c r="L106" s="17">
        <v>10</v>
      </c>
      <c r="M106" s="17">
        <v>11</v>
      </c>
      <c r="N106" s="17">
        <v>12</v>
      </c>
      <c r="O106" s="17">
        <v>13</v>
      </c>
      <c r="P106" s="17">
        <v>14</v>
      </c>
      <c r="Q106" s="17">
        <v>15</v>
      </c>
      <c r="R106" s="17">
        <v>16</v>
      </c>
      <c r="S106" s="17">
        <v>17</v>
      </c>
      <c r="T106" s="17">
        <v>18</v>
      </c>
      <c r="U106" s="17">
        <v>19</v>
      </c>
      <c r="V106" s="18">
        <v>20</v>
      </c>
      <c r="W106" s="17">
        <v>21</v>
      </c>
      <c r="X106" s="18">
        <v>22</v>
      </c>
      <c r="Y106" s="17">
        <v>23</v>
      </c>
      <c r="Z106" s="18">
        <v>24</v>
      </c>
      <c r="AA106" s="17">
        <v>25</v>
      </c>
      <c r="AB106" s="18">
        <v>26</v>
      </c>
      <c r="AC106" s="17">
        <v>27</v>
      </c>
      <c r="AD106" s="18">
        <v>28</v>
      </c>
      <c r="AE106" s="17">
        <v>29</v>
      </c>
      <c r="AF106" s="18">
        <v>30</v>
      </c>
      <c r="AG106" s="17">
        <v>31</v>
      </c>
      <c r="AH106" s="18">
        <v>32</v>
      </c>
      <c r="AI106" s="17">
        <v>33</v>
      </c>
      <c r="AJ106" s="18">
        <v>34</v>
      </c>
    </row>
    <row r="107" spans="1:37" ht="15" thickBot="1" x14ac:dyDescent="0.4">
      <c r="A107" s="1196" t="s">
        <v>18</v>
      </c>
      <c r="B107" s="21">
        <v>1</v>
      </c>
      <c r="C107" s="40" t="str">
        <f t="shared" ref="C107:AJ107" si="13">IF(COUNTBLANK($C$47:$AG$58)&lt;372,IF(COUNTIF(C47,"*I*"),C70,""),IF(COUNTBLANK($C$26:$AG$37)&lt;372,IF(COUNTIF(C26,"*I*"),C70,""),IF(COUNTIF(C5,"*I*"),C70,"")))</f>
        <v/>
      </c>
      <c r="D107" s="40" t="str">
        <f t="shared" si="13"/>
        <v/>
      </c>
      <c r="E107" s="40" t="str">
        <f t="shared" si="13"/>
        <v/>
      </c>
      <c r="F107" s="40" t="str">
        <f t="shared" si="13"/>
        <v/>
      </c>
      <c r="G107" s="40" t="str">
        <f t="shared" si="13"/>
        <v/>
      </c>
      <c r="H107" s="40" t="str">
        <f t="shared" si="13"/>
        <v/>
      </c>
      <c r="I107" s="40" t="str">
        <f t="shared" si="13"/>
        <v/>
      </c>
      <c r="J107" s="40" t="str">
        <f t="shared" si="13"/>
        <v/>
      </c>
      <c r="K107" s="40" t="str">
        <f t="shared" si="13"/>
        <v/>
      </c>
      <c r="L107" s="40" t="str">
        <f t="shared" si="13"/>
        <v/>
      </c>
      <c r="M107" s="40" t="str">
        <f t="shared" si="13"/>
        <v/>
      </c>
      <c r="N107" s="40" t="str">
        <f t="shared" si="13"/>
        <v/>
      </c>
      <c r="O107" s="40" t="str">
        <f t="shared" si="13"/>
        <v/>
      </c>
      <c r="P107" s="40" t="str">
        <f t="shared" si="13"/>
        <v/>
      </c>
      <c r="Q107" s="40" t="str">
        <f t="shared" si="13"/>
        <v/>
      </c>
      <c r="R107" s="40" t="str">
        <f t="shared" si="13"/>
        <v/>
      </c>
      <c r="S107" s="40" t="str">
        <f t="shared" si="13"/>
        <v/>
      </c>
      <c r="T107" s="40" t="str">
        <f t="shared" si="13"/>
        <v/>
      </c>
      <c r="U107" s="40" t="str">
        <f t="shared" si="13"/>
        <v/>
      </c>
      <c r="V107" s="40" t="str">
        <f t="shared" si="13"/>
        <v/>
      </c>
      <c r="W107" s="40" t="str">
        <f t="shared" si="13"/>
        <v/>
      </c>
      <c r="X107" s="40" t="str">
        <f t="shared" si="13"/>
        <v/>
      </c>
      <c r="Y107" s="40" t="str">
        <f t="shared" si="13"/>
        <v/>
      </c>
      <c r="Z107" s="40" t="str">
        <f t="shared" si="13"/>
        <v/>
      </c>
      <c r="AA107" s="40" t="str">
        <f t="shared" si="13"/>
        <v/>
      </c>
      <c r="AB107" s="40" t="str">
        <f t="shared" si="13"/>
        <v/>
      </c>
      <c r="AC107" s="40" t="str">
        <f t="shared" si="13"/>
        <v/>
      </c>
      <c r="AD107" s="40" t="str">
        <f t="shared" si="13"/>
        <v/>
      </c>
      <c r="AE107" s="40" t="str">
        <f t="shared" si="13"/>
        <v/>
      </c>
      <c r="AF107" s="40" t="str">
        <f t="shared" si="13"/>
        <v/>
      </c>
      <c r="AG107" s="40" t="str">
        <f t="shared" si="13"/>
        <v/>
      </c>
      <c r="AH107" s="40" t="str">
        <f t="shared" si="13"/>
        <v/>
      </c>
      <c r="AI107" s="40" t="str">
        <f t="shared" si="13"/>
        <v/>
      </c>
      <c r="AJ107" s="40" t="str">
        <f t="shared" si="13"/>
        <v/>
      </c>
      <c r="AK107" s="62" t="str">
        <f>CONCATENATE(C107,D107,E107,F107,G107,H107,I107,J107,K107,L107,M107,N107,O107,P107,Q107,R107,S107,T107,U107,V107,W107,X107,Y107,Z107,AA107,AB107,AC107,AD107,AE107,AF107,AG107,AH107,AI107,AJ107)</f>
        <v/>
      </c>
    </row>
    <row r="108" spans="1:37" ht="15" thickBot="1" x14ac:dyDescent="0.4">
      <c r="A108" s="1196"/>
      <c r="B108" s="22">
        <v>2</v>
      </c>
      <c r="C108" s="40" t="str">
        <f t="shared" ref="C108:AJ108" si="14">IF(COUNTBLANK($C$47:$AG$58)&lt;372,IF(COUNTIF(C48,"*I*"),C71,""),IF(COUNTBLANK($C$26:$AG$37)&lt;372,IF(COUNTIF(C27,"*I*"),C71,""),IF(COUNTIF(C6,"*I*"),C71,"")))</f>
        <v/>
      </c>
      <c r="D108" s="40" t="str">
        <f t="shared" si="14"/>
        <v/>
      </c>
      <c r="E108" s="40" t="str">
        <f t="shared" si="14"/>
        <v/>
      </c>
      <c r="F108" s="40" t="str">
        <f t="shared" si="14"/>
        <v/>
      </c>
      <c r="G108" s="40" t="str">
        <f t="shared" si="14"/>
        <v/>
      </c>
      <c r="H108" s="40" t="str">
        <f t="shared" si="14"/>
        <v/>
      </c>
      <c r="I108" s="40" t="str">
        <f t="shared" si="14"/>
        <v/>
      </c>
      <c r="J108" s="40" t="str">
        <f t="shared" si="14"/>
        <v/>
      </c>
      <c r="K108" s="40" t="str">
        <f t="shared" si="14"/>
        <v/>
      </c>
      <c r="L108" s="40" t="str">
        <f t="shared" si="14"/>
        <v/>
      </c>
      <c r="M108" s="40" t="str">
        <f t="shared" si="14"/>
        <v/>
      </c>
      <c r="N108" s="40" t="str">
        <f t="shared" si="14"/>
        <v/>
      </c>
      <c r="O108" s="40" t="str">
        <f t="shared" si="14"/>
        <v/>
      </c>
      <c r="P108" s="40" t="str">
        <f t="shared" si="14"/>
        <v/>
      </c>
      <c r="Q108" s="40" t="str">
        <f t="shared" si="14"/>
        <v/>
      </c>
      <c r="R108" s="40" t="str">
        <f t="shared" si="14"/>
        <v/>
      </c>
      <c r="S108" s="40" t="str">
        <f t="shared" si="14"/>
        <v/>
      </c>
      <c r="T108" s="40" t="str">
        <f t="shared" si="14"/>
        <v/>
      </c>
      <c r="U108" s="40" t="str">
        <f t="shared" si="14"/>
        <v/>
      </c>
      <c r="V108" s="40" t="str">
        <f t="shared" si="14"/>
        <v/>
      </c>
      <c r="W108" s="40" t="str">
        <f t="shared" si="14"/>
        <v/>
      </c>
      <c r="X108" s="40" t="str">
        <f t="shared" si="14"/>
        <v/>
      </c>
      <c r="Y108" s="40" t="str">
        <f t="shared" si="14"/>
        <v/>
      </c>
      <c r="Z108" s="40" t="str">
        <f t="shared" si="14"/>
        <v/>
      </c>
      <c r="AA108" s="40" t="str">
        <f t="shared" si="14"/>
        <v/>
      </c>
      <c r="AB108" s="40" t="str">
        <f t="shared" si="14"/>
        <v/>
      </c>
      <c r="AC108" s="40" t="str">
        <f t="shared" si="14"/>
        <v/>
      </c>
      <c r="AD108" s="40" t="str">
        <f t="shared" si="14"/>
        <v/>
      </c>
      <c r="AE108" s="40" t="str">
        <f t="shared" si="14"/>
        <v/>
      </c>
      <c r="AF108" s="40" t="str">
        <f t="shared" si="14"/>
        <v/>
      </c>
      <c r="AG108" s="40" t="str">
        <f t="shared" si="14"/>
        <v/>
      </c>
      <c r="AH108" s="40" t="str">
        <f t="shared" si="14"/>
        <v/>
      </c>
      <c r="AI108" s="40" t="str">
        <f t="shared" si="14"/>
        <v/>
      </c>
      <c r="AJ108" s="40" t="str">
        <f t="shared" si="14"/>
        <v/>
      </c>
      <c r="AK108" s="62" t="str">
        <f t="shared" ref="AK108:AK118" si="15">CONCATENATE(C108,D108,E108,F108,G108,H108,I108,J108,K108,L108,M108,N108,O108,P108,Q108,R108,S108,T108,U108,V108,W108,X108,Y108,Z108,AA108,AB108,AC108,AD108,AE108,AF108,AG108,AH108,AI108,AJ108)</f>
        <v/>
      </c>
    </row>
    <row r="109" spans="1:37" ht="15" thickBot="1" x14ac:dyDescent="0.4">
      <c r="A109" s="1196"/>
      <c r="B109" s="22">
        <v>3</v>
      </c>
      <c r="C109" s="40" t="str">
        <f t="shared" ref="C109:AJ109" si="16">IF(COUNTBLANK($C$47:$AG$58)&lt;372,IF(COUNTIF(C49,"*I*"),C72,""),IF(COUNTBLANK($C$26:$AG$37)&lt;372,IF(COUNTIF(C28,"*I*"),C72,""),IF(COUNTIF(C7,"*I*"),C72,"")))</f>
        <v/>
      </c>
      <c r="D109" s="40" t="str">
        <f t="shared" si="16"/>
        <v/>
      </c>
      <c r="E109" s="40" t="str">
        <f t="shared" si="16"/>
        <v/>
      </c>
      <c r="F109" s="40" t="str">
        <f t="shared" si="16"/>
        <v/>
      </c>
      <c r="G109" s="40" t="str">
        <f t="shared" si="16"/>
        <v/>
      </c>
      <c r="H109" s="40" t="str">
        <f t="shared" si="16"/>
        <v/>
      </c>
      <c r="I109" s="40" t="str">
        <f t="shared" si="16"/>
        <v/>
      </c>
      <c r="J109" s="40" t="str">
        <f t="shared" si="16"/>
        <v/>
      </c>
      <c r="K109" s="40" t="str">
        <f t="shared" si="16"/>
        <v/>
      </c>
      <c r="L109" s="40" t="str">
        <f t="shared" si="16"/>
        <v/>
      </c>
      <c r="M109" s="40" t="str">
        <f t="shared" si="16"/>
        <v/>
      </c>
      <c r="N109" s="40" t="str">
        <f t="shared" si="16"/>
        <v/>
      </c>
      <c r="O109" s="40" t="str">
        <f t="shared" si="16"/>
        <v/>
      </c>
      <c r="P109" s="40" t="str">
        <f t="shared" si="16"/>
        <v/>
      </c>
      <c r="Q109" s="40" t="str">
        <f t="shared" si="16"/>
        <v/>
      </c>
      <c r="R109" s="40" t="str">
        <f t="shared" si="16"/>
        <v/>
      </c>
      <c r="S109" s="40" t="str">
        <f t="shared" si="16"/>
        <v/>
      </c>
      <c r="T109" s="40" t="str">
        <f t="shared" si="16"/>
        <v/>
      </c>
      <c r="U109" s="40" t="str">
        <f t="shared" si="16"/>
        <v/>
      </c>
      <c r="V109" s="40" t="str">
        <f t="shared" si="16"/>
        <v/>
      </c>
      <c r="W109" s="40" t="str">
        <f t="shared" si="16"/>
        <v/>
      </c>
      <c r="X109" s="40" t="str">
        <f t="shared" si="16"/>
        <v/>
      </c>
      <c r="Y109" s="40" t="str">
        <f t="shared" si="16"/>
        <v/>
      </c>
      <c r="Z109" s="40" t="str">
        <f t="shared" si="16"/>
        <v/>
      </c>
      <c r="AA109" s="40" t="str">
        <f t="shared" si="16"/>
        <v/>
      </c>
      <c r="AB109" s="40" t="str">
        <f t="shared" si="16"/>
        <v/>
      </c>
      <c r="AC109" s="40" t="str">
        <f t="shared" si="16"/>
        <v/>
      </c>
      <c r="AD109" s="40" t="str">
        <f t="shared" si="16"/>
        <v/>
      </c>
      <c r="AE109" s="40" t="str">
        <f t="shared" si="16"/>
        <v/>
      </c>
      <c r="AF109" s="40" t="str">
        <f t="shared" si="16"/>
        <v/>
      </c>
      <c r="AG109" s="40" t="str">
        <f t="shared" si="16"/>
        <v/>
      </c>
      <c r="AH109" s="40" t="str">
        <f t="shared" si="16"/>
        <v/>
      </c>
      <c r="AI109" s="40" t="str">
        <f t="shared" si="16"/>
        <v/>
      </c>
      <c r="AJ109" s="40" t="str">
        <f t="shared" si="16"/>
        <v/>
      </c>
      <c r="AK109" s="62" t="str">
        <f t="shared" si="15"/>
        <v/>
      </c>
    </row>
    <row r="110" spans="1:37" ht="15" thickBot="1" x14ac:dyDescent="0.4">
      <c r="A110" s="1196"/>
      <c r="B110" s="22">
        <v>4</v>
      </c>
      <c r="C110" s="40" t="str">
        <f t="shared" ref="C110:AJ110" si="17">IF(COUNTBLANK($C$47:$AG$58)&lt;372,IF(COUNTIF(C50,"*I*"),C73,""),IF(COUNTBLANK($C$26:$AG$37)&lt;372,IF(COUNTIF(C29,"*I*"),C73,""),IF(COUNTIF(C8,"*I*"),C73,"")))</f>
        <v/>
      </c>
      <c r="D110" s="40" t="str">
        <f t="shared" si="17"/>
        <v/>
      </c>
      <c r="E110" s="40" t="str">
        <f t="shared" si="17"/>
        <v/>
      </c>
      <c r="F110" s="40" t="str">
        <f t="shared" si="17"/>
        <v/>
      </c>
      <c r="G110" s="40" t="str">
        <f t="shared" si="17"/>
        <v/>
      </c>
      <c r="H110" s="40" t="str">
        <f t="shared" si="17"/>
        <v/>
      </c>
      <c r="I110" s="40" t="str">
        <f t="shared" si="17"/>
        <v/>
      </c>
      <c r="J110" s="40" t="str">
        <f t="shared" si="17"/>
        <v/>
      </c>
      <c r="K110" s="40" t="str">
        <f t="shared" si="17"/>
        <v/>
      </c>
      <c r="L110" s="40" t="str">
        <f t="shared" si="17"/>
        <v/>
      </c>
      <c r="M110" s="40" t="str">
        <f t="shared" si="17"/>
        <v/>
      </c>
      <c r="N110" s="40" t="str">
        <f t="shared" si="17"/>
        <v/>
      </c>
      <c r="O110" s="40" t="str">
        <f t="shared" si="17"/>
        <v/>
      </c>
      <c r="P110" s="40" t="str">
        <f t="shared" si="17"/>
        <v/>
      </c>
      <c r="Q110" s="40" t="str">
        <f t="shared" si="17"/>
        <v/>
      </c>
      <c r="R110" s="40" t="str">
        <f t="shared" si="17"/>
        <v/>
      </c>
      <c r="S110" s="40" t="str">
        <f t="shared" si="17"/>
        <v/>
      </c>
      <c r="T110" s="40" t="str">
        <f t="shared" si="17"/>
        <v/>
      </c>
      <c r="U110" s="40" t="str">
        <f t="shared" si="17"/>
        <v/>
      </c>
      <c r="V110" s="40" t="str">
        <f t="shared" si="17"/>
        <v/>
      </c>
      <c r="W110" s="40" t="str">
        <f t="shared" si="17"/>
        <v/>
      </c>
      <c r="X110" s="40" t="str">
        <f t="shared" si="17"/>
        <v/>
      </c>
      <c r="Y110" s="40" t="str">
        <f t="shared" si="17"/>
        <v/>
      </c>
      <c r="Z110" s="40" t="str">
        <f t="shared" si="17"/>
        <v/>
      </c>
      <c r="AA110" s="40" t="str">
        <f t="shared" si="17"/>
        <v/>
      </c>
      <c r="AB110" s="40" t="str">
        <f t="shared" si="17"/>
        <v/>
      </c>
      <c r="AC110" s="40" t="str">
        <f t="shared" si="17"/>
        <v/>
      </c>
      <c r="AD110" s="40" t="str">
        <f t="shared" si="17"/>
        <v/>
      </c>
      <c r="AE110" s="40" t="str">
        <f t="shared" si="17"/>
        <v/>
      </c>
      <c r="AF110" s="40" t="str">
        <f t="shared" si="17"/>
        <v/>
      </c>
      <c r="AG110" s="40" t="str">
        <f t="shared" si="17"/>
        <v/>
      </c>
      <c r="AH110" s="40" t="str">
        <f t="shared" si="17"/>
        <v/>
      </c>
      <c r="AI110" s="40" t="str">
        <f t="shared" si="17"/>
        <v/>
      </c>
      <c r="AJ110" s="40" t="str">
        <f t="shared" si="17"/>
        <v/>
      </c>
      <c r="AK110" s="62" t="str">
        <f t="shared" si="15"/>
        <v/>
      </c>
    </row>
    <row r="111" spans="1:37" ht="15" thickBot="1" x14ac:dyDescent="0.4">
      <c r="A111" s="1196"/>
      <c r="B111" s="22">
        <v>5</v>
      </c>
      <c r="C111" s="40" t="str">
        <f t="shared" ref="C111:AJ111" si="18">IF(COUNTBLANK($C$47:$AG$58)&lt;372,IF(COUNTIF(C51,"*I*"),C74,""),IF(COUNTBLANK($C$26:$AG$37)&lt;372,IF(COUNTIF(C30,"*I*"),C74,""),IF(COUNTIF(C9,"*I*"),C74,"")))</f>
        <v/>
      </c>
      <c r="D111" s="40" t="str">
        <f t="shared" si="18"/>
        <v/>
      </c>
      <c r="E111" s="40" t="str">
        <f t="shared" si="18"/>
        <v/>
      </c>
      <c r="F111" s="40" t="str">
        <f t="shared" si="18"/>
        <v/>
      </c>
      <c r="G111" s="40" t="str">
        <f t="shared" si="18"/>
        <v/>
      </c>
      <c r="H111" s="40" t="str">
        <f t="shared" si="18"/>
        <v/>
      </c>
      <c r="I111" s="40" t="str">
        <f t="shared" si="18"/>
        <v/>
      </c>
      <c r="J111" s="40" t="str">
        <f t="shared" si="18"/>
        <v/>
      </c>
      <c r="K111" s="40" t="str">
        <f t="shared" si="18"/>
        <v/>
      </c>
      <c r="L111" s="40" t="str">
        <f t="shared" si="18"/>
        <v/>
      </c>
      <c r="M111" s="40" t="str">
        <f t="shared" si="18"/>
        <v/>
      </c>
      <c r="N111" s="40" t="str">
        <f t="shared" si="18"/>
        <v/>
      </c>
      <c r="O111" s="40" t="str">
        <f t="shared" si="18"/>
        <v/>
      </c>
      <c r="P111" s="40" t="str">
        <f t="shared" si="18"/>
        <v/>
      </c>
      <c r="Q111" s="40" t="str">
        <f t="shared" si="18"/>
        <v/>
      </c>
      <c r="R111" s="40" t="str">
        <f t="shared" si="18"/>
        <v/>
      </c>
      <c r="S111" s="40" t="str">
        <f t="shared" si="18"/>
        <v/>
      </c>
      <c r="T111" s="40" t="str">
        <f t="shared" si="18"/>
        <v/>
      </c>
      <c r="U111" s="40" t="str">
        <f t="shared" si="18"/>
        <v/>
      </c>
      <c r="V111" s="40" t="str">
        <f t="shared" si="18"/>
        <v/>
      </c>
      <c r="W111" s="40" t="str">
        <f t="shared" si="18"/>
        <v/>
      </c>
      <c r="X111" s="40" t="str">
        <f t="shared" si="18"/>
        <v/>
      </c>
      <c r="Y111" s="40" t="str">
        <f t="shared" si="18"/>
        <v/>
      </c>
      <c r="Z111" s="40" t="str">
        <f t="shared" si="18"/>
        <v/>
      </c>
      <c r="AA111" s="40" t="str">
        <f t="shared" si="18"/>
        <v/>
      </c>
      <c r="AB111" s="40" t="str">
        <f t="shared" si="18"/>
        <v/>
      </c>
      <c r="AC111" s="40" t="str">
        <f t="shared" si="18"/>
        <v/>
      </c>
      <c r="AD111" s="40" t="str">
        <f t="shared" si="18"/>
        <v/>
      </c>
      <c r="AE111" s="40" t="str">
        <f t="shared" si="18"/>
        <v/>
      </c>
      <c r="AF111" s="40" t="str">
        <f t="shared" si="18"/>
        <v/>
      </c>
      <c r="AG111" s="40" t="str">
        <f t="shared" si="18"/>
        <v/>
      </c>
      <c r="AH111" s="40" t="str">
        <f t="shared" si="18"/>
        <v/>
      </c>
      <c r="AI111" s="40" t="str">
        <f t="shared" si="18"/>
        <v/>
      </c>
      <c r="AJ111" s="40" t="str">
        <f t="shared" si="18"/>
        <v/>
      </c>
      <c r="AK111" s="62" t="str">
        <f t="shared" si="15"/>
        <v/>
      </c>
    </row>
    <row r="112" spans="1:37" ht="15" thickBot="1" x14ac:dyDescent="0.4">
      <c r="A112" s="1196"/>
      <c r="B112" s="22">
        <v>6</v>
      </c>
      <c r="C112" s="40" t="str">
        <f t="shared" ref="C112:AJ112" si="19">IF(COUNTBLANK($C$47:$AG$58)&lt;372,IF(COUNTIF(C52,"*I*"),C75,""),IF(COUNTBLANK($C$26:$AG$37)&lt;372,IF(COUNTIF(C31,"*I*"),C75,""),IF(COUNTIF(C10,"*I*"),C75,"")))</f>
        <v/>
      </c>
      <c r="D112" s="40" t="str">
        <f t="shared" si="19"/>
        <v/>
      </c>
      <c r="E112" s="40" t="str">
        <f t="shared" si="19"/>
        <v/>
      </c>
      <c r="F112" s="40" t="str">
        <f t="shared" si="19"/>
        <v/>
      </c>
      <c r="G112" s="40" t="str">
        <f t="shared" si="19"/>
        <v/>
      </c>
      <c r="H112" s="40" t="str">
        <f t="shared" si="19"/>
        <v/>
      </c>
      <c r="I112" s="40" t="str">
        <f t="shared" si="19"/>
        <v/>
      </c>
      <c r="J112" s="40" t="str">
        <f t="shared" si="19"/>
        <v/>
      </c>
      <c r="K112" s="40" t="str">
        <f t="shared" si="19"/>
        <v/>
      </c>
      <c r="L112" s="40" t="str">
        <f t="shared" si="19"/>
        <v/>
      </c>
      <c r="M112" s="40" t="str">
        <f t="shared" si="19"/>
        <v/>
      </c>
      <c r="N112" s="40" t="str">
        <f t="shared" si="19"/>
        <v/>
      </c>
      <c r="O112" s="40" t="str">
        <f t="shared" si="19"/>
        <v/>
      </c>
      <c r="P112" s="40" t="str">
        <f t="shared" si="19"/>
        <v/>
      </c>
      <c r="Q112" s="40" t="str">
        <f t="shared" si="19"/>
        <v/>
      </c>
      <c r="R112" s="40" t="str">
        <f t="shared" si="19"/>
        <v/>
      </c>
      <c r="S112" s="40" t="str">
        <f t="shared" si="19"/>
        <v/>
      </c>
      <c r="T112" s="40" t="str">
        <f t="shared" si="19"/>
        <v/>
      </c>
      <c r="U112" s="40" t="str">
        <f t="shared" si="19"/>
        <v/>
      </c>
      <c r="V112" s="40" t="str">
        <f t="shared" si="19"/>
        <v/>
      </c>
      <c r="W112" s="40" t="str">
        <f t="shared" si="19"/>
        <v/>
      </c>
      <c r="X112" s="40" t="str">
        <f t="shared" si="19"/>
        <v/>
      </c>
      <c r="Y112" s="40" t="str">
        <f t="shared" si="19"/>
        <v/>
      </c>
      <c r="Z112" s="40" t="str">
        <f t="shared" si="19"/>
        <v/>
      </c>
      <c r="AA112" s="40" t="str">
        <f t="shared" si="19"/>
        <v/>
      </c>
      <c r="AB112" s="40" t="str">
        <f t="shared" si="19"/>
        <v/>
      </c>
      <c r="AC112" s="40" t="str">
        <f t="shared" si="19"/>
        <v/>
      </c>
      <c r="AD112" s="40" t="str">
        <f t="shared" si="19"/>
        <v/>
      </c>
      <c r="AE112" s="40" t="str">
        <f t="shared" si="19"/>
        <v/>
      </c>
      <c r="AF112" s="40" t="str">
        <f t="shared" si="19"/>
        <v/>
      </c>
      <c r="AG112" s="40" t="str">
        <f t="shared" si="19"/>
        <v/>
      </c>
      <c r="AH112" s="40" t="str">
        <f t="shared" si="19"/>
        <v/>
      </c>
      <c r="AI112" s="40" t="str">
        <f t="shared" si="19"/>
        <v/>
      </c>
      <c r="AJ112" s="40" t="str">
        <f t="shared" si="19"/>
        <v/>
      </c>
      <c r="AK112" s="62" t="str">
        <f t="shared" si="15"/>
        <v/>
      </c>
    </row>
    <row r="113" spans="1:37" ht="15" thickBot="1" x14ac:dyDescent="0.4">
      <c r="A113" s="1196"/>
      <c r="B113" s="22">
        <v>7</v>
      </c>
      <c r="C113" s="40" t="str">
        <f t="shared" ref="C113:AJ113" si="20">IF(COUNTBLANK($C$47:$AG$58)&lt;372,IF(COUNTIF(C53,"*I*"),C76,""),IF(COUNTBLANK($C$26:$AG$37)&lt;372,IF(COUNTIF(C32,"*I*"),C76,""),IF(COUNTIF(C11,"*I*"),C76,"")))</f>
        <v/>
      </c>
      <c r="D113" s="40" t="str">
        <f t="shared" si="20"/>
        <v/>
      </c>
      <c r="E113" s="40" t="str">
        <f t="shared" si="20"/>
        <v/>
      </c>
      <c r="F113" s="40" t="str">
        <f t="shared" si="20"/>
        <v/>
      </c>
      <c r="G113" s="40" t="str">
        <f t="shared" si="20"/>
        <v/>
      </c>
      <c r="H113" s="40" t="str">
        <f t="shared" si="20"/>
        <v/>
      </c>
      <c r="I113" s="40" t="str">
        <f t="shared" si="20"/>
        <v/>
      </c>
      <c r="J113" s="40" t="str">
        <f t="shared" si="20"/>
        <v/>
      </c>
      <c r="K113" s="40" t="str">
        <f t="shared" si="20"/>
        <v/>
      </c>
      <c r="L113" s="40" t="str">
        <f t="shared" si="20"/>
        <v/>
      </c>
      <c r="M113" s="40" t="str">
        <f t="shared" si="20"/>
        <v/>
      </c>
      <c r="N113" s="40" t="str">
        <f t="shared" si="20"/>
        <v/>
      </c>
      <c r="O113" s="40" t="str">
        <f t="shared" si="20"/>
        <v/>
      </c>
      <c r="P113" s="40" t="str">
        <f t="shared" si="20"/>
        <v/>
      </c>
      <c r="Q113" s="40" t="str">
        <f t="shared" si="20"/>
        <v/>
      </c>
      <c r="R113" s="40" t="str">
        <f t="shared" si="20"/>
        <v/>
      </c>
      <c r="S113" s="40" t="str">
        <f t="shared" si="20"/>
        <v/>
      </c>
      <c r="T113" s="40" t="str">
        <f t="shared" si="20"/>
        <v/>
      </c>
      <c r="U113" s="40" t="str">
        <f t="shared" si="20"/>
        <v/>
      </c>
      <c r="V113" s="40" t="str">
        <f t="shared" si="20"/>
        <v/>
      </c>
      <c r="W113" s="40" t="str">
        <f t="shared" si="20"/>
        <v/>
      </c>
      <c r="X113" s="40" t="str">
        <f t="shared" si="20"/>
        <v/>
      </c>
      <c r="Y113" s="40" t="str">
        <f t="shared" si="20"/>
        <v/>
      </c>
      <c r="Z113" s="40" t="str">
        <f t="shared" si="20"/>
        <v/>
      </c>
      <c r="AA113" s="40" t="str">
        <f t="shared" si="20"/>
        <v/>
      </c>
      <c r="AB113" s="40" t="str">
        <f t="shared" si="20"/>
        <v/>
      </c>
      <c r="AC113" s="40" t="str">
        <f t="shared" si="20"/>
        <v/>
      </c>
      <c r="AD113" s="40" t="str">
        <f t="shared" si="20"/>
        <v/>
      </c>
      <c r="AE113" s="40" t="str">
        <f t="shared" si="20"/>
        <v/>
      </c>
      <c r="AF113" s="40" t="str">
        <f t="shared" si="20"/>
        <v/>
      </c>
      <c r="AG113" s="40" t="str">
        <f t="shared" si="20"/>
        <v/>
      </c>
      <c r="AH113" s="40" t="str">
        <f t="shared" si="20"/>
        <v/>
      </c>
      <c r="AI113" s="40" t="str">
        <f t="shared" si="20"/>
        <v/>
      </c>
      <c r="AJ113" s="40" t="str">
        <f t="shared" si="20"/>
        <v/>
      </c>
      <c r="AK113" s="62" t="str">
        <f t="shared" si="15"/>
        <v/>
      </c>
    </row>
    <row r="114" spans="1:37" ht="15" thickBot="1" x14ac:dyDescent="0.4">
      <c r="A114" s="1196"/>
      <c r="B114" s="22">
        <v>8</v>
      </c>
      <c r="C114" s="40" t="str">
        <f t="shared" ref="C114:AJ114" si="21">IF(COUNTBLANK($C$47:$AG$58)&lt;372,IF(COUNTIF(C54,"*I*"),C77,""),IF(COUNTBLANK($C$26:$AG$37)&lt;372,IF(COUNTIF(C33,"*I*"),C77,""),IF(COUNTIF(C12,"*I*"),C77,"")))</f>
        <v/>
      </c>
      <c r="D114" s="40" t="str">
        <f t="shared" si="21"/>
        <v/>
      </c>
      <c r="E114" s="40" t="str">
        <f t="shared" si="21"/>
        <v/>
      </c>
      <c r="F114" s="40" t="str">
        <f t="shared" si="21"/>
        <v/>
      </c>
      <c r="G114" s="40" t="str">
        <f t="shared" si="21"/>
        <v/>
      </c>
      <c r="H114" s="40" t="str">
        <f t="shared" si="21"/>
        <v/>
      </c>
      <c r="I114" s="40" t="str">
        <f t="shared" si="21"/>
        <v/>
      </c>
      <c r="J114" s="40" t="str">
        <f t="shared" si="21"/>
        <v/>
      </c>
      <c r="K114" s="40" t="str">
        <f t="shared" si="21"/>
        <v/>
      </c>
      <c r="L114" s="40" t="str">
        <f t="shared" si="21"/>
        <v/>
      </c>
      <c r="M114" s="40" t="str">
        <f t="shared" si="21"/>
        <v/>
      </c>
      <c r="N114" s="40" t="str">
        <f t="shared" si="21"/>
        <v/>
      </c>
      <c r="O114" s="40" t="str">
        <f t="shared" si="21"/>
        <v/>
      </c>
      <c r="P114" s="40" t="str">
        <f t="shared" si="21"/>
        <v/>
      </c>
      <c r="Q114" s="40" t="str">
        <f t="shared" si="21"/>
        <v/>
      </c>
      <c r="R114" s="40" t="str">
        <f t="shared" si="21"/>
        <v/>
      </c>
      <c r="S114" s="40" t="str">
        <f t="shared" si="21"/>
        <v/>
      </c>
      <c r="T114" s="40" t="str">
        <f t="shared" si="21"/>
        <v/>
      </c>
      <c r="U114" s="40" t="str">
        <f t="shared" si="21"/>
        <v/>
      </c>
      <c r="V114" s="40" t="str">
        <f t="shared" si="21"/>
        <v/>
      </c>
      <c r="W114" s="40" t="str">
        <f t="shared" si="21"/>
        <v/>
      </c>
      <c r="X114" s="40" t="str">
        <f t="shared" si="21"/>
        <v/>
      </c>
      <c r="Y114" s="40" t="str">
        <f t="shared" si="21"/>
        <v/>
      </c>
      <c r="Z114" s="40" t="str">
        <f t="shared" si="21"/>
        <v/>
      </c>
      <c r="AA114" s="40" t="str">
        <f t="shared" si="21"/>
        <v/>
      </c>
      <c r="AB114" s="40" t="str">
        <f t="shared" si="21"/>
        <v/>
      </c>
      <c r="AC114" s="40" t="str">
        <f t="shared" si="21"/>
        <v/>
      </c>
      <c r="AD114" s="40" t="str">
        <f t="shared" si="21"/>
        <v/>
      </c>
      <c r="AE114" s="40" t="str">
        <f t="shared" si="21"/>
        <v/>
      </c>
      <c r="AF114" s="40" t="str">
        <f t="shared" si="21"/>
        <v/>
      </c>
      <c r="AG114" s="40" t="str">
        <f t="shared" si="21"/>
        <v/>
      </c>
      <c r="AH114" s="40" t="str">
        <f t="shared" si="21"/>
        <v/>
      </c>
      <c r="AI114" s="40" t="str">
        <f t="shared" si="21"/>
        <v/>
      </c>
      <c r="AJ114" s="40" t="str">
        <f t="shared" si="21"/>
        <v/>
      </c>
      <c r="AK114" s="62" t="str">
        <f t="shared" si="15"/>
        <v/>
      </c>
    </row>
    <row r="115" spans="1:37" ht="15" thickBot="1" x14ac:dyDescent="0.4">
      <c r="A115" s="1196"/>
      <c r="B115" s="22">
        <v>9</v>
      </c>
      <c r="C115" s="40" t="str">
        <f t="shared" ref="C115:AJ115" si="22">IF(COUNTBLANK($C$47:$AG$58)&lt;372,IF(COUNTIF(C55,"*I*"),C78,""),IF(COUNTBLANK($C$26:$AG$37)&lt;372,IF(COUNTIF(C34,"*I*"),C78,""),IF(COUNTIF(C13,"*I*"),C78,"")))</f>
        <v/>
      </c>
      <c r="D115" s="40" t="str">
        <f t="shared" si="22"/>
        <v/>
      </c>
      <c r="E115" s="40" t="str">
        <f t="shared" si="22"/>
        <v/>
      </c>
      <c r="F115" s="40" t="str">
        <f t="shared" si="22"/>
        <v/>
      </c>
      <c r="G115" s="40" t="str">
        <f t="shared" si="22"/>
        <v/>
      </c>
      <c r="H115" s="40" t="str">
        <f t="shared" si="22"/>
        <v/>
      </c>
      <c r="I115" s="40" t="str">
        <f t="shared" si="22"/>
        <v/>
      </c>
      <c r="J115" s="40" t="str">
        <f t="shared" si="22"/>
        <v/>
      </c>
      <c r="K115" s="40" t="str">
        <f t="shared" si="22"/>
        <v/>
      </c>
      <c r="L115" s="40" t="str">
        <f t="shared" si="22"/>
        <v/>
      </c>
      <c r="M115" s="40" t="str">
        <f t="shared" si="22"/>
        <v/>
      </c>
      <c r="N115" s="40" t="str">
        <f t="shared" si="22"/>
        <v/>
      </c>
      <c r="O115" s="40" t="str">
        <f t="shared" si="22"/>
        <v/>
      </c>
      <c r="P115" s="40" t="str">
        <f t="shared" si="22"/>
        <v/>
      </c>
      <c r="Q115" s="40" t="str">
        <f t="shared" si="22"/>
        <v/>
      </c>
      <c r="R115" s="40" t="str">
        <f t="shared" si="22"/>
        <v/>
      </c>
      <c r="S115" s="40" t="str">
        <f t="shared" si="22"/>
        <v/>
      </c>
      <c r="T115" s="40" t="str">
        <f t="shared" si="22"/>
        <v/>
      </c>
      <c r="U115" s="40" t="str">
        <f t="shared" si="22"/>
        <v/>
      </c>
      <c r="V115" s="40" t="str">
        <f t="shared" si="22"/>
        <v/>
      </c>
      <c r="W115" s="40" t="str">
        <f t="shared" si="22"/>
        <v/>
      </c>
      <c r="X115" s="40" t="str">
        <f t="shared" si="22"/>
        <v/>
      </c>
      <c r="Y115" s="40" t="str">
        <f t="shared" si="22"/>
        <v/>
      </c>
      <c r="Z115" s="40" t="str">
        <f t="shared" si="22"/>
        <v/>
      </c>
      <c r="AA115" s="40" t="str">
        <f t="shared" si="22"/>
        <v/>
      </c>
      <c r="AB115" s="40" t="str">
        <f t="shared" si="22"/>
        <v/>
      </c>
      <c r="AC115" s="40" t="str">
        <f t="shared" si="22"/>
        <v/>
      </c>
      <c r="AD115" s="40" t="str">
        <f t="shared" si="22"/>
        <v/>
      </c>
      <c r="AE115" s="40" t="str">
        <f t="shared" si="22"/>
        <v/>
      </c>
      <c r="AF115" s="40" t="str">
        <f t="shared" si="22"/>
        <v/>
      </c>
      <c r="AG115" s="40" t="str">
        <f t="shared" si="22"/>
        <v/>
      </c>
      <c r="AH115" s="40" t="str">
        <f t="shared" si="22"/>
        <v/>
      </c>
      <c r="AI115" s="40" t="str">
        <f t="shared" si="22"/>
        <v/>
      </c>
      <c r="AJ115" s="40" t="str">
        <f t="shared" si="22"/>
        <v/>
      </c>
      <c r="AK115" s="62" t="str">
        <f t="shared" si="15"/>
        <v/>
      </c>
    </row>
    <row r="116" spans="1:37" ht="15" thickBot="1" x14ac:dyDescent="0.4">
      <c r="A116" s="1196"/>
      <c r="B116" s="22">
        <v>10</v>
      </c>
      <c r="C116" s="40" t="str">
        <f t="shared" ref="C116:AJ116" si="23">IF(COUNTBLANK($C$47:$AG$58)&lt;372,IF(COUNTIF(C56,"*I*"),C79,""),IF(COUNTBLANK($C$26:$AG$37)&lt;372,IF(COUNTIF(C35,"*I*"),C79,""),IF(COUNTIF(C14,"*I*"),C79,"")))</f>
        <v/>
      </c>
      <c r="D116" s="40" t="str">
        <f t="shared" si="23"/>
        <v/>
      </c>
      <c r="E116" s="40" t="str">
        <f t="shared" si="23"/>
        <v/>
      </c>
      <c r="F116" s="40" t="str">
        <f t="shared" si="23"/>
        <v/>
      </c>
      <c r="G116" s="40" t="str">
        <f t="shared" si="23"/>
        <v/>
      </c>
      <c r="H116" s="40" t="str">
        <f t="shared" si="23"/>
        <v/>
      </c>
      <c r="I116" s="40" t="str">
        <f t="shared" si="23"/>
        <v/>
      </c>
      <c r="J116" s="40" t="str">
        <f t="shared" si="23"/>
        <v/>
      </c>
      <c r="K116" s="40" t="str">
        <f t="shared" si="23"/>
        <v/>
      </c>
      <c r="L116" s="40" t="str">
        <f t="shared" si="23"/>
        <v/>
      </c>
      <c r="M116" s="40" t="str">
        <f t="shared" si="23"/>
        <v/>
      </c>
      <c r="N116" s="40" t="str">
        <f t="shared" si="23"/>
        <v/>
      </c>
      <c r="O116" s="40" t="str">
        <f t="shared" si="23"/>
        <v/>
      </c>
      <c r="P116" s="40" t="str">
        <f t="shared" si="23"/>
        <v/>
      </c>
      <c r="Q116" s="40" t="str">
        <f t="shared" si="23"/>
        <v/>
      </c>
      <c r="R116" s="40" t="str">
        <f t="shared" si="23"/>
        <v/>
      </c>
      <c r="S116" s="40" t="str">
        <f t="shared" si="23"/>
        <v/>
      </c>
      <c r="T116" s="40" t="str">
        <f t="shared" si="23"/>
        <v/>
      </c>
      <c r="U116" s="40" t="str">
        <f t="shared" si="23"/>
        <v/>
      </c>
      <c r="V116" s="40" t="str">
        <f t="shared" si="23"/>
        <v/>
      </c>
      <c r="W116" s="40" t="str">
        <f t="shared" si="23"/>
        <v/>
      </c>
      <c r="X116" s="40" t="str">
        <f t="shared" si="23"/>
        <v/>
      </c>
      <c r="Y116" s="40" t="str">
        <f t="shared" si="23"/>
        <v/>
      </c>
      <c r="Z116" s="40" t="str">
        <f t="shared" si="23"/>
        <v/>
      </c>
      <c r="AA116" s="40" t="str">
        <f t="shared" si="23"/>
        <v/>
      </c>
      <c r="AB116" s="40" t="str">
        <f t="shared" si="23"/>
        <v/>
      </c>
      <c r="AC116" s="40" t="str">
        <f t="shared" si="23"/>
        <v/>
      </c>
      <c r="AD116" s="40" t="str">
        <f t="shared" si="23"/>
        <v/>
      </c>
      <c r="AE116" s="40" t="str">
        <f t="shared" si="23"/>
        <v/>
      </c>
      <c r="AF116" s="40" t="str">
        <f t="shared" si="23"/>
        <v/>
      </c>
      <c r="AG116" s="40" t="str">
        <f t="shared" si="23"/>
        <v/>
      </c>
      <c r="AH116" s="40" t="str">
        <f t="shared" si="23"/>
        <v/>
      </c>
      <c r="AI116" s="40" t="str">
        <f t="shared" si="23"/>
        <v/>
      </c>
      <c r="AJ116" s="40" t="str">
        <f t="shared" si="23"/>
        <v/>
      </c>
      <c r="AK116" s="62" t="str">
        <f t="shared" si="15"/>
        <v/>
      </c>
    </row>
    <row r="117" spans="1:37" ht="15" thickBot="1" x14ac:dyDescent="0.4">
      <c r="A117" s="1196"/>
      <c r="B117" s="22">
        <v>11</v>
      </c>
      <c r="C117" s="40" t="str">
        <f t="shared" ref="C117:AJ117" si="24">IF(COUNTBLANK($C$47:$AG$58)&lt;372,IF(COUNTIF(C57,"*I*"),C80,""),IF(COUNTBLANK($C$26:$AG$37)&lt;372,IF(COUNTIF(C36,"*I*"),C80,""),IF(COUNTIF(C15,"*I*"),C80,"")))</f>
        <v/>
      </c>
      <c r="D117" s="40" t="str">
        <f t="shared" si="24"/>
        <v/>
      </c>
      <c r="E117" s="40" t="str">
        <f t="shared" si="24"/>
        <v/>
      </c>
      <c r="F117" s="40" t="str">
        <f t="shared" si="24"/>
        <v/>
      </c>
      <c r="G117" s="40" t="str">
        <f t="shared" si="24"/>
        <v/>
      </c>
      <c r="H117" s="40" t="str">
        <f t="shared" si="24"/>
        <v/>
      </c>
      <c r="I117" s="40" t="str">
        <f t="shared" si="24"/>
        <v/>
      </c>
      <c r="J117" s="40" t="str">
        <f t="shared" si="24"/>
        <v/>
      </c>
      <c r="K117" s="40" t="str">
        <f t="shared" si="24"/>
        <v/>
      </c>
      <c r="L117" s="40" t="str">
        <f t="shared" si="24"/>
        <v/>
      </c>
      <c r="M117" s="40" t="str">
        <f t="shared" si="24"/>
        <v/>
      </c>
      <c r="N117" s="40" t="str">
        <f t="shared" si="24"/>
        <v/>
      </c>
      <c r="O117" s="40" t="str">
        <f t="shared" si="24"/>
        <v/>
      </c>
      <c r="P117" s="40" t="str">
        <f t="shared" si="24"/>
        <v/>
      </c>
      <c r="Q117" s="40" t="str">
        <f t="shared" si="24"/>
        <v/>
      </c>
      <c r="R117" s="40" t="str">
        <f t="shared" si="24"/>
        <v/>
      </c>
      <c r="S117" s="40" t="str">
        <f t="shared" si="24"/>
        <v/>
      </c>
      <c r="T117" s="40" t="str">
        <f t="shared" si="24"/>
        <v/>
      </c>
      <c r="U117" s="40" t="str">
        <f t="shared" si="24"/>
        <v/>
      </c>
      <c r="V117" s="40" t="str">
        <f t="shared" si="24"/>
        <v/>
      </c>
      <c r="W117" s="40" t="str">
        <f t="shared" si="24"/>
        <v/>
      </c>
      <c r="X117" s="40" t="str">
        <f t="shared" si="24"/>
        <v/>
      </c>
      <c r="Y117" s="40" t="str">
        <f t="shared" si="24"/>
        <v/>
      </c>
      <c r="Z117" s="40" t="str">
        <f t="shared" si="24"/>
        <v/>
      </c>
      <c r="AA117" s="40" t="str">
        <f t="shared" si="24"/>
        <v/>
      </c>
      <c r="AB117" s="40" t="str">
        <f t="shared" si="24"/>
        <v/>
      </c>
      <c r="AC117" s="40" t="str">
        <f t="shared" si="24"/>
        <v/>
      </c>
      <c r="AD117" s="40" t="str">
        <f t="shared" si="24"/>
        <v/>
      </c>
      <c r="AE117" s="40" t="str">
        <f t="shared" si="24"/>
        <v/>
      </c>
      <c r="AF117" s="40" t="str">
        <f t="shared" si="24"/>
        <v/>
      </c>
      <c r="AG117" s="40" t="str">
        <f t="shared" si="24"/>
        <v/>
      </c>
      <c r="AH117" s="40" t="str">
        <f t="shared" si="24"/>
        <v/>
      </c>
      <c r="AI117" s="40" t="str">
        <f t="shared" si="24"/>
        <v/>
      </c>
      <c r="AJ117" s="40" t="str">
        <f t="shared" si="24"/>
        <v/>
      </c>
      <c r="AK117" s="62" t="str">
        <f t="shared" si="15"/>
        <v/>
      </c>
    </row>
    <row r="118" spans="1:37" ht="15" thickBot="1" x14ac:dyDescent="0.4">
      <c r="A118" s="1197"/>
      <c r="B118" s="23">
        <v>12</v>
      </c>
      <c r="C118" s="40" t="str">
        <f t="shared" ref="C118:AJ118" si="25">IF(COUNTBLANK($C$47:$AG$58)&lt;372,IF(COUNTIF(C58,"*I*"),C81,""),IF(COUNTBLANK($C$26:$AG$37)&lt;372,IF(COUNTIF(C37,"*I*"),C81,""),IF(COUNTIF(C16,"*I*"),C81,"")))</f>
        <v/>
      </c>
      <c r="D118" s="40" t="str">
        <f t="shared" si="25"/>
        <v/>
      </c>
      <c r="E118" s="40" t="str">
        <f t="shared" si="25"/>
        <v/>
      </c>
      <c r="F118" s="40" t="str">
        <f t="shared" si="25"/>
        <v/>
      </c>
      <c r="G118" s="40" t="str">
        <f t="shared" si="25"/>
        <v/>
      </c>
      <c r="H118" s="40" t="str">
        <f t="shared" si="25"/>
        <v/>
      </c>
      <c r="I118" s="40" t="str">
        <f t="shared" si="25"/>
        <v/>
      </c>
      <c r="J118" s="40" t="str">
        <f t="shared" si="25"/>
        <v/>
      </c>
      <c r="K118" s="40" t="str">
        <f t="shared" si="25"/>
        <v/>
      </c>
      <c r="L118" s="40" t="str">
        <f t="shared" si="25"/>
        <v/>
      </c>
      <c r="M118" s="40" t="str">
        <f t="shared" si="25"/>
        <v/>
      </c>
      <c r="N118" s="40" t="str">
        <f t="shared" si="25"/>
        <v/>
      </c>
      <c r="O118" s="40" t="str">
        <f t="shared" si="25"/>
        <v/>
      </c>
      <c r="P118" s="40" t="str">
        <f t="shared" si="25"/>
        <v/>
      </c>
      <c r="Q118" s="40" t="str">
        <f t="shared" si="25"/>
        <v/>
      </c>
      <c r="R118" s="40" t="str">
        <f t="shared" si="25"/>
        <v/>
      </c>
      <c r="S118" s="40" t="str">
        <f t="shared" si="25"/>
        <v/>
      </c>
      <c r="T118" s="40" t="str">
        <f t="shared" si="25"/>
        <v/>
      </c>
      <c r="U118" s="40" t="str">
        <f t="shared" si="25"/>
        <v/>
      </c>
      <c r="V118" s="40" t="str">
        <f t="shared" si="25"/>
        <v/>
      </c>
      <c r="W118" s="40" t="str">
        <f t="shared" si="25"/>
        <v/>
      </c>
      <c r="X118" s="40" t="str">
        <f t="shared" si="25"/>
        <v/>
      </c>
      <c r="Y118" s="40" t="str">
        <f t="shared" si="25"/>
        <v/>
      </c>
      <c r="Z118" s="40" t="str">
        <f t="shared" si="25"/>
        <v/>
      </c>
      <c r="AA118" s="40" t="str">
        <f t="shared" si="25"/>
        <v/>
      </c>
      <c r="AB118" s="40" t="str">
        <f t="shared" si="25"/>
        <v/>
      </c>
      <c r="AC118" s="40" t="str">
        <f t="shared" si="25"/>
        <v/>
      </c>
      <c r="AD118" s="40" t="str">
        <f t="shared" si="25"/>
        <v/>
      </c>
      <c r="AE118" s="40" t="str">
        <f t="shared" si="25"/>
        <v/>
      </c>
      <c r="AF118" s="40" t="str">
        <f t="shared" si="25"/>
        <v/>
      </c>
      <c r="AG118" s="40" t="str">
        <f t="shared" si="25"/>
        <v/>
      </c>
      <c r="AH118" s="40" t="str">
        <f t="shared" si="25"/>
        <v/>
      </c>
      <c r="AI118" s="40" t="str">
        <f t="shared" si="25"/>
        <v/>
      </c>
      <c r="AJ118" s="40" t="str">
        <f t="shared" si="25"/>
        <v/>
      </c>
      <c r="AK118" s="62" t="str">
        <f t="shared" si="15"/>
        <v/>
      </c>
    </row>
    <row r="119" spans="1:37" x14ac:dyDescent="0.35">
      <c r="AK119" s="63" t="str">
        <f>SUBSTITUTE(CONCATENATE(AK107,AK108,AK109,AK110,AK111,AK112,AK113,AK114,AK115,AK116,AK117,AK118),"P","I")</f>
        <v/>
      </c>
    </row>
    <row r="120" spans="1:37" x14ac:dyDescent="0.35">
      <c r="AK120" s="63" t="s">
        <v>714</v>
      </c>
    </row>
    <row r="121" spans="1:37" x14ac:dyDescent="0.35">
      <c r="AK121" s="63" t="s">
        <v>714</v>
      </c>
    </row>
    <row r="122" spans="1:37" ht="15" thickBot="1" x14ac:dyDescent="0.4">
      <c r="AK122" s="64" t="str">
        <f>IF(AK119&lt;&gt;"",IF(LEN(AK119)&lt;9,CONCATENATE(AK120,LEFT(AK119,4),"."),IF(LEN(AK119&gt;6),LEFT(CONCATENATE(AK121,LEFT(AK119,LEN(AK119)-10),SUBSTITUTE(RIGHT(AK119,10),", "," and ")),LEN(CONCATENATE(AK121,LEFT(AK119,LEN(AK119)-10),SUBSTITUTE(RIGHT(AK119,10),", "," and ")))-5)&amp;". ")),"")</f>
        <v/>
      </c>
    </row>
    <row r="125" spans="1:37" ht="15" thickBot="1" x14ac:dyDescent="0.4">
      <c r="C125" s="1201" t="s">
        <v>710</v>
      </c>
      <c r="D125" s="1201"/>
      <c r="E125" s="1201"/>
      <c r="F125" s="1201"/>
      <c r="G125" s="1201"/>
      <c r="H125" s="1201"/>
      <c r="I125" s="1201"/>
      <c r="J125" s="1201"/>
      <c r="K125" s="1201"/>
      <c r="L125" s="1201"/>
      <c r="M125" s="1201"/>
      <c r="N125" s="1201"/>
      <c r="O125" s="1201"/>
      <c r="P125" s="1201"/>
      <c r="Q125" s="1201"/>
      <c r="R125" s="1201"/>
      <c r="S125" s="1201"/>
      <c r="T125" s="1201"/>
      <c r="U125" s="1201"/>
      <c r="V125" s="1201"/>
      <c r="W125" s="1201"/>
      <c r="X125" s="1201"/>
      <c r="Y125" s="1201"/>
      <c r="Z125" s="1201"/>
      <c r="AA125" s="1201"/>
      <c r="AB125" s="1201"/>
      <c r="AC125" s="1201"/>
      <c r="AD125" s="1201"/>
      <c r="AE125" s="1201"/>
      <c r="AF125" s="1201"/>
      <c r="AG125" s="1201"/>
      <c r="AH125" s="1201"/>
      <c r="AI125" s="1201"/>
    </row>
    <row r="126" spans="1:37" x14ac:dyDescent="0.35">
      <c r="A126" s="1202"/>
      <c r="B126" s="1203"/>
      <c r="C126" s="1207" t="s">
        <v>17</v>
      </c>
      <c r="D126" s="1207"/>
      <c r="E126" s="1207"/>
      <c r="F126" s="1207"/>
      <c r="G126" s="1207"/>
      <c r="H126" s="1207"/>
      <c r="I126" s="1207"/>
      <c r="J126" s="1207"/>
      <c r="K126" s="1207"/>
      <c r="L126" s="1207"/>
      <c r="M126" s="1207"/>
      <c r="N126" s="1207"/>
      <c r="O126" s="1207"/>
      <c r="P126" s="1207"/>
      <c r="Q126" s="1207"/>
      <c r="R126" s="1207"/>
      <c r="S126" s="1207"/>
      <c r="T126" s="1207"/>
      <c r="U126" s="1207"/>
      <c r="V126" s="1208"/>
      <c r="W126" s="6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8"/>
    </row>
    <row r="127" spans="1:37" ht="15" thickBot="1" x14ac:dyDescent="0.4">
      <c r="A127" s="1204"/>
      <c r="B127" s="1205"/>
      <c r="C127" s="361">
        <v>1</v>
      </c>
      <c r="D127" s="35">
        <v>2</v>
      </c>
      <c r="E127" s="35">
        <v>3</v>
      </c>
      <c r="F127" s="35">
        <v>4</v>
      </c>
      <c r="G127" s="35">
        <v>5</v>
      </c>
      <c r="H127" s="35">
        <v>6</v>
      </c>
      <c r="I127" s="35">
        <v>7</v>
      </c>
      <c r="J127" s="35">
        <v>8</v>
      </c>
      <c r="K127" s="35">
        <v>9</v>
      </c>
      <c r="L127" s="35">
        <v>10</v>
      </c>
      <c r="M127" s="35">
        <v>11</v>
      </c>
      <c r="N127" s="35">
        <v>12</v>
      </c>
      <c r="O127" s="35">
        <v>13</v>
      </c>
      <c r="P127" s="35">
        <v>14</v>
      </c>
      <c r="Q127" s="35">
        <v>15</v>
      </c>
      <c r="R127" s="35">
        <v>16</v>
      </c>
      <c r="S127" s="35">
        <v>17</v>
      </c>
      <c r="T127" s="35">
        <v>18</v>
      </c>
      <c r="U127" s="35">
        <v>19</v>
      </c>
      <c r="V127" s="357">
        <v>20</v>
      </c>
      <c r="W127" s="35">
        <v>21</v>
      </c>
      <c r="X127" s="357">
        <v>22</v>
      </c>
      <c r="Y127" s="35">
        <v>23</v>
      </c>
      <c r="Z127" s="357">
        <v>24</v>
      </c>
      <c r="AA127" s="35">
        <v>25</v>
      </c>
      <c r="AB127" s="357">
        <v>26</v>
      </c>
      <c r="AC127" s="35">
        <v>27</v>
      </c>
      <c r="AD127" s="357">
        <v>28</v>
      </c>
      <c r="AE127" s="35">
        <v>29</v>
      </c>
      <c r="AF127" s="357">
        <v>30</v>
      </c>
      <c r="AG127" s="35">
        <v>31</v>
      </c>
      <c r="AH127" s="357">
        <v>32</v>
      </c>
      <c r="AI127" s="35">
        <v>33</v>
      </c>
      <c r="AJ127" s="357">
        <v>34</v>
      </c>
    </row>
    <row r="128" spans="1:37" ht="15" thickBot="1" x14ac:dyDescent="0.4">
      <c r="A128" s="1196" t="s">
        <v>18</v>
      </c>
      <c r="B128" s="6">
        <v>1</v>
      </c>
      <c r="C128" s="184" t="str">
        <f t="shared" ref="C128:AJ128" si="26">IF(COUNTBLANK($C$47:$AG$58)&lt;372,IF(COUNTIF(C47,"*B*"),C70,""),IF(COUNTBLANK($C$26:$AG$37)&lt;372,IF(COUNTIF(C26,"*B*"),C70,""),IF(COUNTIF(C5,"*B*"),C70,"")))</f>
        <v/>
      </c>
      <c r="D128" s="185" t="str">
        <f t="shared" si="26"/>
        <v/>
      </c>
      <c r="E128" s="185" t="str">
        <f t="shared" si="26"/>
        <v/>
      </c>
      <c r="F128" s="185" t="str">
        <f t="shared" si="26"/>
        <v/>
      </c>
      <c r="G128" s="185" t="str">
        <f t="shared" si="26"/>
        <v/>
      </c>
      <c r="H128" s="185" t="str">
        <f t="shared" si="26"/>
        <v/>
      </c>
      <c r="I128" s="185" t="str">
        <f t="shared" si="26"/>
        <v/>
      </c>
      <c r="J128" s="185" t="str">
        <f t="shared" si="26"/>
        <v/>
      </c>
      <c r="K128" s="185" t="str">
        <f t="shared" si="26"/>
        <v/>
      </c>
      <c r="L128" s="185" t="str">
        <f t="shared" si="26"/>
        <v/>
      </c>
      <c r="M128" s="185" t="str">
        <f t="shared" si="26"/>
        <v/>
      </c>
      <c r="N128" s="185" t="str">
        <f t="shared" si="26"/>
        <v/>
      </c>
      <c r="O128" s="185" t="str">
        <f t="shared" si="26"/>
        <v/>
      </c>
      <c r="P128" s="185" t="str">
        <f t="shared" si="26"/>
        <v/>
      </c>
      <c r="Q128" s="185" t="str">
        <f t="shared" si="26"/>
        <v/>
      </c>
      <c r="R128" s="185" t="str">
        <f t="shared" si="26"/>
        <v/>
      </c>
      <c r="S128" s="185" t="str">
        <f t="shared" si="26"/>
        <v/>
      </c>
      <c r="T128" s="185" t="str">
        <f t="shared" si="26"/>
        <v/>
      </c>
      <c r="U128" s="185" t="str">
        <f t="shared" si="26"/>
        <v/>
      </c>
      <c r="V128" s="185" t="str">
        <f t="shared" si="26"/>
        <v/>
      </c>
      <c r="W128" s="185" t="str">
        <f t="shared" si="26"/>
        <v/>
      </c>
      <c r="X128" s="185" t="str">
        <f t="shared" si="26"/>
        <v/>
      </c>
      <c r="Y128" s="185" t="str">
        <f t="shared" si="26"/>
        <v/>
      </c>
      <c r="Z128" s="185" t="str">
        <f t="shared" si="26"/>
        <v/>
      </c>
      <c r="AA128" s="185" t="str">
        <f t="shared" si="26"/>
        <v/>
      </c>
      <c r="AB128" s="185" t="str">
        <f t="shared" si="26"/>
        <v/>
      </c>
      <c r="AC128" s="185" t="str">
        <f t="shared" si="26"/>
        <v/>
      </c>
      <c r="AD128" s="185" t="str">
        <f t="shared" si="26"/>
        <v/>
      </c>
      <c r="AE128" s="185" t="str">
        <f t="shared" si="26"/>
        <v/>
      </c>
      <c r="AF128" s="185" t="str">
        <f t="shared" si="26"/>
        <v/>
      </c>
      <c r="AG128" s="185" t="str">
        <f t="shared" si="26"/>
        <v/>
      </c>
      <c r="AH128" s="185" t="str">
        <f t="shared" si="26"/>
        <v/>
      </c>
      <c r="AI128" s="185" t="str">
        <f t="shared" si="26"/>
        <v/>
      </c>
      <c r="AJ128" s="853" t="str">
        <f t="shared" si="26"/>
        <v/>
      </c>
      <c r="AK128" s="62" t="str">
        <f>CONCATENATE(C128,D128,E128,F128,G128,H128,I128,J128,K128,L128,M128,N128,O128,P128,Q128,R128,S128,T128,U128,V128,W128,X128,Y128,Z128,AA128,AB128,AC128,AD128,AE128,AF128,AG128,AH128,AI128,AJ128)</f>
        <v/>
      </c>
    </row>
    <row r="129" spans="1:37" ht="15" thickBot="1" x14ac:dyDescent="0.4">
      <c r="A129" s="1196"/>
      <c r="B129" s="35">
        <v>2</v>
      </c>
      <c r="C129" s="115" t="str">
        <f t="shared" ref="C129:AJ129" si="27">IF(COUNTBLANK($C$47:$AG$58)&lt;372,IF(COUNTIF(C48,"*B*"),C71,""),IF(COUNTBLANK($C$26:$AG$37)&lt;372,IF(COUNTIF(C27,"*B*"),C71,""),IF(COUNTIF(C6,"*B*"),C71,"")))</f>
        <v/>
      </c>
      <c r="D129" s="40" t="str">
        <f t="shared" si="27"/>
        <v/>
      </c>
      <c r="E129" s="40" t="str">
        <f t="shared" si="27"/>
        <v/>
      </c>
      <c r="F129" s="40" t="str">
        <f t="shared" si="27"/>
        <v/>
      </c>
      <c r="G129" s="40" t="str">
        <f t="shared" si="27"/>
        <v/>
      </c>
      <c r="H129" s="40" t="str">
        <f t="shared" si="27"/>
        <v/>
      </c>
      <c r="I129" s="40" t="str">
        <f t="shared" si="27"/>
        <v/>
      </c>
      <c r="J129" s="40" t="str">
        <f t="shared" si="27"/>
        <v/>
      </c>
      <c r="K129" s="40" t="str">
        <f t="shared" si="27"/>
        <v/>
      </c>
      <c r="L129" s="40" t="str">
        <f t="shared" si="27"/>
        <v/>
      </c>
      <c r="M129" s="40" t="str">
        <f t="shared" si="27"/>
        <v/>
      </c>
      <c r="N129" s="40" t="str">
        <f t="shared" si="27"/>
        <v/>
      </c>
      <c r="O129" s="40" t="str">
        <f t="shared" si="27"/>
        <v/>
      </c>
      <c r="P129" s="40" t="str">
        <f t="shared" si="27"/>
        <v/>
      </c>
      <c r="Q129" s="40" t="str">
        <f t="shared" si="27"/>
        <v/>
      </c>
      <c r="R129" s="40" t="str">
        <f t="shared" si="27"/>
        <v/>
      </c>
      <c r="S129" s="40" t="str">
        <f t="shared" si="27"/>
        <v/>
      </c>
      <c r="T129" s="40" t="str">
        <f t="shared" si="27"/>
        <v/>
      </c>
      <c r="U129" s="40" t="str">
        <f t="shared" si="27"/>
        <v/>
      </c>
      <c r="V129" s="40" t="str">
        <f t="shared" si="27"/>
        <v/>
      </c>
      <c r="W129" s="40" t="str">
        <f t="shared" si="27"/>
        <v/>
      </c>
      <c r="X129" s="40" t="str">
        <f t="shared" si="27"/>
        <v/>
      </c>
      <c r="Y129" s="40" t="str">
        <f t="shared" si="27"/>
        <v/>
      </c>
      <c r="Z129" s="40" t="str">
        <f t="shared" si="27"/>
        <v/>
      </c>
      <c r="AA129" s="40" t="str">
        <f t="shared" si="27"/>
        <v/>
      </c>
      <c r="AB129" s="40" t="str">
        <f t="shared" si="27"/>
        <v/>
      </c>
      <c r="AC129" s="40" t="str">
        <f t="shared" si="27"/>
        <v/>
      </c>
      <c r="AD129" s="40" t="str">
        <f t="shared" si="27"/>
        <v/>
      </c>
      <c r="AE129" s="40" t="str">
        <f t="shared" si="27"/>
        <v/>
      </c>
      <c r="AF129" s="40" t="str">
        <f t="shared" si="27"/>
        <v/>
      </c>
      <c r="AG129" s="40" t="str">
        <f t="shared" si="27"/>
        <v/>
      </c>
      <c r="AH129" s="40" t="str">
        <f t="shared" si="27"/>
        <v/>
      </c>
      <c r="AI129" s="40" t="str">
        <f t="shared" si="27"/>
        <v/>
      </c>
      <c r="AJ129" s="854" t="str">
        <f t="shared" si="27"/>
        <v/>
      </c>
      <c r="AK129" s="62" t="str">
        <f t="shared" ref="AK129:AK139" si="28">CONCATENATE(C129,D129,E129,F129,G129,H129,I129,J129,K129,L129,M129,N129,O129,P129,Q129,R129,S129,T129,U129,V129,W129,X129,Y129,Z129,AA129,AB129,AC129,AD129,AE129,AF129,AG129,AH129,AI129,AJ129)</f>
        <v/>
      </c>
    </row>
    <row r="130" spans="1:37" ht="15" thickBot="1" x14ac:dyDescent="0.4">
      <c r="A130" s="1196"/>
      <c r="B130" s="35">
        <v>3</v>
      </c>
      <c r="C130" s="115" t="str">
        <f t="shared" ref="C130:AJ130" si="29">IF(COUNTBLANK($C$47:$AG$58)&lt;372,IF(COUNTIF(C49,"*B*"),C72,""),IF(COUNTBLANK($C$26:$AG$37)&lt;372,IF(COUNTIF(C28,"*B*"),C72,""),IF(COUNTIF(C7,"*B*"),C72,"")))</f>
        <v/>
      </c>
      <c r="D130" s="40" t="str">
        <f t="shared" si="29"/>
        <v/>
      </c>
      <c r="E130" s="40" t="str">
        <f t="shared" si="29"/>
        <v/>
      </c>
      <c r="F130" s="40" t="str">
        <f t="shared" si="29"/>
        <v/>
      </c>
      <c r="G130" s="40" t="str">
        <f t="shared" si="29"/>
        <v/>
      </c>
      <c r="H130" s="40" t="str">
        <f t="shared" si="29"/>
        <v/>
      </c>
      <c r="I130" s="40" t="str">
        <f t="shared" si="29"/>
        <v/>
      </c>
      <c r="J130" s="40" t="str">
        <f t="shared" si="29"/>
        <v/>
      </c>
      <c r="K130" s="40" t="str">
        <f t="shared" si="29"/>
        <v/>
      </c>
      <c r="L130" s="40" t="str">
        <f t="shared" si="29"/>
        <v/>
      </c>
      <c r="M130" s="40" t="str">
        <f t="shared" si="29"/>
        <v/>
      </c>
      <c r="N130" s="40" t="str">
        <f t="shared" si="29"/>
        <v/>
      </c>
      <c r="O130" s="40" t="str">
        <f t="shared" si="29"/>
        <v/>
      </c>
      <c r="P130" s="40" t="str">
        <f t="shared" si="29"/>
        <v/>
      </c>
      <c r="Q130" s="40" t="str">
        <f t="shared" si="29"/>
        <v/>
      </c>
      <c r="R130" s="40" t="str">
        <f t="shared" si="29"/>
        <v/>
      </c>
      <c r="S130" s="40" t="str">
        <f t="shared" si="29"/>
        <v/>
      </c>
      <c r="T130" s="40" t="str">
        <f t="shared" si="29"/>
        <v/>
      </c>
      <c r="U130" s="40" t="str">
        <f t="shared" si="29"/>
        <v/>
      </c>
      <c r="V130" s="40" t="str">
        <f t="shared" si="29"/>
        <v/>
      </c>
      <c r="W130" s="40" t="str">
        <f t="shared" si="29"/>
        <v/>
      </c>
      <c r="X130" s="40" t="str">
        <f t="shared" si="29"/>
        <v/>
      </c>
      <c r="Y130" s="40" t="str">
        <f t="shared" si="29"/>
        <v/>
      </c>
      <c r="Z130" s="40" t="str">
        <f t="shared" si="29"/>
        <v/>
      </c>
      <c r="AA130" s="40" t="str">
        <f t="shared" si="29"/>
        <v/>
      </c>
      <c r="AB130" s="40" t="str">
        <f t="shared" si="29"/>
        <v/>
      </c>
      <c r="AC130" s="40" t="str">
        <f t="shared" si="29"/>
        <v/>
      </c>
      <c r="AD130" s="40" t="str">
        <f t="shared" si="29"/>
        <v/>
      </c>
      <c r="AE130" s="40" t="str">
        <f t="shared" si="29"/>
        <v/>
      </c>
      <c r="AF130" s="40" t="str">
        <f t="shared" si="29"/>
        <v/>
      </c>
      <c r="AG130" s="40" t="str">
        <f t="shared" si="29"/>
        <v/>
      </c>
      <c r="AH130" s="40" t="str">
        <f t="shared" si="29"/>
        <v/>
      </c>
      <c r="AI130" s="40" t="str">
        <f t="shared" si="29"/>
        <v/>
      </c>
      <c r="AJ130" s="854" t="str">
        <f t="shared" si="29"/>
        <v/>
      </c>
      <c r="AK130" s="62" t="str">
        <f t="shared" si="28"/>
        <v/>
      </c>
    </row>
    <row r="131" spans="1:37" ht="15" thickBot="1" x14ac:dyDescent="0.4">
      <c r="A131" s="1196"/>
      <c r="B131" s="35">
        <v>4</v>
      </c>
      <c r="C131" s="115" t="str">
        <f t="shared" ref="C131:AJ131" si="30">IF(COUNTBLANK($C$47:$AG$58)&lt;372,IF(COUNTIF(C50,"*B*"),C73,""),IF(COUNTBLANK($C$26:$AG$37)&lt;372,IF(COUNTIF(C29,"*B*"),C73,""),IF(COUNTIF(C8,"*B*"),C73,"")))</f>
        <v/>
      </c>
      <c r="D131" s="40" t="str">
        <f t="shared" si="30"/>
        <v/>
      </c>
      <c r="E131" s="40" t="str">
        <f t="shared" si="30"/>
        <v/>
      </c>
      <c r="F131" s="40" t="str">
        <f t="shared" si="30"/>
        <v/>
      </c>
      <c r="G131" s="40" t="str">
        <f t="shared" si="30"/>
        <v/>
      </c>
      <c r="H131" s="40" t="str">
        <f t="shared" si="30"/>
        <v/>
      </c>
      <c r="I131" s="40" t="str">
        <f t="shared" si="30"/>
        <v/>
      </c>
      <c r="J131" s="40" t="str">
        <f t="shared" si="30"/>
        <v/>
      </c>
      <c r="K131" s="40" t="str">
        <f t="shared" si="30"/>
        <v/>
      </c>
      <c r="L131" s="40" t="str">
        <f t="shared" si="30"/>
        <v/>
      </c>
      <c r="M131" s="40" t="str">
        <f t="shared" si="30"/>
        <v/>
      </c>
      <c r="N131" s="40" t="str">
        <f t="shared" si="30"/>
        <v/>
      </c>
      <c r="O131" s="40" t="str">
        <f t="shared" si="30"/>
        <v/>
      </c>
      <c r="P131" s="40" t="str">
        <f t="shared" si="30"/>
        <v/>
      </c>
      <c r="Q131" s="40" t="str">
        <f t="shared" si="30"/>
        <v/>
      </c>
      <c r="R131" s="40" t="str">
        <f t="shared" si="30"/>
        <v/>
      </c>
      <c r="S131" s="40" t="str">
        <f t="shared" si="30"/>
        <v/>
      </c>
      <c r="T131" s="40" t="str">
        <f t="shared" si="30"/>
        <v/>
      </c>
      <c r="U131" s="40" t="str">
        <f t="shared" si="30"/>
        <v/>
      </c>
      <c r="V131" s="40" t="str">
        <f t="shared" si="30"/>
        <v/>
      </c>
      <c r="W131" s="40" t="str">
        <f t="shared" si="30"/>
        <v/>
      </c>
      <c r="X131" s="40" t="str">
        <f t="shared" si="30"/>
        <v/>
      </c>
      <c r="Y131" s="40" t="str">
        <f t="shared" si="30"/>
        <v/>
      </c>
      <c r="Z131" s="40" t="str">
        <f t="shared" si="30"/>
        <v/>
      </c>
      <c r="AA131" s="40" t="str">
        <f t="shared" si="30"/>
        <v/>
      </c>
      <c r="AB131" s="40" t="str">
        <f t="shared" si="30"/>
        <v/>
      </c>
      <c r="AC131" s="40" t="str">
        <f t="shared" si="30"/>
        <v/>
      </c>
      <c r="AD131" s="40" t="str">
        <f t="shared" si="30"/>
        <v/>
      </c>
      <c r="AE131" s="40" t="str">
        <f t="shared" si="30"/>
        <v/>
      </c>
      <c r="AF131" s="40" t="str">
        <f t="shared" si="30"/>
        <v/>
      </c>
      <c r="AG131" s="40" t="str">
        <f t="shared" si="30"/>
        <v/>
      </c>
      <c r="AH131" s="40" t="str">
        <f t="shared" si="30"/>
        <v/>
      </c>
      <c r="AI131" s="40" t="str">
        <f t="shared" si="30"/>
        <v/>
      </c>
      <c r="AJ131" s="854" t="str">
        <f t="shared" si="30"/>
        <v/>
      </c>
      <c r="AK131" s="62" t="str">
        <f t="shared" si="28"/>
        <v/>
      </c>
    </row>
    <row r="132" spans="1:37" ht="15" thickBot="1" x14ac:dyDescent="0.4">
      <c r="A132" s="1196"/>
      <c r="B132" s="35">
        <v>5</v>
      </c>
      <c r="C132" s="115" t="str">
        <f t="shared" ref="C132:AJ132" si="31">IF(COUNTBLANK($C$47:$AG$58)&lt;372,IF(COUNTIF(C51,"*B*"),C74,""),IF(COUNTBLANK($C$26:$AG$37)&lt;372,IF(COUNTIF(C30,"*B*"),C74,""),IF(COUNTIF(C9,"*B*"),C74,"")))</f>
        <v/>
      </c>
      <c r="D132" s="40" t="str">
        <f t="shared" si="31"/>
        <v/>
      </c>
      <c r="E132" s="40" t="str">
        <f t="shared" si="31"/>
        <v/>
      </c>
      <c r="F132" s="40" t="str">
        <f t="shared" si="31"/>
        <v/>
      </c>
      <c r="G132" s="40" t="str">
        <f t="shared" si="31"/>
        <v/>
      </c>
      <c r="H132" s="40" t="str">
        <f t="shared" si="31"/>
        <v/>
      </c>
      <c r="I132" s="40" t="str">
        <f t="shared" si="31"/>
        <v/>
      </c>
      <c r="J132" s="40" t="str">
        <f t="shared" si="31"/>
        <v/>
      </c>
      <c r="K132" s="40" t="str">
        <f t="shared" si="31"/>
        <v/>
      </c>
      <c r="L132" s="40" t="str">
        <f t="shared" si="31"/>
        <v/>
      </c>
      <c r="M132" s="40" t="str">
        <f t="shared" si="31"/>
        <v/>
      </c>
      <c r="N132" s="40" t="str">
        <f t="shared" si="31"/>
        <v/>
      </c>
      <c r="O132" s="40" t="str">
        <f t="shared" si="31"/>
        <v/>
      </c>
      <c r="P132" s="40" t="str">
        <f t="shared" si="31"/>
        <v/>
      </c>
      <c r="Q132" s="40" t="str">
        <f t="shared" si="31"/>
        <v/>
      </c>
      <c r="R132" s="40" t="str">
        <f t="shared" si="31"/>
        <v/>
      </c>
      <c r="S132" s="40" t="str">
        <f t="shared" si="31"/>
        <v/>
      </c>
      <c r="T132" s="40" t="str">
        <f t="shared" si="31"/>
        <v/>
      </c>
      <c r="U132" s="40" t="str">
        <f t="shared" si="31"/>
        <v/>
      </c>
      <c r="V132" s="40" t="str">
        <f t="shared" si="31"/>
        <v/>
      </c>
      <c r="W132" s="40" t="str">
        <f t="shared" si="31"/>
        <v/>
      </c>
      <c r="X132" s="40" t="str">
        <f t="shared" si="31"/>
        <v/>
      </c>
      <c r="Y132" s="40" t="str">
        <f t="shared" si="31"/>
        <v/>
      </c>
      <c r="Z132" s="40" t="str">
        <f t="shared" si="31"/>
        <v/>
      </c>
      <c r="AA132" s="40" t="str">
        <f t="shared" si="31"/>
        <v/>
      </c>
      <c r="AB132" s="40" t="str">
        <f t="shared" si="31"/>
        <v/>
      </c>
      <c r="AC132" s="40" t="str">
        <f t="shared" si="31"/>
        <v/>
      </c>
      <c r="AD132" s="40" t="str">
        <f t="shared" si="31"/>
        <v/>
      </c>
      <c r="AE132" s="40" t="str">
        <f t="shared" si="31"/>
        <v/>
      </c>
      <c r="AF132" s="40" t="str">
        <f t="shared" si="31"/>
        <v/>
      </c>
      <c r="AG132" s="40" t="str">
        <f t="shared" si="31"/>
        <v/>
      </c>
      <c r="AH132" s="40" t="str">
        <f t="shared" si="31"/>
        <v/>
      </c>
      <c r="AI132" s="40" t="str">
        <f t="shared" si="31"/>
        <v/>
      </c>
      <c r="AJ132" s="854" t="str">
        <f t="shared" si="31"/>
        <v/>
      </c>
      <c r="AK132" s="62" t="str">
        <f t="shared" si="28"/>
        <v/>
      </c>
    </row>
    <row r="133" spans="1:37" ht="15" thickBot="1" x14ac:dyDescent="0.4">
      <c r="A133" s="1196"/>
      <c r="B133" s="35">
        <v>6</v>
      </c>
      <c r="C133" s="115" t="str">
        <f t="shared" ref="C133:AJ133" si="32">IF(COUNTBLANK($C$47:$AG$58)&lt;372,IF(COUNTIF(C52,"*B*"),C75,""),IF(COUNTBLANK($C$26:$AG$37)&lt;372,IF(COUNTIF(C31,"*B*"),C75,""),IF(COUNTIF(C10,"*B*"),C75,"")))</f>
        <v/>
      </c>
      <c r="D133" s="40" t="str">
        <f t="shared" si="32"/>
        <v/>
      </c>
      <c r="E133" s="40" t="str">
        <f t="shared" si="32"/>
        <v/>
      </c>
      <c r="F133" s="40" t="str">
        <f t="shared" si="32"/>
        <v/>
      </c>
      <c r="G133" s="40" t="str">
        <f t="shared" si="32"/>
        <v/>
      </c>
      <c r="H133" s="40" t="str">
        <f t="shared" si="32"/>
        <v/>
      </c>
      <c r="I133" s="40" t="str">
        <f t="shared" si="32"/>
        <v/>
      </c>
      <c r="J133" s="40" t="str">
        <f t="shared" si="32"/>
        <v/>
      </c>
      <c r="K133" s="40" t="str">
        <f t="shared" si="32"/>
        <v/>
      </c>
      <c r="L133" s="40" t="str">
        <f t="shared" si="32"/>
        <v/>
      </c>
      <c r="M133" s="40" t="str">
        <f t="shared" si="32"/>
        <v/>
      </c>
      <c r="N133" s="40" t="str">
        <f t="shared" si="32"/>
        <v/>
      </c>
      <c r="O133" s="40" t="str">
        <f t="shared" si="32"/>
        <v/>
      </c>
      <c r="P133" s="40" t="str">
        <f t="shared" si="32"/>
        <v/>
      </c>
      <c r="Q133" s="40" t="str">
        <f t="shared" si="32"/>
        <v/>
      </c>
      <c r="R133" s="40" t="str">
        <f t="shared" si="32"/>
        <v/>
      </c>
      <c r="S133" s="40" t="str">
        <f t="shared" si="32"/>
        <v/>
      </c>
      <c r="T133" s="40" t="str">
        <f t="shared" si="32"/>
        <v/>
      </c>
      <c r="U133" s="40" t="str">
        <f t="shared" si="32"/>
        <v/>
      </c>
      <c r="V133" s="40" t="str">
        <f t="shared" si="32"/>
        <v/>
      </c>
      <c r="W133" s="40" t="str">
        <f t="shared" si="32"/>
        <v/>
      </c>
      <c r="X133" s="40" t="str">
        <f t="shared" si="32"/>
        <v/>
      </c>
      <c r="Y133" s="40" t="str">
        <f t="shared" si="32"/>
        <v/>
      </c>
      <c r="Z133" s="40" t="str">
        <f t="shared" si="32"/>
        <v/>
      </c>
      <c r="AA133" s="40" t="str">
        <f t="shared" si="32"/>
        <v/>
      </c>
      <c r="AB133" s="40" t="str">
        <f t="shared" si="32"/>
        <v/>
      </c>
      <c r="AC133" s="40" t="str">
        <f t="shared" si="32"/>
        <v/>
      </c>
      <c r="AD133" s="40" t="str">
        <f t="shared" si="32"/>
        <v/>
      </c>
      <c r="AE133" s="40" t="str">
        <f t="shared" si="32"/>
        <v/>
      </c>
      <c r="AF133" s="40" t="str">
        <f t="shared" si="32"/>
        <v/>
      </c>
      <c r="AG133" s="40" t="str">
        <f t="shared" si="32"/>
        <v/>
      </c>
      <c r="AH133" s="40" t="str">
        <f t="shared" si="32"/>
        <v/>
      </c>
      <c r="AI133" s="40" t="str">
        <f t="shared" si="32"/>
        <v/>
      </c>
      <c r="AJ133" s="854" t="str">
        <f t="shared" si="32"/>
        <v/>
      </c>
      <c r="AK133" s="62" t="str">
        <f t="shared" si="28"/>
        <v/>
      </c>
    </row>
    <row r="134" spans="1:37" ht="15" thickBot="1" x14ac:dyDescent="0.4">
      <c r="A134" s="1196"/>
      <c r="B134" s="35">
        <v>7</v>
      </c>
      <c r="C134" s="115" t="str">
        <f t="shared" ref="C134:AJ134" si="33">IF(COUNTBLANK($C$47:$AG$58)&lt;372,IF(COUNTIF(C53,"*B*"),C76,""),IF(COUNTBLANK($C$26:$AG$37)&lt;372,IF(COUNTIF(C32,"*B*"),C76,""),IF(COUNTIF(C11,"*B*"),C76,"")))</f>
        <v/>
      </c>
      <c r="D134" s="40" t="str">
        <f t="shared" si="33"/>
        <v/>
      </c>
      <c r="E134" s="40" t="str">
        <f t="shared" si="33"/>
        <v/>
      </c>
      <c r="F134" s="40" t="str">
        <f t="shared" si="33"/>
        <v/>
      </c>
      <c r="G134" s="40" t="str">
        <f t="shared" si="33"/>
        <v/>
      </c>
      <c r="H134" s="40" t="str">
        <f t="shared" si="33"/>
        <v/>
      </c>
      <c r="I134" s="40" t="str">
        <f t="shared" si="33"/>
        <v/>
      </c>
      <c r="J134" s="40" t="str">
        <f t="shared" si="33"/>
        <v/>
      </c>
      <c r="K134" s="40" t="str">
        <f t="shared" si="33"/>
        <v/>
      </c>
      <c r="L134" s="40" t="str">
        <f t="shared" si="33"/>
        <v/>
      </c>
      <c r="M134" s="40" t="str">
        <f t="shared" si="33"/>
        <v/>
      </c>
      <c r="N134" s="40" t="str">
        <f t="shared" si="33"/>
        <v/>
      </c>
      <c r="O134" s="40" t="str">
        <f t="shared" si="33"/>
        <v/>
      </c>
      <c r="P134" s="40" t="str">
        <f t="shared" si="33"/>
        <v/>
      </c>
      <c r="Q134" s="40" t="str">
        <f t="shared" si="33"/>
        <v/>
      </c>
      <c r="R134" s="40" t="str">
        <f t="shared" si="33"/>
        <v/>
      </c>
      <c r="S134" s="40" t="str">
        <f t="shared" si="33"/>
        <v/>
      </c>
      <c r="T134" s="40" t="str">
        <f t="shared" si="33"/>
        <v/>
      </c>
      <c r="U134" s="40" t="str">
        <f t="shared" si="33"/>
        <v/>
      </c>
      <c r="V134" s="40" t="str">
        <f t="shared" si="33"/>
        <v/>
      </c>
      <c r="W134" s="40" t="str">
        <f t="shared" si="33"/>
        <v/>
      </c>
      <c r="X134" s="40" t="str">
        <f t="shared" si="33"/>
        <v/>
      </c>
      <c r="Y134" s="40" t="str">
        <f t="shared" si="33"/>
        <v/>
      </c>
      <c r="Z134" s="40" t="str">
        <f t="shared" si="33"/>
        <v/>
      </c>
      <c r="AA134" s="40" t="str">
        <f t="shared" si="33"/>
        <v/>
      </c>
      <c r="AB134" s="40" t="str">
        <f t="shared" si="33"/>
        <v/>
      </c>
      <c r="AC134" s="40" t="str">
        <f t="shared" si="33"/>
        <v/>
      </c>
      <c r="AD134" s="40" t="str">
        <f t="shared" si="33"/>
        <v/>
      </c>
      <c r="AE134" s="40" t="str">
        <f t="shared" si="33"/>
        <v/>
      </c>
      <c r="AF134" s="40" t="str">
        <f t="shared" si="33"/>
        <v/>
      </c>
      <c r="AG134" s="40" t="str">
        <f t="shared" si="33"/>
        <v/>
      </c>
      <c r="AH134" s="40" t="str">
        <f t="shared" si="33"/>
        <v/>
      </c>
      <c r="AI134" s="40" t="str">
        <f t="shared" si="33"/>
        <v/>
      </c>
      <c r="AJ134" s="854" t="str">
        <f t="shared" si="33"/>
        <v/>
      </c>
      <c r="AK134" s="62" t="str">
        <f t="shared" si="28"/>
        <v/>
      </c>
    </row>
    <row r="135" spans="1:37" ht="15" thickBot="1" x14ac:dyDescent="0.4">
      <c r="A135" s="1196"/>
      <c r="B135" s="35">
        <v>8</v>
      </c>
      <c r="C135" s="115" t="str">
        <f t="shared" ref="C135:AJ135" si="34">IF(COUNTBLANK($C$47:$AG$58)&lt;372,IF(COUNTIF(C54,"*B*"),C77,""),IF(COUNTBLANK($C$26:$AG$37)&lt;372,IF(COUNTIF(C33,"*B*"),C77,""),IF(COUNTIF(C12,"*B*"),C77,"")))</f>
        <v/>
      </c>
      <c r="D135" s="40" t="str">
        <f t="shared" si="34"/>
        <v/>
      </c>
      <c r="E135" s="40" t="str">
        <f t="shared" si="34"/>
        <v/>
      </c>
      <c r="F135" s="40" t="str">
        <f t="shared" si="34"/>
        <v/>
      </c>
      <c r="G135" s="40" t="str">
        <f t="shared" si="34"/>
        <v/>
      </c>
      <c r="H135" s="40" t="str">
        <f t="shared" si="34"/>
        <v/>
      </c>
      <c r="I135" s="40" t="str">
        <f t="shared" si="34"/>
        <v/>
      </c>
      <c r="J135" s="40" t="str">
        <f t="shared" si="34"/>
        <v/>
      </c>
      <c r="K135" s="40" t="str">
        <f t="shared" si="34"/>
        <v/>
      </c>
      <c r="L135" s="40" t="str">
        <f t="shared" si="34"/>
        <v/>
      </c>
      <c r="M135" s="40" t="str">
        <f t="shared" si="34"/>
        <v/>
      </c>
      <c r="N135" s="40" t="str">
        <f t="shared" si="34"/>
        <v/>
      </c>
      <c r="O135" s="40" t="str">
        <f t="shared" si="34"/>
        <v/>
      </c>
      <c r="P135" s="40" t="str">
        <f t="shared" si="34"/>
        <v/>
      </c>
      <c r="Q135" s="40" t="str">
        <f t="shared" si="34"/>
        <v/>
      </c>
      <c r="R135" s="40" t="str">
        <f t="shared" si="34"/>
        <v/>
      </c>
      <c r="S135" s="40" t="str">
        <f t="shared" si="34"/>
        <v/>
      </c>
      <c r="T135" s="40" t="str">
        <f t="shared" si="34"/>
        <v/>
      </c>
      <c r="U135" s="40" t="str">
        <f t="shared" si="34"/>
        <v/>
      </c>
      <c r="V135" s="40" t="str">
        <f t="shared" si="34"/>
        <v/>
      </c>
      <c r="W135" s="40" t="str">
        <f t="shared" si="34"/>
        <v/>
      </c>
      <c r="X135" s="40" t="str">
        <f t="shared" si="34"/>
        <v/>
      </c>
      <c r="Y135" s="40" t="str">
        <f t="shared" si="34"/>
        <v/>
      </c>
      <c r="Z135" s="40" t="str">
        <f t="shared" si="34"/>
        <v/>
      </c>
      <c r="AA135" s="40" t="str">
        <f t="shared" si="34"/>
        <v/>
      </c>
      <c r="AB135" s="40" t="str">
        <f t="shared" si="34"/>
        <v/>
      </c>
      <c r="AC135" s="40" t="str">
        <f t="shared" si="34"/>
        <v/>
      </c>
      <c r="AD135" s="40" t="str">
        <f t="shared" si="34"/>
        <v/>
      </c>
      <c r="AE135" s="40" t="str">
        <f t="shared" si="34"/>
        <v/>
      </c>
      <c r="AF135" s="40" t="str">
        <f t="shared" si="34"/>
        <v/>
      </c>
      <c r="AG135" s="40" t="str">
        <f t="shared" si="34"/>
        <v/>
      </c>
      <c r="AH135" s="40" t="str">
        <f t="shared" si="34"/>
        <v/>
      </c>
      <c r="AI135" s="40" t="str">
        <f t="shared" si="34"/>
        <v/>
      </c>
      <c r="AJ135" s="854" t="str">
        <f t="shared" si="34"/>
        <v/>
      </c>
      <c r="AK135" s="62" t="str">
        <f t="shared" si="28"/>
        <v/>
      </c>
    </row>
    <row r="136" spans="1:37" ht="15" thickBot="1" x14ac:dyDescent="0.4">
      <c r="A136" s="1196"/>
      <c r="B136" s="35">
        <v>9</v>
      </c>
      <c r="C136" s="115" t="str">
        <f t="shared" ref="C136:AJ136" si="35">IF(COUNTBLANK($C$47:$AG$58)&lt;372,IF(COUNTIF(C55,"*B*"),C78,""),IF(COUNTBLANK($C$26:$AG$37)&lt;372,IF(COUNTIF(C34,"*B*"),C78,""),IF(COUNTIF(C13,"*B*"),C78,"")))</f>
        <v/>
      </c>
      <c r="D136" s="40" t="str">
        <f t="shared" si="35"/>
        <v/>
      </c>
      <c r="E136" s="40" t="str">
        <f t="shared" si="35"/>
        <v/>
      </c>
      <c r="F136" s="40" t="str">
        <f t="shared" si="35"/>
        <v/>
      </c>
      <c r="G136" s="40" t="str">
        <f t="shared" si="35"/>
        <v/>
      </c>
      <c r="H136" s="40" t="str">
        <f t="shared" si="35"/>
        <v/>
      </c>
      <c r="I136" s="40" t="str">
        <f t="shared" si="35"/>
        <v/>
      </c>
      <c r="J136" s="40" t="str">
        <f t="shared" si="35"/>
        <v/>
      </c>
      <c r="K136" s="40" t="str">
        <f t="shared" si="35"/>
        <v/>
      </c>
      <c r="L136" s="40" t="str">
        <f t="shared" si="35"/>
        <v/>
      </c>
      <c r="M136" s="40" t="str">
        <f t="shared" si="35"/>
        <v/>
      </c>
      <c r="N136" s="40" t="str">
        <f t="shared" si="35"/>
        <v/>
      </c>
      <c r="O136" s="40" t="str">
        <f t="shared" si="35"/>
        <v/>
      </c>
      <c r="P136" s="40" t="str">
        <f t="shared" si="35"/>
        <v/>
      </c>
      <c r="Q136" s="40" t="str">
        <f t="shared" si="35"/>
        <v/>
      </c>
      <c r="R136" s="40" t="str">
        <f t="shared" si="35"/>
        <v/>
      </c>
      <c r="S136" s="40" t="str">
        <f t="shared" si="35"/>
        <v/>
      </c>
      <c r="T136" s="40" t="str">
        <f t="shared" si="35"/>
        <v/>
      </c>
      <c r="U136" s="40" t="str">
        <f t="shared" si="35"/>
        <v/>
      </c>
      <c r="V136" s="40" t="str">
        <f t="shared" si="35"/>
        <v/>
      </c>
      <c r="W136" s="40" t="str">
        <f t="shared" si="35"/>
        <v/>
      </c>
      <c r="X136" s="40" t="str">
        <f t="shared" si="35"/>
        <v/>
      </c>
      <c r="Y136" s="40" t="str">
        <f t="shared" si="35"/>
        <v/>
      </c>
      <c r="Z136" s="40" t="str">
        <f t="shared" si="35"/>
        <v/>
      </c>
      <c r="AA136" s="40" t="str">
        <f t="shared" si="35"/>
        <v/>
      </c>
      <c r="AB136" s="40" t="str">
        <f t="shared" si="35"/>
        <v/>
      </c>
      <c r="AC136" s="40" t="str">
        <f t="shared" si="35"/>
        <v/>
      </c>
      <c r="AD136" s="40" t="str">
        <f t="shared" si="35"/>
        <v/>
      </c>
      <c r="AE136" s="40" t="str">
        <f t="shared" si="35"/>
        <v/>
      </c>
      <c r="AF136" s="40" t="str">
        <f t="shared" si="35"/>
        <v/>
      </c>
      <c r="AG136" s="40" t="str">
        <f t="shared" si="35"/>
        <v/>
      </c>
      <c r="AH136" s="40" t="str">
        <f t="shared" si="35"/>
        <v/>
      </c>
      <c r="AI136" s="40" t="str">
        <f t="shared" si="35"/>
        <v/>
      </c>
      <c r="AJ136" s="854" t="str">
        <f t="shared" si="35"/>
        <v/>
      </c>
      <c r="AK136" s="62" t="str">
        <f t="shared" si="28"/>
        <v/>
      </c>
    </row>
    <row r="137" spans="1:37" ht="15" thickBot="1" x14ac:dyDescent="0.4">
      <c r="A137" s="1196"/>
      <c r="B137" s="35">
        <v>10</v>
      </c>
      <c r="C137" s="115" t="str">
        <f t="shared" ref="C137:AJ137" si="36">IF(COUNTBLANK($C$47:$AG$58)&lt;372,IF(COUNTIF(C56,"*B*"),C79,""),IF(COUNTBLANK($C$26:$AG$37)&lt;372,IF(COUNTIF(C35,"*B*"),C79,""),IF(COUNTIF(C14,"*B*"),C79,"")))</f>
        <v/>
      </c>
      <c r="D137" s="40" t="str">
        <f t="shared" si="36"/>
        <v/>
      </c>
      <c r="E137" s="40" t="str">
        <f t="shared" si="36"/>
        <v/>
      </c>
      <c r="F137" s="40" t="str">
        <f t="shared" si="36"/>
        <v/>
      </c>
      <c r="G137" s="40" t="str">
        <f t="shared" si="36"/>
        <v/>
      </c>
      <c r="H137" s="40" t="str">
        <f t="shared" si="36"/>
        <v/>
      </c>
      <c r="I137" s="40" t="str">
        <f t="shared" si="36"/>
        <v/>
      </c>
      <c r="J137" s="40" t="str">
        <f t="shared" si="36"/>
        <v/>
      </c>
      <c r="K137" s="40" t="str">
        <f t="shared" si="36"/>
        <v/>
      </c>
      <c r="L137" s="40" t="str">
        <f t="shared" si="36"/>
        <v/>
      </c>
      <c r="M137" s="40" t="str">
        <f t="shared" si="36"/>
        <v/>
      </c>
      <c r="N137" s="40" t="str">
        <f t="shared" si="36"/>
        <v/>
      </c>
      <c r="O137" s="40" t="str">
        <f t="shared" si="36"/>
        <v/>
      </c>
      <c r="P137" s="40" t="str">
        <f t="shared" si="36"/>
        <v/>
      </c>
      <c r="Q137" s="40" t="str">
        <f t="shared" si="36"/>
        <v/>
      </c>
      <c r="R137" s="40" t="str">
        <f t="shared" si="36"/>
        <v/>
      </c>
      <c r="S137" s="40" t="str">
        <f t="shared" si="36"/>
        <v/>
      </c>
      <c r="T137" s="40" t="str">
        <f t="shared" si="36"/>
        <v/>
      </c>
      <c r="U137" s="40" t="str">
        <f t="shared" si="36"/>
        <v/>
      </c>
      <c r="V137" s="40" t="str">
        <f t="shared" si="36"/>
        <v/>
      </c>
      <c r="W137" s="40" t="str">
        <f t="shared" si="36"/>
        <v/>
      </c>
      <c r="X137" s="40" t="str">
        <f t="shared" si="36"/>
        <v/>
      </c>
      <c r="Y137" s="40" t="str">
        <f t="shared" si="36"/>
        <v/>
      </c>
      <c r="Z137" s="40" t="str">
        <f t="shared" si="36"/>
        <v/>
      </c>
      <c r="AA137" s="40" t="str">
        <f t="shared" si="36"/>
        <v/>
      </c>
      <c r="AB137" s="40" t="str">
        <f t="shared" si="36"/>
        <v/>
      </c>
      <c r="AC137" s="40" t="str">
        <f t="shared" si="36"/>
        <v/>
      </c>
      <c r="AD137" s="40" t="str">
        <f t="shared" si="36"/>
        <v/>
      </c>
      <c r="AE137" s="40" t="str">
        <f t="shared" si="36"/>
        <v/>
      </c>
      <c r="AF137" s="40" t="str">
        <f t="shared" si="36"/>
        <v/>
      </c>
      <c r="AG137" s="40" t="str">
        <f t="shared" si="36"/>
        <v/>
      </c>
      <c r="AH137" s="40" t="str">
        <f t="shared" si="36"/>
        <v/>
      </c>
      <c r="AI137" s="40" t="str">
        <f t="shared" si="36"/>
        <v/>
      </c>
      <c r="AJ137" s="854" t="str">
        <f t="shared" si="36"/>
        <v/>
      </c>
      <c r="AK137" s="62" t="str">
        <f t="shared" si="28"/>
        <v/>
      </c>
    </row>
    <row r="138" spans="1:37" ht="15" thickBot="1" x14ac:dyDescent="0.4">
      <c r="A138" s="1196"/>
      <c r="B138" s="35">
        <v>11</v>
      </c>
      <c r="C138" s="115" t="str">
        <f t="shared" ref="C138:AJ138" si="37">IF(COUNTBLANK($C$47:$AG$58)&lt;372,IF(COUNTIF(C57,"*B*"),C80,""),IF(COUNTBLANK($C$26:$AG$37)&lt;372,IF(COUNTIF(C36,"*B*"),C80,""),IF(COUNTIF(C15,"*B*"),C80,"")))</f>
        <v/>
      </c>
      <c r="D138" s="40" t="str">
        <f t="shared" si="37"/>
        <v/>
      </c>
      <c r="E138" s="40" t="str">
        <f t="shared" si="37"/>
        <v/>
      </c>
      <c r="F138" s="40" t="str">
        <f t="shared" si="37"/>
        <v/>
      </c>
      <c r="G138" s="40" t="str">
        <f t="shared" si="37"/>
        <v/>
      </c>
      <c r="H138" s="40" t="str">
        <f t="shared" si="37"/>
        <v/>
      </c>
      <c r="I138" s="40" t="str">
        <f t="shared" si="37"/>
        <v/>
      </c>
      <c r="J138" s="40" t="str">
        <f t="shared" si="37"/>
        <v/>
      </c>
      <c r="K138" s="40" t="str">
        <f t="shared" si="37"/>
        <v/>
      </c>
      <c r="L138" s="40" t="str">
        <f t="shared" si="37"/>
        <v/>
      </c>
      <c r="M138" s="40" t="str">
        <f t="shared" si="37"/>
        <v/>
      </c>
      <c r="N138" s="40" t="str">
        <f t="shared" si="37"/>
        <v/>
      </c>
      <c r="O138" s="40" t="str">
        <f t="shared" si="37"/>
        <v/>
      </c>
      <c r="P138" s="40" t="str">
        <f t="shared" si="37"/>
        <v/>
      </c>
      <c r="Q138" s="40" t="str">
        <f t="shared" si="37"/>
        <v/>
      </c>
      <c r="R138" s="40" t="str">
        <f t="shared" si="37"/>
        <v/>
      </c>
      <c r="S138" s="40" t="str">
        <f t="shared" si="37"/>
        <v/>
      </c>
      <c r="T138" s="40" t="str">
        <f t="shared" si="37"/>
        <v/>
      </c>
      <c r="U138" s="40" t="str">
        <f t="shared" si="37"/>
        <v/>
      </c>
      <c r="V138" s="40" t="str">
        <f t="shared" si="37"/>
        <v/>
      </c>
      <c r="W138" s="40" t="str">
        <f t="shared" si="37"/>
        <v/>
      </c>
      <c r="X138" s="40" t="str">
        <f t="shared" si="37"/>
        <v/>
      </c>
      <c r="Y138" s="40" t="str">
        <f t="shared" si="37"/>
        <v/>
      </c>
      <c r="Z138" s="40" t="str">
        <f t="shared" si="37"/>
        <v/>
      </c>
      <c r="AA138" s="40" t="str">
        <f t="shared" si="37"/>
        <v/>
      </c>
      <c r="AB138" s="40" t="str">
        <f t="shared" si="37"/>
        <v/>
      </c>
      <c r="AC138" s="40" t="str">
        <f t="shared" si="37"/>
        <v/>
      </c>
      <c r="AD138" s="40" t="str">
        <f t="shared" si="37"/>
        <v/>
      </c>
      <c r="AE138" s="40" t="str">
        <f t="shared" si="37"/>
        <v/>
      </c>
      <c r="AF138" s="40" t="str">
        <f t="shared" si="37"/>
        <v/>
      </c>
      <c r="AG138" s="40" t="str">
        <f t="shared" si="37"/>
        <v/>
      </c>
      <c r="AH138" s="40" t="str">
        <f t="shared" si="37"/>
        <v/>
      </c>
      <c r="AI138" s="40" t="str">
        <f t="shared" si="37"/>
        <v/>
      </c>
      <c r="AJ138" s="854" t="str">
        <f t="shared" si="37"/>
        <v/>
      </c>
      <c r="AK138" s="62" t="str">
        <f t="shared" si="28"/>
        <v/>
      </c>
    </row>
    <row r="139" spans="1:37" ht="15" thickBot="1" x14ac:dyDescent="0.4">
      <c r="A139" s="1197"/>
      <c r="B139" s="355">
        <v>12</v>
      </c>
      <c r="C139" s="228" t="str">
        <f t="shared" ref="C139:AJ139" si="38">IF(COUNTBLANK($C$47:$AG$58)&lt;372,IF(COUNTIF(C58,"*B*"),C81,""),IF(COUNTBLANK($C$26:$AG$37)&lt;372,IF(COUNTIF(C37,"*B*"),C81,""),IF(COUNTIF(C16,"*B*"),C81,"")))</f>
        <v/>
      </c>
      <c r="D139" s="229" t="str">
        <f t="shared" si="38"/>
        <v/>
      </c>
      <c r="E139" s="229" t="str">
        <f t="shared" si="38"/>
        <v/>
      </c>
      <c r="F139" s="229" t="str">
        <f t="shared" si="38"/>
        <v/>
      </c>
      <c r="G139" s="229" t="str">
        <f t="shared" si="38"/>
        <v/>
      </c>
      <c r="H139" s="229" t="str">
        <f t="shared" si="38"/>
        <v/>
      </c>
      <c r="I139" s="229" t="str">
        <f t="shared" si="38"/>
        <v/>
      </c>
      <c r="J139" s="229" t="str">
        <f t="shared" si="38"/>
        <v/>
      </c>
      <c r="K139" s="229" t="str">
        <f t="shared" si="38"/>
        <v/>
      </c>
      <c r="L139" s="229" t="str">
        <f t="shared" si="38"/>
        <v/>
      </c>
      <c r="M139" s="229" t="str">
        <f t="shared" si="38"/>
        <v/>
      </c>
      <c r="N139" s="229" t="str">
        <f t="shared" si="38"/>
        <v/>
      </c>
      <c r="O139" s="229" t="str">
        <f t="shared" si="38"/>
        <v/>
      </c>
      <c r="P139" s="229" t="str">
        <f t="shared" si="38"/>
        <v/>
      </c>
      <c r="Q139" s="229" t="str">
        <f t="shared" si="38"/>
        <v/>
      </c>
      <c r="R139" s="229" t="str">
        <f t="shared" si="38"/>
        <v/>
      </c>
      <c r="S139" s="229" t="str">
        <f t="shared" si="38"/>
        <v/>
      </c>
      <c r="T139" s="229" t="str">
        <f t="shared" si="38"/>
        <v/>
      </c>
      <c r="U139" s="229" t="str">
        <f t="shared" si="38"/>
        <v/>
      </c>
      <c r="V139" s="229" t="str">
        <f t="shared" si="38"/>
        <v/>
      </c>
      <c r="W139" s="229" t="str">
        <f t="shared" si="38"/>
        <v/>
      </c>
      <c r="X139" s="229" t="str">
        <f t="shared" si="38"/>
        <v/>
      </c>
      <c r="Y139" s="229" t="str">
        <f t="shared" si="38"/>
        <v/>
      </c>
      <c r="Z139" s="229" t="str">
        <f t="shared" si="38"/>
        <v/>
      </c>
      <c r="AA139" s="229" t="str">
        <f t="shared" si="38"/>
        <v/>
      </c>
      <c r="AB139" s="229" t="str">
        <f t="shared" si="38"/>
        <v/>
      </c>
      <c r="AC139" s="229" t="str">
        <f t="shared" si="38"/>
        <v/>
      </c>
      <c r="AD139" s="229" t="str">
        <f t="shared" si="38"/>
        <v/>
      </c>
      <c r="AE139" s="229" t="str">
        <f t="shared" si="38"/>
        <v/>
      </c>
      <c r="AF139" s="229" t="str">
        <f t="shared" si="38"/>
        <v/>
      </c>
      <c r="AG139" s="229" t="str">
        <f t="shared" si="38"/>
        <v/>
      </c>
      <c r="AH139" s="229" t="str">
        <f t="shared" si="38"/>
        <v/>
      </c>
      <c r="AI139" s="229" t="str">
        <f t="shared" si="38"/>
        <v/>
      </c>
      <c r="AJ139" s="855" t="str">
        <f t="shared" si="38"/>
        <v/>
      </c>
      <c r="AK139" s="62" t="str">
        <f t="shared" si="28"/>
        <v/>
      </c>
    </row>
    <row r="140" spans="1:37" x14ac:dyDescent="0.35">
      <c r="AK140" s="63" t="str">
        <f>CONCATENATE(AK128,AK129,AK130,AK131,AK132,AK133,AK134,AK135,AK136,AK137,AK138,AK139)</f>
        <v/>
      </c>
    </row>
    <row r="141" spans="1:37" x14ac:dyDescent="0.35">
      <c r="AK141" s="63" t="s">
        <v>715</v>
      </c>
    </row>
    <row r="142" spans="1:37" x14ac:dyDescent="0.35">
      <c r="AK142" s="63" t="s">
        <v>715</v>
      </c>
    </row>
    <row r="143" spans="1:37" ht="15" thickBot="1" x14ac:dyDescent="0.4">
      <c r="AK143" s="64" t="str">
        <f>IF(AK140&lt;&gt;"",IF(LEN(AK140)&lt;9,CONCATENATE(AK141,LEFT(AK140,4),"."),IF(LEN(AK140&gt;6),LEFT(CONCATENATE(AK142,LEFT(AK140,LEN(AK140)-10),SUBSTITUTE(RIGHT(AK140,10),", "," and ")),LEN(CONCATENATE(AK142,LEFT(AK140,LEN(AK140)-10),SUBSTITUTE(RIGHT(AK140,10),", "," and ")))-5)&amp;". ")),"")</f>
        <v/>
      </c>
    </row>
    <row r="146" spans="1:37" ht="15" thickBot="1" x14ac:dyDescent="0.4">
      <c r="D146" s="1201" t="s">
        <v>711</v>
      </c>
      <c r="E146" s="1201"/>
      <c r="F146" s="1201"/>
      <c r="G146" s="1201"/>
      <c r="H146" s="1201"/>
      <c r="I146" s="1201"/>
      <c r="J146" s="1201"/>
      <c r="K146" s="1201"/>
      <c r="L146" s="1201"/>
      <c r="M146" s="1201"/>
      <c r="N146" s="1201"/>
      <c r="O146" s="1201"/>
      <c r="P146" s="1201"/>
      <c r="Q146" s="1201"/>
      <c r="R146" s="1201"/>
      <c r="S146" s="1201"/>
      <c r="T146" s="1201"/>
      <c r="U146" s="1201"/>
      <c r="V146" s="1201"/>
      <c r="W146" s="1201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</row>
    <row r="147" spans="1:37" ht="15" thickBot="1" x14ac:dyDescent="0.4">
      <c r="D147" s="1201" t="s">
        <v>711</v>
      </c>
      <c r="E147" s="1201"/>
      <c r="F147" s="1201"/>
      <c r="G147" s="1201"/>
      <c r="H147" s="1201"/>
      <c r="I147" s="1201"/>
      <c r="J147" s="1201"/>
      <c r="K147" s="1201"/>
      <c r="L147" s="1201"/>
      <c r="M147" s="1201"/>
      <c r="N147" s="1201"/>
      <c r="O147" s="1201"/>
      <c r="P147" s="1201"/>
      <c r="Q147" s="1201"/>
      <c r="R147" s="1201"/>
      <c r="S147" s="1201"/>
      <c r="T147" s="1201"/>
      <c r="U147" s="1201"/>
      <c r="V147" s="1201"/>
      <c r="W147" s="1201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</row>
    <row r="148" spans="1:37" x14ac:dyDescent="0.35">
      <c r="A148" s="1202"/>
      <c r="B148" s="1203"/>
      <c r="D148" s="1206" t="s">
        <v>17</v>
      </c>
      <c r="E148" s="1207"/>
      <c r="F148" s="1207"/>
      <c r="G148" s="1207"/>
      <c r="H148" s="1207"/>
      <c r="I148" s="1207"/>
      <c r="J148" s="1207"/>
      <c r="K148" s="1207"/>
      <c r="L148" s="1207"/>
      <c r="M148" s="1207"/>
      <c r="N148" s="1207"/>
      <c r="O148" s="1207"/>
      <c r="P148" s="1207"/>
      <c r="Q148" s="1207"/>
      <c r="R148" s="1207"/>
      <c r="S148" s="1207"/>
      <c r="T148" s="1207"/>
      <c r="U148" s="1207"/>
      <c r="V148" s="1207"/>
      <c r="W148" s="1208"/>
      <c r="X148" s="6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8"/>
      <c r="AK148" s="62"/>
    </row>
    <row r="149" spans="1:37" ht="15" thickBot="1" x14ac:dyDescent="0.4">
      <c r="A149" s="1204"/>
      <c r="B149" s="1205"/>
      <c r="D149" s="16">
        <v>1</v>
      </c>
      <c r="E149" s="17">
        <v>2</v>
      </c>
      <c r="F149" s="17">
        <v>3</v>
      </c>
      <c r="G149" s="17">
        <v>4</v>
      </c>
      <c r="H149" s="17">
        <v>5</v>
      </c>
      <c r="I149" s="17">
        <v>6</v>
      </c>
      <c r="J149" s="17">
        <v>7</v>
      </c>
      <c r="K149" s="17">
        <v>8</v>
      </c>
      <c r="L149" s="17">
        <v>9</v>
      </c>
      <c r="M149" s="17">
        <v>10</v>
      </c>
      <c r="N149" s="17">
        <v>11</v>
      </c>
      <c r="O149" s="17">
        <v>12</v>
      </c>
      <c r="P149" s="17">
        <v>13</v>
      </c>
      <c r="Q149" s="17">
        <v>14</v>
      </c>
      <c r="R149" s="17">
        <v>15</v>
      </c>
      <c r="S149" s="17">
        <v>16</v>
      </c>
      <c r="T149" s="17">
        <v>17</v>
      </c>
      <c r="U149" s="17">
        <v>18</v>
      </c>
      <c r="V149" s="17">
        <v>19</v>
      </c>
      <c r="W149" s="18">
        <v>20</v>
      </c>
      <c r="X149" s="17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20"/>
      <c r="AK149" s="63"/>
    </row>
    <row r="150" spans="1:37" x14ac:dyDescent="0.35">
      <c r="A150" s="1196" t="s">
        <v>18</v>
      </c>
      <c r="B150" s="21">
        <v>1</v>
      </c>
      <c r="D150" s="40" t="str">
        <f t="shared" ref="D150:AK150" si="39">IF(COUNTBLANK($C$47:$AG$58)&lt;372,
(IF(COUNTIF(C47,"*V*"),IF(C150="",SUBSTITUTE(C70,", "," &amp; "),IF(COUNTIF(C150,"*&amp;*"),C70,SUBSTITUTE(C70,", "," &amp; "))),"")),
IF(COUNTBLANK($C$26:$AG$37)&lt;372,
(IF(COUNTIF(C26,"*V*"),IF(C150="",SUBSTITUTE(C70,", "," &amp; "),IF(COUNTIF(C150,"*&amp;*"),C70,SUBSTITUTE(C70,", "," &amp; "))),"")),
(IF(COUNTIF(C5,"*V*"),IF(C150="",SUBSTITUTE(C70,", "," &amp; "),IF(COUNTIF(C150,"*&amp;*"),C70,SUBSTITUTE(C70,", "," &amp; "))),""))))</f>
        <v/>
      </c>
      <c r="E150" s="40" t="str">
        <f t="shared" si="39"/>
        <v/>
      </c>
      <c r="F150" s="40" t="str">
        <f t="shared" si="39"/>
        <v/>
      </c>
      <c r="G150" s="40" t="str">
        <f t="shared" si="39"/>
        <v/>
      </c>
      <c r="H150" s="40" t="str">
        <f t="shared" si="39"/>
        <v/>
      </c>
      <c r="I150" s="40" t="str">
        <f t="shared" si="39"/>
        <v/>
      </c>
      <c r="J150" s="40" t="str">
        <f t="shared" si="39"/>
        <v/>
      </c>
      <c r="K150" s="40" t="str">
        <f t="shared" si="39"/>
        <v/>
      </c>
      <c r="L150" s="40" t="str">
        <f t="shared" si="39"/>
        <v/>
      </c>
      <c r="M150" s="40" t="str">
        <f t="shared" si="39"/>
        <v/>
      </c>
      <c r="N150" s="40" t="str">
        <f t="shared" si="39"/>
        <v/>
      </c>
      <c r="O150" s="40" t="str">
        <f t="shared" si="39"/>
        <v/>
      </c>
      <c r="P150" s="40" t="str">
        <f t="shared" si="39"/>
        <v/>
      </c>
      <c r="Q150" s="40" t="str">
        <f t="shared" si="39"/>
        <v/>
      </c>
      <c r="R150" s="40" t="str">
        <f t="shared" si="39"/>
        <v/>
      </c>
      <c r="S150" s="40" t="str">
        <f t="shared" si="39"/>
        <v/>
      </c>
      <c r="T150" s="40" t="str">
        <f t="shared" si="39"/>
        <v/>
      </c>
      <c r="U150" s="40" t="str">
        <f t="shared" si="39"/>
        <v/>
      </c>
      <c r="V150" s="40" t="str">
        <f t="shared" si="39"/>
        <v/>
      </c>
      <c r="W150" s="40" t="str">
        <f t="shared" si="39"/>
        <v/>
      </c>
      <c r="X150" s="40" t="str">
        <f t="shared" si="39"/>
        <v/>
      </c>
      <c r="Y150" s="40" t="str">
        <f t="shared" si="39"/>
        <v/>
      </c>
      <c r="Z150" s="40" t="str">
        <f t="shared" si="39"/>
        <v/>
      </c>
      <c r="AA150" s="40" t="str">
        <f t="shared" si="39"/>
        <v/>
      </c>
      <c r="AB150" s="40" t="str">
        <f t="shared" si="39"/>
        <v/>
      </c>
      <c r="AC150" s="40" t="str">
        <f t="shared" si="39"/>
        <v/>
      </c>
      <c r="AD150" s="40" t="str">
        <f t="shared" si="39"/>
        <v/>
      </c>
      <c r="AE150" s="40" t="str">
        <f t="shared" si="39"/>
        <v/>
      </c>
      <c r="AF150" s="40" t="str">
        <f t="shared" si="39"/>
        <v/>
      </c>
      <c r="AG150" s="40" t="str">
        <f t="shared" si="39"/>
        <v/>
      </c>
      <c r="AH150" s="40" t="str">
        <f t="shared" si="39"/>
        <v/>
      </c>
      <c r="AI150" s="40" t="str">
        <f t="shared" si="39"/>
        <v/>
      </c>
      <c r="AJ150" s="40" t="str">
        <f t="shared" si="39"/>
        <v/>
      </c>
      <c r="AK150" s="40" t="str">
        <f t="shared" si="39"/>
        <v/>
      </c>
    </row>
    <row r="151" spans="1:37" x14ac:dyDescent="0.35">
      <c r="A151" s="1196"/>
      <c r="B151" s="22">
        <v>2</v>
      </c>
      <c r="D151" s="40" t="str">
        <f t="shared" ref="D151:D161" si="40">IF(COUNTBLANK($C$47:$AG$58)&lt;372,
(IF(COUNTIF(C48,"*V*"),IF(C151="",SUBSTITUTE(C71,", "," &amp; "),IF(COUNTIF(C151,"*&amp;*"),C71,SUBSTITUTE(C71,", "," &amp; "))),"")),
IF(COUNTBLANK($C$26:$AG$37)&lt;372,
(IF(COUNTIF(C27,"*V*"),IF(C151="",SUBSTITUTE(C71,", "," &amp; "),IF(COUNTIF(C151,"*&amp;*"),C71,SUBSTITUTE(C71,", "," &amp; "))),"")),
(IF(COUNTIF(C6,"*V*"),IF(C151="",SUBSTITUTE(C71,", "," &amp; "),IF(COUNTIF(C151,"*&amp;*"),C71,SUBSTITUTE(C71,", "," &amp; "))),""))))</f>
        <v/>
      </c>
      <c r="E151" s="40" t="str">
        <f t="shared" ref="E151:E161" si="41">IF(COUNTBLANK($C$47:$AG$58)&lt;372,
(IF(COUNTIF(D48,"*V*"),IF(D151="",SUBSTITUTE(D71,", "," &amp; "),IF(COUNTIF(D151,"*&amp;*"),D71,SUBSTITUTE(D71,", "," &amp; "))),"")),
IF(COUNTBLANK($C$26:$AG$37)&lt;372,
(IF(COUNTIF(D27,"*V*"),IF(D151="",SUBSTITUTE(D71,", "," &amp; "),IF(COUNTIF(D151,"*&amp;*"),D71,SUBSTITUTE(D71,", "," &amp; "))),"")),
(IF(COUNTIF(D6,"*V*"),IF(D151="",SUBSTITUTE(D71,", "," &amp; "),IF(COUNTIF(D151,"*&amp;*"),D71,SUBSTITUTE(D71,", "," &amp; "))),""))))</f>
        <v/>
      </c>
      <c r="F151" s="40" t="str">
        <f t="shared" ref="F151:F161" si="42">IF(COUNTBLANK($C$47:$AG$58)&lt;372,
(IF(COUNTIF(E48,"*V*"),IF(E151="",SUBSTITUTE(E71,", "," &amp; "),IF(COUNTIF(E151,"*&amp;*"),E71,SUBSTITUTE(E71,", "," &amp; "))),"")),
IF(COUNTBLANK($C$26:$AG$37)&lt;372,
(IF(COUNTIF(E27,"*V*"),IF(E151="",SUBSTITUTE(E71,", "," &amp; "),IF(COUNTIF(E151,"*&amp;*"),E71,SUBSTITUTE(E71,", "," &amp; "))),"")),
(IF(COUNTIF(E6,"*V*"),IF(E151="",SUBSTITUTE(E71,", "," &amp; "),IF(COUNTIF(E151,"*&amp;*"),E71,SUBSTITUTE(E71,", "," &amp; "))),""))))</f>
        <v/>
      </c>
      <c r="G151" s="40" t="str">
        <f t="shared" ref="G151:G161" si="43">IF(COUNTBLANK($C$47:$AG$58)&lt;372,
(IF(COUNTIF(F48,"*V*"),IF(F151="",SUBSTITUTE(F71,", "," &amp; "),IF(COUNTIF(F151,"*&amp;*"),F71,SUBSTITUTE(F71,", "," &amp; "))),"")),
IF(COUNTBLANK($C$26:$AG$37)&lt;372,
(IF(COUNTIF(F27,"*V*"),IF(F151="",SUBSTITUTE(F71,", "," &amp; "),IF(COUNTIF(F151,"*&amp;*"),F71,SUBSTITUTE(F71,", "," &amp; "))),"")),
(IF(COUNTIF(F6,"*V*"),IF(F151="",SUBSTITUTE(F71,", "," &amp; "),IF(COUNTIF(F151,"*&amp;*"),F71,SUBSTITUTE(F71,", "," &amp; "))),""))))</f>
        <v/>
      </c>
      <c r="H151" s="40" t="str">
        <f t="shared" ref="H151:H161" si="44">IF(COUNTBLANK($C$47:$AG$58)&lt;372,
(IF(COUNTIF(G48,"*V*"),IF(G151="",SUBSTITUTE(G71,", "," &amp; "),IF(COUNTIF(G151,"*&amp;*"),G71,SUBSTITUTE(G71,", "," &amp; "))),"")),
IF(COUNTBLANK($C$26:$AG$37)&lt;372,
(IF(COUNTIF(G27,"*V*"),IF(G151="",SUBSTITUTE(G71,", "," &amp; "),IF(COUNTIF(G151,"*&amp;*"),G71,SUBSTITUTE(G71,", "," &amp; "))),"")),
(IF(COUNTIF(G6,"*V*"),IF(G151="",SUBSTITUTE(G71,", "," &amp; "),IF(COUNTIF(G151,"*&amp;*"),G71,SUBSTITUTE(G71,", "," &amp; "))),""))))</f>
        <v/>
      </c>
      <c r="I151" s="40" t="str">
        <f t="shared" ref="I151:I161" si="45">IF(COUNTBLANK($C$47:$AG$58)&lt;372,
(IF(COUNTIF(H48,"*V*"),IF(H151="",SUBSTITUTE(H71,", "," &amp; "),IF(COUNTIF(H151,"*&amp;*"),H71,SUBSTITUTE(H71,", "," &amp; "))),"")),
IF(COUNTBLANK($C$26:$AG$37)&lt;372,
(IF(COUNTIF(H27,"*V*"),IF(H151="",SUBSTITUTE(H71,", "," &amp; "),IF(COUNTIF(H151,"*&amp;*"),H71,SUBSTITUTE(H71,", "," &amp; "))),"")),
(IF(COUNTIF(H6,"*V*"),IF(H151="",SUBSTITUTE(H71,", "," &amp; "),IF(COUNTIF(H151,"*&amp;*"),H71,SUBSTITUTE(H71,", "," &amp; "))),""))))</f>
        <v/>
      </c>
      <c r="J151" s="40" t="str">
        <f t="shared" ref="J151:J161" si="46">IF(COUNTBLANK($C$47:$AG$58)&lt;372,
(IF(COUNTIF(I48,"*V*"),IF(I151="",SUBSTITUTE(I71,", "," &amp; "),IF(COUNTIF(I151,"*&amp;*"),I71,SUBSTITUTE(I71,", "," &amp; "))),"")),
IF(COUNTBLANK($C$26:$AG$37)&lt;372,
(IF(COUNTIF(I27,"*V*"),IF(I151="",SUBSTITUTE(I71,", "," &amp; "),IF(COUNTIF(I151,"*&amp;*"),I71,SUBSTITUTE(I71,", "," &amp; "))),"")),
(IF(COUNTIF(I6,"*V*"),IF(I151="",SUBSTITUTE(I71,", "," &amp; "),IF(COUNTIF(I151,"*&amp;*"),I71,SUBSTITUTE(I71,", "," &amp; "))),""))))</f>
        <v/>
      </c>
      <c r="K151" s="40" t="str">
        <f t="shared" ref="K151:K161" si="47">IF(COUNTBLANK($C$47:$AG$58)&lt;372,
(IF(COUNTIF(J48,"*V*"),IF(J151="",SUBSTITUTE(J71,", "," &amp; "),IF(COUNTIF(J151,"*&amp;*"),J71,SUBSTITUTE(J71,", "," &amp; "))),"")),
IF(COUNTBLANK($C$26:$AG$37)&lt;372,
(IF(COUNTIF(J27,"*V*"),IF(J151="",SUBSTITUTE(J71,", "," &amp; "),IF(COUNTIF(J151,"*&amp;*"),J71,SUBSTITUTE(J71,", "," &amp; "))),"")),
(IF(COUNTIF(J6,"*V*"),IF(J151="",SUBSTITUTE(J71,", "," &amp; "),IF(COUNTIF(J151,"*&amp;*"),J71,SUBSTITUTE(J71,", "," &amp; "))),""))))</f>
        <v/>
      </c>
      <c r="L151" s="40" t="str">
        <f t="shared" ref="L151:L161" si="48">IF(COUNTBLANK($C$47:$AG$58)&lt;372,
(IF(COUNTIF(K48,"*V*"),IF(K151="",SUBSTITUTE(K71,", "," &amp; "),IF(COUNTIF(K151,"*&amp;*"),K71,SUBSTITUTE(K71,", "," &amp; "))),"")),
IF(COUNTBLANK($C$26:$AG$37)&lt;372,
(IF(COUNTIF(K27,"*V*"),IF(K151="",SUBSTITUTE(K71,", "," &amp; "),IF(COUNTIF(K151,"*&amp;*"),K71,SUBSTITUTE(K71,", "," &amp; "))),"")),
(IF(COUNTIF(K6,"*V*"),IF(K151="",SUBSTITUTE(K71,", "," &amp; "),IF(COUNTIF(K151,"*&amp;*"),K71,SUBSTITUTE(K71,", "," &amp; "))),""))))</f>
        <v/>
      </c>
      <c r="M151" s="40" t="str">
        <f t="shared" ref="M151:M161" si="49">IF(COUNTBLANK($C$47:$AG$58)&lt;372,
(IF(COUNTIF(L48,"*V*"),IF(L151="",SUBSTITUTE(L71,", "," &amp; "),IF(COUNTIF(L151,"*&amp;*"),L71,SUBSTITUTE(L71,", "," &amp; "))),"")),
IF(COUNTBLANK($C$26:$AG$37)&lt;372,
(IF(COUNTIF(L27,"*V*"),IF(L151="",SUBSTITUTE(L71,", "," &amp; "),IF(COUNTIF(L151,"*&amp;*"),L71,SUBSTITUTE(L71,", "," &amp; "))),"")),
(IF(COUNTIF(L6,"*V*"),IF(L151="",SUBSTITUTE(L71,", "," &amp; "),IF(COUNTIF(L151,"*&amp;*"),L71,SUBSTITUTE(L71,", "," &amp; "))),""))))</f>
        <v/>
      </c>
      <c r="N151" s="40" t="str">
        <f t="shared" ref="N151:N161" si="50">IF(COUNTBLANK($C$47:$AG$58)&lt;372,
(IF(COUNTIF(M48,"*V*"),IF(M151="",SUBSTITUTE(M71,", "," &amp; "),IF(COUNTIF(M151,"*&amp;*"),M71,SUBSTITUTE(M71,", "," &amp; "))),"")),
IF(COUNTBLANK($C$26:$AG$37)&lt;372,
(IF(COUNTIF(M27,"*V*"),IF(M151="",SUBSTITUTE(M71,", "," &amp; "),IF(COUNTIF(M151,"*&amp;*"),M71,SUBSTITUTE(M71,", "," &amp; "))),"")),
(IF(COUNTIF(M6,"*V*"),IF(M151="",SUBSTITUTE(M71,", "," &amp; "),IF(COUNTIF(M151,"*&amp;*"),M71,SUBSTITUTE(M71,", "," &amp; "))),""))))</f>
        <v/>
      </c>
      <c r="O151" s="40" t="str">
        <f t="shared" ref="O151:O161" si="51">IF(COUNTBLANK($C$47:$AG$58)&lt;372,
(IF(COUNTIF(N48,"*V*"),IF(N151="",SUBSTITUTE(N71,", "," &amp; "),IF(COUNTIF(N151,"*&amp;*"),N71,SUBSTITUTE(N71,", "," &amp; "))),"")),
IF(COUNTBLANK($C$26:$AG$37)&lt;372,
(IF(COUNTIF(N27,"*V*"),IF(N151="",SUBSTITUTE(N71,", "," &amp; "),IF(COUNTIF(N151,"*&amp;*"),N71,SUBSTITUTE(N71,", "," &amp; "))),"")),
(IF(COUNTIF(N6,"*V*"),IF(N151="",SUBSTITUTE(N71,", "," &amp; "),IF(COUNTIF(N151,"*&amp;*"),N71,SUBSTITUTE(N71,", "," &amp; "))),""))))</f>
        <v/>
      </c>
      <c r="P151" s="40" t="str">
        <f t="shared" ref="P151:P161" si="52">IF(COUNTBLANK($C$47:$AG$58)&lt;372,
(IF(COUNTIF(O48,"*V*"),IF(O151="",SUBSTITUTE(O71,", "," &amp; "),IF(COUNTIF(O151,"*&amp;*"),O71,SUBSTITUTE(O71,", "," &amp; "))),"")),
IF(COUNTBLANK($C$26:$AG$37)&lt;372,
(IF(COUNTIF(O27,"*V*"),IF(O151="",SUBSTITUTE(O71,", "," &amp; "),IF(COUNTIF(O151,"*&amp;*"),O71,SUBSTITUTE(O71,", "," &amp; "))),"")),
(IF(COUNTIF(O6,"*V*"),IF(O151="",SUBSTITUTE(O71,", "," &amp; "),IF(COUNTIF(O151,"*&amp;*"),O71,SUBSTITUTE(O71,", "," &amp; "))),""))))</f>
        <v/>
      </c>
      <c r="Q151" s="40" t="str">
        <f t="shared" ref="Q151:Q161" si="53">IF(COUNTBLANK($C$47:$AG$58)&lt;372,
(IF(COUNTIF(P48,"*V*"),IF(P151="",SUBSTITUTE(P71,", "," &amp; "),IF(COUNTIF(P151,"*&amp;*"),P71,SUBSTITUTE(P71,", "," &amp; "))),"")),
IF(COUNTBLANK($C$26:$AG$37)&lt;372,
(IF(COUNTIF(P27,"*V*"),IF(P151="",SUBSTITUTE(P71,", "," &amp; "),IF(COUNTIF(P151,"*&amp;*"),P71,SUBSTITUTE(P71,", "," &amp; "))),"")),
(IF(COUNTIF(P6,"*V*"),IF(P151="",SUBSTITUTE(P71,", "," &amp; "),IF(COUNTIF(P151,"*&amp;*"),P71,SUBSTITUTE(P71,", "," &amp; "))),""))))</f>
        <v/>
      </c>
      <c r="R151" s="40" t="str">
        <f t="shared" ref="R151:R161" si="54">IF(COUNTBLANK($C$47:$AG$58)&lt;372,
(IF(COUNTIF(Q48,"*V*"),IF(Q151="",SUBSTITUTE(Q71,", "," &amp; "),IF(COUNTIF(Q151,"*&amp;*"),Q71,SUBSTITUTE(Q71,", "," &amp; "))),"")),
IF(COUNTBLANK($C$26:$AG$37)&lt;372,
(IF(COUNTIF(Q27,"*V*"),IF(Q151="",SUBSTITUTE(Q71,", "," &amp; "),IF(COUNTIF(Q151,"*&amp;*"),Q71,SUBSTITUTE(Q71,", "," &amp; "))),"")),
(IF(COUNTIF(Q6,"*V*"),IF(Q151="",SUBSTITUTE(Q71,", "," &amp; "),IF(COUNTIF(Q151,"*&amp;*"),Q71,SUBSTITUTE(Q71,", "," &amp; "))),""))))</f>
        <v/>
      </c>
      <c r="S151" s="40" t="str">
        <f t="shared" ref="S151:S161" si="55">IF(COUNTBLANK($C$47:$AG$58)&lt;372,
(IF(COUNTIF(R48,"*V*"),IF(R151="",SUBSTITUTE(R71,", "," &amp; "),IF(COUNTIF(R151,"*&amp;*"),R71,SUBSTITUTE(R71,", "," &amp; "))),"")),
IF(COUNTBLANK($C$26:$AG$37)&lt;372,
(IF(COUNTIF(R27,"*V*"),IF(R151="",SUBSTITUTE(R71,", "," &amp; "),IF(COUNTIF(R151,"*&amp;*"),R71,SUBSTITUTE(R71,", "," &amp; "))),"")),
(IF(COUNTIF(R6,"*V*"),IF(R151="",SUBSTITUTE(R71,", "," &amp; "),IF(COUNTIF(R151,"*&amp;*"),R71,SUBSTITUTE(R71,", "," &amp; "))),""))))</f>
        <v/>
      </c>
      <c r="T151" s="40" t="str">
        <f t="shared" ref="T151:T161" si="56">IF(COUNTBLANK($C$47:$AG$58)&lt;372,
(IF(COUNTIF(S48,"*V*"),IF(S151="",SUBSTITUTE(S71,", "," &amp; "),IF(COUNTIF(S151,"*&amp;*"),S71,SUBSTITUTE(S71,", "," &amp; "))),"")),
IF(COUNTBLANK($C$26:$AG$37)&lt;372,
(IF(COUNTIF(S27,"*V*"),IF(S151="",SUBSTITUTE(S71,", "," &amp; "),IF(COUNTIF(S151,"*&amp;*"),S71,SUBSTITUTE(S71,", "," &amp; "))),"")),
(IF(COUNTIF(S6,"*V*"),IF(S151="",SUBSTITUTE(S71,", "," &amp; "),IF(COUNTIF(S151,"*&amp;*"),S71,SUBSTITUTE(S71,", "," &amp; "))),""))))</f>
        <v/>
      </c>
      <c r="U151" s="40" t="str">
        <f t="shared" ref="U151:U161" si="57">IF(COUNTBLANK($C$47:$AG$58)&lt;372,
(IF(COUNTIF(T48,"*V*"),IF(T151="",SUBSTITUTE(T71,", "," &amp; "),IF(COUNTIF(T151,"*&amp;*"),T71,SUBSTITUTE(T71,", "," &amp; "))),"")),
IF(COUNTBLANK($C$26:$AG$37)&lt;372,
(IF(COUNTIF(T27,"*V*"),IF(T151="",SUBSTITUTE(T71,", "," &amp; "),IF(COUNTIF(T151,"*&amp;*"),T71,SUBSTITUTE(T71,", "," &amp; "))),"")),
(IF(COUNTIF(T6,"*V*"),IF(T151="",SUBSTITUTE(T71,", "," &amp; "),IF(COUNTIF(T151,"*&amp;*"),T71,SUBSTITUTE(T71,", "," &amp; "))),""))))</f>
        <v/>
      </c>
      <c r="V151" s="40" t="str">
        <f t="shared" ref="V151:V161" si="58">IF(COUNTBLANK($C$47:$AG$58)&lt;372,
(IF(COUNTIF(U48,"*V*"),IF(U151="",SUBSTITUTE(U71,", "," &amp; "),IF(COUNTIF(U151,"*&amp;*"),U71,SUBSTITUTE(U71,", "," &amp; "))),"")),
IF(COUNTBLANK($C$26:$AG$37)&lt;372,
(IF(COUNTIF(U27,"*V*"),IF(U151="",SUBSTITUTE(U71,", "," &amp; "),IF(COUNTIF(U151,"*&amp;*"),U71,SUBSTITUTE(U71,", "," &amp; "))),"")),
(IF(COUNTIF(U6,"*V*"),IF(U151="",SUBSTITUTE(U71,", "," &amp; "),IF(COUNTIF(U151,"*&amp;*"),U71,SUBSTITUTE(U71,", "," &amp; "))),""))))</f>
        <v/>
      </c>
      <c r="W151" s="40" t="str">
        <f t="shared" ref="W151:W161" si="59">IF(COUNTBLANK($C$47:$AG$58)&lt;372,
(IF(COUNTIF(V48,"*V*"),IF(V151="",SUBSTITUTE(V71,", "," &amp; "),IF(COUNTIF(V151,"*&amp;*"),V71,SUBSTITUTE(V71,", "," &amp; "))),"")),
IF(COUNTBLANK($C$26:$AG$37)&lt;372,
(IF(COUNTIF(V27,"*V*"),IF(V151="",SUBSTITUTE(V71,", "," &amp; "),IF(COUNTIF(V151,"*&amp;*"),V71,SUBSTITUTE(V71,", "," &amp; "))),"")),
(IF(COUNTIF(V6,"*V*"),IF(V151="",SUBSTITUTE(V71,", "," &amp; "),IF(COUNTIF(V151,"*&amp;*"),V71,SUBSTITUTE(V71,", "," &amp; "))),""))))</f>
        <v/>
      </c>
      <c r="X151" s="40" t="str">
        <f t="shared" ref="X151:X161" si="60">IF(COUNTBLANK($C$47:$AG$58)&lt;372,
(IF(COUNTIF(W48,"*V*"),IF(W151="",SUBSTITUTE(W71,", "," &amp; "),IF(COUNTIF(W151,"*&amp;*"),W71,SUBSTITUTE(W71,", "," &amp; "))),"")),
IF(COUNTBLANK($C$26:$AG$37)&lt;372,
(IF(COUNTIF(W27,"*V*"),IF(W151="",SUBSTITUTE(W71,", "," &amp; "),IF(COUNTIF(W151,"*&amp;*"),W71,SUBSTITUTE(W71,", "," &amp; "))),"")),
(IF(COUNTIF(W6,"*V*"),IF(W151="",SUBSTITUTE(W71,", "," &amp; "),IF(COUNTIF(W151,"*&amp;*"),W71,SUBSTITUTE(W71,", "," &amp; "))),""))))</f>
        <v/>
      </c>
      <c r="Y151" s="40" t="str">
        <f t="shared" ref="Y151:Y161" si="61">IF(COUNTBLANK($C$47:$AG$58)&lt;372,
(IF(COUNTIF(X48,"*V*"),IF(X151="",SUBSTITUTE(X71,", "," &amp; "),IF(COUNTIF(X151,"*&amp;*"),X71,SUBSTITUTE(X71,", "," &amp; "))),"")),
IF(COUNTBLANK($C$26:$AG$37)&lt;372,
(IF(COUNTIF(X27,"*V*"),IF(X151="",SUBSTITUTE(X71,", "," &amp; "),IF(COUNTIF(X151,"*&amp;*"),X71,SUBSTITUTE(X71,", "," &amp; "))),"")),
(IF(COUNTIF(X6,"*V*"),IF(X151="",SUBSTITUTE(X71,", "," &amp; "),IF(COUNTIF(X151,"*&amp;*"),X71,SUBSTITUTE(X71,", "," &amp; "))),""))))</f>
        <v/>
      </c>
      <c r="Z151" s="40" t="str">
        <f t="shared" ref="Z151:Z161" si="62">IF(COUNTBLANK($C$47:$AG$58)&lt;372,
(IF(COUNTIF(Y48,"*V*"),IF(Y151="",SUBSTITUTE(Y71,", "," &amp; "),IF(COUNTIF(Y151,"*&amp;*"),Y71,SUBSTITUTE(Y71,", "," &amp; "))),"")),
IF(COUNTBLANK($C$26:$AG$37)&lt;372,
(IF(COUNTIF(Y27,"*V*"),IF(Y151="",SUBSTITUTE(Y71,", "," &amp; "),IF(COUNTIF(Y151,"*&amp;*"),Y71,SUBSTITUTE(Y71,", "," &amp; "))),"")),
(IF(COUNTIF(Y6,"*V*"),IF(Y151="",SUBSTITUTE(Y71,", "," &amp; "),IF(COUNTIF(Y151,"*&amp;*"),Y71,SUBSTITUTE(Y71,", "," &amp; "))),""))))</f>
        <v/>
      </c>
      <c r="AA151" s="40" t="str">
        <f t="shared" ref="AA151:AA161" si="63">IF(COUNTBLANK($C$47:$AG$58)&lt;372,
(IF(COUNTIF(Z48,"*V*"),IF(Z151="",SUBSTITUTE(Z71,", "," &amp; "),IF(COUNTIF(Z151,"*&amp;*"),Z71,SUBSTITUTE(Z71,", "," &amp; "))),"")),
IF(COUNTBLANK($C$26:$AG$37)&lt;372,
(IF(COUNTIF(Z27,"*V*"),IF(Z151="",SUBSTITUTE(Z71,", "," &amp; "),IF(COUNTIF(Z151,"*&amp;*"),Z71,SUBSTITUTE(Z71,", "," &amp; "))),"")),
(IF(COUNTIF(Z6,"*V*"),IF(Z151="",SUBSTITUTE(Z71,", "," &amp; "),IF(COUNTIF(Z151,"*&amp;*"),Z71,SUBSTITUTE(Z71,", "," &amp; "))),""))))</f>
        <v/>
      </c>
      <c r="AB151" s="40" t="str">
        <f t="shared" ref="AB151:AB161" si="64">IF(COUNTBLANK($C$47:$AG$58)&lt;372,
(IF(COUNTIF(AA48,"*V*"),IF(AA151="",SUBSTITUTE(AA71,", "," &amp; "),IF(COUNTIF(AA151,"*&amp;*"),AA71,SUBSTITUTE(AA71,", "," &amp; "))),"")),
IF(COUNTBLANK($C$26:$AG$37)&lt;372,
(IF(COUNTIF(AA27,"*V*"),IF(AA151="",SUBSTITUTE(AA71,", "," &amp; "),IF(COUNTIF(AA151,"*&amp;*"),AA71,SUBSTITUTE(AA71,", "," &amp; "))),"")),
(IF(COUNTIF(AA6,"*V*"),IF(AA151="",SUBSTITUTE(AA71,", "," &amp; "),IF(COUNTIF(AA151,"*&amp;*"),AA71,SUBSTITUTE(AA71,", "," &amp; "))),""))))</f>
        <v/>
      </c>
      <c r="AC151" s="40" t="str">
        <f t="shared" ref="AC151:AC161" si="65">IF(COUNTBLANK($C$47:$AG$58)&lt;372,
(IF(COUNTIF(AB48,"*V*"),IF(AB151="",SUBSTITUTE(AB71,", "," &amp; "),IF(COUNTIF(AB151,"*&amp;*"),AB71,SUBSTITUTE(AB71,", "," &amp; "))),"")),
IF(COUNTBLANK($C$26:$AG$37)&lt;372,
(IF(COUNTIF(AB27,"*V*"),IF(AB151="",SUBSTITUTE(AB71,", "," &amp; "),IF(COUNTIF(AB151,"*&amp;*"),AB71,SUBSTITUTE(AB71,", "," &amp; "))),"")),
(IF(COUNTIF(AB6,"*V*"),IF(AB151="",SUBSTITUTE(AB71,", "," &amp; "),IF(COUNTIF(AB151,"*&amp;*"),AB71,SUBSTITUTE(AB71,", "," &amp; "))),""))))</f>
        <v/>
      </c>
      <c r="AD151" s="40" t="str">
        <f t="shared" ref="AD151:AD161" si="66">IF(COUNTBLANK($C$47:$AG$58)&lt;372,
(IF(COUNTIF(AC48,"*V*"),IF(AC151="",SUBSTITUTE(AC71,", "," &amp; "),IF(COUNTIF(AC151,"*&amp;*"),AC71,SUBSTITUTE(AC71,", "," &amp; "))),"")),
IF(COUNTBLANK($C$26:$AG$37)&lt;372,
(IF(COUNTIF(AC27,"*V*"),IF(AC151="",SUBSTITUTE(AC71,", "," &amp; "),IF(COUNTIF(AC151,"*&amp;*"),AC71,SUBSTITUTE(AC71,", "," &amp; "))),"")),
(IF(COUNTIF(AC6,"*V*"),IF(AC151="",SUBSTITUTE(AC71,", "," &amp; "),IF(COUNTIF(AC151,"*&amp;*"),AC71,SUBSTITUTE(AC71,", "," &amp; "))),""))))</f>
        <v/>
      </c>
      <c r="AE151" s="40" t="str">
        <f t="shared" ref="AE151:AE161" si="67">IF(COUNTBLANK($C$47:$AG$58)&lt;372,
(IF(COUNTIF(AD48,"*V*"),IF(AD151="",SUBSTITUTE(AD71,", "," &amp; "),IF(COUNTIF(AD151,"*&amp;*"),AD71,SUBSTITUTE(AD71,", "," &amp; "))),"")),
IF(COUNTBLANK($C$26:$AG$37)&lt;372,
(IF(COUNTIF(AD27,"*V*"),IF(AD151="",SUBSTITUTE(AD71,", "," &amp; "),IF(COUNTIF(AD151,"*&amp;*"),AD71,SUBSTITUTE(AD71,", "," &amp; "))),"")),
(IF(COUNTIF(AD6,"*V*"),IF(AD151="",SUBSTITUTE(AD71,", "," &amp; "),IF(COUNTIF(AD151,"*&amp;*"),AD71,SUBSTITUTE(AD71,", "," &amp; "))),""))))</f>
        <v/>
      </c>
      <c r="AF151" s="40" t="str">
        <f t="shared" ref="AF151:AF161" si="68">IF(COUNTBLANK($C$47:$AG$58)&lt;372,
(IF(COUNTIF(AE48,"*V*"),IF(AE151="",SUBSTITUTE(AE71,", "," &amp; "),IF(COUNTIF(AE151,"*&amp;*"),AE71,SUBSTITUTE(AE71,", "," &amp; "))),"")),
IF(COUNTBLANK($C$26:$AG$37)&lt;372,
(IF(COUNTIF(AE27,"*V*"),IF(AE151="",SUBSTITUTE(AE71,", "," &amp; "),IF(COUNTIF(AE151,"*&amp;*"),AE71,SUBSTITUTE(AE71,", "," &amp; "))),"")),
(IF(COUNTIF(AE6,"*V*"),IF(AE151="",SUBSTITUTE(AE71,", "," &amp; "),IF(COUNTIF(AE151,"*&amp;*"),AE71,SUBSTITUTE(AE71,", "," &amp; "))),""))))</f>
        <v/>
      </c>
      <c r="AG151" s="40" t="str">
        <f t="shared" ref="AG151:AG161" si="69">IF(COUNTBLANK($C$47:$AG$58)&lt;372,
(IF(COUNTIF(AF48,"*V*"),IF(AF151="",SUBSTITUTE(AF71,", "," &amp; "),IF(COUNTIF(AF151,"*&amp;*"),AF71,SUBSTITUTE(AF71,", "," &amp; "))),"")),
IF(COUNTBLANK($C$26:$AG$37)&lt;372,
(IF(COUNTIF(AF27,"*V*"),IF(AF151="",SUBSTITUTE(AF71,", "," &amp; "),IF(COUNTIF(AF151,"*&amp;*"),AF71,SUBSTITUTE(AF71,", "," &amp; "))),"")),
(IF(COUNTIF(AF6,"*V*"),IF(AF151="",SUBSTITUTE(AF71,", "," &amp; "),IF(COUNTIF(AF151,"*&amp;*"),AF71,SUBSTITUTE(AF71,", "," &amp; "))),""))))</f>
        <v/>
      </c>
      <c r="AH151" s="40" t="str">
        <f t="shared" ref="AH151:AH161" si="70">IF(COUNTBLANK($C$47:$AG$58)&lt;372,
(IF(COUNTIF(AG48,"*V*"),IF(AG151="",SUBSTITUTE(AG71,", "," &amp; "),IF(COUNTIF(AG151,"*&amp;*"),AG71,SUBSTITUTE(AG71,", "," &amp; "))),"")),
IF(COUNTBLANK($C$26:$AG$37)&lt;372,
(IF(COUNTIF(AG27,"*V*"),IF(AG151="",SUBSTITUTE(AG71,", "," &amp; "),IF(COUNTIF(AG151,"*&amp;*"),AG71,SUBSTITUTE(AG71,", "," &amp; "))),"")),
(IF(COUNTIF(AG6,"*V*"),IF(AG151="",SUBSTITUTE(AG71,", "," &amp; "),IF(COUNTIF(AG151,"*&amp;*"),AG71,SUBSTITUTE(AG71,", "," &amp; "))),""))))</f>
        <v/>
      </c>
      <c r="AI151" s="40" t="str">
        <f t="shared" ref="AI151:AI161" si="71">IF(COUNTBLANK($C$47:$AG$58)&lt;372,
(IF(COUNTIF(AH48,"*V*"),IF(AH151="",SUBSTITUTE(AH71,", "," &amp; "),IF(COUNTIF(AH151,"*&amp;*"),AH71,SUBSTITUTE(AH71,", "," &amp; "))),"")),
IF(COUNTBLANK($C$26:$AG$37)&lt;372,
(IF(COUNTIF(AH27,"*V*"),IF(AH151="",SUBSTITUTE(AH71,", "," &amp; "),IF(COUNTIF(AH151,"*&amp;*"),AH71,SUBSTITUTE(AH71,", "," &amp; "))),"")),
(IF(COUNTIF(AH6,"*V*"),IF(AH151="",SUBSTITUTE(AH71,", "," &amp; "),IF(COUNTIF(AH151,"*&amp;*"),AH71,SUBSTITUTE(AH71,", "," &amp; "))),""))))</f>
        <v/>
      </c>
      <c r="AJ151" s="40" t="str">
        <f t="shared" ref="AJ151:AJ161" si="72">IF(COUNTBLANK($C$47:$AG$58)&lt;372,
(IF(COUNTIF(AI48,"*V*"),IF(AI151="",SUBSTITUTE(AI71,", "," &amp; "),IF(COUNTIF(AI151,"*&amp;*"),AI71,SUBSTITUTE(AI71,", "," &amp; "))),"")),
IF(COUNTBLANK($C$26:$AG$37)&lt;372,
(IF(COUNTIF(AI27,"*V*"),IF(AI151="",SUBSTITUTE(AI71,", "," &amp; "),IF(COUNTIF(AI151,"*&amp;*"),AI71,SUBSTITUTE(AI71,", "," &amp; "))),"")),
(IF(COUNTIF(AI6,"*V*"),IF(AI151="",SUBSTITUTE(AI71,", "," &amp; "),IF(COUNTIF(AI151,"*&amp;*"),AI71,SUBSTITUTE(AI71,", "," &amp; "))),""))))</f>
        <v/>
      </c>
      <c r="AK151" s="40" t="str">
        <f t="shared" ref="AK151:AK161" si="73">IF(COUNTBLANK($C$47:$AG$58)&lt;372,
(IF(COUNTIF(AJ48,"*V*"),IF(AJ151="",SUBSTITUTE(AJ71,", "," &amp; "),IF(COUNTIF(AJ151,"*&amp;*"),AJ71,SUBSTITUTE(AJ71,", "," &amp; "))),"")),
IF(COUNTBLANK($C$26:$AG$37)&lt;372,
(IF(COUNTIF(AJ27,"*V*"),IF(AJ151="",SUBSTITUTE(AJ71,", "," &amp; "),IF(COUNTIF(AJ151,"*&amp;*"),AJ71,SUBSTITUTE(AJ71,", "," &amp; "))),"")),
(IF(COUNTIF(AJ6,"*V*"),IF(AJ151="",SUBSTITUTE(AJ71,", "," &amp; "),IF(COUNTIF(AJ151,"*&amp;*"),AJ71,SUBSTITUTE(AJ71,", "," &amp; "))),""))))</f>
        <v/>
      </c>
    </row>
    <row r="152" spans="1:37" x14ac:dyDescent="0.35">
      <c r="A152" s="1196"/>
      <c r="B152" s="22">
        <v>3</v>
      </c>
      <c r="D152" s="40" t="str">
        <f t="shared" si="40"/>
        <v/>
      </c>
      <c r="E152" s="40" t="str">
        <f t="shared" si="41"/>
        <v/>
      </c>
      <c r="F152" s="40" t="str">
        <f t="shared" si="42"/>
        <v/>
      </c>
      <c r="G152" s="40" t="str">
        <f t="shared" si="43"/>
        <v/>
      </c>
      <c r="H152" s="40" t="str">
        <f t="shared" si="44"/>
        <v/>
      </c>
      <c r="I152" s="40" t="str">
        <f t="shared" si="45"/>
        <v/>
      </c>
      <c r="J152" s="40" t="str">
        <f t="shared" si="46"/>
        <v/>
      </c>
      <c r="K152" s="40" t="str">
        <f t="shared" si="47"/>
        <v/>
      </c>
      <c r="L152" s="40" t="str">
        <f t="shared" si="48"/>
        <v/>
      </c>
      <c r="M152" s="40" t="str">
        <f t="shared" si="49"/>
        <v/>
      </c>
      <c r="N152" s="40" t="str">
        <f t="shared" si="50"/>
        <v/>
      </c>
      <c r="O152" s="40" t="str">
        <f t="shared" si="51"/>
        <v/>
      </c>
      <c r="P152" s="40" t="str">
        <f t="shared" si="52"/>
        <v/>
      </c>
      <c r="Q152" s="40" t="str">
        <f t="shared" si="53"/>
        <v/>
      </c>
      <c r="R152" s="40" t="str">
        <f t="shared" si="54"/>
        <v/>
      </c>
      <c r="S152" s="40" t="str">
        <f t="shared" si="55"/>
        <v/>
      </c>
      <c r="T152" s="40" t="str">
        <f t="shared" si="56"/>
        <v/>
      </c>
      <c r="U152" s="40" t="str">
        <f t="shared" si="57"/>
        <v/>
      </c>
      <c r="V152" s="40" t="str">
        <f t="shared" si="58"/>
        <v/>
      </c>
      <c r="W152" s="40" t="str">
        <f t="shared" si="59"/>
        <v/>
      </c>
      <c r="X152" s="40" t="str">
        <f t="shared" si="60"/>
        <v/>
      </c>
      <c r="Y152" s="40" t="str">
        <f t="shared" si="61"/>
        <v/>
      </c>
      <c r="Z152" s="40" t="str">
        <f t="shared" si="62"/>
        <v/>
      </c>
      <c r="AA152" s="40" t="str">
        <f t="shared" si="63"/>
        <v/>
      </c>
      <c r="AB152" s="40" t="str">
        <f t="shared" si="64"/>
        <v/>
      </c>
      <c r="AC152" s="40" t="str">
        <f t="shared" si="65"/>
        <v/>
      </c>
      <c r="AD152" s="40" t="str">
        <f t="shared" si="66"/>
        <v/>
      </c>
      <c r="AE152" s="40" t="str">
        <f t="shared" si="67"/>
        <v/>
      </c>
      <c r="AF152" s="40" t="str">
        <f t="shared" si="68"/>
        <v/>
      </c>
      <c r="AG152" s="40" t="str">
        <f t="shared" si="69"/>
        <v/>
      </c>
      <c r="AH152" s="40" t="str">
        <f t="shared" si="70"/>
        <v/>
      </c>
      <c r="AI152" s="40" t="str">
        <f t="shared" si="71"/>
        <v/>
      </c>
      <c r="AJ152" s="40" t="str">
        <f t="shared" si="72"/>
        <v/>
      </c>
      <c r="AK152" s="40" t="str">
        <f t="shared" si="73"/>
        <v/>
      </c>
    </row>
    <row r="153" spans="1:37" x14ac:dyDescent="0.35">
      <c r="A153" s="1196"/>
      <c r="B153" s="22">
        <v>4</v>
      </c>
      <c r="D153" s="40" t="str">
        <f t="shared" si="40"/>
        <v/>
      </c>
      <c r="E153" s="40" t="str">
        <f t="shared" si="41"/>
        <v/>
      </c>
      <c r="F153" s="40" t="str">
        <f t="shared" si="42"/>
        <v/>
      </c>
      <c r="G153" s="40" t="str">
        <f t="shared" si="43"/>
        <v/>
      </c>
      <c r="H153" s="40" t="str">
        <f t="shared" si="44"/>
        <v/>
      </c>
      <c r="I153" s="40" t="str">
        <f t="shared" si="45"/>
        <v/>
      </c>
      <c r="J153" s="40" t="str">
        <f t="shared" si="46"/>
        <v/>
      </c>
      <c r="K153" s="40" t="str">
        <f t="shared" si="47"/>
        <v/>
      </c>
      <c r="L153" s="40" t="str">
        <f t="shared" si="48"/>
        <v/>
      </c>
      <c r="M153" s="40" t="str">
        <f t="shared" si="49"/>
        <v/>
      </c>
      <c r="N153" s="40" t="str">
        <f t="shared" si="50"/>
        <v/>
      </c>
      <c r="O153" s="40" t="str">
        <f t="shared" si="51"/>
        <v/>
      </c>
      <c r="P153" s="40" t="str">
        <f t="shared" si="52"/>
        <v/>
      </c>
      <c r="Q153" s="40" t="str">
        <f t="shared" si="53"/>
        <v/>
      </c>
      <c r="R153" s="40" t="str">
        <f t="shared" si="54"/>
        <v/>
      </c>
      <c r="S153" s="40" t="str">
        <f t="shared" si="55"/>
        <v/>
      </c>
      <c r="T153" s="40" t="str">
        <f t="shared" si="56"/>
        <v/>
      </c>
      <c r="U153" s="40" t="str">
        <f t="shared" si="57"/>
        <v/>
      </c>
      <c r="V153" s="40" t="str">
        <f t="shared" si="58"/>
        <v/>
      </c>
      <c r="W153" s="40" t="str">
        <f t="shared" si="59"/>
        <v/>
      </c>
      <c r="X153" s="40" t="str">
        <f t="shared" si="60"/>
        <v/>
      </c>
      <c r="Y153" s="40" t="str">
        <f t="shared" si="61"/>
        <v/>
      </c>
      <c r="Z153" s="40" t="str">
        <f t="shared" si="62"/>
        <v/>
      </c>
      <c r="AA153" s="40" t="str">
        <f t="shared" si="63"/>
        <v/>
      </c>
      <c r="AB153" s="40" t="str">
        <f t="shared" si="64"/>
        <v/>
      </c>
      <c r="AC153" s="40" t="str">
        <f t="shared" si="65"/>
        <v/>
      </c>
      <c r="AD153" s="40" t="str">
        <f t="shared" si="66"/>
        <v/>
      </c>
      <c r="AE153" s="40" t="str">
        <f t="shared" si="67"/>
        <v/>
      </c>
      <c r="AF153" s="40" t="str">
        <f t="shared" si="68"/>
        <v/>
      </c>
      <c r="AG153" s="40" t="str">
        <f t="shared" si="69"/>
        <v/>
      </c>
      <c r="AH153" s="40" t="str">
        <f t="shared" si="70"/>
        <v/>
      </c>
      <c r="AI153" s="40" t="str">
        <f t="shared" si="71"/>
        <v/>
      </c>
      <c r="AJ153" s="40" t="str">
        <f t="shared" si="72"/>
        <v/>
      </c>
      <c r="AK153" s="40" t="str">
        <f t="shared" si="73"/>
        <v/>
      </c>
    </row>
    <row r="154" spans="1:37" x14ac:dyDescent="0.35">
      <c r="A154" s="1196"/>
      <c r="B154" s="22">
        <v>5</v>
      </c>
      <c r="D154" s="40" t="str">
        <f t="shared" si="40"/>
        <v/>
      </c>
      <c r="E154" s="40" t="str">
        <f t="shared" si="41"/>
        <v/>
      </c>
      <c r="F154" s="40" t="str">
        <f t="shared" si="42"/>
        <v/>
      </c>
      <c r="G154" s="40" t="str">
        <f t="shared" si="43"/>
        <v/>
      </c>
      <c r="H154" s="40" t="str">
        <f t="shared" si="44"/>
        <v/>
      </c>
      <c r="I154" s="40" t="str">
        <f t="shared" si="45"/>
        <v/>
      </c>
      <c r="J154" s="40" t="str">
        <f t="shared" si="46"/>
        <v/>
      </c>
      <c r="K154" s="40" t="str">
        <f t="shared" si="47"/>
        <v/>
      </c>
      <c r="L154" s="40" t="str">
        <f t="shared" si="48"/>
        <v/>
      </c>
      <c r="M154" s="40" t="str">
        <f t="shared" si="49"/>
        <v/>
      </c>
      <c r="N154" s="40" t="str">
        <f t="shared" si="50"/>
        <v/>
      </c>
      <c r="O154" s="40" t="str">
        <f t="shared" si="51"/>
        <v/>
      </c>
      <c r="P154" s="40" t="str">
        <f t="shared" si="52"/>
        <v/>
      </c>
      <c r="Q154" s="40" t="str">
        <f t="shared" si="53"/>
        <v/>
      </c>
      <c r="R154" s="40" t="str">
        <f t="shared" si="54"/>
        <v/>
      </c>
      <c r="S154" s="40" t="str">
        <f t="shared" si="55"/>
        <v/>
      </c>
      <c r="T154" s="40" t="str">
        <f t="shared" si="56"/>
        <v/>
      </c>
      <c r="U154" s="40" t="str">
        <f t="shared" si="57"/>
        <v/>
      </c>
      <c r="V154" s="40" t="str">
        <f t="shared" si="58"/>
        <v/>
      </c>
      <c r="W154" s="40" t="str">
        <f t="shared" si="59"/>
        <v/>
      </c>
      <c r="X154" s="40" t="str">
        <f t="shared" si="60"/>
        <v/>
      </c>
      <c r="Y154" s="40" t="str">
        <f t="shared" si="61"/>
        <v/>
      </c>
      <c r="Z154" s="40" t="str">
        <f t="shared" si="62"/>
        <v/>
      </c>
      <c r="AA154" s="40" t="str">
        <f t="shared" si="63"/>
        <v/>
      </c>
      <c r="AB154" s="40" t="str">
        <f t="shared" si="64"/>
        <v/>
      </c>
      <c r="AC154" s="40" t="str">
        <f t="shared" si="65"/>
        <v/>
      </c>
      <c r="AD154" s="40" t="str">
        <f t="shared" si="66"/>
        <v/>
      </c>
      <c r="AE154" s="40" t="str">
        <f t="shared" si="67"/>
        <v/>
      </c>
      <c r="AF154" s="40" t="str">
        <f t="shared" si="68"/>
        <v/>
      </c>
      <c r="AG154" s="40" t="str">
        <f t="shared" si="69"/>
        <v/>
      </c>
      <c r="AH154" s="40" t="str">
        <f t="shared" si="70"/>
        <v/>
      </c>
      <c r="AI154" s="40" t="str">
        <f t="shared" si="71"/>
        <v/>
      </c>
      <c r="AJ154" s="40" t="str">
        <f t="shared" si="72"/>
        <v/>
      </c>
      <c r="AK154" s="40" t="str">
        <f t="shared" si="73"/>
        <v/>
      </c>
    </row>
    <row r="155" spans="1:37" x14ac:dyDescent="0.35">
      <c r="A155" s="1196"/>
      <c r="B155" s="22">
        <v>6</v>
      </c>
      <c r="D155" s="40" t="str">
        <f t="shared" si="40"/>
        <v/>
      </c>
      <c r="E155" s="40" t="str">
        <f t="shared" si="41"/>
        <v/>
      </c>
      <c r="F155" s="40" t="str">
        <f t="shared" si="42"/>
        <v/>
      </c>
      <c r="G155" s="40" t="str">
        <f t="shared" si="43"/>
        <v/>
      </c>
      <c r="H155" s="40" t="str">
        <f t="shared" si="44"/>
        <v/>
      </c>
      <c r="I155" s="40" t="str">
        <f t="shared" si="45"/>
        <v/>
      </c>
      <c r="J155" s="40" t="str">
        <f t="shared" si="46"/>
        <v/>
      </c>
      <c r="K155" s="40" t="str">
        <f t="shared" si="47"/>
        <v/>
      </c>
      <c r="L155" s="40" t="str">
        <f t="shared" si="48"/>
        <v/>
      </c>
      <c r="M155" s="40" t="str">
        <f t="shared" si="49"/>
        <v/>
      </c>
      <c r="N155" s="40" t="str">
        <f t="shared" si="50"/>
        <v/>
      </c>
      <c r="O155" s="40" t="str">
        <f t="shared" si="51"/>
        <v/>
      </c>
      <c r="P155" s="40" t="str">
        <f t="shared" si="52"/>
        <v/>
      </c>
      <c r="Q155" s="40" t="str">
        <f t="shared" si="53"/>
        <v/>
      </c>
      <c r="R155" s="40" t="str">
        <f t="shared" si="54"/>
        <v/>
      </c>
      <c r="S155" s="40" t="str">
        <f t="shared" si="55"/>
        <v/>
      </c>
      <c r="T155" s="40" t="str">
        <f t="shared" si="56"/>
        <v/>
      </c>
      <c r="U155" s="40" t="str">
        <f t="shared" si="57"/>
        <v/>
      </c>
      <c r="V155" s="40" t="str">
        <f t="shared" si="58"/>
        <v/>
      </c>
      <c r="W155" s="40" t="str">
        <f t="shared" si="59"/>
        <v/>
      </c>
      <c r="X155" s="40" t="str">
        <f t="shared" si="60"/>
        <v/>
      </c>
      <c r="Y155" s="40" t="str">
        <f t="shared" si="61"/>
        <v/>
      </c>
      <c r="Z155" s="40" t="str">
        <f t="shared" si="62"/>
        <v/>
      </c>
      <c r="AA155" s="40" t="str">
        <f t="shared" si="63"/>
        <v/>
      </c>
      <c r="AB155" s="40" t="str">
        <f t="shared" si="64"/>
        <v/>
      </c>
      <c r="AC155" s="40" t="str">
        <f t="shared" si="65"/>
        <v/>
      </c>
      <c r="AD155" s="40" t="str">
        <f t="shared" si="66"/>
        <v/>
      </c>
      <c r="AE155" s="40" t="str">
        <f t="shared" si="67"/>
        <v/>
      </c>
      <c r="AF155" s="40" t="str">
        <f t="shared" si="68"/>
        <v/>
      </c>
      <c r="AG155" s="40" t="str">
        <f t="shared" si="69"/>
        <v/>
      </c>
      <c r="AH155" s="40" t="str">
        <f t="shared" si="70"/>
        <v/>
      </c>
      <c r="AI155" s="40" t="str">
        <f t="shared" si="71"/>
        <v/>
      </c>
      <c r="AJ155" s="40" t="str">
        <f t="shared" si="72"/>
        <v/>
      </c>
      <c r="AK155" s="40" t="str">
        <f t="shared" si="73"/>
        <v/>
      </c>
    </row>
    <row r="156" spans="1:37" x14ac:dyDescent="0.35">
      <c r="A156" s="1196"/>
      <c r="B156" s="22">
        <v>7</v>
      </c>
      <c r="D156" s="40" t="str">
        <f t="shared" si="40"/>
        <v/>
      </c>
      <c r="E156" s="40" t="str">
        <f t="shared" si="41"/>
        <v/>
      </c>
      <c r="F156" s="40" t="str">
        <f t="shared" si="42"/>
        <v/>
      </c>
      <c r="G156" s="40" t="str">
        <f t="shared" si="43"/>
        <v/>
      </c>
      <c r="H156" s="40" t="str">
        <f t="shared" si="44"/>
        <v/>
      </c>
      <c r="I156" s="40" t="str">
        <f t="shared" si="45"/>
        <v/>
      </c>
      <c r="J156" s="40" t="str">
        <f t="shared" si="46"/>
        <v/>
      </c>
      <c r="K156" s="40" t="str">
        <f t="shared" si="47"/>
        <v/>
      </c>
      <c r="L156" s="40" t="str">
        <f t="shared" si="48"/>
        <v/>
      </c>
      <c r="M156" s="40" t="str">
        <f t="shared" si="49"/>
        <v/>
      </c>
      <c r="N156" s="40" t="str">
        <f t="shared" si="50"/>
        <v/>
      </c>
      <c r="O156" s="40" t="str">
        <f t="shared" si="51"/>
        <v/>
      </c>
      <c r="P156" s="40" t="str">
        <f t="shared" si="52"/>
        <v/>
      </c>
      <c r="Q156" s="40" t="str">
        <f t="shared" si="53"/>
        <v/>
      </c>
      <c r="R156" s="40" t="str">
        <f t="shared" si="54"/>
        <v/>
      </c>
      <c r="S156" s="40" t="str">
        <f t="shared" si="55"/>
        <v/>
      </c>
      <c r="T156" s="40" t="str">
        <f t="shared" si="56"/>
        <v/>
      </c>
      <c r="U156" s="40" t="str">
        <f t="shared" si="57"/>
        <v/>
      </c>
      <c r="V156" s="40" t="str">
        <f t="shared" si="58"/>
        <v/>
      </c>
      <c r="W156" s="40" t="str">
        <f t="shared" si="59"/>
        <v/>
      </c>
      <c r="X156" s="40" t="str">
        <f t="shared" si="60"/>
        <v/>
      </c>
      <c r="Y156" s="40" t="str">
        <f t="shared" si="61"/>
        <v/>
      </c>
      <c r="Z156" s="40" t="str">
        <f t="shared" si="62"/>
        <v/>
      </c>
      <c r="AA156" s="40" t="str">
        <f t="shared" si="63"/>
        <v/>
      </c>
      <c r="AB156" s="40" t="str">
        <f t="shared" si="64"/>
        <v/>
      </c>
      <c r="AC156" s="40" t="str">
        <f t="shared" si="65"/>
        <v/>
      </c>
      <c r="AD156" s="40" t="str">
        <f t="shared" si="66"/>
        <v/>
      </c>
      <c r="AE156" s="40" t="str">
        <f t="shared" si="67"/>
        <v/>
      </c>
      <c r="AF156" s="40" t="str">
        <f t="shared" si="68"/>
        <v/>
      </c>
      <c r="AG156" s="40" t="str">
        <f t="shared" si="69"/>
        <v/>
      </c>
      <c r="AH156" s="40" t="str">
        <f t="shared" si="70"/>
        <v/>
      </c>
      <c r="AI156" s="40" t="str">
        <f t="shared" si="71"/>
        <v/>
      </c>
      <c r="AJ156" s="40" t="str">
        <f t="shared" si="72"/>
        <v/>
      </c>
      <c r="AK156" s="40" t="str">
        <f t="shared" si="73"/>
        <v/>
      </c>
    </row>
    <row r="157" spans="1:37" ht="23.25" customHeight="1" x14ac:dyDescent="0.35">
      <c r="A157" s="1196"/>
      <c r="B157" s="22">
        <v>8</v>
      </c>
      <c r="D157" s="40" t="str">
        <f t="shared" si="40"/>
        <v/>
      </c>
      <c r="E157" s="40" t="str">
        <f t="shared" si="41"/>
        <v/>
      </c>
      <c r="F157" s="40" t="str">
        <f t="shared" si="42"/>
        <v/>
      </c>
      <c r="G157" s="40" t="str">
        <f t="shared" si="43"/>
        <v/>
      </c>
      <c r="H157" s="40" t="str">
        <f t="shared" si="44"/>
        <v/>
      </c>
      <c r="I157" s="40" t="str">
        <f t="shared" si="45"/>
        <v/>
      </c>
      <c r="J157" s="40" t="str">
        <f t="shared" si="46"/>
        <v/>
      </c>
      <c r="K157" s="40" t="str">
        <f t="shared" si="47"/>
        <v/>
      </c>
      <c r="L157" s="40" t="str">
        <f t="shared" si="48"/>
        <v/>
      </c>
      <c r="M157" s="40" t="str">
        <f t="shared" si="49"/>
        <v/>
      </c>
      <c r="N157" s="40" t="str">
        <f t="shared" si="50"/>
        <v/>
      </c>
      <c r="O157" s="40" t="str">
        <f t="shared" si="51"/>
        <v/>
      </c>
      <c r="P157" s="40" t="str">
        <f t="shared" si="52"/>
        <v/>
      </c>
      <c r="Q157" s="40" t="str">
        <f t="shared" si="53"/>
        <v/>
      </c>
      <c r="R157" s="40" t="str">
        <f t="shared" si="54"/>
        <v/>
      </c>
      <c r="S157" s="40" t="str">
        <f t="shared" si="55"/>
        <v/>
      </c>
      <c r="T157" s="40" t="str">
        <f t="shared" si="56"/>
        <v/>
      </c>
      <c r="U157" s="40" t="str">
        <f t="shared" si="57"/>
        <v/>
      </c>
      <c r="V157" s="40" t="str">
        <f t="shared" si="58"/>
        <v/>
      </c>
      <c r="W157" s="40" t="str">
        <f t="shared" si="59"/>
        <v/>
      </c>
      <c r="X157" s="40" t="str">
        <f t="shared" si="60"/>
        <v/>
      </c>
      <c r="Y157" s="40" t="str">
        <f t="shared" si="61"/>
        <v/>
      </c>
      <c r="Z157" s="40" t="str">
        <f t="shared" si="62"/>
        <v/>
      </c>
      <c r="AA157" s="40" t="str">
        <f t="shared" si="63"/>
        <v/>
      </c>
      <c r="AB157" s="40" t="str">
        <f t="shared" si="64"/>
        <v/>
      </c>
      <c r="AC157" s="40" t="str">
        <f t="shared" si="65"/>
        <v/>
      </c>
      <c r="AD157" s="40" t="str">
        <f t="shared" si="66"/>
        <v/>
      </c>
      <c r="AE157" s="40" t="str">
        <f t="shared" si="67"/>
        <v/>
      </c>
      <c r="AF157" s="40" t="str">
        <f t="shared" si="68"/>
        <v/>
      </c>
      <c r="AG157" s="40" t="str">
        <f t="shared" si="69"/>
        <v/>
      </c>
      <c r="AH157" s="40" t="str">
        <f t="shared" si="70"/>
        <v/>
      </c>
      <c r="AI157" s="40" t="str">
        <f t="shared" si="71"/>
        <v/>
      </c>
      <c r="AJ157" s="40" t="str">
        <f t="shared" si="72"/>
        <v/>
      </c>
      <c r="AK157" s="40" t="str">
        <f t="shared" si="73"/>
        <v/>
      </c>
    </row>
    <row r="158" spans="1:37" x14ac:dyDescent="0.35">
      <c r="A158" s="1196"/>
      <c r="B158" s="22">
        <v>9</v>
      </c>
      <c r="D158" s="40" t="str">
        <f t="shared" si="40"/>
        <v/>
      </c>
      <c r="E158" s="40" t="str">
        <f t="shared" si="41"/>
        <v/>
      </c>
      <c r="F158" s="40" t="str">
        <f t="shared" si="42"/>
        <v/>
      </c>
      <c r="G158" s="40" t="str">
        <f t="shared" si="43"/>
        <v/>
      </c>
      <c r="H158" s="40" t="str">
        <f t="shared" si="44"/>
        <v/>
      </c>
      <c r="I158" s="40" t="str">
        <f t="shared" si="45"/>
        <v/>
      </c>
      <c r="J158" s="40" t="str">
        <f t="shared" si="46"/>
        <v/>
      </c>
      <c r="K158" s="40" t="str">
        <f t="shared" si="47"/>
        <v/>
      </c>
      <c r="L158" s="40" t="str">
        <f t="shared" si="48"/>
        <v/>
      </c>
      <c r="M158" s="40" t="str">
        <f t="shared" si="49"/>
        <v/>
      </c>
      <c r="N158" s="40" t="str">
        <f t="shared" si="50"/>
        <v/>
      </c>
      <c r="O158" s="40" t="str">
        <f t="shared" si="51"/>
        <v/>
      </c>
      <c r="P158" s="40" t="str">
        <f t="shared" si="52"/>
        <v/>
      </c>
      <c r="Q158" s="40" t="str">
        <f t="shared" si="53"/>
        <v/>
      </c>
      <c r="R158" s="40" t="str">
        <f t="shared" si="54"/>
        <v/>
      </c>
      <c r="S158" s="40" t="str">
        <f t="shared" si="55"/>
        <v/>
      </c>
      <c r="T158" s="40" t="str">
        <f t="shared" si="56"/>
        <v/>
      </c>
      <c r="U158" s="40" t="str">
        <f t="shared" si="57"/>
        <v/>
      </c>
      <c r="V158" s="40" t="str">
        <f t="shared" si="58"/>
        <v/>
      </c>
      <c r="W158" s="40" t="str">
        <f t="shared" si="59"/>
        <v/>
      </c>
      <c r="X158" s="40" t="str">
        <f t="shared" si="60"/>
        <v/>
      </c>
      <c r="Y158" s="40" t="str">
        <f t="shared" si="61"/>
        <v/>
      </c>
      <c r="Z158" s="40" t="str">
        <f t="shared" si="62"/>
        <v/>
      </c>
      <c r="AA158" s="40" t="str">
        <f t="shared" si="63"/>
        <v/>
      </c>
      <c r="AB158" s="40" t="str">
        <f t="shared" si="64"/>
        <v/>
      </c>
      <c r="AC158" s="40" t="str">
        <f t="shared" si="65"/>
        <v/>
      </c>
      <c r="AD158" s="40" t="str">
        <f t="shared" si="66"/>
        <v/>
      </c>
      <c r="AE158" s="40" t="str">
        <f t="shared" si="67"/>
        <v/>
      </c>
      <c r="AF158" s="40" t="str">
        <f t="shared" si="68"/>
        <v/>
      </c>
      <c r="AG158" s="40" t="str">
        <f t="shared" si="69"/>
        <v/>
      </c>
      <c r="AH158" s="40" t="str">
        <f t="shared" si="70"/>
        <v/>
      </c>
      <c r="AI158" s="40" t="str">
        <f t="shared" si="71"/>
        <v/>
      </c>
      <c r="AJ158" s="40" t="str">
        <f t="shared" si="72"/>
        <v/>
      </c>
      <c r="AK158" s="40" t="str">
        <f t="shared" si="73"/>
        <v/>
      </c>
    </row>
    <row r="159" spans="1:37" x14ac:dyDescent="0.35">
      <c r="A159" s="1196"/>
      <c r="B159" s="22">
        <v>10</v>
      </c>
      <c r="D159" s="40" t="str">
        <f t="shared" si="40"/>
        <v/>
      </c>
      <c r="E159" s="40" t="str">
        <f t="shared" si="41"/>
        <v/>
      </c>
      <c r="F159" s="40" t="str">
        <f t="shared" si="42"/>
        <v/>
      </c>
      <c r="G159" s="40" t="str">
        <f t="shared" si="43"/>
        <v/>
      </c>
      <c r="H159" s="40" t="str">
        <f t="shared" si="44"/>
        <v/>
      </c>
      <c r="I159" s="40" t="str">
        <f t="shared" si="45"/>
        <v/>
      </c>
      <c r="J159" s="40" t="str">
        <f t="shared" si="46"/>
        <v/>
      </c>
      <c r="K159" s="40" t="str">
        <f t="shared" si="47"/>
        <v/>
      </c>
      <c r="L159" s="40" t="str">
        <f t="shared" si="48"/>
        <v/>
      </c>
      <c r="M159" s="40" t="str">
        <f t="shared" si="49"/>
        <v/>
      </c>
      <c r="N159" s="40" t="str">
        <f t="shared" si="50"/>
        <v/>
      </c>
      <c r="O159" s="40" t="str">
        <f t="shared" si="51"/>
        <v/>
      </c>
      <c r="P159" s="40" t="str">
        <f t="shared" si="52"/>
        <v/>
      </c>
      <c r="Q159" s="40" t="str">
        <f t="shared" si="53"/>
        <v/>
      </c>
      <c r="R159" s="40" t="str">
        <f t="shared" si="54"/>
        <v/>
      </c>
      <c r="S159" s="40" t="str">
        <f t="shared" si="55"/>
        <v/>
      </c>
      <c r="T159" s="40" t="str">
        <f t="shared" si="56"/>
        <v/>
      </c>
      <c r="U159" s="40" t="str">
        <f t="shared" si="57"/>
        <v/>
      </c>
      <c r="V159" s="40" t="str">
        <f t="shared" si="58"/>
        <v/>
      </c>
      <c r="W159" s="40" t="str">
        <f t="shared" si="59"/>
        <v/>
      </c>
      <c r="X159" s="40" t="str">
        <f t="shared" si="60"/>
        <v/>
      </c>
      <c r="Y159" s="40" t="str">
        <f t="shared" si="61"/>
        <v/>
      </c>
      <c r="Z159" s="40" t="str">
        <f t="shared" si="62"/>
        <v/>
      </c>
      <c r="AA159" s="40" t="str">
        <f t="shared" si="63"/>
        <v/>
      </c>
      <c r="AB159" s="40" t="str">
        <f t="shared" si="64"/>
        <v/>
      </c>
      <c r="AC159" s="40" t="str">
        <f t="shared" si="65"/>
        <v/>
      </c>
      <c r="AD159" s="40" t="str">
        <f t="shared" si="66"/>
        <v/>
      </c>
      <c r="AE159" s="40" t="str">
        <f t="shared" si="67"/>
        <v/>
      </c>
      <c r="AF159" s="40" t="str">
        <f t="shared" si="68"/>
        <v/>
      </c>
      <c r="AG159" s="40" t="str">
        <f t="shared" si="69"/>
        <v/>
      </c>
      <c r="AH159" s="40" t="str">
        <f t="shared" si="70"/>
        <v/>
      </c>
      <c r="AI159" s="40" t="str">
        <f t="shared" si="71"/>
        <v/>
      </c>
      <c r="AJ159" s="40" t="str">
        <f t="shared" si="72"/>
        <v/>
      </c>
      <c r="AK159" s="40" t="str">
        <f t="shared" si="73"/>
        <v/>
      </c>
    </row>
    <row r="160" spans="1:37" x14ac:dyDescent="0.35">
      <c r="A160" s="1196"/>
      <c r="B160" s="22">
        <v>11</v>
      </c>
      <c r="D160" s="40" t="str">
        <f t="shared" si="40"/>
        <v/>
      </c>
      <c r="E160" s="40" t="str">
        <f t="shared" si="41"/>
        <v/>
      </c>
      <c r="F160" s="40" t="str">
        <f t="shared" si="42"/>
        <v/>
      </c>
      <c r="G160" s="40" t="str">
        <f t="shared" si="43"/>
        <v/>
      </c>
      <c r="H160" s="40" t="str">
        <f t="shared" si="44"/>
        <v/>
      </c>
      <c r="I160" s="40" t="str">
        <f t="shared" si="45"/>
        <v/>
      </c>
      <c r="J160" s="40" t="str">
        <f t="shared" si="46"/>
        <v/>
      </c>
      <c r="K160" s="40" t="str">
        <f t="shared" si="47"/>
        <v/>
      </c>
      <c r="L160" s="40" t="str">
        <f t="shared" si="48"/>
        <v/>
      </c>
      <c r="M160" s="40" t="str">
        <f t="shared" si="49"/>
        <v/>
      </c>
      <c r="N160" s="40" t="str">
        <f t="shared" si="50"/>
        <v/>
      </c>
      <c r="O160" s="40" t="str">
        <f t="shared" si="51"/>
        <v/>
      </c>
      <c r="P160" s="40" t="str">
        <f t="shared" si="52"/>
        <v/>
      </c>
      <c r="Q160" s="40" t="str">
        <f t="shared" si="53"/>
        <v/>
      </c>
      <c r="R160" s="40" t="str">
        <f t="shared" si="54"/>
        <v/>
      </c>
      <c r="S160" s="40" t="str">
        <f t="shared" si="55"/>
        <v/>
      </c>
      <c r="T160" s="40" t="str">
        <f t="shared" si="56"/>
        <v/>
      </c>
      <c r="U160" s="40" t="str">
        <f t="shared" si="57"/>
        <v/>
      </c>
      <c r="V160" s="40" t="str">
        <f t="shared" si="58"/>
        <v/>
      </c>
      <c r="W160" s="40" t="str">
        <f t="shared" si="59"/>
        <v/>
      </c>
      <c r="X160" s="40" t="str">
        <f t="shared" si="60"/>
        <v/>
      </c>
      <c r="Y160" s="40" t="str">
        <f t="shared" si="61"/>
        <v/>
      </c>
      <c r="Z160" s="40" t="str">
        <f t="shared" si="62"/>
        <v/>
      </c>
      <c r="AA160" s="40" t="str">
        <f t="shared" si="63"/>
        <v/>
      </c>
      <c r="AB160" s="40" t="str">
        <f t="shared" si="64"/>
        <v/>
      </c>
      <c r="AC160" s="40" t="str">
        <f t="shared" si="65"/>
        <v/>
      </c>
      <c r="AD160" s="40" t="str">
        <f t="shared" si="66"/>
        <v/>
      </c>
      <c r="AE160" s="40" t="str">
        <f t="shared" si="67"/>
        <v/>
      </c>
      <c r="AF160" s="40" t="str">
        <f t="shared" si="68"/>
        <v/>
      </c>
      <c r="AG160" s="40" t="str">
        <f t="shared" si="69"/>
        <v/>
      </c>
      <c r="AH160" s="40" t="str">
        <f t="shared" si="70"/>
        <v/>
      </c>
      <c r="AI160" s="40" t="str">
        <f t="shared" si="71"/>
        <v/>
      </c>
      <c r="AJ160" s="40" t="str">
        <f t="shared" si="72"/>
        <v/>
      </c>
      <c r="AK160" s="40" t="str">
        <f t="shared" si="73"/>
        <v/>
      </c>
    </row>
    <row r="161" spans="1:40" ht="15" thickBot="1" x14ac:dyDescent="0.4">
      <c r="A161" s="1197"/>
      <c r="B161" s="23">
        <v>12</v>
      </c>
      <c r="D161" s="40" t="str">
        <f t="shared" si="40"/>
        <v/>
      </c>
      <c r="E161" s="40" t="str">
        <f t="shared" si="41"/>
        <v/>
      </c>
      <c r="F161" s="40" t="str">
        <f t="shared" si="42"/>
        <v/>
      </c>
      <c r="G161" s="40" t="str">
        <f t="shared" si="43"/>
        <v/>
      </c>
      <c r="H161" s="40" t="str">
        <f t="shared" si="44"/>
        <v/>
      </c>
      <c r="I161" s="40" t="str">
        <f t="shared" si="45"/>
        <v/>
      </c>
      <c r="J161" s="40" t="str">
        <f t="shared" si="46"/>
        <v/>
      </c>
      <c r="K161" s="40" t="str">
        <f t="shared" si="47"/>
        <v/>
      </c>
      <c r="L161" s="40" t="str">
        <f t="shared" si="48"/>
        <v/>
      </c>
      <c r="M161" s="40" t="str">
        <f t="shared" si="49"/>
        <v/>
      </c>
      <c r="N161" s="40" t="str">
        <f t="shared" si="50"/>
        <v/>
      </c>
      <c r="O161" s="40" t="str">
        <f t="shared" si="51"/>
        <v/>
      </c>
      <c r="P161" s="40" t="str">
        <f t="shared" si="52"/>
        <v/>
      </c>
      <c r="Q161" s="40" t="str">
        <f t="shared" si="53"/>
        <v/>
      </c>
      <c r="R161" s="40" t="str">
        <f t="shared" si="54"/>
        <v/>
      </c>
      <c r="S161" s="40" t="str">
        <f t="shared" si="55"/>
        <v/>
      </c>
      <c r="T161" s="40" t="str">
        <f t="shared" si="56"/>
        <v/>
      </c>
      <c r="U161" s="40" t="str">
        <f t="shared" si="57"/>
        <v/>
      </c>
      <c r="V161" s="40" t="str">
        <f t="shared" si="58"/>
        <v/>
      </c>
      <c r="W161" s="40" t="str">
        <f t="shared" si="59"/>
        <v/>
      </c>
      <c r="X161" s="40" t="str">
        <f t="shared" si="60"/>
        <v/>
      </c>
      <c r="Y161" s="40" t="str">
        <f t="shared" si="61"/>
        <v/>
      </c>
      <c r="Z161" s="40" t="str">
        <f t="shared" si="62"/>
        <v/>
      </c>
      <c r="AA161" s="40" t="str">
        <f t="shared" si="63"/>
        <v/>
      </c>
      <c r="AB161" s="40" t="str">
        <f t="shared" si="64"/>
        <v/>
      </c>
      <c r="AC161" s="40" t="str">
        <f t="shared" si="65"/>
        <v/>
      </c>
      <c r="AD161" s="40" t="str">
        <f t="shared" si="66"/>
        <v/>
      </c>
      <c r="AE161" s="40" t="str">
        <f t="shared" si="67"/>
        <v/>
      </c>
      <c r="AF161" s="40" t="str">
        <f t="shared" si="68"/>
        <v/>
      </c>
      <c r="AG161" s="40" t="str">
        <f t="shared" si="69"/>
        <v/>
      </c>
      <c r="AH161" s="40" t="str">
        <f t="shared" si="70"/>
        <v/>
      </c>
      <c r="AI161" s="40" t="str">
        <f t="shared" si="71"/>
        <v/>
      </c>
      <c r="AJ161" s="40" t="str">
        <f t="shared" si="72"/>
        <v/>
      </c>
      <c r="AK161" s="40" t="str">
        <f t="shared" si="73"/>
        <v/>
      </c>
    </row>
    <row r="162" spans="1:40" ht="7.5" customHeight="1" x14ac:dyDescent="0.35"/>
    <row r="163" spans="1:40" ht="3.75" customHeight="1" x14ac:dyDescent="0.35">
      <c r="G163" s="65"/>
    </row>
    <row r="164" spans="1:40" ht="3.75" customHeight="1" x14ac:dyDescent="0.35"/>
    <row r="165" spans="1:40" ht="3.75" customHeight="1" x14ac:dyDescent="0.35"/>
    <row r="166" spans="1:40" ht="3.75" customHeight="1" x14ac:dyDescent="0.35"/>
    <row r="167" spans="1:40" ht="3.75" customHeight="1" x14ac:dyDescent="0.35"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</row>
    <row r="168" spans="1:40" ht="15" thickBot="1" x14ac:dyDescent="0.4">
      <c r="D168" s="1201" t="s">
        <v>822</v>
      </c>
      <c r="E168" s="1201"/>
      <c r="F168" s="1201"/>
      <c r="G168" s="1201"/>
      <c r="H168" s="1201"/>
      <c r="I168" s="1201"/>
      <c r="J168" s="1201"/>
      <c r="K168" s="1201"/>
      <c r="L168" s="1201"/>
      <c r="M168" s="1201"/>
      <c r="N168" s="1201"/>
      <c r="O168" s="1201"/>
      <c r="P168" s="1201"/>
      <c r="Q168" s="1201"/>
      <c r="R168" s="1201"/>
      <c r="S168" s="1201"/>
      <c r="T168" s="1201"/>
      <c r="U168" s="1201"/>
      <c r="V168" s="1201"/>
      <c r="W168" s="1201"/>
      <c r="X168" s="66"/>
      <c r="Y168" s="66"/>
      <c r="Z168" s="66"/>
      <c r="AA168" s="66"/>
      <c r="AB168" s="66"/>
      <c r="AC168" s="66"/>
      <c r="AD168" s="66"/>
      <c r="AE168" s="66"/>
      <c r="AF168" s="66"/>
    </row>
    <row r="169" spans="1:40" x14ac:dyDescent="0.35">
      <c r="A169" s="1202"/>
      <c r="B169" s="1203"/>
      <c r="D169" s="1206" t="s">
        <v>17</v>
      </c>
      <c r="E169" s="1207"/>
      <c r="F169" s="1207"/>
      <c r="G169" s="1207"/>
      <c r="H169" s="1207"/>
      <c r="I169" s="1207"/>
      <c r="J169" s="1207"/>
      <c r="K169" s="1207"/>
      <c r="L169" s="1207"/>
      <c r="M169" s="1207"/>
      <c r="N169" s="1207"/>
      <c r="O169" s="1207"/>
      <c r="P169" s="1207"/>
      <c r="Q169" s="1207"/>
      <c r="R169" s="1207"/>
      <c r="S169" s="1207"/>
      <c r="T169" s="1207"/>
      <c r="U169" s="1207"/>
      <c r="V169" s="1207"/>
      <c r="W169" s="1208"/>
      <c r="X169" s="6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8"/>
    </row>
    <row r="170" spans="1:40" ht="15" thickBot="1" x14ac:dyDescent="0.4">
      <c r="A170" s="1204"/>
      <c r="B170" s="1205"/>
      <c r="D170" s="16">
        <v>1</v>
      </c>
      <c r="E170" s="17">
        <v>2</v>
      </c>
      <c r="F170" s="17">
        <v>3</v>
      </c>
      <c r="G170" s="17">
        <v>4</v>
      </c>
      <c r="H170" s="17">
        <v>5</v>
      </c>
      <c r="I170" s="17">
        <v>6</v>
      </c>
      <c r="J170" s="17">
        <v>7</v>
      </c>
      <c r="K170" s="17">
        <v>8</v>
      </c>
      <c r="L170" s="17">
        <v>9</v>
      </c>
      <c r="M170" s="17">
        <v>10</v>
      </c>
      <c r="N170" s="17">
        <v>11</v>
      </c>
      <c r="O170" s="17">
        <v>12</v>
      </c>
      <c r="P170" s="17">
        <v>13</v>
      </c>
      <c r="Q170" s="17">
        <v>14</v>
      </c>
      <c r="R170" s="17">
        <v>15</v>
      </c>
      <c r="S170" s="17">
        <v>16</v>
      </c>
      <c r="T170" s="17">
        <v>17</v>
      </c>
      <c r="U170" s="17">
        <v>18</v>
      </c>
      <c r="V170" s="17">
        <v>19</v>
      </c>
      <c r="W170" s="18">
        <v>20</v>
      </c>
      <c r="X170" s="17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20"/>
    </row>
    <row r="171" spans="1:40" ht="15" thickBot="1" x14ac:dyDescent="0.4">
      <c r="A171" s="1196" t="s">
        <v>18</v>
      </c>
      <c r="B171" s="21">
        <v>1</v>
      </c>
      <c r="D171" s="40" t="str">
        <f t="shared" ref="D171:AK171" si="74">IF(AND(C150="",E150=""),"",IF(D150&lt;&gt;"",IF(E150&lt;&gt;"",SUBSTITUTE(D150,","," &amp;")&amp;SUBSTITUTE(E150," &amp;",","),""),""))</f>
        <v/>
      </c>
      <c r="E171" s="40" t="str">
        <f t="shared" si="74"/>
        <v/>
      </c>
      <c r="F171" s="40" t="str">
        <f t="shared" si="74"/>
        <v/>
      </c>
      <c r="G171" s="40" t="str">
        <f t="shared" si="74"/>
        <v/>
      </c>
      <c r="H171" s="40" t="str">
        <f t="shared" si="74"/>
        <v/>
      </c>
      <c r="I171" s="40" t="str">
        <f t="shared" si="74"/>
        <v/>
      </c>
      <c r="J171" s="40" t="str">
        <f t="shared" si="74"/>
        <v/>
      </c>
      <c r="K171" s="40" t="str">
        <f t="shared" si="74"/>
        <v/>
      </c>
      <c r="L171" s="40" t="str">
        <f t="shared" si="74"/>
        <v/>
      </c>
      <c r="M171" s="40" t="str">
        <f t="shared" si="74"/>
        <v/>
      </c>
      <c r="N171" s="40" t="str">
        <f t="shared" si="74"/>
        <v/>
      </c>
      <c r="O171" s="40" t="str">
        <f t="shared" si="74"/>
        <v/>
      </c>
      <c r="P171" s="40" t="str">
        <f t="shared" si="74"/>
        <v/>
      </c>
      <c r="Q171" s="40" t="str">
        <f t="shared" si="74"/>
        <v/>
      </c>
      <c r="R171" s="40" t="str">
        <f t="shared" si="74"/>
        <v/>
      </c>
      <c r="S171" s="40" t="str">
        <f t="shared" si="74"/>
        <v/>
      </c>
      <c r="T171" s="40" t="str">
        <f t="shared" si="74"/>
        <v/>
      </c>
      <c r="U171" s="40" t="str">
        <f t="shared" si="74"/>
        <v/>
      </c>
      <c r="V171" s="40" t="str">
        <f t="shared" si="74"/>
        <v/>
      </c>
      <c r="W171" s="40" t="str">
        <f t="shared" si="74"/>
        <v/>
      </c>
      <c r="X171" s="40" t="str">
        <f t="shared" si="74"/>
        <v/>
      </c>
      <c r="Y171" s="40" t="str">
        <f t="shared" si="74"/>
        <v/>
      </c>
      <c r="Z171" s="40" t="str">
        <f t="shared" si="74"/>
        <v/>
      </c>
      <c r="AA171" s="40" t="str">
        <f t="shared" si="74"/>
        <v/>
      </c>
      <c r="AB171" s="40" t="str">
        <f t="shared" si="74"/>
        <v/>
      </c>
      <c r="AC171" s="40" t="str">
        <f t="shared" si="74"/>
        <v/>
      </c>
      <c r="AD171" s="40" t="str">
        <f t="shared" si="74"/>
        <v/>
      </c>
      <c r="AE171" s="40" t="str">
        <f t="shared" si="74"/>
        <v/>
      </c>
      <c r="AF171" s="40" t="str">
        <f t="shared" si="74"/>
        <v/>
      </c>
      <c r="AG171" s="40" t="str">
        <f t="shared" si="74"/>
        <v/>
      </c>
      <c r="AH171" s="40" t="str">
        <f t="shared" si="74"/>
        <v/>
      </c>
      <c r="AI171" s="40" t="str">
        <f t="shared" si="74"/>
        <v/>
      </c>
      <c r="AJ171" s="40" t="str">
        <f t="shared" si="74"/>
        <v/>
      </c>
      <c r="AK171" s="40" t="str">
        <f t="shared" si="74"/>
        <v/>
      </c>
      <c r="AL171" s="62" t="str">
        <f>CONCATENATE(D171,E171,F171,G171,H171,I171,J171,K171,L171,M171,N171,O171,P171,Q171,R171,S171,T171,U171,V171,W171,X171,Y171,Z171,AA171,AB171,AC171,AD171,AE171,AF171,AG171,AH171,AI171,AJ171,AK171)</f>
        <v/>
      </c>
      <c r="AN171" s="112" t="str">
        <f>IF(AL171&lt;&gt;"",CONCATENATE("B1 (",LEFT(SUBSTITUTE(AL171,"B1",""),LEN(SUBSTITUTE(AL171,"B1",""))-2),"), "), "")</f>
        <v/>
      </c>
    </row>
    <row r="172" spans="1:40" ht="15" thickBot="1" x14ac:dyDescent="0.4">
      <c r="A172" s="1196"/>
      <c r="B172" s="22">
        <v>2</v>
      </c>
      <c r="D172" s="40" t="str">
        <f t="shared" ref="D172:D182" si="75">IF(AND(C151="",E151=""),"",IF(D151&lt;&gt;"",IF(E151&lt;&gt;"",SUBSTITUTE(D151,","," &amp;")&amp;SUBSTITUTE(E151," &amp;",","),""),""))</f>
        <v/>
      </c>
      <c r="E172" s="40" t="str">
        <f t="shared" ref="E172:E182" si="76">IF(AND(D151="",F151=""),"",IF(E151&lt;&gt;"",IF(F151&lt;&gt;"",SUBSTITUTE(E151,","," &amp;")&amp;SUBSTITUTE(F151," &amp;",","),""),""))</f>
        <v/>
      </c>
      <c r="F172" s="40" t="str">
        <f t="shared" ref="F172:F182" si="77">IF(AND(E151="",G151=""),"",IF(F151&lt;&gt;"",IF(G151&lt;&gt;"",SUBSTITUTE(F151,","," &amp;")&amp;SUBSTITUTE(G151," &amp;",","),""),""))</f>
        <v/>
      </c>
      <c r="G172" s="40" t="str">
        <f t="shared" ref="G172:G182" si="78">IF(AND(F151="",H151=""),"",IF(G151&lt;&gt;"",IF(H151&lt;&gt;"",SUBSTITUTE(G151,","," &amp;")&amp;SUBSTITUTE(H151," &amp;",","),""),""))</f>
        <v/>
      </c>
      <c r="H172" s="40" t="str">
        <f t="shared" ref="H172:H182" si="79">IF(AND(G151="",I151=""),"",IF(H151&lt;&gt;"",IF(I151&lt;&gt;"",SUBSTITUTE(H151,","," &amp;")&amp;SUBSTITUTE(I151," &amp;",","),""),""))</f>
        <v/>
      </c>
      <c r="I172" s="40" t="str">
        <f t="shared" ref="I172:I182" si="80">IF(AND(H151="",J151=""),"",IF(I151&lt;&gt;"",IF(J151&lt;&gt;"",SUBSTITUTE(I151,","," &amp;")&amp;SUBSTITUTE(J151," &amp;",","),""),""))</f>
        <v/>
      </c>
      <c r="J172" s="40" t="str">
        <f t="shared" ref="J172:J182" si="81">IF(AND(I151="",K151=""),"",IF(J151&lt;&gt;"",IF(K151&lt;&gt;"",SUBSTITUTE(J151,","," &amp;")&amp;SUBSTITUTE(K151," &amp;",","),""),""))</f>
        <v/>
      </c>
      <c r="K172" s="40" t="str">
        <f t="shared" ref="K172:K182" si="82">IF(AND(J151="",L151=""),"",IF(K151&lt;&gt;"",IF(L151&lt;&gt;"",SUBSTITUTE(K151,","," &amp;")&amp;SUBSTITUTE(L151," &amp;",","),""),""))</f>
        <v/>
      </c>
      <c r="L172" s="40" t="str">
        <f t="shared" ref="L172:L182" si="83">IF(AND(K151="",M151=""),"",IF(L151&lt;&gt;"",IF(M151&lt;&gt;"",SUBSTITUTE(L151,","," &amp;")&amp;SUBSTITUTE(M151," &amp;",","),""),""))</f>
        <v/>
      </c>
      <c r="M172" s="40" t="str">
        <f t="shared" ref="M172:M182" si="84">IF(AND(L151="",N151=""),"",IF(M151&lt;&gt;"",IF(N151&lt;&gt;"",SUBSTITUTE(M151,","," &amp;")&amp;SUBSTITUTE(N151," &amp;",","),""),""))</f>
        <v/>
      </c>
      <c r="N172" s="40" t="str">
        <f t="shared" ref="N172:N182" si="85">IF(AND(M151="",O151=""),"",IF(N151&lt;&gt;"",IF(O151&lt;&gt;"",SUBSTITUTE(N151,","," &amp;")&amp;SUBSTITUTE(O151," &amp;",","),""),""))</f>
        <v/>
      </c>
      <c r="O172" s="40" t="str">
        <f t="shared" ref="O172:O182" si="86">IF(AND(N151="",P151=""),"",IF(O151&lt;&gt;"",IF(P151&lt;&gt;"",SUBSTITUTE(O151,","," &amp;")&amp;SUBSTITUTE(P151," &amp;",","),""),""))</f>
        <v/>
      </c>
      <c r="P172" s="40" t="str">
        <f t="shared" ref="P172:P182" si="87">IF(AND(O151="",Q151=""),"",IF(P151&lt;&gt;"",IF(Q151&lt;&gt;"",SUBSTITUTE(P151,","," &amp;")&amp;SUBSTITUTE(Q151," &amp;",","),""),""))</f>
        <v/>
      </c>
      <c r="Q172" s="40" t="str">
        <f t="shared" ref="Q172:Q182" si="88">IF(AND(P151="",R151=""),"",IF(Q151&lt;&gt;"",IF(R151&lt;&gt;"",SUBSTITUTE(Q151,","," &amp;")&amp;SUBSTITUTE(R151," &amp;",","),""),""))</f>
        <v/>
      </c>
      <c r="R172" s="40" t="str">
        <f t="shared" ref="R172:R182" si="89">IF(AND(Q151="",S151=""),"",IF(R151&lt;&gt;"",IF(S151&lt;&gt;"",SUBSTITUTE(R151,","," &amp;")&amp;SUBSTITUTE(S151," &amp;",","),""),""))</f>
        <v/>
      </c>
      <c r="S172" s="40" t="str">
        <f t="shared" ref="S172:S182" si="90">IF(AND(R151="",T151=""),"",IF(S151&lt;&gt;"",IF(T151&lt;&gt;"",SUBSTITUTE(S151,","," &amp;")&amp;SUBSTITUTE(T151," &amp;",","),""),""))</f>
        <v/>
      </c>
      <c r="T172" s="40" t="str">
        <f t="shared" ref="T172:T182" si="91">IF(AND(S151="",U151=""),"",IF(T151&lt;&gt;"",IF(U151&lt;&gt;"",SUBSTITUTE(T151,","," &amp;")&amp;SUBSTITUTE(U151," &amp;",","),""),""))</f>
        <v/>
      </c>
      <c r="U172" s="40" t="str">
        <f t="shared" ref="U172:U182" si="92">IF(AND(T151="",V151=""),"",IF(U151&lt;&gt;"",IF(V151&lt;&gt;"",SUBSTITUTE(U151,","," &amp;")&amp;SUBSTITUTE(V151," &amp;",","),""),""))</f>
        <v/>
      </c>
      <c r="V172" s="40" t="str">
        <f t="shared" ref="V172:V182" si="93">IF(AND(U151="",W151=""),"",IF(V151&lt;&gt;"",IF(W151&lt;&gt;"",SUBSTITUTE(V151,","," &amp;")&amp;SUBSTITUTE(W151," &amp;",","),""),""))</f>
        <v/>
      </c>
      <c r="W172" s="40" t="str">
        <f t="shared" ref="W172:W182" si="94">IF(AND(V151="",X151=""),"",IF(W151&lt;&gt;"",IF(X151&lt;&gt;"",SUBSTITUTE(W151,","," &amp;")&amp;SUBSTITUTE(X151," &amp;",","),""),""))</f>
        <v/>
      </c>
      <c r="X172" s="40" t="str">
        <f t="shared" ref="X172:X182" si="95">IF(AND(W151="",Y151=""),"",IF(X151&lt;&gt;"",IF(Y151&lt;&gt;"",SUBSTITUTE(X151,","," &amp;")&amp;SUBSTITUTE(Y151," &amp;",","),""),""))</f>
        <v/>
      </c>
      <c r="Y172" s="40" t="str">
        <f t="shared" ref="Y172:Y182" si="96">IF(AND(X151="",Z151=""),"",IF(Y151&lt;&gt;"",IF(Z151&lt;&gt;"",SUBSTITUTE(Y151,","," &amp;")&amp;SUBSTITUTE(Z151," &amp;",","),""),""))</f>
        <v/>
      </c>
      <c r="Z172" s="40" t="str">
        <f t="shared" ref="Z172:Z182" si="97">IF(AND(Y151="",AA151=""),"",IF(Z151&lt;&gt;"",IF(AA151&lt;&gt;"",SUBSTITUTE(Z151,","," &amp;")&amp;SUBSTITUTE(AA151," &amp;",","),""),""))</f>
        <v/>
      </c>
      <c r="AA172" s="40" t="str">
        <f t="shared" ref="AA172:AA182" si="98">IF(AND(Z151="",AB151=""),"",IF(AA151&lt;&gt;"",IF(AB151&lt;&gt;"",SUBSTITUTE(AA151,","," &amp;")&amp;SUBSTITUTE(AB151," &amp;",","),""),""))</f>
        <v/>
      </c>
      <c r="AB172" s="40" t="str">
        <f t="shared" ref="AB172:AB182" si="99">IF(AND(AA151="",AC151=""),"",IF(AB151&lt;&gt;"",IF(AC151&lt;&gt;"",SUBSTITUTE(AB151,","," &amp;")&amp;SUBSTITUTE(AC151," &amp;",","),""),""))</f>
        <v/>
      </c>
      <c r="AC172" s="40" t="str">
        <f t="shared" ref="AC172:AC182" si="100">IF(AND(AB151="",AD151=""),"",IF(AC151&lt;&gt;"",IF(AD151&lt;&gt;"",SUBSTITUTE(AC151,","," &amp;")&amp;SUBSTITUTE(AD151," &amp;",","),""),""))</f>
        <v/>
      </c>
      <c r="AD172" s="40" t="str">
        <f t="shared" ref="AD172:AD182" si="101">IF(AND(AC151="",AE151=""),"",IF(AD151&lt;&gt;"",IF(AE151&lt;&gt;"",SUBSTITUTE(AD151,","," &amp;")&amp;SUBSTITUTE(AE151," &amp;",","),""),""))</f>
        <v/>
      </c>
      <c r="AE172" s="40" t="str">
        <f t="shared" ref="AE172:AE182" si="102">IF(AND(AD151="",AF151=""),"",IF(AE151&lt;&gt;"",IF(AF151&lt;&gt;"",SUBSTITUTE(AE151,","," &amp;")&amp;SUBSTITUTE(AF151," &amp;",","),""),""))</f>
        <v/>
      </c>
      <c r="AF172" s="40" t="str">
        <f t="shared" ref="AF172:AF182" si="103">IF(AND(AE151="",AG151=""),"",IF(AF151&lt;&gt;"",IF(AG151&lt;&gt;"",SUBSTITUTE(AF151,","," &amp;")&amp;SUBSTITUTE(AG151," &amp;",","),""),""))</f>
        <v/>
      </c>
      <c r="AG172" s="40" t="str">
        <f t="shared" ref="AG172:AG182" si="104">IF(AND(AF151="",AH151=""),"",IF(AG151&lt;&gt;"",IF(AH151&lt;&gt;"",SUBSTITUTE(AG151,","," &amp;")&amp;SUBSTITUTE(AH151," &amp;",","),""),""))</f>
        <v/>
      </c>
      <c r="AH172" s="40" t="str">
        <f t="shared" ref="AH172:AH182" si="105">IF(AND(AG151="",AI151=""),"",IF(AH151&lt;&gt;"",IF(AI151&lt;&gt;"",SUBSTITUTE(AH151,","," &amp;")&amp;SUBSTITUTE(AI151," &amp;",","),""),""))</f>
        <v/>
      </c>
      <c r="AI172" s="40" t="str">
        <f t="shared" ref="AI172:AI182" si="106">IF(AND(AH151="",AJ151=""),"",IF(AI151&lt;&gt;"",IF(AJ151&lt;&gt;"",SUBSTITUTE(AI151,","," &amp;")&amp;SUBSTITUTE(AJ151," &amp;",","),""),""))</f>
        <v/>
      </c>
      <c r="AJ172" s="40" t="str">
        <f t="shared" ref="AJ172:AJ182" si="107">IF(AND(AI151="",AK151=""),"",IF(AJ151&lt;&gt;"",IF(AK151&lt;&gt;"",SUBSTITUTE(AJ151,","," &amp;")&amp;SUBSTITUTE(AK151," &amp;",","),""),""))</f>
        <v/>
      </c>
      <c r="AK172" s="40" t="str">
        <f t="shared" ref="AK172:AK182" si="108">IF(AND(AJ151="",AL151=""),"",IF(AK151&lt;&gt;"",IF(AL151&lt;&gt;"",SUBSTITUTE(AK151,","," &amp;")&amp;SUBSTITUTE(AL151," &amp;",","),""),""))</f>
        <v/>
      </c>
      <c r="AL172" s="62" t="str">
        <f t="shared" ref="AL172:AL182" si="109">CONCATENATE(D172,E172,F172,G172,H172,I172,J172,K172,L172,M172,N172,O172,P172,Q172,R172,S172,T172,U172,V172,W172,X172,Y172,Z172,AA172,AB172,AC172,AD172,AE172,AF172,AG172,AH172,AI172,AJ172,AK172)</f>
        <v/>
      </c>
      <c r="AN172" s="113" t="str">
        <f>IF(AL172&lt;&gt;"",CONCATENATE("B2 (",LEFT(SUBSTITUTE(AL172,"B2",""),LEN(SUBSTITUTE(AL172,"B2",""))-2),"), "), "")</f>
        <v/>
      </c>
    </row>
    <row r="173" spans="1:40" ht="15" thickBot="1" x14ac:dyDescent="0.4">
      <c r="A173" s="1196"/>
      <c r="B173" s="22">
        <v>3</v>
      </c>
      <c r="D173" s="40" t="str">
        <f t="shared" si="75"/>
        <v/>
      </c>
      <c r="E173" s="40" t="str">
        <f t="shared" si="76"/>
        <v/>
      </c>
      <c r="F173" s="40" t="str">
        <f t="shared" si="77"/>
        <v/>
      </c>
      <c r="G173" s="40" t="str">
        <f t="shared" si="78"/>
        <v/>
      </c>
      <c r="H173" s="40" t="str">
        <f t="shared" si="79"/>
        <v/>
      </c>
      <c r="I173" s="40" t="str">
        <f t="shared" si="80"/>
        <v/>
      </c>
      <c r="J173" s="40" t="str">
        <f t="shared" si="81"/>
        <v/>
      </c>
      <c r="K173" s="40" t="str">
        <f t="shared" si="82"/>
        <v/>
      </c>
      <c r="L173" s="40" t="str">
        <f t="shared" si="83"/>
        <v/>
      </c>
      <c r="M173" s="40" t="str">
        <f t="shared" si="84"/>
        <v/>
      </c>
      <c r="N173" s="40" t="str">
        <f t="shared" si="85"/>
        <v/>
      </c>
      <c r="O173" s="40" t="str">
        <f t="shared" si="86"/>
        <v/>
      </c>
      <c r="P173" s="40" t="str">
        <f t="shared" si="87"/>
        <v/>
      </c>
      <c r="Q173" s="40" t="str">
        <f t="shared" si="88"/>
        <v/>
      </c>
      <c r="R173" s="40" t="str">
        <f t="shared" si="89"/>
        <v/>
      </c>
      <c r="S173" s="40" t="str">
        <f t="shared" si="90"/>
        <v/>
      </c>
      <c r="T173" s="40" t="str">
        <f t="shared" si="91"/>
        <v/>
      </c>
      <c r="U173" s="40" t="str">
        <f t="shared" si="92"/>
        <v/>
      </c>
      <c r="V173" s="40" t="str">
        <f t="shared" si="93"/>
        <v/>
      </c>
      <c r="W173" s="40" t="str">
        <f t="shared" si="94"/>
        <v/>
      </c>
      <c r="X173" s="40" t="str">
        <f t="shared" si="95"/>
        <v/>
      </c>
      <c r="Y173" s="40" t="str">
        <f t="shared" si="96"/>
        <v/>
      </c>
      <c r="Z173" s="40" t="str">
        <f t="shared" si="97"/>
        <v/>
      </c>
      <c r="AA173" s="40" t="str">
        <f t="shared" si="98"/>
        <v/>
      </c>
      <c r="AB173" s="40" t="str">
        <f t="shared" si="99"/>
        <v/>
      </c>
      <c r="AC173" s="40" t="str">
        <f t="shared" si="100"/>
        <v/>
      </c>
      <c r="AD173" s="40" t="str">
        <f t="shared" si="101"/>
        <v/>
      </c>
      <c r="AE173" s="40" t="str">
        <f t="shared" si="102"/>
        <v/>
      </c>
      <c r="AF173" s="40" t="str">
        <f t="shared" si="103"/>
        <v/>
      </c>
      <c r="AG173" s="40" t="str">
        <f t="shared" si="104"/>
        <v/>
      </c>
      <c r="AH173" s="40" t="str">
        <f t="shared" si="105"/>
        <v/>
      </c>
      <c r="AI173" s="40" t="str">
        <f t="shared" si="106"/>
        <v/>
      </c>
      <c r="AJ173" s="40" t="str">
        <f t="shared" si="107"/>
        <v/>
      </c>
      <c r="AK173" s="40" t="str">
        <f t="shared" si="108"/>
        <v/>
      </c>
      <c r="AL173" s="62" t="str">
        <f t="shared" si="109"/>
        <v/>
      </c>
      <c r="AN173" s="113" t="str">
        <f>IF(AL173&lt;&gt;"",CONCATENATE("B3 (",LEFT(SUBSTITUTE(AL173,"B3",""),LEN(SUBSTITUTE(AL173,"B3",""))-2),"), "), "")</f>
        <v/>
      </c>
    </row>
    <row r="174" spans="1:40" ht="15" thickBot="1" x14ac:dyDescent="0.4">
      <c r="A174" s="1196"/>
      <c r="B174" s="22">
        <v>4</v>
      </c>
      <c r="D174" s="40" t="str">
        <f t="shared" si="75"/>
        <v/>
      </c>
      <c r="E174" s="40" t="str">
        <f t="shared" si="76"/>
        <v/>
      </c>
      <c r="F174" s="40" t="str">
        <f t="shared" si="77"/>
        <v/>
      </c>
      <c r="G174" s="40" t="str">
        <f t="shared" si="78"/>
        <v/>
      </c>
      <c r="H174" s="40" t="str">
        <f t="shared" si="79"/>
        <v/>
      </c>
      <c r="I174" s="40" t="str">
        <f t="shared" si="80"/>
        <v/>
      </c>
      <c r="J174" s="40" t="str">
        <f t="shared" si="81"/>
        <v/>
      </c>
      <c r="K174" s="40" t="str">
        <f t="shared" si="82"/>
        <v/>
      </c>
      <c r="L174" s="40" t="str">
        <f t="shared" si="83"/>
        <v/>
      </c>
      <c r="M174" s="40" t="str">
        <f t="shared" si="84"/>
        <v/>
      </c>
      <c r="N174" s="40" t="str">
        <f t="shared" si="85"/>
        <v/>
      </c>
      <c r="O174" s="40" t="str">
        <f t="shared" si="86"/>
        <v/>
      </c>
      <c r="P174" s="40" t="str">
        <f t="shared" si="87"/>
        <v/>
      </c>
      <c r="Q174" s="40" t="str">
        <f t="shared" si="88"/>
        <v/>
      </c>
      <c r="R174" s="40" t="str">
        <f t="shared" si="89"/>
        <v/>
      </c>
      <c r="S174" s="40" t="str">
        <f t="shared" si="90"/>
        <v/>
      </c>
      <c r="T174" s="40" t="str">
        <f t="shared" si="91"/>
        <v/>
      </c>
      <c r="U174" s="40" t="str">
        <f t="shared" si="92"/>
        <v/>
      </c>
      <c r="V174" s="40" t="str">
        <f t="shared" si="93"/>
        <v/>
      </c>
      <c r="W174" s="40" t="str">
        <f t="shared" si="94"/>
        <v/>
      </c>
      <c r="X174" s="40" t="str">
        <f t="shared" si="95"/>
        <v/>
      </c>
      <c r="Y174" s="40" t="str">
        <f t="shared" si="96"/>
        <v/>
      </c>
      <c r="Z174" s="40" t="str">
        <f t="shared" si="97"/>
        <v/>
      </c>
      <c r="AA174" s="40" t="str">
        <f t="shared" si="98"/>
        <v/>
      </c>
      <c r="AB174" s="40" t="str">
        <f t="shared" si="99"/>
        <v/>
      </c>
      <c r="AC174" s="40" t="str">
        <f t="shared" si="100"/>
        <v/>
      </c>
      <c r="AD174" s="40" t="str">
        <f t="shared" si="101"/>
        <v/>
      </c>
      <c r="AE174" s="40" t="str">
        <f t="shared" si="102"/>
        <v/>
      </c>
      <c r="AF174" s="40" t="str">
        <f t="shared" si="103"/>
        <v/>
      </c>
      <c r="AG174" s="40" t="str">
        <f t="shared" si="104"/>
        <v/>
      </c>
      <c r="AH174" s="40" t="str">
        <f t="shared" si="105"/>
        <v/>
      </c>
      <c r="AI174" s="40" t="str">
        <f t="shared" si="106"/>
        <v/>
      </c>
      <c r="AJ174" s="40" t="str">
        <f t="shared" si="107"/>
        <v/>
      </c>
      <c r="AK174" s="40" t="str">
        <f t="shared" si="108"/>
        <v/>
      </c>
      <c r="AL174" s="62" t="str">
        <f t="shared" si="109"/>
        <v/>
      </c>
      <c r="AN174" s="113" t="str">
        <f>IF(AL174&lt;&gt;"",CONCATENATE("B4 (",LEFT(SUBSTITUTE(AL174,"B4",""),LEN(SUBSTITUTE(AL174,"B4",""))-2),"), "), "")</f>
        <v/>
      </c>
    </row>
    <row r="175" spans="1:40" ht="15" thickBot="1" x14ac:dyDescent="0.4">
      <c r="A175" s="1196"/>
      <c r="B175" s="22">
        <v>5</v>
      </c>
      <c r="D175" s="40" t="str">
        <f t="shared" si="75"/>
        <v/>
      </c>
      <c r="E175" s="40" t="str">
        <f t="shared" si="76"/>
        <v/>
      </c>
      <c r="F175" s="40" t="str">
        <f t="shared" si="77"/>
        <v/>
      </c>
      <c r="G175" s="40" t="str">
        <f t="shared" si="78"/>
        <v/>
      </c>
      <c r="H175" s="40" t="str">
        <f t="shared" si="79"/>
        <v/>
      </c>
      <c r="I175" s="40" t="str">
        <f t="shared" si="80"/>
        <v/>
      </c>
      <c r="J175" s="40" t="str">
        <f t="shared" si="81"/>
        <v/>
      </c>
      <c r="K175" s="40" t="str">
        <f t="shared" si="82"/>
        <v/>
      </c>
      <c r="L175" s="40" t="str">
        <f t="shared" si="83"/>
        <v/>
      </c>
      <c r="M175" s="40" t="str">
        <f t="shared" si="84"/>
        <v/>
      </c>
      <c r="N175" s="40" t="str">
        <f t="shared" si="85"/>
        <v/>
      </c>
      <c r="O175" s="40" t="str">
        <f t="shared" si="86"/>
        <v/>
      </c>
      <c r="P175" s="40" t="str">
        <f t="shared" si="87"/>
        <v/>
      </c>
      <c r="Q175" s="40" t="str">
        <f t="shared" si="88"/>
        <v/>
      </c>
      <c r="R175" s="40" t="str">
        <f t="shared" si="89"/>
        <v/>
      </c>
      <c r="S175" s="40" t="str">
        <f t="shared" si="90"/>
        <v/>
      </c>
      <c r="T175" s="40" t="str">
        <f t="shared" si="91"/>
        <v/>
      </c>
      <c r="U175" s="40" t="str">
        <f t="shared" si="92"/>
        <v/>
      </c>
      <c r="V175" s="40" t="str">
        <f t="shared" si="93"/>
        <v/>
      </c>
      <c r="W175" s="40" t="str">
        <f t="shared" si="94"/>
        <v/>
      </c>
      <c r="X175" s="40" t="str">
        <f t="shared" si="95"/>
        <v/>
      </c>
      <c r="Y175" s="40" t="str">
        <f t="shared" si="96"/>
        <v/>
      </c>
      <c r="Z175" s="40" t="str">
        <f t="shared" si="97"/>
        <v/>
      </c>
      <c r="AA175" s="40" t="str">
        <f t="shared" si="98"/>
        <v/>
      </c>
      <c r="AB175" s="40" t="str">
        <f t="shared" si="99"/>
        <v/>
      </c>
      <c r="AC175" s="40" t="str">
        <f t="shared" si="100"/>
        <v/>
      </c>
      <c r="AD175" s="40" t="str">
        <f t="shared" si="101"/>
        <v/>
      </c>
      <c r="AE175" s="40" t="str">
        <f t="shared" si="102"/>
        <v/>
      </c>
      <c r="AF175" s="40" t="str">
        <f t="shared" si="103"/>
        <v/>
      </c>
      <c r="AG175" s="40" t="str">
        <f t="shared" si="104"/>
        <v/>
      </c>
      <c r="AH175" s="40" t="str">
        <f t="shared" si="105"/>
        <v/>
      </c>
      <c r="AI175" s="40" t="str">
        <f t="shared" si="106"/>
        <v/>
      </c>
      <c r="AJ175" s="40" t="str">
        <f t="shared" si="107"/>
        <v/>
      </c>
      <c r="AK175" s="40" t="str">
        <f t="shared" si="108"/>
        <v/>
      </c>
      <c r="AL175" s="62" t="str">
        <f t="shared" si="109"/>
        <v/>
      </c>
      <c r="AN175" s="113" t="str">
        <f>IF(AL175&lt;&gt;"",CONCATENATE("B5 (",LEFT(SUBSTITUTE(AL175,"B5",""),LEN(SUBSTITUTE(AL175,"B5",""))-2),"), "), "")</f>
        <v/>
      </c>
    </row>
    <row r="176" spans="1:40" ht="15" thickBot="1" x14ac:dyDescent="0.4">
      <c r="A176" s="1196"/>
      <c r="B176" s="22">
        <v>6</v>
      </c>
      <c r="D176" s="40" t="str">
        <f t="shared" si="75"/>
        <v/>
      </c>
      <c r="E176" s="40" t="str">
        <f t="shared" si="76"/>
        <v/>
      </c>
      <c r="F176" s="40" t="str">
        <f t="shared" si="77"/>
        <v/>
      </c>
      <c r="G176" s="40" t="str">
        <f t="shared" si="78"/>
        <v/>
      </c>
      <c r="H176" s="40" t="str">
        <f t="shared" si="79"/>
        <v/>
      </c>
      <c r="I176" s="40" t="str">
        <f t="shared" si="80"/>
        <v/>
      </c>
      <c r="J176" s="40" t="str">
        <f t="shared" si="81"/>
        <v/>
      </c>
      <c r="K176" s="40" t="str">
        <f t="shared" si="82"/>
        <v/>
      </c>
      <c r="L176" s="40" t="str">
        <f t="shared" si="83"/>
        <v/>
      </c>
      <c r="M176" s="40" t="str">
        <f t="shared" si="84"/>
        <v/>
      </c>
      <c r="N176" s="40" t="str">
        <f t="shared" si="85"/>
        <v/>
      </c>
      <c r="O176" s="40" t="str">
        <f t="shared" si="86"/>
        <v/>
      </c>
      <c r="P176" s="40" t="str">
        <f t="shared" si="87"/>
        <v/>
      </c>
      <c r="Q176" s="40" t="str">
        <f t="shared" si="88"/>
        <v/>
      </c>
      <c r="R176" s="40" t="str">
        <f t="shared" si="89"/>
        <v/>
      </c>
      <c r="S176" s="40" t="str">
        <f t="shared" si="90"/>
        <v/>
      </c>
      <c r="T176" s="40" t="str">
        <f t="shared" si="91"/>
        <v/>
      </c>
      <c r="U176" s="40" t="str">
        <f t="shared" si="92"/>
        <v/>
      </c>
      <c r="V176" s="40" t="str">
        <f t="shared" si="93"/>
        <v/>
      </c>
      <c r="W176" s="40" t="str">
        <f t="shared" si="94"/>
        <v/>
      </c>
      <c r="X176" s="40" t="str">
        <f t="shared" si="95"/>
        <v/>
      </c>
      <c r="Y176" s="40" t="str">
        <f t="shared" si="96"/>
        <v/>
      </c>
      <c r="Z176" s="40" t="str">
        <f t="shared" si="97"/>
        <v/>
      </c>
      <c r="AA176" s="40" t="str">
        <f t="shared" si="98"/>
        <v/>
      </c>
      <c r="AB176" s="40" t="str">
        <f t="shared" si="99"/>
        <v/>
      </c>
      <c r="AC176" s="40" t="str">
        <f t="shared" si="100"/>
        <v/>
      </c>
      <c r="AD176" s="40" t="str">
        <f t="shared" si="101"/>
        <v/>
      </c>
      <c r="AE176" s="40" t="str">
        <f t="shared" si="102"/>
        <v/>
      </c>
      <c r="AF176" s="40" t="str">
        <f t="shared" si="103"/>
        <v/>
      </c>
      <c r="AG176" s="40" t="str">
        <f t="shared" si="104"/>
        <v/>
      </c>
      <c r="AH176" s="40" t="str">
        <f t="shared" si="105"/>
        <v/>
      </c>
      <c r="AI176" s="40" t="str">
        <f t="shared" si="106"/>
        <v/>
      </c>
      <c r="AJ176" s="40" t="str">
        <f t="shared" si="107"/>
        <v/>
      </c>
      <c r="AK176" s="40" t="str">
        <f t="shared" si="108"/>
        <v/>
      </c>
      <c r="AL176" s="62" t="str">
        <f t="shared" si="109"/>
        <v/>
      </c>
      <c r="AN176" s="113" t="str">
        <f>IF(AL176&lt;&gt;"",CONCATENATE("B6 (",LEFT(SUBSTITUTE(AL176,"B6",""),LEN(SUBSTITUTE(AL176,"B6",""))-2),"), "), "")</f>
        <v/>
      </c>
    </row>
    <row r="177" spans="1:40" ht="15" thickBot="1" x14ac:dyDescent="0.4">
      <c r="A177" s="1196"/>
      <c r="B177" s="22">
        <v>7</v>
      </c>
      <c r="D177" s="40" t="str">
        <f t="shared" si="75"/>
        <v/>
      </c>
      <c r="E177" s="40" t="str">
        <f t="shared" si="76"/>
        <v/>
      </c>
      <c r="F177" s="40" t="str">
        <f t="shared" si="77"/>
        <v/>
      </c>
      <c r="G177" s="40" t="str">
        <f t="shared" si="78"/>
        <v/>
      </c>
      <c r="H177" s="40" t="str">
        <f t="shared" si="79"/>
        <v/>
      </c>
      <c r="I177" s="40" t="str">
        <f t="shared" si="80"/>
        <v/>
      </c>
      <c r="J177" s="40" t="str">
        <f t="shared" si="81"/>
        <v/>
      </c>
      <c r="K177" s="40" t="str">
        <f t="shared" si="82"/>
        <v/>
      </c>
      <c r="L177" s="40" t="str">
        <f t="shared" si="83"/>
        <v/>
      </c>
      <c r="M177" s="40" t="str">
        <f t="shared" si="84"/>
        <v/>
      </c>
      <c r="N177" s="40" t="str">
        <f t="shared" si="85"/>
        <v/>
      </c>
      <c r="O177" s="40" t="str">
        <f t="shared" si="86"/>
        <v/>
      </c>
      <c r="P177" s="40" t="str">
        <f t="shared" si="87"/>
        <v/>
      </c>
      <c r="Q177" s="40" t="str">
        <f t="shared" si="88"/>
        <v/>
      </c>
      <c r="R177" s="40" t="str">
        <f t="shared" si="89"/>
        <v/>
      </c>
      <c r="S177" s="40" t="str">
        <f t="shared" si="90"/>
        <v/>
      </c>
      <c r="T177" s="40" t="str">
        <f t="shared" si="91"/>
        <v/>
      </c>
      <c r="U177" s="40" t="str">
        <f t="shared" si="92"/>
        <v/>
      </c>
      <c r="V177" s="40" t="str">
        <f t="shared" si="93"/>
        <v/>
      </c>
      <c r="W177" s="40" t="str">
        <f t="shared" si="94"/>
        <v/>
      </c>
      <c r="X177" s="40" t="str">
        <f t="shared" si="95"/>
        <v/>
      </c>
      <c r="Y177" s="40" t="str">
        <f t="shared" si="96"/>
        <v/>
      </c>
      <c r="Z177" s="40" t="str">
        <f t="shared" si="97"/>
        <v/>
      </c>
      <c r="AA177" s="40" t="str">
        <f t="shared" si="98"/>
        <v/>
      </c>
      <c r="AB177" s="40" t="str">
        <f t="shared" si="99"/>
        <v/>
      </c>
      <c r="AC177" s="40" t="str">
        <f t="shared" si="100"/>
        <v/>
      </c>
      <c r="AD177" s="40" t="str">
        <f t="shared" si="101"/>
        <v/>
      </c>
      <c r="AE177" s="40" t="str">
        <f t="shared" si="102"/>
        <v/>
      </c>
      <c r="AF177" s="40" t="str">
        <f t="shared" si="103"/>
        <v/>
      </c>
      <c r="AG177" s="40" t="str">
        <f t="shared" si="104"/>
        <v/>
      </c>
      <c r="AH177" s="40" t="str">
        <f t="shared" si="105"/>
        <v/>
      </c>
      <c r="AI177" s="40" t="str">
        <f t="shared" si="106"/>
        <v/>
      </c>
      <c r="AJ177" s="40" t="str">
        <f t="shared" si="107"/>
        <v/>
      </c>
      <c r="AK177" s="40" t="str">
        <f t="shared" si="108"/>
        <v/>
      </c>
      <c r="AL177" s="62" t="str">
        <f t="shared" si="109"/>
        <v/>
      </c>
      <c r="AN177" s="113" t="str">
        <f>IF(AL177&lt;&gt;"",CONCATENATE("B7 (",LEFT(SUBSTITUTE(AL177,"B7",""),LEN(SUBSTITUTE(AL177,"B7",""))-2),"), "), "")</f>
        <v/>
      </c>
    </row>
    <row r="178" spans="1:40" ht="23.25" customHeight="1" thickBot="1" x14ac:dyDescent="0.4">
      <c r="A178" s="1196"/>
      <c r="B178" s="22">
        <v>8</v>
      </c>
      <c r="D178" s="40" t="str">
        <f t="shared" si="75"/>
        <v/>
      </c>
      <c r="E178" s="40" t="str">
        <f t="shared" si="76"/>
        <v/>
      </c>
      <c r="F178" s="40" t="str">
        <f t="shared" si="77"/>
        <v/>
      </c>
      <c r="G178" s="40" t="str">
        <f t="shared" si="78"/>
        <v/>
      </c>
      <c r="H178" s="40" t="str">
        <f t="shared" si="79"/>
        <v/>
      </c>
      <c r="I178" s="40" t="str">
        <f t="shared" si="80"/>
        <v/>
      </c>
      <c r="J178" s="40" t="str">
        <f t="shared" si="81"/>
        <v/>
      </c>
      <c r="K178" s="40" t="str">
        <f t="shared" si="82"/>
        <v/>
      </c>
      <c r="L178" s="40" t="str">
        <f t="shared" si="83"/>
        <v/>
      </c>
      <c r="M178" s="40" t="str">
        <f t="shared" si="84"/>
        <v/>
      </c>
      <c r="N178" s="40" t="str">
        <f t="shared" si="85"/>
        <v/>
      </c>
      <c r="O178" s="40" t="str">
        <f t="shared" si="86"/>
        <v/>
      </c>
      <c r="P178" s="40" t="str">
        <f t="shared" si="87"/>
        <v/>
      </c>
      <c r="Q178" s="40" t="str">
        <f t="shared" si="88"/>
        <v/>
      </c>
      <c r="R178" s="40" t="str">
        <f t="shared" si="89"/>
        <v/>
      </c>
      <c r="S178" s="40" t="str">
        <f t="shared" si="90"/>
        <v/>
      </c>
      <c r="T178" s="40" t="str">
        <f t="shared" si="91"/>
        <v/>
      </c>
      <c r="U178" s="40" t="str">
        <f t="shared" si="92"/>
        <v/>
      </c>
      <c r="V178" s="40" t="str">
        <f t="shared" si="93"/>
        <v/>
      </c>
      <c r="W178" s="40" t="str">
        <f t="shared" si="94"/>
        <v/>
      </c>
      <c r="X178" s="40" t="str">
        <f t="shared" si="95"/>
        <v/>
      </c>
      <c r="Y178" s="40" t="str">
        <f t="shared" si="96"/>
        <v/>
      </c>
      <c r="Z178" s="40" t="str">
        <f t="shared" si="97"/>
        <v/>
      </c>
      <c r="AA178" s="40" t="str">
        <f t="shared" si="98"/>
        <v/>
      </c>
      <c r="AB178" s="40" t="str">
        <f t="shared" si="99"/>
        <v/>
      </c>
      <c r="AC178" s="40" t="str">
        <f t="shared" si="100"/>
        <v/>
      </c>
      <c r="AD178" s="40" t="str">
        <f t="shared" si="101"/>
        <v/>
      </c>
      <c r="AE178" s="40" t="str">
        <f t="shared" si="102"/>
        <v/>
      </c>
      <c r="AF178" s="40" t="str">
        <f t="shared" si="103"/>
        <v/>
      </c>
      <c r="AG178" s="40" t="str">
        <f t="shared" si="104"/>
        <v/>
      </c>
      <c r="AH178" s="40" t="str">
        <f t="shared" si="105"/>
        <v/>
      </c>
      <c r="AI178" s="40" t="str">
        <f t="shared" si="106"/>
        <v/>
      </c>
      <c r="AJ178" s="40" t="str">
        <f t="shared" si="107"/>
        <v/>
      </c>
      <c r="AK178" s="40" t="str">
        <f t="shared" si="108"/>
        <v/>
      </c>
      <c r="AL178" s="62" t="str">
        <f t="shared" si="109"/>
        <v/>
      </c>
      <c r="AN178" s="113" t="str">
        <f>IF(AL178&lt;&gt;"",CONCATENATE("B8 (",LEFT(SUBSTITUTE(AL178,"B8",""),LEN(SUBSTITUTE(AL178,"B8",""))-2),"), "), "")</f>
        <v/>
      </c>
    </row>
    <row r="179" spans="1:40" ht="15" thickBot="1" x14ac:dyDescent="0.4">
      <c r="A179" s="1196"/>
      <c r="B179" s="22">
        <v>9</v>
      </c>
      <c r="D179" s="40" t="str">
        <f t="shared" si="75"/>
        <v/>
      </c>
      <c r="E179" s="40" t="str">
        <f t="shared" si="76"/>
        <v/>
      </c>
      <c r="F179" s="40" t="str">
        <f t="shared" si="77"/>
        <v/>
      </c>
      <c r="G179" s="40" t="str">
        <f t="shared" si="78"/>
        <v/>
      </c>
      <c r="H179" s="40" t="str">
        <f t="shared" si="79"/>
        <v/>
      </c>
      <c r="I179" s="40" t="str">
        <f t="shared" si="80"/>
        <v/>
      </c>
      <c r="J179" s="40" t="str">
        <f t="shared" si="81"/>
        <v/>
      </c>
      <c r="K179" s="40" t="str">
        <f t="shared" si="82"/>
        <v/>
      </c>
      <c r="L179" s="40" t="str">
        <f t="shared" si="83"/>
        <v/>
      </c>
      <c r="M179" s="40" t="str">
        <f t="shared" si="84"/>
        <v/>
      </c>
      <c r="N179" s="40" t="str">
        <f t="shared" si="85"/>
        <v/>
      </c>
      <c r="O179" s="40" t="str">
        <f t="shared" si="86"/>
        <v/>
      </c>
      <c r="P179" s="40" t="str">
        <f t="shared" si="87"/>
        <v/>
      </c>
      <c r="Q179" s="40" t="str">
        <f t="shared" si="88"/>
        <v/>
      </c>
      <c r="R179" s="40" t="str">
        <f t="shared" si="89"/>
        <v/>
      </c>
      <c r="S179" s="40" t="str">
        <f t="shared" si="90"/>
        <v/>
      </c>
      <c r="T179" s="40" t="str">
        <f t="shared" si="91"/>
        <v/>
      </c>
      <c r="U179" s="40" t="str">
        <f t="shared" si="92"/>
        <v/>
      </c>
      <c r="V179" s="40" t="str">
        <f t="shared" si="93"/>
        <v/>
      </c>
      <c r="W179" s="40" t="str">
        <f t="shared" si="94"/>
        <v/>
      </c>
      <c r="X179" s="40" t="str">
        <f t="shared" si="95"/>
        <v/>
      </c>
      <c r="Y179" s="40" t="str">
        <f t="shared" si="96"/>
        <v/>
      </c>
      <c r="Z179" s="40" t="str">
        <f t="shared" si="97"/>
        <v/>
      </c>
      <c r="AA179" s="40" t="str">
        <f t="shared" si="98"/>
        <v/>
      </c>
      <c r="AB179" s="40" t="str">
        <f t="shared" si="99"/>
        <v/>
      </c>
      <c r="AC179" s="40" t="str">
        <f t="shared" si="100"/>
        <v/>
      </c>
      <c r="AD179" s="40" t="str">
        <f t="shared" si="101"/>
        <v/>
      </c>
      <c r="AE179" s="40" t="str">
        <f t="shared" si="102"/>
        <v/>
      </c>
      <c r="AF179" s="40" t="str">
        <f t="shared" si="103"/>
        <v/>
      </c>
      <c r="AG179" s="40" t="str">
        <f t="shared" si="104"/>
        <v/>
      </c>
      <c r="AH179" s="40" t="str">
        <f t="shared" si="105"/>
        <v/>
      </c>
      <c r="AI179" s="40" t="str">
        <f t="shared" si="106"/>
        <v/>
      </c>
      <c r="AJ179" s="40" t="str">
        <f t="shared" si="107"/>
        <v/>
      </c>
      <c r="AK179" s="40" t="str">
        <f t="shared" si="108"/>
        <v/>
      </c>
      <c r="AL179" s="62" t="str">
        <f t="shared" si="109"/>
        <v/>
      </c>
      <c r="AN179" s="113" t="str">
        <f>IF(AL179&lt;&gt;"",CONCATENATE("B9 (",LEFT(SUBSTITUTE(AL179,"B9",""),LEN(SUBSTITUTE(AL179,"B9",""))-2),"), "), "")</f>
        <v/>
      </c>
    </row>
    <row r="180" spans="1:40" ht="15" thickBot="1" x14ac:dyDescent="0.4">
      <c r="A180" s="1196"/>
      <c r="B180" s="22">
        <v>10</v>
      </c>
      <c r="D180" s="40" t="str">
        <f t="shared" si="75"/>
        <v/>
      </c>
      <c r="E180" s="40" t="str">
        <f t="shared" si="76"/>
        <v/>
      </c>
      <c r="F180" s="40" t="str">
        <f t="shared" si="77"/>
        <v/>
      </c>
      <c r="G180" s="40" t="str">
        <f t="shared" si="78"/>
        <v/>
      </c>
      <c r="H180" s="40" t="str">
        <f t="shared" si="79"/>
        <v/>
      </c>
      <c r="I180" s="40" t="str">
        <f t="shared" si="80"/>
        <v/>
      </c>
      <c r="J180" s="40" t="str">
        <f t="shared" si="81"/>
        <v/>
      </c>
      <c r="K180" s="40" t="str">
        <f t="shared" si="82"/>
        <v/>
      </c>
      <c r="L180" s="40" t="str">
        <f t="shared" si="83"/>
        <v/>
      </c>
      <c r="M180" s="40" t="str">
        <f t="shared" si="84"/>
        <v/>
      </c>
      <c r="N180" s="40" t="str">
        <f t="shared" si="85"/>
        <v/>
      </c>
      <c r="O180" s="40" t="str">
        <f t="shared" si="86"/>
        <v/>
      </c>
      <c r="P180" s="40" t="str">
        <f t="shared" si="87"/>
        <v/>
      </c>
      <c r="Q180" s="40" t="str">
        <f t="shared" si="88"/>
        <v/>
      </c>
      <c r="R180" s="40" t="str">
        <f t="shared" si="89"/>
        <v/>
      </c>
      <c r="S180" s="40" t="str">
        <f t="shared" si="90"/>
        <v/>
      </c>
      <c r="T180" s="40" t="str">
        <f t="shared" si="91"/>
        <v/>
      </c>
      <c r="U180" s="40" t="str">
        <f t="shared" si="92"/>
        <v/>
      </c>
      <c r="V180" s="40" t="str">
        <f t="shared" si="93"/>
        <v/>
      </c>
      <c r="W180" s="40" t="str">
        <f t="shared" si="94"/>
        <v/>
      </c>
      <c r="X180" s="40" t="str">
        <f t="shared" si="95"/>
        <v/>
      </c>
      <c r="Y180" s="40" t="str">
        <f t="shared" si="96"/>
        <v/>
      </c>
      <c r="Z180" s="40" t="str">
        <f t="shared" si="97"/>
        <v/>
      </c>
      <c r="AA180" s="40" t="str">
        <f t="shared" si="98"/>
        <v/>
      </c>
      <c r="AB180" s="40" t="str">
        <f t="shared" si="99"/>
        <v/>
      </c>
      <c r="AC180" s="40" t="str">
        <f t="shared" si="100"/>
        <v/>
      </c>
      <c r="AD180" s="40" t="str">
        <f t="shared" si="101"/>
        <v/>
      </c>
      <c r="AE180" s="40" t="str">
        <f t="shared" si="102"/>
        <v/>
      </c>
      <c r="AF180" s="40" t="str">
        <f t="shared" si="103"/>
        <v/>
      </c>
      <c r="AG180" s="40" t="str">
        <f t="shared" si="104"/>
        <v/>
      </c>
      <c r="AH180" s="40" t="str">
        <f t="shared" si="105"/>
        <v/>
      </c>
      <c r="AI180" s="40" t="str">
        <f t="shared" si="106"/>
        <v/>
      </c>
      <c r="AJ180" s="40" t="str">
        <f t="shared" si="107"/>
        <v/>
      </c>
      <c r="AK180" s="40" t="str">
        <f t="shared" si="108"/>
        <v/>
      </c>
      <c r="AL180" s="62" t="str">
        <f t="shared" si="109"/>
        <v/>
      </c>
      <c r="AN180" s="113" t="str">
        <f>IF(AL180&lt;&gt;"",CONCATENATE("B10 (",LEFT(SUBSTITUTE(AL180,"B10",""),LEN(SUBSTITUTE(AL180,"B10",""))-2), "),"), "")</f>
        <v/>
      </c>
    </row>
    <row r="181" spans="1:40" ht="15" thickBot="1" x14ac:dyDescent="0.4">
      <c r="A181" s="1196"/>
      <c r="B181" s="22">
        <v>11</v>
      </c>
      <c r="D181" s="40" t="str">
        <f t="shared" si="75"/>
        <v/>
      </c>
      <c r="E181" s="40" t="str">
        <f t="shared" si="76"/>
        <v/>
      </c>
      <c r="F181" s="40" t="str">
        <f t="shared" si="77"/>
        <v/>
      </c>
      <c r="G181" s="40" t="str">
        <f t="shared" si="78"/>
        <v/>
      </c>
      <c r="H181" s="40" t="str">
        <f t="shared" si="79"/>
        <v/>
      </c>
      <c r="I181" s="40" t="str">
        <f t="shared" si="80"/>
        <v/>
      </c>
      <c r="J181" s="40" t="str">
        <f t="shared" si="81"/>
        <v/>
      </c>
      <c r="K181" s="40" t="str">
        <f t="shared" si="82"/>
        <v/>
      </c>
      <c r="L181" s="40" t="str">
        <f t="shared" si="83"/>
        <v/>
      </c>
      <c r="M181" s="40" t="str">
        <f t="shared" si="84"/>
        <v/>
      </c>
      <c r="N181" s="40" t="str">
        <f t="shared" si="85"/>
        <v/>
      </c>
      <c r="O181" s="40" t="str">
        <f t="shared" si="86"/>
        <v/>
      </c>
      <c r="P181" s="40" t="str">
        <f t="shared" si="87"/>
        <v/>
      </c>
      <c r="Q181" s="40" t="str">
        <f t="shared" si="88"/>
        <v/>
      </c>
      <c r="R181" s="40" t="str">
        <f t="shared" si="89"/>
        <v/>
      </c>
      <c r="S181" s="40" t="str">
        <f t="shared" si="90"/>
        <v/>
      </c>
      <c r="T181" s="40" t="str">
        <f t="shared" si="91"/>
        <v/>
      </c>
      <c r="U181" s="40" t="str">
        <f t="shared" si="92"/>
        <v/>
      </c>
      <c r="V181" s="40" t="str">
        <f t="shared" si="93"/>
        <v/>
      </c>
      <c r="W181" s="40" t="str">
        <f t="shared" si="94"/>
        <v/>
      </c>
      <c r="X181" s="40" t="str">
        <f t="shared" si="95"/>
        <v/>
      </c>
      <c r="Y181" s="40" t="str">
        <f t="shared" si="96"/>
        <v/>
      </c>
      <c r="Z181" s="40" t="str">
        <f t="shared" si="97"/>
        <v/>
      </c>
      <c r="AA181" s="40" t="str">
        <f t="shared" si="98"/>
        <v/>
      </c>
      <c r="AB181" s="40" t="str">
        <f t="shared" si="99"/>
        <v/>
      </c>
      <c r="AC181" s="40" t="str">
        <f t="shared" si="100"/>
        <v/>
      </c>
      <c r="AD181" s="40" t="str">
        <f t="shared" si="101"/>
        <v/>
      </c>
      <c r="AE181" s="40" t="str">
        <f t="shared" si="102"/>
        <v/>
      </c>
      <c r="AF181" s="40" t="str">
        <f t="shared" si="103"/>
        <v/>
      </c>
      <c r="AG181" s="40" t="str">
        <f t="shared" si="104"/>
        <v/>
      </c>
      <c r="AH181" s="40" t="str">
        <f t="shared" si="105"/>
        <v/>
      </c>
      <c r="AI181" s="40" t="str">
        <f t="shared" si="106"/>
        <v/>
      </c>
      <c r="AJ181" s="40" t="str">
        <f t="shared" si="107"/>
        <v/>
      </c>
      <c r="AK181" s="40" t="str">
        <f t="shared" si="108"/>
        <v/>
      </c>
      <c r="AL181" s="62" t="str">
        <f t="shared" si="109"/>
        <v/>
      </c>
      <c r="AN181" s="113" t="str">
        <f>IF(AL181&lt;&gt;"",CONCATENATE("B11 (",LEFT(SUBSTITUTE(AL181,"B11",""),LEN(SUBSTITUTE(AL181,"B11",""))-2), "),"), "")</f>
        <v/>
      </c>
    </row>
    <row r="182" spans="1:40" ht="15" thickBot="1" x14ac:dyDescent="0.4">
      <c r="A182" s="1197"/>
      <c r="B182" s="23">
        <v>12</v>
      </c>
      <c r="D182" s="40" t="str">
        <f t="shared" si="75"/>
        <v/>
      </c>
      <c r="E182" s="40" t="str">
        <f t="shared" si="76"/>
        <v/>
      </c>
      <c r="F182" s="40" t="str">
        <f t="shared" si="77"/>
        <v/>
      </c>
      <c r="G182" s="40" t="str">
        <f t="shared" si="78"/>
        <v/>
      </c>
      <c r="H182" s="40" t="str">
        <f t="shared" si="79"/>
        <v/>
      </c>
      <c r="I182" s="40" t="str">
        <f t="shared" si="80"/>
        <v/>
      </c>
      <c r="J182" s="40" t="str">
        <f t="shared" si="81"/>
        <v/>
      </c>
      <c r="K182" s="40" t="str">
        <f t="shared" si="82"/>
        <v/>
      </c>
      <c r="L182" s="40" t="str">
        <f t="shared" si="83"/>
        <v/>
      </c>
      <c r="M182" s="40" t="str">
        <f t="shared" si="84"/>
        <v/>
      </c>
      <c r="N182" s="40" t="str">
        <f t="shared" si="85"/>
        <v/>
      </c>
      <c r="O182" s="40" t="str">
        <f t="shared" si="86"/>
        <v/>
      </c>
      <c r="P182" s="40" t="str">
        <f t="shared" si="87"/>
        <v/>
      </c>
      <c r="Q182" s="40" t="str">
        <f t="shared" si="88"/>
        <v/>
      </c>
      <c r="R182" s="40" t="str">
        <f t="shared" si="89"/>
        <v/>
      </c>
      <c r="S182" s="40" t="str">
        <f t="shared" si="90"/>
        <v/>
      </c>
      <c r="T182" s="40" t="str">
        <f t="shared" si="91"/>
        <v/>
      </c>
      <c r="U182" s="40" t="str">
        <f t="shared" si="92"/>
        <v/>
      </c>
      <c r="V182" s="40" t="str">
        <f t="shared" si="93"/>
        <v/>
      </c>
      <c r="W182" s="40" t="str">
        <f t="shared" si="94"/>
        <v/>
      </c>
      <c r="X182" s="40" t="str">
        <f t="shared" si="95"/>
        <v/>
      </c>
      <c r="Y182" s="40" t="str">
        <f t="shared" si="96"/>
        <v/>
      </c>
      <c r="Z182" s="40" t="str">
        <f t="shared" si="97"/>
        <v/>
      </c>
      <c r="AA182" s="40" t="str">
        <f t="shared" si="98"/>
        <v/>
      </c>
      <c r="AB182" s="40" t="str">
        <f t="shared" si="99"/>
        <v/>
      </c>
      <c r="AC182" s="40" t="str">
        <f t="shared" si="100"/>
        <v/>
      </c>
      <c r="AD182" s="40" t="str">
        <f t="shared" si="101"/>
        <v/>
      </c>
      <c r="AE182" s="40" t="str">
        <f t="shared" si="102"/>
        <v/>
      </c>
      <c r="AF182" s="40" t="str">
        <f t="shared" si="103"/>
        <v/>
      </c>
      <c r="AG182" s="40" t="str">
        <f t="shared" si="104"/>
        <v/>
      </c>
      <c r="AH182" s="40" t="str">
        <f t="shared" si="105"/>
        <v/>
      </c>
      <c r="AI182" s="40" t="str">
        <f t="shared" si="106"/>
        <v/>
      </c>
      <c r="AJ182" s="40" t="str">
        <f t="shared" si="107"/>
        <v/>
      </c>
      <c r="AK182" s="40" t="str">
        <f t="shared" si="108"/>
        <v/>
      </c>
      <c r="AL182" s="62" t="str">
        <f t="shared" si="109"/>
        <v/>
      </c>
      <c r="AN182" s="113" t="str">
        <f>IF(AL182&lt;&gt;"",CONCATENATE("B12 (",LEFT(SUBSTITUTE(AL182,"B12",""),LEN(SUBSTITUTE(AL182,"B12",""))-2), "),"), "")</f>
        <v/>
      </c>
    </row>
    <row r="183" spans="1:40" x14ac:dyDescent="0.35">
      <c r="AN183" s="113" t="str">
        <f>CONCATENATE(AN171,AN172,AN173,AN174,AN175,AN176,AN177,AN178,AN179,AN180,AN181,AN182)</f>
        <v/>
      </c>
    </row>
    <row r="184" spans="1:40" x14ac:dyDescent="0.35">
      <c r="G184" s="65"/>
      <c r="AN184" s="113" t="str">
        <f>IF(LEN(AN183)&gt;8,LEFT(CONCATENATE(AN171,AN172,AN173,AN174,AN175,AN176,AN177,AN178,AN179,AN180,AN181,AN182),LEN(CONCATENATE(AN171,AN172,AN173,AN174,AN175,AN176,AN177,AN178,AN179,AN180,AN181,AN182))-2),"")</f>
        <v/>
      </c>
    </row>
    <row r="185" spans="1:40" x14ac:dyDescent="0.35">
      <c r="AN185" s="113"/>
    </row>
    <row r="186" spans="1:40" x14ac:dyDescent="0.35">
      <c r="AN186" s="113" t="s">
        <v>820</v>
      </c>
    </row>
    <row r="187" spans="1:40" x14ac:dyDescent="0.35">
      <c r="AN187" s="113" t="s">
        <v>821</v>
      </c>
    </row>
    <row r="188" spans="1:40" ht="15.75" customHeight="1" thickBot="1" x14ac:dyDescent="0.4"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K188" t="str">
        <f>IFERROR(IF(AN185&lt;&gt;"",IF(LEN(AN184)&lt;15,CONCATENATE(AN186,AN184,"."),IF(LEN(AN184&gt;17),CONCATENATE(AN187,LEFT(AN184,LEN(AN184)-20),SUBSTITUTE(RIGHT(AN184,20),", "," and "))&amp;". ")),""),"")</f>
        <v/>
      </c>
      <c r="AN188" s="114" t="str">
        <f>IF(AND(AN184&lt;&gt;"",LEN(AN184)-LEN(SUBSTITUTE(AN184,"&amp;",""))=1),CONCATENATE(AN186,AN184,". "),CONCATENATE(AN187,AN184,". "))</f>
        <v xml:space="preserve">fins inbetween . </v>
      </c>
    </row>
    <row r="189" spans="1:40" ht="39.75" customHeight="1" x14ac:dyDescent="0.35">
      <c r="C189" s="2202" t="str">
        <f>CONCATENATE("Build up the following: ",AK101,AK122,AK143,IF(COUNTIF(AN188,"fins inbetween . "),"",AN188))</f>
        <v xml:space="preserve">Build up the following: </v>
      </c>
      <c r="D189" s="2202"/>
      <c r="E189" s="2202"/>
      <c r="F189" s="2202"/>
      <c r="G189" s="2202"/>
      <c r="H189" s="2202"/>
      <c r="I189" s="2202"/>
      <c r="J189" s="2202"/>
      <c r="K189" s="2202"/>
      <c r="L189" s="2202"/>
      <c r="M189" s="2202"/>
      <c r="N189" s="2202"/>
      <c r="O189" s="2202"/>
      <c r="P189" s="2202"/>
      <c r="Q189" s="2202"/>
      <c r="R189" s="2202"/>
      <c r="S189" s="2202"/>
      <c r="T189" s="2202"/>
      <c r="U189" s="2202"/>
      <c r="V189" s="2202"/>
      <c r="W189" s="2202"/>
      <c r="X189" s="2202"/>
      <c r="Y189" s="2202"/>
      <c r="Z189" s="2202"/>
      <c r="AA189" s="2202"/>
      <c r="AB189" s="2202"/>
      <c r="AC189" s="2202"/>
      <c r="AD189" s="66"/>
      <c r="AE189" s="66"/>
      <c r="AF189" s="66"/>
    </row>
    <row r="190" spans="1:40" x14ac:dyDescent="0.35"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</row>
    <row r="191" spans="1:40" x14ac:dyDescent="0.35"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</row>
    <row r="192" spans="1:40" ht="39.75" customHeight="1" x14ac:dyDescent="0.35">
      <c r="C192" s="2202" t="str">
        <f>CONCATENATE(D19,IF(COUNTIF(C189,"Build up the following: "),"",C189))</f>
        <v/>
      </c>
      <c r="D192" s="2202"/>
      <c r="E192" s="2202"/>
      <c r="F192" s="2202"/>
      <c r="G192" s="2202"/>
      <c r="H192" s="2202"/>
      <c r="I192" s="2202"/>
      <c r="J192" s="2202"/>
      <c r="K192" s="2202"/>
      <c r="L192" s="2202"/>
      <c r="M192" s="2202"/>
      <c r="N192" s="2202"/>
      <c r="O192" s="2202"/>
      <c r="P192" s="2202"/>
      <c r="Q192" s="2202"/>
      <c r="R192" s="2202"/>
      <c r="S192" s="2202"/>
      <c r="T192" s="2202"/>
      <c r="U192" s="2202"/>
      <c r="V192" s="2202"/>
      <c r="W192" s="2202"/>
      <c r="X192" s="2202"/>
      <c r="Y192" s="2202"/>
      <c r="Z192" s="2202"/>
      <c r="AA192" s="2202"/>
      <c r="AB192" s="2202"/>
      <c r="AC192" s="2202"/>
      <c r="AD192" s="66"/>
      <c r="AE192" s="66"/>
      <c r="AF192" s="66"/>
    </row>
    <row r="194" spans="1:37" ht="39.75" customHeight="1" x14ac:dyDescent="0.35">
      <c r="C194" s="2202" t="str">
        <f>CONCATENATE(D40,IF(COUNTIF(C189,"Build up the following: "),"",C189))</f>
        <v/>
      </c>
      <c r="D194" s="2202"/>
      <c r="E194" s="2202"/>
      <c r="F194" s="2202"/>
      <c r="G194" s="2202"/>
      <c r="H194" s="2202"/>
      <c r="I194" s="2202"/>
      <c r="J194" s="2202"/>
      <c r="K194" s="2202"/>
      <c r="L194" s="2202"/>
      <c r="M194" s="2202"/>
      <c r="N194" s="2202"/>
      <c r="O194" s="2202"/>
      <c r="P194" s="2202"/>
      <c r="Q194" s="2202"/>
      <c r="R194" s="2202"/>
      <c r="S194" s="2202"/>
      <c r="T194" s="2202"/>
      <c r="U194" s="2202"/>
      <c r="V194" s="2202"/>
      <c r="W194" s="2202"/>
      <c r="X194" s="2202"/>
      <c r="Y194" s="2202"/>
      <c r="Z194" s="2202"/>
      <c r="AA194" s="2202"/>
      <c r="AB194" s="2202"/>
      <c r="AC194" s="2202"/>
      <c r="AD194" s="66"/>
      <c r="AE194" s="66"/>
      <c r="AF194" s="66"/>
    </row>
    <row r="196" spans="1:37" ht="39.75" customHeight="1" x14ac:dyDescent="0.35">
      <c r="C196" s="2202" t="str">
        <f>CONCATENATE(D61,IF(COUNTIF(C189,"Build up the following: "),"",C189))</f>
        <v/>
      </c>
      <c r="D196" s="2202"/>
      <c r="E196" s="2202"/>
      <c r="F196" s="2202"/>
      <c r="G196" s="2202"/>
      <c r="H196" s="2202"/>
      <c r="I196" s="2202"/>
      <c r="J196" s="2202"/>
      <c r="K196" s="2202"/>
      <c r="L196" s="2202"/>
      <c r="M196" s="2202"/>
      <c r="N196" s="2202"/>
      <c r="O196" s="2202"/>
      <c r="P196" s="2202"/>
      <c r="Q196" s="2202"/>
      <c r="R196" s="2202"/>
      <c r="S196" s="2202"/>
      <c r="T196" s="2202"/>
      <c r="U196" s="2202"/>
      <c r="V196" s="2202"/>
      <c r="W196" s="2202"/>
      <c r="X196" s="2202"/>
      <c r="Y196" s="2202"/>
      <c r="Z196" s="2202"/>
      <c r="AA196" s="2202"/>
      <c r="AB196" s="2202"/>
      <c r="AC196" s="2202"/>
      <c r="AD196" s="66"/>
      <c r="AE196" s="66"/>
      <c r="AF196" s="66"/>
    </row>
    <row r="198" spans="1:37" ht="10" customHeight="1" thickBot="1" x14ac:dyDescent="0.4">
      <c r="A198" s="1243" t="s">
        <v>305</v>
      </c>
      <c r="B198" s="1243"/>
      <c r="C198" s="1243"/>
      <c r="D198" s="1243"/>
      <c r="E198" s="1243"/>
      <c r="F198" s="1243"/>
      <c r="G198" s="1243"/>
      <c r="H198" s="1243"/>
      <c r="I198" s="1243"/>
      <c r="J198" s="1243"/>
      <c r="K198" s="1243"/>
      <c r="L198" s="1243"/>
      <c r="M198" s="1243"/>
      <c r="N198" s="1243"/>
      <c r="O198" s="1243"/>
      <c r="P198" s="1243"/>
      <c r="Q198" s="1243"/>
      <c r="R198" s="1243"/>
      <c r="S198" s="1243"/>
      <c r="T198" s="1243"/>
      <c r="U198" s="1243"/>
      <c r="V198" s="1243"/>
      <c r="W198" s="1243"/>
      <c r="X198" s="1243"/>
      <c r="Y198" s="1243"/>
      <c r="Z198" s="1243"/>
      <c r="AA198" s="1243"/>
      <c r="AB198" s="1243"/>
      <c r="AC198" s="1243"/>
      <c r="AD198" s="1243"/>
      <c r="AE198" s="1243"/>
      <c r="AF198" s="1243"/>
      <c r="AG198" s="1243"/>
      <c r="AH198" s="1243"/>
      <c r="AI198" s="1243"/>
    </row>
    <row r="199" spans="1:37" ht="15" customHeight="1" x14ac:dyDescent="0.35">
      <c r="A199" s="1202"/>
      <c r="B199" s="1203"/>
      <c r="C199" s="1207" t="s">
        <v>17</v>
      </c>
      <c r="D199" s="1207"/>
      <c r="E199" s="1207"/>
      <c r="F199" s="1207"/>
      <c r="G199" s="1207"/>
      <c r="H199" s="1207"/>
      <c r="I199" s="1207"/>
      <c r="J199" s="1207"/>
      <c r="K199" s="1207"/>
      <c r="L199" s="1207"/>
      <c r="M199" s="1207"/>
      <c r="N199" s="1207"/>
      <c r="O199" s="1207"/>
      <c r="P199" s="1207"/>
      <c r="Q199" s="1207"/>
      <c r="R199" s="1207"/>
      <c r="S199" s="1207"/>
      <c r="T199" s="1207"/>
      <c r="U199" s="1207"/>
      <c r="V199" s="1208"/>
      <c r="W199" s="6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8"/>
    </row>
    <row r="200" spans="1:37" ht="15.75" customHeight="1" thickBot="1" x14ac:dyDescent="0.4">
      <c r="A200" s="1204"/>
      <c r="B200" s="1205"/>
      <c r="C200" s="16">
        <v>1</v>
      </c>
      <c r="D200" s="17">
        <v>2</v>
      </c>
      <c r="E200" s="17">
        <v>3</v>
      </c>
      <c r="F200" s="17">
        <v>4</v>
      </c>
      <c r="G200" s="17">
        <v>5</v>
      </c>
      <c r="H200" s="17">
        <v>6</v>
      </c>
      <c r="I200" s="17">
        <v>7</v>
      </c>
      <c r="J200" s="17">
        <v>8</v>
      </c>
      <c r="K200" s="17">
        <v>9</v>
      </c>
      <c r="L200" s="17">
        <v>10</v>
      </c>
      <c r="M200" s="17">
        <v>11</v>
      </c>
      <c r="N200" s="17">
        <v>12</v>
      </c>
      <c r="O200" s="17">
        <v>13</v>
      </c>
      <c r="P200" s="17">
        <v>14</v>
      </c>
      <c r="Q200" s="17">
        <v>15</v>
      </c>
      <c r="R200" s="17">
        <v>16</v>
      </c>
      <c r="S200" s="17">
        <v>17</v>
      </c>
      <c r="T200" s="17">
        <v>18</v>
      </c>
      <c r="U200" s="17">
        <v>19</v>
      </c>
      <c r="V200" s="18">
        <v>20</v>
      </c>
      <c r="W200" s="17">
        <v>21</v>
      </c>
      <c r="X200" s="18">
        <v>22</v>
      </c>
      <c r="Y200" s="17">
        <v>23</v>
      </c>
      <c r="Z200" s="18">
        <v>24</v>
      </c>
      <c r="AA200" s="17">
        <v>25</v>
      </c>
      <c r="AB200" s="18">
        <v>26</v>
      </c>
      <c r="AC200" s="17">
        <v>27</v>
      </c>
      <c r="AD200" s="18">
        <v>28</v>
      </c>
      <c r="AE200" s="17">
        <v>29</v>
      </c>
      <c r="AF200" s="18">
        <v>30</v>
      </c>
      <c r="AG200" s="17">
        <v>31</v>
      </c>
      <c r="AH200" s="18">
        <v>32</v>
      </c>
      <c r="AI200" s="17">
        <v>33</v>
      </c>
      <c r="AJ200" s="18">
        <v>34</v>
      </c>
    </row>
    <row r="201" spans="1:37" ht="24.75" customHeight="1" x14ac:dyDescent="0.35">
      <c r="A201" s="1196" t="s">
        <v>18</v>
      </c>
      <c r="B201" s="21">
        <v>1</v>
      </c>
      <c r="C201" s="41" t="str">
        <f t="shared" ref="C201:AJ201" si="110">IF(IF(COUNTBLANK($C$47:$AG$58)&lt;372,C47,IF(COUNTBLANK($C$26:$AG$37)&lt;372,C26,IF(COUNTBLANK($C$5:$AG$16)&lt;372,C5,"")))="","",IF(COUNTBLANK($C$47:$AG$58)&lt;372,C47,IF(COUNTBLANK($C$26:$AG$37)&lt;372,C26,IF(COUNTBLANK($C$5:$AG$16)&lt;372,C5,""))))</f>
        <v/>
      </c>
      <c r="D201" s="41" t="str">
        <f t="shared" si="110"/>
        <v/>
      </c>
      <c r="E201" s="41" t="str">
        <f t="shared" si="110"/>
        <v/>
      </c>
      <c r="F201" s="41" t="str">
        <f t="shared" si="110"/>
        <v/>
      </c>
      <c r="G201" s="41" t="str">
        <f t="shared" si="110"/>
        <v/>
      </c>
      <c r="H201" s="41" t="str">
        <f t="shared" si="110"/>
        <v/>
      </c>
      <c r="I201" s="41" t="str">
        <f t="shared" si="110"/>
        <v/>
      </c>
      <c r="J201" s="41" t="str">
        <f t="shared" si="110"/>
        <v/>
      </c>
      <c r="K201" s="41" t="str">
        <f t="shared" si="110"/>
        <v/>
      </c>
      <c r="L201" s="41" t="str">
        <f t="shared" si="110"/>
        <v/>
      </c>
      <c r="M201" s="41" t="str">
        <f t="shared" si="110"/>
        <v/>
      </c>
      <c r="N201" s="41" t="str">
        <f t="shared" si="110"/>
        <v/>
      </c>
      <c r="O201" s="41" t="str">
        <f t="shared" si="110"/>
        <v/>
      </c>
      <c r="P201" s="41" t="str">
        <f t="shared" si="110"/>
        <v/>
      </c>
      <c r="Q201" s="41" t="str">
        <f t="shared" si="110"/>
        <v/>
      </c>
      <c r="R201" s="41" t="str">
        <f t="shared" si="110"/>
        <v/>
      </c>
      <c r="S201" s="41" t="str">
        <f t="shared" si="110"/>
        <v/>
      </c>
      <c r="T201" s="41" t="str">
        <f t="shared" si="110"/>
        <v/>
      </c>
      <c r="U201" s="41" t="str">
        <f t="shared" si="110"/>
        <v/>
      </c>
      <c r="V201" s="41" t="str">
        <f t="shared" si="110"/>
        <v/>
      </c>
      <c r="W201" s="41" t="str">
        <f t="shared" si="110"/>
        <v/>
      </c>
      <c r="X201" s="41" t="str">
        <f t="shared" si="110"/>
        <v/>
      </c>
      <c r="Y201" s="41" t="str">
        <f t="shared" si="110"/>
        <v/>
      </c>
      <c r="Z201" s="41" t="str">
        <f t="shared" si="110"/>
        <v/>
      </c>
      <c r="AA201" s="41" t="str">
        <f t="shared" si="110"/>
        <v/>
      </c>
      <c r="AB201" s="41" t="str">
        <f t="shared" si="110"/>
        <v/>
      </c>
      <c r="AC201" s="41" t="str">
        <f t="shared" si="110"/>
        <v/>
      </c>
      <c r="AD201" s="41" t="str">
        <f t="shared" si="110"/>
        <v/>
      </c>
      <c r="AE201" s="41" t="str">
        <f t="shared" si="110"/>
        <v/>
      </c>
      <c r="AF201" s="41" t="str">
        <f t="shared" si="110"/>
        <v/>
      </c>
      <c r="AG201" s="41" t="str">
        <f t="shared" si="110"/>
        <v/>
      </c>
      <c r="AH201" s="41" t="str">
        <f t="shared" si="110"/>
        <v/>
      </c>
      <c r="AI201" s="41" t="str">
        <f t="shared" si="110"/>
        <v/>
      </c>
      <c r="AJ201" s="41" t="str">
        <f t="shared" si="110"/>
        <v/>
      </c>
      <c r="AK201" t="e">
        <f>IF(#REF!&lt;&gt;"",IF(OR(COUNTIF(#REF!,"L*"),COUNTIF(#REF!, "X*")),IF(AND(COUNTIF(#REF!,"*P*"),COUNTIF(#REF!,"*V*")),IF(COUNTIF(#REF!,"*R*"),SUBSTITUTE(SUBSTITUTE(#REF!,"P",""),"R","S")&amp; LOWER(Data!BR12),SUBSTITUTE(#REF!,"P","")&amp; LOWER(Data!BR12)),IF(AND(COUNTIF(#REF!,"*P*"),COUNTIF(#REF!,"*R*")),SUBSTITUTE(#REF!,"R","S")&amp; LOWER(Data!BR12),IF(AND(COUNTIF(#REF!,"*V*"),COUNTIF(#REF!,"*R*")),SUBSTITUTE(#REF!,"R","S")&amp; LOWER(Data!BR12),#REF! &amp; LOWER(Data!BR12)))),SUBSTITUTE(SUBSTITUTE(SUBSTITUTE(SUBSTITUTE(SUBSTITUTE(SUBSTITUTE(SUBSTITUTE(SUBSTITUTE(SUBSTITUTE(SUBSTITUTE(IF(AND(COUNTIF(#REF!,"*P*"),COUNTIF(#REF!,"*V*")),IF(COUNTIF(#REF!,"*R*"),SUBSTITUTE(SUBSTITUTE(#REF!,"P",""),"R","S"),SUBSTITUTE(#REF!,"P","")),IF(AND(COUNTIF(#REF!,"*P*"),COUNTIF(#REF!,"*R*")),SUBSTITUTE(#REF!,"R","S"),IF(AND(COUNTIF(#REF!,"*V*"),COUNTIF(#REF!,"*R*")),SUBSTITUTE(#REF!,"R","S"),#REF!))),"0",""),"1",""),"2",""),"3",""),"4",""),"5",""),"6",""),"7",""),"8",""),"9","")&amp; LOWER(Data!BR12)),"")</f>
        <v>#REF!</v>
      </c>
    </row>
    <row r="202" spans="1:37" ht="23.25" customHeight="1" x14ac:dyDescent="0.35">
      <c r="A202" s="1196"/>
      <c r="B202" s="22">
        <v>2</v>
      </c>
      <c r="C202" s="41" t="str">
        <f t="shared" ref="C202:AJ202" si="111">IF(IF(COUNTBLANK($C$47:$AG$58)&lt;372,C48,IF(COUNTBLANK($C$26:$AG$37)&lt;372,C27,IF(COUNTBLANK($C$5:$AG$16)&lt;372,C6,"")))="","",IF(COUNTBLANK($C$47:$AG$58)&lt;372,C48,IF(COUNTBLANK($C$26:$AG$37)&lt;372,C27,IF(COUNTBLANK($C$5:$AG$16)&lt;372,C6,""))))</f>
        <v/>
      </c>
      <c r="D202" s="41" t="str">
        <f t="shared" si="111"/>
        <v/>
      </c>
      <c r="E202" s="41" t="str">
        <f t="shared" si="111"/>
        <v/>
      </c>
      <c r="F202" s="41" t="str">
        <f t="shared" si="111"/>
        <v/>
      </c>
      <c r="G202" s="41" t="str">
        <f t="shared" si="111"/>
        <v/>
      </c>
      <c r="H202" s="41" t="str">
        <f t="shared" si="111"/>
        <v/>
      </c>
      <c r="I202" s="41" t="str">
        <f t="shared" si="111"/>
        <v/>
      </c>
      <c r="J202" s="41" t="str">
        <f t="shared" si="111"/>
        <v/>
      </c>
      <c r="K202" s="41" t="str">
        <f t="shared" si="111"/>
        <v/>
      </c>
      <c r="L202" s="41" t="str">
        <f t="shared" si="111"/>
        <v/>
      </c>
      <c r="M202" s="41" t="str">
        <f t="shared" si="111"/>
        <v/>
      </c>
      <c r="N202" s="41" t="str">
        <f t="shared" si="111"/>
        <v/>
      </c>
      <c r="O202" s="41" t="str">
        <f t="shared" si="111"/>
        <v/>
      </c>
      <c r="P202" s="41" t="str">
        <f t="shared" si="111"/>
        <v/>
      </c>
      <c r="Q202" s="41" t="str">
        <f t="shared" si="111"/>
        <v/>
      </c>
      <c r="R202" s="41" t="str">
        <f t="shared" si="111"/>
        <v/>
      </c>
      <c r="S202" s="41" t="str">
        <f t="shared" si="111"/>
        <v/>
      </c>
      <c r="T202" s="41" t="str">
        <f t="shared" si="111"/>
        <v/>
      </c>
      <c r="U202" s="41" t="str">
        <f t="shared" si="111"/>
        <v/>
      </c>
      <c r="V202" s="41" t="str">
        <f t="shared" si="111"/>
        <v/>
      </c>
      <c r="W202" s="41" t="str">
        <f t="shared" si="111"/>
        <v/>
      </c>
      <c r="X202" s="41" t="str">
        <f t="shared" si="111"/>
        <v/>
      </c>
      <c r="Y202" s="41" t="str">
        <f t="shared" si="111"/>
        <v/>
      </c>
      <c r="Z202" s="41" t="str">
        <f t="shared" si="111"/>
        <v/>
      </c>
      <c r="AA202" s="41" t="str">
        <f t="shared" si="111"/>
        <v/>
      </c>
      <c r="AB202" s="41" t="str">
        <f t="shared" si="111"/>
        <v/>
      </c>
      <c r="AC202" s="41" t="str">
        <f t="shared" si="111"/>
        <v/>
      </c>
      <c r="AD202" s="41" t="str">
        <f t="shared" si="111"/>
        <v/>
      </c>
      <c r="AE202" s="41" t="str">
        <f t="shared" si="111"/>
        <v/>
      </c>
      <c r="AF202" s="41" t="str">
        <f t="shared" si="111"/>
        <v/>
      </c>
      <c r="AG202" s="41" t="str">
        <f t="shared" si="111"/>
        <v/>
      </c>
      <c r="AH202" s="41" t="str">
        <f t="shared" si="111"/>
        <v/>
      </c>
      <c r="AI202" s="41" t="str">
        <f t="shared" si="111"/>
        <v/>
      </c>
      <c r="AJ202" s="41" t="str">
        <f t="shared" si="111"/>
        <v/>
      </c>
    </row>
    <row r="203" spans="1:37" ht="23.25" customHeight="1" x14ac:dyDescent="0.35">
      <c r="A203" s="1196"/>
      <c r="B203" s="22">
        <v>3</v>
      </c>
      <c r="C203" s="41" t="str">
        <f t="shared" ref="C203:AJ203" si="112">IF(IF(COUNTBLANK($C$47:$AG$58)&lt;372,C49,IF(COUNTBLANK($C$26:$AG$37)&lt;372,C28,IF(COUNTBLANK($C$5:$AG$16)&lt;372,C7,"")))="","",IF(COUNTBLANK($C$47:$AG$58)&lt;372,C49,IF(COUNTBLANK($C$26:$AG$37)&lt;372,C28,IF(COUNTBLANK($C$5:$AG$16)&lt;372,C7,""))))</f>
        <v/>
      </c>
      <c r="D203" s="41" t="str">
        <f t="shared" si="112"/>
        <v/>
      </c>
      <c r="E203" s="41" t="str">
        <f t="shared" si="112"/>
        <v/>
      </c>
      <c r="F203" s="41" t="str">
        <f t="shared" si="112"/>
        <v/>
      </c>
      <c r="G203" s="41" t="str">
        <f t="shared" si="112"/>
        <v/>
      </c>
      <c r="H203" s="41" t="str">
        <f t="shared" si="112"/>
        <v/>
      </c>
      <c r="I203" s="41" t="str">
        <f t="shared" si="112"/>
        <v/>
      </c>
      <c r="J203" s="41" t="str">
        <f t="shared" si="112"/>
        <v/>
      </c>
      <c r="K203" s="41" t="str">
        <f t="shared" si="112"/>
        <v/>
      </c>
      <c r="L203" s="41" t="str">
        <f t="shared" si="112"/>
        <v/>
      </c>
      <c r="M203" s="41" t="str">
        <f t="shared" si="112"/>
        <v/>
      </c>
      <c r="N203" s="41" t="str">
        <f t="shared" si="112"/>
        <v/>
      </c>
      <c r="O203" s="41" t="str">
        <f t="shared" si="112"/>
        <v/>
      </c>
      <c r="P203" s="41" t="str">
        <f t="shared" si="112"/>
        <v/>
      </c>
      <c r="Q203" s="41" t="str">
        <f t="shared" si="112"/>
        <v/>
      </c>
      <c r="R203" s="41" t="str">
        <f t="shared" si="112"/>
        <v/>
      </c>
      <c r="S203" s="41" t="str">
        <f t="shared" si="112"/>
        <v/>
      </c>
      <c r="T203" s="41" t="str">
        <f t="shared" si="112"/>
        <v/>
      </c>
      <c r="U203" s="41" t="str">
        <f t="shared" si="112"/>
        <v/>
      </c>
      <c r="V203" s="41" t="str">
        <f t="shared" si="112"/>
        <v/>
      </c>
      <c r="W203" s="41" t="str">
        <f t="shared" si="112"/>
        <v/>
      </c>
      <c r="X203" s="41" t="str">
        <f t="shared" si="112"/>
        <v/>
      </c>
      <c r="Y203" s="41" t="str">
        <f t="shared" si="112"/>
        <v/>
      </c>
      <c r="Z203" s="41" t="str">
        <f t="shared" si="112"/>
        <v/>
      </c>
      <c r="AA203" s="41" t="str">
        <f t="shared" si="112"/>
        <v/>
      </c>
      <c r="AB203" s="41" t="str">
        <f t="shared" si="112"/>
        <v/>
      </c>
      <c r="AC203" s="41" t="str">
        <f t="shared" si="112"/>
        <v/>
      </c>
      <c r="AD203" s="41" t="str">
        <f t="shared" si="112"/>
        <v/>
      </c>
      <c r="AE203" s="41" t="str">
        <f t="shared" si="112"/>
        <v/>
      </c>
      <c r="AF203" s="41" t="str">
        <f t="shared" si="112"/>
        <v/>
      </c>
      <c r="AG203" s="41" t="str">
        <f t="shared" si="112"/>
        <v/>
      </c>
      <c r="AH203" s="41" t="str">
        <f t="shared" si="112"/>
        <v/>
      </c>
      <c r="AI203" s="41" t="str">
        <f t="shared" si="112"/>
        <v/>
      </c>
      <c r="AJ203" s="41" t="str">
        <f t="shared" si="112"/>
        <v/>
      </c>
    </row>
    <row r="204" spans="1:37" ht="23.25" customHeight="1" x14ac:dyDescent="0.35">
      <c r="A204" s="1196"/>
      <c r="B204" s="22">
        <v>4</v>
      </c>
      <c r="C204" s="41" t="str">
        <f t="shared" ref="C204:AJ204" si="113">IF(IF(COUNTBLANK($C$47:$AG$58)&lt;372,C50,IF(COUNTBLANK($C$26:$AG$37)&lt;372,C29,IF(COUNTBLANK($C$5:$AG$16)&lt;372,C8,"")))="","",IF(COUNTBLANK($C$47:$AG$58)&lt;372,C50,IF(COUNTBLANK($C$26:$AG$37)&lt;372,C29,IF(COUNTBLANK($C$5:$AG$16)&lt;372,C8,""))))</f>
        <v/>
      </c>
      <c r="D204" s="41" t="str">
        <f t="shared" si="113"/>
        <v/>
      </c>
      <c r="E204" s="41" t="str">
        <f t="shared" si="113"/>
        <v/>
      </c>
      <c r="F204" s="41" t="str">
        <f t="shared" si="113"/>
        <v/>
      </c>
      <c r="G204" s="41" t="str">
        <f t="shared" si="113"/>
        <v/>
      </c>
      <c r="H204" s="41" t="str">
        <f t="shared" si="113"/>
        <v/>
      </c>
      <c r="I204" s="41" t="str">
        <f t="shared" si="113"/>
        <v/>
      </c>
      <c r="J204" s="41" t="str">
        <f t="shared" si="113"/>
        <v/>
      </c>
      <c r="K204" s="41" t="str">
        <f t="shared" si="113"/>
        <v/>
      </c>
      <c r="L204" s="41" t="str">
        <f t="shared" si="113"/>
        <v/>
      </c>
      <c r="M204" s="41" t="str">
        <f t="shared" si="113"/>
        <v/>
      </c>
      <c r="N204" s="41" t="str">
        <f t="shared" si="113"/>
        <v/>
      </c>
      <c r="O204" s="41" t="str">
        <f t="shared" si="113"/>
        <v/>
      </c>
      <c r="P204" s="41" t="str">
        <f t="shared" si="113"/>
        <v/>
      </c>
      <c r="Q204" s="41" t="str">
        <f t="shared" si="113"/>
        <v/>
      </c>
      <c r="R204" s="41" t="str">
        <f t="shared" si="113"/>
        <v/>
      </c>
      <c r="S204" s="41" t="str">
        <f t="shared" si="113"/>
        <v/>
      </c>
      <c r="T204" s="41" t="str">
        <f t="shared" si="113"/>
        <v/>
      </c>
      <c r="U204" s="41" t="str">
        <f t="shared" si="113"/>
        <v/>
      </c>
      <c r="V204" s="41" t="str">
        <f t="shared" si="113"/>
        <v/>
      </c>
      <c r="W204" s="41" t="str">
        <f t="shared" si="113"/>
        <v/>
      </c>
      <c r="X204" s="41" t="str">
        <f t="shared" si="113"/>
        <v/>
      </c>
      <c r="Y204" s="41" t="str">
        <f t="shared" si="113"/>
        <v/>
      </c>
      <c r="Z204" s="41" t="str">
        <f t="shared" si="113"/>
        <v/>
      </c>
      <c r="AA204" s="41" t="str">
        <f t="shared" si="113"/>
        <v/>
      </c>
      <c r="AB204" s="41" t="str">
        <f t="shared" si="113"/>
        <v/>
      </c>
      <c r="AC204" s="41" t="str">
        <f t="shared" si="113"/>
        <v/>
      </c>
      <c r="AD204" s="41" t="str">
        <f t="shared" si="113"/>
        <v/>
      </c>
      <c r="AE204" s="41" t="str">
        <f t="shared" si="113"/>
        <v/>
      </c>
      <c r="AF204" s="41" t="str">
        <f t="shared" si="113"/>
        <v/>
      </c>
      <c r="AG204" s="41" t="str">
        <f t="shared" si="113"/>
        <v/>
      </c>
      <c r="AH204" s="41" t="str">
        <f t="shared" si="113"/>
        <v/>
      </c>
      <c r="AI204" s="41" t="str">
        <f t="shared" si="113"/>
        <v/>
      </c>
      <c r="AJ204" s="41" t="str">
        <f t="shared" si="113"/>
        <v/>
      </c>
    </row>
    <row r="205" spans="1:37" ht="23.25" customHeight="1" x14ac:dyDescent="0.35">
      <c r="A205" s="1196"/>
      <c r="B205" s="22">
        <v>5</v>
      </c>
      <c r="C205" s="41" t="str">
        <f t="shared" ref="C205:AJ205" si="114">IF(IF(COUNTBLANK($C$47:$AG$58)&lt;372,C51,IF(COUNTBLANK($C$26:$AG$37)&lt;372,C30,IF(COUNTBLANK($C$5:$AG$16)&lt;372,C9,"")))="","",IF(COUNTBLANK($C$47:$AG$58)&lt;372,C51,IF(COUNTBLANK($C$26:$AG$37)&lt;372,C30,IF(COUNTBLANK($C$5:$AG$16)&lt;372,C9,""))))</f>
        <v/>
      </c>
      <c r="D205" s="41" t="str">
        <f t="shared" si="114"/>
        <v/>
      </c>
      <c r="E205" s="41" t="str">
        <f t="shared" si="114"/>
        <v/>
      </c>
      <c r="F205" s="41" t="str">
        <f t="shared" si="114"/>
        <v/>
      </c>
      <c r="G205" s="41" t="str">
        <f t="shared" si="114"/>
        <v/>
      </c>
      <c r="H205" s="41" t="str">
        <f t="shared" si="114"/>
        <v/>
      </c>
      <c r="I205" s="41" t="str">
        <f t="shared" si="114"/>
        <v/>
      </c>
      <c r="J205" s="41" t="str">
        <f t="shared" si="114"/>
        <v/>
      </c>
      <c r="K205" s="41" t="str">
        <f t="shared" si="114"/>
        <v/>
      </c>
      <c r="L205" s="41" t="str">
        <f t="shared" si="114"/>
        <v/>
      </c>
      <c r="M205" s="41" t="str">
        <f t="shared" si="114"/>
        <v/>
      </c>
      <c r="N205" s="41" t="str">
        <f t="shared" si="114"/>
        <v/>
      </c>
      <c r="O205" s="41" t="str">
        <f t="shared" si="114"/>
        <v/>
      </c>
      <c r="P205" s="41" t="str">
        <f t="shared" si="114"/>
        <v/>
      </c>
      <c r="Q205" s="41" t="str">
        <f t="shared" si="114"/>
        <v/>
      </c>
      <c r="R205" s="41" t="str">
        <f t="shared" si="114"/>
        <v/>
      </c>
      <c r="S205" s="41" t="str">
        <f t="shared" si="114"/>
        <v/>
      </c>
      <c r="T205" s="41" t="str">
        <f t="shared" si="114"/>
        <v/>
      </c>
      <c r="U205" s="41" t="str">
        <f t="shared" si="114"/>
        <v/>
      </c>
      <c r="V205" s="41" t="str">
        <f t="shared" si="114"/>
        <v/>
      </c>
      <c r="W205" s="41" t="str">
        <f t="shared" si="114"/>
        <v/>
      </c>
      <c r="X205" s="41" t="str">
        <f t="shared" si="114"/>
        <v/>
      </c>
      <c r="Y205" s="41" t="str">
        <f t="shared" si="114"/>
        <v/>
      </c>
      <c r="Z205" s="41" t="str">
        <f t="shared" si="114"/>
        <v/>
      </c>
      <c r="AA205" s="41" t="str">
        <f t="shared" si="114"/>
        <v/>
      </c>
      <c r="AB205" s="41" t="str">
        <f t="shared" si="114"/>
        <v/>
      </c>
      <c r="AC205" s="41" t="str">
        <f t="shared" si="114"/>
        <v/>
      </c>
      <c r="AD205" s="41" t="str">
        <f t="shared" si="114"/>
        <v/>
      </c>
      <c r="AE205" s="41" t="str">
        <f t="shared" si="114"/>
        <v/>
      </c>
      <c r="AF205" s="41" t="str">
        <f t="shared" si="114"/>
        <v/>
      </c>
      <c r="AG205" s="41" t="str">
        <f t="shared" si="114"/>
        <v/>
      </c>
      <c r="AH205" s="41" t="str">
        <f t="shared" si="114"/>
        <v/>
      </c>
      <c r="AI205" s="41" t="str">
        <f t="shared" si="114"/>
        <v/>
      </c>
      <c r="AJ205" s="41" t="str">
        <f t="shared" si="114"/>
        <v/>
      </c>
    </row>
    <row r="206" spans="1:37" ht="23.25" customHeight="1" x14ac:dyDescent="0.35">
      <c r="A206" s="1196"/>
      <c r="B206" s="22">
        <v>6</v>
      </c>
      <c r="C206" s="41" t="str">
        <f t="shared" ref="C206:AJ206" si="115">IF(IF(COUNTBLANK($C$47:$AG$58)&lt;372,C52,IF(COUNTBLANK($C$26:$AG$37)&lt;372,C31,IF(COUNTBLANK($C$5:$AG$16)&lt;372,C10,"")))="","",IF(COUNTBLANK($C$47:$AG$58)&lt;372,C52,IF(COUNTBLANK($C$26:$AG$37)&lt;372,C31,IF(COUNTBLANK($C$5:$AG$16)&lt;372,C10,""))))</f>
        <v/>
      </c>
      <c r="D206" s="41" t="str">
        <f t="shared" si="115"/>
        <v/>
      </c>
      <c r="E206" s="41" t="str">
        <f t="shared" si="115"/>
        <v/>
      </c>
      <c r="F206" s="41" t="str">
        <f t="shared" si="115"/>
        <v/>
      </c>
      <c r="G206" s="41" t="str">
        <f t="shared" si="115"/>
        <v/>
      </c>
      <c r="H206" s="41" t="str">
        <f t="shared" si="115"/>
        <v/>
      </c>
      <c r="I206" s="41" t="str">
        <f t="shared" si="115"/>
        <v/>
      </c>
      <c r="J206" s="41" t="str">
        <f t="shared" si="115"/>
        <v/>
      </c>
      <c r="K206" s="41" t="str">
        <f t="shared" si="115"/>
        <v/>
      </c>
      <c r="L206" s="41" t="str">
        <f t="shared" si="115"/>
        <v/>
      </c>
      <c r="M206" s="41" t="str">
        <f t="shared" si="115"/>
        <v/>
      </c>
      <c r="N206" s="41" t="str">
        <f t="shared" si="115"/>
        <v/>
      </c>
      <c r="O206" s="41" t="str">
        <f t="shared" si="115"/>
        <v/>
      </c>
      <c r="P206" s="41" t="str">
        <f t="shared" si="115"/>
        <v/>
      </c>
      <c r="Q206" s="41" t="str">
        <f t="shared" si="115"/>
        <v/>
      </c>
      <c r="R206" s="41" t="str">
        <f t="shared" si="115"/>
        <v/>
      </c>
      <c r="S206" s="41" t="str">
        <f t="shared" si="115"/>
        <v/>
      </c>
      <c r="T206" s="41" t="str">
        <f t="shared" si="115"/>
        <v/>
      </c>
      <c r="U206" s="41" t="str">
        <f t="shared" si="115"/>
        <v/>
      </c>
      <c r="V206" s="41" t="str">
        <f t="shared" si="115"/>
        <v/>
      </c>
      <c r="W206" s="41" t="str">
        <f t="shared" si="115"/>
        <v/>
      </c>
      <c r="X206" s="41" t="str">
        <f t="shared" si="115"/>
        <v/>
      </c>
      <c r="Y206" s="41" t="str">
        <f t="shared" si="115"/>
        <v/>
      </c>
      <c r="Z206" s="41" t="str">
        <f t="shared" si="115"/>
        <v/>
      </c>
      <c r="AA206" s="41" t="str">
        <f t="shared" si="115"/>
        <v/>
      </c>
      <c r="AB206" s="41" t="str">
        <f t="shared" si="115"/>
        <v/>
      </c>
      <c r="AC206" s="41" t="str">
        <f t="shared" si="115"/>
        <v/>
      </c>
      <c r="AD206" s="41" t="str">
        <f t="shared" si="115"/>
        <v/>
      </c>
      <c r="AE206" s="41" t="str">
        <f t="shared" si="115"/>
        <v/>
      </c>
      <c r="AF206" s="41" t="str">
        <f t="shared" si="115"/>
        <v/>
      </c>
      <c r="AG206" s="41" t="str">
        <f t="shared" si="115"/>
        <v/>
      </c>
      <c r="AH206" s="41" t="str">
        <f t="shared" si="115"/>
        <v/>
      </c>
      <c r="AI206" s="41" t="str">
        <f t="shared" si="115"/>
        <v/>
      </c>
      <c r="AJ206" s="41" t="str">
        <f t="shared" si="115"/>
        <v/>
      </c>
    </row>
    <row r="207" spans="1:37" ht="23.25" customHeight="1" x14ac:dyDescent="0.35">
      <c r="A207" s="1196"/>
      <c r="B207" s="22">
        <v>7</v>
      </c>
      <c r="C207" s="41" t="str">
        <f t="shared" ref="C207:AJ207" si="116">IF(IF(COUNTBLANK($C$47:$AG$58)&lt;372,C53,IF(COUNTBLANK($C$26:$AG$37)&lt;372,C32,IF(COUNTBLANK($C$5:$AG$16)&lt;372,C11,"")))="","",IF(COUNTBLANK($C$47:$AG$58)&lt;372,C53,IF(COUNTBLANK($C$26:$AG$37)&lt;372,C32,IF(COUNTBLANK($C$5:$AG$16)&lt;372,C11,""))))</f>
        <v/>
      </c>
      <c r="D207" s="41" t="str">
        <f t="shared" si="116"/>
        <v/>
      </c>
      <c r="E207" s="41" t="str">
        <f t="shared" si="116"/>
        <v/>
      </c>
      <c r="F207" s="41" t="str">
        <f t="shared" si="116"/>
        <v/>
      </c>
      <c r="G207" s="41" t="str">
        <f t="shared" si="116"/>
        <v/>
      </c>
      <c r="H207" s="41" t="str">
        <f t="shared" si="116"/>
        <v/>
      </c>
      <c r="I207" s="41" t="str">
        <f t="shared" si="116"/>
        <v/>
      </c>
      <c r="J207" s="41" t="str">
        <f t="shared" si="116"/>
        <v/>
      </c>
      <c r="K207" s="41" t="str">
        <f t="shared" si="116"/>
        <v/>
      </c>
      <c r="L207" s="41" t="str">
        <f t="shared" si="116"/>
        <v/>
      </c>
      <c r="M207" s="41" t="str">
        <f t="shared" si="116"/>
        <v/>
      </c>
      <c r="N207" s="41" t="str">
        <f t="shared" si="116"/>
        <v/>
      </c>
      <c r="O207" s="41" t="str">
        <f t="shared" si="116"/>
        <v/>
      </c>
      <c r="P207" s="41" t="str">
        <f t="shared" si="116"/>
        <v/>
      </c>
      <c r="Q207" s="41" t="str">
        <f t="shared" si="116"/>
        <v/>
      </c>
      <c r="R207" s="41" t="str">
        <f t="shared" si="116"/>
        <v/>
      </c>
      <c r="S207" s="41" t="str">
        <f t="shared" si="116"/>
        <v/>
      </c>
      <c r="T207" s="41" t="str">
        <f t="shared" si="116"/>
        <v/>
      </c>
      <c r="U207" s="41" t="str">
        <f t="shared" si="116"/>
        <v/>
      </c>
      <c r="V207" s="41" t="str">
        <f t="shared" si="116"/>
        <v/>
      </c>
      <c r="W207" s="41" t="str">
        <f t="shared" si="116"/>
        <v/>
      </c>
      <c r="X207" s="41" t="str">
        <f t="shared" si="116"/>
        <v/>
      </c>
      <c r="Y207" s="41" t="str">
        <f t="shared" si="116"/>
        <v/>
      </c>
      <c r="Z207" s="41" t="str">
        <f t="shared" si="116"/>
        <v/>
      </c>
      <c r="AA207" s="41" t="str">
        <f t="shared" si="116"/>
        <v/>
      </c>
      <c r="AB207" s="41" t="str">
        <f t="shared" si="116"/>
        <v/>
      </c>
      <c r="AC207" s="41" t="str">
        <f t="shared" si="116"/>
        <v/>
      </c>
      <c r="AD207" s="41" t="str">
        <f t="shared" si="116"/>
        <v/>
      </c>
      <c r="AE207" s="41" t="str">
        <f t="shared" si="116"/>
        <v/>
      </c>
      <c r="AF207" s="41" t="str">
        <f t="shared" si="116"/>
        <v/>
      </c>
      <c r="AG207" s="41" t="str">
        <f t="shared" si="116"/>
        <v/>
      </c>
      <c r="AH207" s="41" t="str">
        <f t="shared" si="116"/>
        <v/>
      </c>
      <c r="AI207" s="41" t="str">
        <f t="shared" si="116"/>
        <v/>
      </c>
      <c r="AJ207" s="41" t="str">
        <f t="shared" si="116"/>
        <v/>
      </c>
    </row>
    <row r="208" spans="1:37" ht="23.25" customHeight="1" x14ac:dyDescent="0.35">
      <c r="A208" s="1196"/>
      <c r="B208" s="22">
        <v>8</v>
      </c>
      <c r="C208" s="41" t="str">
        <f t="shared" ref="C208:AJ208" si="117">IF(IF(COUNTBLANK($C$47:$AG$58)&lt;372,C54,IF(COUNTBLANK($C$26:$AG$37)&lt;372,C33,IF(COUNTBLANK($C$5:$AG$16)&lt;372,C12,"")))="","",IF(COUNTBLANK($C$47:$AG$58)&lt;372,C54,IF(COUNTBLANK($C$26:$AG$37)&lt;372,C33,IF(COUNTBLANK($C$5:$AG$16)&lt;372,C12,""))))</f>
        <v/>
      </c>
      <c r="D208" s="41" t="str">
        <f t="shared" si="117"/>
        <v/>
      </c>
      <c r="E208" s="41" t="str">
        <f t="shared" si="117"/>
        <v/>
      </c>
      <c r="F208" s="41" t="str">
        <f t="shared" si="117"/>
        <v/>
      </c>
      <c r="G208" s="41" t="str">
        <f t="shared" si="117"/>
        <v/>
      </c>
      <c r="H208" s="41" t="str">
        <f t="shared" si="117"/>
        <v/>
      </c>
      <c r="I208" s="41" t="str">
        <f t="shared" si="117"/>
        <v/>
      </c>
      <c r="J208" s="41" t="str">
        <f t="shared" si="117"/>
        <v/>
      </c>
      <c r="K208" s="41" t="str">
        <f t="shared" si="117"/>
        <v/>
      </c>
      <c r="L208" s="41" t="str">
        <f t="shared" si="117"/>
        <v/>
      </c>
      <c r="M208" s="41" t="str">
        <f t="shared" si="117"/>
        <v/>
      </c>
      <c r="N208" s="41" t="str">
        <f t="shared" si="117"/>
        <v/>
      </c>
      <c r="O208" s="41" t="str">
        <f t="shared" si="117"/>
        <v/>
      </c>
      <c r="P208" s="41" t="str">
        <f t="shared" si="117"/>
        <v/>
      </c>
      <c r="Q208" s="41" t="str">
        <f t="shared" si="117"/>
        <v/>
      </c>
      <c r="R208" s="41" t="str">
        <f t="shared" si="117"/>
        <v/>
      </c>
      <c r="S208" s="41" t="str">
        <f t="shared" si="117"/>
        <v/>
      </c>
      <c r="T208" s="41" t="str">
        <f t="shared" si="117"/>
        <v/>
      </c>
      <c r="U208" s="41" t="str">
        <f t="shared" si="117"/>
        <v/>
      </c>
      <c r="V208" s="41" t="str">
        <f t="shared" si="117"/>
        <v/>
      </c>
      <c r="W208" s="41" t="str">
        <f t="shared" si="117"/>
        <v/>
      </c>
      <c r="X208" s="41" t="str">
        <f t="shared" si="117"/>
        <v/>
      </c>
      <c r="Y208" s="41" t="str">
        <f t="shared" si="117"/>
        <v/>
      </c>
      <c r="Z208" s="41" t="str">
        <f t="shared" si="117"/>
        <v/>
      </c>
      <c r="AA208" s="41" t="str">
        <f t="shared" si="117"/>
        <v/>
      </c>
      <c r="AB208" s="41" t="str">
        <f t="shared" si="117"/>
        <v/>
      </c>
      <c r="AC208" s="41" t="str">
        <f t="shared" si="117"/>
        <v/>
      </c>
      <c r="AD208" s="41" t="str">
        <f t="shared" si="117"/>
        <v/>
      </c>
      <c r="AE208" s="41" t="str">
        <f t="shared" si="117"/>
        <v/>
      </c>
      <c r="AF208" s="41" t="str">
        <f t="shared" si="117"/>
        <v/>
      </c>
      <c r="AG208" s="41" t="str">
        <f t="shared" si="117"/>
        <v/>
      </c>
      <c r="AH208" s="41" t="str">
        <f t="shared" si="117"/>
        <v/>
      </c>
      <c r="AI208" s="41" t="str">
        <f t="shared" si="117"/>
        <v/>
      </c>
      <c r="AJ208" s="41" t="str">
        <f t="shared" si="117"/>
        <v/>
      </c>
    </row>
    <row r="209" spans="1:37" ht="23.25" customHeight="1" x14ac:dyDescent="0.35">
      <c r="A209" s="1196"/>
      <c r="B209" s="22">
        <v>9</v>
      </c>
      <c r="C209" s="41" t="str">
        <f t="shared" ref="C209:AJ209" si="118">IF(IF(COUNTBLANK($C$47:$AG$58)&lt;372,C55,IF(COUNTBLANK($C$26:$AG$37)&lt;372,C34,IF(COUNTBLANK($C$5:$AG$16)&lt;372,C13,"")))="","",IF(COUNTBLANK($C$47:$AG$58)&lt;372,C55,IF(COUNTBLANK($C$26:$AG$37)&lt;372,C34,IF(COUNTBLANK($C$5:$AG$16)&lt;372,C13,""))))</f>
        <v/>
      </c>
      <c r="D209" s="41" t="str">
        <f t="shared" si="118"/>
        <v/>
      </c>
      <c r="E209" s="41" t="str">
        <f t="shared" si="118"/>
        <v/>
      </c>
      <c r="F209" s="41" t="str">
        <f t="shared" si="118"/>
        <v/>
      </c>
      <c r="G209" s="41" t="str">
        <f t="shared" si="118"/>
        <v/>
      </c>
      <c r="H209" s="41" t="str">
        <f t="shared" si="118"/>
        <v/>
      </c>
      <c r="I209" s="41" t="str">
        <f t="shared" si="118"/>
        <v/>
      </c>
      <c r="J209" s="41" t="str">
        <f t="shared" si="118"/>
        <v/>
      </c>
      <c r="K209" s="41" t="str">
        <f t="shared" si="118"/>
        <v/>
      </c>
      <c r="L209" s="41" t="str">
        <f t="shared" si="118"/>
        <v/>
      </c>
      <c r="M209" s="41" t="str">
        <f t="shared" si="118"/>
        <v/>
      </c>
      <c r="N209" s="41" t="str">
        <f t="shared" si="118"/>
        <v/>
      </c>
      <c r="O209" s="41" t="str">
        <f t="shared" si="118"/>
        <v/>
      </c>
      <c r="P209" s="41" t="str">
        <f t="shared" si="118"/>
        <v/>
      </c>
      <c r="Q209" s="41" t="str">
        <f t="shared" si="118"/>
        <v/>
      </c>
      <c r="R209" s="41" t="str">
        <f t="shared" si="118"/>
        <v/>
      </c>
      <c r="S209" s="41" t="str">
        <f t="shared" si="118"/>
        <v/>
      </c>
      <c r="T209" s="41" t="str">
        <f t="shared" si="118"/>
        <v/>
      </c>
      <c r="U209" s="41" t="str">
        <f t="shared" si="118"/>
        <v/>
      </c>
      <c r="V209" s="41" t="str">
        <f t="shared" si="118"/>
        <v/>
      </c>
      <c r="W209" s="41" t="str">
        <f t="shared" si="118"/>
        <v/>
      </c>
      <c r="X209" s="41" t="str">
        <f t="shared" si="118"/>
        <v/>
      </c>
      <c r="Y209" s="41" t="str">
        <f t="shared" si="118"/>
        <v/>
      </c>
      <c r="Z209" s="41" t="str">
        <f t="shared" si="118"/>
        <v/>
      </c>
      <c r="AA209" s="41" t="str">
        <f t="shared" si="118"/>
        <v/>
      </c>
      <c r="AB209" s="41" t="str">
        <f t="shared" si="118"/>
        <v/>
      </c>
      <c r="AC209" s="41" t="str">
        <f t="shared" si="118"/>
        <v/>
      </c>
      <c r="AD209" s="41" t="str">
        <f t="shared" si="118"/>
        <v/>
      </c>
      <c r="AE209" s="41" t="str">
        <f t="shared" si="118"/>
        <v/>
      </c>
      <c r="AF209" s="41" t="str">
        <f t="shared" si="118"/>
        <v/>
      </c>
      <c r="AG209" s="41" t="str">
        <f t="shared" si="118"/>
        <v/>
      </c>
      <c r="AH209" s="41" t="str">
        <f t="shared" si="118"/>
        <v/>
      </c>
      <c r="AI209" s="41" t="str">
        <f t="shared" si="118"/>
        <v/>
      </c>
      <c r="AJ209" s="41" t="str">
        <f t="shared" si="118"/>
        <v/>
      </c>
    </row>
    <row r="210" spans="1:37" ht="23.25" customHeight="1" x14ac:dyDescent="0.35">
      <c r="A210" s="1196"/>
      <c r="B210" s="22">
        <v>10</v>
      </c>
      <c r="C210" s="41" t="str">
        <f t="shared" ref="C210:AJ210" si="119">IF(IF(COUNTBLANK($C$47:$AG$58)&lt;372,C56,IF(COUNTBLANK($C$26:$AG$37)&lt;372,C35,IF(COUNTBLANK($C$5:$AG$16)&lt;372,C14,"")))="","",IF(COUNTBLANK($C$47:$AG$58)&lt;372,C56,IF(COUNTBLANK($C$26:$AG$37)&lt;372,C35,IF(COUNTBLANK($C$5:$AG$16)&lt;372,C14,""))))</f>
        <v/>
      </c>
      <c r="D210" s="41" t="str">
        <f t="shared" si="119"/>
        <v/>
      </c>
      <c r="E210" s="41" t="str">
        <f t="shared" si="119"/>
        <v/>
      </c>
      <c r="F210" s="41" t="str">
        <f t="shared" si="119"/>
        <v/>
      </c>
      <c r="G210" s="41" t="str">
        <f t="shared" si="119"/>
        <v/>
      </c>
      <c r="H210" s="41" t="str">
        <f t="shared" si="119"/>
        <v/>
      </c>
      <c r="I210" s="41" t="str">
        <f t="shared" si="119"/>
        <v/>
      </c>
      <c r="J210" s="41" t="str">
        <f t="shared" si="119"/>
        <v/>
      </c>
      <c r="K210" s="41" t="str">
        <f t="shared" si="119"/>
        <v/>
      </c>
      <c r="L210" s="41" t="str">
        <f t="shared" si="119"/>
        <v/>
      </c>
      <c r="M210" s="41" t="str">
        <f t="shared" si="119"/>
        <v/>
      </c>
      <c r="N210" s="41" t="str">
        <f t="shared" si="119"/>
        <v/>
      </c>
      <c r="O210" s="41" t="str">
        <f t="shared" si="119"/>
        <v/>
      </c>
      <c r="P210" s="41" t="str">
        <f t="shared" si="119"/>
        <v/>
      </c>
      <c r="Q210" s="41" t="str">
        <f t="shared" si="119"/>
        <v/>
      </c>
      <c r="R210" s="41" t="str">
        <f t="shared" si="119"/>
        <v/>
      </c>
      <c r="S210" s="41" t="str">
        <f t="shared" si="119"/>
        <v/>
      </c>
      <c r="T210" s="41" t="str">
        <f t="shared" si="119"/>
        <v/>
      </c>
      <c r="U210" s="41" t="str">
        <f t="shared" si="119"/>
        <v/>
      </c>
      <c r="V210" s="41" t="str">
        <f t="shared" si="119"/>
        <v/>
      </c>
      <c r="W210" s="41" t="str">
        <f t="shared" si="119"/>
        <v/>
      </c>
      <c r="X210" s="41" t="str">
        <f t="shared" si="119"/>
        <v/>
      </c>
      <c r="Y210" s="41" t="str">
        <f t="shared" si="119"/>
        <v/>
      </c>
      <c r="Z210" s="41" t="str">
        <f t="shared" si="119"/>
        <v/>
      </c>
      <c r="AA210" s="41" t="str">
        <f t="shared" si="119"/>
        <v/>
      </c>
      <c r="AB210" s="41" t="str">
        <f t="shared" si="119"/>
        <v/>
      </c>
      <c r="AC210" s="41" t="str">
        <f t="shared" si="119"/>
        <v/>
      </c>
      <c r="AD210" s="41" t="str">
        <f t="shared" si="119"/>
        <v/>
      </c>
      <c r="AE210" s="41" t="str">
        <f t="shared" si="119"/>
        <v/>
      </c>
      <c r="AF210" s="41" t="str">
        <f t="shared" si="119"/>
        <v/>
      </c>
      <c r="AG210" s="41" t="str">
        <f t="shared" si="119"/>
        <v/>
      </c>
      <c r="AH210" s="41" t="str">
        <f t="shared" si="119"/>
        <v/>
      </c>
      <c r="AI210" s="41" t="str">
        <f t="shared" si="119"/>
        <v/>
      </c>
      <c r="AJ210" s="41" t="str">
        <f t="shared" si="119"/>
        <v/>
      </c>
    </row>
    <row r="211" spans="1:37" ht="23.25" customHeight="1" x14ac:dyDescent="0.35">
      <c r="A211" s="1196"/>
      <c r="B211" s="22">
        <v>11</v>
      </c>
      <c r="C211" s="41" t="str">
        <f t="shared" ref="C211:AJ211" si="120">IF(IF(COUNTBLANK($C$47:$AG$58)&lt;372,C57,IF(COUNTBLANK($C$26:$AG$37)&lt;372,C36,IF(COUNTBLANK($C$5:$AG$16)&lt;372,C15,"")))="","",IF(COUNTBLANK($C$47:$AG$58)&lt;372,C57,IF(COUNTBLANK($C$26:$AG$37)&lt;372,C36,IF(COUNTBLANK($C$5:$AG$16)&lt;372,C15,""))))</f>
        <v/>
      </c>
      <c r="D211" s="41" t="str">
        <f t="shared" si="120"/>
        <v/>
      </c>
      <c r="E211" s="41" t="str">
        <f t="shared" si="120"/>
        <v/>
      </c>
      <c r="F211" s="41" t="str">
        <f t="shared" si="120"/>
        <v/>
      </c>
      <c r="G211" s="41" t="str">
        <f t="shared" si="120"/>
        <v/>
      </c>
      <c r="H211" s="41" t="str">
        <f t="shared" si="120"/>
        <v/>
      </c>
      <c r="I211" s="41" t="str">
        <f t="shared" si="120"/>
        <v/>
      </c>
      <c r="J211" s="41" t="str">
        <f t="shared" si="120"/>
        <v/>
      </c>
      <c r="K211" s="41" t="str">
        <f t="shared" si="120"/>
        <v/>
      </c>
      <c r="L211" s="41" t="str">
        <f t="shared" si="120"/>
        <v/>
      </c>
      <c r="M211" s="41" t="str">
        <f t="shared" si="120"/>
        <v/>
      </c>
      <c r="N211" s="41" t="str">
        <f t="shared" si="120"/>
        <v/>
      </c>
      <c r="O211" s="41" t="str">
        <f t="shared" si="120"/>
        <v/>
      </c>
      <c r="P211" s="41" t="str">
        <f t="shared" si="120"/>
        <v/>
      </c>
      <c r="Q211" s="41" t="str">
        <f t="shared" si="120"/>
        <v/>
      </c>
      <c r="R211" s="41" t="str">
        <f t="shared" si="120"/>
        <v/>
      </c>
      <c r="S211" s="41" t="str">
        <f t="shared" si="120"/>
        <v/>
      </c>
      <c r="T211" s="41" t="str">
        <f t="shared" si="120"/>
        <v/>
      </c>
      <c r="U211" s="41" t="str">
        <f t="shared" si="120"/>
        <v/>
      </c>
      <c r="V211" s="41" t="str">
        <f t="shared" si="120"/>
        <v/>
      </c>
      <c r="W211" s="41" t="str">
        <f t="shared" si="120"/>
        <v/>
      </c>
      <c r="X211" s="41" t="str">
        <f t="shared" si="120"/>
        <v/>
      </c>
      <c r="Y211" s="41" t="str">
        <f t="shared" si="120"/>
        <v/>
      </c>
      <c r="Z211" s="41" t="str">
        <f t="shared" si="120"/>
        <v/>
      </c>
      <c r="AA211" s="41" t="str">
        <f t="shared" si="120"/>
        <v/>
      </c>
      <c r="AB211" s="41" t="str">
        <f t="shared" si="120"/>
        <v/>
      </c>
      <c r="AC211" s="41" t="str">
        <f t="shared" si="120"/>
        <v/>
      </c>
      <c r="AD211" s="41" t="str">
        <f t="shared" si="120"/>
        <v/>
      </c>
      <c r="AE211" s="41" t="str">
        <f t="shared" si="120"/>
        <v/>
      </c>
      <c r="AF211" s="41" t="str">
        <f t="shared" si="120"/>
        <v/>
      </c>
      <c r="AG211" s="41" t="str">
        <f t="shared" si="120"/>
        <v/>
      </c>
      <c r="AH211" s="41" t="str">
        <f t="shared" si="120"/>
        <v/>
      </c>
      <c r="AI211" s="41" t="str">
        <f t="shared" si="120"/>
        <v/>
      </c>
      <c r="AJ211" s="41" t="str">
        <f t="shared" si="120"/>
        <v/>
      </c>
    </row>
    <row r="212" spans="1:37" ht="24" customHeight="1" thickBot="1" x14ac:dyDescent="0.4">
      <c r="A212" s="1197"/>
      <c r="B212" s="23">
        <v>12</v>
      </c>
      <c r="C212" s="41" t="str">
        <f t="shared" ref="C212:AJ212" si="121">IF(IF(COUNTBLANK($C$47:$AG$58)&lt;372,C58,IF(COUNTBLANK($C$26:$AG$37)&lt;372,C37,IF(COUNTBLANK($C$5:$AG$16)&lt;372,C16,"")))="","",IF(COUNTBLANK($C$47:$AG$58)&lt;372,C58,IF(COUNTBLANK($C$26:$AG$37)&lt;372,C37,IF(COUNTBLANK($C$5:$AG$16)&lt;372,C16,""))))</f>
        <v/>
      </c>
      <c r="D212" s="41" t="str">
        <f t="shared" si="121"/>
        <v/>
      </c>
      <c r="E212" s="41" t="str">
        <f t="shared" si="121"/>
        <v/>
      </c>
      <c r="F212" s="41" t="str">
        <f t="shared" si="121"/>
        <v/>
      </c>
      <c r="G212" s="41" t="str">
        <f t="shared" si="121"/>
        <v/>
      </c>
      <c r="H212" s="41" t="str">
        <f t="shared" si="121"/>
        <v/>
      </c>
      <c r="I212" s="41" t="str">
        <f t="shared" si="121"/>
        <v/>
      </c>
      <c r="J212" s="41" t="str">
        <f t="shared" si="121"/>
        <v/>
      </c>
      <c r="K212" s="41" t="str">
        <f t="shared" si="121"/>
        <v/>
      </c>
      <c r="L212" s="41" t="str">
        <f t="shared" si="121"/>
        <v/>
      </c>
      <c r="M212" s="41" t="str">
        <f t="shared" si="121"/>
        <v/>
      </c>
      <c r="N212" s="41" t="str">
        <f t="shared" si="121"/>
        <v/>
      </c>
      <c r="O212" s="41" t="str">
        <f t="shared" si="121"/>
        <v/>
      </c>
      <c r="P212" s="41" t="str">
        <f t="shared" si="121"/>
        <v/>
      </c>
      <c r="Q212" s="41" t="str">
        <f t="shared" si="121"/>
        <v/>
      </c>
      <c r="R212" s="41" t="str">
        <f t="shared" si="121"/>
        <v/>
      </c>
      <c r="S212" s="41" t="str">
        <f t="shared" si="121"/>
        <v/>
      </c>
      <c r="T212" s="41" t="str">
        <f t="shared" si="121"/>
        <v/>
      </c>
      <c r="U212" s="41" t="str">
        <f t="shared" si="121"/>
        <v/>
      </c>
      <c r="V212" s="41" t="str">
        <f t="shared" si="121"/>
        <v/>
      </c>
      <c r="W212" s="41" t="str">
        <f t="shared" si="121"/>
        <v/>
      </c>
      <c r="X212" s="41" t="str">
        <f t="shared" si="121"/>
        <v/>
      </c>
      <c r="Y212" s="41" t="str">
        <f t="shared" si="121"/>
        <v/>
      </c>
      <c r="Z212" s="41" t="str">
        <f t="shared" si="121"/>
        <v/>
      </c>
      <c r="AA212" s="41" t="str">
        <f t="shared" si="121"/>
        <v/>
      </c>
      <c r="AB212" s="41" t="str">
        <f t="shared" si="121"/>
        <v/>
      </c>
      <c r="AC212" s="41" t="str">
        <f t="shared" si="121"/>
        <v/>
      </c>
      <c r="AD212" s="41" t="str">
        <f t="shared" si="121"/>
        <v/>
      </c>
      <c r="AE212" s="41" t="str">
        <f t="shared" si="121"/>
        <v/>
      </c>
      <c r="AF212" s="41" t="str">
        <f t="shared" si="121"/>
        <v/>
      </c>
      <c r="AG212" s="41" t="str">
        <f t="shared" si="121"/>
        <v/>
      </c>
      <c r="AH212" s="41" t="str">
        <f t="shared" si="121"/>
        <v/>
      </c>
      <c r="AI212" s="41" t="str">
        <f t="shared" si="121"/>
        <v/>
      </c>
      <c r="AJ212" s="41" t="str">
        <f t="shared" si="121"/>
        <v/>
      </c>
    </row>
    <row r="213" spans="1:37" ht="23.25" customHeight="1" x14ac:dyDescent="0.35">
      <c r="A213" s="34"/>
      <c r="B213" s="35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</row>
    <row r="215" spans="1:37" ht="10" customHeight="1" thickBot="1" x14ac:dyDescent="0.4">
      <c r="A215" s="1243" t="s">
        <v>305</v>
      </c>
      <c r="B215" s="1243"/>
      <c r="C215" s="1243"/>
      <c r="D215" s="1243"/>
      <c r="E215" s="1243"/>
      <c r="F215" s="1243"/>
      <c r="G215" s="1243"/>
      <c r="H215" s="1243"/>
      <c r="I215" s="1243"/>
      <c r="J215" s="1243"/>
      <c r="K215" s="1243"/>
      <c r="L215" s="1243"/>
      <c r="M215" s="1243"/>
      <c r="N215" s="1243"/>
      <c r="O215" s="1243"/>
      <c r="P215" s="1243"/>
      <c r="Q215" s="1243"/>
      <c r="R215" s="1243"/>
      <c r="S215" s="1243"/>
      <c r="T215" s="1243"/>
      <c r="U215" s="1243"/>
      <c r="V215" s="1243"/>
      <c r="W215" s="1243"/>
      <c r="X215" s="1243"/>
      <c r="Y215" s="1243"/>
      <c r="Z215" s="1243"/>
      <c r="AA215" s="1243"/>
      <c r="AB215" s="1243"/>
      <c r="AC215" s="1243"/>
      <c r="AD215" s="1243"/>
      <c r="AE215" s="1243"/>
      <c r="AF215" s="1243"/>
      <c r="AG215" s="1243"/>
      <c r="AH215" s="1243"/>
      <c r="AI215" s="1243"/>
    </row>
    <row r="216" spans="1:37" ht="15" customHeight="1" x14ac:dyDescent="0.35">
      <c r="A216" s="1202"/>
      <c r="B216" s="1203"/>
      <c r="C216" s="1207" t="s">
        <v>17</v>
      </c>
      <c r="D216" s="1207"/>
      <c r="E216" s="1207"/>
      <c r="F216" s="1207"/>
      <c r="G216" s="1207"/>
      <c r="H216" s="1207"/>
      <c r="I216" s="1207"/>
      <c r="J216" s="1207"/>
      <c r="K216" s="1207"/>
      <c r="L216" s="1207"/>
      <c r="M216" s="1207"/>
      <c r="N216" s="1207"/>
      <c r="O216" s="1207"/>
      <c r="P216" s="1207"/>
      <c r="Q216" s="1207"/>
      <c r="R216" s="1207"/>
      <c r="S216" s="1207"/>
      <c r="T216" s="1207"/>
      <c r="U216" s="1207"/>
      <c r="V216" s="1208"/>
      <c r="W216" s="6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8"/>
    </row>
    <row r="217" spans="1:37" ht="15.75" customHeight="1" thickBot="1" x14ac:dyDescent="0.4">
      <c r="A217" s="1204"/>
      <c r="B217" s="1205"/>
      <c r="C217" s="16">
        <v>1</v>
      </c>
      <c r="D217" s="17">
        <v>2</v>
      </c>
      <c r="E217" s="17">
        <v>3</v>
      </c>
      <c r="F217" s="17">
        <v>4</v>
      </c>
      <c r="G217" s="17">
        <v>5</v>
      </c>
      <c r="H217" s="17">
        <v>6</v>
      </c>
      <c r="I217" s="17">
        <v>7</v>
      </c>
      <c r="J217" s="17">
        <v>8</v>
      </c>
      <c r="K217" s="17">
        <v>9</v>
      </c>
      <c r="L217" s="17">
        <v>10</v>
      </c>
      <c r="M217" s="17">
        <v>11</v>
      </c>
      <c r="N217" s="17">
        <v>12</v>
      </c>
      <c r="O217" s="17">
        <v>13</v>
      </c>
      <c r="P217" s="17">
        <v>14</v>
      </c>
      <c r="Q217" s="17">
        <v>15</v>
      </c>
      <c r="R217" s="17">
        <v>16</v>
      </c>
      <c r="S217" s="17">
        <v>17</v>
      </c>
      <c r="T217" s="17">
        <v>18</v>
      </c>
      <c r="U217" s="17">
        <v>19</v>
      </c>
      <c r="V217" s="18">
        <v>20</v>
      </c>
      <c r="W217" s="17">
        <v>21</v>
      </c>
      <c r="X217" s="18">
        <v>22</v>
      </c>
      <c r="Y217" s="17">
        <v>23</v>
      </c>
      <c r="Z217" s="18">
        <v>24</v>
      </c>
      <c r="AA217" s="17">
        <v>25</v>
      </c>
      <c r="AB217" s="18">
        <v>26</v>
      </c>
      <c r="AC217" s="17">
        <v>27</v>
      </c>
      <c r="AD217" s="18">
        <v>28</v>
      </c>
      <c r="AE217" s="17">
        <v>29</v>
      </c>
      <c r="AF217" s="18">
        <v>30</v>
      </c>
      <c r="AG217" s="17">
        <v>31</v>
      </c>
      <c r="AH217" s="18">
        <v>32</v>
      </c>
      <c r="AI217" s="17">
        <v>33</v>
      </c>
      <c r="AJ217" s="18">
        <v>34</v>
      </c>
    </row>
    <row r="218" spans="1:37" ht="24.75" customHeight="1" x14ac:dyDescent="0.35">
      <c r="A218" s="1196" t="s">
        <v>18</v>
      </c>
      <c r="B218" s="21">
        <v>1</v>
      </c>
      <c r="C218" s="41" t="str">
        <f>IF(C201&lt;&gt;"",IF(OR(COUNTIF(C201,"L*"),COUNTIF(C201, "X*")),IF(AND(COUNTIF(C201,"*P*"),COUNTIF(C201,"*V*")),IF(COUNTIF(C201,"*R*"),SUBSTITUTE(SUBSTITUTE(C201,"P",""),"R","S")&amp; Data!BR46,SUBSTITUTE(C201,"P","")&amp; Data!BR46),IF(AND(COUNTIF(C201,"*P*"),COUNTIF(C201,"*R*")),SUBSTITUTE(C201,"R","S")&amp;Data!BR46,IF(AND(COUNTIF(C201,"*V*"),COUNTIF(C201,"*R*")),SUBSTITUTE(C201,"R","S")&amp;Data!BR46,C201 &amp; Data!BR46))),SUBSTITUTE(SUBSTITUTE(SUBSTITUTE(SUBSTITUTE(SUBSTITUTE(SUBSTITUTE(SUBSTITUTE(SUBSTITUTE(SUBSTITUTE(SUBSTITUTE(IF(AND(COUNTIF(C201,"*P*"),COUNTIF(C201,"*V*")),IF(COUNTIF(C201,"*R*"),SUBSTITUTE(SUBSTITUTE(C201,"P",""),"R","S"),SUBSTITUTE(C201,"P","")),IF(AND(COUNTIF(C201,"*P*"),COUNTIF(C201,"*R*")),SUBSTITUTE(C201,"R","S"),IF(AND(COUNTIF(C201,"*V*"),COUNTIF(C201,"*R*")),SUBSTITUTE(C201,"R","S"),C201))),"0",""),"1",""),"2",""),"3",""),"4",""),"5",""),"6",""),"7",""),"8",""),"9","")&amp; Data!BR46),"")</f>
        <v/>
      </c>
      <c r="D218" s="41" t="str">
        <f>IF(D201&lt;&gt;"",IF(OR(COUNTIF(D201,"L*"),COUNTIF(D201, "X*")),IF(AND(COUNTIF(D201,"*P*"),COUNTIF(D201,"*V*")),IF(COUNTIF(D201,"*R*"),SUBSTITUTE(SUBSTITUTE(D201,"P",""),"R","S")&amp; Data!BS46,SUBSTITUTE(D201,"P","")&amp; Data!BS46),IF(AND(COUNTIF(D201,"*P*"),COUNTIF(D201,"*R*")),SUBSTITUTE(D201,"R","S")&amp;Data!BS46,IF(AND(COUNTIF(D201,"*V*"),COUNTIF(D201,"*R*")),SUBSTITUTE(D201,"R","S")&amp;Data!BS46,D201 &amp; Data!BS46))),SUBSTITUTE(SUBSTITUTE(SUBSTITUTE(SUBSTITUTE(SUBSTITUTE(SUBSTITUTE(SUBSTITUTE(SUBSTITUTE(SUBSTITUTE(SUBSTITUTE(IF(AND(COUNTIF(D201,"*P*"),COUNTIF(D201,"*V*")),IF(COUNTIF(D201,"*R*"),SUBSTITUTE(SUBSTITUTE(D201,"P",""),"R","S"),SUBSTITUTE(D201,"P","")),IF(AND(COUNTIF(D201,"*P*"),COUNTIF(D201,"*R*")),SUBSTITUTE(D201,"R","S"),IF(AND(COUNTIF(D201,"*V*"),COUNTIF(D201,"*R*")),SUBSTITUTE(D201,"R","S"),D201))),"0",""),"1",""),"2",""),"3",""),"4",""),"5",""),"6",""),"7",""),"8",""),"9","")&amp; Data!BS46),"")</f>
        <v/>
      </c>
      <c r="E218" s="41" t="str">
        <f>IF(E201&lt;&gt;"",IF(OR(COUNTIF(E201,"L*"),COUNTIF(E201, "X*")),IF(AND(COUNTIF(E201,"*P*"),COUNTIF(E201,"*V*")),IF(COUNTIF(E201,"*R*"),SUBSTITUTE(SUBSTITUTE(E201,"P",""),"R","S")&amp; Data!BT46,SUBSTITUTE(E201,"P","")&amp; Data!BT46),IF(AND(COUNTIF(E201,"*P*"),COUNTIF(E201,"*R*")),SUBSTITUTE(E201,"R","S")&amp;Data!BT46,IF(AND(COUNTIF(E201,"*V*"),COUNTIF(E201,"*R*")),SUBSTITUTE(E201,"R","S")&amp;Data!BT46,E201 &amp; Data!BT46))),SUBSTITUTE(SUBSTITUTE(SUBSTITUTE(SUBSTITUTE(SUBSTITUTE(SUBSTITUTE(SUBSTITUTE(SUBSTITUTE(SUBSTITUTE(SUBSTITUTE(IF(AND(COUNTIF(E201,"*P*"),COUNTIF(E201,"*V*")),IF(COUNTIF(E201,"*R*"),SUBSTITUTE(SUBSTITUTE(E201,"P",""),"R","S"),SUBSTITUTE(E201,"P","")),IF(AND(COUNTIF(E201,"*P*"),COUNTIF(E201,"*R*")),SUBSTITUTE(E201,"R","S"),IF(AND(COUNTIF(E201,"*V*"),COUNTIF(E201,"*R*")),SUBSTITUTE(E201,"R","S"),E201))),"0",""),"1",""),"2",""),"3",""),"4",""),"5",""),"6",""),"7",""),"8",""),"9","")&amp; Data!BT46),"")</f>
        <v/>
      </c>
      <c r="F218" s="41" t="str">
        <f>IF(F201&lt;&gt;"",IF(OR(COUNTIF(F201,"L*"),COUNTIF(F201, "X*")),IF(AND(COUNTIF(F201,"*P*"),COUNTIF(F201,"*V*")),IF(COUNTIF(F201,"*R*"),SUBSTITUTE(SUBSTITUTE(F201,"P",""),"R","S")&amp; Data!BU46,SUBSTITUTE(F201,"P","")&amp; Data!BU46),IF(AND(COUNTIF(F201,"*P*"),COUNTIF(F201,"*R*")),SUBSTITUTE(F201,"R","S")&amp;Data!BU46,IF(AND(COUNTIF(F201,"*V*"),COUNTIF(F201,"*R*")),SUBSTITUTE(F201,"R","S")&amp;Data!BU46,F201 &amp; Data!BU46))),SUBSTITUTE(SUBSTITUTE(SUBSTITUTE(SUBSTITUTE(SUBSTITUTE(SUBSTITUTE(SUBSTITUTE(SUBSTITUTE(SUBSTITUTE(SUBSTITUTE(IF(AND(COUNTIF(F201,"*P*"),COUNTIF(F201,"*V*")),IF(COUNTIF(F201,"*R*"),SUBSTITUTE(SUBSTITUTE(F201,"P",""),"R","S"),SUBSTITUTE(F201,"P","")),IF(AND(COUNTIF(F201,"*P*"),COUNTIF(F201,"*R*")),SUBSTITUTE(F201,"R","S"),IF(AND(COUNTIF(F201,"*V*"),COUNTIF(F201,"*R*")),SUBSTITUTE(F201,"R","S"),F201))),"0",""),"1",""),"2",""),"3",""),"4",""),"5",""),"6",""),"7",""),"8",""),"9","")&amp; Data!BU46),"")</f>
        <v/>
      </c>
      <c r="G218" s="41" t="str">
        <f>IF(G201&lt;&gt;"",IF(OR(COUNTIF(G201,"L*"),COUNTIF(G201, "X*")),IF(AND(COUNTIF(G201,"*P*"),COUNTIF(G201,"*V*")),IF(COUNTIF(G201,"*R*"),SUBSTITUTE(SUBSTITUTE(G201,"P",""),"R","S")&amp; Data!BV46,SUBSTITUTE(G201,"P","")&amp; Data!BV46),IF(AND(COUNTIF(G201,"*P*"),COUNTIF(G201,"*R*")),SUBSTITUTE(G201,"R","S")&amp;Data!BV46,IF(AND(COUNTIF(G201,"*V*"),COUNTIF(G201,"*R*")),SUBSTITUTE(G201,"R","S")&amp;Data!BV46,G201 &amp; Data!BV46))),SUBSTITUTE(SUBSTITUTE(SUBSTITUTE(SUBSTITUTE(SUBSTITUTE(SUBSTITUTE(SUBSTITUTE(SUBSTITUTE(SUBSTITUTE(SUBSTITUTE(IF(AND(COUNTIF(G201,"*P*"),COUNTIF(G201,"*V*")),IF(COUNTIF(G201,"*R*"),SUBSTITUTE(SUBSTITUTE(G201,"P",""),"R","S"),SUBSTITUTE(G201,"P","")),IF(AND(COUNTIF(G201,"*P*"),COUNTIF(G201,"*R*")),SUBSTITUTE(G201,"R","S"),IF(AND(COUNTIF(G201,"*V*"),COUNTIF(G201,"*R*")),SUBSTITUTE(G201,"R","S"),G201))),"0",""),"1",""),"2",""),"3",""),"4",""),"5",""),"6",""),"7",""),"8",""),"9","")&amp; Data!BV46),"")</f>
        <v/>
      </c>
      <c r="H218" s="41" t="str">
        <f>IF(H201&lt;&gt;"",IF(OR(COUNTIF(H201,"L*"),COUNTIF(H201, "X*")),IF(AND(COUNTIF(H201,"*P*"),COUNTIF(H201,"*V*")),IF(COUNTIF(H201,"*R*"),SUBSTITUTE(SUBSTITUTE(H201,"P",""),"R","S")&amp; Data!BW46,SUBSTITUTE(H201,"P","")&amp; Data!BW46),IF(AND(COUNTIF(H201,"*P*"),COUNTIF(H201,"*R*")),SUBSTITUTE(H201,"R","S")&amp;Data!BW46,IF(AND(COUNTIF(H201,"*V*"),COUNTIF(H201,"*R*")),SUBSTITUTE(H201,"R","S")&amp;Data!BW46,H201 &amp; Data!BW46))),SUBSTITUTE(SUBSTITUTE(SUBSTITUTE(SUBSTITUTE(SUBSTITUTE(SUBSTITUTE(SUBSTITUTE(SUBSTITUTE(SUBSTITUTE(SUBSTITUTE(IF(AND(COUNTIF(H201,"*P*"),COUNTIF(H201,"*V*")),IF(COUNTIF(H201,"*R*"),SUBSTITUTE(SUBSTITUTE(H201,"P",""),"R","S"),SUBSTITUTE(H201,"P","")),IF(AND(COUNTIF(H201,"*P*"),COUNTIF(H201,"*R*")),SUBSTITUTE(H201,"R","S"),IF(AND(COUNTIF(H201,"*V*"),COUNTIF(H201,"*R*")),SUBSTITUTE(H201,"R","S"),H201))),"0",""),"1",""),"2",""),"3",""),"4",""),"5",""),"6",""),"7",""),"8",""),"9","")&amp; Data!BW46),"")</f>
        <v/>
      </c>
      <c r="I218" s="41" t="str">
        <f>IF(I201&lt;&gt;"",IF(OR(COUNTIF(I201,"L*"),COUNTIF(I201, "X*")),IF(AND(COUNTIF(I201,"*P*"),COUNTIF(I201,"*V*")),IF(COUNTIF(I201,"*R*"),SUBSTITUTE(SUBSTITUTE(I201,"P",""),"R","S")&amp; Data!BX46,SUBSTITUTE(I201,"P","")&amp; Data!BX46),IF(AND(COUNTIF(I201,"*P*"),COUNTIF(I201,"*R*")),SUBSTITUTE(I201,"R","S")&amp;Data!BX46,IF(AND(COUNTIF(I201,"*V*"),COUNTIF(I201,"*R*")),SUBSTITUTE(I201,"R","S")&amp;Data!BX46,I201 &amp; Data!BX46))),SUBSTITUTE(SUBSTITUTE(SUBSTITUTE(SUBSTITUTE(SUBSTITUTE(SUBSTITUTE(SUBSTITUTE(SUBSTITUTE(SUBSTITUTE(SUBSTITUTE(IF(AND(COUNTIF(I201,"*P*"),COUNTIF(I201,"*V*")),IF(COUNTIF(I201,"*R*"),SUBSTITUTE(SUBSTITUTE(I201,"P",""),"R","S"),SUBSTITUTE(I201,"P","")),IF(AND(COUNTIF(I201,"*P*"),COUNTIF(I201,"*R*")),SUBSTITUTE(I201,"R","S"),IF(AND(COUNTIF(I201,"*V*"),COUNTIF(I201,"*R*")),SUBSTITUTE(I201,"R","S"),I201))),"0",""),"1",""),"2",""),"3",""),"4",""),"5",""),"6",""),"7",""),"8",""),"9","")&amp; Data!BX46),"")</f>
        <v/>
      </c>
      <c r="J218" s="41" t="str">
        <f>IF(J201&lt;&gt;"",IF(OR(COUNTIF(J201,"L*"),COUNTIF(J201, "X*")),IF(AND(COUNTIF(J201,"*P*"),COUNTIF(J201,"*V*")),IF(COUNTIF(J201,"*R*"),SUBSTITUTE(SUBSTITUTE(J201,"P",""),"R","S")&amp; Data!BY46,SUBSTITUTE(J201,"P","")&amp; Data!BY46),IF(AND(COUNTIF(J201,"*P*"),COUNTIF(J201,"*R*")),SUBSTITUTE(J201,"R","S")&amp;Data!BY46,IF(AND(COUNTIF(J201,"*V*"),COUNTIF(J201,"*R*")),SUBSTITUTE(J201,"R","S")&amp;Data!BY46,J201 &amp; Data!BY46))),SUBSTITUTE(SUBSTITUTE(SUBSTITUTE(SUBSTITUTE(SUBSTITUTE(SUBSTITUTE(SUBSTITUTE(SUBSTITUTE(SUBSTITUTE(SUBSTITUTE(IF(AND(COUNTIF(J201,"*P*"),COUNTIF(J201,"*V*")),IF(COUNTIF(J201,"*R*"),SUBSTITUTE(SUBSTITUTE(J201,"P",""),"R","S"),SUBSTITUTE(J201,"P","")),IF(AND(COUNTIF(J201,"*P*"),COUNTIF(J201,"*R*")),SUBSTITUTE(J201,"R","S"),IF(AND(COUNTIF(J201,"*V*"),COUNTIF(J201,"*R*")),SUBSTITUTE(J201,"R","S"),J201))),"0",""),"1",""),"2",""),"3",""),"4",""),"5",""),"6",""),"7",""),"8",""),"9","")&amp; Data!BY46),"")</f>
        <v/>
      </c>
      <c r="K218" s="41" t="str">
        <f>IF(K201&lt;&gt;"",IF(OR(COUNTIF(K201,"L*"),COUNTIF(K201, "X*")),IF(AND(COUNTIF(K201,"*P*"),COUNTIF(K201,"*V*")),IF(COUNTIF(K201,"*R*"),SUBSTITUTE(SUBSTITUTE(K201,"P",""),"R","S")&amp; Data!BZ46,SUBSTITUTE(K201,"P","")&amp; Data!BZ46),IF(AND(COUNTIF(K201,"*P*"),COUNTIF(K201,"*R*")),SUBSTITUTE(K201,"R","S")&amp;Data!BZ46,IF(AND(COUNTIF(K201,"*V*"),COUNTIF(K201,"*R*")),SUBSTITUTE(K201,"R","S")&amp;Data!BZ46,K201 &amp; Data!BZ46))),SUBSTITUTE(SUBSTITUTE(SUBSTITUTE(SUBSTITUTE(SUBSTITUTE(SUBSTITUTE(SUBSTITUTE(SUBSTITUTE(SUBSTITUTE(SUBSTITUTE(IF(AND(COUNTIF(K201,"*P*"),COUNTIF(K201,"*V*")),IF(COUNTIF(K201,"*R*"),SUBSTITUTE(SUBSTITUTE(K201,"P",""),"R","S"),SUBSTITUTE(K201,"P","")),IF(AND(COUNTIF(K201,"*P*"),COUNTIF(K201,"*R*")),SUBSTITUTE(K201,"R","S"),IF(AND(COUNTIF(K201,"*V*"),COUNTIF(K201,"*R*")),SUBSTITUTE(K201,"R","S"),K201))),"0",""),"1",""),"2",""),"3",""),"4",""),"5",""),"6",""),"7",""),"8",""),"9","")&amp; Data!BZ46),"")</f>
        <v/>
      </c>
      <c r="L218" s="41" t="str">
        <f>IF(L201&lt;&gt;"",IF(OR(COUNTIF(L201,"L*"),COUNTIF(L201, "X*")),IF(AND(COUNTIF(L201,"*P*"),COUNTIF(L201,"*V*")),IF(COUNTIF(L201,"*R*"),SUBSTITUTE(SUBSTITUTE(L201,"P",""),"R","S")&amp; Data!CA46,SUBSTITUTE(L201,"P","")&amp; Data!CA46),IF(AND(COUNTIF(L201,"*P*"),COUNTIF(L201,"*R*")),SUBSTITUTE(L201,"R","S")&amp;Data!CA46,IF(AND(COUNTIF(L201,"*V*"),COUNTIF(L201,"*R*")),SUBSTITUTE(L201,"R","S")&amp;Data!CA46,L201 &amp; Data!CA46))),SUBSTITUTE(SUBSTITUTE(SUBSTITUTE(SUBSTITUTE(SUBSTITUTE(SUBSTITUTE(SUBSTITUTE(SUBSTITUTE(SUBSTITUTE(SUBSTITUTE(IF(AND(COUNTIF(L201,"*P*"),COUNTIF(L201,"*V*")),IF(COUNTIF(L201,"*R*"),SUBSTITUTE(SUBSTITUTE(L201,"P",""),"R","S"),SUBSTITUTE(L201,"P","")),IF(AND(COUNTIF(L201,"*P*"),COUNTIF(L201,"*R*")),SUBSTITUTE(L201,"R","S"),IF(AND(COUNTIF(L201,"*V*"),COUNTIF(L201,"*R*")),SUBSTITUTE(L201,"R","S"),L201))),"0",""),"1",""),"2",""),"3",""),"4",""),"5",""),"6",""),"7",""),"8",""),"9","")&amp; Data!CA46),"")</f>
        <v/>
      </c>
      <c r="M218" s="41" t="str">
        <f>IF(M201&lt;&gt;"",IF(OR(COUNTIF(M201,"L*"),COUNTIF(M201, "X*")),IF(AND(COUNTIF(M201,"*P*"),COUNTIF(M201,"*V*")),IF(COUNTIF(M201,"*R*"),SUBSTITUTE(SUBSTITUTE(M201,"P",""),"R","S")&amp; Data!CB46,SUBSTITUTE(M201,"P","")&amp; Data!CB46),IF(AND(COUNTIF(M201,"*P*"),COUNTIF(M201,"*R*")),SUBSTITUTE(M201,"R","S")&amp;Data!CB46,IF(AND(COUNTIF(M201,"*V*"),COUNTIF(M201,"*R*")),SUBSTITUTE(M201,"R","S")&amp;Data!CB46,M201 &amp; Data!CB46))),SUBSTITUTE(SUBSTITUTE(SUBSTITUTE(SUBSTITUTE(SUBSTITUTE(SUBSTITUTE(SUBSTITUTE(SUBSTITUTE(SUBSTITUTE(SUBSTITUTE(IF(AND(COUNTIF(M201,"*P*"),COUNTIF(M201,"*V*")),IF(COUNTIF(M201,"*R*"),SUBSTITUTE(SUBSTITUTE(M201,"P",""),"R","S"),SUBSTITUTE(M201,"P","")),IF(AND(COUNTIF(M201,"*P*"),COUNTIF(M201,"*R*")),SUBSTITUTE(M201,"R","S"),IF(AND(COUNTIF(M201,"*V*"),COUNTIF(M201,"*R*")),SUBSTITUTE(M201,"R","S"),M201))),"0",""),"1",""),"2",""),"3",""),"4",""),"5",""),"6",""),"7",""),"8",""),"9","")&amp; Data!CB46),"")</f>
        <v/>
      </c>
      <c r="N218" s="41" t="str">
        <f>IF(N201&lt;&gt;"",IF(OR(COUNTIF(N201,"L*"),COUNTIF(N201, "X*")),IF(AND(COUNTIF(N201,"*P*"),COUNTIF(N201,"*V*")),IF(COUNTIF(N201,"*R*"),SUBSTITUTE(SUBSTITUTE(N201,"P",""),"R","S")&amp; Data!CC46,SUBSTITUTE(N201,"P","")&amp; Data!CC46),IF(AND(COUNTIF(N201,"*P*"),COUNTIF(N201,"*R*")),SUBSTITUTE(N201,"R","S")&amp;Data!CC46,IF(AND(COUNTIF(N201,"*V*"),COUNTIF(N201,"*R*")),SUBSTITUTE(N201,"R","S")&amp;Data!CC46,N201 &amp; Data!CC46))),SUBSTITUTE(SUBSTITUTE(SUBSTITUTE(SUBSTITUTE(SUBSTITUTE(SUBSTITUTE(SUBSTITUTE(SUBSTITUTE(SUBSTITUTE(SUBSTITUTE(IF(AND(COUNTIF(N201,"*P*"),COUNTIF(N201,"*V*")),IF(COUNTIF(N201,"*R*"),SUBSTITUTE(SUBSTITUTE(N201,"P",""),"R","S"),SUBSTITUTE(N201,"P","")),IF(AND(COUNTIF(N201,"*P*"),COUNTIF(N201,"*R*")),SUBSTITUTE(N201,"R","S"),IF(AND(COUNTIF(N201,"*V*"),COUNTIF(N201,"*R*")),SUBSTITUTE(N201,"R","S"),N201))),"0",""),"1",""),"2",""),"3",""),"4",""),"5",""),"6",""),"7",""),"8",""),"9","")&amp; Data!CC46),"")</f>
        <v/>
      </c>
      <c r="O218" s="41" t="str">
        <f>IF(O201&lt;&gt;"",IF(OR(COUNTIF(O201,"L*"),COUNTIF(O201, "X*")),IF(AND(COUNTIF(O201,"*P*"),COUNTIF(O201,"*V*")),IF(COUNTIF(O201,"*R*"),SUBSTITUTE(SUBSTITUTE(O201,"P",""),"R","S")&amp; Data!CD46,SUBSTITUTE(O201,"P","")&amp; Data!CD46),IF(AND(COUNTIF(O201,"*P*"),COUNTIF(O201,"*R*")),SUBSTITUTE(O201,"R","S")&amp;Data!CD46,IF(AND(COUNTIF(O201,"*V*"),COUNTIF(O201,"*R*")),SUBSTITUTE(O201,"R","S")&amp;Data!CD46,O201 &amp; Data!CD46))),SUBSTITUTE(SUBSTITUTE(SUBSTITUTE(SUBSTITUTE(SUBSTITUTE(SUBSTITUTE(SUBSTITUTE(SUBSTITUTE(SUBSTITUTE(SUBSTITUTE(IF(AND(COUNTIF(O201,"*P*"),COUNTIF(O201,"*V*")),IF(COUNTIF(O201,"*R*"),SUBSTITUTE(SUBSTITUTE(O201,"P",""),"R","S"),SUBSTITUTE(O201,"P","")),IF(AND(COUNTIF(O201,"*P*"),COUNTIF(O201,"*R*")),SUBSTITUTE(O201,"R","S"),IF(AND(COUNTIF(O201,"*V*"),COUNTIF(O201,"*R*")),SUBSTITUTE(O201,"R","S"),O201))),"0",""),"1",""),"2",""),"3",""),"4",""),"5",""),"6",""),"7",""),"8",""),"9","")&amp; Data!CD46),"")</f>
        <v/>
      </c>
      <c r="P218" s="41" t="str">
        <f>IF(P201&lt;&gt;"",IF(OR(COUNTIF(P201,"L*"),COUNTIF(P201, "X*")),IF(AND(COUNTIF(P201,"*P*"),COUNTIF(P201,"*V*")),IF(COUNTIF(P201,"*R*"),SUBSTITUTE(SUBSTITUTE(P201,"P",""),"R","S")&amp; Data!CE46,SUBSTITUTE(P201,"P","")&amp; Data!CE46),IF(AND(COUNTIF(P201,"*P*"),COUNTIF(P201,"*R*")),SUBSTITUTE(P201,"R","S")&amp;Data!CE46,IF(AND(COUNTIF(P201,"*V*"),COUNTIF(P201,"*R*")),SUBSTITUTE(P201,"R","S")&amp;Data!CE46,P201 &amp; Data!CE46))),SUBSTITUTE(SUBSTITUTE(SUBSTITUTE(SUBSTITUTE(SUBSTITUTE(SUBSTITUTE(SUBSTITUTE(SUBSTITUTE(SUBSTITUTE(SUBSTITUTE(IF(AND(COUNTIF(P201,"*P*"),COUNTIF(P201,"*V*")),IF(COUNTIF(P201,"*R*"),SUBSTITUTE(SUBSTITUTE(P201,"P",""),"R","S"),SUBSTITUTE(P201,"P","")),IF(AND(COUNTIF(P201,"*P*"),COUNTIF(P201,"*R*")),SUBSTITUTE(P201,"R","S"),IF(AND(COUNTIF(P201,"*V*"),COUNTIF(P201,"*R*")),SUBSTITUTE(P201,"R","S"),P201))),"0",""),"1",""),"2",""),"3",""),"4",""),"5",""),"6",""),"7",""),"8",""),"9","")&amp; Data!CE46),"")</f>
        <v/>
      </c>
      <c r="Q218" s="41" t="str">
        <f>IF(Q201&lt;&gt;"",IF(OR(COUNTIF(Q201,"L*"),COUNTIF(Q201, "X*")),IF(AND(COUNTIF(Q201,"*P*"),COUNTIF(Q201,"*V*")),IF(COUNTIF(Q201,"*R*"),SUBSTITUTE(SUBSTITUTE(Q201,"P",""),"R","S")&amp; Data!CF46,SUBSTITUTE(Q201,"P","")&amp; Data!CF46),IF(AND(COUNTIF(Q201,"*P*"),COUNTIF(Q201,"*R*")),SUBSTITUTE(Q201,"R","S")&amp;Data!CF46,IF(AND(COUNTIF(Q201,"*V*"),COUNTIF(Q201,"*R*")),SUBSTITUTE(Q201,"R","S")&amp;Data!CF46,Q201 &amp; Data!CF46))),SUBSTITUTE(SUBSTITUTE(SUBSTITUTE(SUBSTITUTE(SUBSTITUTE(SUBSTITUTE(SUBSTITUTE(SUBSTITUTE(SUBSTITUTE(SUBSTITUTE(IF(AND(COUNTIF(Q201,"*P*"),COUNTIF(Q201,"*V*")),IF(COUNTIF(Q201,"*R*"),SUBSTITUTE(SUBSTITUTE(Q201,"P",""),"R","S"),SUBSTITUTE(Q201,"P","")),IF(AND(COUNTIF(Q201,"*P*"),COUNTIF(Q201,"*R*")),SUBSTITUTE(Q201,"R","S"),IF(AND(COUNTIF(Q201,"*V*"),COUNTIF(Q201,"*R*")),SUBSTITUTE(Q201,"R","S"),Q201))),"0",""),"1",""),"2",""),"3",""),"4",""),"5",""),"6",""),"7",""),"8",""),"9","")&amp; Data!CF46),"")</f>
        <v/>
      </c>
      <c r="R218" s="41" t="str">
        <f>IF(R201&lt;&gt;"",IF(OR(COUNTIF(R201,"L*"),COUNTIF(R201, "X*")),IF(AND(COUNTIF(R201,"*P*"),COUNTIF(R201,"*V*")),IF(COUNTIF(R201,"*R*"),SUBSTITUTE(SUBSTITUTE(R201,"P",""),"R","S")&amp; Data!CG46,SUBSTITUTE(R201,"P","")&amp; Data!CG46),IF(AND(COUNTIF(R201,"*P*"),COUNTIF(R201,"*R*")),SUBSTITUTE(R201,"R","S")&amp;Data!CG46,IF(AND(COUNTIF(R201,"*V*"),COUNTIF(R201,"*R*")),SUBSTITUTE(R201,"R","S")&amp;Data!CG46,R201 &amp; Data!CG46))),SUBSTITUTE(SUBSTITUTE(SUBSTITUTE(SUBSTITUTE(SUBSTITUTE(SUBSTITUTE(SUBSTITUTE(SUBSTITUTE(SUBSTITUTE(SUBSTITUTE(IF(AND(COUNTIF(R201,"*P*"),COUNTIF(R201,"*V*")),IF(COUNTIF(R201,"*R*"),SUBSTITUTE(SUBSTITUTE(R201,"P",""),"R","S"),SUBSTITUTE(R201,"P","")),IF(AND(COUNTIF(R201,"*P*"),COUNTIF(R201,"*R*")),SUBSTITUTE(R201,"R","S"),IF(AND(COUNTIF(R201,"*V*"),COUNTIF(R201,"*R*")),SUBSTITUTE(R201,"R","S"),R201))),"0",""),"1",""),"2",""),"3",""),"4",""),"5",""),"6",""),"7",""),"8",""),"9","")&amp; Data!CG46),"")</f>
        <v/>
      </c>
      <c r="S218" s="41" t="str">
        <f>IF(S201&lt;&gt;"",IF(OR(COUNTIF(S201,"L*"),COUNTIF(S201, "X*")),IF(AND(COUNTIF(S201,"*P*"),COUNTIF(S201,"*V*")),IF(COUNTIF(S201,"*R*"),SUBSTITUTE(SUBSTITUTE(S201,"P",""),"R","S")&amp; Data!CH46,SUBSTITUTE(S201,"P","")&amp; Data!CH46),IF(AND(COUNTIF(S201,"*P*"),COUNTIF(S201,"*R*")),SUBSTITUTE(S201,"R","S")&amp;Data!CH46,IF(AND(COUNTIF(S201,"*V*"),COUNTIF(S201,"*R*")),SUBSTITUTE(S201,"R","S")&amp;Data!CH46,S201 &amp; Data!CH46))),SUBSTITUTE(SUBSTITUTE(SUBSTITUTE(SUBSTITUTE(SUBSTITUTE(SUBSTITUTE(SUBSTITUTE(SUBSTITUTE(SUBSTITUTE(SUBSTITUTE(IF(AND(COUNTIF(S201,"*P*"),COUNTIF(S201,"*V*")),IF(COUNTIF(S201,"*R*"),SUBSTITUTE(SUBSTITUTE(S201,"P",""),"R","S"),SUBSTITUTE(S201,"P","")),IF(AND(COUNTIF(S201,"*P*"),COUNTIF(S201,"*R*")),SUBSTITUTE(S201,"R","S"),IF(AND(COUNTIF(S201,"*V*"),COUNTIF(S201,"*R*")),SUBSTITUTE(S201,"R","S"),S201))),"0",""),"1",""),"2",""),"3",""),"4",""),"5",""),"6",""),"7",""),"8",""),"9","")&amp; Data!CH46),"")</f>
        <v/>
      </c>
      <c r="T218" s="41" t="str">
        <f>IF(T201&lt;&gt;"",IF(OR(COUNTIF(T201,"L*"),COUNTIF(T201, "X*")),IF(AND(COUNTIF(T201,"*P*"),COUNTIF(T201,"*V*")),IF(COUNTIF(T201,"*R*"),SUBSTITUTE(SUBSTITUTE(T201,"P",""),"R","S")&amp; Data!CI46,SUBSTITUTE(T201,"P","")&amp; Data!CI46),IF(AND(COUNTIF(T201,"*P*"),COUNTIF(T201,"*R*")),SUBSTITUTE(T201,"R","S")&amp;Data!CI46,IF(AND(COUNTIF(T201,"*V*"),COUNTIF(T201,"*R*")),SUBSTITUTE(T201,"R","S")&amp;Data!CI46,T201 &amp; Data!CI46))),SUBSTITUTE(SUBSTITUTE(SUBSTITUTE(SUBSTITUTE(SUBSTITUTE(SUBSTITUTE(SUBSTITUTE(SUBSTITUTE(SUBSTITUTE(SUBSTITUTE(IF(AND(COUNTIF(T201,"*P*"),COUNTIF(T201,"*V*")),IF(COUNTIF(T201,"*R*"),SUBSTITUTE(SUBSTITUTE(T201,"P",""),"R","S"),SUBSTITUTE(T201,"P","")),IF(AND(COUNTIF(T201,"*P*"),COUNTIF(T201,"*R*")),SUBSTITUTE(T201,"R","S"),IF(AND(COUNTIF(T201,"*V*"),COUNTIF(T201,"*R*")),SUBSTITUTE(T201,"R","S"),T201))),"0",""),"1",""),"2",""),"3",""),"4",""),"5",""),"6",""),"7",""),"8",""),"9","")&amp; Data!CI46),"")</f>
        <v/>
      </c>
      <c r="U218" s="41" t="str">
        <f>IF(U201&lt;&gt;"",IF(OR(COUNTIF(U201,"L*"),COUNTIF(U201, "X*")),IF(AND(COUNTIF(U201,"*P*"),COUNTIF(U201,"*V*")),IF(COUNTIF(U201,"*R*"),SUBSTITUTE(SUBSTITUTE(U201,"P",""),"R","S")&amp; Data!CJ46,SUBSTITUTE(U201,"P","")&amp; Data!CJ46),IF(AND(COUNTIF(U201,"*P*"),COUNTIF(U201,"*R*")),SUBSTITUTE(U201,"R","S")&amp;Data!CJ46,IF(AND(COUNTIF(U201,"*V*"),COUNTIF(U201,"*R*")),SUBSTITUTE(U201,"R","S")&amp;Data!CJ46,U201 &amp; Data!CJ46))),SUBSTITUTE(SUBSTITUTE(SUBSTITUTE(SUBSTITUTE(SUBSTITUTE(SUBSTITUTE(SUBSTITUTE(SUBSTITUTE(SUBSTITUTE(SUBSTITUTE(IF(AND(COUNTIF(U201,"*P*"),COUNTIF(U201,"*V*")),IF(COUNTIF(U201,"*R*"),SUBSTITUTE(SUBSTITUTE(U201,"P",""),"R","S"),SUBSTITUTE(U201,"P","")),IF(AND(COUNTIF(U201,"*P*"),COUNTIF(U201,"*R*")),SUBSTITUTE(U201,"R","S"),IF(AND(COUNTIF(U201,"*V*"),COUNTIF(U201,"*R*")),SUBSTITUTE(U201,"R","S"),U201))),"0",""),"1",""),"2",""),"3",""),"4",""),"5",""),"6",""),"7",""),"8",""),"9","")&amp; Data!CJ46),"")</f>
        <v/>
      </c>
      <c r="V218" s="41" t="str">
        <f>IF(V201&lt;&gt;"",IF(OR(COUNTIF(V201,"L*"),COUNTIF(V201, "X*")),IF(AND(COUNTIF(V201,"*P*"),COUNTIF(V201,"*V*")),IF(COUNTIF(V201,"*R*"),SUBSTITUTE(SUBSTITUTE(V201,"P",""),"R","S")&amp; Data!CK46,SUBSTITUTE(V201,"P","")&amp; Data!CK46),IF(AND(COUNTIF(V201,"*P*"),COUNTIF(V201,"*R*")),SUBSTITUTE(V201,"R","S")&amp;Data!CK46,IF(AND(COUNTIF(V201,"*V*"),COUNTIF(V201,"*R*")),SUBSTITUTE(V201,"R","S")&amp;Data!CK46,V201 &amp; Data!CK46))),SUBSTITUTE(SUBSTITUTE(SUBSTITUTE(SUBSTITUTE(SUBSTITUTE(SUBSTITUTE(SUBSTITUTE(SUBSTITUTE(SUBSTITUTE(SUBSTITUTE(IF(AND(COUNTIF(V201,"*P*"),COUNTIF(V201,"*V*")),IF(COUNTIF(V201,"*R*"),SUBSTITUTE(SUBSTITUTE(V201,"P",""),"R","S"),SUBSTITUTE(V201,"P","")),IF(AND(COUNTIF(V201,"*P*"),COUNTIF(V201,"*R*")),SUBSTITUTE(V201,"R","S"),IF(AND(COUNTIF(V201,"*V*"),COUNTIF(V201,"*R*")),SUBSTITUTE(V201,"R","S"),V201))),"0",""),"1",""),"2",""),"3",""),"4",""),"5",""),"6",""),"7",""),"8",""),"9","")&amp; Data!CK46),"")</f>
        <v/>
      </c>
      <c r="W218" s="41" t="str">
        <f>IF(W201&lt;&gt;"",IF(OR(COUNTIF(W201,"L*"),COUNTIF(W201, "X*")),IF(AND(COUNTIF(W201,"*P*"),COUNTIF(W201,"*V*")),IF(COUNTIF(W201,"*R*"),SUBSTITUTE(SUBSTITUTE(W201,"P",""),"R","S")&amp; Data!CL46,SUBSTITUTE(W201,"P","")&amp; Data!CL46),IF(AND(COUNTIF(W201,"*P*"),COUNTIF(W201,"*R*")),SUBSTITUTE(W201,"R","S")&amp;Data!CL46,IF(AND(COUNTIF(W201,"*V*"),COUNTIF(W201,"*R*")),SUBSTITUTE(W201,"R","S")&amp;Data!CL46,W201 &amp; Data!CL46))),SUBSTITUTE(SUBSTITUTE(SUBSTITUTE(SUBSTITUTE(SUBSTITUTE(SUBSTITUTE(SUBSTITUTE(SUBSTITUTE(SUBSTITUTE(SUBSTITUTE(IF(AND(COUNTIF(W201,"*P*"),COUNTIF(W201,"*V*")),IF(COUNTIF(W201,"*R*"),SUBSTITUTE(SUBSTITUTE(W201,"P",""),"R","S"),SUBSTITUTE(W201,"P","")),IF(AND(COUNTIF(W201,"*P*"),COUNTIF(W201,"*R*")),SUBSTITUTE(W201,"R","S"),IF(AND(COUNTIF(W201,"*V*"),COUNTIF(W201,"*R*")),SUBSTITUTE(W201,"R","S"),W201))),"0",""),"1",""),"2",""),"3",""),"4",""),"5",""),"6",""),"7",""),"8",""),"9","")&amp; Data!CL46),"")</f>
        <v/>
      </c>
      <c r="X218" s="41" t="str">
        <f>IF(X201&lt;&gt;"",IF(OR(COUNTIF(X201,"L*"),COUNTIF(X201, "X*")),IF(AND(COUNTIF(X201,"*P*"),COUNTIF(X201,"*V*")),IF(COUNTIF(X201,"*R*"),SUBSTITUTE(SUBSTITUTE(X201,"P",""),"R","S")&amp; Data!CM46,SUBSTITUTE(X201,"P","")&amp; Data!CM46),IF(AND(COUNTIF(X201,"*P*"),COUNTIF(X201,"*R*")),SUBSTITUTE(X201,"R","S")&amp;Data!CM46,IF(AND(COUNTIF(X201,"*V*"),COUNTIF(X201,"*R*")),SUBSTITUTE(X201,"R","S")&amp;Data!CM46,X201 &amp; Data!CM46))),SUBSTITUTE(SUBSTITUTE(SUBSTITUTE(SUBSTITUTE(SUBSTITUTE(SUBSTITUTE(SUBSTITUTE(SUBSTITUTE(SUBSTITUTE(SUBSTITUTE(IF(AND(COUNTIF(X201,"*P*"),COUNTIF(X201,"*V*")),IF(COUNTIF(X201,"*R*"),SUBSTITUTE(SUBSTITUTE(X201,"P",""),"R","S"),SUBSTITUTE(X201,"P","")),IF(AND(COUNTIF(X201,"*P*"),COUNTIF(X201,"*R*")),SUBSTITUTE(X201,"R","S"),IF(AND(COUNTIF(X201,"*V*"),COUNTIF(X201,"*R*")),SUBSTITUTE(X201,"R","S"),X201))),"0",""),"1",""),"2",""),"3",""),"4",""),"5",""),"6",""),"7",""),"8",""),"9","")&amp; Data!CM46),"")</f>
        <v/>
      </c>
      <c r="Y218" s="41" t="str">
        <f>IF(Y201&lt;&gt;"",IF(OR(COUNTIF(Y201,"L*"),COUNTIF(Y201, "X*")),IF(AND(COUNTIF(Y201,"*P*"),COUNTIF(Y201,"*V*")),IF(COUNTIF(Y201,"*R*"),SUBSTITUTE(SUBSTITUTE(Y201,"P",""),"R","S")&amp; Data!CN46,SUBSTITUTE(Y201,"P","")&amp; Data!CN46),IF(AND(COUNTIF(Y201,"*P*"),COUNTIF(Y201,"*R*")),SUBSTITUTE(Y201,"R","S")&amp;Data!CN46,IF(AND(COUNTIF(Y201,"*V*"),COUNTIF(Y201,"*R*")),SUBSTITUTE(Y201,"R","S")&amp;Data!CN46,Y201 &amp; Data!CN46))),SUBSTITUTE(SUBSTITUTE(SUBSTITUTE(SUBSTITUTE(SUBSTITUTE(SUBSTITUTE(SUBSTITUTE(SUBSTITUTE(SUBSTITUTE(SUBSTITUTE(IF(AND(COUNTIF(Y201,"*P*"),COUNTIF(Y201,"*V*")),IF(COUNTIF(Y201,"*R*"),SUBSTITUTE(SUBSTITUTE(Y201,"P",""),"R","S"),SUBSTITUTE(Y201,"P","")),IF(AND(COUNTIF(Y201,"*P*"),COUNTIF(Y201,"*R*")),SUBSTITUTE(Y201,"R","S"),IF(AND(COUNTIF(Y201,"*V*"),COUNTIF(Y201,"*R*")),SUBSTITUTE(Y201,"R","S"),Y201))),"0",""),"1",""),"2",""),"3",""),"4",""),"5",""),"6",""),"7",""),"8",""),"9","")&amp; Data!CN46),"")</f>
        <v/>
      </c>
      <c r="Z218" s="41" t="str">
        <f>IF(Z201&lt;&gt;"",IF(OR(COUNTIF(Z201,"L*"),COUNTIF(Z201, "X*")),IF(AND(COUNTIF(Z201,"*P*"),COUNTIF(Z201,"*V*")),IF(COUNTIF(Z201,"*R*"),SUBSTITUTE(SUBSTITUTE(Z201,"P",""),"R","S")&amp; Data!CO46,SUBSTITUTE(Z201,"P","")&amp; Data!CO46),IF(AND(COUNTIF(Z201,"*P*"),COUNTIF(Z201,"*R*")),SUBSTITUTE(Z201,"R","S")&amp;Data!CO46,IF(AND(COUNTIF(Z201,"*V*"),COUNTIF(Z201,"*R*")),SUBSTITUTE(Z201,"R","S")&amp;Data!CO46,Z201 &amp; Data!CO46))),SUBSTITUTE(SUBSTITUTE(SUBSTITUTE(SUBSTITUTE(SUBSTITUTE(SUBSTITUTE(SUBSTITUTE(SUBSTITUTE(SUBSTITUTE(SUBSTITUTE(IF(AND(COUNTIF(Z201,"*P*"),COUNTIF(Z201,"*V*")),IF(COUNTIF(Z201,"*R*"),SUBSTITUTE(SUBSTITUTE(Z201,"P",""),"R","S"),SUBSTITUTE(Z201,"P","")),IF(AND(COUNTIF(Z201,"*P*"),COUNTIF(Z201,"*R*")),SUBSTITUTE(Z201,"R","S"),IF(AND(COUNTIF(Z201,"*V*"),COUNTIF(Z201,"*R*")),SUBSTITUTE(Z201,"R","S"),Z201))),"0",""),"1",""),"2",""),"3",""),"4",""),"5",""),"6",""),"7",""),"8",""),"9","")&amp; Data!CO46),"")</f>
        <v/>
      </c>
      <c r="AA218" s="41" t="str">
        <f>IF(AA201&lt;&gt;"",IF(OR(COUNTIF(AA201,"L*"),COUNTIF(AA201, "X*")),IF(AND(COUNTIF(AA201,"*P*"),COUNTIF(AA201,"*V*")),IF(COUNTIF(AA201,"*R*"),SUBSTITUTE(SUBSTITUTE(AA201,"P",""),"R","S")&amp; Data!CP46,SUBSTITUTE(AA201,"P","")&amp; Data!CP46),IF(AND(COUNTIF(AA201,"*P*"),COUNTIF(AA201,"*R*")),SUBSTITUTE(AA201,"R","S")&amp;Data!CP46,IF(AND(COUNTIF(AA201,"*V*"),COUNTIF(AA201,"*R*")),SUBSTITUTE(AA201,"R","S")&amp;Data!CP46,AA201 &amp; Data!CP46))),SUBSTITUTE(SUBSTITUTE(SUBSTITUTE(SUBSTITUTE(SUBSTITUTE(SUBSTITUTE(SUBSTITUTE(SUBSTITUTE(SUBSTITUTE(SUBSTITUTE(IF(AND(COUNTIF(AA201,"*P*"),COUNTIF(AA201,"*V*")),IF(COUNTIF(AA201,"*R*"),SUBSTITUTE(SUBSTITUTE(AA201,"P",""),"R","S"),SUBSTITUTE(AA201,"P","")),IF(AND(COUNTIF(AA201,"*P*"),COUNTIF(AA201,"*R*")),SUBSTITUTE(AA201,"R","S"),IF(AND(COUNTIF(AA201,"*V*"),COUNTIF(AA201,"*R*")),SUBSTITUTE(AA201,"R","S"),AA201))),"0",""),"1",""),"2",""),"3",""),"4",""),"5",""),"6",""),"7",""),"8",""),"9","")&amp; Data!CP46),"")</f>
        <v/>
      </c>
      <c r="AB218" s="41" t="str">
        <f>IF(AB201&lt;&gt;"",IF(OR(COUNTIF(AB201,"L*"),COUNTIF(AB201, "X*")),IF(AND(COUNTIF(AB201,"*P*"),COUNTIF(AB201,"*V*")),IF(COUNTIF(AB201,"*R*"),SUBSTITUTE(SUBSTITUTE(AB201,"P",""),"R","S")&amp; Data!CQ46,SUBSTITUTE(AB201,"P","")&amp; Data!CQ46),IF(AND(COUNTIF(AB201,"*P*"),COUNTIF(AB201,"*R*")),SUBSTITUTE(AB201,"R","S")&amp;Data!CQ46,IF(AND(COUNTIF(AB201,"*V*"),COUNTIF(AB201,"*R*")),SUBSTITUTE(AB201,"R","S")&amp;Data!CQ46,AB201 &amp; Data!CQ46))),SUBSTITUTE(SUBSTITUTE(SUBSTITUTE(SUBSTITUTE(SUBSTITUTE(SUBSTITUTE(SUBSTITUTE(SUBSTITUTE(SUBSTITUTE(SUBSTITUTE(IF(AND(COUNTIF(AB201,"*P*"),COUNTIF(AB201,"*V*")),IF(COUNTIF(AB201,"*R*"),SUBSTITUTE(SUBSTITUTE(AB201,"P",""),"R","S"),SUBSTITUTE(AB201,"P","")),IF(AND(COUNTIF(AB201,"*P*"),COUNTIF(AB201,"*R*")),SUBSTITUTE(AB201,"R","S"),IF(AND(COUNTIF(AB201,"*V*"),COUNTIF(AB201,"*R*")),SUBSTITUTE(AB201,"R","S"),AB201))),"0",""),"1",""),"2",""),"3",""),"4",""),"5",""),"6",""),"7",""),"8",""),"9","")&amp; Data!CQ46),"")</f>
        <v/>
      </c>
      <c r="AC218" s="41" t="str">
        <f>IF(AC201&lt;&gt;"",IF(OR(COUNTIF(AC201,"L*"),COUNTIF(AC201, "X*")),IF(AND(COUNTIF(AC201,"*P*"),COUNTIF(AC201,"*V*")),IF(COUNTIF(AC201,"*R*"),SUBSTITUTE(SUBSTITUTE(AC201,"P",""),"R","S")&amp; Data!CR46,SUBSTITUTE(AC201,"P","")&amp; Data!CR46),IF(AND(COUNTIF(AC201,"*P*"),COUNTIF(AC201,"*R*")),SUBSTITUTE(AC201,"R","S")&amp;Data!CR46,IF(AND(COUNTIF(AC201,"*V*"),COUNTIF(AC201,"*R*")),SUBSTITUTE(AC201,"R","S")&amp;Data!CR46,AC201 &amp; Data!CR46))),SUBSTITUTE(SUBSTITUTE(SUBSTITUTE(SUBSTITUTE(SUBSTITUTE(SUBSTITUTE(SUBSTITUTE(SUBSTITUTE(SUBSTITUTE(SUBSTITUTE(IF(AND(COUNTIF(AC201,"*P*"),COUNTIF(AC201,"*V*")),IF(COUNTIF(AC201,"*R*"),SUBSTITUTE(SUBSTITUTE(AC201,"P",""),"R","S"),SUBSTITUTE(AC201,"P","")),IF(AND(COUNTIF(AC201,"*P*"),COUNTIF(AC201,"*R*")),SUBSTITUTE(AC201,"R","S"),IF(AND(COUNTIF(AC201,"*V*"),COUNTIF(AC201,"*R*")),SUBSTITUTE(AC201,"R","S"),AC201))),"0",""),"1",""),"2",""),"3",""),"4",""),"5",""),"6",""),"7",""),"8",""),"9","")&amp; Data!CR46),"")</f>
        <v/>
      </c>
      <c r="AD218" s="41" t="str">
        <f>IF(AD201&lt;&gt;"",IF(OR(COUNTIF(AD201,"L*"),COUNTIF(AD201, "X*")),IF(AND(COUNTIF(AD201,"*P*"),COUNTIF(AD201,"*V*")),IF(COUNTIF(AD201,"*R*"),SUBSTITUTE(SUBSTITUTE(AD201,"P",""),"R","S")&amp; Data!CS46,SUBSTITUTE(AD201,"P","")&amp; Data!CS46),IF(AND(COUNTIF(AD201,"*P*"),COUNTIF(AD201,"*R*")),SUBSTITUTE(AD201,"R","S")&amp;Data!CS46,IF(AND(COUNTIF(AD201,"*V*"),COUNTIF(AD201,"*R*")),SUBSTITUTE(AD201,"R","S")&amp;Data!CS46,AD201 &amp; Data!CS46))),SUBSTITUTE(SUBSTITUTE(SUBSTITUTE(SUBSTITUTE(SUBSTITUTE(SUBSTITUTE(SUBSTITUTE(SUBSTITUTE(SUBSTITUTE(SUBSTITUTE(IF(AND(COUNTIF(AD201,"*P*"),COUNTIF(AD201,"*V*")),IF(COUNTIF(AD201,"*R*"),SUBSTITUTE(SUBSTITUTE(AD201,"P",""),"R","S"),SUBSTITUTE(AD201,"P","")),IF(AND(COUNTIF(AD201,"*P*"),COUNTIF(AD201,"*R*")),SUBSTITUTE(AD201,"R","S"),IF(AND(COUNTIF(AD201,"*V*"),COUNTIF(AD201,"*R*")),SUBSTITUTE(AD201,"R","S"),AD201))),"0",""),"1",""),"2",""),"3",""),"4",""),"5",""),"6",""),"7",""),"8",""),"9","")&amp; Data!CS46),"")</f>
        <v/>
      </c>
      <c r="AE218" s="41" t="str">
        <f>IF(AE201&lt;&gt;"",IF(OR(COUNTIF(AE201,"L*"),COUNTIF(AE201, "X*")),IF(AND(COUNTIF(AE201,"*P*"),COUNTIF(AE201,"*V*")),IF(COUNTIF(AE201,"*R*"),SUBSTITUTE(SUBSTITUTE(AE201,"P",""),"R","S")&amp; Data!CT46,SUBSTITUTE(AE201,"P","")&amp; Data!CT46),IF(AND(COUNTIF(AE201,"*P*"),COUNTIF(AE201,"*R*")),SUBSTITUTE(AE201,"R","S")&amp;Data!CT46,IF(AND(COUNTIF(AE201,"*V*"),COUNTIF(AE201,"*R*")),SUBSTITUTE(AE201,"R","S")&amp;Data!CT46,AE201 &amp; Data!CT46))),SUBSTITUTE(SUBSTITUTE(SUBSTITUTE(SUBSTITUTE(SUBSTITUTE(SUBSTITUTE(SUBSTITUTE(SUBSTITUTE(SUBSTITUTE(SUBSTITUTE(IF(AND(COUNTIF(AE201,"*P*"),COUNTIF(AE201,"*V*")),IF(COUNTIF(AE201,"*R*"),SUBSTITUTE(SUBSTITUTE(AE201,"P",""),"R","S"),SUBSTITUTE(AE201,"P","")),IF(AND(COUNTIF(AE201,"*P*"),COUNTIF(AE201,"*R*")),SUBSTITUTE(AE201,"R","S"),IF(AND(COUNTIF(AE201,"*V*"),COUNTIF(AE201,"*R*")),SUBSTITUTE(AE201,"R","S"),AE201))),"0",""),"1",""),"2",""),"3",""),"4",""),"5",""),"6",""),"7",""),"8",""),"9","")&amp; Data!CT46),"")</f>
        <v/>
      </c>
      <c r="AF218" s="41" t="str">
        <f>IF(AF201&lt;&gt;"",IF(OR(COUNTIF(AF201,"L*"),COUNTIF(AF201, "X*")),IF(AND(COUNTIF(AF201,"*P*"),COUNTIF(AF201,"*V*")),IF(COUNTIF(AF201,"*R*"),SUBSTITUTE(SUBSTITUTE(AF201,"P",""),"R","S")&amp; Data!CU46,SUBSTITUTE(AF201,"P","")&amp; Data!CU46),IF(AND(COUNTIF(AF201,"*P*"),COUNTIF(AF201,"*R*")),SUBSTITUTE(AF201,"R","S")&amp;Data!CU46,IF(AND(COUNTIF(AF201,"*V*"),COUNTIF(AF201,"*R*")),SUBSTITUTE(AF201,"R","S")&amp;Data!CU46,AF201 &amp; Data!CU46))),SUBSTITUTE(SUBSTITUTE(SUBSTITUTE(SUBSTITUTE(SUBSTITUTE(SUBSTITUTE(SUBSTITUTE(SUBSTITUTE(SUBSTITUTE(SUBSTITUTE(IF(AND(COUNTIF(AF201,"*P*"),COUNTIF(AF201,"*V*")),IF(COUNTIF(AF201,"*R*"),SUBSTITUTE(SUBSTITUTE(AF201,"P",""),"R","S"),SUBSTITUTE(AF201,"P","")),IF(AND(COUNTIF(AF201,"*P*"),COUNTIF(AF201,"*R*")),SUBSTITUTE(AF201,"R","S"),IF(AND(COUNTIF(AF201,"*V*"),COUNTIF(AF201,"*R*")),SUBSTITUTE(AF201,"R","S"),AF201))),"0",""),"1",""),"2",""),"3",""),"4",""),"5",""),"6",""),"7",""),"8",""),"9","")&amp; Data!CU46),"")</f>
        <v/>
      </c>
      <c r="AG218" s="41" t="str">
        <f>IF(AG201&lt;&gt;"",IF(OR(COUNTIF(AG201,"L*"),COUNTIF(AG201, "X*")),IF(AND(COUNTIF(AG201,"*P*"),COUNTIF(AG201,"*V*")),IF(COUNTIF(AG201,"*R*"),SUBSTITUTE(SUBSTITUTE(AG201,"P",""),"R","S")&amp; Data!CV46,SUBSTITUTE(AG201,"P","")&amp; Data!CV46),IF(AND(COUNTIF(AG201,"*P*"),COUNTIF(AG201,"*R*")),SUBSTITUTE(AG201,"R","S")&amp;Data!CV46,IF(AND(COUNTIF(AG201,"*V*"),COUNTIF(AG201,"*R*")),SUBSTITUTE(AG201,"R","S")&amp;Data!CV46,AG201 &amp; Data!CV46))),SUBSTITUTE(SUBSTITUTE(SUBSTITUTE(SUBSTITUTE(SUBSTITUTE(SUBSTITUTE(SUBSTITUTE(SUBSTITUTE(SUBSTITUTE(SUBSTITUTE(IF(AND(COUNTIF(AG201,"*P*"),COUNTIF(AG201,"*V*")),IF(COUNTIF(AG201,"*R*"),SUBSTITUTE(SUBSTITUTE(AG201,"P",""),"R","S"),SUBSTITUTE(AG201,"P","")),IF(AND(COUNTIF(AG201,"*P*"),COUNTIF(AG201,"*R*")),SUBSTITUTE(AG201,"R","S"),IF(AND(COUNTIF(AG201,"*V*"),COUNTIF(AG201,"*R*")),SUBSTITUTE(AG201,"R","S"),AG201))),"0",""),"1",""),"2",""),"3",""),"4",""),"5",""),"6",""),"7",""),"8",""),"9","")&amp; Data!CV46),"")</f>
        <v/>
      </c>
      <c r="AH218" s="41" t="str">
        <f>IF(AH201&lt;&gt;"",IF(OR(COUNTIF(AH201,"L*"),COUNTIF(AH201, "X*")),IF(AND(COUNTIF(AH201,"*P*"),COUNTIF(AH201,"*V*")),IF(COUNTIF(AH201,"*R*"),SUBSTITUTE(SUBSTITUTE(AH201,"P",""),"R","S")&amp; Data!CW46,SUBSTITUTE(AH201,"P","")&amp; Data!CW46),IF(AND(COUNTIF(AH201,"*P*"),COUNTIF(AH201,"*R*")),SUBSTITUTE(AH201,"R","S")&amp;Data!CW46,IF(AND(COUNTIF(AH201,"*V*"),COUNTIF(AH201,"*R*")),SUBSTITUTE(AH201,"R","S")&amp;Data!CW46,AH201 &amp; Data!CW46))),SUBSTITUTE(SUBSTITUTE(SUBSTITUTE(SUBSTITUTE(SUBSTITUTE(SUBSTITUTE(SUBSTITUTE(SUBSTITUTE(SUBSTITUTE(SUBSTITUTE(IF(AND(COUNTIF(AH201,"*P*"),COUNTIF(AH201,"*V*")),IF(COUNTIF(AH201,"*R*"),SUBSTITUTE(SUBSTITUTE(AH201,"P",""),"R","S"),SUBSTITUTE(AH201,"P","")),IF(AND(COUNTIF(AH201,"*P*"),COUNTIF(AH201,"*R*")),SUBSTITUTE(AH201,"R","S"),IF(AND(COUNTIF(AH201,"*V*"),COUNTIF(AH201,"*R*")),SUBSTITUTE(AH201,"R","S"),AH201))),"0",""),"1",""),"2",""),"3",""),"4",""),"5",""),"6",""),"7",""),"8",""),"9","")&amp; Data!CW46),"")</f>
        <v/>
      </c>
      <c r="AI218" s="41" t="str">
        <f>IF(AI201&lt;&gt;"",IF(OR(COUNTIF(AI201,"L*"),COUNTIF(AI201, "X*")),IF(AND(COUNTIF(AI201,"*P*"),COUNTIF(AI201,"*V*")),IF(COUNTIF(AI201,"*R*"),SUBSTITUTE(SUBSTITUTE(AI201,"P",""),"R","S")&amp; Data!CX46,SUBSTITUTE(AI201,"P","")&amp; Data!CX46),IF(AND(COUNTIF(AI201,"*P*"),COUNTIF(AI201,"*R*")),SUBSTITUTE(AI201,"R","S")&amp;Data!CX46,IF(AND(COUNTIF(AI201,"*V*"),COUNTIF(AI201,"*R*")),SUBSTITUTE(AI201,"R","S")&amp;Data!CX46,AI201 &amp; Data!CX46))),SUBSTITUTE(SUBSTITUTE(SUBSTITUTE(SUBSTITUTE(SUBSTITUTE(SUBSTITUTE(SUBSTITUTE(SUBSTITUTE(SUBSTITUTE(SUBSTITUTE(IF(AND(COUNTIF(AI201,"*P*"),COUNTIF(AI201,"*V*")),IF(COUNTIF(AI201,"*R*"),SUBSTITUTE(SUBSTITUTE(AI201,"P",""),"R","S"),SUBSTITUTE(AI201,"P","")),IF(AND(COUNTIF(AI201,"*P*"),COUNTIF(AI201,"*R*")),SUBSTITUTE(AI201,"R","S"),IF(AND(COUNTIF(AI201,"*V*"),COUNTIF(AI201,"*R*")),SUBSTITUTE(AI201,"R","S"),AI201))),"0",""),"1",""),"2",""),"3",""),"4",""),"5",""),"6",""),"7",""),"8",""),"9","")&amp; Data!CX46),"")</f>
        <v/>
      </c>
      <c r="AJ218" s="41" t="str">
        <f>IF(AJ201&lt;&gt;"",IF(OR(COUNTIF(AJ201,"L*"),COUNTIF(AJ201, "X*")),IF(AND(COUNTIF(AJ201,"*P*"),COUNTIF(AJ201,"*V*")),IF(COUNTIF(AJ201,"*R*"),SUBSTITUTE(SUBSTITUTE(AJ201,"P",""),"R","S")&amp; Data!CY46,SUBSTITUTE(AJ201,"P","")&amp; Data!CY46),IF(AND(COUNTIF(AJ201,"*P*"),COUNTIF(AJ201,"*R*")),SUBSTITUTE(AJ201,"R","S")&amp;Data!CY46,IF(AND(COUNTIF(AJ201,"*V*"),COUNTIF(AJ201,"*R*")),SUBSTITUTE(AJ201,"R","S")&amp;Data!CY46,AJ201 &amp; Data!CY46))),SUBSTITUTE(SUBSTITUTE(SUBSTITUTE(SUBSTITUTE(SUBSTITUTE(SUBSTITUTE(SUBSTITUTE(SUBSTITUTE(SUBSTITUTE(SUBSTITUTE(IF(AND(COUNTIF(AJ201,"*P*"),COUNTIF(AJ201,"*V*")),IF(COUNTIF(AJ201,"*R*"),SUBSTITUTE(SUBSTITUTE(AJ201,"P",""),"R","S"),SUBSTITUTE(AJ201,"P","")),IF(AND(COUNTIF(AJ201,"*P*"),COUNTIF(AJ201,"*R*")),SUBSTITUTE(AJ201,"R","S"),IF(AND(COUNTIF(AJ201,"*V*"),COUNTIF(AJ201,"*R*")),SUBSTITUTE(AJ201,"R","S"),AJ201))),"0",""),"1",""),"2",""),"3",""),"4",""),"5",""),"6",""),"7",""),"8",""),"9","")&amp; Data!CY46),"")</f>
        <v/>
      </c>
      <c r="AK218" t="str">
        <f>IF(C5&lt;&gt;"",IF(OR(COUNTIF(C5,"L*"),COUNTIF(C5, "X*")),IF(AND(COUNTIF(C5,"*P*"),COUNTIF(C5,"*V*")),IF(COUNTIF(C5,"*R*"),SUBSTITUTE(SUBSTITUTE(C5,"P",""),"R","S")&amp; LOWER(Data!BR46),SUBSTITUTE(C5,"P","")&amp; LOWER(Data!BR46)),IF(AND(COUNTIF(C5,"*P*"),COUNTIF(C5,"*R*")),SUBSTITUTE(C5,"R","S")&amp; LOWER(Data!BR46),IF(AND(COUNTIF(C5,"*V*"),COUNTIF(C5,"*R*")),SUBSTITUTE(C5,"R","S")&amp; LOWER(Data!BR46),C5 &amp; LOWER(Data!BR46)))),SUBSTITUTE(SUBSTITUTE(SUBSTITUTE(SUBSTITUTE(SUBSTITUTE(SUBSTITUTE(SUBSTITUTE(SUBSTITUTE(SUBSTITUTE(SUBSTITUTE(IF(AND(COUNTIF(C5,"*P*"),COUNTIF(C5,"*V*")),IF(COUNTIF(C5,"*R*"),SUBSTITUTE(SUBSTITUTE(C5,"P",""),"R","S"),SUBSTITUTE(C5,"P","")),IF(AND(COUNTIF(C5,"*P*"),COUNTIF(C5,"*R*")),SUBSTITUTE(C5,"R","S"),IF(AND(COUNTIF(C5,"*V*"),COUNTIF(C5,"*R*")),SUBSTITUTE(C5,"R","S"),C5))),"0",""),"1",""),"2",""),"3",""),"4",""),"5",""),"6",""),"7",""),"8",""),"9","")&amp; LOWER(Data!BR46)),"")</f>
        <v/>
      </c>
    </row>
    <row r="219" spans="1:37" ht="23.25" customHeight="1" x14ac:dyDescent="0.35">
      <c r="A219" s="1196"/>
      <c r="B219" s="22">
        <v>2</v>
      </c>
      <c r="C219" s="41" t="str">
        <f>IF(C202&lt;&gt;"",IF(OR(COUNTIF(C202,"L*"),COUNTIF(C202, "X*")),IF(AND(COUNTIF(C202,"*P*"),COUNTIF(C202,"*V*")),IF(COUNTIF(C202,"*R*"),SUBSTITUTE(SUBSTITUTE(C202,"P",""),"R","S")&amp; Data!BR47,SUBSTITUTE(C202,"P","")&amp; Data!BR47),IF(AND(COUNTIF(C202,"*P*"),COUNTIF(C202,"*R*")),SUBSTITUTE(C202,"R","S")&amp;Data!BR47,IF(AND(COUNTIF(C202,"*V*"),COUNTIF(C202,"*R*")),SUBSTITUTE(C202,"R","S")&amp;Data!BR47,C202 &amp; Data!BR47))),SUBSTITUTE(SUBSTITUTE(SUBSTITUTE(SUBSTITUTE(SUBSTITUTE(SUBSTITUTE(SUBSTITUTE(SUBSTITUTE(SUBSTITUTE(SUBSTITUTE(IF(AND(COUNTIF(C202,"*P*"),COUNTIF(C202,"*V*")),IF(COUNTIF(C202,"*R*"),SUBSTITUTE(SUBSTITUTE(C202,"P",""),"R","S"),SUBSTITUTE(C202,"P","")),IF(AND(COUNTIF(C202,"*P*"),COUNTIF(C202,"*R*")),SUBSTITUTE(C202,"R","S"),IF(AND(COUNTIF(C202,"*V*"),COUNTIF(C202,"*R*")),SUBSTITUTE(C202,"R","S"),C202))),"0",""),"1",""),"2",""),"3",""),"4",""),"5",""),"6",""),"7",""),"8",""),"9","")&amp; Data!BR47),"")</f>
        <v/>
      </c>
      <c r="D219" s="41" t="str">
        <f>IF(D202&lt;&gt;"",IF(OR(COUNTIF(D202,"L*"),COUNTIF(D202, "X*")),IF(AND(COUNTIF(D202,"*P*"),COUNTIF(D202,"*V*")),IF(COUNTIF(D202,"*R*"),SUBSTITUTE(SUBSTITUTE(D202,"P",""),"R","S")&amp; Data!BS47,SUBSTITUTE(D202,"P","")&amp; Data!BS47),IF(AND(COUNTIF(D202,"*P*"),COUNTIF(D202,"*R*")),SUBSTITUTE(D202,"R","S")&amp;Data!BS47,IF(AND(COUNTIF(D202,"*V*"),COUNTIF(D202,"*R*")),SUBSTITUTE(D202,"R","S")&amp;Data!BS47,D202 &amp; Data!BS47))),SUBSTITUTE(SUBSTITUTE(SUBSTITUTE(SUBSTITUTE(SUBSTITUTE(SUBSTITUTE(SUBSTITUTE(SUBSTITUTE(SUBSTITUTE(SUBSTITUTE(IF(AND(COUNTIF(D202,"*P*"),COUNTIF(D202,"*V*")),IF(COUNTIF(D202,"*R*"),SUBSTITUTE(SUBSTITUTE(D202,"P",""),"R","S"),SUBSTITUTE(D202,"P","")),IF(AND(COUNTIF(D202,"*P*"),COUNTIF(D202,"*R*")),SUBSTITUTE(D202,"R","S"),IF(AND(COUNTIF(D202,"*V*"),COUNTIF(D202,"*R*")),SUBSTITUTE(D202,"R","S"),D202))),"0",""),"1",""),"2",""),"3",""),"4",""),"5",""),"6",""),"7",""),"8",""),"9","")&amp; Data!BS47),"")</f>
        <v/>
      </c>
      <c r="E219" s="41" t="str">
        <f>IF(E202&lt;&gt;"",IF(OR(COUNTIF(E202,"L*"),COUNTIF(E202, "X*")),IF(AND(COUNTIF(E202,"*P*"),COUNTIF(E202,"*V*")),IF(COUNTIF(E202,"*R*"),SUBSTITUTE(SUBSTITUTE(E202,"P",""),"R","S")&amp; Data!BT47,SUBSTITUTE(E202,"P","")&amp; Data!BT47),IF(AND(COUNTIF(E202,"*P*"),COUNTIF(E202,"*R*")),SUBSTITUTE(E202,"R","S")&amp;Data!BT47,IF(AND(COUNTIF(E202,"*V*"),COUNTIF(E202,"*R*")),SUBSTITUTE(E202,"R","S")&amp;Data!BT47,E202 &amp; Data!BT47))),SUBSTITUTE(SUBSTITUTE(SUBSTITUTE(SUBSTITUTE(SUBSTITUTE(SUBSTITUTE(SUBSTITUTE(SUBSTITUTE(SUBSTITUTE(SUBSTITUTE(IF(AND(COUNTIF(E202,"*P*"),COUNTIF(E202,"*V*")),IF(COUNTIF(E202,"*R*"),SUBSTITUTE(SUBSTITUTE(E202,"P",""),"R","S"),SUBSTITUTE(E202,"P","")),IF(AND(COUNTIF(E202,"*P*"),COUNTIF(E202,"*R*")),SUBSTITUTE(E202,"R","S"),IF(AND(COUNTIF(E202,"*V*"),COUNTIF(E202,"*R*")),SUBSTITUTE(E202,"R","S"),E202))),"0",""),"1",""),"2",""),"3",""),"4",""),"5",""),"6",""),"7",""),"8",""),"9","")&amp; Data!BT47),"")</f>
        <v/>
      </c>
      <c r="F219" s="41" t="str">
        <f>IF(F202&lt;&gt;"",IF(OR(COUNTIF(F202,"L*"),COUNTIF(F202, "X*")),IF(AND(COUNTIF(F202,"*P*"),COUNTIF(F202,"*V*")),IF(COUNTIF(F202,"*R*"),SUBSTITUTE(SUBSTITUTE(F202,"P",""),"R","S")&amp; Data!BU47,SUBSTITUTE(F202,"P","")&amp; Data!BU47),IF(AND(COUNTIF(F202,"*P*"),COUNTIF(F202,"*R*")),SUBSTITUTE(F202,"R","S")&amp;Data!BU47,IF(AND(COUNTIF(F202,"*V*"),COUNTIF(F202,"*R*")),SUBSTITUTE(F202,"R","S")&amp;Data!BU47,F202 &amp; Data!BU47))),SUBSTITUTE(SUBSTITUTE(SUBSTITUTE(SUBSTITUTE(SUBSTITUTE(SUBSTITUTE(SUBSTITUTE(SUBSTITUTE(SUBSTITUTE(SUBSTITUTE(IF(AND(COUNTIF(F202,"*P*"),COUNTIF(F202,"*V*")),IF(COUNTIF(F202,"*R*"),SUBSTITUTE(SUBSTITUTE(F202,"P",""),"R","S"),SUBSTITUTE(F202,"P","")),IF(AND(COUNTIF(F202,"*P*"),COUNTIF(F202,"*R*")),SUBSTITUTE(F202,"R","S"),IF(AND(COUNTIF(F202,"*V*"),COUNTIF(F202,"*R*")),SUBSTITUTE(F202,"R","S"),F202))),"0",""),"1",""),"2",""),"3",""),"4",""),"5",""),"6",""),"7",""),"8",""),"9","")&amp; Data!BU47),"")</f>
        <v/>
      </c>
      <c r="G219" s="41" t="str">
        <f>IF(G202&lt;&gt;"",IF(OR(COUNTIF(G202,"L*"),COUNTIF(G202, "X*")),IF(AND(COUNTIF(G202,"*P*"),COUNTIF(G202,"*V*")),IF(COUNTIF(G202,"*R*"),SUBSTITUTE(SUBSTITUTE(G202,"P",""),"R","S")&amp; Data!BV47,SUBSTITUTE(G202,"P","")&amp; Data!BV47),IF(AND(COUNTIF(G202,"*P*"),COUNTIF(G202,"*R*")),SUBSTITUTE(G202,"R","S")&amp;Data!BV47,IF(AND(COUNTIF(G202,"*V*"),COUNTIF(G202,"*R*")),SUBSTITUTE(G202,"R","S")&amp;Data!BV47,G202 &amp; Data!BV47))),SUBSTITUTE(SUBSTITUTE(SUBSTITUTE(SUBSTITUTE(SUBSTITUTE(SUBSTITUTE(SUBSTITUTE(SUBSTITUTE(SUBSTITUTE(SUBSTITUTE(IF(AND(COUNTIF(G202,"*P*"),COUNTIF(G202,"*V*")),IF(COUNTIF(G202,"*R*"),SUBSTITUTE(SUBSTITUTE(G202,"P",""),"R","S"),SUBSTITUTE(G202,"P","")),IF(AND(COUNTIF(G202,"*P*"),COUNTIF(G202,"*R*")),SUBSTITUTE(G202,"R","S"),IF(AND(COUNTIF(G202,"*V*"),COUNTIF(G202,"*R*")),SUBSTITUTE(G202,"R","S"),G202))),"0",""),"1",""),"2",""),"3",""),"4",""),"5",""),"6",""),"7",""),"8",""),"9","")&amp; Data!BV47),"")</f>
        <v/>
      </c>
      <c r="H219" s="41" t="str">
        <f>IF(H202&lt;&gt;"",IF(OR(COUNTIF(H202,"L*"),COUNTIF(H202, "X*")),IF(AND(COUNTIF(H202,"*P*"),COUNTIF(H202,"*V*")),IF(COUNTIF(H202,"*R*"),SUBSTITUTE(SUBSTITUTE(H202,"P",""),"R","S")&amp; Data!BW47,SUBSTITUTE(H202,"P","")&amp; Data!BW47),IF(AND(COUNTIF(H202,"*P*"),COUNTIF(H202,"*R*")),SUBSTITUTE(H202,"R","S")&amp;Data!BW47,IF(AND(COUNTIF(H202,"*V*"),COUNTIF(H202,"*R*")),SUBSTITUTE(H202,"R","S")&amp;Data!BW47,H202 &amp; Data!BW47))),SUBSTITUTE(SUBSTITUTE(SUBSTITUTE(SUBSTITUTE(SUBSTITUTE(SUBSTITUTE(SUBSTITUTE(SUBSTITUTE(SUBSTITUTE(SUBSTITUTE(IF(AND(COUNTIF(H202,"*P*"),COUNTIF(H202,"*V*")),IF(COUNTIF(H202,"*R*"),SUBSTITUTE(SUBSTITUTE(H202,"P",""),"R","S"),SUBSTITUTE(H202,"P","")),IF(AND(COUNTIF(H202,"*P*"),COUNTIF(H202,"*R*")),SUBSTITUTE(H202,"R","S"),IF(AND(COUNTIF(H202,"*V*"),COUNTIF(H202,"*R*")),SUBSTITUTE(H202,"R","S"),H202))),"0",""),"1",""),"2",""),"3",""),"4",""),"5",""),"6",""),"7",""),"8",""),"9","")&amp; Data!BW47),"")</f>
        <v/>
      </c>
      <c r="I219" s="41" t="str">
        <f>IF(I202&lt;&gt;"",IF(OR(COUNTIF(I202,"L*"),COUNTIF(I202, "X*")),IF(AND(COUNTIF(I202,"*P*"),COUNTIF(I202,"*V*")),IF(COUNTIF(I202,"*R*"),SUBSTITUTE(SUBSTITUTE(I202,"P",""),"R","S")&amp; Data!BX47,SUBSTITUTE(I202,"P","")&amp; Data!BX47),IF(AND(COUNTIF(I202,"*P*"),COUNTIF(I202,"*R*")),SUBSTITUTE(I202,"R","S")&amp;Data!BX47,IF(AND(COUNTIF(I202,"*V*"),COUNTIF(I202,"*R*")),SUBSTITUTE(I202,"R","S")&amp;Data!BX47,I202 &amp; Data!BX47))),SUBSTITUTE(SUBSTITUTE(SUBSTITUTE(SUBSTITUTE(SUBSTITUTE(SUBSTITUTE(SUBSTITUTE(SUBSTITUTE(SUBSTITUTE(SUBSTITUTE(IF(AND(COUNTIF(I202,"*P*"),COUNTIF(I202,"*V*")),IF(COUNTIF(I202,"*R*"),SUBSTITUTE(SUBSTITUTE(I202,"P",""),"R","S"),SUBSTITUTE(I202,"P","")),IF(AND(COUNTIF(I202,"*P*"),COUNTIF(I202,"*R*")),SUBSTITUTE(I202,"R","S"),IF(AND(COUNTIF(I202,"*V*"),COUNTIF(I202,"*R*")),SUBSTITUTE(I202,"R","S"),I202))),"0",""),"1",""),"2",""),"3",""),"4",""),"5",""),"6",""),"7",""),"8",""),"9","")&amp; Data!BX47),"")</f>
        <v/>
      </c>
      <c r="J219" s="41" t="str">
        <f>IF(J202&lt;&gt;"",IF(OR(COUNTIF(J202,"L*"),COUNTIF(J202, "X*")),IF(AND(COUNTIF(J202,"*P*"),COUNTIF(J202,"*V*")),IF(COUNTIF(J202,"*R*"),SUBSTITUTE(SUBSTITUTE(J202,"P",""),"R","S")&amp; Data!BY47,SUBSTITUTE(J202,"P","")&amp; Data!BY47),IF(AND(COUNTIF(J202,"*P*"),COUNTIF(J202,"*R*")),SUBSTITUTE(J202,"R","S")&amp;Data!BY47,IF(AND(COUNTIF(J202,"*V*"),COUNTIF(J202,"*R*")),SUBSTITUTE(J202,"R","S")&amp;Data!BY47,J202 &amp; Data!BY47))),SUBSTITUTE(SUBSTITUTE(SUBSTITUTE(SUBSTITUTE(SUBSTITUTE(SUBSTITUTE(SUBSTITUTE(SUBSTITUTE(SUBSTITUTE(SUBSTITUTE(IF(AND(COUNTIF(J202,"*P*"),COUNTIF(J202,"*V*")),IF(COUNTIF(J202,"*R*"),SUBSTITUTE(SUBSTITUTE(J202,"P",""),"R","S"),SUBSTITUTE(J202,"P","")),IF(AND(COUNTIF(J202,"*P*"),COUNTIF(J202,"*R*")),SUBSTITUTE(J202,"R","S"),IF(AND(COUNTIF(J202,"*V*"),COUNTIF(J202,"*R*")),SUBSTITUTE(J202,"R","S"),J202))),"0",""),"1",""),"2",""),"3",""),"4",""),"5",""),"6",""),"7",""),"8",""),"9","")&amp; Data!BY47),"")</f>
        <v/>
      </c>
      <c r="K219" s="41" t="str">
        <f>IF(K202&lt;&gt;"",IF(OR(COUNTIF(K202,"L*"),COUNTIF(K202, "X*")),IF(AND(COUNTIF(K202,"*P*"),COUNTIF(K202,"*V*")),IF(COUNTIF(K202,"*R*"),SUBSTITUTE(SUBSTITUTE(K202,"P",""),"R","S")&amp; Data!BZ47,SUBSTITUTE(K202,"P","")&amp; Data!BZ47),IF(AND(COUNTIF(K202,"*P*"),COUNTIF(K202,"*R*")),SUBSTITUTE(K202,"R","S")&amp;Data!BZ47,IF(AND(COUNTIF(K202,"*V*"),COUNTIF(K202,"*R*")),SUBSTITUTE(K202,"R","S")&amp;Data!BZ47,K202 &amp; Data!BZ47))),SUBSTITUTE(SUBSTITUTE(SUBSTITUTE(SUBSTITUTE(SUBSTITUTE(SUBSTITUTE(SUBSTITUTE(SUBSTITUTE(SUBSTITUTE(SUBSTITUTE(IF(AND(COUNTIF(K202,"*P*"),COUNTIF(K202,"*V*")),IF(COUNTIF(K202,"*R*"),SUBSTITUTE(SUBSTITUTE(K202,"P",""),"R","S"),SUBSTITUTE(K202,"P","")),IF(AND(COUNTIF(K202,"*P*"),COUNTIF(K202,"*R*")),SUBSTITUTE(K202,"R","S"),IF(AND(COUNTIF(K202,"*V*"),COUNTIF(K202,"*R*")),SUBSTITUTE(K202,"R","S"),K202))),"0",""),"1",""),"2",""),"3",""),"4",""),"5",""),"6",""),"7",""),"8",""),"9","")&amp; Data!BZ47),"")</f>
        <v/>
      </c>
      <c r="L219" s="41" t="str">
        <f>IF(L202&lt;&gt;"",IF(OR(COUNTIF(L202,"L*"),COUNTIF(L202, "X*")),IF(AND(COUNTIF(L202,"*P*"),COUNTIF(L202,"*V*")),IF(COUNTIF(L202,"*R*"),SUBSTITUTE(SUBSTITUTE(L202,"P",""),"R","S")&amp; Data!CA47,SUBSTITUTE(L202,"P","")&amp; Data!CA47),IF(AND(COUNTIF(L202,"*P*"),COUNTIF(L202,"*R*")),SUBSTITUTE(L202,"R","S")&amp;Data!CA47,IF(AND(COUNTIF(L202,"*V*"),COUNTIF(L202,"*R*")),SUBSTITUTE(L202,"R","S")&amp;Data!CA47,L202 &amp; Data!CA47))),SUBSTITUTE(SUBSTITUTE(SUBSTITUTE(SUBSTITUTE(SUBSTITUTE(SUBSTITUTE(SUBSTITUTE(SUBSTITUTE(SUBSTITUTE(SUBSTITUTE(IF(AND(COUNTIF(L202,"*P*"),COUNTIF(L202,"*V*")),IF(COUNTIF(L202,"*R*"),SUBSTITUTE(SUBSTITUTE(L202,"P",""),"R","S"),SUBSTITUTE(L202,"P","")),IF(AND(COUNTIF(L202,"*P*"),COUNTIF(L202,"*R*")),SUBSTITUTE(L202,"R","S"),IF(AND(COUNTIF(L202,"*V*"),COUNTIF(L202,"*R*")),SUBSTITUTE(L202,"R","S"),L202))),"0",""),"1",""),"2",""),"3",""),"4",""),"5",""),"6",""),"7",""),"8",""),"9","")&amp; Data!CA47),"")</f>
        <v/>
      </c>
      <c r="M219" s="41" t="str">
        <f>IF(M202&lt;&gt;"",IF(OR(COUNTIF(M202,"L*"),COUNTIF(M202, "X*")),IF(AND(COUNTIF(M202,"*P*"),COUNTIF(M202,"*V*")),IF(COUNTIF(M202,"*R*"),SUBSTITUTE(SUBSTITUTE(M202,"P",""),"R","S")&amp; Data!CB47,SUBSTITUTE(M202,"P","")&amp; Data!CB47),IF(AND(COUNTIF(M202,"*P*"),COUNTIF(M202,"*R*")),SUBSTITUTE(M202,"R","S")&amp;Data!CB47,IF(AND(COUNTIF(M202,"*V*"),COUNTIF(M202,"*R*")),SUBSTITUTE(M202,"R","S")&amp;Data!CB47,M202 &amp; Data!CB47))),SUBSTITUTE(SUBSTITUTE(SUBSTITUTE(SUBSTITUTE(SUBSTITUTE(SUBSTITUTE(SUBSTITUTE(SUBSTITUTE(SUBSTITUTE(SUBSTITUTE(IF(AND(COUNTIF(M202,"*P*"),COUNTIF(M202,"*V*")),IF(COUNTIF(M202,"*R*"),SUBSTITUTE(SUBSTITUTE(M202,"P",""),"R","S"),SUBSTITUTE(M202,"P","")),IF(AND(COUNTIF(M202,"*P*"),COUNTIF(M202,"*R*")),SUBSTITUTE(M202,"R","S"),IF(AND(COUNTIF(M202,"*V*"),COUNTIF(M202,"*R*")),SUBSTITUTE(M202,"R","S"),M202))),"0",""),"1",""),"2",""),"3",""),"4",""),"5",""),"6",""),"7",""),"8",""),"9","")&amp; Data!CB47),"")</f>
        <v/>
      </c>
      <c r="N219" s="41" t="str">
        <f>IF(N202&lt;&gt;"",IF(OR(COUNTIF(N202,"L*"),COUNTIF(N202, "X*")),IF(AND(COUNTIF(N202,"*P*"),COUNTIF(N202,"*V*")),IF(COUNTIF(N202,"*R*"),SUBSTITUTE(SUBSTITUTE(N202,"P",""),"R","S")&amp; Data!CC47,SUBSTITUTE(N202,"P","")&amp; Data!CC47),IF(AND(COUNTIF(N202,"*P*"),COUNTIF(N202,"*R*")),SUBSTITUTE(N202,"R","S")&amp;Data!CC47,IF(AND(COUNTIF(N202,"*V*"),COUNTIF(N202,"*R*")),SUBSTITUTE(N202,"R","S")&amp;Data!CC47,N202 &amp; Data!CC47))),SUBSTITUTE(SUBSTITUTE(SUBSTITUTE(SUBSTITUTE(SUBSTITUTE(SUBSTITUTE(SUBSTITUTE(SUBSTITUTE(SUBSTITUTE(SUBSTITUTE(IF(AND(COUNTIF(N202,"*P*"),COUNTIF(N202,"*V*")),IF(COUNTIF(N202,"*R*"),SUBSTITUTE(SUBSTITUTE(N202,"P",""),"R","S"),SUBSTITUTE(N202,"P","")),IF(AND(COUNTIF(N202,"*P*"),COUNTIF(N202,"*R*")),SUBSTITUTE(N202,"R","S"),IF(AND(COUNTIF(N202,"*V*"),COUNTIF(N202,"*R*")),SUBSTITUTE(N202,"R","S"),N202))),"0",""),"1",""),"2",""),"3",""),"4",""),"5",""),"6",""),"7",""),"8",""),"9","")&amp; Data!CC47),"")</f>
        <v/>
      </c>
      <c r="O219" s="41" t="str">
        <f>IF(O202&lt;&gt;"",IF(OR(COUNTIF(O202,"L*"),COUNTIF(O202, "X*")),IF(AND(COUNTIF(O202,"*P*"),COUNTIF(O202,"*V*")),IF(COUNTIF(O202,"*R*"),SUBSTITUTE(SUBSTITUTE(O202,"P",""),"R","S")&amp; Data!CD47,SUBSTITUTE(O202,"P","")&amp; Data!CD47),IF(AND(COUNTIF(O202,"*P*"),COUNTIF(O202,"*R*")),SUBSTITUTE(O202,"R","S")&amp;Data!CD47,IF(AND(COUNTIF(O202,"*V*"),COUNTIF(O202,"*R*")),SUBSTITUTE(O202,"R","S")&amp;Data!CD47,O202 &amp; Data!CD47))),SUBSTITUTE(SUBSTITUTE(SUBSTITUTE(SUBSTITUTE(SUBSTITUTE(SUBSTITUTE(SUBSTITUTE(SUBSTITUTE(SUBSTITUTE(SUBSTITUTE(IF(AND(COUNTIF(O202,"*P*"),COUNTIF(O202,"*V*")),IF(COUNTIF(O202,"*R*"),SUBSTITUTE(SUBSTITUTE(O202,"P",""),"R","S"),SUBSTITUTE(O202,"P","")),IF(AND(COUNTIF(O202,"*P*"),COUNTIF(O202,"*R*")),SUBSTITUTE(O202,"R","S"),IF(AND(COUNTIF(O202,"*V*"),COUNTIF(O202,"*R*")),SUBSTITUTE(O202,"R","S"),O202))),"0",""),"1",""),"2",""),"3",""),"4",""),"5",""),"6",""),"7",""),"8",""),"9","")&amp; Data!CD47),"")</f>
        <v/>
      </c>
      <c r="P219" s="41" t="str">
        <f>IF(P202&lt;&gt;"",IF(OR(COUNTIF(P202,"L*"),COUNTIF(P202, "X*")),IF(AND(COUNTIF(P202,"*P*"),COUNTIF(P202,"*V*")),IF(COUNTIF(P202,"*R*"),SUBSTITUTE(SUBSTITUTE(P202,"P",""),"R","S")&amp; Data!CE47,SUBSTITUTE(P202,"P","")&amp; Data!CE47),IF(AND(COUNTIF(P202,"*P*"),COUNTIF(P202,"*R*")),SUBSTITUTE(P202,"R","S")&amp;Data!CE47,IF(AND(COUNTIF(P202,"*V*"),COUNTIF(P202,"*R*")),SUBSTITUTE(P202,"R","S")&amp;Data!CE47,P202 &amp; Data!CE47))),SUBSTITUTE(SUBSTITUTE(SUBSTITUTE(SUBSTITUTE(SUBSTITUTE(SUBSTITUTE(SUBSTITUTE(SUBSTITUTE(SUBSTITUTE(SUBSTITUTE(IF(AND(COUNTIF(P202,"*P*"),COUNTIF(P202,"*V*")),IF(COUNTIF(P202,"*R*"),SUBSTITUTE(SUBSTITUTE(P202,"P",""),"R","S"),SUBSTITUTE(P202,"P","")),IF(AND(COUNTIF(P202,"*P*"),COUNTIF(P202,"*R*")),SUBSTITUTE(P202,"R","S"),IF(AND(COUNTIF(P202,"*V*"),COUNTIF(P202,"*R*")),SUBSTITUTE(P202,"R","S"),P202))),"0",""),"1",""),"2",""),"3",""),"4",""),"5",""),"6",""),"7",""),"8",""),"9","")&amp; Data!CE47),"")</f>
        <v/>
      </c>
      <c r="Q219" s="41" t="str">
        <f>IF(Q202&lt;&gt;"",IF(OR(COUNTIF(Q202,"L*"),COUNTIF(Q202, "X*")),IF(AND(COUNTIF(Q202,"*P*"),COUNTIF(Q202,"*V*")),IF(COUNTIF(Q202,"*R*"),SUBSTITUTE(SUBSTITUTE(Q202,"P",""),"R","S")&amp; Data!CF47,SUBSTITUTE(Q202,"P","")&amp; Data!CF47),IF(AND(COUNTIF(Q202,"*P*"),COUNTIF(Q202,"*R*")),SUBSTITUTE(Q202,"R","S")&amp;Data!CF47,IF(AND(COUNTIF(Q202,"*V*"),COUNTIF(Q202,"*R*")),SUBSTITUTE(Q202,"R","S")&amp;Data!CF47,Q202 &amp; Data!CF47))),SUBSTITUTE(SUBSTITUTE(SUBSTITUTE(SUBSTITUTE(SUBSTITUTE(SUBSTITUTE(SUBSTITUTE(SUBSTITUTE(SUBSTITUTE(SUBSTITUTE(IF(AND(COUNTIF(Q202,"*P*"),COUNTIF(Q202,"*V*")),IF(COUNTIF(Q202,"*R*"),SUBSTITUTE(SUBSTITUTE(Q202,"P",""),"R","S"),SUBSTITUTE(Q202,"P","")),IF(AND(COUNTIF(Q202,"*P*"),COUNTIF(Q202,"*R*")),SUBSTITUTE(Q202,"R","S"),IF(AND(COUNTIF(Q202,"*V*"),COUNTIF(Q202,"*R*")),SUBSTITUTE(Q202,"R","S"),Q202))),"0",""),"1",""),"2",""),"3",""),"4",""),"5",""),"6",""),"7",""),"8",""),"9","")&amp; Data!CF47),"")</f>
        <v/>
      </c>
      <c r="R219" s="41" t="str">
        <f>IF(R202&lt;&gt;"",IF(OR(COUNTIF(R202,"L*"),COUNTIF(R202, "X*")),IF(AND(COUNTIF(R202,"*P*"),COUNTIF(R202,"*V*")),IF(COUNTIF(R202,"*R*"),SUBSTITUTE(SUBSTITUTE(R202,"P",""),"R","S")&amp; Data!CG47,SUBSTITUTE(R202,"P","")&amp; Data!CG47),IF(AND(COUNTIF(R202,"*P*"),COUNTIF(R202,"*R*")),SUBSTITUTE(R202,"R","S")&amp;Data!CG47,IF(AND(COUNTIF(R202,"*V*"),COUNTIF(R202,"*R*")),SUBSTITUTE(R202,"R","S")&amp;Data!CG47,R202 &amp; Data!CG47))),SUBSTITUTE(SUBSTITUTE(SUBSTITUTE(SUBSTITUTE(SUBSTITUTE(SUBSTITUTE(SUBSTITUTE(SUBSTITUTE(SUBSTITUTE(SUBSTITUTE(IF(AND(COUNTIF(R202,"*P*"),COUNTIF(R202,"*V*")),IF(COUNTIF(R202,"*R*"),SUBSTITUTE(SUBSTITUTE(R202,"P",""),"R","S"),SUBSTITUTE(R202,"P","")),IF(AND(COUNTIF(R202,"*P*"),COUNTIF(R202,"*R*")),SUBSTITUTE(R202,"R","S"),IF(AND(COUNTIF(R202,"*V*"),COUNTIF(R202,"*R*")),SUBSTITUTE(R202,"R","S"),R202))),"0",""),"1",""),"2",""),"3",""),"4",""),"5",""),"6",""),"7",""),"8",""),"9","")&amp; Data!CG47),"")</f>
        <v/>
      </c>
      <c r="S219" s="41" t="str">
        <f>IF(S202&lt;&gt;"",IF(OR(COUNTIF(S202,"L*"),COUNTIF(S202, "X*")),IF(AND(COUNTIF(S202,"*P*"),COUNTIF(S202,"*V*")),IF(COUNTIF(S202,"*R*"),SUBSTITUTE(SUBSTITUTE(S202,"P",""),"R","S")&amp; Data!CH47,SUBSTITUTE(S202,"P","")&amp; Data!CH47),IF(AND(COUNTIF(S202,"*P*"),COUNTIF(S202,"*R*")),SUBSTITUTE(S202,"R","S")&amp;Data!CH47,IF(AND(COUNTIF(S202,"*V*"),COUNTIF(S202,"*R*")),SUBSTITUTE(S202,"R","S")&amp;Data!CH47,S202 &amp; Data!CH47))),SUBSTITUTE(SUBSTITUTE(SUBSTITUTE(SUBSTITUTE(SUBSTITUTE(SUBSTITUTE(SUBSTITUTE(SUBSTITUTE(SUBSTITUTE(SUBSTITUTE(IF(AND(COUNTIF(S202,"*P*"),COUNTIF(S202,"*V*")),IF(COUNTIF(S202,"*R*"),SUBSTITUTE(SUBSTITUTE(S202,"P",""),"R","S"),SUBSTITUTE(S202,"P","")),IF(AND(COUNTIF(S202,"*P*"),COUNTIF(S202,"*R*")),SUBSTITUTE(S202,"R","S"),IF(AND(COUNTIF(S202,"*V*"),COUNTIF(S202,"*R*")),SUBSTITUTE(S202,"R","S"),S202))),"0",""),"1",""),"2",""),"3",""),"4",""),"5",""),"6",""),"7",""),"8",""),"9","")&amp; Data!CH47),"")</f>
        <v/>
      </c>
      <c r="T219" s="41" t="str">
        <f>IF(T202&lt;&gt;"",IF(OR(COUNTIF(T202,"L*"),COUNTIF(T202, "X*")),IF(AND(COUNTIF(T202,"*P*"),COUNTIF(T202,"*V*")),IF(COUNTIF(T202,"*R*"),SUBSTITUTE(SUBSTITUTE(T202,"P",""),"R","S")&amp; Data!CI47,SUBSTITUTE(T202,"P","")&amp; Data!CI47),IF(AND(COUNTIF(T202,"*P*"),COUNTIF(T202,"*R*")),SUBSTITUTE(T202,"R","S")&amp;Data!CI47,IF(AND(COUNTIF(T202,"*V*"),COUNTIF(T202,"*R*")),SUBSTITUTE(T202,"R","S")&amp;Data!CI47,T202 &amp; Data!CI47))),SUBSTITUTE(SUBSTITUTE(SUBSTITUTE(SUBSTITUTE(SUBSTITUTE(SUBSTITUTE(SUBSTITUTE(SUBSTITUTE(SUBSTITUTE(SUBSTITUTE(IF(AND(COUNTIF(T202,"*P*"),COUNTIF(T202,"*V*")),IF(COUNTIF(T202,"*R*"),SUBSTITUTE(SUBSTITUTE(T202,"P",""),"R","S"),SUBSTITUTE(T202,"P","")),IF(AND(COUNTIF(T202,"*P*"),COUNTIF(T202,"*R*")),SUBSTITUTE(T202,"R","S"),IF(AND(COUNTIF(T202,"*V*"),COUNTIF(T202,"*R*")),SUBSTITUTE(T202,"R","S"),T202))),"0",""),"1",""),"2",""),"3",""),"4",""),"5",""),"6",""),"7",""),"8",""),"9","")&amp; Data!CI47),"")</f>
        <v/>
      </c>
      <c r="U219" s="41" t="str">
        <f>IF(U202&lt;&gt;"",IF(OR(COUNTIF(U202,"L*"),COUNTIF(U202, "X*")),IF(AND(COUNTIF(U202,"*P*"),COUNTIF(U202,"*V*")),IF(COUNTIF(U202,"*R*"),SUBSTITUTE(SUBSTITUTE(U202,"P",""),"R","S")&amp; Data!CJ47,SUBSTITUTE(U202,"P","")&amp; Data!CJ47),IF(AND(COUNTIF(U202,"*P*"),COUNTIF(U202,"*R*")),SUBSTITUTE(U202,"R","S")&amp;Data!CJ47,IF(AND(COUNTIF(U202,"*V*"),COUNTIF(U202,"*R*")),SUBSTITUTE(U202,"R","S")&amp;Data!CJ47,U202 &amp; Data!CJ47))),SUBSTITUTE(SUBSTITUTE(SUBSTITUTE(SUBSTITUTE(SUBSTITUTE(SUBSTITUTE(SUBSTITUTE(SUBSTITUTE(SUBSTITUTE(SUBSTITUTE(IF(AND(COUNTIF(U202,"*P*"),COUNTIF(U202,"*V*")),IF(COUNTIF(U202,"*R*"),SUBSTITUTE(SUBSTITUTE(U202,"P",""),"R","S"),SUBSTITUTE(U202,"P","")),IF(AND(COUNTIF(U202,"*P*"),COUNTIF(U202,"*R*")),SUBSTITUTE(U202,"R","S"),IF(AND(COUNTIF(U202,"*V*"),COUNTIF(U202,"*R*")),SUBSTITUTE(U202,"R","S"),U202))),"0",""),"1",""),"2",""),"3",""),"4",""),"5",""),"6",""),"7",""),"8",""),"9","")&amp; Data!CJ47),"")</f>
        <v/>
      </c>
      <c r="V219" s="41" t="str">
        <f>IF(V202&lt;&gt;"",IF(OR(COUNTIF(V202,"L*"),COUNTIF(V202, "X*")),IF(AND(COUNTIF(V202,"*P*"),COUNTIF(V202,"*V*")),IF(COUNTIF(V202,"*R*"),SUBSTITUTE(SUBSTITUTE(V202,"P",""),"R","S")&amp; Data!CK47,SUBSTITUTE(V202,"P","")&amp; Data!CK47),IF(AND(COUNTIF(V202,"*P*"),COUNTIF(V202,"*R*")),SUBSTITUTE(V202,"R","S")&amp;Data!CK47,IF(AND(COUNTIF(V202,"*V*"),COUNTIF(V202,"*R*")),SUBSTITUTE(V202,"R","S")&amp;Data!CK47,V202 &amp; Data!CK47))),SUBSTITUTE(SUBSTITUTE(SUBSTITUTE(SUBSTITUTE(SUBSTITUTE(SUBSTITUTE(SUBSTITUTE(SUBSTITUTE(SUBSTITUTE(SUBSTITUTE(IF(AND(COUNTIF(V202,"*P*"),COUNTIF(V202,"*V*")),IF(COUNTIF(V202,"*R*"),SUBSTITUTE(SUBSTITUTE(V202,"P",""),"R","S"),SUBSTITUTE(V202,"P","")),IF(AND(COUNTIF(V202,"*P*"),COUNTIF(V202,"*R*")),SUBSTITUTE(V202,"R","S"),IF(AND(COUNTIF(V202,"*V*"),COUNTIF(V202,"*R*")),SUBSTITUTE(V202,"R","S"),V202))),"0",""),"1",""),"2",""),"3",""),"4",""),"5",""),"6",""),"7",""),"8",""),"9","")&amp; Data!CK47),"")</f>
        <v/>
      </c>
      <c r="W219" s="41" t="str">
        <f>IF(W202&lt;&gt;"",IF(OR(COUNTIF(W202,"L*"),COUNTIF(W202, "X*")),IF(AND(COUNTIF(W202,"*P*"),COUNTIF(W202,"*V*")),IF(COUNTIF(W202,"*R*"),SUBSTITUTE(SUBSTITUTE(W202,"P",""),"R","S")&amp; Data!CL47,SUBSTITUTE(W202,"P","")&amp; Data!CL47),IF(AND(COUNTIF(W202,"*P*"),COUNTIF(W202,"*R*")),SUBSTITUTE(W202,"R","S")&amp;Data!CL47,IF(AND(COUNTIF(W202,"*V*"),COUNTIF(W202,"*R*")),SUBSTITUTE(W202,"R","S")&amp;Data!CL47,W202 &amp; Data!CL47))),SUBSTITUTE(SUBSTITUTE(SUBSTITUTE(SUBSTITUTE(SUBSTITUTE(SUBSTITUTE(SUBSTITUTE(SUBSTITUTE(SUBSTITUTE(SUBSTITUTE(IF(AND(COUNTIF(W202,"*P*"),COUNTIF(W202,"*V*")),IF(COUNTIF(W202,"*R*"),SUBSTITUTE(SUBSTITUTE(W202,"P",""),"R","S"),SUBSTITUTE(W202,"P","")),IF(AND(COUNTIF(W202,"*P*"),COUNTIF(W202,"*R*")),SUBSTITUTE(W202,"R","S"),IF(AND(COUNTIF(W202,"*V*"),COUNTIF(W202,"*R*")),SUBSTITUTE(W202,"R","S"),W202))),"0",""),"1",""),"2",""),"3",""),"4",""),"5",""),"6",""),"7",""),"8",""),"9","")&amp; Data!CL47),"")</f>
        <v/>
      </c>
      <c r="X219" s="41" t="str">
        <f>IF(X202&lt;&gt;"",IF(OR(COUNTIF(X202,"L*"),COUNTIF(X202, "X*")),IF(AND(COUNTIF(X202,"*P*"),COUNTIF(X202,"*V*")),IF(COUNTIF(X202,"*R*"),SUBSTITUTE(SUBSTITUTE(X202,"P",""),"R","S")&amp; Data!CM47,SUBSTITUTE(X202,"P","")&amp; Data!CM47),IF(AND(COUNTIF(X202,"*P*"),COUNTIF(X202,"*R*")),SUBSTITUTE(X202,"R","S")&amp;Data!CM47,IF(AND(COUNTIF(X202,"*V*"),COUNTIF(X202,"*R*")),SUBSTITUTE(X202,"R","S")&amp;Data!CM47,X202 &amp; Data!CM47))),SUBSTITUTE(SUBSTITUTE(SUBSTITUTE(SUBSTITUTE(SUBSTITUTE(SUBSTITUTE(SUBSTITUTE(SUBSTITUTE(SUBSTITUTE(SUBSTITUTE(IF(AND(COUNTIF(X202,"*P*"),COUNTIF(X202,"*V*")),IF(COUNTIF(X202,"*R*"),SUBSTITUTE(SUBSTITUTE(X202,"P",""),"R","S"),SUBSTITUTE(X202,"P","")),IF(AND(COUNTIF(X202,"*P*"),COUNTIF(X202,"*R*")),SUBSTITUTE(X202,"R","S"),IF(AND(COUNTIF(X202,"*V*"),COUNTIF(X202,"*R*")),SUBSTITUTE(X202,"R","S"),X202))),"0",""),"1",""),"2",""),"3",""),"4",""),"5",""),"6",""),"7",""),"8",""),"9","")&amp; Data!CM47),"")</f>
        <v/>
      </c>
      <c r="Y219" s="41" t="str">
        <f>IF(Y202&lt;&gt;"",IF(OR(COUNTIF(Y202,"L*"),COUNTIF(Y202, "X*")),IF(AND(COUNTIF(Y202,"*P*"),COUNTIF(Y202,"*V*")),IF(COUNTIF(Y202,"*R*"),SUBSTITUTE(SUBSTITUTE(Y202,"P",""),"R","S")&amp; Data!CN47,SUBSTITUTE(Y202,"P","")&amp; Data!CN47),IF(AND(COUNTIF(Y202,"*P*"),COUNTIF(Y202,"*R*")),SUBSTITUTE(Y202,"R","S")&amp;Data!CN47,IF(AND(COUNTIF(Y202,"*V*"),COUNTIF(Y202,"*R*")),SUBSTITUTE(Y202,"R","S")&amp;Data!CN47,Y202 &amp; Data!CN47))),SUBSTITUTE(SUBSTITUTE(SUBSTITUTE(SUBSTITUTE(SUBSTITUTE(SUBSTITUTE(SUBSTITUTE(SUBSTITUTE(SUBSTITUTE(SUBSTITUTE(IF(AND(COUNTIF(Y202,"*P*"),COUNTIF(Y202,"*V*")),IF(COUNTIF(Y202,"*R*"),SUBSTITUTE(SUBSTITUTE(Y202,"P",""),"R","S"),SUBSTITUTE(Y202,"P","")),IF(AND(COUNTIF(Y202,"*P*"),COUNTIF(Y202,"*R*")),SUBSTITUTE(Y202,"R","S"),IF(AND(COUNTIF(Y202,"*V*"),COUNTIF(Y202,"*R*")),SUBSTITUTE(Y202,"R","S"),Y202))),"0",""),"1",""),"2",""),"3",""),"4",""),"5",""),"6",""),"7",""),"8",""),"9","")&amp; Data!CN47),"")</f>
        <v/>
      </c>
      <c r="Z219" s="41" t="str">
        <f>IF(Z202&lt;&gt;"",IF(OR(COUNTIF(Z202,"L*"),COUNTIF(Z202, "X*")),IF(AND(COUNTIF(Z202,"*P*"),COUNTIF(Z202,"*V*")),IF(COUNTIF(Z202,"*R*"),SUBSTITUTE(SUBSTITUTE(Z202,"P",""),"R","S")&amp; Data!CO47,SUBSTITUTE(Z202,"P","")&amp; Data!CO47),IF(AND(COUNTIF(Z202,"*P*"),COUNTIF(Z202,"*R*")),SUBSTITUTE(Z202,"R","S")&amp;Data!CO47,IF(AND(COUNTIF(Z202,"*V*"),COUNTIF(Z202,"*R*")),SUBSTITUTE(Z202,"R","S")&amp;Data!CO47,Z202 &amp; Data!CO47))),SUBSTITUTE(SUBSTITUTE(SUBSTITUTE(SUBSTITUTE(SUBSTITUTE(SUBSTITUTE(SUBSTITUTE(SUBSTITUTE(SUBSTITUTE(SUBSTITUTE(IF(AND(COUNTIF(Z202,"*P*"),COUNTIF(Z202,"*V*")),IF(COUNTIF(Z202,"*R*"),SUBSTITUTE(SUBSTITUTE(Z202,"P",""),"R","S"),SUBSTITUTE(Z202,"P","")),IF(AND(COUNTIF(Z202,"*P*"),COUNTIF(Z202,"*R*")),SUBSTITUTE(Z202,"R","S"),IF(AND(COUNTIF(Z202,"*V*"),COUNTIF(Z202,"*R*")),SUBSTITUTE(Z202,"R","S"),Z202))),"0",""),"1",""),"2",""),"3",""),"4",""),"5",""),"6",""),"7",""),"8",""),"9","")&amp; Data!CO47),"")</f>
        <v/>
      </c>
      <c r="AA219" s="41" t="str">
        <f>IF(AA202&lt;&gt;"",IF(OR(COUNTIF(AA202,"L*"),COUNTIF(AA202, "X*")),IF(AND(COUNTIF(AA202,"*P*"),COUNTIF(AA202,"*V*")),IF(COUNTIF(AA202,"*R*"),SUBSTITUTE(SUBSTITUTE(AA202,"P",""),"R","S")&amp; Data!CP47,SUBSTITUTE(AA202,"P","")&amp; Data!CP47),IF(AND(COUNTIF(AA202,"*P*"),COUNTIF(AA202,"*R*")),SUBSTITUTE(AA202,"R","S")&amp;Data!CP47,IF(AND(COUNTIF(AA202,"*V*"),COUNTIF(AA202,"*R*")),SUBSTITUTE(AA202,"R","S")&amp;Data!CP47,AA202 &amp; Data!CP47))),SUBSTITUTE(SUBSTITUTE(SUBSTITUTE(SUBSTITUTE(SUBSTITUTE(SUBSTITUTE(SUBSTITUTE(SUBSTITUTE(SUBSTITUTE(SUBSTITUTE(IF(AND(COUNTIF(AA202,"*P*"),COUNTIF(AA202,"*V*")),IF(COUNTIF(AA202,"*R*"),SUBSTITUTE(SUBSTITUTE(AA202,"P",""),"R","S"),SUBSTITUTE(AA202,"P","")),IF(AND(COUNTIF(AA202,"*P*"),COUNTIF(AA202,"*R*")),SUBSTITUTE(AA202,"R","S"),IF(AND(COUNTIF(AA202,"*V*"),COUNTIF(AA202,"*R*")),SUBSTITUTE(AA202,"R","S"),AA202))),"0",""),"1",""),"2",""),"3",""),"4",""),"5",""),"6",""),"7",""),"8",""),"9","")&amp; Data!CP47),"")</f>
        <v/>
      </c>
      <c r="AB219" s="41" t="str">
        <f>IF(AB202&lt;&gt;"",IF(OR(COUNTIF(AB202,"L*"),COUNTIF(AB202, "X*")),IF(AND(COUNTIF(AB202,"*P*"),COUNTIF(AB202,"*V*")),IF(COUNTIF(AB202,"*R*"),SUBSTITUTE(SUBSTITUTE(AB202,"P",""),"R","S")&amp; Data!CQ47,SUBSTITUTE(AB202,"P","")&amp; Data!CQ47),IF(AND(COUNTIF(AB202,"*P*"),COUNTIF(AB202,"*R*")),SUBSTITUTE(AB202,"R","S")&amp;Data!CQ47,IF(AND(COUNTIF(AB202,"*V*"),COUNTIF(AB202,"*R*")),SUBSTITUTE(AB202,"R","S")&amp;Data!CQ47,AB202 &amp; Data!CQ47))),SUBSTITUTE(SUBSTITUTE(SUBSTITUTE(SUBSTITUTE(SUBSTITUTE(SUBSTITUTE(SUBSTITUTE(SUBSTITUTE(SUBSTITUTE(SUBSTITUTE(IF(AND(COUNTIF(AB202,"*P*"),COUNTIF(AB202,"*V*")),IF(COUNTIF(AB202,"*R*"),SUBSTITUTE(SUBSTITUTE(AB202,"P",""),"R","S"),SUBSTITUTE(AB202,"P","")),IF(AND(COUNTIF(AB202,"*P*"),COUNTIF(AB202,"*R*")),SUBSTITUTE(AB202,"R","S"),IF(AND(COUNTIF(AB202,"*V*"),COUNTIF(AB202,"*R*")),SUBSTITUTE(AB202,"R","S"),AB202))),"0",""),"1",""),"2",""),"3",""),"4",""),"5",""),"6",""),"7",""),"8",""),"9","")&amp; Data!CQ47),"")</f>
        <v/>
      </c>
      <c r="AC219" s="41" t="str">
        <f>IF(AC202&lt;&gt;"",IF(OR(COUNTIF(AC202,"L*"),COUNTIF(AC202, "X*")),IF(AND(COUNTIF(AC202,"*P*"),COUNTIF(AC202,"*V*")),IF(COUNTIF(AC202,"*R*"),SUBSTITUTE(SUBSTITUTE(AC202,"P",""),"R","S")&amp; Data!CR47,SUBSTITUTE(AC202,"P","")&amp; Data!CR47),IF(AND(COUNTIF(AC202,"*P*"),COUNTIF(AC202,"*R*")),SUBSTITUTE(AC202,"R","S")&amp;Data!CR47,IF(AND(COUNTIF(AC202,"*V*"),COUNTIF(AC202,"*R*")),SUBSTITUTE(AC202,"R","S")&amp;Data!CR47,AC202 &amp; Data!CR47))),SUBSTITUTE(SUBSTITUTE(SUBSTITUTE(SUBSTITUTE(SUBSTITUTE(SUBSTITUTE(SUBSTITUTE(SUBSTITUTE(SUBSTITUTE(SUBSTITUTE(IF(AND(COUNTIF(AC202,"*P*"),COUNTIF(AC202,"*V*")),IF(COUNTIF(AC202,"*R*"),SUBSTITUTE(SUBSTITUTE(AC202,"P",""),"R","S"),SUBSTITUTE(AC202,"P","")),IF(AND(COUNTIF(AC202,"*P*"),COUNTIF(AC202,"*R*")),SUBSTITUTE(AC202,"R","S"),IF(AND(COUNTIF(AC202,"*V*"),COUNTIF(AC202,"*R*")),SUBSTITUTE(AC202,"R","S"),AC202))),"0",""),"1",""),"2",""),"3",""),"4",""),"5",""),"6",""),"7",""),"8",""),"9","")&amp; Data!CR47),"")</f>
        <v/>
      </c>
      <c r="AD219" s="41" t="str">
        <f>IF(AD202&lt;&gt;"",IF(OR(COUNTIF(AD202,"L*"),COUNTIF(AD202, "X*")),IF(AND(COUNTIF(AD202,"*P*"),COUNTIF(AD202,"*V*")),IF(COUNTIF(AD202,"*R*"),SUBSTITUTE(SUBSTITUTE(AD202,"P",""),"R","S")&amp; Data!CS47,SUBSTITUTE(AD202,"P","")&amp; Data!CS47),IF(AND(COUNTIF(AD202,"*P*"),COUNTIF(AD202,"*R*")),SUBSTITUTE(AD202,"R","S")&amp;Data!CS47,IF(AND(COUNTIF(AD202,"*V*"),COUNTIF(AD202,"*R*")),SUBSTITUTE(AD202,"R","S")&amp;Data!CS47,AD202 &amp; Data!CS47))),SUBSTITUTE(SUBSTITUTE(SUBSTITUTE(SUBSTITUTE(SUBSTITUTE(SUBSTITUTE(SUBSTITUTE(SUBSTITUTE(SUBSTITUTE(SUBSTITUTE(IF(AND(COUNTIF(AD202,"*P*"),COUNTIF(AD202,"*V*")),IF(COUNTIF(AD202,"*R*"),SUBSTITUTE(SUBSTITUTE(AD202,"P",""),"R","S"),SUBSTITUTE(AD202,"P","")),IF(AND(COUNTIF(AD202,"*P*"),COUNTIF(AD202,"*R*")),SUBSTITUTE(AD202,"R","S"),IF(AND(COUNTIF(AD202,"*V*"),COUNTIF(AD202,"*R*")),SUBSTITUTE(AD202,"R","S"),AD202))),"0",""),"1",""),"2",""),"3",""),"4",""),"5",""),"6",""),"7",""),"8",""),"9","")&amp; Data!CS47),"")</f>
        <v/>
      </c>
      <c r="AE219" s="41" t="str">
        <f>IF(AE202&lt;&gt;"",IF(OR(COUNTIF(AE202,"L*"),COUNTIF(AE202, "X*")),IF(AND(COUNTIF(AE202,"*P*"),COUNTIF(AE202,"*V*")),IF(COUNTIF(AE202,"*R*"),SUBSTITUTE(SUBSTITUTE(AE202,"P",""),"R","S")&amp; Data!CT47,SUBSTITUTE(AE202,"P","")&amp; Data!CT47),IF(AND(COUNTIF(AE202,"*P*"),COUNTIF(AE202,"*R*")),SUBSTITUTE(AE202,"R","S")&amp;Data!CT47,IF(AND(COUNTIF(AE202,"*V*"),COUNTIF(AE202,"*R*")),SUBSTITUTE(AE202,"R","S")&amp;Data!CT47,AE202 &amp; Data!CT47))),SUBSTITUTE(SUBSTITUTE(SUBSTITUTE(SUBSTITUTE(SUBSTITUTE(SUBSTITUTE(SUBSTITUTE(SUBSTITUTE(SUBSTITUTE(SUBSTITUTE(IF(AND(COUNTIF(AE202,"*P*"),COUNTIF(AE202,"*V*")),IF(COUNTIF(AE202,"*R*"),SUBSTITUTE(SUBSTITUTE(AE202,"P",""),"R","S"),SUBSTITUTE(AE202,"P","")),IF(AND(COUNTIF(AE202,"*P*"),COUNTIF(AE202,"*R*")),SUBSTITUTE(AE202,"R","S"),IF(AND(COUNTIF(AE202,"*V*"),COUNTIF(AE202,"*R*")),SUBSTITUTE(AE202,"R","S"),AE202))),"0",""),"1",""),"2",""),"3",""),"4",""),"5",""),"6",""),"7",""),"8",""),"9","")&amp; Data!CT47),"")</f>
        <v/>
      </c>
      <c r="AF219" s="41" t="str">
        <f>IF(AF202&lt;&gt;"",IF(OR(COUNTIF(AF202,"L*"),COUNTIF(AF202, "X*")),IF(AND(COUNTIF(AF202,"*P*"),COUNTIF(AF202,"*V*")),IF(COUNTIF(AF202,"*R*"),SUBSTITUTE(SUBSTITUTE(AF202,"P",""),"R","S")&amp; Data!CU47,SUBSTITUTE(AF202,"P","")&amp; Data!CU47),IF(AND(COUNTIF(AF202,"*P*"),COUNTIF(AF202,"*R*")),SUBSTITUTE(AF202,"R","S")&amp;Data!CU47,IF(AND(COUNTIF(AF202,"*V*"),COUNTIF(AF202,"*R*")),SUBSTITUTE(AF202,"R","S")&amp;Data!CU47,AF202 &amp; Data!CU47))),SUBSTITUTE(SUBSTITUTE(SUBSTITUTE(SUBSTITUTE(SUBSTITUTE(SUBSTITUTE(SUBSTITUTE(SUBSTITUTE(SUBSTITUTE(SUBSTITUTE(IF(AND(COUNTIF(AF202,"*P*"),COUNTIF(AF202,"*V*")),IF(COUNTIF(AF202,"*R*"),SUBSTITUTE(SUBSTITUTE(AF202,"P",""),"R","S"),SUBSTITUTE(AF202,"P","")),IF(AND(COUNTIF(AF202,"*P*"),COUNTIF(AF202,"*R*")),SUBSTITUTE(AF202,"R","S"),IF(AND(COUNTIF(AF202,"*V*"),COUNTIF(AF202,"*R*")),SUBSTITUTE(AF202,"R","S"),AF202))),"0",""),"1",""),"2",""),"3",""),"4",""),"5",""),"6",""),"7",""),"8",""),"9","")&amp; Data!CU47),"")</f>
        <v/>
      </c>
      <c r="AG219" s="41" t="str">
        <f>IF(AG202&lt;&gt;"",IF(OR(COUNTIF(AG202,"L*"),COUNTIF(AG202, "X*")),IF(AND(COUNTIF(AG202,"*P*"),COUNTIF(AG202,"*V*")),IF(COUNTIF(AG202,"*R*"),SUBSTITUTE(SUBSTITUTE(AG202,"P",""),"R","S")&amp; Data!CV47,SUBSTITUTE(AG202,"P","")&amp; Data!CV47),IF(AND(COUNTIF(AG202,"*P*"),COUNTIF(AG202,"*R*")),SUBSTITUTE(AG202,"R","S")&amp;Data!CV47,IF(AND(COUNTIF(AG202,"*V*"),COUNTIF(AG202,"*R*")),SUBSTITUTE(AG202,"R","S")&amp;Data!CV47,AG202 &amp; Data!CV47))),SUBSTITUTE(SUBSTITUTE(SUBSTITUTE(SUBSTITUTE(SUBSTITUTE(SUBSTITUTE(SUBSTITUTE(SUBSTITUTE(SUBSTITUTE(SUBSTITUTE(IF(AND(COUNTIF(AG202,"*P*"),COUNTIF(AG202,"*V*")),IF(COUNTIF(AG202,"*R*"),SUBSTITUTE(SUBSTITUTE(AG202,"P",""),"R","S"),SUBSTITUTE(AG202,"P","")),IF(AND(COUNTIF(AG202,"*P*"),COUNTIF(AG202,"*R*")),SUBSTITUTE(AG202,"R","S"),IF(AND(COUNTIF(AG202,"*V*"),COUNTIF(AG202,"*R*")),SUBSTITUTE(AG202,"R","S"),AG202))),"0",""),"1",""),"2",""),"3",""),"4",""),"5",""),"6",""),"7",""),"8",""),"9","")&amp; Data!CV47),"")</f>
        <v/>
      </c>
      <c r="AH219" s="41" t="str">
        <f>IF(AH202&lt;&gt;"",IF(OR(COUNTIF(AH202,"L*"),COUNTIF(AH202, "X*")),IF(AND(COUNTIF(AH202,"*P*"),COUNTIF(AH202,"*V*")),IF(COUNTIF(AH202,"*R*"),SUBSTITUTE(SUBSTITUTE(AH202,"P",""),"R","S")&amp; Data!CW47,SUBSTITUTE(AH202,"P","")&amp; Data!CW47),IF(AND(COUNTIF(AH202,"*P*"),COUNTIF(AH202,"*R*")),SUBSTITUTE(AH202,"R","S")&amp;Data!CW47,IF(AND(COUNTIF(AH202,"*V*"),COUNTIF(AH202,"*R*")),SUBSTITUTE(AH202,"R","S")&amp;Data!CW47,AH202 &amp; Data!CW47))),SUBSTITUTE(SUBSTITUTE(SUBSTITUTE(SUBSTITUTE(SUBSTITUTE(SUBSTITUTE(SUBSTITUTE(SUBSTITUTE(SUBSTITUTE(SUBSTITUTE(IF(AND(COUNTIF(AH202,"*P*"),COUNTIF(AH202,"*V*")),IF(COUNTIF(AH202,"*R*"),SUBSTITUTE(SUBSTITUTE(AH202,"P",""),"R","S"),SUBSTITUTE(AH202,"P","")),IF(AND(COUNTIF(AH202,"*P*"),COUNTIF(AH202,"*R*")),SUBSTITUTE(AH202,"R","S"),IF(AND(COUNTIF(AH202,"*V*"),COUNTIF(AH202,"*R*")),SUBSTITUTE(AH202,"R","S"),AH202))),"0",""),"1",""),"2",""),"3",""),"4",""),"5",""),"6",""),"7",""),"8",""),"9","")&amp; Data!CW47),"")</f>
        <v/>
      </c>
      <c r="AI219" s="41" t="str">
        <f>IF(AI202&lt;&gt;"",IF(OR(COUNTIF(AI202,"L*"),COUNTIF(AI202, "X*")),IF(AND(COUNTIF(AI202,"*P*"),COUNTIF(AI202,"*V*")),IF(COUNTIF(AI202,"*R*"),SUBSTITUTE(SUBSTITUTE(AI202,"P",""),"R","S")&amp; Data!CX47,SUBSTITUTE(AI202,"P","")&amp; Data!CX47),IF(AND(COUNTIF(AI202,"*P*"),COUNTIF(AI202,"*R*")),SUBSTITUTE(AI202,"R","S")&amp;Data!CX47,IF(AND(COUNTIF(AI202,"*V*"),COUNTIF(AI202,"*R*")),SUBSTITUTE(AI202,"R","S")&amp;Data!CX47,AI202 &amp; Data!CX47))),SUBSTITUTE(SUBSTITUTE(SUBSTITUTE(SUBSTITUTE(SUBSTITUTE(SUBSTITUTE(SUBSTITUTE(SUBSTITUTE(SUBSTITUTE(SUBSTITUTE(IF(AND(COUNTIF(AI202,"*P*"),COUNTIF(AI202,"*V*")),IF(COUNTIF(AI202,"*R*"),SUBSTITUTE(SUBSTITUTE(AI202,"P",""),"R","S"),SUBSTITUTE(AI202,"P","")),IF(AND(COUNTIF(AI202,"*P*"),COUNTIF(AI202,"*R*")),SUBSTITUTE(AI202,"R","S"),IF(AND(COUNTIF(AI202,"*V*"),COUNTIF(AI202,"*R*")),SUBSTITUTE(AI202,"R","S"),AI202))),"0",""),"1",""),"2",""),"3",""),"4",""),"5",""),"6",""),"7",""),"8",""),"9","")&amp; Data!CX47),"")</f>
        <v/>
      </c>
      <c r="AJ219" s="41" t="str">
        <f>IF(AJ202&lt;&gt;"",IF(OR(COUNTIF(AJ202,"L*"),COUNTIF(AJ202, "X*")),IF(AND(COUNTIF(AJ202,"*P*"),COUNTIF(AJ202,"*V*")),IF(COUNTIF(AJ202,"*R*"),SUBSTITUTE(SUBSTITUTE(AJ202,"P",""),"R","S")&amp; Data!CY47,SUBSTITUTE(AJ202,"P","")&amp; Data!CY47),IF(AND(COUNTIF(AJ202,"*P*"),COUNTIF(AJ202,"*R*")),SUBSTITUTE(AJ202,"R","S")&amp;Data!CY47,IF(AND(COUNTIF(AJ202,"*V*"),COUNTIF(AJ202,"*R*")),SUBSTITUTE(AJ202,"R","S")&amp;Data!CY47,AJ202 &amp; Data!CY47))),SUBSTITUTE(SUBSTITUTE(SUBSTITUTE(SUBSTITUTE(SUBSTITUTE(SUBSTITUTE(SUBSTITUTE(SUBSTITUTE(SUBSTITUTE(SUBSTITUTE(IF(AND(COUNTIF(AJ202,"*P*"),COUNTIF(AJ202,"*V*")),IF(COUNTIF(AJ202,"*R*"),SUBSTITUTE(SUBSTITUTE(AJ202,"P",""),"R","S"),SUBSTITUTE(AJ202,"P","")),IF(AND(COUNTIF(AJ202,"*P*"),COUNTIF(AJ202,"*R*")),SUBSTITUTE(AJ202,"R","S"),IF(AND(COUNTIF(AJ202,"*V*"),COUNTIF(AJ202,"*R*")),SUBSTITUTE(AJ202,"R","S"),AJ202))),"0",""),"1",""),"2",""),"3",""),"4",""),"5",""),"6",""),"7",""),"8",""),"9","")&amp; Data!CY47),"")</f>
        <v/>
      </c>
    </row>
    <row r="220" spans="1:37" ht="23.25" customHeight="1" x14ac:dyDescent="0.35">
      <c r="A220" s="1196"/>
      <c r="B220" s="22">
        <v>3</v>
      </c>
      <c r="C220" s="41" t="str">
        <f>IF(C203&lt;&gt;"",IF(OR(COUNTIF(C203,"L*"),COUNTIF(C203, "X*")),IF(AND(COUNTIF(C203,"*P*"),COUNTIF(C203,"*V*")),IF(COUNTIF(C203,"*R*"),SUBSTITUTE(SUBSTITUTE(C203,"P",""),"R","S")&amp; Data!BR48,SUBSTITUTE(C203,"P","")&amp; Data!BR48),IF(AND(COUNTIF(C203,"*P*"),COUNTIF(C203,"*R*")),SUBSTITUTE(C203,"R","S")&amp;Data!BR48,IF(AND(COUNTIF(C203,"*V*"),COUNTIF(C203,"*R*")),SUBSTITUTE(C203,"R","S")&amp;Data!BR48,C203 &amp; Data!BR48))),SUBSTITUTE(SUBSTITUTE(SUBSTITUTE(SUBSTITUTE(SUBSTITUTE(SUBSTITUTE(SUBSTITUTE(SUBSTITUTE(SUBSTITUTE(SUBSTITUTE(IF(AND(COUNTIF(C203,"*P*"),COUNTIF(C203,"*V*")),IF(COUNTIF(C203,"*R*"),SUBSTITUTE(SUBSTITUTE(C203,"P",""),"R","S"),SUBSTITUTE(C203,"P","")),IF(AND(COUNTIF(C203,"*P*"),COUNTIF(C203,"*R*")),SUBSTITUTE(C203,"R","S"),IF(AND(COUNTIF(C203,"*V*"),COUNTIF(C203,"*R*")),SUBSTITUTE(C203,"R","S"),C203))),"0",""),"1",""),"2",""),"3",""),"4",""),"5",""),"6",""),"7",""),"8",""),"9","")&amp; Data!BR48),"")</f>
        <v/>
      </c>
      <c r="D220" s="41" t="str">
        <f>IF(D203&lt;&gt;"",IF(OR(COUNTIF(D203,"L*"),COUNTIF(D203, "X*")),IF(AND(COUNTIF(D203,"*P*"),COUNTIF(D203,"*V*")),IF(COUNTIF(D203,"*R*"),SUBSTITUTE(SUBSTITUTE(D203,"P",""),"R","S")&amp; Data!BS48,SUBSTITUTE(D203,"P","")&amp; Data!BS48),IF(AND(COUNTIF(D203,"*P*"),COUNTIF(D203,"*R*")),SUBSTITUTE(D203,"R","S")&amp;Data!BS48,IF(AND(COUNTIF(D203,"*V*"),COUNTIF(D203,"*R*")),SUBSTITUTE(D203,"R","S")&amp;Data!BS48,D203 &amp; Data!BS48))),SUBSTITUTE(SUBSTITUTE(SUBSTITUTE(SUBSTITUTE(SUBSTITUTE(SUBSTITUTE(SUBSTITUTE(SUBSTITUTE(SUBSTITUTE(SUBSTITUTE(IF(AND(COUNTIF(D203,"*P*"),COUNTIF(D203,"*V*")),IF(COUNTIF(D203,"*R*"),SUBSTITUTE(SUBSTITUTE(D203,"P",""),"R","S"),SUBSTITUTE(D203,"P","")),IF(AND(COUNTIF(D203,"*P*"),COUNTIF(D203,"*R*")),SUBSTITUTE(D203,"R","S"),IF(AND(COUNTIF(D203,"*V*"),COUNTIF(D203,"*R*")),SUBSTITUTE(D203,"R","S"),D203))),"0",""),"1",""),"2",""),"3",""),"4",""),"5",""),"6",""),"7",""),"8",""),"9","")&amp; Data!BS48),"")</f>
        <v/>
      </c>
      <c r="E220" s="41" t="str">
        <f>IF(E203&lt;&gt;"",IF(OR(COUNTIF(E203,"L*"),COUNTIF(E203, "X*")),IF(AND(COUNTIF(E203,"*P*"),COUNTIF(E203,"*V*")),IF(COUNTIF(E203,"*R*"),SUBSTITUTE(SUBSTITUTE(E203,"P",""),"R","S")&amp; Data!BT48,SUBSTITUTE(E203,"P","")&amp; Data!BT48),IF(AND(COUNTIF(E203,"*P*"),COUNTIF(E203,"*R*")),SUBSTITUTE(E203,"R","S")&amp;Data!BT48,IF(AND(COUNTIF(E203,"*V*"),COUNTIF(E203,"*R*")),SUBSTITUTE(E203,"R","S")&amp;Data!BT48,E203 &amp; Data!BT48))),SUBSTITUTE(SUBSTITUTE(SUBSTITUTE(SUBSTITUTE(SUBSTITUTE(SUBSTITUTE(SUBSTITUTE(SUBSTITUTE(SUBSTITUTE(SUBSTITUTE(IF(AND(COUNTIF(E203,"*P*"),COUNTIF(E203,"*V*")),IF(COUNTIF(E203,"*R*"),SUBSTITUTE(SUBSTITUTE(E203,"P",""),"R","S"),SUBSTITUTE(E203,"P","")),IF(AND(COUNTIF(E203,"*P*"),COUNTIF(E203,"*R*")),SUBSTITUTE(E203,"R","S"),IF(AND(COUNTIF(E203,"*V*"),COUNTIF(E203,"*R*")),SUBSTITUTE(E203,"R","S"),E203))),"0",""),"1",""),"2",""),"3",""),"4",""),"5",""),"6",""),"7",""),"8",""),"9","")&amp; Data!BT48),"")</f>
        <v/>
      </c>
      <c r="F220" s="41" t="str">
        <f>IF(F203&lt;&gt;"",IF(OR(COUNTIF(F203,"L*"),COUNTIF(F203, "X*")),IF(AND(COUNTIF(F203,"*P*"),COUNTIF(F203,"*V*")),IF(COUNTIF(F203,"*R*"),SUBSTITUTE(SUBSTITUTE(F203,"P",""),"R","S")&amp; Data!BU48,SUBSTITUTE(F203,"P","")&amp; Data!BU48),IF(AND(COUNTIF(F203,"*P*"),COUNTIF(F203,"*R*")),SUBSTITUTE(F203,"R","S")&amp;Data!BU48,IF(AND(COUNTIF(F203,"*V*"),COUNTIF(F203,"*R*")),SUBSTITUTE(F203,"R","S")&amp;Data!BU48,F203 &amp; Data!BU48))),SUBSTITUTE(SUBSTITUTE(SUBSTITUTE(SUBSTITUTE(SUBSTITUTE(SUBSTITUTE(SUBSTITUTE(SUBSTITUTE(SUBSTITUTE(SUBSTITUTE(IF(AND(COUNTIF(F203,"*P*"),COUNTIF(F203,"*V*")),IF(COUNTIF(F203,"*R*"),SUBSTITUTE(SUBSTITUTE(F203,"P",""),"R","S"),SUBSTITUTE(F203,"P","")),IF(AND(COUNTIF(F203,"*P*"),COUNTIF(F203,"*R*")),SUBSTITUTE(F203,"R","S"),IF(AND(COUNTIF(F203,"*V*"),COUNTIF(F203,"*R*")),SUBSTITUTE(F203,"R","S"),F203))),"0",""),"1",""),"2",""),"3",""),"4",""),"5",""),"6",""),"7",""),"8",""),"9","")&amp; Data!BU48),"")</f>
        <v/>
      </c>
      <c r="G220" s="41" t="str">
        <f>IF(G203&lt;&gt;"",IF(OR(COUNTIF(G203,"L*"),COUNTIF(G203, "X*")),IF(AND(COUNTIF(G203,"*P*"),COUNTIF(G203,"*V*")),IF(COUNTIF(G203,"*R*"),SUBSTITUTE(SUBSTITUTE(G203,"P",""),"R","S")&amp; Data!BV48,SUBSTITUTE(G203,"P","")&amp; Data!BV48),IF(AND(COUNTIF(G203,"*P*"),COUNTIF(G203,"*R*")),SUBSTITUTE(G203,"R","S")&amp;Data!BV48,IF(AND(COUNTIF(G203,"*V*"),COUNTIF(G203,"*R*")),SUBSTITUTE(G203,"R","S")&amp;Data!BV48,G203 &amp; Data!BV48))),SUBSTITUTE(SUBSTITUTE(SUBSTITUTE(SUBSTITUTE(SUBSTITUTE(SUBSTITUTE(SUBSTITUTE(SUBSTITUTE(SUBSTITUTE(SUBSTITUTE(IF(AND(COUNTIF(G203,"*P*"),COUNTIF(G203,"*V*")),IF(COUNTIF(G203,"*R*"),SUBSTITUTE(SUBSTITUTE(G203,"P",""),"R","S"),SUBSTITUTE(G203,"P","")),IF(AND(COUNTIF(G203,"*P*"),COUNTIF(G203,"*R*")),SUBSTITUTE(G203,"R","S"),IF(AND(COUNTIF(G203,"*V*"),COUNTIF(G203,"*R*")),SUBSTITUTE(G203,"R","S"),G203))),"0",""),"1",""),"2",""),"3",""),"4",""),"5",""),"6",""),"7",""),"8",""),"9","")&amp; Data!BV48),"")</f>
        <v/>
      </c>
      <c r="H220" s="41" t="str">
        <f>IF(H203&lt;&gt;"",IF(OR(COUNTIF(H203,"L*"),COUNTIF(H203, "X*")),IF(AND(COUNTIF(H203,"*P*"),COUNTIF(H203,"*V*")),IF(COUNTIF(H203,"*R*"),SUBSTITUTE(SUBSTITUTE(H203,"P",""),"R","S")&amp; Data!BW48,SUBSTITUTE(H203,"P","")&amp; Data!BW48),IF(AND(COUNTIF(H203,"*P*"),COUNTIF(H203,"*R*")),SUBSTITUTE(H203,"R","S")&amp;Data!BW48,IF(AND(COUNTIF(H203,"*V*"),COUNTIF(H203,"*R*")),SUBSTITUTE(H203,"R","S")&amp;Data!BW48,H203 &amp; Data!BW48))),SUBSTITUTE(SUBSTITUTE(SUBSTITUTE(SUBSTITUTE(SUBSTITUTE(SUBSTITUTE(SUBSTITUTE(SUBSTITUTE(SUBSTITUTE(SUBSTITUTE(IF(AND(COUNTIF(H203,"*P*"),COUNTIF(H203,"*V*")),IF(COUNTIF(H203,"*R*"),SUBSTITUTE(SUBSTITUTE(H203,"P",""),"R","S"),SUBSTITUTE(H203,"P","")),IF(AND(COUNTIF(H203,"*P*"),COUNTIF(H203,"*R*")),SUBSTITUTE(H203,"R","S"),IF(AND(COUNTIF(H203,"*V*"),COUNTIF(H203,"*R*")),SUBSTITUTE(H203,"R","S"),H203))),"0",""),"1",""),"2",""),"3",""),"4",""),"5",""),"6",""),"7",""),"8",""),"9","")&amp; Data!BW48),"")</f>
        <v/>
      </c>
      <c r="I220" s="41" t="str">
        <f>IF(I203&lt;&gt;"",IF(OR(COUNTIF(I203,"L*"),COUNTIF(I203, "X*")),IF(AND(COUNTIF(I203,"*P*"),COUNTIF(I203,"*V*")),IF(COUNTIF(I203,"*R*"),SUBSTITUTE(SUBSTITUTE(I203,"P",""),"R","S")&amp; Data!BX48,SUBSTITUTE(I203,"P","")&amp; Data!BX48),IF(AND(COUNTIF(I203,"*P*"),COUNTIF(I203,"*R*")),SUBSTITUTE(I203,"R","S")&amp;Data!BX48,IF(AND(COUNTIF(I203,"*V*"),COUNTIF(I203,"*R*")),SUBSTITUTE(I203,"R","S")&amp;Data!BX48,I203 &amp; Data!BX48))),SUBSTITUTE(SUBSTITUTE(SUBSTITUTE(SUBSTITUTE(SUBSTITUTE(SUBSTITUTE(SUBSTITUTE(SUBSTITUTE(SUBSTITUTE(SUBSTITUTE(IF(AND(COUNTIF(I203,"*P*"),COUNTIF(I203,"*V*")),IF(COUNTIF(I203,"*R*"),SUBSTITUTE(SUBSTITUTE(I203,"P",""),"R","S"),SUBSTITUTE(I203,"P","")),IF(AND(COUNTIF(I203,"*P*"),COUNTIF(I203,"*R*")),SUBSTITUTE(I203,"R","S"),IF(AND(COUNTIF(I203,"*V*"),COUNTIF(I203,"*R*")),SUBSTITUTE(I203,"R","S"),I203))),"0",""),"1",""),"2",""),"3",""),"4",""),"5",""),"6",""),"7",""),"8",""),"9","")&amp; Data!BX48),"")</f>
        <v/>
      </c>
      <c r="J220" s="41" t="str">
        <f>IF(J203&lt;&gt;"",IF(OR(COUNTIF(J203,"L*"),COUNTIF(J203, "X*")),IF(AND(COUNTIF(J203,"*P*"),COUNTIF(J203,"*V*")),IF(COUNTIF(J203,"*R*"),SUBSTITUTE(SUBSTITUTE(J203,"P",""),"R","S")&amp; Data!BY48,SUBSTITUTE(J203,"P","")&amp; Data!BY48),IF(AND(COUNTIF(J203,"*P*"),COUNTIF(J203,"*R*")),SUBSTITUTE(J203,"R","S")&amp;Data!BY48,IF(AND(COUNTIF(J203,"*V*"),COUNTIF(J203,"*R*")),SUBSTITUTE(J203,"R","S")&amp;Data!BY48,J203 &amp; Data!BY48))),SUBSTITUTE(SUBSTITUTE(SUBSTITUTE(SUBSTITUTE(SUBSTITUTE(SUBSTITUTE(SUBSTITUTE(SUBSTITUTE(SUBSTITUTE(SUBSTITUTE(IF(AND(COUNTIF(J203,"*P*"),COUNTIF(J203,"*V*")),IF(COUNTIF(J203,"*R*"),SUBSTITUTE(SUBSTITUTE(J203,"P",""),"R","S"),SUBSTITUTE(J203,"P","")),IF(AND(COUNTIF(J203,"*P*"),COUNTIF(J203,"*R*")),SUBSTITUTE(J203,"R","S"),IF(AND(COUNTIF(J203,"*V*"),COUNTIF(J203,"*R*")),SUBSTITUTE(J203,"R","S"),J203))),"0",""),"1",""),"2",""),"3",""),"4",""),"5",""),"6",""),"7",""),"8",""),"9","")&amp; Data!BY48),"")</f>
        <v/>
      </c>
      <c r="K220" s="41" t="str">
        <f>IF(K203&lt;&gt;"",IF(OR(COUNTIF(K203,"L*"),COUNTIF(K203, "X*")),IF(AND(COUNTIF(K203,"*P*"),COUNTIF(K203,"*V*")),IF(COUNTIF(K203,"*R*"),SUBSTITUTE(SUBSTITUTE(K203,"P",""),"R","S")&amp; Data!BZ48,SUBSTITUTE(K203,"P","")&amp; Data!BZ48),IF(AND(COUNTIF(K203,"*P*"),COUNTIF(K203,"*R*")),SUBSTITUTE(K203,"R","S")&amp;Data!BZ48,IF(AND(COUNTIF(K203,"*V*"),COUNTIF(K203,"*R*")),SUBSTITUTE(K203,"R","S")&amp;Data!BZ48,K203 &amp; Data!BZ48))),SUBSTITUTE(SUBSTITUTE(SUBSTITUTE(SUBSTITUTE(SUBSTITUTE(SUBSTITUTE(SUBSTITUTE(SUBSTITUTE(SUBSTITUTE(SUBSTITUTE(IF(AND(COUNTIF(K203,"*P*"),COUNTIF(K203,"*V*")),IF(COUNTIF(K203,"*R*"),SUBSTITUTE(SUBSTITUTE(K203,"P",""),"R","S"),SUBSTITUTE(K203,"P","")),IF(AND(COUNTIF(K203,"*P*"),COUNTIF(K203,"*R*")),SUBSTITUTE(K203,"R","S"),IF(AND(COUNTIF(K203,"*V*"),COUNTIF(K203,"*R*")),SUBSTITUTE(K203,"R","S"),K203))),"0",""),"1",""),"2",""),"3",""),"4",""),"5",""),"6",""),"7",""),"8",""),"9","")&amp; Data!BZ48),"")</f>
        <v/>
      </c>
      <c r="L220" s="41" t="str">
        <f>IF(L203&lt;&gt;"",IF(OR(COUNTIF(L203,"L*"),COUNTIF(L203, "X*")),IF(AND(COUNTIF(L203,"*P*"),COUNTIF(L203,"*V*")),IF(COUNTIF(L203,"*R*"),SUBSTITUTE(SUBSTITUTE(L203,"P",""),"R","S")&amp; Data!CA48,SUBSTITUTE(L203,"P","")&amp; Data!CA48),IF(AND(COUNTIF(L203,"*P*"),COUNTIF(L203,"*R*")),SUBSTITUTE(L203,"R","S")&amp;Data!CA48,IF(AND(COUNTIF(L203,"*V*"),COUNTIF(L203,"*R*")),SUBSTITUTE(L203,"R","S")&amp;Data!CA48,L203 &amp; Data!CA48))),SUBSTITUTE(SUBSTITUTE(SUBSTITUTE(SUBSTITUTE(SUBSTITUTE(SUBSTITUTE(SUBSTITUTE(SUBSTITUTE(SUBSTITUTE(SUBSTITUTE(IF(AND(COUNTIF(L203,"*P*"),COUNTIF(L203,"*V*")),IF(COUNTIF(L203,"*R*"),SUBSTITUTE(SUBSTITUTE(L203,"P",""),"R","S"),SUBSTITUTE(L203,"P","")),IF(AND(COUNTIF(L203,"*P*"),COUNTIF(L203,"*R*")),SUBSTITUTE(L203,"R","S"),IF(AND(COUNTIF(L203,"*V*"),COUNTIF(L203,"*R*")),SUBSTITUTE(L203,"R","S"),L203))),"0",""),"1",""),"2",""),"3",""),"4",""),"5",""),"6",""),"7",""),"8",""),"9","")&amp; Data!CA48),"")</f>
        <v/>
      </c>
      <c r="M220" s="41" t="str">
        <f>IF(M203&lt;&gt;"",IF(OR(COUNTIF(M203,"L*"),COUNTIF(M203, "X*")),IF(AND(COUNTIF(M203,"*P*"),COUNTIF(M203,"*V*")),IF(COUNTIF(M203,"*R*"),SUBSTITUTE(SUBSTITUTE(M203,"P",""),"R","S")&amp; Data!CB48,SUBSTITUTE(M203,"P","")&amp; Data!CB48),IF(AND(COUNTIF(M203,"*P*"),COUNTIF(M203,"*R*")),SUBSTITUTE(M203,"R","S")&amp;Data!CB48,IF(AND(COUNTIF(M203,"*V*"),COUNTIF(M203,"*R*")),SUBSTITUTE(M203,"R","S")&amp;Data!CB48,M203 &amp; Data!CB48))),SUBSTITUTE(SUBSTITUTE(SUBSTITUTE(SUBSTITUTE(SUBSTITUTE(SUBSTITUTE(SUBSTITUTE(SUBSTITUTE(SUBSTITUTE(SUBSTITUTE(IF(AND(COUNTIF(M203,"*P*"),COUNTIF(M203,"*V*")),IF(COUNTIF(M203,"*R*"),SUBSTITUTE(SUBSTITUTE(M203,"P",""),"R","S"),SUBSTITUTE(M203,"P","")),IF(AND(COUNTIF(M203,"*P*"),COUNTIF(M203,"*R*")),SUBSTITUTE(M203,"R","S"),IF(AND(COUNTIF(M203,"*V*"),COUNTIF(M203,"*R*")),SUBSTITUTE(M203,"R","S"),M203))),"0",""),"1",""),"2",""),"3",""),"4",""),"5",""),"6",""),"7",""),"8",""),"9","")&amp; Data!CB48),"")</f>
        <v/>
      </c>
      <c r="N220" s="41" t="str">
        <f>IF(N203&lt;&gt;"",IF(OR(COUNTIF(N203,"L*"),COUNTIF(N203, "X*")),IF(AND(COUNTIF(N203,"*P*"),COUNTIF(N203,"*V*")),IF(COUNTIF(N203,"*R*"),SUBSTITUTE(SUBSTITUTE(N203,"P",""),"R","S")&amp; Data!CC48,SUBSTITUTE(N203,"P","")&amp; Data!CC48),IF(AND(COUNTIF(N203,"*P*"),COUNTIF(N203,"*R*")),SUBSTITUTE(N203,"R","S")&amp;Data!CC48,IF(AND(COUNTIF(N203,"*V*"),COUNTIF(N203,"*R*")),SUBSTITUTE(N203,"R","S")&amp;Data!CC48,N203 &amp; Data!CC48))),SUBSTITUTE(SUBSTITUTE(SUBSTITUTE(SUBSTITUTE(SUBSTITUTE(SUBSTITUTE(SUBSTITUTE(SUBSTITUTE(SUBSTITUTE(SUBSTITUTE(IF(AND(COUNTIF(N203,"*P*"),COUNTIF(N203,"*V*")),IF(COUNTIF(N203,"*R*"),SUBSTITUTE(SUBSTITUTE(N203,"P",""),"R","S"),SUBSTITUTE(N203,"P","")),IF(AND(COUNTIF(N203,"*P*"),COUNTIF(N203,"*R*")),SUBSTITUTE(N203,"R","S"),IF(AND(COUNTIF(N203,"*V*"),COUNTIF(N203,"*R*")),SUBSTITUTE(N203,"R","S"),N203))),"0",""),"1",""),"2",""),"3",""),"4",""),"5",""),"6",""),"7",""),"8",""),"9","")&amp; Data!CC48),"")</f>
        <v/>
      </c>
      <c r="O220" s="41" t="str">
        <f>IF(O203&lt;&gt;"",IF(OR(COUNTIF(O203,"L*"),COUNTIF(O203, "X*")),IF(AND(COUNTIF(O203,"*P*"),COUNTIF(O203,"*V*")),IF(COUNTIF(O203,"*R*"),SUBSTITUTE(SUBSTITUTE(O203,"P",""),"R","S")&amp; Data!CD48,SUBSTITUTE(O203,"P","")&amp; Data!CD48),IF(AND(COUNTIF(O203,"*P*"),COUNTIF(O203,"*R*")),SUBSTITUTE(O203,"R","S")&amp;Data!CD48,IF(AND(COUNTIF(O203,"*V*"),COUNTIF(O203,"*R*")),SUBSTITUTE(O203,"R","S")&amp;Data!CD48,O203 &amp; Data!CD48))),SUBSTITUTE(SUBSTITUTE(SUBSTITUTE(SUBSTITUTE(SUBSTITUTE(SUBSTITUTE(SUBSTITUTE(SUBSTITUTE(SUBSTITUTE(SUBSTITUTE(IF(AND(COUNTIF(O203,"*P*"),COUNTIF(O203,"*V*")),IF(COUNTIF(O203,"*R*"),SUBSTITUTE(SUBSTITUTE(O203,"P",""),"R","S"),SUBSTITUTE(O203,"P","")),IF(AND(COUNTIF(O203,"*P*"),COUNTIF(O203,"*R*")),SUBSTITUTE(O203,"R","S"),IF(AND(COUNTIF(O203,"*V*"),COUNTIF(O203,"*R*")),SUBSTITUTE(O203,"R","S"),O203))),"0",""),"1",""),"2",""),"3",""),"4",""),"5",""),"6",""),"7",""),"8",""),"9","")&amp; Data!CD48),"")</f>
        <v/>
      </c>
      <c r="P220" s="41" t="str">
        <f>IF(P203&lt;&gt;"",IF(OR(COUNTIF(P203,"L*"),COUNTIF(P203, "X*")),IF(AND(COUNTIF(P203,"*P*"),COUNTIF(P203,"*V*")),IF(COUNTIF(P203,"*R*"),SUBSTITUTE(SUBSTITUTE(P203,"P",""),"R","S")&amp; Data!CE48,SUBSTITUTE(P203,"P","")&amp; Data!CE48),IF(AND(COUNTIF(P203,"*P*"),COUNTIF(P203,"*R*")),SUBSTITUTE(P203,"R","S")&amp;Data!CE48,IF(AND(COUNTIF(P203,"*V*"),COUNTIF(P203,"*R*")),SUBSTITUTE(P203,"R","S")&amp;Data!CE48,P203 &amp; Data!CE48))),SUBSTITUTE(SUBSTITUTE(SUBSTITUTE(SUBSTITUTE(SUBSTITUTE(SUBSTITUTE(SUBSTITUTE(SUBSTITUTE(SUBSTITUTE(SUBSTITUTE(IF(AND(COUNTIF(P203,"*P*"),COUNTIF(P203,"*V*")),IF(COUNTIF(P203,"*R*"),SUBSTITUTE(SUBSTITUTE(P203,"P",""),"R","S"),SUBSTITUTE(P203,"P","")),IF(AND(COUNTIF(P203,"*P*"),COUNTIF(P203,"*R*")),SUBSTITUTE(P203,"R","S"),IF(AND(COUNTIF(P203,"*V*"),COUNTIF(P203,"*R*")),SUBSTITUTE(P203,"R","S"),P203))),"0",""),"1",""),"2",""),"3",""),"4",""),"5",""),"6",""),"7",""),"8",""),"9","")&amp; Data!CE48),"")</f>
        <v/>
      </c>
      <c r="Q220" s="41" t="str">
        <f>IF(Q203&lt;&gt;"",IF(OR(COUNTIF(Q203,"L*"),COUNTIF(Q203, "X*")),IF(AND(COUNTIF(Q203,"*P*"),COUNTIF(Q203,"*V*")),IF(COUNTIF(Q203,"*R*"),SUBSTITUTE(SUBSTITUTE(Q203,"P",""),"R","S")&amp; Data!CF48,SUBSTITUTE(Q203,"P","")&amp; Data!CF48),IF(AND(COUNTIF(Q203,"*P*"),COUNTIF(Q203,"*R*")),SUBSTITUTE(Q203,"R","S")&amp;Data!CF48,IF(AND(COUNTIF(Q203,"*V*"),COUNTIF(Q203,"*R*")),SUBSTITUTE(Q203,"R","S")&amp;Data!CF48,Q203 &amp; Data!CF48))),SUBSTITUTE(SUBSTITUTE(SUBSTITUTE(SUBSTITUTE(SUBSTITUTE(SUBSTITUTE(SUBSTITUTE(SUBSTITUTE(SUBSTITUTE(SUBSTITUTE(IF(AND(COUNTIF(Q203,"*P*"),COUNTIF(Q203,"*V*")),IF(COUNTIF(Q203,"*R*"),SUBSTITUTE(SUBSTITUTE(Q203,"P",""),"R","S"),SUBSTITUTE(Q203,"P","")),IF(AND(COUNTIF(Q203,"*P*"),COUNTIF(Q203,"*R*")),SUBSTITUTE(Q203,"R","S"),IF(AND(COUNTIF(Q203,"*V*"),COUNTIF(Q203,"*R*")),SUBSTITUTE(Q203,"R","S"),Q203))),"0",""),"1",""),"2",""),"3",""),"4",""),"5",""),"6",""),"7",""),"8",""),"9","")&amp; Data!CF48),"")</f>
        <v/>
      </c>
      <c r="R220" s="41" t="str">
        <f>IF(R203&lt;&gt;"",IF(OR(COUNTIF(R203,"L*"),COUNTIF(R203, "X*")),IF(AND(COUNTIF(R203,"*P*"),COUNTIF(R203,"*V*")),IF(COUNTIF(R203,"*R*"),SUBSTITUTE(SUBSTITUTE(R203,"P",""),"R","S")&amp; Data!CG48,SUBSTITUTE(R203,"P","")&amp; Data!CG48),IF(AND(COUNTIF(R203,"*P*"),COUNTIF(R203,"*R*")),SUBSTITUTE(R203,"R","S")&amp;Data!CG48,IF(AND(COUNTIF(R203,"*V*"),COUNTIF(R203,"*R*")),SUBSTITUTE(R203,"R","S")&amp;Data!CG48,R203 &amp; Data!CG48))),SUBSTITUTE(SUBSTITUTE(SUBSTITUTE(SUBSTITUTE(SUBSTITUTE(SUBSTITUTE(SUBSTITUTE(SUBSTITUTE(SUBSTITUTE(SUBSTITUTE(IF(AND(COUNTIF(R203,"*P*"),COUNTIF(R203,"*V*")),IF(COUNTIF(R203,"*R*"),SUBSTITUTE(SUBSTITUTE(R203,"P",""),"R","S"),SUBSTITUTE(R203,"P","")),IF(AND(COUNTIF(R203,"*P*"),COUNTIF(R203,"*R*")),SUBSTITUTE(R203,"R","S"),IF(AND(COUNTIF(R203,"*V*"),COUNTIF(R203,"*R*")),SUBSTITUTE(R203,"R","S"),R203))),"0",""),"1",""),"2",""),"3",""),"4",""),"5",""),"6",""),"7",""),"8",""),"9","")&amp; Data!CG48),"")</f>
        <v/>
      </c>
      <c r="S220" s="41" t="str">
        <f>IF(S203&lt;&gt;"",IF(OR(COUNTIF(S203,"L*"),COUNTIF(S203, "X*")),IF(AND(COUNTIF(S203,"*P*"),COUNTIF(S203,"*V*")),IF(COUNTIF(S203,"*R*"),SUBSTITUTE(SUBSTITUTE(S203,"P",""),"R","S")&amp; Data!CH48,SUBSTITUTE(S203,"P","")&amp; Data!CH48),IF(AND(COUNTIF(S203,"*P*"),COUNTIF(S203,"*R*")),SUBSTITUTE(S203,"R","S")&amp;Data!CH48,IF(AND(COUNTIF(S203,"*V*"),COUNTIF(S203,"*R*")),SUBSTITUTE(S203,"R","S")&amp;Data!CH48,S203 &amp; Data!CH48))),SUBSTITUTE(SUBSTITUTE(SUBSTITUTE(SUBSTITUTE(SUBSTITUTE(SUBSTITUTE(SUBSTITUTE(SUBSTITUTE(SUBSTITUTE(SUBSTITUTE(IF(AND(COUNTIF(S203,"*P*"),COUNTIF(S203,"*V*")),IF(COUNTIF(S203,"*R*"),SUBSTITUTE(SUBSTITUTE(S203,"P",""),"R","S"),SUBSTITUTE(S203,"P","")),IF(AND(COUNTIF(S203,"*P*"),COUNTIF(S203,"*R*")),SUBSTITUTE(S203,"R","S"),IF(AND(COUNTIF(S203,"*V*"),COUNTIF(S203,"*R*")),SUBSTITUTE(S203,"R","S"),S203))),"0",""),"1",""),"2",""),"3",""),"4",""),"5",""),"6",""),"7",""),"8",""),"9","")&amp; Data!CH48),"")</f>
        <v/>
      </c>
      <c r="T220" s="41" t="str">
        <f>IF(T203&lt;&gt;"",IF(OR(COUNTIF(T203,"L*"),COUNTIF(T203, "X*")),IF(AND(COUNTIF(T203,"*P*"),COUNTIF(T203,"*V*")),IF(COUNTIF(T203,"*R*"),SUBSTITUTE(SUBSTITUTE(T203,"P",""),"R","S")&amp; Data!CI48,SUBSTITUTE(T203,"P","")&amp; Data!CI48),IF(AND(COUNTIF(T203,"*P*"),COUNTIF(T203,"*R*")),SUBSTITUTE(T203,"R","S")&amp;Data!CI48,IF(AND(COUNTIF(T203,"*V*"),COUNTIF(T203,"*R*")),SUBSTITUTE(T203,"R","S")&amp;Data!CI48,T203 &amp; Data!CI48))),SUBSTITUTE(SUBSTITUTE(SUBSTITUTE(SUBSTITUTE(SUBSTITUTE(SUBSTITUTE(SUBSTITUTE(SUBSTITUTE(SUBSTITUTE(SUBSTITUTE(IF(AND(COUNTIF(T203,"*P*"),COUNTIF(T203,"*V*")),IF(COUNTIF(T203,"*R*"),SUBSTITUTE(SUBSTITUTE(T203,"P",""),"R","S"),SUBSTITUTE(T203,"P","")),IF(AND(COUNTIF(T203,"*P*"),COUNTIF(T203,"*R*")),SUBSTITUTE(T203,"R","S"),IF(AND(COUNTIF(T203,"*V*"),COUNTIF(T203,"*R*")),SUBSTITUTE(T203,"R","S"),T203))),"0",""),"1",""),"2",""),"3",""),"4",""),"5",""),"6",""),"7",""),"8",""),"9","")&amp; Data!CI48),"")</f>
        <v/>
      </c>
      <c r="U220" s="41" t="str">
        <f>IF(U203&lt;&gt;"",IF(OR(COUNTIF(U203,"L*"),COUNTIF(U203, "X*")),IF(AND(COUNTIF(U203,"*P*"),COUNTIF(U203,"*V*")),IF(COUNTIF(U203,"*R*"),SUBSTITUTE(SUBSTITUTE(U203,"P",""),"R","S")&amp; Data!CJ48,SUBSTITUTE(U203,"P","")&amp; Data!CJ48),IF(AND(COUNTIF(U203,"*P*"),COUNTIF(U203,"*R*")),SUBSTITUTE(U203,"R","S")&amp;Data!CJ48,IF(AND(COUNTIF(U203,"*V*"),COUNTIF(U203,"*R*")),SUBSTITUTE(U203,"R","S")&amp;Data!CJ48,U203 &amp; Data!CJ48))),SUBSTITUTE(SUBSTITUTE(SUBSTITUTE(SUBSTITUTE(SUBSTITUTE(SUBSTITUTE(SUBSTITUTE(SUBSTITUTE(SUBSTITUTE(SUBSTITUTE(IF(AND(COUNTIF(U203,"*P*"),COUNTIF(U203,"*V*")),IF(COUNTIF(U203,"*R*"),SUBSTITUTE(SUBSTITUTE(U203,"P",""),"R","S"),SUBSTITUTE(U203,"P","")),IF(AND(COUNTIF(U203,"*P*"),COUNTIF(U203,"*R*")),SUBSTITUTE(U203,"R","S"),IF(AND(COUNTIF(U203,"*V*"),COUNTIF(U203,"*R*")),SUBSTITUTE(U203,"R","S"),U203))),"0",""),"1",""),"2",""),"3",""),"4",""),"5",""),"6",""),"7",""),"8",""),"9","")&amp; Data!CJ48),"")</f>
        <v/>
      </c>
      <c r="V220" s="41" t="str">
        <f>IF(V203&lt;&gt;"",IF(OR(COUNTIF(V203,"L*"),COUNTIF(V203, "X*")),IF(AND(COUNTIF(V203,"*P*"),COUNTIF(V203,"*V*")),IF(COUNTIF(V203,"*R*"),SUBSTITUTE(SUBSTITUTE(V203,"P",""),"R","S")&amp; Data!CK48,SUBSTITUTE(V203,"P","")&amp; Data!CK48),IF(AND(COUNTIF(V203,"*P*"),COUNTIF(V203,"*R*")),SUBSTITUTE(V203,"R","S")&amp;Data!CK48,IF(AND(COUNTIF(V203,"*V*"),COUNTIF(V203,"*R*")),SUBSTITUTE(V203,"R","S")&amp;Data!CK48,V203 &amp; Data!CK48))),SUBSTITUTE(SUBSTITUTE(SUBSTITUTE(SUBSTITUTE(SUBSTITUTE(SUBSTITUTE(SUBSTITUTE(SUBSTITUTE(SUBSTITUTE(SUBSTITUTE(IF(AND(COUNTIF(V203,"*P*"),COUNTIF(V203,"*V*")),IF(COUNTIF(V203,"*R*"),SUBSTITUTE(SUBSTITUTE(V203,"P",""),"R","S"),SUBSTITUTE(V203,"P","")),IF(AND(COUNTIF(V203,"*P*"),COUNTIF(V203,"*R*")),SUBSTITUTE(V203,"R","S"),IF(AND(COUNTIF(V203,"*V*"),COUNTIF(V203,"*R*")),SUBSTITUTE(V203,"R","S"),V203))),"0",""),"1",""),"2",""),"3",""),"4",""),"5",""),"6",""),"7",""),"8",""),"9","")&amp; Data!CK48),"")</f>
        <v/>
      </c>
      <c r="W220" s="41" t="str">
        <f>IF(W203&lt;&gt;"",IF(OR(COUNTIF(W203,"L*"),COUNTIF(W203, "X*")),IF(AND(COUNTIF(W203,"*P*"),COUNTIF(W203,"*V*")),IF(COUNTIF(W203,"*R*"),SUBSTITUTE(SUBSTITUTE(W203,"P",""),"R","S")&amp; Data!CL48,SUBSTITUTE(W203,"P","")&amp; Data!CL48),IF(AND(COUNTIF(W203,"*P*"),COUNTIF(W203,"*R*")),SUBSTITUTE(W203,"R","S")&amp;Data!CL48,IF(AND(COUNTIF(W203,"*V*"),COUNTIF(W203,"*R*")),SUBSTITUTE(W203,"R","S")&amp;Data!CL48,W203 &amp; Data!CL48))),SUBSTITUTE(SUBSTITUTE(SUBSTITUTE(SUBSTITUTE(SUBSTITUTE(SUBSTITUTE(SUBSTITUTE(SUBSTITUTE(SUBSTITUTE(SUBSTITUTE(IF(AND(COUNTIF(W203,"*P*"),COUNTIF(W203,"*V*")),IF(COUNTIF(W203,"*R*"),SUBSTITUTE(SUBSTITUTE(W203,"P",""),"R","S"),SUBSTITUTE(W203,"P","")),IF(AND(COUNTIF(W203,"*P*"),COUNTIF(W203,"*R*")),SUBSTITUTE(W203,"R","S"),IF(AND(COUNTIF(W203,"*V*"),COUNTIF(W203,"*R*")),SUBSTITUTE(W203,"R","S"),W203))),"0",""),"1",""),"2",""),"3",""),"4",""),"5",""),"6",""),"7",""),"8",""),"9","")&amp; Data!CL48),"")</f>
        <v/>
      </c>
      <c r="X220" s="41" t="str">
        <f>IF(X203&lt;&gt;"",IF(OR(COUNTIF(X203,"L*"),COUNTIF(X203, "X*")),IF(AND(COUNTIF(X203,"*P*"),COUNTIF(X203,"*V*")),IF(COUNTIF(X203,"*R*"),SUBSTITUTE(SUBSTITUTE(X203,"P",""),"R","S")&amp; Data!CM48,SUBSTITUTE(X203,"P","")&amp; Data!CM48),IF(AND(COUNTIF(X203,"*P*"),COUNTIF(X203,"*R*")),SUBSTITUTE(X203,"R","S")&amp;Data!CM48,IF(AND(COUNTIF(X203,"*V*"),COUNTIF(X203,"*R*")),SUBSTITUTE(X203,"R","S")&amp;Data!CM48,X203 &amp; Data!CM48))),SUBSTITUTE(SUBSTITUTE(SUBSTITUTE(SUBSTITUTE(SUBSTITUTE(SUBSTITUTE(SUBSTITUTE(SUBSTITUTE(SUBSTITUTE(SUBSTITUTE(IF(AND(COUNTIF(X203,"*P*"),COUNTIF(X203,"*V*")),IF(COUNTIF(X203,"*R*"),SUBSTITUTE(SUBSTITUTE(X203,"P",""),"R","S"),SUBSTITUTE(X203,"P","")),IF(AND(COUNTIF(X203,"*P*"),COUNTIF(X203,"*R*")),SUBSTITUTE(X203,"R","S"),IF(AND(COUNTIF(X203,"*V*"),COUNTIF(X203,"*R*")),SUBSTITUTE(X203,"R","S"),X203))),"0",""),"1",""),"2",""),"3",""),"4",""),"5",""),"6",""),"7",""),"8",""),"9","")&amp; Data!CM48),"")</f>
        <v/>
      </c>
      <c r="Y220" s="41" t="str">
        <f>IF(Y203&lt;&gt;"",IF(OR(COUNTIF(Y203,"L*"),COUNTIF(Y203, "X*")),IF(AND(COUNTIF(Y203,"*P*"),COUNTIF(Y203,"*V*")),IF(COUNTIF(Y203,"*R*"),SUBSTITUTE(SUBSTITUTE(Y203,"P",""),"R","S")&amp; Data!CN48,SUBSTITUTE(Y203,"P","")&amp; Data!CN48),IF(AND(COUNTIF(Y203,"*P*"),COUNTIF(Y203,"*R*")),SUBSTITUTE(Y203,"R","S")&amp;Data!CN48,IF(AND(COUNTIF(Y203,"*V*"),COUNTIF(Y203,"*R*")),SUBSTITUTE(Y203,"R","S")&amp;Data!CN48,Y203 &amp; Data!CN48))),SUBSTITUTE(SUBSTITUTE(SUBSTITUTE(SUBSTITUTE(SUBSTITUTE(SUBSTITUTE(SUBSTITUTE(SUBSTITUTE(SUBSTITUTE(SUBSTITUTE(IF(AND(COUNTIF(Y203,"*P*"),COUNTIF(Y203,"*V*")),IF(COUNTIF(Y203,"*R*"),SUBSTITUTE(SUBSTITUTE(Y203,"P",""),"R","S"),SUBSTITUTE(Y203,"P","")),IF(AND(COUNTIF(Y203,"*P*"),COUNTIF(Y203,"*R*")),SUBSTITUTE(Y203,"R","S"),IF(AND(COUNTIF(Y203,"*V*"),COUNTIF(Y203,"*R*")),SUBSTITUTE(Y203,"R","S"),Y203))),"0",""),"1",""),"2",""),"3",""),"4",""),"5",""),"6",""),"7",""),"8",""),"9","")&amp; Data!CN48),"")</f>
        <v/>
      </c>
      <c r="Z220" s="41" t="str">
        <f>IF(Z203&lt;&gt;"",IF(OR(COUNTIF(Z203,"L*"),COUNTIF(Z203, "X*")),IF(AND(COUNTIF(Z203,"*P*"),COUNTIF(Z203,"*V*")),IF(COUNTIF(Z203,"*R*"),SUBSTITUTE(SUBSTITUTE(Z203,"P",""),"R","S")&amp; Data!CO48,SUBSTITUTE(Z203,"P","")&amp; Data!CO48),IF(AND(COUNTIF(Z203,"*P*"),COUNTIF(Z203,"*R*")),SUBSTITUTE(Z203,"R","S")&amp;Data!CO48,IF(AND(COUNTIF(Z203,"*V*"),COUNTIF(Z203,"*R*")),SUBSTITUTE(Z203,"R","S")&amp;Data!CO48,Z203 &amp; Data!CO48))),SUBSTITUTE(SUBSTITUTE(SUBSTITUTE(SUBSTITUTE(SUBSTITUTE(SUBSTITUTE(SUBSTITUTE(SUBSTITUTE(SUBSTITUTE(SUBSTITUTE(IF(AND(COUNTIF(Z203,"*P*"),COUNTIF(Z203,"*V*")),IF(COUNTIF(Z203,"*R*"),SUBSTITUTE(SUBSTITUTE(Z203,"P",""),"R","S"),SUBSTITUTE(Z203,"P","")),IF(AND(COUNTIF(Z203,"*P*"),COUNTIF(Z203,"*R*")),SUBSTITUTE(Z203,"R","S"),IF(AND(COUNTIF(Z203,"*V*"),COUNTIF(Z203,"*R*")),SUBSTITUTE(Z203,"R","S"),Z203))),"0",""),"1",""),"2",""),"3",""),"4",""),"5",""),"6",""),"7",""),"8",""),"9","")&amp; Data!CO48),"")</f>
        <v/>
      </c>
      <c r="AA220" s="41" t="str">
        <f>IF(AA203&lt;&gt;"",IF(OR(COUNTIF(AA203,"L*"),COUNTIF(AA203, "X*")),IF(AND(COUNTIF(AA203,"*P*"),COUNTIF(AA203,"*V*")),IF(COUNTIF(AA203,"*R*"),SUBSTITUTE(SUBSTITUTE(AA203,"P",""),"R","S")&amp; Data!CP48,SUBSTITUTE(AA203,"P","")&amp; Data!CP48),IF(AND(COUNTIF(AA203,"*P*"),COUNTIF(AA203,"*R*")),SUBSTITUTE(AA203,"R","S")&amp;Data!CP48,IF(AND(COUNTIF(AA203,"*V*"),COUNTIF(AA203,"*R*")),SUBSTITUTE(AA203,"R","S")&amp;Data!CP48,AA203 &amp; Data!CP48))),SUBSTITUTE(SUBSTITUTE(SUBSTITUTE(SUBSTITUTE(SUBSTITUTE(SUBSTITUTE(SUBSTITUTE(SUBSTITUTE(SUBSTITUTE(SUBSTITUTE(IF(AND(COUNTIF(AA203,"*P*"),COUNTIF(AA203,"*V*")),IF(COUNTIF(AA203,"*R*"),SUBSTITUTE(SUBSTITUTE(AA203,"P",""),"R","S"),SUBSTITUTE(AA203,"P","")),IF(AND(COUNTIF(AA203,"*P*"),COUNTIF(AA203,"*R*")),SUBSTITUTE(AA203,"R","S"),IF(AND(COUNTIF(AA203,"*V*"),COUNTIF(AA203,"*R*")),SUBSTITUTE(AA203,"R","S"),AA203))),"0",""),"1",""),"2",""),"3",""),"4",""),"5",""),"6",""),"7",""),"8",""),"9","")&amp; Data!CP48),"")</f>
        <v/>
      </c>
      <c r="AB220" s="41" t="str">
        <f>IF(AB203&lt;&gt;"",IF(OR(COUNTIF(AB203,"L*"),COUNTIF(AB203, "X*")),IF(AND(COUNTIF(AB203,"*P*"),COUNTIF(AB203,"*V*")),IF(COUNTIF(AB203,"*R*"),SUBSTITUTE(SUBSTITUTE(AB203,"P",""),"R","S")&amp; Data!CQ48,SUBSTITUTE(AB203,"P","")&amp; Data!CQ48),IF(AND(COUNTIF(AB203,"*P*"),COUNTIF(AB203,"*R*")),SUBSTITUTE(AB203,"R","S")&amp;Data!CQ48,IF(AND(COUNTIF(AB203,"*V*"),COUNTIF(AB203,"*R*")),SUBSTITUTE(AB203,"R","S")&amp;Data!CQ48,AB203 &amp; Data!CQ48))),SUBSTITUTE(SUBSTITUTE(SUBSTITUTE(SUBSTITUTE(SUBSTITUTE(SUBSTITUTE(SUBSTITUTE(SUBSTITUTE(SUBSTITUTE(SUBSTITUTE(IF(AND(COUNTIF(AB203,"*P*"),COUNTIF(AB203,"*V*")),IF(COUNTIF(AB203,"*R*"),SUBSTITUTE(SUBSTITUTE(AB203,"P",""),"R","S"),SUBSTITUTE(AB203,"P","")),IF(AND(COUNTIF(AB203,"*P*"),COUNTIF(AB203,"*R*")),SUBSTITUTE(AB203,"R","S"),IF(AND(COUNTIF(AB203,"*V*"),COUNTIF(AB203,"*R*")),SUBSTITUTE(AB203,"R","S"),AB203))),"0",""),"1",""),"2",""),"3",""),"4",""),"5",""),"6",""),"7",""),"8",""),"9","")&amp; Data!CQ48),"")</f>
        <v/>
      </c>
      <c r="AC220" s="41" t="str">
        <f>IF(AC203&lt;&gt;"",IF(OR(COUNTIF(AC203,"L*"),COUNTIF(AC203, "X*")),IF(AND(COUNTIF(AC203,"*P*"),COUNTIF(AC203,"*V*")),IF(COUNTIF(AC203,"*R*"),SUBSTITUTE(SUBSTITUTE(AC203,"P",""),"R","S")&amp; Data!CR48,SUBSTITUTE(AC203,"P","")&amp; Data!CR48),IF(AND(COUNTIF(AC203,"*P*"),COUNTIF(AC203,"*R*")),SUBSTITUTE(AC203,"R","S")&amp;Data!CR48,IF(AND(COUNTIF(AC203,"*V*"),COUNTIF(AC203,"*R*")),SUBSTITUTE(AC203,"R","S")&amp;Data!CR48,AC203 &amp; Data!CR48))),SUBSTITUTE(SUBSTITUTE(SUBSTITUTE(SUBSTITUTE(SUBSTITUTE(SUBSTITUTE(SUBSTITUTE(SUBSTITUTE(SUBSTITUTE(SUBSTITUTE(IF(AND(COUNTIF(AC203,"*P*"),COUNTIF(AC203,"*V*")),IF(COUNTIF(AC203,"*R*"),SUBSTITUTE(SUBSTITUTE(AC203,"P",""),"R","S"),SUBSTITUTE(AC203,"P","")),IF(AND(COUNTIF(AC203,"*P*"),COUNTIF(AC203,"*R*")),SUBSTITUTE(AC203,"R","S"),IF(AND(COUNTIF(AC203,"*V*"),COUNTIF(AC203,"*R*")),SUBSTITUTE(AC203,"R","S"),AC203))),"0",""),"1",""),"2",""),"3",""),"4",""),"5",""),"6",""),"7",""),"8",""),"9","")&amp; Data!CR48),"")</f>
        <v/>
      </c>
      <c r="AD220" s="41" t="str">
        <f>IF(AD203&lt;&gt;"",IF(OR(COUNTIF(AD203,"L*"),COUNTIF(AD203, "X*")),IF(AND(COUNTIF(AD203,"*P*"),COUNTIF(AD203,"*V*")),IF(COUNTIF(AD203,"*R*"),SUBSTITUTE(SUBSTITUTE(AD203,"P",""),"R","S")&amp; Data!CS48,SUBSTITUTE(AD203,"P","")&amp; Data!CS48),IF(AND(COUNTIF(AD203,"*P*"),COUNTIF(AD203,"*R*")),SUBSTITUTE(AD203,"R","S")&amp;Data!CS48,IF(AND(COUNTIF(AD203,"*V*"),COUNTIF(AD203,"*R*")),SUBSTITUTE(AD203,"R","S")&amp;Data!CS48,AD203 &amp; Data!CS48))),SUBSTITUTE(SUBSTITUTE(SUBSTITUTE(SUBSTITUTE(SUBSTITUTE(SUBSTITUTE(SUBSTITUTE(SUBSTITUTE(SUBSTITUTE(SUBSTITUTE(IF(AND(COUNTIF(AD203,"*P*"),COUNTIF(AD203,"*V*")),IF(COUNTIF(AD203,"*R*"),SUBSTITUTE(SUBSTITUTE(AD203,"P",""),"R","S"),SUBSTITUTE(AD203,"P","")),IF(AND(COUNTIF(AD203,"*P*"),COUNTIF(AD203,"*R*")),SUBSTITUTE(AD203,"R","S"),IF(AND(COUNTIF(AD203,"*V*"),COUNTIF(AD203,"*R*")),SUBSTITUTE(AD203,"R","S"),AD203))),"0",""),"1",""),"2",""),"3",""),"4",""),"5",""),"6",""),"7",""),"8",""),"9","")&amp; Data!CS48),"")</f>
        <v/>
      </c>
      <c r="AE220" s="41" t="str">
        <f>IF(AE203&lt;&gt;"",IF(OR(COUNTIF(AE203,"L*"),COUNTIF(AE203, "X*")),IF(AND(COUNTIF(AE203,"*P*"),COUNTIF(AE203,"*V*")),IF(COUNTIF(AE203,"*R*"),SUBSTITUTE(SUBSTITUTE(AE203,"P",""),"R","S")&amp; Data!CT48,SUBSTITUTE(AE203,"P","")&amp; Data!CT48),IF(AND(COUNTIF(AE203,"*P*"),COUNTIF(AE203,"*R*")),SUBSTITUTE(AE203,"R","S")&amp;Data!CT48,IF(AND(COUNTIF(AE203,"*V*"),COUNTIF(AE203,"*R*")),SUBSTITUTE(AE203,"R","S")&amp;Data!CT48,AE203 &amp; Data!CT48))),SUBSTITUTE(SUBSTITUTE(SUBSTITUTE(SUBSTITUTE(SUBSTITUTE(SUBSTITUTE(SUBSTITUTE(SUBSTITUTE(SUBSTITUTE(SUBSTITUTE(IF(AND(COUNTIF(AE203,"*P*"),COUNTIF(AE203,"*V*")),IF(COUNTIF(AE203,"*R*"),SUBSTITUTE(SUBSTITUTE(AE203,"P",""),"R","S"),SUBSTITUTE(AE203,"P","")),IF(AND(COUNTIF(AE203,"*P*"),COUNTIF(AE203,"*R*")),SUBSTITUTE(AE203,"R","S"),IF(AND(COUNTIF(AE203,"*V*"),COUNTIF(AE203,"*R*")),SUBSTITUTE(AE203,"R","S"),AE203))),"0",""),"1",""),"2",""),"3",""),"4",""),"5",""),"6",""),"7",""),"8",""),"9","")&amp; Data!CT48),"")</f>
        <v/>
      </c>
      <c r="AF220" s="41" t="str">
        <f>IF(AF203&lt;&gt;"",IF(OR(COUNTIF(AF203,"L*"),COUNTIF(AF203, "X*")),IF(AND(COUNTIF(AF203,"*P*"),COUNTIF(AF203,"*V*")),IF(COUNTIF(AF203,"*R*"),SUBSTITUTE(SUBSTITUTE(AF203,"P",""),"R","S")&amp; Data!CU48,SUBSTITUTE(AF203,"P","")&amp; Data!CU48),IF(AND(COUNTIF(AF203,"*P*"),COUNTIF(AF203,"*R*")),SUBSTITUTE(AF203,"R","S")&amp;Data!CU48,IF(AND(COUNTIF(AF203,"*V*"),COUNTIF(AF203,"*R*")),SUBSTITUTE(AF203,"R","S")&amp;Data!CU48,AF203 &amp; Data!CU48))),SUBSTITUTE(SUBSTITUTE(SUBSTITUTE(SUBSTITUTE(SUBSTITUTE(SUBSTITUTE(SUBSTITUTE(SUBSTITUTE(SUBSTITUTE(SUBSTITUTE(IF(AND(COUNTIF(AF203,"*P*"),COUNTIF(AF203,"*V*")),IF(COUNTIF(AF203,"*R*"),SUBSTITUTE(SUBSTITUTE(AF203,"P",""),"R","S"),SUBSTITUTE(AF203,"P","")),IF(AND(COUNTIF(AF203,"*P*"),COUNTIF(AF203,"*R*")),SUBSTITUTE(AF203,"R","S"),IF(AND(COUNTIF(AF203,"*V*"),COUNTIF(AF203,"*R*")),SUBSTITUTE(AF203,"R","S"),AF203))),"0",""),"1",""),"2",""),"3",""),"4",""),"5",""),"6",""),"7",""),"8",""),"9","")&amp; Data!CU48),"")</f>
        <v/>
      </c>
      <c r="AG220" s="41" t="str">
        <f>IF(AG203&lt;&gt;"",IF(OR(COUNTIF(AG203,"L*"),COUNTIF(AG203, "X*")),IF(AND(COUNTIF(AG203,"*P*"),COUNTIF(AG203,"*V*")),IF(COUNTIF(AG203,"*R*"),SUBSTITUTE(SUBSTITUTE(AG203,"P",""),"R","S")&amp; Data!CV48,SUBSTITUTE(AG203,"P","")&amp; Data!CV48),IF(AND(COUNTIF(AG203,"*P*"),COUNTIF(AG203,"*R*")),SUBSTITUTE(AG203,"R","S")&amp;Data!CV48,IF(AND(COUNTIF(AG203,"*V*"),COUNTIF(AG203,"*R*")),SUBSTITUTE(AG203,"R","S")&amp;Data!CV48,AG203 &amp; Data!CV48))),SUBSTITUTE(SUBSTITUTE(SUBSTITUTE(SUBSTITUTE(SUBSTITUTE(SUBSTITUTE(SUBSTITUTE(SUBSTITUTE(SUBSTITUTE(SUBSTITUTE(IF(AND(COUNTIF(AG203,"*P*"),COUNTIF(AG203,"*V*")),IF(COUNTIF(AG203,"*R*"),SUBSTITUTE(SUBSTITUTE(AG203,"P",""),"R","S"),SUBSTITUTE(AG203,"P","")),IF(AND(COUNTIF(AG203,"*P*"),COUNTIF(AG203,"*R*")),SUBSTITUTE(AG203,"R","S"),IF(AND(COUNTIF(AG203,"*V*"),COUNTIF(AG203,"*R*")),SUBSTITUTE(AG203,"R","S"),AG203))),"0",""),"1",""),"2",""),"3",""),"4",""),"5",""),"6",""),"7",""),"8",""),"9","")&amp; Data!CV48),"")</f>
        <v/>
      </c>
      <c r="AH220" s="41" t="str">
        <f>IF(AH203&lt;&gt;"",IF(OR(COUNTIF(AH203,"L*"),COUNTIF(AH203, "X*")),IF(AND(COUNTIF(AH203,"*P*"),COUNTIF(AH203,"*V*")),IF(COUNTIF(AH203,"*R*"),SUBSTITUTE(SUBSTITUTE(AH203,"P",""),"R","S")&amp; Data!CW48,SUBSTITUTE(AH203,"P","")&amp; Data!CW48),IF(AND(COUNTIF(AH203,"*P*"),COUNTIF(AH203,"*R*")),SUBSTITUTE(AH203,"R","S")&amp;Data!CW48,IF(AND(COUNTIF(AH203,"*V*"),COUNTIF(AH203,"*R*")),SUBSTITUTE(AH203,"R","S")&amp;Data!CW48,AH203 &amp; Data!CW48))),SUBSTITUTE(SUBSTITUTE(SUBSTITUTE(SUBSTITUTE(SUBSTITUTE(SUBSTITUTE(SUBSTITUTE(SUBSTITUTE(SUBSTITUTE(SUBSTITUTE(IF(AND(COUNTIF(AH203,"*P*"),COUNTIF(AH203,"*V*")),IF(COUNTIF(AH203,"*R*"),SUBSTITUTE(SUBSTITUTE(AH203,"P",""),"R","S"),SUBSTITUTE(AH203,"P","")),IF(AND(COUNTIF(AH203,"*P*"),COUNTIF(AH203,"*R*")),SUBSTITUTE(AH203,"R","S"),IF(AND(COUNTIF(AH203,"*V*"),COUNTIF(AH203,"*R*")),SUBSTITUTE(AH203,"R","S"),AH203))),"0",""),"1",""),"2",""),"3",""),"4",""),"5",""),"6",""),"7",""),"8",""),"9","")&amp; Data!CW48),"")</f>
        <v/>
      </c>
      <c r="AI220" s="41" t="str">
        <f>IF(AI203&lt;&gt;"",IF(OR(COUNTIF(AI203,"L*"),COUNTIF(AI203, "X*")),IF(AND(COUNTIF(AI203,"*P*"),COUNTIF(AI203,"*V*")),IF(COUNTIF(AI203,"*R*"),SUBSTITUTE(SUBSTITUTE(AI203,"P",""),"R","S")&amp; Data!CX48,SUBSTITUTE(AI203,"P","")&amp; Data!CX48),IF(AND(COUNTIF(AI203,"*P*"),COUNTIF(AI203,"*R*")),SUBSTITUTE(AI203,"R","S")&amp;Data!CX48,IF(AND(COUNTIF(AI203,"*V*"),COUNTIF(AI203,"*R*")),SUBSTITUTE(AI203,"R","S")&amp;Data!CX48,AI203 &amp; Data!CX48))),SUBSTITUTE(SUBSTITUTE(SUBSTITUTE(SUBSTITUTE(SUBSTITUTE(SUBSTITUTE(SUBSTITUTE(SUBSTITUTE(SUBSTITUTE(SUBSTITUTE(IF(AND(COUNTIF(AI203,"*P*"),COUNTIF(AI203,"*V*")),IF(COUNTIF(AI203,"*R*"),SUBSTITUTE(SUBSTITUTE(AI203,"P",""),"R","S"),SUBSTITUTE(AI203,"P","")),IF(AND(COUNTIF(AI203,"*P*"),COUNTIF(AI203,"*R*")),SUBSTITUTE(AI203,"R","S"),IF(AND(COUNTIF(AI203,"*V*"),COUNTIF(AI203,"*R*")),SUBSTITUTE(AI203,"R","S"),AI203))),"0",""),"1",""),"2",""),"3",""),"4",""),"5",""),"6",""),"7",""),"8",""),"9","")&amp; Data!CX48),"")</f>
        <v/>
      </c>
      <c r="AJ220" s="41" t="str">
        <f>IF(AJ203&lt;&gt;"",IF(OR(COUNTIF(AJ203,"L*"),COUNTIF(AJ203, "X*")),IF(AND(COUNTIF(AJ203,"*P*"),COUNTIF(AJ203,"*V*")),IF(COUNTIF(AJ203,"*R*"),SUBSTITUTE(SUBSTITUTE(AJ203,"P",""),"R","S")&amp; Data!CY48,SUBSTITUTE(AJ203,"P","")&amp; Data!CY48),IF(AND(COUNTIF(AJ203,"*P*"),COUNTIF(AJ203,"*R*")),SUBSTITUTE(AJ203,"R","S")&amp;Data!CY48,IF(AND(COUNTIF(AJ203,"*V*"),COUNTIF(AJ203,"*R*")),SUBSTITUTE(AJ203,"R","S")&amp;Data!CY48,AJ203 &amp; Data!CY48))),SUBSTITUTE(SUBSTITUTE(SUBSTITUTE(SUBSTITUTE(SUBSTITUTE(SUBSTITUTE(SUBSTITUTE(SUBSTITUTE(SUBSTITUTE(SUBSTITUTE(IF(AND(COUNTIF(AJ203,"*P*"),COUNTIF(AJ203,"*V*")),IF(COUNTIF(AJ203,"*R*"),SUBSTITUTE(SUBSTITUTE(AJ203,"P",""),"R","S"),SUBSTITUTE(AJ203,"P","")),IF(AND(COUNTIF(AJ203,"*P*"),COUNTIF(AJ203,"*R*")),SUBSTITUTE(AJ203,"R","S"),IF(AND(COUNTIF(AJ203,"*V*"),COUNTIF(AJ203,"*R*")),SUBSTITUTE(AJ203,"R","S"),AJ203))),"0",""),"1",""),"2",""),"3",""),"4",""),"5",""),"6",""),"7",""),"8",""),"9","")&amp; Data!CY48),"")</f>
        <v/>
      </c>
    </row>
    <row r="221" spans="1:37" ht="23.25" customHeight="1" x14ac:dyDescent="0.35">
      <c r="A221" s="1196"/>
      <c r="B221" s="22">
        <v>4</v>
      </c>
      <c r="C221" s="41" t="str">
        <f>IF(C204&lt;&gt;"",IF(OR(COUNTIF(C204,"L*"),COUNTIF(C204, "X*")),IF(AND(COUNTIF(C204,"*P*"),COUNTIF(C204,"*V*")),IF(COUNTIF(C204,"*R*"),SUBSTITUTE(SUBSTITUTE(C204,"P",""),"R","S")&amp; Data!BR49,SUBSTITUTE(C204,"P","")&amp; Data!BR49),IF(AND(COUNTIF(C204,"*P*"),COUNTIF(C204,"*R*")),SUBSTITUTE(C204,"R","S")&amp;Data!BR49,IF(AND(COUNTIF(C204,"*V*"),COUNTIF(C204,"*R*")),SUBSTITUTE(C204,"R","S")&amp;Data!BR49,C204 &amp; Data!BR49))),SUBSTITUTE(SUBSTITUTE(SUBSTITUTE(SUBSTITUTE(SUBSTITUTE(SUBSTITUTE(SUBSTITUTE(SUBSTITUTE(SUBSTITUTE(SUBSTITUTE(IF(AND(COUNTIF(C204,"*P*"),COUNTIF(C204,"*V*")),IF(COUNTIF(C204,"*R*"),SUBSTITUTE(SUBSTITUTE(C204,"P",""),"R","S"),SUBSTITUTE(C204,"P","")),IF(AND(COUNTIF(C204,"*P*"),COUNTIF(C204,"*R*")),SUBSTITUTE(C204,"R","S"),IF(AND(COUNTIF(C204,"*V*"),COUNTIF(C204,"*R*")),SUBSTITUTE(C204,"R","S"),C204))),"0",""),"1",""),"2",""),"3",""),"4",""),"5",""),"6",""),"7",""),"8",""),"9","")&amp; Data!BR49),"")</f>
        <v/>
      </c>
      <c r="D221" s="41" t="str">
        <f>IF(D204&lt;&gt;"",IF(OR(COUNTIF(D204,"L*"),COUNTIF(D204, "X*")),IF(AND(COUNTIF(D204,"*P*"),COUNTIF(D204,"*V*")),IF(COUNTIF(D204,"*R*"),SUBSTITUTE(SUBSTITUTE(D204,"P",""),"R","S")&amp; Data!BS49,SUBSTITUTE(D204,"P","")&amp; Data!BS49),IF(AND(COUNTIF(D204,"*P*"),COUNTIF(D204,"*R*")),SUBSTITUTE(D204,"R","S")&amp;Data!BS49,IF(AND(COUNTIF(D204,"*V*"),COUNTIF(D204,"*R*")),SUBSTITUTE(D204,"R","S")&amp;Data!BS49,D204 &amp; Data!BS49))),SUBSTITUTE(SUBSTITUTE(SUBSTITUTE(SUBSTITUTE(SUBSTITUTE(SUBSTITUTE(SUBSTITUTE(SUBSTITUTE(SUBSTITUTE(SUBSTITUTE(IF(AND(COUNTIF(D204,"*P*"),COUNTIF(D204,"*V*")),IF(COUNTIF(D204,"*R*"),SUBSTITUTE(SUBSTITUTE(D204,"P",""),"R","S"),SUBSTITUTE(D204,"P","")),IF(AND(COUNTIF(D204,"*P*"),COUNTIF(D204,"*R*")),SUBSTITUTE(D204,"R","S"),IF(AND(COUNTIF(D204,"*V*"),COUNTIF(D204,"*R*")),SUBSTITUTE(D204,"R","S"),D204))),"0",""),"1",""),"2",""),"3",""),"4",""),"5",""),"6",""),"7",""),"8",""),"9","")&amp; Data!BS49),"")</f>
        <v/>
      </c>
      <c r="E221" s="41" t="str">
        <f>IF(E204&lt;&gt;"",IF(OR(COUNTIF(E204,"L*"),COUNTIF(E204, "X*")),IF(AND(COUNTIF(E204,"*P*"),COUNTIF(E204,"*V*")),IF(COUNTIF(E204,"*R*"),SUBSTITUTE(SUBSTITUTE(E204,"P",""),"R","S")&amp; Data!BT49,SUBSTITUTE(E204,"P","")&amp; Data!BT49),IF(AND(COUNTIF(E204,"*P*"),COUNTIF(E204,"*R*")),SUBSTITUTE(E204,"R","S")&amp;Data!BT49,IF(AND(COUNTIF(E204,"*V*"),COUNTIF(E204,"*R*")),SUBSTITUTE(E204,"R","S")&amp;Data!BT49,E204 &amp; Data!BT49))),SUBSTITUTE(SUBSTITUTE(SUBSTITUTE(SUBSTITUTE(SUBSTITUTE(SUBSTITUTE(SUBSTITUTE(SUBSTITUTE(SUBSTITUTE(SUBSTITUTE(IF(AND(COUNTIF(E204,"*P*"),COUNTIF(E204,"*V*")),IF(COUNTIF(E204,"*R*"),SUBSTITUTE(SUBSTITUTE(E204,"P",""),"R","S"),SUBSTITUTE(E204,"P","")),IF(AND(COUNTIF(E204,"*P*"),COUNTIF(E204,"*R*")),SUBSTITUTE(E204,"R","S"),IF(AND(COUNTIF(E204,"*V*"),COUNTIF(E204,"*R*")),SUBSTITUTE(E204,"R","S"),E204))),"0",""),"1",""),"2",""),"3",""),"4",""),"5",""),"6",""),"7",""),"8",""),"9","")&amp; Data!BT49),"")</f>
        <v/>
      </c>
      <c r="F221" s="41" t="str">
        <f>IF(F204&lt;&gt;"",IF(OR(COUNTIF(F204,"L*"),COUNTIF(F204, "X*")),IF(AND(COUNTIF(F204,"*P*"),COUNTIF(F204,"*V*")),IF(COUNTIF(F204,"*R*"),SUBSTITUTE(SUBSTITUTE(F204,"P",""),"R","S")&amp; Data!BU49,SUBSTITUTE(F204,"P","")&amp; Data!BU49),IF(AND(COUNTIF(F204,"*P*"),COUNTIF(F204,"*R*")),SUBSTITUTE(F204,"R","S")&amp;Data!BU49,IF(AND(COUNTIF(F204,"*V*"),COUNTIF(F204,"*R*")),SUBSTITUTE(F204,"R","S")&amp;Data!BU49,F204 &amp; Data!BU49))),SUBSTITUTE(SUBSTITUTE(SUBSTITUTE(SUBSTITUTE(SUBSTITUTE(SUBSTITUTE(SUBSTITUTE(SUBSTITUTE(SUBSTITUTE(SUBSTITUTE(IF(AND(COUNTIF(F204,"*P*"),COUNTIF(F204,"*V*")),IF(COUNTIF(F204,"*R*"),SUBSTITUTE(SUBSTITUTE(F204,"P",""),"R","S"),SUBSTITUTE(F204,"P","")),IF(AND(COUNTIF(F204,"*P*"),COUNTIF(F204,"*R*")),SUBSTITUTE(F204,"R","S"),IF(AND(COUNTIF(F204,"*V*"),COUNTIF(F204,"*R*")),SUBSTITUTE(F204,"R","S"),F204))),"0",""),"1",""),"2",""),"3",""),"4",""),"5",""),"6",""),"7",""),"8",""),"9","")&amp; Data!BU49),"")</f>
        <v/>
      </c>
      <c r="G221" s="41" t="str">
        <f>IF(G204&lt;&gt;"",IF(OR(COUNTIF(G204,"L*"),COUNTIF(G204, "X*")),IF(AND(COUNTIF(G204,"*P*"),COUNTIF(G204,"*V*")),IF(COUNTIF(G204,"*R*"),SUBSTITUTE(SUBSTITUTE(G204,"P",""),"R","S")&amp; Data!BV49,SUBSTITUTE(G204,"P","")&amp; Data!BV49),IF(AND(COUNTIF(G204,"*P*"),COUNTIF(G204,"*R*")),SUBSTITUTE(G204,"R","S")&amp;Data!BV49,IF(AND(COUNTIF(G204,"*V*"),COUNTIF(G204,"*R*")),SUBSTITUTE(G204,"R","S")&amp;Data!BV49,G204 &amp; Data!BV49))),SUBSTITUTE(SUBSTITUTE(SUBSTITUTE(SUBSTITUTE(SUBSTITUTE(SUBSTITUTE(SUBSTITUTE(SUBSTITUTE(SUBSTITUTE(SUBSTITUTE(IF(AND(COUNTIF(G204,"*P*"),COUNTIF(G204,"*V*")),IF(COUNTIF(G204,"*R*"),SUBSTITUTE(SUBSTITUTE(G204,"P",""),"R","S"),SUBSTITUTE(G204,"P","")),IF(AND(COUNTIF(G204,"*P*"),COUNTIF(G204,"*R*")),SUBSTITUTE(G204,"R","S"),IF(AND(COUNTIF(G204,"*V*"),COUNTIF(G204,"*R*")),SUBSTITUTE(G204,"R","S"),G204))),"0",""),"1",""),"2",""),"3",""),"4",""),"5",""),"6",""),"7",""),"8",""),"9","")&amp; Data!BV49),"")</f>
        <v/>
      </c>
      <c r="H221" s="41" t="str">
        <f>IF(H204&lt;&gt;"",IF(OR(COUNTIF(H204,"L*"),COUNTIF(H204, "X*")),IF(AND(COUNTIF(H204,"*P*"),COUNTIF(H204,"*V*")),IF(COUNTIF(H204,"*R*"),SUBSTITUTE(SUBSTITUTE(H204,"P",""),"R","S")&amp; Data!BW49,SUBSTITUTE(H204,"P","")&amp; Data!BW49),IF(AND(COUNTIF(H204,"*P*"),COUNTIF(H204,"*R*")),SUBSTITUTE(H204,"R","S")&amp;Data!BW49,IF(AND(COUNTIF(H204,"*V*"),COUNTIF(H204,"*R*")),SUBSTITUTE(H204,"R","S")&amp;Data!BW49,H204 &amp; Data!BW49))),SUBSTITUTE(SUBSTITUTE(SUBSTITUTE(SUBSTITUTE(SUBSTITUTE(SUBSTITUTE(SUBSTITUTE(SUBSTITUTE(SUBSTITUTE(SUBSTITUTE(IF(AND(COUNTIF(H204,"*P*"),COUNTIF(H204,"*V*")),IF(COUNTIF(H204,"*R*"),SUBSTITUTE(SUBSTITUTE(H204,"P",""),"R","S"),SUBSTITUTE(H204,"P","")),IF(AND(COUNTIF(H204,"*P*"),COUNTIF(H204,"*R*")),SUBSTITUTE(H204,"R","S"),IF(AND(COUNTIF(H204,"*V*"),COUNTIF(H204,"*R*")),SUBSTITUTE(H204,"R","S"),H204))),"0",""),"1",""),"2",""),"3",""),"4",""),"5",""),"6",""),"7",""),"8",""),"9","")&amp; Data!BW49),"")</f>
        <v/>
      </c>
      <c r="I221" s="41" t="str">
        <f>IF(I204&lt;&gt;"",IF(OR(COUNTIF(I204,"L*"),COUNTIF(I204, "X*")),IF(AND(COUNTIF(I204,"*P*"),COUNTIF(I204,"*V*")),IF(COUNTIF(I204,"*R*"),SUBSTITUTE(SUBSTITUTE(I204,"P",""),"R","S")&amp; Data!BX49,SUBSTITUTE(I204,"P","")&amp; Data!BX49),IF(AND(COUNTIF(I204,"*P*"),COUNTIF(I204,"*R*")),SUBSTITUTE(I204,"R","S")&amp;Data!BX49,IF(AND(COUNTIF(I204,"*V*"),COUNTIF(I204,"*R*")),SUBSTITUTE(I204,"R","S")&amp;Data!BX49,I204 &amp; Data!BX49))),SUBSTITUTE(SUBSTITUTE(SUBSTITUTE(SUBSTITUTE(SUBSTITUTE(SUBSTITUTE(SUBSTITUTE(SUBSTITUTE(SUBSTITUTE(SUBSTITUTE(IF(AND(COUNTIF(I204,"*P*"),COUNTIF(I204,"*V*")),IF(COUNTIF(I204,"*R*"),SUBSTITUTE(SUBSTITUTE(I204,"P",""),"R","S"),SUBSTITUTE(I204,"P","")),IF(AND(COUNTIF(I204,"*P*"),COUNTIF(I204,"*R*")),SUBSTITUTE(I204,"R","S"),IF(AND(COUNTIF(I204,"*V*"),COUNTIF(I204,"*R*")),SUBSTITUTE(I204,"R","S"),I204))),"0",""),"1",""),"2",""),"3",""),"4",""),"5",""),"6",""),"7",""),"8",""),"9","")&amp; Data!BX49),"")</f>
        <v/>
      </c>
      <c r="J221" s="41" t="str">
        <f>IF(J204&lt;&gt;"",IF(OR(COUNTIF(J204,"L*"),COUNTIF(J204, "X*")),IF(AND(COUNTIF(J204,"*P*"),COUNTIF(J204,"*V*")),IF(COUNTIF(J204,"*R*"),SUBSTITUTE(SUBSTITUTE(J204,"P",""),"R","S")&amp; Data!BY49,SUBSTITUTE(J204,"P","")&amp; Data!BY49),IF(AND(COUNTIF(J204,"*P*"),COUNTIF(J204,"*R*")),SUBSTITUTE(J204,"R","S")&amp;Data!BY49,IF(AND(COUNTIF(J204,"*V*"),COUNTIF(J204,"*R*")),SUBSTITUTE(J204,"R","S")&amp;Data!BY49,J204 &amp; Data!BY49))),SUBSTITUTE(SUBSTITUTE(SUBSTITUTE(SUBSTITUTE(SUBSTITUTE(SUBSTITUTE(SUBSTITUTE(SUBSTITUTE(SUBSTITUTE(SUBSTITUTE(IF(AND(COUNTIF(J204,"*P*"),COUNTIF(J204,"*V*")),IF(COUNTIF(J204,"*R*"),SUBSTITUTE(SUBSTITUTE(J204,"P",""),"R","S"),SUBSTITUTE(J204,"P","")),IF(AND(COUNTIF(J204,"*P*"),COUNTIF(J204,"*R*")),SUBSTITUTE(J204,"R","S"),IF(AND(COUNTIF(J204,"*V*"),COUNTIF(J204,"*R*")),SUBSTITUTE(J204,"R","S"),J204))),"0",""),"1",""),"2",""),"3",""),"4",""),"5",""),"6",""),"7",""),"8",""),"9","")&amp; Data!BY49),"")</f>
        <v/>
      </c>
      <c r="K221" s="41" t="str">
        <f>IF(K204&lt;&gt;"",IF(OR(COUNTIF(K204,"L*"),COUNTIF(K204, "X*")),IF(AND(COUNTIF(K204,"*P*"),COUNTIF(K204,"*V*")),IF(COUNTIF(K204,"*R*"),SUBSTITUTE(SUBSTITUTE(K204,"P",""),"R","S")&amp; Data!BZ49,SUBSTITUTE(K204,"P","")&amp; Data!BZ49),IF(AND(COUNTIF(K204,"*P*"),COUNTIF(K204,"*R*")),SUBSTITUTE(K204,"R","S")&amp;Data!BZ49,IF(AND(COUNTIF(K204,"*V*"),COUNTIF(K204,"*R*")),SUBSTITUTE(K204,"R","S")&amp;Data!BZ49,K204 &amp; Data!BZ49))),SUBSTITUTE(SUBSTITUTE(SUBSTITUTE(SUBSTITUTE(SUBSTITUTE(SUBSTITUTE(SUBSTITUTE(SUBSTITUTE(SUBSTITUTE(SUBSTITUTE(IF(AND(COUNTIF(K204,"*P*"),COUNTIF(K204,"*V*")),IF(COUNTIF(K204,"*R*"),SUBSTITUTE(SUBSTITUTE(K204,"P",""),"R","S"),SUBSTITUTE(K204,"P","")),IF(AND(COUNTIF(K204,"*P*"),COUNTIF(K204,"*R*")),SUBSTITUTE(K204,"R","S"),IF(AND(COUNTIF(K204,"*V*"),COUNTIF(K204,"*R*")),SUBSTITUTE(K204,"R","S"),K204))),"0",""),"1",""),"2",""),"3",""),"4",""),"5",""),"6",""),"7",""),"8",""),"9","")&amp; Data!BZ49),"")</f>
        <v/>
      </c>
      <c r="L221" s="41" t="str">
        <f>IF(L204&lt;&gt;"",IF(OR(COUNTIF(L204,"L*"),COUNTIF(L204, "X*")),IF(AND(COUNTIF(L204,"*P*"),COUNTIF(L204,"*V*")),IF(COUNTIF(L204,"*R*"),SUBSTITUTE(SUBSTITUTE(L204,"P",""),"R","S")&amp; Data!CA49,SUBSTITUTE(L204,"P","")&amp; Data!CA49),IF(AND(COUNTIF(L204,"*P*"),COUNTIF(L204,"*R*")),SUBSTITUTE(L204,"R","S")&amp;Data!CA49,IF(AND(COUNTIF(L204,"*V*"),COUNTIF(L204,"*R*")),SUBSTITUTE(L204,"R","S")&amp;Data!CA49,L204 &amp; Data!CA49))),SUBSTITUTE(SUBSTITUTE(SUBSTITUTE(SUBSTITUTE(SUBSTITUTE(SUBSTITUTE(SUBSTITUTE(SUBSTITUTE(SUBSTITUTE(SUBSTITUTE(IF(AND(COUNTIF(L204,"*P*"),COUNTIF(L204,"*V*")),IF(COUNTIF(L204,"*R*"),SUBSTITUTE(SUBSTITUTE(L204,"P",""),"R","S"),SUBSTITUTE(L204,"P","")),IF(AND(COUNTIF(L204,"*P*"),COUNTIF(L204,"*R*")),SUBSTITUTE(L204,"R","S"),IF(AND(COUNTIF(L204,"*V*"),COUNTIF(L204,"*R*")),SUBSTITUTE(L204,"R","S"),L204))),"0",""),"1",""),"2",""),"3",""),"4",""),"5",""),"6",""),"7",""),"8",""),"9","")&amp; Data!CA49),"")</f>
        <v/>
      </c>
      <c r="M221" s="41" t="str">
        <f>IF(M204&lt;&gt;"",IF(OR(COUNTIF(M204,"L*"),COUNTIF(M204, "X*")),IF(AND(COUNTIF(M204,"*P*"),COUNTIF(M204,"*V*")),IF(COUNTIF(M204,"*R*"),SUBSTITUTE(SUBSTITUTE(M204,"P",""),"R","S")&amp; Data!CB49,SUBSTITUTE(M204,"P","")&amp; Data!CB49),IF(AND(COUNTIF(M204,"*P*"),COUNTIF(M204,"*R*")),SUBSTITUTE(M204,"R","S")&amp;Data!CB49,IF(AND(COUNTIF(M204,"*V*"),COUNTIF(M204,"*R*")),SUBSTITUTE(M204,"R","S")&amp;Data!CB49,M204 &amp; Data!CB49))),SUBSTITUTE(SUBSTITUTE(SUBSTITUTE(SUBSTITUTE(SUBSTITUTE(SUBSTITUTE(SUBSTITUTE(SUBSTITUTE(SUBSTITUTE(SUBSTITUTE(IF(AND(COUNTIF(M204,"*P*"),COUNTIF(M204,"*V*")),IF(COUNTIF(M204,"*R*"),SUBSTITUTE(SUBSTITUTE(M204,"P",""),"R","S"),SUBSTITUTE(M204,"P","")),IF(AND(COUNTIF(M204,"*P*"),COUNTIF(M204,"*R*")),SUBSTITUTE(M204,"R","S"),IF(AND(COUNTIF(M204,"*V*"),COUNTIF(M204,"*R*")),SUBSTITUTE(M204,"R","S"),M204))),"0",""),"1",""),"2",""),"3",""),"4",""),"5",""),"6",""),"7",""),"8",""),"9","")&amp; Data!CB49),"")</f>
        <v/>
      </c>
      <c r="N221" s="41" t="str">
        <f>IF(N204&lt;&gt;"",IF(OR(COUNTIF(N204,"L*"),COUNTIF(N204, "X*")),IF(AND(COUNTIF(N204,"*P*"),COUNTIF(N204,"*V*")),IF(COUNTIF(N204,"*R*"),SUBSTITUTE(SUBSTITUTE(N204,"P",""),"R","S")&amp; Data!CC49,SUBSTITUTE(N204,"P","")&amp; Data!CC49),IF(AND(COUNTIF(N204,"*P*"),COUNTIF(N204,"*R*")),SUBSTITUTE(N204,"R","S")&amp;Data!CC49,IF(AND(COUNTIF(N204,"*V*"),COUNTIF(N204,"*R*")),SUBSTITUTE(N204,"R","S")&amp;Data!CC49,N204 &amp; Data!CC49))),SUBSTITUTE(SUBSTITUTE(SUBSTITUTE(SUBSTITUTE(SUBSTITUTE(SUBSTITUTE(SUBSTITUTE(SUBSTITUTE(SUBSTITUTE(SUBSTITUTE(IF(AND(COUNTIF(N204,"*P*"),COUNTIF(N204,"*V*")),IF(COUNTIF(N204,"*R*"),SUBSTITUTE(SUBSTITUTE(N204,"P",""),"R","S"),SUBSTITUTE(N204,"P","")),IF(AND(COUNTIF(N204,"*P*"),COUNTIF(N204,"*R*")),SUBSTITUTE(N204,"R","S"),IF(AND(COUNTIF(N204,"*V*"),COUNTIF(N204,"*R*")),SUBSTITUTE(N204,"R","S"),N204))),"0",""),"1",""),"2",""),"3",""),"4",""),"5",""),"6",""),"7",""),"8",""),"9","")&amp; Data!CC49),"")</f>
        <v/>
      </c>
      <c r="O221" s="41" t="str">
        <f>IF(O204&lt;&gt;"",IF(OR(COUNTIF(O204,"L*"),COUNTIF(O204, "X*")),IF(AND(COUNTIF(O204,"*P*"),COUNTIF(O204,"*V*")),IF(COUNTIF(O204,"*R*"),SUBSTITUTE(SUBSTITUTE(O204,"P",""),"R","S")&amp; Data!CD49,SUBSTITUTE(O204,"P","")&amp; Data!CD49),IF(AND(COUNTIF(O204,"*P*"),COUNTIF(O204,"*R*")),SUBSTITUTE(O204,"R","S")&amp;Data!CD49,IF(AND(COUNTIF(O204,"*V*"),COUNTIF(O204,"*R*")),SUBSTITUTE(O204,"R","S")&amp;Data!CD49,O204 &amp; Data!CD49))),SUBSTITUTE(SUBSTITUTE(SUBSTITUTE(SUBSTITUTE(SUBSTITUTE(SUBSTITUTE(SUBSTITUTE(SUBSTITUTE(SUBSTITUTE(SUBSTITUTE(IF(AND(COUNTIF(O204,"*P*"),COUNTIF(O204,"*V*")),IF(COUNTIF(O204,"*R*"),SUBSTITUTE(SUBSTITUTE(O204,"P",""),"R","S"),SUBSTITUTE(O204,"P","")),IF(AND(COUNTIF(O204,"*P*"),COUNTIF(O204,"*R*")),SUBSTITUTE(O204,"R","S"),IF(AND(COUNTIF(O204,"*V*"),COUNTIF(O204,"*R*")),SUBSTITUTE(O204,"R","S"),O204))),"0",""),"1",""),"2",""),"3",""),"4",""),"5",""),"6",""),"7",""),"8",""),"9","")&amp; Data!CD49),"")</f>
        <v/>
      </c>
      <c r="P221" s="41" t="str">
        <f>IF(P204&lt;&gt;"",IF(OR(COUNTIF(P204,"L*"),COUNTIF(P204, "X*")),IF(AND(COUNTIF(P204,"*P*"),COUNTIF(P204,"*V*")),IF(COUNTIF(P204,"*R*"),SUBSTITUTE(SUBSTITUTE(P204,"P",""),"R","S")&amp; Data!CE49,SUBSTITUTE(P204,"P","")&amp; Data!CE49),IF(AND(COUNTIF(P204,"*P*"),COUNTIF(P204,"*R*")),SUBSTITUTE(P204,"R","S")&amp;Data!CE49,IF(AND(COUNTIF(P204,"*V*"),COUNTIF(P204,"*R*")),SUBSTITUTE(P204,"R","S")&amp;Data!CE49,P204 &amp; Data!CE49))),SUBSTITUTE(SUBSTITUTE(SUBSTITUTE(SUBSTITUTE(SUBSTITUTE(SUBSTITUTE(SUBSTITUTE(SUBSTITUTE(SUBSTITUTE(SUBSTITUTE(IF(AND(COUNTIF(P204,"*P*"),COUNTIF(P204,"*V*")),IF(COUNTIF(P204,"*R*"),SUBSTITUTE(SUBSTITUTE(P204,"P",""),"R","S"),SUBSTITUTE(P204,"P","")),IF(AND(COUNTIF(P204,"*P*"),COUNTIF(P204,"*R*")),SUBSTITUTE(P204,"R","S"),IF(AND(COUNTIF(P204,"*V*"),COUNTIF(P204,"*R*")),SUBSTITUTE(P204,"R","S"),P204))),"0",""),"1",""),"2",""),"3",""),"4",""),"5",""),"6",""),"7",""),"8",""),"9","")&amp; Data!CE49),"")</f>
        <v/>
      </c>
      <c r="Q221" s="41" t="str">
        <f>IF(Q204&lt;&gt;"",IF(OR(COUNTIF(Q204,"L*"),COUNTIF(Q204, "X*")),IF(AND(COUNTIF(Q204,"*P*"),COUNTIF(Q204,"*V*")),IF(COUNTIF(Q204,"*R*"),SUBSTITUTE(SUBSTITUTE(Q204,"P",""),"R","S")&amp; Data!CF49,SUBSTITUTE(Q204,"P","")&amp; Data!CF49),IF(AND(COUNTIF(Q204,"*P*"),COUNTIF(Q204,"*R*")),SUBSTITUTE(Q204,"R","S")&amp;Data!CF49,IF(AND(COUNTIF(Q204,"*V*"),COUNTIF(Q204,"*R*")),SUBSTITUTE(Q204,"R","S")&amp;Data!CF49,Q204 &amp; Data!CF49))),SUBSTITUTE(SUBSTITUTE(SUBSTITUTE(SUBSTITUTE(SUBSTITUTE(SUBSTITUTE(SUBSTITUTE(SUBSTITUTE(SUBSTITUTE(SUBSTITUTE(IF(AND(COUNTIF(Q204,"*P*"),COUNTIF(Q204,"*V*")),IF(COUNTIF(Q204,"*R*"),SUBSTITUTE(SUBSTITUTE(Q204,"P",""),"R","S"),SUBSTITUTE(Q204,"P","")),IF(AND(COUNTIF(Q204,"*P*"),COUNTIF(Q204,"*R*")),SUBSTITUTE(Q204,"R","S"),IF(AND(COUNTIF(Q204,"*V*"),COUNTIF(Q204,"*R*")),SUBSTITUTE(Q204,"R","S"),Q204))),"0",""),"1",""),"2",""),"3",""),"4",""),"5",""),"6",""),"7",""),"8",""),"9","")&amp; Data!CF49),"")</f>
        <v/>
      </c>
      <c r="R221" s="41" t="str">
        <f>IF(R204&lt;&gt;"",IF(OR(COUNTIF(R204,"L*"),COUNTIF(R204, "X*")),IF(AND(COUNTIF(R204,"*P*"),COUNTIF(R204,"*V*")),IF(COUNTIF(R204,"*R*"),SUBSTITUTE(SUBSTITUTE(R204,"P",""),"R","S")&amp; Data!CG49,SUBSTITUTE(R204,"P","")&amp; Data!CG49),IF(AND(COUNTIF(R204,"*P*"),COUNTIF(R204,"*R*")),SUBSTITUTE(R204,"R","S")&amp;Data!CG49,IF(AND(COUNTIF(R204,"*V*"),COUNTIF(R204,"*R*")),SUBSTITUTE(R204,"R","S")&amp;Data!CG49,R204 &amp; Data!CG49))),SUBSTITUTE(SUBSTITUTE(SUBSTITUTE(SUBSTITUTE(SUBSTITUTE(SUBSTITUTE(SUBSTITUTE(SUBSTITUTE(SUBSTITUTE(SUBSTITUTE(IF(AND(COUNTIF(R204,"*P*"),COUNTIF(R204,"*V*")),IF(COUNTIF(R204,"*R*"),SUBSTITUTE(SUBSTITUTE(R204,"P",""),"R","S"),SUBSTITUTE(R204,"P","")),IF(AND(COUNTIF(R204,"*P*"),COUNTIF(R204,"*R*")),SUBSTITUTE(R204,"R","S"),IF(AND(COUNTIF(R204,"*V*"),COUNTIF(R204,"*R*")),SUBSTITUTE(R204,"R","S"),R204))),"0",""),"1",""),"2",""),"3",""),"4",""),"5",""),"6",""),"7",""),"8",""),"9","")&amp; Data!CG49),"")</f>
        <v/>
      </c>
      <c r="S221" s="41" t="str">
        <f>IF(S204&lt;&gt;"",IF(OR(COUNTIF(S204,"L*"),COUNTIF(S204, "X*")),IF(AND(COUNTIF(S204,"*P*"),COUNTIF(S204,"*V*")),IF(COUNTIF(S204,"*R*"),SUBSTITUTE(SUBSTITUTE(S204,"P",""),"R","S")&amp; Data!CH49,SUBSTITUTE(S204,"P","")&amp; Data!CH49),IF(AND(COUNTIF(S204,"*P*"),COUNTIF(S204,"*R*")),SUBSTITUTE(S204,"R","S")&amp;Data!CH49,IF(AND(COUNTIF(S204,"*V*"),COUNTIF(S204,"*R*")),SUBSTITUTE(S204,"R","S")&amp;Data!CH49,S204 &amp; Data!CH49))),SUBSTITUTE(SUBSTITUTE(SUBSTITUTE(SUBSTITUTE(SUBSTITUTE(SUBSTITUTE(SUBSTITUTE(SUBSTITUTE(SUBSTITUTE(SUBSTITUTE(IF(AND(COUNTIF(S204,"*P*"),COUNTIF(S204,"*V*")),IF(COUNTIF(S204,"*R*"),SUBSTITUTE(SUBSTITUTE(S204,"P",""),"R","S"),SUBSTITUTE(S204,"P","")),IF(AND(COUNTIF(S204,"*P*"),COUNTIF(S204,"*R*")),SUBSTITUTE(S204,"R","S"),IF(AND(COUNTIF(S204,"*V*"),COUNTIF(S204,"*R*")),SUBSTITUTE(S204,"R","S"),S204))),"0",""),"1",""),"2",""),"3",""),"4",""),"5",""),"6",""),"7",""),"8",""),"9","")&amp; Data!CH49),"")</f>
        <v/>
      </c>
      <c r="T221" s="41" t="str">
        <f>IF(T204&lt;&gt;"",IF(OR(COUNTIF(T204,"L*"),COUNTIF(T204, "X*")),IF(AND(COUNTIF(T204,"*P*"),COUNTIF(T204,"*V*")),IF(COUNTIF(T204,"*R*"),SUBSTITUTE(SUBSTITUTE(T204,"P",""),"R","S")&amp; Data!CI49,SUBSTITUTE(T204,"P","")&amp; Data!CI49),IF(AND(COUNTIF(T204,"*P*"),COUNTIF(T204,"*R*")),SUBSTITUTE(T204,"R","S")&amp;Data!CI49,IF(AND(COUNTIF(T204,"*V*"),COUNTIF(T204,"*R*")),SUBSTITUTE(T204,"R","S")&amp;Data!CI49,T204 &amp; Data!CI49))),SUBSTITUTE(SUBSTITUTE(SUBSTITUTE(SUBSTITUTE(SUBSTITUTE(SUBSTITUTE(SUBSTITUTE(SUBSTITUTE(SUBSTITUTE(SUBSTITUTE(IF(AND(COUNTIF(T204,"*P*"),COUNTIF(T204,"*V*")),IF(COUNTIF(T204,"*R*"),SUBSTITUTE(SUBSTITUTE(T204,"P",""),"R","S"),SUBSTITUTE(T204,"P","")),IF(AND(COUNTIF(T204,"*P*"),COUNTIF(T204,"*R*")),SUBSTITUTE(T204,"R","S"),IF(AND(COUNTIF(T204,"*V*"),COUNTIF(T204,"*R*")),SUBSTITUTE(T204,"R","S"),T204))),"0",""),"1",""),"2",""),"3",""),"4",""),"5",""),"6",""),"7",""),"8",""),"9","")&amp; Data!CI49),"")</f>
        <v/>
      </c>
      <c r="U221" s="41" t="str">
        <f>IF(U204&lt;&gt;"",IF(OR(COUNTIF(U204,"L*"),COUNTIF(U204, "X*")),IF(AND(COUNTIF(U204,"*P*"),COUNTIF(U204,"*V*")),IF(COUNTIF(U204,"*R*"),SUBSTITUTE(SUBSTITUTE(U204,"P",""),"R","S")&amp; Data!CJ49,SUBSTITUTE(U204,"P","")&amp; Data!CJ49),IF(AND(COUNTIF(U204,"*P*"),COUNTIF(U204,"*R*")),SUBSTITUTE(U204,"R","S")&amp;Data!CJ49,IF(AND(COUNTIF(U204,"*V*"),COUNTIF(U204,"*R*")),SUBSTITUTE(U204,"R","S")&amp;Data!CJ49,U204 &amp; Data!CJ49))),SUBSTITUTE(SUBSTITUTE(SUBSTITUTE(SUBSTITUTE(SUBSTITUTE(SUBSTITUTE(SUBSTITUTE(SUBSTITUTE(SUBSTITUTE(SUBSTITUTE(IF(AND(COUNTIF(U204,"*P*"),COUNTIF(U204,"*V*")),IF(COUNTIF(U204,"*R*"),SUBSTITUTE(SUBSTITUTE(U204,"P",""),"R","S"),SUBSTITUTE(U204,"P","")),IF(AND(COUNTIF(U204,"*P*"),COUNTIF(U204,"*R*")),SUBSTITUTE(U204,"R","S"),IF(AND(COUNTIF(U204,"*V*"),COUNTIF(U204,"*R*")),SUBSTITUTE(U204,"R","S"),U204))),"0",""),"1",""),"2",""),"3",""),"4",""),"5",""),"6",""),"7",""),"8",""),"9","")&amp; Data!CJ49),"")</f>
        <v/>
      </c>
      <c r="V221" s="41" t="str">
        <f>IF(V204&lt;&gt;"",IF(OR(COUNTIF(V204,"L*"),COUNTIF(V204, "X*")),IF(AND(COUNTIF(V204,"*P*"),COUNTIF(V204,"*V*")),IF(COUNTIF(V204,"*R*"),SUBSTITUTE(SUBSTITUTE(V204,"P",""),"R","S")&amp; Data!CK49,SUBSTITUTE(V204,"P","")&amp; Data!CK49),IF(AND(COUNTIF(V204,"*P*"),COUNTIF(V204,"*R*")),SUBSTITUTE(V204,"R","S")&amp;Data!CK49,IF(AND(COUNTIF(V204,"*V*"),COUNTIF(V204,"*R*")),SUBSTITUTE(V204,"R","S")&amp;Data!CK49,V204 &amp; Data!CK49))),SUBSTITUTE(SUBSTITUTE(SUBSTITUTE(SUBSTITUTE(SUBSTITUTE(SUBSTITUTE(SUBSTITUTE(SUBSTITUTE(SUBSTITUTE(SUBSTITUTE(IF(AND(COUNTIF(V204,"*P*"),COUNTIF(V204,"*V*")),IF(COUNTIF(V204,"*R*"),SUBSTITUTE(SUBSTITUTE(V204,"P",""),"R","S"),SUBSTITUTE(V204,"P","")),IF(AND(COUNTIF(V204,"*P*"),COUNTIF(V204,"*R*")),SUBSTITUTE(V204,"R","S"),IF(AND(COUNTIF(V204,"*V*"),COUNTIF(V204,"*R*")),SUBSTITUTE(V204,"R","S"),V204))),"0",""),"1",""),"2",""),"3",""),"4",""),"5",""),"6",""),"7",""),"8",""),"9","")&amp; Data!CK49),"")</f>
        <v/>
      </c>
      <c r="W221" s="41" t="str">
        <f>IF(W204&lt;&gt;"",IF(OR(COUNTIF(W204,"L*"),COUNTIF(W204, "X*")),IF(AND(COUNTIF(W204,"*P*"),COUNTIF(W204,"*V*")),IF(COUNTIF(W204,"*R*"),SUBSTITUTE(SUBSTITUTE(W204,"P",""),"R","S")&amp; Data!CL49,SUBSTITUTE(W204,"P","")&amp; Data!CL49),IF(AND(COUNTIF(W204,"*P*"),COUNTIF(W204,"*R*")),SUBSTITUTE(W204,"R","S")&amp;Data!CL49,IF(AND(COUNTIF(W204,"*V*"),COUNTIF(W204,"*R*")),SUBSTITUTE(W204,"R","S")&amp;Data!CL49,W204 &amp; Data!CL49))),SUBSTITUTE(SUBSTITUTE(SUBSTITUTE(SUBSTITUTE(SUBSTITUTE(SUBSTITUTE(SUBSTITUTE(SUBSTITUTE(SUBSTITUTE(SUBSTITUTE(IF(AND(COUNTIF(W204,"*P*"),COUNTIF(W204,"*V*")),IF(COUNTIF(W204,"*R*"),SUBSTITUTE(SUBSTITUTE(W204,"P",""),"R","S"),SUBSTITUTE(W204,"P","")),IF(AND(COUNTIF(W204,"*P*"),COUNTIF(W204,"*R*")),SUBSTITUTE(W204,"R","S"),IF(AND(COUNTIF(W204,"*V*"),COUNTIF(W204,"*R*")),SUBSTITUTE(W204,"R","S"),W204))),"0",""),"1",""),"2",""),"3",""),"4",""),"5",""),"6",""),"7",""),"8",""),"9","")&amp; Data!CL49),"")</f>
        <v/>
      </c>
      <c r="X221" s="41" t="str">
        <f>IF(X204&lt;&gt;"",IF(OR(COUNTIF(X204,"L*"),COUNTIF(X204, "X*")),IF(AND(COUNTIF(X204,"*P*"),COUNTIF(X204,"*V*")),IF(COUNTIF(X204,"*R*"),SUBSTITUTE(SUBSTITUTE(X204,"P",""),"R","S")&amp; Data!CM49,SUBSTITUTE(X204,"P","")&amp; Data!CM49),IF(AND(COUNTIF(X204,"*P*"),COUNTIF(X204,"*R*")),SUBSTITUTE(X204,"R","S")&amp;Data!CM49,IF(AND(COUNTIF(X204,"*V*"),COUNTIF(X204,"*R*")),SUBSTITUTE(X204,"R","S")&amp;Data!CM49,X204 &amp; Data!CM49))),SUBSTITUTE(SUBSTITUTE(SUBSTITUTE(SUBSTITUTE(SUBSTITUTE(SUBSTITUTE(SUBSTITUTE(SUBSTITUTE(SUBSTITUTE(SUBSTITUTE(IF(AND(COUNTIF(X204,"*P*"),COUNTIF(X204,"*V*")),IF(COUNTIF(X204,"*R*"),SUBSTITUTE(SUBSTITUTE(X204,"P",""),"R","S"),SUBSTITUTE(X204,"P","")),IF(AND(COUNTIF(X204,"*P*"),COUNTIF(X204,"*R*")),SUBSTITUTE(X204,"R","S"),IF(AND(COUNTIF(X204,"*V*"),COUNTIF(X204,"*R*")),SUBSTITUTE(X204,"R","S"),X204))),"0",""),"1",""),"2",""),"3",""),"4",""),"5",""),"6",""),"7",""),"8",""),"9","")&amp; Data!CM49),"")</f>
        <v/>
      </c>
      <c r="Y221" s="41" t="str">
        <f>IF(Y204&lt;&gt;"",IF(OR(COUNTIF(Y204,"L*"),COUNTIF(Y204, "X*")),IF(AND(COUNTIF(Y204,"*P*"),COUNTIF(Y204,"*V*")),IF(COUNTIF(Y204,"*R*"),SUBSTITUTE(SUBSTITUTE(Y204,"P",""),"R","S")&amp; Data!CN49,SUBSTITUTE(Y204,"P","")&amp; Data!CN49),IF(AND(COUNTIF(Y204,"*P*"),COUNTIF(Y204,"*R*")),SUBSTITUTE(Y204,"R","S")&amp;Data!CN49,IF(AND(COUNTIF(Y204,"*V*"),COUNTIF(Y204,"*R*")),SUBSTITUTE(Y204,"R","S")&amp;Data!CN49,Y204 &amp; Data!CN49))),SUBSTITUTE(SUBSTITUTE(SUBSTITUTE(SUBSTITUTE(SUBSTITUTE(SUBSTITUTE(SUBSTITUTE(SUBSTITUTE(SUBSTITUTE(SUBSTITUTE(IF(AND(COUNTIF(Y204,"*P*"),COUNTIF(Y204,"*V*")),IF(COUNTIF(Y204,"*R*"),SUBSTITUTE(SUBSTITUTE(Y204,"P",""),"R","S"),SUBSTITUTE(Y204,"P","")),IF(AND(COUNTIF(Y204,"*P*"),COUNTIF(Y204,"*R*")),SUBSTITUTE(Y204,"R","S"),IF(AND(COUNTIF(Y204,"*V*"),COUNTIF(Y204,"*R*")),SUBSTITUTE(Y204,"R","S"),Y204))),"0",""),"1",""),"2",""),"3",""),"4",""),"5",""),"6",""),"7",""),"8",""),"9","")&amp; Data!CN49),"")</f>
        <v/>
      </c>
      <c r="Z221" s="41" t="str">
        <f>IF(Z204&lt;&gt;"",IF(OR(COUNTIF(Z204,"L*"),COUNTIF(Z204, "X*")),IF(AND(COUNTIF(Z204,"*P*"),COUNTIF(Z204,"*V*")),IF(COUNTIF(Z204,"*R*"),SUBSTITUTE(SUBSTITUTE(Z204,"P",""),"R","S")&amp; Data!CO49,SUBSTITUTE(Z204,"P","")&amp; Data!CO49),IF(AND(COUNTIF(Z204,"*P*"),COUNTIF(Z204,"*R*")),SUBSTITUTE(Z204,"R","S")&amp;Data!CO49,IF(AND(COUNTIF(Z204,"*V*"),COUNTIF(Z204,"*R*")),SUBSTITUTE(Z204,"R","S")&amp;Data!CO49,Z204 &amp; Data!CO49))),SUBSTITUTE(SUBSTITUTE(SUBSTITUTE(SUBSTITUTE(SUBSTITUTE(SUBSTITUTE(SUBSTITUTE(SUBSTITUTE(SUBSTITUTE(SUBSTITUTE(IF(AND(COUNTIF(Z204,"*P*"),COUNTIF(Z204,"*V*")),IF(COUNTIF(Z204,"*R*"),SUBSTITUTE(SUBSTITUTE(Z204,"P",""),"R","S"),SUBSTITUTE(Z204,"P","")),IF(AND(COUNTIF(Z204,"*P*"),COUNTIF(Z204,"*R*")),SUBSTITUTE(Z204,"R","S"),IF(AND(COUNTIF(Z204,"*V*"),COUNTIF(Z204,"*R*")),SUBSTITUTE(Z204,"R","S"),Z204))),"0",""),"1",""),"2",""),"3",""),"4",""),"5",""),"6",""),"7",""),"8",""),"9","")&amp; Data!CO49),"")</f>
        <v/>
      </c>
      <c r="AA221" s="41" t="str">
        <f>IF(AA204&lt;&gt;"",IF(OR(COUNTIF(AA204,"L*"),COUNTIF(AA204, "X*")),IF(AND(COUNTIF(AA204,"*P*"),COUNTIF(AA204,"*V*")),IF(COUNTIF(AA204,"*R*"),SUBSTITUTE(SUBSTITUTE(AA204,"P",""),"R","S")&amp; Data!CP49,SUBSTITUTE(AA204,"P","")&amp; Data!CP49),IF(AND(COUNTIF(AA204,"*P*"),COUNTIF(AA204,"*R*")),SUBSTITUTE(AA204,"R","S")&amp;Data!CP49,IF(AND(COUNTIF(AA204,"*V*"),COUNTIF(AA204,"*R*")),SUBSTITUTE(AA204,"R","S")&amp;Data!CP49,AA204 &amp; Data!CP49))),SUBSTITUTE(SUBSTITUTE(SUBSTITUTE(SUBSTITUTE(SUBSTITUTE(SUBSTITUTE(SUBSTITUTE(SUBSTITUTE(SUBSTITUTE(SUBSTITUTE(IF(AND(COUNTIF(AA204,"*P*"),COUNTIF(AA204,"*V*")),IF(COUNTIF(AA204,"*R*"),SUBSTITUTE(SUBSTITUTE(AA204,"P",""),"R","S"),SUBSTITUTE(AA204,"P","")),IF(AND(COUNTIF(AA204,"*P*"),COUNTIF(AA204,"*R*")),SUBSTITUTE(AA204,"R","S"),IF(AND(COUNTIF(AA204,"*V*"),COUNTIF(AA204,"*R*")),SUBSTITUTE(AA204,"R","S"),AA204))),"0",""),"1",""),"2",""),"3",""),"4",""),"5",""),"6",""),"7",""),"8",""),"9","")&amp; Data!CP49),"")</f>
        <v/>
      </c>
      <c r="AB221" s="41" t="str">
        <f>IF(AB204&lt;&gt;"",IF(OR(COUNTIF(AB204,"L*"),COUNTIF(AB204, "X*")),IF(AND(COUNTIF(AB204,"*P*"),COUNTIF(AB204,"*V*")),IF(COUNTIF(AB204,"*R*"),SUBSTITUTE(SUBSTITUTE(AB204,"P",""),"R","S")&amp; Data!CQ49,SUBSTITUTE(AB204,"P","")&amp; Data!CQ49),IF(AND(COUNTIF(AB204,"*P*"),COUNTIF(AB204,"*R*")),SUBSTITUTE(AB204,"R","S")&amp;Data!CQ49,IF(AND(COUNTIF(AB204,"*V*"),COUNTIF(AB204,"*R*")),SUBSTITUTE(AB204,"R","S")&amp;Data!CQ49,AB204 &amp; Data!CQ49))),SUBSTITUTE(SUBSTITUTE(SUBSTITUTE(SUBSTITUTE(SUBSTITUTE(SUBSTITUTE(SUBSTITUTE(SUBSTITUTE(SUBSTITUTE(SUBSTITUTE(IF(AND(COUNTIF(AB204,"*P*"),COUNTIF(AB204,"*V*")),IF(COUNTIF(AB204,"*R*"),SUBSTITUTE(SUBSTITUTE(AB204,"P",""),"R","S"),SUBSTITUTE(AB204,"P","")),IF(AND(COUNTIF(AB204,"*P*"),COUNTIF(AB204,"*R*")),SUBSTITUTE(AB204,"R","S"),IF(AND(COUNTIF(AB204,"*V*"),COUNTIF(AB204,"*R*")),SUBSTITUTE(AB204,"R","S"),AB204))),"0",""),"1",""),"2",""),"3",""),"4",""),"5",""),"6",""),"7",""),"8",""),"9","")&amp; Data!CQ49),"")</f>
        <v/>
      </c>
      <c r="AC221" s="41" t="str">
        <f>IF(AC204&lt;&gt;"",IF(OR(COUNTIF(AC204,"L*"),COUNTIF(AC204, "X*")),IF(AND(COUNTIF(AC204,"*P*"),COUNTIF(AC204,"*V*")),IF(COUNTIF(AC204,"*R*"),SUBSTITUTE(SUBSTITUTE(AC204,"P",""),"R","S")&amp; Data!CR49,SUBSTITUTE(AC204,"P","")&amp; Data!CR49),IF(AND(COUNTIF(AC204,"*P*"),COUNTIF(AC204,"*R*")),SUBSTITUTE(AC204,"R","S")&amp;Data!CR49,IF(AND(COUNTIF(AC204,"*V*"),COUNTIF(AC204,"*R*")),SUBSTITUTE(AC204,"R","S")&amp;Data!CR49,AC204 &amp; Data!CR49))),SUBSTITUTE(SUBSTITUTE(SUBSTITUTE(SUBSTITUTE(SUBSTITUTE(SUBSTITUTE(SUBSTITUTE(SUBSTITUTE(SUBSTITUTE(SUBSTITUTE(IF(AND(COUNTIF(AC204,"*P*"),COUNTIF(AC204,"*V*")),IF(COUNTIF(AC204,"*R*"),SUBSTITUTE(SUBSTITUTE(AC204,"P",""),"R","S"),SUBSTITUTE(AC204,"P","")),IF(AND(COUNTIF(AC204,"*P*"),COUNTIF(AC204,"*R*")),SUBSTITUTE(AC204,"R","S"),IF(AND(COUNTIF(AC204,"*V*"),COUNTIF(AC204,"*R*")),SUBSTITUTE(AC204,"R","S"),AC204))),"0",""),"1",""),"2",""),"3",""),"4",""),"5",""),"6",""),"7",""),"8",""),"9","")&amp; Data!CR49),"")</f>
        <v/>
      </c>
      <c r="AD221" s="41" t="str">
        <f>IF(AD204&lt;&gt;"",IF(OR(COUNTIF(AD204,"L*"),COUNTIF(AD204, "X*")),IF(AND(COUNTIF(AD204,"*P*"),COUNTIF(AD204,"*V*")),IF(COUNTIF(AD204,"*R*"),SUBSTITUTE(SUBSTITUTE(AD204,"P",""),"R","S")&amp; Data!CS49,SUBSTITUTE(AD204,"P","")&amp; Data!CS49),IF(AND(COUNTIF(AD204,"*P*"),COUNTIF(AD204,"*R*")),SUBSTITUTE(AD204,"R","S")&amp;Data!CS49,IF(AND(COUNTIF(AD204,"*V*"),COUNTIF(AD204,"*R*")),SUBSTITUTE(AD204,"R","S")&amp;Data!CS49,AD204 &amp; Data!CS49))),SUBSTITUTE(SUBSTITUTE(SUBSTITUTE(SUBSTITUTE(SUBSTITUTE(SUBSTITUTE(SUBSTITUTE(SUBSTITUTE(SUBSTITUTE(SUBSTITUTE(IF(AND(COUNTIF(AD204,"*P*"),COUNTIF(AD204,"*V*")),IF(COUNTIF(AD204,"*R*"),SUBSTITUTE(SUBSTITUTE(AD204,"P",""),"R","S"),SUBSTITUTE(AD204,"P","")),IF(AND(COUNTIF(AD204,"*P*"),COUNTIF(AD204,"*R*")),SUBSTITUTE(AD204,"R","S"),IF(AND(COUNTIF(AD204,"*V*"),COUNTIF(AD204,"*R*")),SUBSTITUTE(AD204,"R","S"),AD204))),"0",""),"1",""),"2",""),"3",""),"4",""),"5",""),"6",""),"7",""),"8",""),"9","")&amp; Data!CS49),"")</f>
        <v/>
      </c>
      <c r="AE221" s="41" t="str">
        <f>IF(AE204&lt;&gt;"",IF(OR(COUNTIF(AE204,"L*"),COUNTIF(AE204, "X*")),IF(AND(COUNTIF(AE204,"*P*"),COUNTIF(AE204,"*V*")),IF(COUNTIF(AE204,"*R*"),SUBSTITUTE(SUBSTITUTE(AE204,"P",""),"R","S")&amp; Data!CT49,SUBSTITUTE(AE204,"P","")&amp; Data!CT49),IF(AND(COUNTIF(AE204,"*P*"),COUNTIF(AE204,"*R*")),SUBSTITUTE(AE204,"R","S")&amp;Data!CT49,IF(AND(COUNTIF(AE204,"*V*"),COUNTIF(AE204,"*R*")),SUBSTITUTE(AE204,"R","S")&amp;Data!CT49,AE204 &amp; Data!CT49))),SUBSTITUTE(SUBSTITUTE(SUBSTITUTE(SUBSTITUTE(SUBSTITUTE(SUBSTITUTE(SUBSTITUTE(SUBSTITUTE(SUBSTITUTE(SUBSTITUTE(IF(AND(COUNTIF(AE204,"*P*"),COUNTIF(AE204,"*V*")),IF(COUNTIF(AE204,"*R*"),SUBSTITUTE(SUBSTITUTE(AE204,"P",""),"R","S"),SUBSTITUTE(AE204,"P","")),IF(AND(COUNTIF(AE204,"*P*"),COUNTIF(AE204,"*R*")),SUBSTITUTE(AE204,"R","S"),IF(AND(COUNTIF(AE204,"*V*"),COUNTIF(AE204,"*R*")),SUBSTITUTE(AE204,"R","S"),AE204))),"0",""),"1",""),"2",""),"3",""),"4",""),"5",""),"6",""),"7",""),"8",""),"9","")&amp; Data!CT49),"")</f>
        <v/>
      </c>
      <c r="AF221" s="41" t="str">
        <f>IF(AF204&lt;&gt;"",IF(OR(COUNTIF(AF204,"L*"),COUNTIF(AF204, "X*")),IF(AND(COUNTIF(AF204,"*P*"),COUNTIF(AF204,"*V*")),IF(COUNTIF(AF204,"*R*"),SUBSTITUTE(SUBSTITUTE(AF204,"P",""),"R","S")&amp; Data!CU49,SUBSTITUTE(AF204,"P","")&amp; Data!CU49),IF(AND(COUNTIF(AF204,"*P*"),COUNTIF(AF204,"*R*")),SUBSTITUTE(AF204,"R","S")&amp;Data!CU49,IF(AND(COUNTIF(AF204,"*V*"),COUNTIF(AF204,"*R*")),SUBSTITUTE(AF204,"R","S")&amp;Data!CU49,AF204 &amp; Data!CU49))),SUBSTITUTE(SUBSTITUTE(SUBSTITUTE(SUBSTITUTE(SUBSTITUTE(SUBSTITUTE(SUBSTITUTE(SUBSTITUTE(SUBSTITUTE(SUBSTITUTE(IF(AND(COUNTIF(AF204,"*P*"),COUNTIF(AF204,"*V*")),IF(COUNTIF(AF204,"*R*"),SUBSTITUTE(SUBSTITUTE(AF204,"P",""),"R","S"),SUBSTITUTE(AF204,"P","")),IF(AND(COUNTIF(AF204,"*P*"),COUNTIF(AF204,"*R*")),SUBSTITUTE(AF204,"R","S"),IF(AND(COUNTIF(AF204,"*V*"),COUNTIF(AF204,"*R*")),SUBSTITUTE(AF204,"R","S"),AF204))),"0",""),"1",""),"2",""),"3",""),"4",""),"5",""),"6",""),"7",""),"8",""),"9","")&amp; Data!CU49),"")</f>
        <v/>
      </c>
      <c r="AG221" s="41" t="str">
        <f>IF(AG204&lt;&gt;"",IF(OR(COUNTIF(AG204,"L*"),COUNTIF(AG204, "X*")),IF(AND(COUNTIF(AG204,"*P*"),COUNTIF(AG204,"*V*")),IF(COUNTIF(AG204,"*R*"),SUBSTITUTE(SUBSTITUTE(AG204,"P",""),"R","S")&amp; Data!CV49,SUBSTITUTE(AG204,"P","")&amp; Data!CV49),IF(AND(COUNTIF(AG204,"*P*"),COUNTIF(AG204,"*R*")),SUBSTITUTE(AG204,"R","S")&amp;Data!CV49,IF(AND(COUNTIF(AG204,"*V*"),COUNTIF(AG204,"*R*")),SUBSTITUTE(AG204,"R","S")&amp;Data!CV49,AG204 &amp; Data!CV49))),SUBSTITUTE(SUBSTITUTE(SUBSTITUTE(SUBSTITUTE(SUBSTITUTE(SUBSTITUTE(SUBSTITUTE(SUBSTITUTE(SUBSTITUTE(SUBSTITUTE(IF(AND(COUNTIF(AG204,"*P*"),COUNTIF(AG204,"*V*")),IF(COUNTIF(AG204,"*R*"),SUBSTITUTE(SUBSTITUTE(AG204,"P",""),"R","S"),SUBSTITUTE(AG204,"P","")),IF(AND(COUNTIF(AG204,"*P*"),COUNTIF(AG204,"*R*")),SUBSTITUTE(AG204,"R","S"),IF(AND(COUNTIF(AG204,"*V*"),COUNTIF(AG204,"*R*")),SUBSTITUTE(AG204,"R","S"),AG204))),"0",""),"1",""),"2",""),"3",""),"4",""),"5",""),"6",""),"7",""),"8",""),"9","")&amp; Data!CV49),"")</f>
        <v/>
      </c>
      <c r="AH221" s="41" t="str">
        <f>IF(AH204&lt;&gt;"",IF(OR(COUNTIF(AH204,"L*"),COUNTIF(AH204, "X*")),IF(AND(COUNTIF(AH204,"*P*"),COUNTIF(AH204,"*V*")),IF(COUNTIF(AH204,"*R*"),SUBSTITUTE(SUBSTITUTE(AH204,"P",""),"R","S")&amp; Data!CW49,SUBSTITUTE(AH204,"P","")&amp; Data!CW49),IF(AND(COUNTIF(AH204,"*P*"),COUNTIF(AH204,"*R*")),SUBSTITUTE(AH204,"R","S")&amp;Data!CW49,IF(AND(COUNTIF(AH204,"*V*"),COUNTIF(AH204,"*R*")),SUBSTITUTE(AH204,"R","S")&amp;Data!CW49,AH204 &amp; Data!CW49))),SUBSTITUTE(SUBSTITUTE(SUBSTITUTE(SUBSTITUTE(SUBSTITUTE(SUBSTITUTE(SUBSTITUTE(SUBSTITUTE(SUBSTITUTE(SUBSTITUTE(IF(AND(COUNTIF(AH204,"*P*"),COUNTIF(AH204,"*V*")),IF(COUNTIF(AH204,"*R*"),SUBSTITUTE(SUBSTITUTE(AH204,"P",""),"R","S"),SUBSTITUTE(AH204,"P","")),IF(AND(COUNTIF(AH204,"*P*"),COUNTIF(AH204,"*R*")),SUBSTITUTE(AH204,"R","S"),IF(AND(COUNTIF(AH204,"*V*"),COUNTIF(AH204,"*R*")),SUBSTITUTE(AH204,"R","S"),AH204))),"0",""),"1",""),"2",""),"3",""),"4",""),"5",""),"6",""),"7",""),"8",""),"9","")&amp; Data!CW49),"")</f>
        <v/>
      </c>
      <c r="AI221" s="41" t="str">
        <f>IF(AI204&lt;&gt;"",IF(OR(COUNTIF(AI204,"L*"),COUNTIF(AI204, "X*")),IF(AND(COUNTIF(AI204,"*P*"),COUNTIF(AI204,"*V*")),IF(COUNTIF(AI204,"*R*"),SUBSTITUTE(SUBSTITUTE(AI204,"P",""),"R","S")&amp; Data!CX49,SUBSTITUTE(AI204,"P","")&amp; Data!CX49),IF(AND(COUNTIF(AI204,"*P*"),COUNTIF(AI204,"*R*")),SUBSTITUTE(AI204,"R","S")&amp;Data!CX49,IF(AND(COUNTIF(AI204,"*V*"),COUNTIF(AI204,"*R*")),SUBSTITUTE(AI204,"R","S")&amp;Data!CX49,AI204 &amp; Data!CX49))),SUBSTITUTE(SUBSTITUTE(SUBSTITUTE(SUBSTITUTE(SUBSTITUTE(SUBSTITUTE(SUBSTITUTE(SUBSTITUTE(SUBSTITUTE(SUBSTITUTE(IF(AND(COUNTIF(AI204,"*P*"),COUNTIF(AI204,"*V*")),IF(COUNTIF(AI204,"*R*"),SUBSTITUTE(SUBSTITUTE(AI204,"P",""),"R","S"),SUBSTITUTE(AI204,"P","")),IF(AND(COUNTIF(AI204,"*P*"),COUNTIF(AI204,"*R*")),SUBSTITUTE(AI204,"R","S"),IF(AND(COUNTIF(AI204,"*V*"),COUNTIF(AI204,"*R*")),SUBSTITUTE(AI204,"R","S"),AI204))),"0",""),"1",""),"2",""),"3",""),"4",""),"5",""),"6",""),"7",""),"8",""),"9","")&amp; Data!CX49),"")</f>
        <v/>
      </c>
      <c r="AJ221" s="41" t="str">
        <f>IF(AJ204&lt;&gt;"",IF(OR(COUNTIF(AJ204,"L*"),COUNTIF(AJ204, "X*")),IF(AND(COUNTIF(AJ204,"*P*"),COUNTIF(AJ204,"*V*")),IF(COUNTIF(AJ204,"*R*"),SUBSTITUTE(SUBSTITUTE(AJ204,"P",""),"R","S")&amp; Data!CY49,SUBSTITUTE(AJ204,"P","")&amp; Data!CY49),IF(AND(COUNTIF(AJ204,"*P*"),COUNTIF(AJ204,"*R*")),SUBSTITUTE(AJ204,"R","S")&amp;Data!CY49,IF(AND(COUNTIF(AJ204,"*V*"),COUNTIF(AJ204,"*R*")),SUBSTITUTE(AJ204,"R","S")&amp;Data!CY49,AJ204 &amp; Data!CY49))),SUBSTITUTE(SUBSTITUTE(SUBSTITUTE(SUBSTITUTE(SUBSTITUTE(SUBSTITUTE(SUBSTITUTE(SUBSTITUTE(SUBSTITUTE(SUBSTITUTE(IF(AND(COUNTIF(AJ204,"*P*"),COUNTIF(AJ204,"*V*")),IF(COUNTIF(AJ204,"*R*"),SUBSTITUTE(SUBSTITUTE(AJ204,"P",""),"R","S"),SUBSTITUTE(AJ204,"P","")),IF(AND(COUNTIF(AJ204,"*P*"),COUNTIF(AJ204,"*R*")),SUBSTITUTE(AJ204,"R","S"),IF(AND(COUNTIF(AJ204,"*V*"),COUNTIF(AJ204,"*R*")),SUBSTITUTE(AJ204,"R","S"),AJ204))),"0",""),"1",""),"2",""),"3",""),"4",""),"5",""),"6",""),"7",""),"8",""),"9","")&amp; Data!CY49),"")</f>
        <v/>
      </c>
      <c r="AK221" t="s">
        <v>1206</v>
      </c>
    </row>
    <row r="222" spans="1:37" ht="23.25" customHeight="1" x14ac:dyDescent="0.35">
      <c r="A222" s="1196"/>
      <c r="B222" s="22">
        <v>5</v>
      </c>
      <c r="C222" s="41" t="str">
        <f>IF(C205&lt;&gt;"",IF(OR(COUNTIF(C205,"L*"),COUNTIF(C205, "X*")),IF(AND(COUNTIF(C205,"*P*"),COUNTIF(C205,"*V*")),IF(COUNTIF(C205,"*R*"),SUBSTITUTE(SUBSTITUTE(C205,"P",""),"R","S")&amp; Data!BR50,SUBSTITUTE(C205,"P","")&amp; Data!BR50),IF(AND(COUNTIF(C205,"*P*"),COUNTIF(C205,"*R*")),SUBSTITUTE(C205,"R","S")&amp;Data!BR50,IF(AND(COUNTIF(C205,"*V*"),COUNTIF(C205,"*R*")),SUBSTITUTE(C205,"R","S")&amp;Data!BR50,C205 &amp; Data!BR50))),SUBSTITUTE(SUBSTITUTE(SUBSTITUTE(SUBSTITUTE(SUBSTITUTE(SUBSTITUTE(SUBSTITUTE(SUBSTITUTE(SUBSTITUTE(SUBSTITUTE(IF(AND(COUNTIF(C205,"*P*"),COUNTIF(C205,"*V*")),IF(COUNTIF(C205,"*R*"),SUBSTITUTE(SUBSTITUTE(C205,"P",""),"R","S"),SUBSTITUTE(C205,"P","")),IF(AND(COUNTIF(C205,"*P*"),COUNTIF(C205,"*R*")),SUBSTITUTE(C205,"R","S"),IF(AND(COUNTIF(C205,"*V*"),COUNTIF(C205,"*R*")),SUBSTITUTE(C205,"R","S"),C205))),"0",""),"1",""),"2",""),"3",""),"4",""),"5",""),"6",""),"7",""),"8",""),"9","")&amp; Data!BR50),"")</f>
        <v/>
      </c>
      <c r="D222" s="41" t="str">
        <f>IF(D205&lt;&gt;"",IF(OR(COUNTIF(D205,"L*"),COUNTIF(D205, "X*")),IF(AND(COUNTIF(D205,"*P*"),COUNTIF(D205,"*V*")),IF(COUNTIF(D205,"*R*"),SUBSTITUTE(SUBSTITUTE(D205,"P",""),"R","S")&amp; Data!BS50,SUBSTITUTE(D205,"P","")&amp; Data!BS50),IF(AND(COUNTIF(D205,"*P*"),COUNTIF(D205,"*R*")),SUBSTITUTE(D205,"R","S")&amp;Data!BS50,IF(AND(COUNTIF(D205,"*V*"),COUNTIF(D205,"*R*")),SUBSTITUTE(D205,"R","S")&amp;Data!BS50,D205 &amp; Data!BS50))),SUBSTITUTE(SUBSTITUTE(SUBSTITUTE(SUBSTITUTE(SUBSTITUTE(SUBSTITUTE(SUBSTITUTE(SUBSTITUTE(SUBSTITUTE(SUBSTITUTE(IF(AND(COUNTIF(D205,"*P*"),COUNTIF(D205,"*V*")),IF(COUNTIF(D205,"*R*"),SUBSTITUTE(SUBSTITUTE(D205,"P",""),"R","S"),SUBSTITUTE(D205,"P","")),IF(AND(COUNTIF(D205,"*P*"),COUNTIF(D205,"*R*")),SUBSTITUTE(D205,"R","S"),IF(AND(COUNTIF(D205,"*V*"),COUNTIF(D205,"*R*")),SUBSTITUTE(D205,"R","S"),D205))),"0",""),"1",""),"2",""),"3",""),"4",""),"5",""),"6",""),"7",""),"8",""),"9","")&amp; Data!BS50),"")</f>
        <v/>
      </c>
      <c r="E222" s="41" t="str">
        <f>IF(E205&lt;&gt;"",IF(OR(COUNTIF(E205,"L*"),COUNTIF(E205, "X*")),IF(AND(COUNTIF(E205,"*P*"),COUNTIF(E205,"*V*")),IF(COUNTIF(E205,"*R*"),SUBSTITUTE(SUBSTITUTE(E205,"P",""),"R","S")&amp; Data!BT50,SUBSTITUTE(E205,"P","")&amp; Data!BT50),IF(AND(COUNTIF(E205,"*P*"),COUNTIF(E205,"*R*")),SUBSTITUTE(E205,"R","S")&amp;Data!BT50,IF(AND(COUNTIF(E205,"*V*"),COUNTIF(E205,"*R*")),SUBSTITUTE(E205,"R","S")&amp;Data!BT50,E205 &amp; Data!BT50))),SUBSTITUTE(SUBSTITUTE(SUBSTITUTE(SUBSTITUTE(SUBSTITUTE(SUBSTITUTE(SUBSTITUTE(SUBSTITUTE(SUBSTITUTE(SUBSTITUTE(IF(AND(COUNTIF(E205,"*P*"),COUNTIF(E205,"*V*")),IF(COUNTIF(E205,"*R*"),SUBSTITUTE(SUBSTITUTE(E205,"P",""),"R","S"),SUBSTITUTE(E205,"P","")),IF(AND(COUNTIF(E205,"*P*"),COUNTIF(E205,"*R*")),SUBSTITUTE(E205,"R","S"),IF(AND(COUNTIF(E205,"*V*"),COUNTIF(E205,"*R*")),SUBSTITUTE(E205,"R","S"),E205))),"0",""),"1",""),"2",""),"3",""),"4",""),"5",""),"6",""),"7",""),"8",""),"9","")&amp; Data!BT50),"")</f>
        <v/>
      </c>
      <c r="F222" s="41" t="str">
        <f>IF(F205&lt;&gt;"",IF(OR(COUNTIF(F205,"L*"),COUNTIF(F205, "X*")),IF(AND(COUNTIF(F205,"*P*"),COUNTIF(F205,"*V*")),IF(COUNTIF(F205,"*R*"),SUBSTITUTE(SUBSTITUTE(F205,"P",""),"R","S")&amp; Data!BU50,SUBSTITUTE(F205,"P","")&amp; Data!BU50),IF(AND(COUNTIF(F205,"*P*"),COUNTIF(F205,"*R*")),SUBSTITUTE(F205,"R","S")&amp;Data!BU50,IF(AND(COUNTIF(F205,"*V*"),COUNTIF(F205,"*R*")),SUBSTITUTE(F205,"R","S")&amp;Data!BU50,F205 &amp; Data!BU50))),SUBSTITUTE(SUBSTITUTE(SUBSTITUTE(SUBSTITUTE(SUBSTITUTE(SUBSTITUTE(SUBSTITUTE(SUBSTITUTE(SUBSTITUTE(SUBSTITUTE(IF(AND(COUNTIF(F205,"*P*"),COUNTIF(F205,"*V*")),IF(COUNTIF(F205,"*R*"),SUBSTITUTE(SUBSTITUTE(F205,"P",""),"R","S"),SUBSTITUTE(F205,"P","")),IF(AND(COUNTIF(F205,"*P*"),COUNTIF(F205,"*R*")),SUBSTITUTE(F205,"R","S"),IF(AND(COUNTIF(F205,"*V*"),COUNTIF(F205,"*R*")),SUBSTITUTE(F205,"R","S"),F205))),"0",""),"1",""),"2",""),"3",""),"4",""),"5",""),"6",""),"7",""),"8",""),"9","")&amp; Data!BU50),"")</f>
        <v/>
      </c>
      <c r="G222" s="41" t="str">
        <f>IF(G205&lt;&gt;"",IF(OR(COUNTIF(G205,"L*"),COUNTIF(G205, "X*")),IF(AND(COUNTIF(G205,"*P*"),COUNTIF(G205,"*V*")),IF(COUNTIF(G205,"*R*"),SUBSTITUTE(SUBSTITUTE(G205,"P",""),"R","S")&amp; Data!BV50,SUBSTITUTE(G205,"P","")&amp; Data!BV50),IF(AND(COUNTIF(G205,"*P*"),COUNTIF(G205,"*R*")),SUBSTITUTE(G205,"R","S")&amp;Data!BV50,IF(AND(COUNTIF(G205,"*V*"),COUNTIF(G205,"*R*")),SUBSTITUTE(G205,"R","S")&amp;Data!BV50,G205 &amp; Data!BV50))),SUBSTITUTE(SUBSTITUTE(SUBSTITUTE(SUBSTITUTE(SUBSTITUTE(SUBSTITUTE(SUBSTITUTE(SUBSTITUTE(SUBSTITUTE(SUBSTITUTE(IF(AND(COUNTIF(G205,"*P*"),COUNTIF(G205,"*V*")),IF(COUNTIF(G205,"*R*"),SUBSTITUTE(SUBSTITUTE(G205,"P",""),"R","S"),SUBSTITUTE(G205,"P","")),IF(AND(COUNTIF(G205,"*P*"),COUNTIF(G205,"*R*")),SUBSTITUTE(G205,"R","S"),IF(AND(COUNTIF(G205,"*V*"),COUNTIF(G205,"*R*")),SUBSTITUTE(G205,"R","S"),G205))),"0",""),"1",""),"2",""),"3",""),"4",""),"5",""),"6",""),"7",""),"8",""),"9","")&amp; Data!BV50),"")</f>
        <v/>
      </c>
      <c r="H222" s="41" t="str">
        <f>IF(H205&lt;&gt;"",IF(OR(COUNTIF(H205,"L*"),COUNTIF(H205, "X*")),IF(AND(COUNTIF(H205,"*P*"),COUNTIF(H205,"*V*")),IF(COUNTIF(H205,"*R*"),SUBSTITUTE(SUBSTITUTE(H205,"P",""),"R","S")&amp; Data!BW50,SUBSTITUTE(H205,"P","")&amp; Data!BW50),IF(AND(COUNTIF(H205,"*P*"),COUNTIF(H205,"*R*")),SUBSTITUTE(H205,"R","S")&amp;Data!BW50,IF(AND(COUNTIF(H205,"*V*"),COUNTIF(H205,"*R*")),SUBSTITUTE(H205,"R","S")&amp;Data!BW50,H205 &amp; Data!BW50))),SUBSTITUTE(SUBSTITUTE(SUBSTITUTE(SUBSTITUTE(SUBSTITUTE(SUBSTITUTE(SUBSTITUTE(SUBSTITUTE(SUBSTITUTE(SUBSTITUTE(IF(AND(COUNTIF(H205,"*P*"),COUNTIF(H205,"*V*")),IF(COUNTIF(H205,"*R*"),SUBSTITUTE(SUBSTITUTE(H205,"P",""),"R","S"),SUBSTITUTE(H205,"P","")),IF(AND(COUNTIF(H205,"*P*"),COUNTIF(H205,"*R*")),SUBSTITUTE(H205,"R","S"),IF(AND(COUNTIF(H205,"*V*"),COUNTIF(H205,"*R*")),SUBSTITUTE(H205,"R","S"),H205))),"0",""),"1",""),"2",""),"3",""),"4",""),"5",""),"6",""),"7",""),"8",""),"9","")&amp; Data!BW50),"")</f>
        <v/>
      </c>
      <c r="I222" s="41" t="str">
        <f>IF(I205&lt;&gt;"",IF(OR(COUNTIF(I205,"L*"),COUNTIF(I205, "X*")),IF(AND(COUNTIF(I205,"*P*"),COUNTIF(I205,"*V*")),IF(COUNTIF(I205,"*R*"),SUBSTITUTE(SUBSTITUTE(I205,"P",""),"R","S")&amp; Data!BX50,SUBSTITUTE(I205,"P","")&amp; Data!BX50),IF(AND(COUNTIF(I205,"*P*"),COUNTIF(I205,"*R*")),SUBSTITUTE(I205,"R","S")&amp;Data!BX50,IF(AND(COUNTIF(I205,"*V*"),COUNTIF(I205,"*R*")),SUBSTITUTE(I205,"R","S")&amp;Data!BX50,I205 &amp; Data!BX50))),SUBSTITUTE(SUBSTITUTE(SUBSTITUTE(SUBSTITUTE(SUBSTITUTE(SUBSTITUTE(SUBSTITUTE(SUBSTITUTE(SUBSTITUTE(SUBSTITUTE(IF(AND(COUNTIF(I205,"*P*"),COUNTIF(I205,"*V*")),IF(COUNTIF(I205,"*R*"),SUBSTITUTE(SUBSTITUTE(I205,"P",""),"R","S"),SUBSTITUTE(I205,"P","")),IF(AND(COUNTIF(I205,"*P*"),COUNTIF(I205,"*R*")),SUBSTITUTE(I205,"R","S"),IF(AND(COUNTIF(I205,"*V*"),COUNTIF(I205,"*R*")),SUBSTITUTE(I205,"R","S"),I205))),"0",""),"1",""),"2",""),"3",""),"4",""),"5",""),"6",""),"7",""),"8",""),"9","")&amp; Data!BX50),"")</f>
        <v/>
      </c>
      <c r="J222" s="41" t="str">
        <f>IF(J205&lt;&gt;"",IF(OR(COUNTIF(J205,"L*"),COUNTIF(J205, "X*")),IF(AND(COUNTIF(J205,"*P*"),COUNTIF(J205,"*V*")),IF(COUNTIF(J205,"*R*"),SUBSTITUTE(SUBSTITUTE(J205,"P",""),"R","S")&amp; Data!BY50,SUBSTITUTE(J205,"P","")&amp; Data!BY50),IF(AND(COUNTIF(J205,"*P*"),COUNTIF(J205,"*R*")),SUBSTITUTE(J205,"R","S")&amp;Data!BY50,IF(AND(COUNTIF(J205,"*V*"),COUNTIF(J205,"*R*")),SUBSTITUTE(J205,"R","S")&amp;Data!BY50,J205 &amp; Data!BY50))),SUBSTITUTE(SUBSTITUTE(SUBSTITUTE(SUBSTITUTE(SUBSTITUTE(SUBSTITUTE(SUBSTITUTE(SUBSTITUTE(SUBSTITUTE(SUBSTITUTE(IF(AND(COUNTIF(J205,"*P*"),COUNTIF(J205,"*V*")),IF(COUNTIF(J205,"*R*"),SUBSTITUTE(SUBSTITUTE(J205,"P",""),"R","S"),SUBSTITUTE(J205,"P","")),IF(AND(COUNTIF(J205,"*P*"),COUNTIF(J205,"*R*")),SUBSTITUTE(J205,"R","S"),IF(AND(COUNTIF(J205,"*V*"),COUNTIF(J205,"*R*")),SUBSTITUTE(J205,"R","S"),J205))),"0",""),"1",""),"2",""),"3",""),"4",""),"5",""),"6",""),"7",""),"8",""),"9","")&amp; Data!BY50),"")</f>
        <v/>
      </c>
      <c r="K222" s="41" t="str">
        <f>IF(K205&lt;&gt;"",IF(OR(COUNTIF(K205,"L*"),COUNTIF(K205, "X*")),IF(AND(COUNTIF(K205,"*P*"),COUNTIF(K205,"*V*")),IF(COUNTIF(K205,"*R*"),SUBSTITUTE(SUBSTITUTE(K205,"P",""),"R","S")&amp; Data!BZ50,SUBSTITUTE(K205,"P","")&amp; Data!BZ50),IF(AND(COUNTIF(K205,"*P*"),COUNTIF(K205,"*R*")),SUBSTITUTE(K205,"R","S")&amp;Data!BZ50,IF(AND(COUNTIF(K205,"*V*"),COUNTIF(K205,"*R*")),SUBSTITUTE(K205,"R","S")&amp;Data!BZ50,K205 &amp; Data!BZ50))),SUBSTITUTE(SUBSTITUTE(SUBSTITUTE(SUBSTITUTE(SUBSTITUTE(SUBSTITUTE(SUBSTITUTE(SUBSTITUTE(SUBSTITUTE(SUBSTITUTE(IF(AND(COUNTIF(K205,"*P*"),COUNTIF(K205,"*V*")),IF(COUNTIF(K205,"*R*"),SUBSTITUTE(SUBSTITUTE(K205,"P",""),"R","S"),SUBSTITUTE(K205,"P","")),IF(AND(COUNTIF(K205,"*P*"),COUNTIF(K205,"*R*")),SUBSTITUTE(K205,"R","S"),IF(AND(COUNTIF(K205,"*V*"),COUNTIF(K205,"*R*")),SUBSTITUTE(K205,"R","S"),K205))),"0",""),"1",""),"2",""),"3",""),"4",""),"5",""),"6",""),"7",""),"8",""),"9","")&amp; Data!BZ50),"")</f>
        <v/>
      </c>
      <c r="L222" s="41" t="str">
        <f>IF(L205&lt;&gt;"",IF(OR(COUNTIF(L205,"L*"),COUNTIF(L205, "X*")),IF(AND(COUNTIF(L205,"*P*"),COUNTIF(L205,"*V*")),IF(COUNTIF(L205,"*R*"),SUBSTITUTE(SUBSTITUTE(L205,"P",""),"R","S")&amp; Data!CA50,SUBSTITUTE(L205,"P","")&amp; Data!CA50),IF(AND(COUNTIF(L205,"*P*"),COUNTIF(L205,"*R*")),SUBSTITUTE(L205,"R","S")&amp;Data!CA50,IF(AND(COUNTIF(L205,"*V*"),COUNTIF(L205,"*R*")),SUBSTITUTE(L205,"R","S")&amp;Data!CA50,L205 &amp; Data!CA50))),SUBSTITUTE(SUBSTITUTE(SUBSTITUTE(SUBSTITUTE(SUBSTITUTE(SUBSTITUTE(SUBSTITUTE(SUBSTITUTE(SUBSTITUTE(SUBSTITUTE(IF(AND(COUNTIF(L205,"*P*"),COUNTIF(L205,"*V*")),IF(COUNTIF(L205,"*R*"),SUBSTITUTE(SUBSTITUTE(L205,"P",""),"R","S"),SUBSTITUTE(L205,"P","")),IF(AND(COUNTIF(L205,"*P*"),COUNTIF(L205,"*R*")),SUBSTITUTE(L205,"R","S"),IF(AND(COUNTIF(L205,"*V*"),COUNTIF(L205,"*R*")),SUBSTITUTE(L205,"R","S"),L205))),"0",""),"1",""),"2",""),"3",""),"4",""),"5",""),"6",""),"7",""),"8",""),"9","")&amp; Data!CA50),"")</f>
        <v/>
      </c>
      <c r="M222" s="41" t="str">
        <f>IF(M205&lt;&gt;"",IF(OR(COUNTIF(M205,"L*"),COUNTIF(M205, "X*")),IF(AND(COUNTIF(M205,"*P*"),COUNTIF(M205,"*V*")),IF(COUNTIF(M205,"*R*"),SUBSTITUTE(SUBSTITUTE(M205,"P",""),"R","S")&amp; Data!CB50,SUBSTITUTE(M205,"P","")&amp; Data!CB50),IF(AND(COUNTIF(M205,"*P*"),COUNTIF(M205,"*R*")),SUBSTITUTE(M205,"R","S")&amp;Data!CB50,IF(AND(COUNTIF(M205,"*V*"),COUNTIF(M205,"*R*")),SUBSTITUTE(M205,"R","S")&amp;Data!CB50,M205 &amp; Data!CB50))),SUBSTITUTE(SUBSTITUTE(SUBSTITUTE(SUBSTITUTE(SUBSTITUTE(SUBSTITUTE(SUBSTITUTE(SUBSTITUTE(SUBSTITUTE(SUBSTITUTE(IF(AND(COUNTIF(M205,"*P*"),COUNTIF(M205,"*V*")),IF(COUNTIF(M205,"*R*"),SUBSTITUTE(SUBSTITUTE(M205,"P",""),"R","S"),SUBSTITUTE(M205,"P","")),IF(AND(COUNTIF(M205,"*P*"),COUNTIF(M205,"*R*")),SUBSTITUTE(M205,"R","S"),IF(AND(COUNTIF(M205,"*V*"),COUNTIF(M205,"*R*")),SUBSTITUTE(M205,"R","S"),M205))),"0",""),"1",""),"2",""),"3",""),"4",""),"5",""),"6",""),"7",""),"8",""),"9","")&amp; Data!CB50),"")</f>
        <v/>
      </c>
      <c r="N222" s="41" t="str">
        <f>IF(N205&lt;&gt;"",IF(OR(COUNTIF(N205,"L*"),COUNTIF(N205, "X*")),IF(AND(COUNTIF(N205,"*P*"),COUNTIF(N205,"*V*")),IF(COUNTIF(N205,"*R*"),SUBSTITUTE(SUBSTITUTE(N205,"P",""),"R","S")&amp; Data!CC50,SUBSTITUTE(N205,"P","")&amp; Data!CC50),IF(AND(COUNTIF(N205,"*P*"),COUNTIF(N205,"*R*")),SUBSTITUTE(N205,"R","S")&amp;Data!CC50,IF(AND(COUNTIF(N205,"*V*"),COUNTIF(N205,"*R*")),SUBSTITUTE(N205,"R","S")&amp;Data!CC50,N205 &amp; Data!CC50))),SUBSTITUTE(SUBSTITUTE(SUBSTITUTE(SUBSTITUTE(SUBSTITUTE(SUBSTITUTE(SUBSTITUTE(SUBSTITUTE(SUBSTITUTE(SUBSTITUTE(IF(AND(COUNTIF(N205,"*P*"),COUNTIF(N205,"*V*")),IF(COUNTIF(N205,"*R*"),SUBSTITUTE(SUBSTITUTE(N205,"P",""),"R","S"),SUBSTITUTE(N205,"P","")),IF(AND(COUNTIF(N205,"*P*"),COUNTIF(N205,"*R*")),SUBSTITUTE(N205,"R","S"),IF(AND(COUNTIF(N205,"*V*"),COUNTIF(N205,"*R*")),SUBSTITUTE(N205,"R","S"),N205))),"0",""),"1",""),"2",""),"3",""),"4",""),"5",""),"6",""),"7",""),"8",""),"9","")&amp; Data!CC50),"")</f>
        <v/>
      </c>
      <c r="O222" s="41" t="str">
        <f>IF(O205&lt;&gt;"",IF(OR(COUNTIF(O205,"L*"),COUNTIF(O205, "X*")),IF(AND(COUNTIF(O205,"*P*"),COUNTIF(O205,"*V*")),IF(COUNTIF(O205,"*R*"),SUBSTITUTE(SUBSTITUTE(O205,"P",""),"R","S")&amp; Data!CD50,SUBSTITUTE(O205,"P","")&amp; Data!CD50),IF(AND(COUNTIF(O205,"*P*"),COUNTIF(O205,"*R*")),SUBSTITUTE(O205,"R","S")&amp;Data!CD50,IF(AND(COUNTIF(O205,"*V*"),COUNTIF(O205,"*R*")),SUBSTITUTE(O205,"R","S")&amp;Data!CD50,O205 &amp; Data!CD50))),SUBSTITUTE(SUBSTITUTE(SUBSTITUTE(SUBSTITUTE(SUBSTITUTE(SUBSTITUTE(SUBSTITUTE(SUBSTITUTE(SUBSTITUTE(SUBSTITUTE(IF(AND(COUNTIF(O205,"*P*"),COUNTIF(O205,"*V*")),IF(COUNTIF(O205,"*R*"),SUBSTITUTE(SUBSTITUTE(O205,"P",""),"R","S"),SUBSTITUTE(O205,"P","")),IF(AND(COUNTIF(O205,"*P*"),COUNTIF(O205,"*R*")),SUBSTITUTE(O205,"R","S"),IF(AND(COUNTIF(O205,"*V*"),COUNTIF(O205,"*R*")),SUBSTITUTE(O205,"R","S"),O205))),"0",""),"1",""),"2",""),"3",""),"4",""),"5",""),"6",""),"7",""),"8",""),"9","")&amp; Data!CD50),"")</f>
        <v/>
      </c>
      <c r="P222" s="41" t="str">
        <f>IF(P205&lt;&gt;"",IF(OR(COUNTIF(P205,"L*"),COUNTIF(P205, "X*")),IF(AND(COUNTIF(P205,"*P*"),COUNTIF(P205,"*V*")),IF(COUNTIF(P205,"*R*"),SUBSTITUTE(SUBSTITUTE(P205,"P",""),"R","S")&amp; Data!CE50,SUBSTITUTE(P205,"P","")&amp; Data!CE50),IF(AND(COUNTIF(P205,"*P*"),COUNTIF(P205,"*R*")),SUBSTITUTE(P205,"R","S")&amp;Data!CE50,IF(AND(COUNTIF(P205,"*V*"),COUNTIF(P205,"*R*")),SUBSTITUTE(P205,"R","S")&amp;Data!CE50,P205 &amp; Data!CE50))),SUBSTITUTE(SUBSTITUTE(SUBSTITUTE(SUBSTITUTE(SUBSTITUTE(SUBSTITUTE(SUBSTITUTE(SUBSTITUTE(SUBSTITUTE(SUBSTITUTE(IF(AND(COUNTIF(P205,"*P*"),COUNTIF(P205,"*V*")),IF(COUNTIF(P205,"*R*"),SUBSTITUTE(SUBSTITUTE(P205,"P",""),"R","S"),SUBSTITUTE(P205,"P","")),IF(AND(COUNTIF(P205,"*P*"),COUNTIF(P205,"*R*")),SUBSTITUTE(P205,"R","S"),IF(AND(COUNTIF(P205,"*V*"),COUNTIF(P205,"*R*")),SUBSTITUTE(P205,"R","S"),P205))),"0",""),"1",""),"2",""),"3",""),"4",""),"5",""),"6",""),"7",""),"8",""),"9","")&amp; Data!CE50),"")</f>
        <v/>
      </c>
      <c r="Q222" s="41" t="str">
        <f>IF(Q205&lt;&gt;"",IF(OR(COUNTIF(Q205,"L*"),COUNTIF(Q205, "X*")),IF(AND(COUNTIF(Q205,"*P*"),COUNTIF(Q205,"*V*")),IF(COUNTIF(Q205,"*R*"),SUBSTITUTE(SUBSTITUTE(Q205,"P",""),"R","S")&amp; Data!CF50,SUBSTITUTE(Q205,"P","")&amp; Data!CF50),IF(AND(COUNTIF(Q205,"*P*"),COUNTIF(Q205,"*R*")),SUBSTITUTE(Q205,"R","S")&amp;Data!CF50,IF(AND(COUNTIF(Q205,"*V*"),COUNTIF(Q205,"*R*")),SUBSTITUTE(Q205,"R","S")&amp;Data!CF50,Q205 &amp; Data!CF50))),SUBSTITUTE(SUBSTITUTE(SUBSTITUTE(SUBSTITUTE(SUBSTITUTE(SUBSTITUTE(SUBSTITUTE(SUBSTITUTE(SUBSTITUTE(SUBSTITUTE(IF(AND(COUNTIF(Q205,"*P*"),COUNTIF(Q205,"*V*")),IF(COUNTIF(Q205,"*R*"),SUBSTITUTE(SUBSTITUTE(Q205,"P",""),"R","S"),SUBSTITUTE(Q205,"P","")),IF(AND(COUNTIF(Q205,"*P*"),COUNTIF(Q205,"*R*")),SUBSTITUTE(Q205,"R","S"),IF(AND(COUNTIF(Q205,"*V*"),COUNTIF(Q205,"*R*")),SUBSTITUTE(Q205,"R","S"),Q205))),"0",""),"1",""),"2",""),"3",""),"4",""),"5",""),"6",""),"7",""),"8",""),"9","")&amp; Data!CF50),"")</f>
        <v/>
      </c>
      <c r="R222" s="41" t="str">
        <f>IF(R205&lt;&gt;"",IF(OR(COUNTIF(R205,"L*"),COUNTIF(R205, "X*")),IF(AND(COUNTIF(R205,"*P*"),COUNTIF(R205,"*V*")),IF(COUNTIF(R205,"*R*"),SUBSTITUTE(SUBSTITUTE(R205,"P",""),"R","S")&amp; Data!CG50,SUBSTITUTE(R205,"P","")&amp; Data!CG50),IF(AND(COUNTIF(R205,"*P*"),COUNTIF(R205,"*R*")),SUBSTITUTE(R205,"R","S")&amp;Data!CG50,IF(AND(COUNTIF(R205,"*V*"),COUNTIF(R205,"*R*")),SUBSTITUTE(R205,"R","S")&amp;Data!CG50,R205 &amp; Data!CG50))),SUBSTITUTE(SUBSTITUTE(SUBSTITUTE(SUBSTITUTE(SUBSTITUTE(SUBSTITUTE(SUBSTITUTE(SUBSTITUTE(SUBSTITUTE(SUBSTITUTE(IF(AND(COUNTIF(R205,"*P*"),COUNTIF(R205,"*V*")),IF(COUNTIF(R205,"*R*"),SUBSTITUTE(SUBSTITUTE(R205,"P",""),"R","S"),SUBSTITUTE(R205,"P","")),IF(AND(COUNTIF(R205,"*P*"),COUNTIF(R205,"*R*")),SUBSTITUTE(R205,"R","S"),IF(AND(COUNTIF(R205,"*V*"),COUNTIF(R205,"*R*")),SUBSTITUTE(R205,"R","S"),R205))),"0",""),"1",""),"2",""),"3",""),"4",""),"5",""),"6",""),"7",""),"8",""),"9","")&amp; Data!CG50),"")</f>
        <v/>
      </c>
      <c r="S222" s="41" t="str">
        <f>IF(S205&lt;&gt;"",IF(OR(COUNTIF(S205,"L*"),COUNTIF(S205, "X*")),IF(AND(COUNTIF(S205,"*P*"),COUNTIF(S205,"*V*")),IF(COUNTIF(S205,"*R*"),SUBSTITUTE(SUBSTITUTE(S205,"P",""),"R","S")&amp; Data!CH50,SUBSTITUTE(S205,"P","")&amp; Data!CH50),IF(AND(COUNTIF(S205,"*P*"),COUNTIF(S205,"*R*")),SUBSTITUTE(S205,"R","S")&amp;Data!CH50,IF(AND(COUNTIF(S205,"*V*"),COUNTIF(S205,"*R*")),SUBSTITUTE(S205,"R","S")&amp;Data!CH50,S205 &amp; Data!CH50))),SUBSTITUTE(SUBSTITUTE(SUBSTITUTE(SUBSTITUTE(SUBSTITUTE(SUBSTITUTE(SUBSTITUTE(SUBSTITUTE(SUBSTITUTE(SUBSTITUTE(IF(AND(COUNTIF(S205,"*P*"),COUNTIF(S205,"*V*")),IF(COUNTIF(S205,"*R*"),SUBSTITUTE(SUBSTITUTE(S205,"P",""),"R","S"),SUBSTITUTE(S205,"P","")),IF(AND(COUNTIF(S205,"*P*"),COUNTIF(S205,"*R*")),SUBSTITUTE(S205,"R","S"),IF(AND(COUNTIF(S205,"*V*"),COUNTIF(S205,"*R*")),SUBSTITUTE(S205,"R","S"),S205))),"0",""),"1",""),"2",""),"3",""),"4",""),"5",""),"6",""),"7",""),"8",""),"9","")&amp; Data!CH50),"")</f>
        <v/>
      </c>
      <c r="T222" s="41" t="str">
        <f>IF(T205&lt;&gt;"",IF(OR(COUNTIF(T205,"L*"),COUNTIF(T205, "X*")),IF(AND(COUNTIF(T205,"*P*"),COUNTIF(T205,"*V*")),IF(COUNTIF(T205,"*R*"),SUBSTITUTE(SUBSTITUTE(T205,"P",""),"R","S")&amp; Data!CI50,SUBSTITUTE(T205,"P","")&amp; Data!CI50),IF(AND(COUNTIF(T205,"*P*"),COUNTIF(T205,"*R*")),SUBSTITUTE(T205,"R","S")&amp;Data!CI50,IF(AND(COUNTIF(T205,"*V*"),COUNTIF(T205,"*R*")),SUBSTITUTE(T205,"R","S")&amp;Data!CI50,T205 &amp; Data!CI50))),SUBSTITUTE(SUBSTITUTE(SUBSTITUTE(SUBSTITUTE(SUBSTITUTE(SUBSTITUTE(SUBSTITUTE(SUBSTITUTE(SUBSTITUTE(SUBSTITUTE(IF(AND(COUNTIF(T205,"*P*"),COUNTIF(T205,"*V*")),IF(COUNTIF(T205,"*R*"),SUBSTITUTE(SUBSTITUTE(T205,"P",""),"R","S"),SUBSTITUTE(T205,"P","")),IF(AND(COUNTIF(T205,"*P*"),COUNTIF(T205,"*R*")),SUBSTITUTE(T205,"R","S"),IF(AND(COUNTIF(T205,"*V*"),COUNTIF(T205,"*R*")),SUBSTITUTE(T205,"R","S"),T205))),"0",""),"1",""),"2",""),"3",""),"4",""),"5",""),"6",""),"7",""),"8",""),"9","")&amp; Data!CI50),"")</f>
        <v/>
      </c>
      <c r="U222" s="41" t="str">
        <f>IF(U205&lt;&gt;"",IF(OR(COUNTIF(U205,"L*"),COUNTIF(U205, "X*")),IF(AND(COUNTIF(U205,"*P*"),COUNTIF(U205,"*V*")),IF(COUNTIF(U205,"*R*"),SUBSTITUTE(SUBSTITUTE(U205,"P",""),"R","S")&amp; Data!CJ50,SUBSTITUTE(U205,"P","")&amp; Data!CJ50),IF(AND(COUNTIF(U205,"*P*"),COUNTIF(U205,"*R*")),SUBSTITUTE(U205,"R","S")&amp;Data!CJ50,IF(AND(COUNTIF(U205,"*V*"),COUNTIF(U205,"*R*")),SUBSTITUTE(U205,"R","S")&amp;Data!CJ50,U205 &amp; Data!CJ50))),SUBSTITUTE(SUBSTITUTE(SUBSTITUTE(SUBSTITUTE(SUBSTITUTE(SUBSTITUTE(SUBSTITUTE(SUBSTITUTE(SUBSTITUTE(SUBSTITUTE(IF(AND(COUNTIF(U205,"*P*"),COUNTIF(U205,"*V*")),IF(COUNTIF(U205,"*R*"),SUBSTITUTE(SUBSTITUTE(U205,"P",""),"R","S"),SUBSTITUTE(U205,"P","")),IF(AND(COUNTIF(U205,"*P*"),COUNTIF(U205,"*R*")),SUBSTITUTE(U205,"R","S"),IF(AND(COUNTIF(U205,"*V*"),COUNTIF(U205,"*R*")),SUBSTITUTE(U205,"R","S"),U205))),"0",""),"1",""),"2",""),"3",""),"4",""),"5",""),"6",""),"7",""),"8",""),"9","")&amp; Data!CJ50),"")</f>
        <v/>
      </c>
      <c r="V222" s="41" t="str">
        <f>IF(V205&lt;&gt;"",IF(OR(COUNTIF(V205,"L*"),COUNTIF(V205, "X*")),IF(AND(COUNTIF(V205,"*P*"),COUNTIF(V205,"*V*")),IF(COUNTIF(V205,"*R*"),SUBSTITUTE(SUBSTITUTE(V205,"P",""),"R","S")&amp; Data!CK50,SUBSTITUTE(V205,"P","")&amp; Data!CK50),IF(AND(COUNTIF(V205,"*P*"),COUNTIF(V205,"*R*")),SUBSTITUTE(V205,"R","S")&amp;Data!CK50,IF(AND(COUNTIF(V205,"*V*"),COUNTIF(V205,"*R*")),SUBSTITUTE(V205,"R","S")&amp;Data!CK50,V205 &amp; Data!CK50))),SUBSTITUTE(SUBSTITUTE(SUBSTITUTE(SUBSTITUTE(SUBSTITUTE(SUBSTITUTE(SUBSTITUTE(SUBSTITUTE(SUBSTITUTE(SUBSTITUTE(IF(AND(COUNTIF(V205,"*P*"),COUNTIF(V205,"*V*")),IF(COUNTIF(V205,"*R*"),SUBSTITUTE(SUBSTITUTE(V205,"P",""),"R","S"),SUBSTITUTE(V205,"P","")),IF(AND(COUNTIF(V205,"*P*"),COUNTIF(V205,"*R*")),SUBSTITUTE(V205,"R","S"),IF(AND(COUNTIF(V205,"*V*"),COUNTIF(V205,"*R*")),SUBSTITUTE(V205,"R","S"),V205))),"0",""),"1",""),"2",""),"3",""),"4",""),"5",""),"6",""),"7",""),"8",""),"9","")&amp; Data!CK50),"")</f>
        <v/>
      </c>
      <c r="W222" s="41" t="str">
        <f>IF(W205&lt;&gt;"",IF(OR(COUNTIF(W205,"L*"),COUNTIF(W205, "X*")),IF(AND(COUNTIF(W205,"*P*"),COUNTIF(W205,"*V*")),IF(COUNTIF(W205,"*R*"),SUBSTITUTE(SUBSTITUTE(W205,"P",""),"R","S")&amp; Data!CL50,SUBSTITUTE(W205,"P","")&amp; Data!CL50),IF(AND(COUNTIF(W205,"*P*"),COUNTIF(W205,"*R*")),SUBSTITUTE(W205,"R","S")&amp;Data!CL50,IF(AND(COUNTIF(W205,"*V*"),COUNTIF(W205,"*R*")),SUBSTITUTE(W205,"R","S")&amp;Data!CL50,W205 &amp; Data!CL50))),SUBSTITUTE(SUBSTITUTE(SUBSTITUTE(SUBSTITUTE(SUBSTITUTE(SUBSTITUTE(SUBSTITUTE(SUBSTITUTE(SUBSTITUTE(SUBSTITUTE(IF(AND(COUNTIF(W205,"*P*"),COUNTIF(W205,"*V*")),IF(COUNTIF(W205,"*R*"),SUBSTITUTE(SUBSTITUTE(W205,"P",""),"R","S"),SUBSTITUTE(W205,"P","")),IF(AND(COUNTIF(W205,"*P*"),COUNTIF(W205,"*R*")),SUBSTITUTE(W205,"R","S"),IF(AND(COUNTIF(W205,"*V*"),COUNTIF(W205,"*R*")),SUBSTITUTE(W205,"R","S"),W205))),"0",""),"1",""),"2",""),"3",""),"4",""),"5",""),"6",""),"7",""),"8",""),"9","")&amp; Data!CL50),"")</f>
        <v/>
      </c>
      <c r="X222" s="41" t="str">
        <f>IF(X205&lt;&gt;"",IF(OR(COUNTIF(X205,"L*"),COUNTIF(X205, "X*")),IF(AND(COUNTIF(X205,"*P*"),COUNTIF(X205,"*V*")),IF(COUNTIF(X205,"*R*"),SUBSTITUTE(SUBSTITUTE(X205,"P",""),"R","S")&amp; Data!CM50,SUBSTITUTE(X205,"P","")&amp; Data!CM50),IF(AND(COUNTIF(X205,"*P*"),COUNTIF(X205,"*R*")),SUBSTITUTE(X205,"R","S")&amp;Data!CM50,IF(AND(COUNTIF(X205,"*V*"),COUNTIF(X205,"*R*")),SUBSTITUTE(X205,"R","S")&amp;Data!CM50,X205 &amp; Data!CM50))),SUBSTITUTE(SUBSTITUTE(SUBSTITUTE(SUBSTITUTE(SUBSTITUTE(SUBSTITUTE(SUBSTITUTE(SUBSTITUTE(SUBSTITUTE(SUBSTITUTE(IF(AND(COUNTIF(X205,"*P*"),COUNTIF(X205,"*V*")),IF(COUNTIF(X205,"*R*"),SUBSTITUTE(SUBSTITUTE(X205,"P",""),"R","S"),SUBSTITUTE(X205,"P","")),IF(AND(COUNTIF(X205,"*P*"),COUNTIF(X205,"*R*")),SUBSTITUTE(X205,"R","S"),IF(AND(COUNTIF(X205,"*V*"),COUNTIF(X205,"*R*")),SUBSTITUTE(X205,"R","S"),X205))),"0",""),"1",""),"2",""),"3",""),"4",""),"5",""),"6",""),"7",""),"8",""),"9","")&amp; Data!CM50),"")</f>
        <v/>
      </c>
      <c r="Y222" s="41" t="str">
        <f>IF(Y205&lt;&gt;"",IF(OR(COUNTIF(Y205,"L*"),COUNTIF(Y205, "X*")),IF(AND(COUNTIF(Y205,"*P*"),COUNTIF(Y205,"*V*")),IF(COUNTIF(Y205,"*R*"),SUBSTITUTE(SUBSTITUTE(Y205,"P",""),"R","S")&amp; Data!CN50,SUBSTITUTE(Y205,"P","")&amp; Data!CN50),IF(AND(COUNTIF(Y205,"*P*"),COUNTIF(Y205,"*R*")),SUBSTITUTE(Y205,"R","S")&amp;Data!CN50,IF(AND(COUNTIF(Y205,"*V*"),COUNTIF(Y205,"*R*")),SUBSTITUTE(Y205,"R","S")&amp;Data!CN50,Y205 &amp; Data!CN50))),SUBSTITUTE(SUBSTITUTE(SUBSTITUTE(SUBSTITUTE(SUBSTITUTE(SUBSTITUTE(SUBSTITUTE(SUBSTITUTE(SUBSTITUTE(SUBSTITUTE(IF(AND(COUNTIF(Y205,"*P*"),COUNTIF(Y205,"*V*")),IF(COUNTIF(Y205,"*R*"),SUBSTITUTE(SUBSTITUTE(Y205,"P",""),"R","S"),SUBSTITUTE(Y205,"P","")),IF(AND(COUNTIF(Y205,"*P*"),COUNTIF(Y205,"*R*")),SUBSTITUTE(Y205,"R","S"),IF(AND(COUNTIF(Y205,"*V*"),COUNTIF(Y205,"*R*")),SUBSTITUTE(Y205,"R","S"),Y205))),"0",""),"1",""),"2",""),"3",""),"4",""),"5",""),"6",""),"7",""),"8",""),"9","")&amp; Data!CN50),"")</f>
        <v/>
      </c>
      <c r="Z222" s="41" t="str">
        <f>IF(Z205&lt;&gt;"",IF(OR(COUNTIF(Z205,"L*"),COUNTIF(Z205, "X*")),IF(AND(COUNTIF(Z205,"*P*"),COUNTIF(Z205,"*V*")),IF(COUNTIF(Z205,"*R*"),SUBSTITUTE(SUBSTITUTE(Z205,"P",""),"R","S")&amp; Data!CO50,SUBSTITUTE(Z205,"P","")&amp; Data!CO50),IF(AND(COUNTIF(Z205,"*P*"),COUNTIF(Z205,"*R*")),SUBSTITUTE(Z205,"R","S")&amp;Data!CO50,IF(AND(COUNTIF(Z205,"*V*"),COUNTIF(Z205,"*R*")),SUBSTITUTE(Z205,"R","S")&amp;Data!CO50,Z205 &amp; Data!CO50))),SUBSTITUTE(SUBSTITUTE(SUBSTITUTE(SUBSTITUTE(SUBSTITUTE(SUBSTITUTE(SUBSTITUTE(SUBSTITUTE(SUBSTITUTE(SUBSTITUTE(IF(AND(COUNTIF(Z205,"*P*"),COUNTIF(Z205,"*V*")),IF(COUNTIF(Z205,"*R*"),SUBSTITUTE(SUBSTITUTE(Z205,"P",""),"R","S"),SUBSTITUTE(Z205,"P","")),IF(AND(COUNTIF(Z205,"*P*"),COUNTIF(Z205,"*R*")),SUBSTITUTE(Z205,"R","S"),IF(AND(COUNTIF(Z205,"*V*"),COUNTIF(Z205,"*R*")),SUBSTITUTE(Z205,"R","S"),Z205))),"0",""),"1",""),"2",""),"3",""),"4",""),"5",""),"6",""),"7",""),"8",""),"9","")&amp; Data!CO50),"")</f>
        <v/>
      </c>
      <c r="AA222" s="41" t="str">
        <f>IF(AA205&lt;&gt;"",IF(OR(COUNTIF(AA205,"L*"),COUNTIF(AA205, "X*")),IF(AND(COUNTIF(AA205,"*P*"),COUNTIF(AA205,"*V*")),IF(COUNTIF(AA205,"*R*"),SUBSTITUTE(SUBSTITUTE(AA205,"P",""),"R","S")&amp; Data!CP50,SUBSTITUTE(AA205,"P","")&amp; Data!CP50),IF(AND(COUNTIF(AA205,"*P*"),COUNTIF(AA205,"*R*")),SUBSTITUTE(AA205,"R","S")&amp;Data!CP50,IF(AND(COUNTIF(AA205,"*V*"),COUNTIF(AA205,"*R*")),SUBSTITUTE(AA205,"R","S")&amp;Data!CP50,AA205 &amp; Data!CP50))),SUBSTITUTE(SUBSTITUTE(SUBSTITUTE(SUBSTITUTE(SUBSTITUTE(SUBSTITUTE(SUBSTITUTE(SUBSTITUTE(SUBSTITUTE(SUBSTITUTE(IF(AND(COUNTIF(AA205,"*P*"),COUNTIF(AA205,"*V*")),IF(COUNTIF(AA205,"*R*"),SUBSTITUTE(SUBSTITUTE(AA205,"P",""),"R","S"),SUBSTITUTE(AA205,"P","")),IF(AND(COUNTIF(AA205,"*P*"),COUNTIF(AA205,"*R*")),SUBSTITUTE(AA205,"R","S"),IF(AND(COUNTIF(AA205,"*V*"),COUNTIF(AA205,"*R*")),SUBSTITUTE(AA205,"R","S"),AA205))),"0",""),"1",""),"2",""),"3",""),"4",""),"5",""),"6",""),"7",""),"8",""),"9","")&amp; Data!CP50),"")</f>
        <v/>
      </c>
      <c r="AB222" s="41" t="str">
        <f>IF(AB205&lt;&gt;"",IF(OR(COUNTIF(AB205,"L*"),COUNTIF(AB205, "X*")),IF(AND(COUNTIF(AB205,"*P*"),COUNTIF(AB205,"*V*")),IF(COUNTIF(AB205,"*R*"),SUBSTITUTE(SUBSTITUTE(AB205,"P",""),"R","S")&amp; Data!CQ50,SUBSTITUTE(AB205,"P","")&amp; Data!CQ50),IF(AND(COUNTIF(AB205,"*P*"),COUNTIF(AB205,"*R*")),SUBSTITUTE(AB205,"R","S")&amp;Data!CQ50,IF(AND(COUNTIF(AB205,"*V*"),COUNTIF(AB205,"*R*")),SUBSTITUTE(AB205,"R","S")&amp;Data!CQ50,AB205 &amp; Data!CQ50))),SUBSTITUTE(SUBSTITUTE(SUBSTITUTE(SUBSTITUTE(SUBSTITUTE(SUBSTITUTE(SUBSTITUTE(SUBSTITUTE(SUBSTITUTE(SUBSTITUTE(IF(AND(COUNTIF(AB205,"*P*"),COUNTIF(AB205,"*V*")),IF(COUNTIF(AB205,"*R*"),SUBSTITUTE(SUBSTITUTE(AB205,"P",""),"R","S"),SUBSTITUTE(AB205,"P","")),IF(AND(COUNTIF(AB205,"*P*"),COUNTIF(AB205,"*R*")),SUBSTITUTE(AB205,"R","S"),IF(AND(COUNTIF(AB205,"*V*"),COUNTIF(AB205,"*R*")),SUBSTITUTE(AB205,"R","S"),AB205))),"0",""),"1",""),"2",""),"3",""),"4",""),"5",""),"6",""),"7",""),"8",""),"9","")&amp; Data!CQ50),"")</f>
        <v/>
      </c>
      <c r="AC222" s="41" t="str">
        <f>IF(AC205&lt;&gt;"",IF(OR(COUNTIF(AC205,"L*"),COUNTIF(AC205, "X*")),IF(AND(COUNTIF(AC205,"*P*"),COUNTIF(AC205,"*V*")),IF(COUNTIF(AC205,"*R*"),SUBSTITUTE(SUBSTITUTE(AC205,"P",""),"R","S")&amp; Data!CR50,SUBSTITUTE(AC205,"P","")&amp; Data!CR50),IF(AND(COUNTIF(AC205,"*P*"),COUNTIF(AC205,"*R*")),SUBSTITUTE(AC205,"R","S")&amp;Data!CR50,IF(AND(COUNTIF(AC205,"*V*"),COUNTIF(AC205,"*R*")),SUBSTITUTE(AC205,"R","S")&amp;Data!CR50,AC205 &amp; Data!CR50))),SUBSTITUTE(SUBSTITUTE(SUBSTITUTE(SUBSTITUTE(SUBSTITUTE(SUBSTITUTE(SUBSTITUTE(SUBSTITUTE(SUBSTITUTE(SUBSTITUTE(IF(AND(COUNTIF(AC205,"*P*"),COUNTIF(AC205,"*V*")),IF(COUNTIF(AC205,"*R*"),SUBSTITUTE(SUBSTITUTE(AC205,"P",""),"R","S"),SUBSTITUTE(AC205,"P","")),IF(AND(COUNTIF(AC205,"*P*"),COUNTIF(AC205,"*R*")),SUBSTITUTE(AC205,"R","S"),IF(AND(COUNTIF(AC205,"*V*"),COUNTIF(AC205,"*R*")),SUBSTITUTE(AC205,"R","S"),AC205))),"0",""),"1",""),"2",""),"3",""),"4",""),"5",""),"6",""),"7",""),"8",""),"9","")&amp; Data!CR50),"")</f>
        <v/>
      </c>
      <c r="AD222" s="41" t="str">
        <f>IF(AD205&lt;&gt;"",IF(OR(COUNTIF(AD205,"L*"),COUNTIF(AD205, "X*")),IF(AND(COUNTIF(AD205,"*P*"),COUNTIF(AD205,"*V*")),IF(COUNTIF(AD205,"*R*"),SUBSTITUTE(SUBSTITUTE(AD205,"P",""),"R","S")&amp; Data!CS50,SUBSTITUTE(AD205,"P","")&amp; Data!CS50),IF(AND(COUNTIF(AD205,"*P*"),COUNTIF(AD205,"*R*")),SUBSTITUTE(AD205,"R","S")&amp;Data!CS50,IF(AND(COUNTIF(AD205,"*V*"),COUNTIF(AD205,"*R*")),SUBSTITUTE(AD205,"R","S")&amp;Data!CS50,AD205 &amp; Data!CS50))),SUBSTITUTE(SUBSTITUTE(SUBSTITUTE(SUBSTITUTE(SUBSTITUTE(SUBSTITUTE(SUBSTITUTE(SUBSTITUTE(SUBSTITUTE(SUBSTITUTE(IF(AND(COUNTIF(AD205,"*P*"),COUNTIF(AD205,"*V*")),IF(COUNTIF(AD205,"*R*"),SUBSTITUTE(SUBSTITUTE(AD205,"P",""),"R","S"),SUBSTITUTE(AD205,"P","")),IF(AND(COUNTIF(AD205,"*P*"),COUNTIF(AD205,"*R*")),SUBSTITUTE(AD205,"R","S"),IF(AND(COUNTIF(AD205,"*V*"),COUNTIF(AD205,"*R*")),SUBSTITUTE(AD205,"R","S"),AD205))),"0",""),"1",""),"2",""),"3",""),"4",""),"5",""),"6",""),"7",""),"8",""),"9","")&amp; Data!CS50),"")</f>
        <v/>
      </c>
      <c r="AE222" s="41" t="str">
        <f>IF(AE205&lt;&gt;"",IF(OR(COUNTIF(AE205,"L*"),COUNTIF(AE205, "X*")),IF(AND(COUNTIF(AE205,"*P*"),COUNTIF(AE205,"*V*")),IF(COUNTIF(AE205,"*R*"),SUBSTITUTE(SUBSTITUTE(AE205,"P",""),"R","S")&amp; Data!CT50,SUBSTITUTE(AE205,"P","")&amp; Data!CT50),IF(AND(COUNTIF(AE205,"*P*"),COUNTIF(AE205,"*R*")),SUBSTITUTE(AE205,"R","S")&amp;Data!CT50,IF(AND(COUNTIF(AE205,"*V*"),COUNTIF(AE205,"*R*")),SUBSTITUTE(AE205,"R","S")&amp;Data!CT50,AE205 &amp; Data!CT50))),SUBSTITUTE(SUBSTITUTE(SUBSTITUTE(SUBSTITUTE(SUBSTITUTE(SUBSTITUTE(SUBSTITUTE(SUBSTITUTE(SUBSTITUTE(SUBSTITUTE(IF(AND(COUNTIF(AE205,"*P*"),COUNTIF(AE205,"*V*")),IF(COUNTIF(AE205,"*R*"),SUBSTITUTE(SUBSTITUTE(AE205,"P",""),"R","S"),SUBSTITUTE(AE205,"P","")),IF(AND(COUNTIF(AE205,"*P*"),COUNTIF(AE205,"*R*")),SUBSTITUTE(AE205,"R","S"),IF(AND(COUNTIF(AE205,"*V*"),COUNTIF(AE205,"*R*")),SUBSTITUTE(AE205,"R","S"),AE205))),"0",""),"1",""),"2",""),"3",""),"4",""),"5",""),"6",""),"7",""),"8",""),"9","")&amp; Data!CT50),"")</f>
        <v/>
      </c>
      <c r="AF222" s="41" t="str">
        <f>IF(AF205&lt;&gt;"",IF(OR(COUNTIF(AF205,"L*"),COUNTIF(AF205, "X*")),IF(AND(COUNTIF(AF205,"*P*"),COUNTIF(AF205,"*V*")),IF(COUNTIF(AF205,"*R*"),SUBSTITUTE(SUBSTITUTE(AF205,"P",""),"R","S")&amp; Data!CU50,SUBSTITUTE(AF205,"P","")&amp; Data!CU50),IF(AND(COUNTIF(AF205,"*P*"),COUNTIF(AF205,"*R*")),SUBSTITUTE(AF205,"R","S")&amp;Data!CU50,IF(AND(COUNTIF(AF205,"*V*"),COUNTIF(AF205,"*R*")),SUBSTITUTE(AF205,"R","S")&amp;Data!CU50,AF205 &amp; Data!CU50))),SUBSTITUTE(SUBSTITUTE(SUBSTITUTE(SUBSTITUTE(SUBSTITUTE(SUBSTITUTE(SUBSTITUTE(SUBSTITUTE(SUBSTITUTE(SUBSTITUTE(IF(AND(COUNTIF(AF205,"*P*"),COUNTIF(AF205,"*V*")),IF(COUNTIF(AF205,"*R*"),SUBSTITUTE(SUBSTITUTE(AF205,"P",""),"R","S"),SUBSTITUTE(AF205,"P","")),IF(AND(COUNTIF(AF205,"*P*"),COUNTIF(AF205,"*R*")),SUBSTITUTE(AF205,"R","S"),IF(AND(COUNTIF(AF205,"*V*"),COUNTIF(AF205,"*R*")),SUBSTITUTE(AF205,"R","S"),AF205))),"0",""),"1",""),"2",""),"3",""),"4",""),"5",""),"6",""),"7",""),"8",""),"9","")&amp; Data!CU50),"")</f>
        <v/>
      </c>
      <c r="AG222" s="41" t="str">
        <f>IF(AG205&lt;&gt;"",IF(OR(COUNTIF(AG205,"L*"),COUNTIF(AG205, "X*")),IF(AND(COUNTIF(AG205,"*P*"),COUNTIF(AG205,"*V*")),IF(COUNTIF(AG205,"*R*"),SUBSTITUTE(SUBSTITUTE(AG205,"P",""),"R","S")&amp; Data!CV50,SUBSTITUTE(AG205,"P","")&amp; Data!CV50),IF(AND(COUNTIF(AG205,"*P*"),COUNTIF(AG205,"*R*")),SUBSTITUTE(AG205,"R","S")&amp;Data!CV50,IF(AND(COUNTIF(AG205,"*V*"),COUNTIF(AG205,"*R*")),SUBSTITUTE(AG205,"R","S")&amp;Data!CV50,AG205 &amp; Data!CV50))),SUBSTITUTE(SUBSTITUTE(SUBSTITUTE(SUBSTITUTE(SUBSTITUTE(SUBSTITUTE(SUBSTITUTE(SUBSTITUTE(SUBSTITUTE(SUBSTITUTE(IF(AND(COUNTIF(AG205,"*P*"),COUNTIF(AG205,"*V*")),IF(COUNTIF(AG205,"*R*"),SUBSTITUTE(SUBSTITUTE(AG205,"P",""),"R","S"),SUBSTITUTE(AG205,"P","")),IF(AND(COUNTIF(AG205,"*P*"),COUNTIF(AG205,"*R*")),SUBSTITUTE(AG205,"R","S"),IF(AND(COUNTIF(AG205,"*V*"),COUNTIF(AG205,"*R*")),SUBSTITUTE(AG205,"R","S"),AG205))),"0",""),"1",""),"2",""),"3",""),"4",""),"5",""),"6",""),"7",""),"8",""),"9","")&amp; Data!CV50),"")</f>
        <v/>
      </c>
      <c r="AH222" s="41" t="str">
        <f>IF(AH205&lt;&gt;"",IF(OR(COUNTIF(AH205,"L*"),COUNTIF(AH205, "X*")),IF(AND(COUNTIF(AH205,"*P*"),COUNTIF(AH205,"*V*")),IF(COUNTIF(AH205,"*R*"),SUBSTITUTE(SUBSTITUTE(AH205,"P",""),"R","S")&amp; Data!CW50,SUBSTITUTE(AH205,"P","")&amp; Data!CW50),IF(AND(COUNTIF(AH205,"*P*"),COUNTIF(AH205,"*R*")),SUBSTITUTE(AH205,"R","S")&amp;Data!CW50,IF(AND(COUNTIF(AH205,"*V*"),COUNTIF(AH205,"*R*")),SUBSTITUTE(AH205,"R","S")&amp;Data!CW50,AH205 &amp; Data!CW50))),SUBSTITUTE(SUBSTITUTE(SUBSTITUTE(SUBSTITUTE(SUBSTITUTE(SUBSTITUTE(SUBSTITUTE(SUBSTITUTE(SUBSTITUTE(SUBSTITUTE(IF(AND(COUNTIF(AH205,"*P*"),COUNTIF(AH205,"*V*")),IF(COUNTIF(AH205,"*R*"),SUBSTITUTE(SUBSTITUTE(AH205,"P",""),"R","S"),SUBSTITUTE(AH205,"P","")),IF(AND(COUNTIF(AH205,"*P*"),COUNTIF(AH205,"*R*")),SUBSTITUTE(AH205,"R","S"),IF(AND(COUNTIF(AH205,"*V*"),COUNTIF(AH205,"*R*")),SUBSTITUTE(AH205,"R","S"),AH205))),"0",""),"1",""),"2",""),"3",""),"4",""),"5",""),"6",""),"7",""),"8",""),"9","")&amp; Data!CW50),"")</f>
        <v/>
      </c>
      <c r="AI222" s="41" t="str">
        <f>IF(AI205&lt;&gt;"",IF(OR(COUNTIF(AI205,"L*"),COUNTIF(AI205, "X*")),IF(AND(COUNTIF(AI205,"*P*"),COUNTIF(AI205,"*V*")),IF(COUNTIF(AI205,"*R*"),SUBSTITUTE(SUBSTITUTE(AI205,"P",""),"R","S")&amp; Data!CX50,SUBSTITUTE(AI205,"P","")&amp; Data!CX50),IF(AND(COUNTIF(AI205,"*P*"),COUNTIF(AI205,"*R*")),SUBSTITUTE(AI205,"R","S")&amp;Data!CX50,IF(AND(COUNTIF(AI205,"*V*"),COUNTIF(AI205,"*R*")),SUBSTITUTE(AI205,"R","S")&amp;Data!CX50,AI205 &amp; Data!CX50))),SUBSTITUTE(SUBSTITUTE(SUBSTITUTE(SUBSTITUTE(SUBSTITUTE(SUBSTITUTE(SUBSTITUTE(SUBSTITUTE(SUBSTITUTE(SUBSTITUTE(IF(AND(COUNTIF(AI205,"*P*"),COUNTIF(AI205,"*V*")),IF(COUNTIF(AI205,"*R*"),SUBSTITUTE(SUBSTITUTE(AI205,"P",""),"R","S"),SUBSTITUTE(AI205,"P","")),IF(AND(COUNTIF(AI205,"*P*"),COUNTIF(AI205,"*R*")),SUBSTITUTE(AI205,"R","S"),IF(AND(COUNTIF(AI205,"*V*"),COUNTIF(AI205,"*R*")),SUBSTITUTE(AI205,"R","S"),AI205))),"0",""),"1",""),"2",""),"3",""),"4",""),"5",""),"6",""),"7",""),"8",""),"9","")&amp; Data!CX50),"")</f>
        <v/>
      </c>
      <c r="AJ222" s="41" t="str">
        <f>IF(AJ205&lt;&gt;"",IF(OR(COUNTIF(AJ205,"L*"),COUNTIF(AJ205, "X*")),IF(AND(COUNTIF(AJ205,"*P*"),COUNTIF(AJ205,"*V*")),IF(COUNTIF(AJ205,"*R*"),SUBSTITUTE(SUBSTITUTE(AJ205,"P",""),"R","S")&amp; Data!CY50,SUBSTITUTE(AJ205,"P","")&amp; Data!CY50),IF(AND(COUNTIF(AJ205,"*P*"),COUNTIF(AJ205,"*R*")),SUBSTITUTE(AJ205,"R","S")&amp;Data!CY50,IF(AND(COUNTIF(AJ205,"*V*"),COUNTIF(AJ205,"*R*")),SUBSTITUTE(AJ205,"R","S")&amp;Data!CY50,AJ205 &amp; Data!CY50))),SUBSTITUTE(SUBSTITUTE(SUBSTITUTE(SUBSTITUTE(SUBSTITUTE(SUBSTITUTE(SUBSTITUTE(SUBSTITUTE(SUBSTITUTE(SUBSTITUTE(IF(AND(COUNTIF(AJ205,"*P*"),COUNTIF(AJ205,"*V*")),IF(COUNTIF(AJ205,"*R*"),SUBSTITUTE(SUBSTITUTE(AJ205,"P",""),"R","S"),SUBSTITUTE(AJ205,"P","")),IF(AND(COUNTIF(AJ205,"*P*"),COUNTIF(AJ205,"*R*")),SUBSTITUTE(AJ205,"R","S"),IF(AND(COUNTIF(AJ205,"*V*"),COUNTIF(AJ205,"*R*")),SUBSTITUTE(AJ205,"R","S"),AJ205))),"0",""),"1",""),"2",""),"3",""),"4",""),"5",""),"6",""),"7",""),"8",""),"9","")&amp; Data!CY50),"")</f>
        <v/>
      </c>
    </row>
    <row r="223" spans="1:37" ht="23.25" customHeight="1" x14ac:dyDescent="0.35">
      <c r="A223" s="1196"/>
      <c r="B223" s="22">
        <v>6</v>
      </c>
      <c r="C223" s="41" t="str">
        <f>IF(C206&lt;&gt;"",IF(OR(COUNTIF(C206,"L*"),COUNTIF(C206, "X*")),IF(AND(COUNTIF(C206,"*P*"),COUNTIF(C206,"*V*")),IF(COUNTIF(C206,"*R*"),SUBSTITUTE(SUBSTITUTE(C206,"P",""),"R","S")&amp; Data!BR51,SUBSTITUTE(C206,"P","")&amp; Data!BR51),IF(AND(COUNTIF(C206,"*P*"),COUNTIF(C206,"*R*")),SUBSTITUTE(C206,"R","S")&amp;Data!BR51,IF(AND(COUNTIF(C206,"*V*"),COUNTIF(C206,"*R*")),SUBSTITUTE(C206,"R","S")&amp;Data!BR51,C206 &amp; Data!BR51))),SUBSTITUTE(SUBSTITUTE(SUBSTITUTE(SUBSTITUTE(SUBSTITUTE(SUBSTITUTE(SUBSTITUTE(SUBSTITUTE(SUBSTITUTE(SUBSTITUTE(IF(AND(COUNTIF(C206,"*P*"),COUNTIF(C206,"*V*")),IF(COUNTIF(C206,"*R*"),SUBSTITUTE(SUBSTITUTE(C206,"P",""),"R","S"),SUBSTITUTE(C206,"P","")),IF(AND(COUNTIF(C206,"*P*"),COUNTIF(C206,"*R*")),SUBSTITUTE(C206,"R","S"),IF(AND(COUNTIF(C206,"*V*"),COUNTIF(C206,"*R*")),SUBSTITUTE(C206,"R","S"),C206))),"0",""),"1",""),"2",""),"3",""),"4",""),"5",""),"6",""),"7",""),"8",""),"9","")&amp; Data!BR51),"")</f>
        <v/>
      </c>
      <c r="D223" s="41" t="str">
        <f>IF(D206&lt;&gt;"",IF(OR(COUNTIF(D206,"L*"),COUNTIF(D206, "X*")),IF(AND(COUNTIF(D206,"*P*"),COUNTIF(D206,"*V*")),IF(COUNTIF(D206,"*R*"),SUBSTITUTE(SUBSTITUTE(D206,"P",""),"R","S")&amp; Data!BS51,SUBSTITUTE(D206,"P","")&amp; Data!BS51),IF(AND(COUNTIF(D206,"*P*"),COUNTIF(D206,"*R*")),SUBSTITUTE(D206,"R","S")&amp;Data!BS51,IF(AND(COUNTIF(D206,"*V*"),COUNTIF(D206,"*R*")),SUBSTITUTE(D206,"R","S")&amp;Data!BS51,D206 &amp; Data!BS51))),SUBSTITUTE(SUBSTITUTE(SUBSTITUTE(SUBSTITUTE(SUBSTITUTE(SUBSTITUTE(SUBSTITUTE(SUBSTITUTE(SUBSTITUTE(SUBSTITUTE(IF(AND(COUNTIF(D206,"*P*"),COUNTIF(D206,"*V*")),IF(COUNTIF(D206,"*R*"),SUBSTITUTE(SUBSTITUTE(D206,"P",""),"R","S"),SUBSTITUTE(D206,"P","")),IF(AND(COUNTIF(D206,"*P*"),COUNTIF(D206,"*R*")),SUBSTITUTE(D206,"R","S"),IF(AND(COUNTIF(D206,"*V*"),COUNTIF(D206,"*R*")),SUBSTITUTE(D206,"R","S"),D206))),"0",""),"1",""),"2",""),"3",""),"4",""),"5",""),"6",""),"7",""),"8",""),"9","")&amp; Data!BS51),"")</f>
        <v/>
      </c>
      <c r="E223" s="41" t="str">
        <f>IF(E206&lt;&gt;"",IF(OR(COUNTIF(E206,"L*"),COUNTIF(E206, "X*")),IF(AND(COUNTIF(E206,"*P*"),COUNTIF(E206,"*V*")),IF(COUNTIF(E206,"*R*"),SUBSTITUTE(SUBSTITUTE(E206,"P",""),"R","S")&amp; Data!BT51,SUBSTITUTE(E206,"P","")&amp; Data!BT51),IF(AND(COUNTIF(E206,"*P*"),COUNTIF(E206,"*R*")),SUBSTITUTE(E206,"R","S")&amp;Data!BT51,IF(AND(COUNTIF(E206,"*V*"),COUNTIF(E206,"*R*")),SUBSTITUTE(E206,"R","S")&amp;Data!BT51,E206 &amp; Data!BT51))),SUBSTITUTE(SUBSTITUTE(SUBSTITUTE(SUBSTITUTE(SUBSTITUTE(SUBSTITUTE(SUBSTITUTE(SUBSTITUTE(SUBSTITUTE(SUBSTITUTE(IF(AND(COUNTIF(E206,"*P*"),COUNTIF(E206,"*V*")),IF(COUNTIF(E206,"*R*"),SUBSTITUTE(SUBSTITUTE(E206,"P",""),"R","S"),SUBSTITUTE(E206,"P","")),IF(AND(COUNTIF(E206,"*P*"),COUNTIF(E206,"*R*")),SUBSTITUTE(E206,"R","S"),IF(AND(COUNTIF(E206,"*V*"),COUNTIF(E206,"*R*")),SUBSTITUTE(E206,"R","S"),E206))),"0",""),"1",""),"2",""),"3",""),"4",""),"5",""),"6",""),"7",""),"8",""),"9","")&amp; Data!BT51),"")</f>
        <v/>
      </c>
      <c r="F223" s="41" t="str">
        <f>IF(F206&lt;&gt;"",IF(OR(COUNTIF(F206,"L*"),COUNTIF(F206, "X*")),IF(AND(COUNTIF(F206,"*P*"),COUNTIF(F206,"*V*")),IF(COUNTIF(F206,"*R*"),SUBSTITUTE(SUBSTITUTE(F206,"P",""),"R","S")&amp; Data!BU51,SUBSTITUTE(F206,"P","")&amp; Data!BU51),IF(AND(COUNTIF(F206,"*P*"),COUNTIF(F206,"*R*")),SUBSTITUTE(F206,"R","S")&amp;Data!BU51,IF(AND(COUNTIF(F206,"*V*"),COUNTIF(F206,"*R*")),SUBSTITUTE(F206,"R","S")&amp;Data!BU51,F206 &amp; Data!BU51))),SUBSTITUTE(SUBSTITUTE(SUBSTITUTE(SUBSTITUTE(SUBSTITUTE(SUBSTITUTE(SUBSTITUTE(SUBSTITUTE(SUBSTITUTE(SUBSTITUTE(IF(AND(COUNTIF(F206,"*P*"),COUNTIF(F206,"*V*")),IF(COUNTIF(F206,"*R*"),SUBSTITUTE(SUBSTITUTE(F206,"P",""),"R","S"),SUBSTITUTE(F206,"P","")),IF(AND(COUNTIF(F206,"*P*"),COUNTIF(F206,"*R*")),SUBSTITUTE(F206,"R","S"),IF(AND(COUNTIF(F206,"*V*"),COUNTIF(F206,"*R*")),SUBSTITUTE(F206,"R","S"),F206))),"0",""),"1",""),"2",""),"3",""),"4",""),"5",""),"6",""),"7",""),"8",""),"9","")&amp; Data!BU51),"")</f>
        <v/>
      </c>
      <c r="G223" s="41" t="str">
        <f>IF(G206&lt;&gt;"",IF(OR(COUNTIF(G206,"L*"),COUNTIF(G206, "X*")),IF(AND(COUNTIF(G206,"*P*"),COUNTIF(G206,"*V*")),IF(COUNTIF(G206,"*R*"),SUBSTITUTE(SUBSTITUTE(G206,"P",""),"R","S")&amp; Data!BV51,SUBSTITUTE(G206,"P","")&amp; Data!BV51),IF(AND(COUNTIF(G206,"*P*"),COUNTIF(G206,"*R*")),SUBSTITUTE(G206,"R","S")&amp;Data!BV51,IF(AND(COUNTIF(G206,"*V*"),COUNTIF(G206,"*R*")),SUBSTITUTE(G206,"R","S")&amp;Data!BV51,G206 &amp; Data!BV51))),SUBSTITUTE(SUBSTITUTE(SUBSTITUTE(SUBSTITUTE(SUBSTITUTE(SUBSTITUTE(SUBSTITUTE(SUBSTITUTE(SUBSTITUTE(SUBSTITUTE(IF(AND(COUNTIF(G206,"*P*"),COUNTIF(G206,"*V*")),IF(COUNTIF(G206,"*R*"),SUBSTITUTE(SUBSTITUTE(G206,"P",""),"R","S"),SUBSTITUTE(G206,"P","")),IF(AND(COUNTIF(G206,"*P*"),COUNTIF(G206,"*R*")),SUBSTITUTE(G206,"R","S"),IF(AND(COUNTIF(G206,"*V*"),COUNTIF(G206,"*R*")),SUBSTITUTE(G206,"R","S"),G206))),"0",""),"1",""),"2",""),"3",""),"4",""),"5",""),"6",""),"7",""),"8",""),"9","")&amp; Data!BV51),"")</f>
        <v/>
      </c>
      <c r="H223" s="41" t="str">
        <f>IF(H206&lt;&gt;"",IF(OR(COUNTIF(H206,"L*"),COUNTIF(H206, "X*")),IF(AND(COUNTIF(H206,"*P*"),COUNTIF(H206,"*V*")),IF(COUNTIF(H206,"*R*"),SUBSTITUTE(SUBSTITUTE(H206,"P",""),"R","S")&amp; Data!BW51,SUBSTITUTE(H206,"P","")&amp; Data!BW51),IF(AND(COUNTIF(H206,"*P*"),COUNTIF(H206,"*R*")),SUBSTITUTE(H206,"R","S")&amp;Data!BW51,IF(AND(COUNTIF(H206,"*V*"),COUNTIF(H206,"*R*")),SUBSTITUTE(H206,"R","S")&amp;Data!BW51,H206 &amp; Data!BW51))),SUBSTITUTE(SUBSTITUTE(SUBSTITUTE(SUBSTITUTE(SUBSTITUTE(SUBSTITUTE(SUBSTITUTE(SUBSTITUTE(SUBSTITUTE(SUBSTITUTE(IF(AND(COUNTIF(H206,"*P*"),COUNTIF(H206,"*V*")),IF(COUNTIF(H206,"*R*"),SUBSTITUTE(SUBSTITUTE(H206,"P",""),"R","S"),SUBSTITUTE(H206,"P","")),IF(AND(COUNTIF(H206,"*P*"),COUNTIF(H206,"*R*")),SUBSTITUTE(H206,"R","S"),IF(AND(COUNTIF(H206,"*V*"),COUNTIF(H206,"*R*")),SUBSTITUTE(H206,"R","S"),H206))),"0",""),"1",""),"2",""),"3",""),"4",""),"5",""),"6",""),"7",""),"8",""),"9","")&amp; Data!BW51),"")</f>
        <v/>
      </c>
      <c r="I223" s="41" t="str">
        <f>IF(I206&lt;&gt;"",IF(OR(COUNTIF(I206,"L*"),COUNTIF(I206, "X*")),IF(AND(COUNTIF(I206,"*P*"),COUNTIF(I206,"*V*")),IF(COUNTIF(I206,"*R*"),SUBSTITUTE(SUBSTITUTE(I206,"P",""),"R","S")&amp; Data!BX51,SUBSTITUTE(I206,"P","")&amp; Data!BX51),IF(AND(COUNTIF(I206,"*P*"),COUNTIF(I206,"*R*")),SUBSTITUTE(I206,"R","S")&amp;Data!BX51,IF(AND(COUNTIF(I206,"*V*"),COUNTIF(I206,"*R*")),SUBSTITUTE(I206,"R","S")&amp;Data!BX51,I206 &amp; Data!BX51))),SUBSTITUTE(SUBSTITUTE(SUBSTITUTE(SUBSTITUTE(SUBSTITUTE(SUBSTITUTE(SUBSTITUTE(SUBSTITUTE(SUBSTITUTE(SUBSTITUTE(IF(AND(COUNTIF(I206,"*P*"),COUNTIF(I206,"*V*")),IF(COUNTIF(I206,"*R*"),SUBSTITUTE(SUBSTITUTE(I206,"P",""),"R","S"),SUBSTITUTE(I206,"P","")),IF(AND(COUNTIF(I206,"*P*"),COUNTIF(I206,"*R*")),SUBSTITUTE(I206,"R","S"),IF(AND(COUNTIF(I206,"*V*"),COUNTIF(I206,"*R*")),SUBSTITUTE(I206,"R","S"),I206))),"0",""),"1",""),"2",""),"3",""),"4",""),"5",""),"6",""),"7",""),"8",""),"9","")&amp; Data!BX51),"")</f>
        <v/>
      </c>
      <c r="J223" s="41" t="str">
        <f>IF(J206&lt;&gt;"",IF(OR(COUNTIF(J206,"L*"),COUNTIF(J206, "X*")),IF(AND(COUNTIF(J206,"*P*"),COUNTIF(J206,"*V*")),IF(COUNTIF(J206,"*R*"),SUBSTITUTE(SUBSTITUTE(J206,"P",""),"R","S")&amp; Data!BY51,SUBSTITUTE(J206,"P","")&amp; Data!BY51),IF(AND(COUNTIF(J206,"*P*"),COUNTIF(J206,"*R*")),SUBSTITUTE(J206,"R","S")&amp;Data!BY51,IF(AND(COUNTIF(J206,"*V*"),COUNTIF(J206,"*R*")),SUBSTITUTE(J206,"R","S")&amp;Data!BY51,J206 &amp; Data!BY51))),SUBSTITUTE(SUBSTITUTE(SUBSTITUTE(SUBSTITUTE(SUBSTITUTE(SUBSTITUTE(SUBSTITUTE(SUBSTITUTE(SUBSTITUTE(SUBSTITUTE(IF(AND(COUNTIF(J206,"*P*"),COUNTIF(J206,"*V*")),IF(COUNTIF(J206,"*R*"),SUBSTITUTE(SUBSTITUTE(J206,"P",""),"R","S"),SUBSTITUTE(J206,"P","")),IF(AND(COUNTIF(J206,"*P*"),COUNTIF(J206,"*R*")),SUBSTITUTE(J206,"R","S"),IF(AND(COUNTIF(J206,"*V*"),COUNTIF(J206,"*R*")),SUBSTITUTE(J206,"R","S"),J206))),"0",""),"1",""),"2",""),"3",""),"4",""),"5",""),"6",""),"7",""),"8",""),"9","")&amp; Data!BY51),"")</f>
        <v/>
      </c>
      <c r="K223" s="41" t="str">
        <f>IF(K206&lt;&gt;"",IF(OR(COUNTIF(K206,"L*"),COUNTIF(K206, "X*")),IF(AND(COUNTIF(K206,"*P*"),COUNTIF(K206,"*V*")),IF(COUNTIF(K206,"*R*"),SUBSTITUTE(SUBSTITUTE(K206,"P",""),"R","S")&amp; Data!BZ51,SUBSTITUTE(K206,"P","")&amp; Data!BZ51),IF(AND(COUNTIF(K206,"*P*"),COUNTIF(K206,"*R*")),SUBSTITUTE(K206,"R","S")&amp;Data!BZ51,IF(AND(COUNTIF(K206,"*V*"),COUNTIF(K206,"*R*")),SUBSTITUTE(K206,"R","S")&amp;Data!BZ51,K206 &amp; Data!BZ51))),SUBSTITUTE(SUBSTITUTE(SUBSTITUTE(SUBSTITUTE(SUBSTITUTE(SUBSTITUTE(SUBSTITUTE(SUBSTITUTE(SUBSTITUTE(SUBSTITUTE(IF(AND(COUNTIF(K206,"*P*"),COUNTIF(K206,"*V*")),IF(COUNTIF(K206,"*R*"),SUBSTITUTE(SUBSTITUTE(K206,"P",""),"R","S"),SUBSTITUTE(K206,"P","")),IF(AND(COUNTIF(K206,"*P*"),COUNTIF(K206,"*R*")),SUBSTITUTE(K206,"R","S"),IF(AND(COUNTIF(K206,"*V*"),COUNTIF(K206,"*R*")),SUBSTITUTE(K206,"R","S"),K206))),"0",""),"1",""),"2",""),"3",""),"4",""),"5",""),"6",""),"7",""),"8",""),"9","")&amp; Data!BZ51),"")</f>
        <v/>
      </c>
      <c r="L223" s="41" t="str">
        <f>IF(L206&lt;&gt;"",IF(OR(COUNTIF(L206,"L*"),COUNTIF(L206, "X*")),IF(AND(COUNTIF(L206,"*P*"),COUNTIF(L206,"*V*")),IF(COUNTIF(L206,"*R*"),SUBSTITUTE(SUBSTITUTE(L206,"P",""),"R","S")&amp; Data!CA51,SUBSTITUTE(L206,"P","")&amp; Data!CA51),IF(AND(COUNTIF(L206,"*P*"),COUNTIF(L206,"*R*")),SUBSTITUTE(L206,"R","S")&amp;Data!CA51,IF(AND(COUNTIF(L206,"*V*"),COUNTIF(L206,"*R*")),SUBSTITUTE(L206,"R","S")&amp;Data!CA51,L206 &amp; Data!CA51))),SUBSTITUTE(SUBSTITUTE(SUBSTITUTE(SUBSTITUTE(SUBSTITUTE(SUBSTITUTE(SUBSTITUTE(SUBSTITUTE(SUBSTITUTE(SUBSTITUTE(IF(AND(COUNTIF(L206,"*P*"),COUNTIF(L206,"*V*")),IF(COUNTIF(L206,"*R*"),SUBSTITUTE(SUBSTITUTE(L206,"P",""),"R","S"),SUBSTITUTE(L206,"P","")),IF(AND(COUNTIF(L206,"*P*"),COUNTIF(L206,"*R*")),SUBSTITUTE(L206,"R","S"),IF(AND(COUNTIF(L206,"*V*"),COUNTIF(L206,"*R*")),SUBSTITUTE(L206,"R","S"),L206))),"0",""),"1",""),"2",""),"3",""),"4",""),"5",""),"6",""),"7",""),"8",""),"9","")&amp; Data!CA51),"")</f>
        <v/>
      </c>
      <c r="M223" s="41" t="str">
        <f>IF(M206&lt;&gt;"",IF(OR(COUNTIF(M206,"L*"),COUNTIF(M206, "X*")),IF(AND(COUNTIF(M206,"*P*"),COUNTIF(M206,"*V*")),IF(COUNTIF(M206,"*R*"),SUBSTITUTE(SUBSTITUTE(M206,"P",""),"R","S")&amp; Data!CB51,SUBSTITUTE(M206,"P","")&amp; Data!CB51),IF(AND(COUNTIF(M206,"*P*"),COUNTIF(M206,"*R*")),SUBSTITUTE(M206,"R","S")&amp;Data!CB51,IF(AND(COUNTIF(M206,"*V*"),COUNTIF(M206,"*R*")),SUBSTITUTE(M206,"R","S")&amp;Data!CB51,M206 &amp; Data!CB51))),SUBSTITUTE(SUBSTITUTE(SUBSTITUTE(SUBSTITUTE(SUBSTITUTE(SUBSTITUTE(SUBSTITUTE(SUBSTITUTE(SUBSTITUTE(SUBSTITUTE(IF(AND(COUNTIF(M206,"*P*"),COUNTIF(M206,"*V*")),IF(COUNTIF(M206,"*R*"),SUBSTITUTE(SUBSTITUTE(M206,"P",""),"R","S"),SUBSTITUTE(M206,"P","")),IF(AND(COUNTIF(M206,"*P*"),COUNTIF(M206,"*R*")),SUBSTITUTE(M206,"R","S"),IF(AND(COUNTIF(M206,"*V*"),COUNTIF(M206,"*R*")),SUBSTITUTE(M206,"R","S"),M206))),"0",""),"1",""),"2",""),"3",""),"4",""),"5",""),"6",""),"7",""),"8",""),"9","")&amp; Data!CB51),"")</f>
        <v/>
      </c>
      <c r="N223" s="41" t="str">
        <f>IF(N206&lt;&gt;"",IF(OR(COUNTIF(N206,"L*"),COUNTIF(N206, "X*")),IF(AND(COUNTIF(N206,"*P*"),COUNTIF(N206,"*V*")),IF(COUNTIF(N206,"*R*"),SUBSTITUTE(SUBSTITUTE(N206,"P",""),"R","S")&amp; Data!CC51,SUBSTITUTE(N206,"P","")&amp; Data!CC51),IF(AND(COUNTIF(N206,"*P*"),COUNTIF(N206,"*R*")),SUBSTITUTE(N206,"R","S")&amp;Data!CC51,IF(AND(COUNTIF(N206,"*V*"),COUNTIF(N206,"*R*")),SUBSTITUTE(N206,"R","S")&amp;Data!CC51,N206 &amp; Data!CC51))),SUBSTITUTE(SUBSTITUTE(SUBSTITUTE(SUBSTITUTE(SUBSTITUTE(SUBSTITUTE(SUBSTITUTE(SUBSTITUTE(SUBSTITUTE(SUBSTITUTE(IF(AND(COUNTIF(N206,"*P*"),COUNTIF(N206,"*V*")),IF(COUNTIF(N206,"*R*"),SUBSTITUTE(SUBSTITUTE(N206,"P",""),"R","S"),SUBSTITUTE(N206,"P","")),IF(AND(COUNTIF(N206,"*P*"),COUNTIF(N206,"*R*")),SUBSTITUTE(N206,"R","S"),IF(AND(COUNTIF(N206,"*V*"),COUNTIF(N206,"*R*")),SUBSTITUTE(N206,"R","S"),N206))),"0",""),"1",""),"2",""),"3",""),"4",""),"5",""),"6",""),"7",""),"8",""),"9","")&amp; Data!CC51),"")</f>
        <v/>
      </c>
      <c r="O223" s="41" t="str">
        <f>IF(O206&lt;&gt;"",IF(OR(COUNTIF(O206,"L*"),COUNTIF(O206, "X*")),IF(AND(COUNTIF(O206,"*P*"),COUNTIF(O206,"*V*")),IF(COUNTIF(O206,"*R*"),SUBSTITUTE(SUBSTITUTE(O206,"P",""),"R","S")&amp; Data!CD51,SUBSTITUTE(O206,"P","")&amp; Data!CD51),IF(AND(COUNTIF(O206,"*P*"),COUNTIF(O206,"*R*")),SUBSTITUTE(O206,"R","S")&amp;Data!CD51,IF(AND(COUNTIF(O206,"*V*"),COUNTIF(O206,"*R*")),SUBSTITUTE(O206,"R","S")&amp;Data!CD51,O206 &amp; Data!CD51))),SUBSTITUTE(SUBSTITUTE(SUBSTITUTE(SUBSTITUTE(SUBSTITUTE(SUBSTITUTE(SUBSTITUTE(SUBSTITUTE(SUBSTITUTE(SUBSTITUTE(IF(AND(COUNTIF(O206,"*P*"),COUNTIF(O206,"*V*")),IF(COUNTIF(O206,"*R*"),SUBSTITUTE(SUBSTITUTE(O206,"P",""),"R","S"),SUBSTITUTE(O206,"P","")),IF(AND(COUNTIF(O206,"*P*"),COUNTIF(O206,"*R*")),SUBSTITUTE(O206,"R","S"),IF(AND(COUNTIF(O206,"*V*"),COUNTIF(O206,"*R*")),SUBSTITUTE(O206,"R","S"),O206))),"0",""),"1",""),"2",""),"3",""),"4",""),"5",""),"6",""),"7",""),"8",""),"9","")&amp; Data!CD51),"")</f>
        <v/>
      </c>
      <c r="P223" s="41" t="str">
        <f>IF(P206&lt;&gt;"",IF(OR(COUNTIF(P206,"L*"),COUNTIF(P206, "X*")),IF(AND(COUNTIF(P206,"*P*"),COUNTIF(P206,"*V*")),IF(COUNTIF(P206,"*R*"),SUBSTITUTE(SUBSTITUTE(P206,"P",""),"R","S")&amp; Data!CE51,SUBSTITUTE(P206,"P","")&amp; Data!CE51),IF(AND(COUNTIF(P206,"*P*"),COUNTIF(P206,"*R*")),SUBSTITUTE(P206,"R","S")&amp;Data!CE51,IF(AND(COUNTIF(P206,"*V*"),COUNTIF(P206,"*R*")),SUBSTITUTE(P206,"R","S")&amp;Data!CE51,P206 &amp; Data!CE51))),SUBSTITUTE(SUBSTITUTE(SUBSTITUTE(SUBSTITUTE(SUBSTITUTE(SUBSTITUTE(SUBSTITUTE(SUBSTITUTE(SUBSTITUTE(SUBSTITUTE(IF(AND(COUNTIF(P206,"*P*"),COUNTIF(P206,"*V*")),IF(COUNTIF(P206,"*R*"),SUBSTITUTE(SUBSTITUTE(P206,"P",""),"R","S"),SUBSTITUTE(P206,"P","")),IF(AND(COUNTIF(P206,"*P*"),COUNTIF(P206,"*R*")),SUBSTITUTE(P206,"R","S"),IF(AND(COUNTIF(P206,"*V*"),COUNTIF(P206,"*R*")),SUBSTITUTE(P206,"R","S"),P206))),"0",""),"1",""),"2",""),"3",""),"4",""),"5",""),"6",""),"7",""),"8",""),"9","")&amp; Data!CE51),"")</f>
        <v/>
      </c>
      <c r="Q223" s="41" t="str">
        <f>IF(Q206&lt;&gt;"",IF(OR(COUNTIF(Q206,"L*"),COUNTIF(Q206, "X*")),IF(AND(COUNTIF(Q206,"*P*"),COUNTIF(Q206,"*V*")),IF(COUNTIF(Q206,"*R*"),SUBSTITUTE(SUBSTITUTE(Q206,"P",""),"R","S")&amp; Data!CF51,SUBSTITUTE(Q206,"P","")&amp; Data!CF51),IF(AND(COUNTIF(Q206,"*P*"),COUNTIF(Q206,"*R*")),SUBSTITUTE(Q206,"R","S")&amp;Data!CF51,IF(AND(COUNTIF(Q206,"*V*"),COUNTIF(Q206,"*R*")),SUBSTITUTE(Q206,"R","S")&amp;Data!CF51,Q206 &amp; Data!CF51))),SUBSTITUTE(SUBSTITUTE(SUBSTITUTE(SUBSTITUTE(SUBSTITUTE(SUBSTITUTE(SUBSTITUTE(SUBSTITUTE(SUBSTITUTE(SUBSTITUTE(IF(AND(COUNTIF(Q206,"*P*"),COUNTIF(Q206,"*V*")),IF(COUNTIF(Q206,"*R*"),SUBSTITUTE(SUBSTITUTE(Q206,"P",""),"R","S"),SUBSTITUTE(Q206,"P","")),IF(AND(COUNTIF(Q206,"*P*"),COUNTIF(Q206,"*R*")),SUBSTITUTE(Q206,"R","S"),IF(AND(COUNTIF(Q206,"*V*"),COUNTIF(Q206,"*R*")),SUBSTITUTE(Q206,"R","S"),Q206))),"0",""),"1",""),"2",""),"3",""),"4",""),"5",""),"6",""),"7",""),"8",""),"9","")&amp; Data!CF51),"")</f>
        <v/>
      </c>
      <c r="R223" s="41" t="str">
        <f>IF(R206&lt;&gt;"",IF(OR(COUNTIF(R206,"L*"),COUNTIF(R206, "X*")),IF(AND(COUNTIF(R206,"*P*"),COUNTIF(R206,"*V*")),IF(COUNTIF(R206,"*R*"),SUBSTITUTE(SUBSTITUTE(R206,"P",""),"R","S")&amp; Data!CG51,SUBSTITUTE(R206,"P","")&amp; Data!CG51),IF(AND(COUNTIF(R206,"*P*"),COUNTIF(R206,"*R*")),SUBSTITUTE(R206,"R","S")&amp;Data!CG51,IF(AND(COUNTIF(R206,"*V*"),COUNTIF(R206,"*R*")),SUBSTITUTE(R206,"R","S")&amp;Data!CG51,R206 &amp; Data!CG51))),SUBSTITUTE(SUBSTITUTE(SUBSTITUTE(SUBSTITUTE(SUBSTITUTE(SUBSTITUTE(SUBSTITUTE(SUBSTITUTE(SUBSTITUTE(SUBSTITUTE(IF(AND(COUNTIF(R206,"*P*"),COUNTIF(R206,"*V*")),IF(COUNTIF(R206,"*R*"),SUBSTITUTE(SUBSTITUTE(R206,"P",""),"R","S"),SUBSTITUTE(R206,"P","")),IF(AND(COUNTIF(R206,"*P*"),COUNTIF(R206,"*R*")),SUBSTITUTE(R206,"R","S"),IF(AND(COUNTIF(R206,"*V*"),COUNTIF(R206,"*R*")),SUBSTITUTE(R206,"R","S"),R206))),"0",""),"1",""),"2",""),"3",""),"4",""),"5",""),"6",""),"7",""),"8",""),"9","")&amp; Data!CG51),"")</f>
        <v/>
      </c>
      <c r="S223" s="41" t="str">
        <f>IF(S206&lt;&gt;"",IF(OR(COUNTIF(S206,"L*"),COUNTIF(S206, "X*")),IF(AND(COUNTIF(S206,"*P*"),COUNTIF(S206,"*V*")),IF(COUNTIF(S206,"*R*"),SUBSTITUTE(SUBSTITUTE(S206,"P",""),"R","S")&amp; Data!CH51,SUBSTITUTE(S206,"P","")&amp; Data!CH51),IF(AND(COUNTIF(S206,"*P*"),COUNTIF(S206,"*R*")),SUBSTITUTE(S206,"R","S")&amp;Data!CH51,IF(AND(COUNTIF(S206,"*V*"),COUNTIF(S206,"*R*")),SUBSTITUTE(S206,"R","S")&amp;Data!CH51,S206 &amp; Data!CH51))),SUBSTITUTE(SUBSTITUTE(SUBSTITUTE(SUBSTITUTE(SUBSTITUTE(SUBSTITUTE(SUBSTITUTE(SUBSTITUTE(SUBSTITUTE(SUBSTITUTE(IF(AND(COUNTIF(S206,"*P*"),COUNTIF(S206,"*V*")),IF(COUNTIF(S206,"*R*"),SUBSTITUTE(SUBSTITUTE(S206,"P",""),"R","S"),SUBSTITUTE(S206,"P","")),IF(AND(COUNTIF(S206,"*P*"),COUNTIF(S206,"*R*")),SUBSTITUTE(S206,"R","S"),IF(AND(COUNTIF(S206,"*V*"),COUNTIF(S206,"*R*")),SUBSTITUTE(S206,"R","S"),S206))),"0",""),"1",""),"2",""),"3",""),"4",""),"5",""),"6",""),"7",""),"8",""),"9","")&amp; Data!CH51),"")</f>
        <v/>
      </c>
      <c r="T223" s="41" t="str">
        <f>IF(T206&lt;&gt;"",IF(OR(COUNTIF(T206,"L*"),COUNTIF(T206, "X*")),IF(AND(COUNTIF(T206,"*P*"),COUNTIF(T206,"*V*")),IF(COUNTIF(T206,"*R*"),SUBSTITUTE(SUBSTITUTE(T206,"P",""),"R","S")&amp; Data!CI51,SUBSTITUTE(T206,"P","")&amp; Data!CI51),IF(AND(COUNTIF(T206,"*P*"),COUNTIF(T206,"*R*")),SUBSTITUTE(T206,"R","S")&amp;Data!CI51,IF(AND(COUNTIF(T206,"*V*"),COUNTIF(T206,"*R*")),SUBSTITUTE(T206,"R","S")&amp;Data!CI51,T206 &amp; Data!CI51))),SUBSTITUTE(SUBSTITUTE(SUBSTITUTE(SUBSTITUTE(SUBSTITUTE(SUBSTITUTE(SUBSTITUTE(SUBSTITUTE(SUBSTITUTE(SUBSTITUTE(IF(AND(COUNTIF(T206,"*P*"),COUNTIF(T206,"*V*")),IF(COUNTIF(T206,"*R*"),SUBSTITUTE(SUBSTITUTE(T206,"P",""),"R","S"),SUBSTITUTE(T206,"P","")),IF(AND(COUNTIF(T206,"*P*"),COUNTIF(T206,"*R*")),SUBSTITUTE(T206,"R","S"),IF(AND(COUNTIF(T206,"*V*"),COUNTIF(T206,"*R*")),SUBSTITUTE(T206,"R","S"),T206))),"0",""),"1",""),"2",""),"3",""),"4",""),"5",""),"6",""),"7",""),"8",""),"9","")&amp; Data!CI51),"")</f>
        <v/>
      </c>
      <c r="U223" s="41" t="str">
        <f>IF(U206&lt;&gt;"",IF(OR(COUNTIF(U206,"L*"),COUNTIF(U206, "X*")),IF(AND(COUNTIF(U206,"*P*"),COUNTIF(U206,"*V*")),IF(COUNTIF(U206,"*R*"),SUBSTITUTE(SUBSTITUTE(U206,"P",""),"R","S")&amp; Data!CJ51,SUBSTITUTE(U206,"P","")&amp; Data!CJ51),IF(AND(COUNTIF(U206,"*P*"),COUNTIF(U206,"*R*")),SUBSTITUTE(U206,"R","S")&amp;Data!CJ51,IF(AND(COUNTIF(U206,"*V*"),COUNTIF(U206,"*R*")),SUBSTITUTE(U206,"R","S")&amp;Data!CJ51,U206 &amp; Data!CJ51))),SUBSTITUTE(SUBSTITUTE(SUBSTITUTE(SUBSTITUTE(SUBSTITUTE(SUBSTITUTE(SUBSTITUTE(SUBSTITUTE(SUBSTITUTE(SUBSTITUTE(IF(AND(COUNTIF(U206,"*P*"),COUNTIF(U206,"*V*")),IF(COUNTIF(U206,"*R*"),SUBSTITUTE(SUBSTITUTE(U206,"P",""),"R","S"),SUBSTITUTE(U206,"P","")),IF(AND(COUNTIF(U206,"*P*"),COUNTIF(U206,"*R*")),SUBSTITUTE(U206,"R","S"),IF(AND(COUNTIF(U206,"*V*"),COUNTIF(U206,"*R*")),SUBSTITUTE(U206,"R","S"),U206))),"0",""),"1",""),"2",""),"3",""),"4",""),"5",""),"6",""),"7",""),"8",""),"9","")&amp; Data!CJ51),"")</f>
        <v/>
      </c>
      <c r="V223" s="41" t="str">
        <f>IF(V206&lt;&gt;"",IF(OR(COUNTIF(V206,"L*"),COUNTIF(V206, "X*")),IF(AND(COUNTIF(V206,"*P*"),COUNTIF(V206,"*V*")),IF(COUNTIF(V206,"*R*"),SUBSTITUTE(SUBSTITUTE(V206,"P",""),"R","S")&amp; Data!CK51,SUBSTITUTE(V206,"P","")&amp; Data!CK51),IF(AND(COUNTIF(V206,"*P*"),COUNTIF(V206,"*R*")),SUBSTITUTE(V206,"R","S")&amp;Data!CK51,IF(AND(COUNTIF(V206,"*V*"),COUNTIF(V206,"*R*")),SUBSTITUTE(V206,"R","S")&amp;Data!CK51,V206 &amp; Data!CK51))),SUBSTITUTE(SUBSTITUTE(SUBSTITUTE(SUBSTITUTE(SUBSTITUTE(SUBSTITUTE(SUBSTITUTE(SUBSTITUTE(SUBSTITUTE(SUBSTITUTE(IF(AND(COUNTIF(V206,"*P*"),COUNTIF(V206,"*V*")),IF(COUNTIF(V206,"*R*"),SUBSTITUTE(SUBSTITUTE(V206,"P",""),"R","S"),SUBSTITUTE(V206,"P","")),IF(AND(COUNTIF(V206,"*P*"),COUNTIF(V206,"*R*")),SUBSTITUTE(V206,"R","S"),IF(AND(COUNTIF(V206,"*V*"),COUNTIF(V206,"*R*")),SUBSTITUTE(V206,"R","S"),V206))),"0",""),"1",""),"2",""),"3",""),"4",""),"5",""),"6",""),"7",""),"8",""),"9","")&amp; Data!CK51),"")</f>
        <v/>
      </c>
      <c r="W223" s="41" t="str">
        <f>IF(W206&lt;&gt;"",IF(OR(COUNTIF(W206,"L*"),COUNTIF(W206, "X*")),IF(AND(COUNTIF(W206,"*P*"),COUNTIF(W206,"*V*")),IF(COUNTIF(W206,"*R*"),SUBSTITUTE(SUBSTITUTE(W206,"P",""),"R","S")&amp; Data!CL51,SUBSTITUTE(W206,"P","")&amp; Data!CL51),IF(AND(COUNTIF(W206,"*P*"),COUNTIF(W206,"*R*")),SUBSTITUTE(W206,"R","S")&amp;Data!CL51,IF(AND(COUNTIF(W206,"*V*"),COUNTIF(W206,"*R*")),SUBSTITUTE(W206,"R","S")&amp;Data!CL51,W206 &amp; Data!CL51))),SUBSTITUTE(SUBSTITUTE(SUBSTITUTE(SUBSTITUTE(SUBSTITUTE(SUBSTITUTE(SUBSTITUTE(SUBSTITUTE(SUBSTITUTE(SUBSTITUTE(IF(AND(COUNTIF(W206,"*P*"),COUNTIF(W206,"*V*")),IF(COUNTIF(W206,"*R*"),SUBSTITUTE(SUBSTITUTE(W206,"P",""),"R","S"),SUBSTITUTE(W206,"P","")),IF(AND(COUNTIF(W206,"*P*"),COUNTIF(W206,"*R*")),SUBSTITUTE(W206,"R","S"),IF(AND(COUNTIF(W206,"*V*"),COUNTIF(W206,"*R*")),SUBSTITUTE(W206,"R","S"),W206))),"0",""),"1",""),"2",""),"3",""),"4",""),"5",""),"6",""),"7",""),"8",""),"9","")&amp; Data!CL51),"")</f>
        <v/>
      </c>
      <c r="X223" s="41" t="str">
        <f>IF(X206&lt;&gt;"",IF(OR(COUNTIF(X206,"L*"),COUNTIF(X206, "X*")),IF(AND(COUNTIF(X206,"*P*"),COUNTIF(X206,"*V*")),IF(COUNTIF(X206,"*R*"),SUBSTITUTE(SUBSTITUTE(X206,"P",""),"R","S")&amp; Data!CM51,SUBSTITUTE(X206,"P","")&amp; Data!CM51),IF(AND(COUNTIF(X206,"*P*"),COUNTIF(X206,"*R*")),SUBSTITUTE(X206,"R","S")&amp;Data!CM51,IF(AND(COUNTIF(X206,"*V*"),COUNTIF(X206,"*R*")),SUBSTITUTE(X206,"R","S")&amp;Data!CM51,X206 &amp; Data!CM51))),SUBSTITUTE(SUBSTITUTE(SUBSTITUTE(SUBSTITUTE(SUBSTITUTE(SUBSTITUTE(SUBSTITUTE(SUBSTITUTE(SUBSTITUTE(SUBSTITUTE(IF(AND(COUNTIF(X206,"*P*"),COUNTIF(X206,"*V*")),IF(COUNTIF(X206,"*R*"),SUBSTITUTE(SUBSTITUTE(X206,"P",""),"R","S"),SUBSTITUTE(X206,"P","")),IF(AND(COUNTIF(X206,"*P*"),COUNTIF(X206,"*R*")),SUBSTITUTE(X206,"R","S"),IF(AND(COUNTIF(X206,"*V*"),COUNTIF(X206,"*R*")),SUBSTITUTE(X206,"R","S"),X206))),"0",""),"1",""),"2",""),"3",""),"4",""),"5",""),"6",""),"7",""),"8",""),"9","")&amp; Data!CM51),"")</f>
        <v/>
      </c>
      <c r="Y223" s="41" t="str">
        <f>IF(Y206&lt;&gt;"",IF(OR(COUNTIF(Y206,"L*"),COUNTIF(Y206, "X*")),IF(AND(COUNTIF(Y206,"*P*"),COUNTIF(Y206,"*V*")),IF(COUNTIF(Y206,"*R*"),SUBSTITUTE(SUBSTITUTE(Y206,"P",""),"R","S")&amp; Data!CN51,SUBSTITUTE(Y206,"P","")&amp; Data!CN51),IF(AND(COUNTIF(Y206,"*P*"),COUNTIF(Y206,"*R*")),SUBSTITUTE(Y206,"R","S")&amp;Data!CN51,IF(AND(COUNTIF(Y206,"*V*"),COUNTIF(Y206,"*R*")),SUBSTITUTE(Y206,"R","S")&amp;Data!CN51,Y206 &amp; Data!CN51))),SUBSTITUTE(SUBSTITUTE(SUBSTITUTE(SUBSTITUTE(SUBSTITUTE(SUBSTITUTE(SUBSTITUTE(SUBSTITUTE(SUBSTITUTE(SUBSTITUTE(IF(AND(COUNTIF(Y206,"*P*"),COUNTIF(Y206,"*V*")),IF(COUNTIF(Y206,"*R*"),SUBSTITUTE(SUBSTITUTE(Y206,"P",""),"R","S"),SUBSTITUTE(Y206,"P","")),IF(AND(COUNTIF(Y206,"*P*"),COUNTIF(Y206,"*R*")),SUBSTITUTE(Y206,"R","S"),IF(AND(COUNTIF(Y206,"*V*"),COUNTIF(Y206,"*R*")),SUBSTITUTE(Y206,"R","S"),Y206))),"0",""),"1",""),"2",""),"3",""),"4",""),"5",""),"6",""),"7",""),"8",""),"9","")&amp; Data!CN51),"")</f>
        <v/>
      </c>
      <c r="Z223" s="41" t="str">
        <f>IF(Z206&lt;&gt;"",IF(OR(COUNTIF(Z206,"L*"),COUNTIF(Z206, "X*")),IF(AND(COUNTIF(Z206,"*P*"),COUNTIF(Z206,"*V*")),IF(COUNTIF(Z206,"*R*"),SUBSTITUTE(SUBSTITUTE(Z206,"P",""),"R","S")&amp; Data!CO51,SUBSTITUTE(Z206,"P","")&amp; Data!CO51),IF(AND(COUNTIF(Z206,"*P*"),COUNTIF(Z206,"*R*")),SUBSTITUTE(Z206,"R","S")&amp;Data!CO51,IF(AND(COUNTIF(Z206,"*V*"),COUNTIF(Z206,"*R*")),SUBSTITUTE(Z206,"R","S")&amp;Data!CO51,Z206 &amp; Data!CO51))),SUBSTITUTE(SUBSTITUTE(SUBSTITUTE(SUBSTITUTE(SUBSTITUTE(SUBSTITUTE(SUBSTITUTE(SUBSTITUTE(SUBSTITUTE(SUBSTITUTE(IF(AND(COUNTIF(Z206,"*P*"),COUNTIF(Z206,"*V*")),IF(COUNTIF(Z206,"*R*"),SUBSTITUTE(SUBSTITUTE(Z206,"P",""),"R","S"),SUBSTITUTE(Z206,"P","")),IF(AND(COUNTIF(Z206,"*P*"),COUNTIF(Z206,"*R*")),SUBSTITUTE(Z206,"R","S"),IF(AND(COUNTIF(Z206,"*V*"),COUNTIF(Z206,"*R*")),SUBSTITUTE(Z206,"R","S"),Z206))),"0",""),"1",""),"2",""),"3",""),"4",""),"5",""),"6",""),"7",""),"8",""),"9","")&amp; Data!CO51),"")</f>
        <v/>
      </c>
      <c r="AA223" s="41" t="str">
        <f>IF(AA206&lt;&gt;"",IF(OR(COUNTIF(AA206,"L*"),COUNTIF(AA206, "X*")),IF(AND(COUNTIF(AA206,"*P*"),COUNTIF(AA206,"*V*")),IF(COUNTIF(AA206,"*R*"),SUBSTITUTE(SUBSTITUTE(AA206,"P",""),"R","S")&amp; Data!CP51,SUBSTITUTE(AA206,"P","")&amp; Data!CP51),IF(AND(COUNTIF(AA206,"*P*"),COUNTIF(AA206,"*R*")),SUBSTITUTE(AA206,"R","S")&amp;Data!CP51,IF(AND(COUNTIF(AA206,"*V*"),COUNTIF(AA206,"*R*")),SUBSTITUTE(AA206,"R","S")&amp;Data!CP51,AA206 &amp; Data!CP51))),SUBSTITUTE(SUBSTITUTE(SUBSTITUTE(SUBSTITUTE(SUBSTITUTE(SUBSTITUTE(SUBSTITUTE(SUBSTITUTE(SUBSTITUTE(SUBSTITUTE(IF(AND(COUNTIF(AA206,"*P*"),COUNTIF(AA206,"*V*")),IF(COUNTIF(AA206,"*R*"),SUBSTITUTE(SUBSTITUTE(AA206,"P",""),"R","S"),SUBSTITUTE(AA206,"P","")),IF(AND(COUNTIF(AA206,"*P*"),COUNTIF(AA206,"*R*")),SUBSTITUTE(AA206,"R","S"),IF(AND(COUNTIF(AA206,"*V*"),COUNTIF(AA206,"*R*")),SUBSTITUTE(AA206,"R","S"),AA206))),"0",""),"1",""),"2",""),"3",""),"4",""),"5",""),"6",""),"7",""),"8",""),"9","")&amp; Data!CP51),"")</f>
        <v/>
      </c>
      <c r="AB223" s="41" t="str">
        <f>IF(AB206&lt;&gt;"",IF(OR(COUNTIF(AB206,"L*"),COUNTIF(AB206, "X*")),IF(AND(COUNTIF(AB206,"*P*"),COUNTIF(AB206,"*V*")),IF(COUNTIF(AB206,"*R*"),SUBSTITUTE(SUBSTITUTE(AB206,"P",""),"R","S")&amp; Data!CQ51,SUBSTITUTE(AB206,"P","")&amp; Data!CQ51),IF(AND(COUNTIF(AB206,"*P*"),COUNTIF(AB206,"*R*")),SUBSTITUTE(AB206,"R","S")&amp;Data!CQ51,IF(AND(COUNTIF(AB206,"*V*"),COUNTIF(AB206,"*R*")),SUBSTITUTE(AB206,"R","S")&amp;Data!CQ51,AB206 &amp; Data!CQ51))),SUBSTITUTE(SUBSTITUTE(SUBSTITUTE(SUBSTITUTE(SUBSTITUTE(SUBSTITUTE(SUBSTITUTE(SUBSTITUTE(SUBSTITUTE(SUBSTITUTE(IF(AND(COUNTIF(AB206,"*P*"),COUNTIF(AB206,"*V*")),IF(COUNTIF(AB206,"*R*"),SUBSTITUTE(SUBSTITUTE(AB206,"P",""),"R","S"),SUBSTITUTE(AB206,"P","")),IF(AND(COUNTIF(AB206,"*P*"),COUNTIF(AB206,"*R*")),SUBSTITUTE(AB206,"R","S"),IF(AND(COUNTIF(AB206,"*V*"),COUNTIF(AB206,"*R*")),SUBSTITUTE(AB206,"R","S"),AB206))),"0",""),"1",""),"2",""),"3",""),"4",""),"5",""),"6",""),"7",""),"8",""),"9","")&amp; Data!CQ51),"")</f>
        <v/>
      </c>
      <c r="AC223" s="41" t="str">
        <f>IF(AC206&lt;&gt;"",IF(OR(COUNTIF(AC206,"L*"),COUNTIF(AC206, "X*")),IF(AND(COUNTIF(AC206,"*P*"),COUNTIF(AC206,"*V*")),IF(COUNTIF(AC206,"*R*"),SUBSTITUTE(SUBSTITUTE(AC206,"P",""),"R","S")&amp; Data!CR51,SUBSTITUTE(AC206,"P","")&amp; Data!CR51),IF(AND(COUNTIF(AC206,"*P*"),COUNTIF(AC206,"*R*")),SUBSTITUTE(AC206,"R","S")&amp;Data!CR51,IF(AND(COUNTIF(AC206,"*V*"),COUNTIF(AC206,"*R*")),SUBSTITUTE(AC206,"R","S")&amp;Data!CR51,AC206 &amp; Data!CR51))),SUBSTITUTE(SUBSTITUTE(SUBSTITUTE(SUBSTITUTE(SUBSTITUTE(SUBSTITUTE(SUBSTITUTE(SUBSTITUTE(SUBSTITUTE(SUBSTITUTE(IF(AND(COUNTIF(AC206,"*P*"),COUNTIF(AC206,"*V*")),IF(COUNTIF(AC206,"*R*"),SUBSTITUTE(SUBSTITUTE(AC206,"P",""),"R","S"),SUBSTITUTE(AC206,"P","")),IF(AND(COUNTIF(AC206,"*P*"),COUNTIF(AC206,"*R*")),SUBSTITUTE(AC206,"R","S"),IF(AND(COUNTIF(AC206,"*V*"),COUNTIF(AC206,"*R*")),SUBSTITUTE(AC206,"R","S"),AC206))),"0",""),"1",""),"2",""),"3",""),"4",""),"5",""),"6",""),"7",""),"8",""),"9","")&amp; Data!CR51),"")</f>
        <v/>
      </c>
      <c r="AD223" s="41" t="str">
        <f>IF(AD206&lt;&gt;"",IF(OR(COUNTIF(AD206,"L*"),COUNTIF(AD206, "X*")),IF(AND(COUNTIF(AD206,"*P*"),COUNTIF(AD206,"*V*")),IF(COUNTIF(AD206,"*R*"),SUBSTITUTE(SUBSTITUTE(AD206,"P",""),"R","S")&amp; Data!CS51,SUBSTITUTE(AD206,"P","")&amp; Data!CS51),IF(AND(COUNTIF(AD206,"*P*"),COUNTIF(AD206,"*R*")),SUBSTITUTE(AD206,"R","S")&amp;Data!CS51,IF(AND(COUNTIF(AD206,"*V*"),COUNTIF(AD206,"*R*")),SUBSTITUTE(AD206,"R","S")&amp;Data!CS51,AD206 &amp; Data!CS51))),SUBSTITUTE(SUBSTITUTE(SUBSTITUTE(SUBSTITUTE(SUBSTITUTE(SUBSTITUTE(SUBSTITUTE(SUBSTITUTE(SUBSTITUTE(SUBSTITUTE(IF(AND(COUNTIF(AD206,"*P*"),COUNTIF(AD206,"*V*")),IF(COUNTIF(AD206,"*R*"),SUBSTITUTE(SUBSTITUTE(AD206,"P",""),"R","S"),SUBSTITUTE(AD206,"P","")),IF(AND(COUNTIF(AD206,"*P*"),COUNTIF(AD206,"*R*")),SUBSTITUTE(AD206,"R","S"),IF(AND(COUNTIF(AD206,"*V*"),COUNTIF(AD206,"*R*")),SUBSTITUTE(AD206,"R","S"),AD206))),"0",""),"1",""),"2",""),"3",""),"4",""),"5",""),"6",""),"7",""),"8",""),"9","")&amp; Data!CS51),"")</f>
        <v/>
      </c>
      <c r="AE223" s="41" t="str">
        <f>IF(AE206&lt;&gt;"",IF(OR(COUNTIF(AE206,"L*"),COUNTIF(AE206, "X*")),IF(AND(COUNTIF(AE206,"*P*"),COUNTIF(AE206,"*V*")),IF(COUNTIF(AE206,"*R*"),SUBSTITUTE(SUBSTITUTE(AE206,"P",""),"R","S")&amp; Data!CT51,SUBSTITUTE(AE206,"P","")&amp; Data!CT51),IF(AND(COUNTIF(AE206,"*P*"),COUNTIF(AE206,"*R*")),SUBSTITUTE(AE206,"R","S")&amp;Data!CT51,IF(AND(COUNTIF(AE206,"*V*"),COUNTIF(AE206,"*R*")),SUBSTITUTE(AE206,"R","S")&amp;Data!CT51,AE206 &amp; Data!CT51))),SUBSTITUTE(SUBSTITUTE(SUBSTITUTE(SUBSTITUTE(SUBSTITUTE(SUBSTITUTE(SUBSTITUTE(SUBSTITUTE(SUBSTITUTE(SUBSTITUTE(IF(AND(COUNTIF(AE206,"*P*"),COUNTIF(AE206,"*V*")),IF(COUNTIF(AE206,"*R*"),SUBSTITUTE(SUBSTITUTE(AE206,"P",""),"R","S"),SUBSTITUTE(AE206,"P","")),IF(AND(COUNTIF(AE206,"*P*"),COUNTIF(AE206,"*R*")),SUBSTITUTE(AE206,"R","S"),IF(AND(COUNTIF(AE206,"*V*"),COUNTIF(AE206,"*R*")),SUBSTITUTE(AE206,"R","S"),AE206))),"0",""),"1",""),"2",""),"3",""),"4",""),"5",""),"6",""),"7",""),"8",""),"9","")&amp; Data!CT51),"")</f>
        <v/>
      </c>
      <c r="AF223" s="41" t="str">
        <f>IF(AF206&lt;&gt;"",IF(OR(COUNTIF(AF206,"L*"),COUNTIF(AF206, "X*")),IF(AND(COUNTIF(AF206,"*P*"),COUNTIF(AF206,"*V*")),IF(COUNTIF(AF206,"*R*"),SUBSTITUTE(SUBSTITUTE(AF206,"P",""),"R","S")&amp; Data!CU51,SUBSTITUTE(AF206,"P","")&amp; Data!CU51),IF(AND(COUNTIF(AF206,"*P*"),COUNTIF(AF206,"*R*")),SUBSTITUTE(AF206,"R","S")&amp;Data!CU51,IF(AND(COUNTIF(AF206,"*V*"),COUNTIF(AF206,"*R*")),SUBSTITUTE(AF206,"R","S")&amp;Data!CU51,AF206 &amp; Data!CU51))),SUBSTITUTE(SUBSTITUTE(SUBSTITUTE(SUBSTITUTE(SUBSTITUTE(SUBSTITUTE(SUBSTITUTE(SUBSTITUTE(SUBSTITUTE(SUBSTITUTE(IF(AND(COUNTIF(AF206,"*P*"),COUNTIF(AF206,"*V*")),IF(COUNTIF(AF206,"*R*"),SUBSTITUTE(SUBSTITUTE(AF206,"P",""),"R","S"),SUBSTITUTE(AF206,"P","")),IF(AND(COUNTIF(AF206,"*P*"),COUNTIF(AF206,"*R*")),SUBSTITUTE(AF206,"R","S"),IF(AND(COUNTIF(AF206,"*V*"),COUNTIF(AF206,"*R*")),SUBSTITUTE(AF206,"R","S"),AF206))),"0",""),"1",""),"2",""),"3",""),"4",""),"5",""),"6",""),"7",""),"8",""),"9","")&amp; Data!CU51),"")</f>
        <v/>
      </c>
      <c r="AG223" s="41" t="str">
        <f>IF(AG206&lt;&gt;"",IF(OR(COUNTIF(AG206,"L*"),COUNTIF(AG206, "X*")),IF(AND(COUNTIF(AG206,"*P*"),COUNTIF(AG206,"*V*")),IF(COUNTIF(AG206,"*R*"),SUBSTITUTE(SUBSTITUTE(AG206,"P",""),"R","S")&amp; Data!CV51,SUBSTITUTE(AG206,"P","")&amp; Data!CV51),IF(AND(COUNTIF(AG206,"*P*"),COUNTIF(AG206,"*R*")),SUBSTITUTE(AG206,"R","S")&amp;Data!CV51,IF(AND(COUNTIF(AG206,"*V*"),COUNTIF(AG206,"*R*")),SUBSTITUTE(AG206,"R","S")&amp;Data!CV51,AG206 &amp; Data!CV51))),SUBSTITUTE(SUBSTITUTE(SUBSTITUTE(SUBSTITUTE(SUBSTITUTE(SUBSTITUTE(SUBSTITUTE(SUBSTITUTE(SUBSTITUTE(SUBSTITUTE(IF(AND(COUNTIF(AG206,"*P*"),COUNTIF(AG206,"*V*")),IF(COUNTIF(AG206,"*R*"),SUBSTITUTE(SUBSTITUTE(AG206,"P",""),"R","S"),SUBSTITUTE(AG206,"P","")),IF(AND(COUNTIF(AG206,"*P*"),COUNTIF(AG206,"*R*")),SUBSTITUTE(AG206,"R","S"),IF(AND(COUNTIF(AG206,"*V*"),COUNTIF(AG206,"*R*")),SUBSTITUTE(AG206,"R","S"),AG206))),"0",""),"1",""),"2",""),"3",""),"4",""),"5",""),"6",""),"7",""),"8",""),"9","")&amp; Data!CV51),"")</f>
        <v/>
      </c>
      <c r="AH223" s="41" t="str">
        <f>IF(AH206&lt;&gt;"",IF(OR(COUNTIF(AH206,"L*"),COUNTIF(AH206, "X*")),IF(AND(COUNTIF(AH206,"*P*"),COUNTIF(AH206,"*V*")),IF(COUNTIF(AH206,"*R*"),SUBSTITUTE(SUBSTITUTE(AH206,"P",""),"R","S")&amp; Data!CW51,SUBSTITUTE(AH206,"P","")&amp; Data!CW51),IF(AND(COUNTIF(AH206,"*P*"),COUNTIF(AH206,"*R*")),SUBSTITUTE(AH206,"R","S")&amp;Data!CW51,IF(AND(COUNTIF(AH206,"*V*"),COUNTIF(AH206,"*R*")),SUBSTITUTE(AH206,"R","S")&amp;Data!CW51,AH206 &amp; Data!CW51))),SUBSTITUTE(SUBSTITUTE(SUBSTITUTE(SUBSTITUTE(SUBSTITUTE(SUBSTITUTE(SUBSTITUTE(SUBSTITUTE(SUBSTITUTE(SUBSTITUTE(IF(AND(COUNTIF(AH206,"*P*"),COUNTIF(AH206,"*V*")),IF(COUNTIF(AH206,"*R*"),SUBSTITUTE(SUBSTITUTE(AH206,"P",""),"R","S"),SUBSTITUTE(AH206,"P","")),IF(AND(COUNTIF(AH206,"*P*"),COUNTIF(AH206,"*R*")),SUBSTITUTE(AH206,"R","S"),IF(AND(COUNTIF(AH206,"*V*"),COUNTIF(AH206,"*R*")),SUBSTITUTE(AH206,"R","S"),AH206))),"0",""),"1",""),"2",""),"3",""),"4",""),"5",""),"6",""),"7",""),"8",""),"9","")&amp; Data!CW51),"")</f>
        <v/>
      </c>
      <c r="AI223" s="41" t="str">
        <f>IF(AI206&lt;&gt;"",IF(OR(COUNTIF(AI206,"L*"),COUNTIF(AI206, "X*")),IF(AND(COUNTIF(AI206,"*P*"),COUNTIF(AI206,"*V*")),IF(COUNTIF(AI206,"*R*"),SUBSTITUTE(SUBSTITUTE(AI206,"P",""),"R","S")&amp; Data!CX51,SUBSTITUTE(AI206,"P","")&amp; Data!CX51),IF(AND(COUNTIF(AI206,"*P*"),COUNTIF(AI206,"*R*")),SUBSTITUTE(AI206,"R","S")&amp;Data!CX51,IF(AND(COUNTIF(AI206,"*V*"),COUNTIF(AI206,"*R*")),SUBSTITUTE(AI206,"R","S")&amp;Data!CX51,AI206 &amp; Data!CX51))),SUBSTITUTE(SUBSTITUTE(SUBSTITUTE(SUBSTITUTE(SUBSTITUTE(SUBSTITUTE(SUBSTITUTE(SUBSTITUTE(SUBSTITUTE(SUBSTITUTE(IF(AND(COUNTIF(AI206,"*P*"),COUNTIF(AI206,"*V*")),IF(COUNTIF(AI206,"*R*"),SUBSTITUTE(SUBSTITUTE(AI206,"P",""),"R","S"),SUBSTITUTE(AI206,"P","")),IF(AND(COUNTIF(AI206,"*P*"),COUNTIF(AI206,"*R*")),SUBSTITUTE(AI206,"R","S"),IF(AND(COUNTIF(AI206,"*V*"),COUNTIF(AI206,"*R*")),SUBSTITUTE(AI206,"R","S"),AI206))),"0",""),"1",""),"2",""),"3",""),"4",""),"5",""),"6",""),"7",""),"8",""),"9","")&amp; Data!CX51),"")</f>
        <v/>
      </c>
      <c r="AJ223" s="41" t="str">
        <f>IF(AJ206&lt;&gt;"",IF(OR(COUNTIF(AJ206,"L*"),COUNTIF(AJ206, "X*")),IF(AND(COUNTIF(AJ206,"*P*"),COUNTIF(AJ206,"*V*")),IF(COUNTIF(AJ206,"*R*"),SUBSTITUTE(SUBSTITUTE(AJ206,"P",""),"R","S")&amp; Data!CY51,SUBSTITUTE(AJ206,"P","")&amp; Data!CY51),IF(AND(COUNTIF(AJ206,"*P*"),COUNTIF(AJ206,"*R*")),SUBSTITUTE(AJ206,"R","S")&amp;Data!CY51,IF(AND(COUNTIF(AJ206,"*V*"),COUNTIF(AJ206,"*R*")),SUBSTITUTE(AJ206,"R","S")&amp;Data!CY51,AJ206 &amp; Data!CY51))),SUBSTITUTE(SUBSTITUTE(SUBSTITUTE(SUBSTITUTE(SUBSTITUTE(SUBSTITUTE(SUBSTITUTE(SUBSTITUTE(SUBSTITUTE(SUBSTITUTE(IF(AND(COUNTIF(AJ206,"*P*"),COUNTIF(AJ206,"*V*")),IF(COUNTIF(AJ206,"*R*"),SUBSTITUTE(SUBSTITUTE(AJ206,"P",""),"R","S"),SUBSTITUTE(AJ206,"P","")),IF(AND(COUNTIF(AJ206,"*P*"),COUNTIF(AJ206,"*R*")),SUBSTITUTE(AJ206,"R","S"),IF(AND(COUNTIF(AJ206,"*V*"),COUNTIF(AJ206,"*R*")),SUBSTITUTE(AJ206,"R","S"),AJ206))),"0",""),"1",""),"2",""),"3",""),"4",""),"5",""),"6",""),"7",""),"8",""),"9","")&amp; Data!CY51),"")</f>
        <v/>
      </c>
    </row>
    <row r="224" spans="1:37" ht="23.25" customHeight="1" x14ac:dyDescent="0.35">
      <c r="A224" s="1196"/>
      <c r="B224" s="22">
        <v>7</v>
      </c>
      <c r="C224" s="41" t="str">
        <f>IF(C207&lt;&gt;"",IF(OR(COUNTIF(C207,"L*"),COUNTIF(C207, "X*")),IF(AND(COUNTIF(C207,"*P*"),COUNTIF(C207,"*V*")),IF(COUNTIF(C207,"*R*"),SUBSTITUTE(SUBSTITUTE(C207,"P",""),"R","S")&amp; Data!BR52,SUBSTITUTE(C207,"P","")&amp; Data!BR52),IF(AND(COUNTIF(C207,"*P*"),COUNTIF(C207,"*R*")),SUBSTITUTE(C207,"R","S")&amp;Data!BR52,IF(AND(COUNTIF(C207,"*V*"),COUNTIF(C207,"*R*")),SUBSTITUTE(C207,"R","S")&amp;Data!BR52,C207 &amp; Data!BR52))),SUBSTITUTE(SUBSTITUTE(SUBSTITUTE(SUBSTITUTE(SUBSTITUTE(SUBSTITUTE(SUBSTITUTE(SUBSTITUTE(SUBSTITUTE(SUBSTITUTE(IF(AND(COUNTIF(C207,"*P*"),COUNTIF(C207,"*V*")),IF(COUNTIF(C207,"*R*"),SUBSTITUTE(SUBSTITUTE(C207,"P",""),"R","S"),SUBSTITUTE(C207,"P","")),IF(AND(COUNTIF(C207,"*P*"),COUNTIF(C207,"*R*")),SUBSTITUTE(C207,"R","S"),IF(AND(COUNTIF(C207,"*V*"),COUNTIF(C207,"*R*")),SUBSTITUTE(C207,"R","S"),C207))),"0",""),"1",""),"2",""),"3",""),"4",""),"5",""),"6",""),"7",""),"8",""),"9","")&amp; Data!BR52),"")</f>
        <v/>
      </c>
      <c r="D224" s="41" t="str">
        <f>IF(D207&lt;&gt;"",IF(OR(COUNTIF(D207,"L*"),COUNTIF(D207, "X*")),IF(AND(COUNTIF(D207,"*P*"),COUNTIF(D207,"*V*")),IF(COUNTIF(D207,"*R*"),SUBSTITUTE(SUBSTITUTE(D207,"P",""),"R","S")&amp; Data!BS52,SUBSTITUTE(D207,"P","")&amp; Data!BS52),IF(AND(COUNTIF(D207,"*P*"),COUNTIF(D207,"*R*")),SUBSTITUTE(D207,"R","S")&amp;Data!BS52,IF(AND(COUNTIF(D207,"*V*"),COUNTIF(D207,"*R*")),SUBSTITUTE(D207,"R","S")&amp;Data!BS52,D207 &amp; Data!BS52))),SUBSTITUTE(SUBSTITUTE(SUBSTITUTE(SUBSTITUTE(SUBSTITUTE(SUBSTITUTE(SUBSTITUTE(SUBSTITUTE(SUBSTITUTE(SUBSTITUTE(IF(AND(COUNTIF(D207,"*P*"),COUNTIF(D207,"*V*")),IF(COUNTIF(D207,"*R*"),SUBSTITUTE(SUBSTITUTE(D207,"P",""),"R","S"),SUBSTITUTE(D207,"P","")),IF(AND(COUNTIF(D207,"*P*"),COUNTIF(D207,"*R*")),SUBSTITUTE(D207,"R","S"),IF(AND(COUNTIF(D207,"*V*"),COUNTIF(D207,"*R*")),SUBSTITUTE(D207,"R","S"),D207))),"0",""),"1",""),"2",""),"3",""),"4",""),"5",""),"6",""),"7",""),"8",""),"9","")&amp; Data!BS52),"")</f>
        <v/>
      </c>
      <c r="E224" s="41" t="str">
        <f>IF(E207&lt;&gt;"",IF(OR(COUNTIF(E207,"L*"),COUNTIF(E207, "X*")),IF(AND(COUNTIF(E207,"*P*"),COUNTIF(E207,"*V*")),IF(COUNTIF(E207,"*R*"),SUBSTITUTE(SUBSTITUTE(E207,"P",""),"R","S")&amp; Data!BT52,SUBSTITUTE(E207,"P","")&amp; Data!BT52),IF(AND(COUNTIF(E207,"*P*"),COUNTIF(E207,"*R*")),SUBSTITUTE(E207,"R","S")&amp;Data!BT52,IF(AND(COUNTIF(E207,"*V*"),COUNTIF(E207,"*R*")),SUBSTITUTE(E207,"R","S")&amp;Data!BT52,E207 &amp; Data!BT52))),SUBSTITUTE(SUBSTITUTE(SUBSTITUTE(SUBSTITUTE(SUBSTITUTE(SUBSTITUTE(SUBSTITUTE(SUBSTITUTE(SUBSTITUTE(SUBSTITUTE(IF(AND(COUNTIF(E207,"*P*"),COUNTIF(E207,"*V*")),IF(COUNTIF(E207,"*R*"),SUBSTITUTE(SUBSTITUTE(E207,"P",""),"R","S"),SUBSTITUTE(E207,"P","")),IF(AND(COUNTIF(E207,"*P*"),COUNTIF(E207,"*R*")),SUBSTITUTE(E207,"R","S"),IF(AND(COUNTIF(E207,"*V*"),COUNTIF(E207,"*R*")),SUBSTITUTE(E207,"R","S"),E207))),"0",""),"1",""),"2",""),"3",""),"4",""),"5",""),"6",""),"7",""),"8",""),"9","")&amp; Data!BT52),"")</f>
        <v/>
      </c>
      <c r="F224" s="41" t="str">
        <f>IF(F207&lt;&gt;"",IF(OR(COUNTIF(F207,"L*"),COUNTIF(F207, "X*")),IF(AND(COUNTIF(F207,"*P*"),COUNTIF(F207,"*V*")),IF(COUNTIF(F207,"*R*"),SUBSTITUTE(SUBSTITUTE(F207,"P",""),"R","S")&amp; Data!BU52,SUBSTITUTE(F207,"P","")&amp; Data!BU52),IF(AND(COUNTIF(F207,"*P*"),COUNTIF(F207,"*R*")),SUBSTITUTE(F207,"R","S")&amp;Data!BU52,IF(AND(COUNTIF(F207,"*V*"),COUNTIF(F207,"*R*")),SUBSTITUTE(F207,"R","S")&amp;Data!BU52,F207 &amp; Data!BU52))),SUBSTITUTE(SUBSTITUTE(SUBSTITUTE(SUBSTITUTE(SUBSTITUTE(SUBSTITUTE(SUBSTITUTE(SUBSTITUTE(SUBSTITUTE(SUBSTITUTE(IF(AND(COUNTIF(F207,"*P*"),COUNTIF(F207,"*V*")),IF(COUNTIF(F207,"*R*"),SUBSTITUTE(SUBSTITUTE(F207,"P",""),"R","S"),SUBSTITUTE(F207,"P","")),IF(AND(COUNTIF(F207,"*P*"),COUNTIF(F207,"*R*")),SUBSTITUTE(F207,"R","S"),IF(AND(COUNTIF(F207,"*V*"),COUNTIF(F207,"*R*")),SUBSTITUTE(F207,"R","S"),F207))),"0",""),"1",""),"2",""),"3",""),"4",""),"5",""),"6",""),"7",""),"8",""),"9","")&amp; Data!BU52),"")</f>
        <v/>
      </c>
      <c r="G224" s="41" t="str">
        <f>IF(G207&lt;&gt;"",IF(OR(COUNTIF(G207,"L*"),COUNTIF(G207, "X*")),IF(AND(COUNTIF(G207,"*P*"),COUNTIF(G207,"*V*")),IF(COUNTIF(G207,"*R*"),SUBSTITUTE(SUBSTITUTE(G207,"P",""),"R","S")&amp; Data!BV52,SUBSTITUTE(G207,"P","")&amp; Data!BV52),IF(AND(COUNTIF(G207,"*P*"),COUNTIF(G207,"*R*")),SUBSTITUTE(G207,"R","S")&amp;Data!BV52,IF(AND(COUNTIF(G207,"*V*"),COUNTIF(G207,"*R*")),SUBSTITUTE(G207,"R","S")&amp;Data!BV52,G207 &amp; Data!BV52))),SUBSTITUTE(SUBSTITUTE(SUBSTITUTE(SUBSTITUTE(SUBSTITUTE(SUBSTITUTE(SUBSTITUTE(SUBSTITUTE(SUBSTITUTE(SUBSTITUTE(IF(AND(COUNTIF(G207,"*P*"),COUNTIF(G207,"*V*")),IF(COUNTIF(G207,"*R*"),SUBSTITUTE(SUBSTITUTE(G207,"P",""),"R","S"),SUBSTITUTE(G207,"P","")),IF(AND(COUNTIF(G207,"*P*"),COUNTIF(G207,"*R*")),SUBSTITUTE(G207,"R","S"),IF(AND(COUNTIF(G207,"*V*"),COUNTIF(G207,"*R*")),SUBSTITUTE(G207,"R","S"),G207))),"0",""),"1",""),"2",""),"3",""),"4",""),"5",""),"6",""),"7",""),"8",""),"9","")&amp; Data!BV52),"")</f>
        <v/>
      </c>
      <c r="H224" s="41" t="str">
        <f>IF(H207&lt;&gt;"",IF(OR(COUNTIF(H207,"L*"),COUNTIF(H207, "X*")),IF(AND(COUNTIF(H207,"*P*"),COUNTIF(H207,"*V*")),IF(COUNTIF(H207,"*R*"),SUBSTITUTE(SUBSTITUTE(H207,"P",""),"R","S")&amp; Data!BW52,SUBSTITUTE(H207,"P","")&amp; Data!BW52),IF(AND(COUNTIF(H207,"*P*"),COUNTIF(H207,"*R*")),SUBSTITUTE(H207,"R","S")&amp;Data!BW52,IF(AND(COUNTIF(H207,"*V*"),COUNTIF(H207,"*R*")),SUBSTITUTE(H207,"R","S")&amp;Data!BW52,H207 &amp; Data!BW52))),SUBSTITUTE(SUBSTITUTE(SUBSTITUTE(SUBSTITUTE(SUBSTITUTE(SUBSTITUTE(SUBSTITUTE(SUBSTITUTE(SUBSTITUTE(SUBSTITUTE(IF(AND(COUNTIF(H207,"*P*"),COUNTIF(H207,"*V*")),IF(COUNTIF(H207,"*R*"),SUBSTITUTE(SUBSTITUTE(H207,"P",""),"R","S"),SUBSTITUTE(H207,"P","")),IF(AND(COUNTIF(H207,"*P*"),COUNTIF(H207,"*R*")),SUBSTITUTE(H207,"R","S"),IF(AND(COUNTIF(H207,"*V*"),COUNTIF(H207,"*R*")),SUBSTITUTE(H207,"R","S"),H207))),"0",""),"1",""),"2",""),"3",""),"4",""),"5",""),"6",""),"7",""),"8",""),"9","")&amp; Data!BW52),"")</f>
        <v/>
      </c>
      <c r="I224" s="41" t="str">
        <f>IF(I207&lt;&gt;"",IF(OR(COUNTIF(I207,"L*"),COUNTIF(I207, "X*")),IF(AND(COUNTIF(I207,"*P*"),COUNTIF(I207,"*V*")),IF(COUNTIF(I207,"*R*"),SUBSTITUTE(SUBSTITUTE(I207,"P",""),"R","S")&amp; Data!BX52,SUBSTITUTE(I207,"P","")&amp; Data!BX52),IF(AND(COUNTIF(I207,"*P*"),COUNTIF(I207,"*R*")),SUBSTITUTE(I207,"R","S")&amp;Data!BX52,IF(AND(COUNTIF(I207,"*V*"),COUNTIF(I207,"*R*")),SUBSTITUTE(I207,"R","S")&amp;Data!BX52,I207 &amp; Data!BX52))),SUBSTITUTE(SUBSTITUTE(SUBSTITUTE(SUBSTITUTE(SUBSTITUTE(SUBSTITUTE(SUBSTITUTE(SUBSTITUTE(SUBSTITUTE(SUBSTITUTE(IF(AND(COUNTIF(I207,"*P*"),COUNTIF(I207,"*V*")),IF(COUNTIF(I207,"*R*"),SUBSTITUTE(SUBSTITUTE(I207,"P",""),"R","S"),SUBSTITUTE(I207,"P","")),IF(AND(COUNTIF(I207,"*P*"),COUNTIF(I207,"*R*")),SUBSTITUTE(I207,"R","S"),IF(AND(COUNTIF(I207,"*V*"),COUNTIF(I207,"*R*")),SUBSTITUTE(I207,"R","S"),I207))),"0",""),"1",""),"2",""),"3",""),"4",""),"5",""),"6",""),"7",""),"8",""),"9","")&amp; Data!BX52),"")</f>
        <v/>
      </c>
      <c r="J224" s="41" t="str">
        <f>IF(J207&lt;&gt;"",IF(OR(COUNTIF(J207,"L*"),COUNTIF(J207, "X*")),IF(AND(COUNTIF(J207,"*P*"),COUNTIF(J207,"*V*")),IF(COUNTIF(J207,"*R*"),SUBSTITUTE(SUBSTITUTE(J207,"P",""),"R","S")&amp; Data!BY52,SUBSTITUTE(J207,"P","")&amp; Data!BY52),IF(AND(COUNTIF(J207,"*P*"),COUNTIF(J207,"*R*")),SUBSTITUTE(J207,"R","S")&amp;Data!BY52,IF(AND(COUNTIF(J207,"*V*"),COUNTIF(J207,"*R*")),SUBSTITUTE(J207,"R","S")&amp;Data!BY52,J207 &amp; Data!BY52))),SUBSTITUTE(SUBSTITUTE(SUBSTITUTE(SUBSTITUTE(SUBSTITUTE(SUBSTITUTE(SUBSTITUTE(SUBSTITUTE(SUBSTITUTE(SUBSTITUTE(IF(AND(COUNTIF(J207,"*P*"),COUNTIF(J207,"*V*")),IF(COUNTIF(J207,"*R*"),SUBSTITUTE(SUBSTITUTE(J207,"P",""),"R","S"),SUBSTITUTE(J207,"P","")),IF(AND(COUNTIF(J207,"*P*"),COUNTIF(J207,"*R*")),SUBSTITUTE(J207,"R","S"),IF(AND(COUNTIF(J207,"*V*"),COUNTIF(J207,"*R*")),SUBSTITUTE(J207,"R","S"),J207))),"0",""),"1",""),"2",""),"3",""),"4",""),"5",""),"6",""),"7",""),"8",""),"9","")&amp; Data!BY52),"")</f>
        <v/>
      </c>
      <c r="K224" s="41" t="str">
        <f>IF(K207&lt;&gt;"",IF(OR(COUNTIF(K207,"L*"),COUNTIF(K207, "X*")),IF(AND(COUNTIF(K207,"*P*"),COUNTIF(K207,"*V*")),IF(COUNTIF(K207,"*R*"),SUBSTITUTE(SUBSTITUTE(K207,"P",""),"R","S")&amp; Data!BZ52,SUBSTITUTE(K207,"P","")&amp; Data!BZ52),IF(AND(COUNTIF(K207,"*P*"),COUNTIF(K207,"*R*")),SUBSTITUTE(K207,"R","S")&amp;Data!BZ52,IF(AND(COUNTIF(K207,"*V*"),COUNTIF(K207,"*R*")),SUBSTITUTE(K207,"R","S")&amp;Data!BZ52,K207 &amp; Data!BZ52))),SUBSTITUTE(SUBSTITUTE(SUBSTITUTE(SUBSTITUTE(SUBSTITUTE(SUBSTITUTE(SUBSTITUTE(SUBSTITUTE(SUBSTITUTE(SUBSTITUTE(IF(AND(COUNTIF(K207,"*P*"),COUNTIF(K207,"*V*")),IF(COUNTIF(K207,"*R*"),SUBSTITUTE(SUBSTITUTE(K207,"P",""),"R","S"),SUBSTITUTE(K207,"P","")),IF(AND(COUNTIF(K207,"*P*"),COUNTIF(K207,"*R*")),SUBSTITUTE(K207,"R","S"),IF(AND(COUNTIF(K207,"*V*"),COUNTIF(K207,"*R*")),SUBSTITUTE(K207,"R","S"),K207))),"0",""),"1",""),"2",""),"3",""),"4",""),"5",""),"6",""),"7",""),"8",""),"9","")&amp; Data!BZ52),"")</f>
        <v/>
      </c>
      <c r="L224" s="41" t="str">
        <f>IF(L207&lt;&gt;"",IF(OR(COUNTIF(L207,"L*"),COUNTIF(L207, "X*")),IF(AND(COUNTIF(L207,"*P*"),COUNTIF(L207,"*V*")),IF(COUNTIF(L207,"*R*"),SUBSTITUTE(SUBSTITUTE(L207,"P",""),"R","S")&amp; Data!CA52,SUBSTITUTE(L207,"P","")&amp; Data!CA52),IF(AND(COUNTIF(L207,"*P*"),COUNTIF(L207,"*R*")),SUBSTITUTE(L207,"R","S")&amp;Data!CA52,IF(AND(COUNTIF(L207,"*V*"),COUNTIF(L207,"*R*")),SUBSTITUTE(L207,"R","S")&amp;Data!CA52,L207 &amp; Data!CA52))),SUBSTITUTE(SUBSTITUTE(SUBSTITUTE(SUBSTITUTE(SUBSTITUTE(SUBSTITUTE(SUBSTITUTE(SUBSTITUTE(SUBSTITUTE(SUBSTITUTE(IF(AND(COUNTIF(L207,"*P*"),COUNTIF(L207,"*V*")),IF(COUNTIF(L207,"*R*"),SUBSTITUTE(SUBSTITUTE(L207,"P",""),"R","S"),SUBSTITUTE(L207,"P","")),IF(AND(COUNTIF(L207,"*P*"),COUNTIF(L207,"*R*")),SUBSTITUTE(L207,"R","S"),IF(AND(COUNTIF(L207,"*V*"),COUNTIF(L207,"*R*")),SUBSTITUTE(L207,"R","S"),L207))),"0",""),"1",""),"2",""),"3",""),"4",""),"5",""),"6",""),"7",""),"8",""),"9","")&amp; Data!CA52),"")</f>
        <v/>
      </c>
      <c r="M224" s="41" t="str">
        <f>IF(M207&lt;&gt;"",IF(OR(COUNTIF(M207,"L*"),COUNTIF(M207, "X*")),IF(AND(COUNTIF(M207,"*P*"),COUNTIF(M207,"*V*")),IF(COUNTIF(M207,"*R*"),SUBSTITUTE(SUBSTITUTE(M207,"P",""),"R","S")&amp; Data!CB52,SUBSTITUTE(M207,"P","")&amp; Data!CB52),IF(AND(COUNTIF(M207,"*P*"),COUNTIF(M207,"*R*")),SUBSTITUTE(M207,"R","S")&amp;Data!CB52,IF(AND(COUNTIF(M207,"*V*"),COUNTIF(M207,"*R*")),SUBSTITUTE(M207,"R","S")&amp;Data!CB52,M207 &amp; Data!CB52))),SUBSTITUTE(SUBSTITUTE(SUBSTITUTE(SUBSTITUTE(SUBSTITUTE(SUBSTITUTE(SUBSTITUTE(SUBSTITUTE(SUBSTITUTE(SUBSTITUTE(IF(AND(COUNTIF(M207,"*P*"),COUNTIF(M207,"*V*")),IF(COUNTIF(M207,"*R*"),SUBSTITUTE(SUBSTITUTE(M207,"P",""),"R","S"),SUBSTITUTE(M207,"P","")),IF(AND(COUNTIF(M207,"*P*"),COUNTIF(M207,"*R*")),SUBSTITUTE(M207,"R","S"),IF(AND(COUNTIF(M207,"*V*"),COUNTIF(M207,"*R*")),SUBSTITUTE(M207,"R","S"),M207))),"0",""),"1",""),"2",""),"3",""),"4",""),"5",""),"6",""),"7",""),"8",""),"9","")&amp; Data!CB52),"")</f>
        <v/>
      </c>
      <c r="N224" s="41" t="str">
        <f>IF(N207&lt;&gt;"",IF(OR(COUNTIF(N207,"L*"),COUNTIF(N207, "X*")),IF(AND(COUNTIF(N207,"*P*"),COUNTIF(N207,"*V*")),IF(COUNTIF(N207,"*R*"),SUBSTITUTE(SUBSTITUTE(N207,"P",""),"R","S")&amp; Data!CC52,SUBSTITUTE(N207,"P","")&amp; Data!CC52),IF(AND(COUNTIF(N207,"*P*"),COUNTIF(N207,"*R*")),SUBSTITUTE(N207,"R","S")&amp;Data!CC52,IF(AND(COUNTIF(N207,"*V*"),COUNTIF(N207,"*R*")),SUBSTITUTE(N207,"R","S")&amp;Data!CC52,N207 &amp; Data!CC52))),SUBSTITUTE(SUBSTITUTE(SUBSTITUTE(SUBSTITUTE(SUBSTITUTE(SUBSTITUTE(SUBSTITUTE(SUBSTITUTE(SUBSTITUTE(SUBSTITUTE(IF(AND(COUNTIF(N207,"*P*"),COUNTIF(N207,"*V*")),IF(COUNTIF(N207,"*R*"),SUBSTITUTE(SUBSTITUTE(N207,"P",""),"R","S"),SUBSTITUTE(N207,"P","")),IF(AND(COUNTIF(N207,"*P*"),COUNTIF(N207,"*R*")),SUBSTITUTE(N207,"R","S"),IF(AND(COUNTIF(N207,"*V*"),COUNTIF(N207,"*R*")),SUBSTITUTE(N207,"R","S"),N207))),"0",""),"1",""),"2",""),"3",""),"4",""),"5",""),"6",""),"7",""),"8",""),"9","")&amp; Data!CC52),"")</f>
        <v/>
      </c>
      <c r="O224" s="41" t="str">
        <f>IF(O207&lt;&gt;"",IF(OR(COUNTIF(O207,"L*"),COUNTIF(O207, "X*")),IF(AND(COUNTIF(O207,"*P*"),COUNTIF(O207,"*V*")),IF(COUNTIF(O207,"*R*"),SUBSTITUTE(SUBSTITUTE(O207,"P",""),"R","S")&amp; Data!CD52,SUBSTITUTE(O207,"P","")&amp; Data!CD52),IF(AND(COUNTIF(O207,"*P*"),COUNTIF(O207,"*R*")),SUBSTITUTE(O207,"R","S")&amp;Data!CD52,IF(AND(COUNTIF(O207,"*V*"),COUNTIF(O207,"*R*")),SUBSTITUTE(O207,"R","S")&amp;Data!CD52,O207 &amp; Data!CD52))),SUBSTITUTE(SUBSTITUTE(SUBSTITUTE(SUBSTITUTE(SUBSTITUTE(SUBSTITUTE(SUBSTITUTE(SUBSTITUTE(SUBSTITUTE(SUBSTITUTE(IF(AND(COUNTIF(O207,"*P*"),COUNTIF(O207,"*V*")),IF(COUNTIF(O207,"*R*"),SUBSTITUTE(SUBSTITUTE(O207,"P",""),"R","S"),SUBSTITUTE(O207,"P","")),IF(AND(COUNTIF(O207,"*P*"),COUNTIF(O207,"*R*")),SUBSTITUTE(O207,"R","S"),IF(AND(COUNTIF(O207,"*V*"),COUNTIF(O207,"*R*")),SUBSTITUTE(O207,"R","S"),O207))),"0",""),"1",""),"2",""),"3",""),"4",""),"5",""),"6",""),"7",""),"8",""),"9","")&amp; Data!CD52),"")</f>
        <v/>
      </c>
      <c r="P224" s="41" t="str">
        <f>IF(P207&lt;&gt;"",IF(OR(COUNTIF(P207,"L*"),COUNTIF(P207, "X*")),IF(AND(COUNTIF(P207,"*P*"),COUNTIF(P207,"*V*")),IF(COUNTIF(P207,"*R*"),SUBSTITUTE(SUBSTITUTE(P207,"P",""),"R","S")&amp; Data!CE52,SUBSTITUTE(P207,"P","")&amp; Data!CE52),IF(AND(COUNTIF(P207,"*P*"),COUNTIF(P207,"*R*")),SUBSTITUTE(P207,"R","S")&amp;Data!CE52,IF(AND(COUNTIF(P207,"*V*"),COUNTIF(P207,"*R*")),SUBSTITUTE(P207,"R","S")&amp;Data!CE52,P207 &amp; Data!CE52))),SUBSTITUTE(SUBSTITUTE(SUBSTITUTE(SUBSTITUTE(SUBSTITUTE(SUBSTITUTE(SUBSTITUTE(SUBSTITUTE(SUBSTITUTE(SUBSTITUTE(IF(AND(COUNTIF(P207,"*P*"),COUNTIF(P207,"*V*")),IF(COUNTIF(P207,"*R*"),SUBSTITUTE(SUBSTITUTE(P207,"P",""),"R","S"),SUBSTITUTE(P207,"P","")),IF(AND(COUNTIF(P207,"*P*"),COUNTIF(P207,"*R*")),SUBSTITUTE(P207,"R","S"),IF(AND(COUNTIF(P207,"*V*"),COUNTIF(P207,"*R*")),SUBSTITUTE(P207,"R","S"),P207))),"0",""),"1",""),"2",""),"3",""),"4",""),"5",""),"6",""),"7",""),"8",""),"9","")&amp; Data!CE52),"")</f>
        <v/>
      </c>
      <c r="Q224" s="41" t="str">
        <f>IF(Q207&lt;&gt;"",IF(OR(COUNTIF(Q207,"L*"),COUNTIF(Q207, "X*")),IF(AND(COUNTIF(Q207,"*P*"),COUNTIF(Q207,"*V*")),IF(COUNTIF(Q207,"*R*"),SUBSTITUTE(SUBSTITUTE(Q207,"P",""),"R","S")&amp; Data!CF52,SUBSTITUTE(Q207,"P","")&amp; Data!CF52),IF(AND(COUNTIF(Q207,"*P*"),COUNTIF(Q207,"*R*")),SUBSTITUTE(Q207,"R","S")&amp;Data!CF52,IF(AND(COUNTIF(Q207,"*V*"),COUNTIF(Q207,"*R*")),SUBSTITUTE(Q207,"R","S")&amp;Data!CF52,Q207 &amp; Data!CF52))),SUBSTITUTE(SUBSTITUTE(SUBSTITUTE(SUBSTITUTE(SUBSTITUTE(SUBSTITUTE(SUBSTITUTE(SUBSTITUTE(SUBSTITUTE(SUBSTITUTE(IF(AND(COUNTIF(Q207,"*P*"),COUNTIF(Q207,"*V*")),IF(COUNTIF(Q207,"*R*"),SUBSTITUTE(SUBSTITUTE(Q207,"P",""),"R","S"),SUBSTITUTE(Q207,"P","")),IF(AND(COUNTIF(Q207,"*P*"),COUNTIF(Q207,"*R*")),SUBSTITUTE(Q207,"R","S"),IF(AND(COUNTIF(Q207,"*V*"),COUNTIF(Q207,"*R*")),SUBSTITUTE(Q207,"R","S"),Q207))),"0",""),"1",""),"2",""),"3",""),"4",""),"5",""),"6",""),"7",""),"8",""),"9","")&amp; Data!CF52),"")</f>
        <v/>
      </c>
      <c r="R224" s="41" t="str">
        <f>IF(R207&lt;&gt;"",IF(OR(COUNTIF(R207,"L*"),COUNTIF(R207, "X*")),IF(AND(COUNTIF(R207,"*P*"),COUNTIF(R207,"*V*")),IF(COUNTIF(R207,"*R*"),SUBSTITUTE(SUBSTITUTE(R207,"P",""),"R","S")&amp; Data!CG52,SUBSTITUTE(R207,"P","")&amp; Data!CG52),IF(AND(COUNTIF(R207,"*P*"),COUNTIF(R207,"*R*")),SUBSTITUTE(R207,"R","S")&amp;Data!CG52,IF(AND(COUNTIF(R207,"*V*"),COUNTIF(R207,"*R*")),SUBSTITUTE(R207,"R","S")&amp;Data!CG52,R207 &amp; Data!CG52))),SUBSTITUTE(SUBSTITUTE(SUBSTITUTE(SUBSTITUTE(SUBSTITUTE(SUBSTITUTE(SUBSTITUTE(SUBSTITUTE(SUBSTITUTE(SUBSTITUTE(IF(AND(COUNTIF(R207,"*P*"),COUNTIF(R207,"*V*")),IF(COUNTIF(R207,"*R*"),SUBSTITUTE(SUBSTITUTE(R207,"P",""),"R","S"),SUBSTITUTE(R207,"P","")),IF(AND(COUNTIF(R207,"*P*"),COUNTIF(R207,"*R*")),SUBSTITUTE(R207,"R","S"),IF(AND(COUNTIF(R207,"*V*"),COUNTIF(R207,"*R*")),SUBSTITUTE(R207,"R","S"),R207))),"0",""),"1",""),"2",""),"3",""),"4",""),"5",""),"6",""),"7",""),"8",""),"9","")&amp; Data!CG52),"")</f>
        <v/>
      </c>
      <c r="S224" s="41" t="str">
        <f>IF(S207&lt;&gt;"",IF(OR(COUNTIF(S207,"L*"),COUNTIF(S207, "X*")),IF(AND(COUNTIF(S207,"*P*"),COUNTIF(S207,"*V*")),IF(COUNTIF(S207,"*R*"),SUBSTITUTE(SUBSTITUTE(S207,"P",""),"R","S")&amp; Data!CH52,SUBSTITUTE(S207,"P","")&amp; Data!CH52),IF(AND(COUNTIF(S207,"*P*"),COUNTIF(S207,"*R*")),SUBSTITUTE(S207,"R","S")&amp;Data!CH52,IF(AND(COUNTIF(S207,"*V*"),COUNTIF(S207,"*R*")),SUBSTITUTE(S207,"R","S")&amp;Data!CH52,S207 &amp; Data!CH52))),SUBSTITUTE(SUBSTITUTE(SUBSTITUTE(SUBSTITUTE(SUBSTITUTE(SUBSTITUTE(SUBSTITUTE(SUBSTITUTE(SUBSTITUTE(SUBSTITUTE(IF(AND(COUNTIF(S207,"*P*"),COUNTIF(S207,"*V*")),IF(COUNTIF(S207,"*R*"),SUBSTITUTE(SUBSTITUTE(S207,"P",""),"R","S"),SUBSTITUTE(S207,"P","")),IF(AND(COUNTIF(S207,"*P*"),COUNTIF(S207,"*R*")),SUBSTITUTE(S207,"R","S"),IF(AND(COUNTIF(S207,"*V*"),COUNTIF(S207,"*R*")),SUBSTITUTE(S207,"R","S"),S207))),"0",""),"1",""),"2",""),"3",""),"4",""),"5",""),"6",""),"7",""),"8",""),"9","")&amp; Data!CH52),"")</f>
        <v/>
      </c>
      <c r="T224" s="41" t="str">
        <f>IF(T207&lt;&gt;"",IF(OR(COUNTIF(T207,"L*"),COUNTIF(T207, "X*")),IF(AND(COUNTIF(T207,"*P*"),COUNTIF(T207,"*V*")),IF(COUNTIF(T207,"*R*"),SUBSTITUTE(SUBSTITUTE(T207,"P",""),"R","S")&amp; Data!CI52,SUBSTITUTE(T207,"P","")&amp; Data!CI52),IF(AND(COUNTIF(T207,"*P*"),COUNTIF(T207,"*R*")),SUBSTITUTE(T207,"R","S")&amp;Data!CI52,IF(AND(COUNTIF(T207,"*V*"),COUNTIF(T207,"*R*")),SUBSTITUTE(T207,"R","S")&amp;Data!CI52,T207 &amp; Data!CI52))),SUBSTITUTE(SUBSTITUTE(SUBSTITUTE(SUBSTITUTE(SUBSTITUTE(SUBSTITUTE(SUBSTITUTE(SUBSTITUTE(SUBSTITUTE(SUBSTITUTE(IF(AND(COUNTIF(T207,"*P*"),COUNTIF(T207,"*V*")),IF(COUNTIF(T207,"*R*"),SUBSTITUTE(SUBSTITUTE(T207,"P",""),"R","S"),SUBSTITUTE(T207,"P","")),IF(AND(COUNTIF(T207,"*P*"),COUNTIF(T207,"*R*")),SUBSTITUTE(T207,"R","S"),IF(AND(COUNTIF(T207,"*V*"),COUNTIF(T207,"*R*")),SUBSTITUTE(T207,"R","S"),T207))),"0",""),"1",""),"2",""),"3",""),"4",""),"5",""),"6",""),"7",""),"8",""),"9","")&amp; Data!CI52),"")</f>
        <v/>
      </c>
      <c r="U224" s="41" t="str">
        <f>IF(U207&lt;&gt;"",IF(OR(COUNTIF(U207,"L*"),COUNTIF(U207, "X*")),IF(AND(COUNTIF(U207,"*P*"),COUNTIF(U207,"*V*")),IF(COUNTIF(U207,"*R*"),SUBSTITUTE(SUBSTITUTE(U207,"P",""),"R","S")&amp; Data!CJ52,SUBSTITUTE(U207,"P","")&amp; Data!CJ52),IF(AND(COUNTIF(U207,"*P*"),COUNTIF(U207,"*R*")),SUBSTITUTE(U207,"R","S")&amp;Data!CJ52,IF(AND(COUNTIF(U207,"*V*"),COUNTIF(U207,"*R*")),SUBSTITUTE(U207,"R","S")&amp;Data!CJ52,U207 &amp; Data!CJ52))),SUBSTITUTE(SUBSTITUTE(SUBSTITUTE(SUBSTITUTE(SUBSTITUTE(SUBSTITUTE(SUBSTITUTE(SUBSTITUTE(SUBSTITUTE(SUBSTITUTE(IF(AND(COUNTIF(U207,"*P*"),COUNTIF(U207,"*V*")),IF(COUNTIF(U207,"*R*"),SUBSTITUTE(SUBSTITUTE(U207,"P",""),"R","S"),SUBSTITUTE(U207,"P","")),IF(AND(COUNTIF(U207,"*P*"),COUNTIF(U207,"*R*")),SUBSTITUTE(U207,"R","S"),IF(AND(COUNTIF(U207,"*V*"),COUNTIF(U207,"*R*")),SUBSTITUTE(U207,"R","S"),U207))),"0",""),"1",""),"2",""),"3",""),"4",""),"5",""),"6",""),"7",""),"8",""),"9","")&amp; Data!CJ52),"")</f>
        <v/>
      </c>
      <c r="V224" s="41" t="str">
        <f>IF(V207&lt;&gt;"",IF(OR(COUNTIF(V207,"L*"),COUNTIF(V207, "X*")),IF(AND(COUNTIF(V207,"*P*"),COUNTIF(V207,"*V*")),IF(COUNTIF(V207,"*R*"),SUBSTITUTE(SUBSTITUTE(V207,"P",""),"R","S")&amp; Data!CK52,SUBSTITUTE(V207,"P","")&amp; Data!CK52),IF(AND(COUNTIF(V207,"*P*"),COUNTIF(V207,"*R*")),SUBSTITUTE(V207,"R","S")&amp;Data!CK52,IF(AND(COUNTIF(V207,"*V*"),COUNTIF(V207,"*R*")),SUBSTITUTE(V207,"R","S")&amp;Data!CK52,V207 &amp; Data!CK52))),SUBSTITUTE(SUBSTITUTE(SUBSTITUTE(SUBSTITUTE(SUBSTITUTE(SUBSTITUTE(SUBSTITUTE(SUBSTITUTE(SUBSTITUTE(SUBSTITUTE(IF(AND(COUNTIF(V207,"*P*"),COUNTIF(V207,"*V*")),IF(COUNTIF(V207,"*R*"),SUBSTITUTE(SUBSTITUTE(V207,"P",""),"R","S"),SUBSTITUTE(V207,"P","")),IF(AND(COUNTIF(V207,"*P*"),COUNTIF(V207,"*R*")),SUBSTITUTE(V207,"R","S"),IF(AND(COUNTIF(V207,"*V*"),COUNTIF(V207,"*R*")),SUBSTITUTE(V207,"R","S"),V207))),"0",""),"1",""),"2",""),"3",""),"4",""),"5",""),"6",""),"7",""),"8",""),"9","")&amp; Data!CK52),"")</f>
        <v/>
      </c>
      <c r="W224" s="41" t="str">
        <f>IF(W207&lt;&gt;"",IF(OR(COUNTIF(W207,"L*"),COUNTIF(W207, "X*")),IF(AND(COUNTIF(W207,"*P*"),COUNTIF(W207,"*V*")),IF(COUNTIF(W207,"*R*"),SUBSTITUTE(SUBSTITUTE(W207,"P",""),"R","S")&amp; Data!CL52,SUBSTITUTE(W207,"P","")&amp; Data!CL52),IF(AND(COUNTIF(W207,"*P*"),COUNTIF(W207,"*R*")),SUBSTITUTE(W207,"R","S")&amp;Data!CL52,IF(AND(COUNTIF(W207,"*V*"),COUNTIF(W207,"*R*")),SUBSTITUTE(W207,"R","S")&amp;Data!CL52,W207 &amp; Data!CL52))),SUBSTITUTE(SUBSTITUTE(SUBSTITUTE(SUBSTITUTE(SUBSTITUTE(SUBSTITUTE(SUBSTITUTE(SUBSTITUTE(SUBSTITUTE(SUBSTITUTE(IF(AND(COUNTIF(W207,"*P*"),COUNTIF(W207,"*V*")),IF(COUNTIF(W207,"*R*"),SUBSTITUTE(SUBSTITUTE(W207,"P",""),"R","S"),SUBSTITUTE(W207,"P","")),IF(AND(COUNTIF(W207,"*P*"),COUNTIF(W207,"*R*")),SUBSTITUTE(W207,"R","S"),IF(AND(COUNTIF(W207,"*V*"),COUNTIF(W207,"*R*")),SUBSTITUTE(W207,"R","S"),W207))),"0",""),"1",""),"2",""),"3",""),"4",""),"5",""),"6",""),"7",""),"8",""),"9","")&amp; Data!CL52),"")</f>
        <v/>
      </c>
      <c r="X224" s="41" t="str">
        <f>IF(X207&lt;&gt;"",IF(OR(COUNTIF(X207,"L*"),COUNTIF(X207, "X*")),IF(AND(COUNTIF(X207,"*P*"),COUNTIF(X207,"*V*")),IF(COUNTIF(X207,"*R*"),SUBSTITUTE(SUBSTITUTE(X207,"P",""),"R","S")&amp; Data!CM52,SUBSTITUTE(X207,"P","")&amp; Data!CM52),IF(AND(COUNTIF(X207,"*P*"),COUNTIF(X207,"*R*")),SUBSTITUTE(X207,"R","S")&amp;Data!CM52,IF(AND(COUNTIF(X207,"*V*"),COUNTIF(X207,"*R*")),SUBSTITUTE(X207,"R","S")&amp;Data!CM52,X207 &amp; Data!CM52))),SUBSTITUTE(SUBSTITUTE(SUBSTITUTE(SUBSTITUTE(SUBSTITUTE(SUBSTITUTE(SUBSTITUTE(SUBSTITUTE(SUBSTITUTE(SUBSTITUTE(IF(AND(COUNTIF(X207,"*P*"),COUNTIF(X207,"*V*")),IF(COUNTIF(X207,"*R*"),SUBSTITUTE(SUBSTITUTE(X207,"P",""),"R","S"),SUBSTITUTE(X207,"P","")),IF(AND(COUNTIF(X207,"*P*"),COUNTIF(X207,"*R*")),SUBSTITUTE(X207,"R","S"),IF(AND(COUNTIF(X207,"*V*"),COUNTIF(X207,"*R*")),SUBSTITUTE(X207,"R","S"),X207))),"0",""),"1",""),"2",""),"3",""),"4",""),"5",""),"6",""),"7",""),"8",""),"9","")&amp; Data!CM52),"")</f>
        <v/>
      </c>
      <c r="Y224" s="41" t="str">
        <f>IF(Y207&lt;&gt;"",IF(OR(COUNTIF(Y207,"L*"),COUNTIF(Y207, "X*")),IF(AND(COUNTIF(Y207,"*P*"),COUNTIF(Y207,"*V*")),IF(COUNTIF(Y207,"*R*"),SUBSTITUTE(SUBSTITUTE(Y207,"P",""),"R","S")&amp; Data!CN52,SUBSTITUTE(Y207,"P","")&amp; Data!CN52),IF(AND(COUNTIF(Y207,"*P*"),COUNTIF(Y207,"*R*")),SUBSTITUTE(Y207,"R","S")&amp;Data!CN52,IF(AND(COUNTIF(Y207,"*V*"),COUNTIF(Y207,"*R*")),SUBSTITUTE(Y207,"R","S")&amp;Data!CN52,Y207 &amp; Data!CN52))),SUBSTITUTE(SUBSTITUTE(SUBSTITUTE(SUBSTITUTE(SUBSTITUTE(SUBSTITUTE(SUBSTITUTE(SUBSTITUTE(SUBSTITUTE(SUBSTITUTE(IF(AND(COUNTIF(Y207,"*P*"),COUNTIF(Y207,"*V*")),IF(COUNTIF(Y207,"*R*"),SUBSTITUTE(SUBSTITUTE(Y207,"P",""),"R","S"),SUBSTITUTE(Y207,"P","")),IF(AND(COUNTIF(Y207,"*P*"),COUNTIF(Y207,"*R*")),SUBSTITUTE(Y207,"R","S"),IF(AND(COUNTIF(Y207,"*V*"),COUNTIF(Y207,"*R*")),SUBSTITUTE(Y207,"R","S"),Y207))),"0",""),"1",""),"2",""),"3",""),"4",""),"5",""),"6",""),"7",""),"8",""),"9","")&amp; Data!CN52),"")</f>
        <v/>
      </c>
      <c r="Z224" s="41" t="str">
        <f>IF(Z207&lt;&gt;"",IF(OR(COUNTIF(Z207,"L*"),COUNTIF(Z207, "X*")),IF(AND(COUNTIF(Z207,"*P*"),COUNTIF(Z207,"*V*")),IF(COUNTIF(Z207,"*R*"),SUBSTITUTE(SUBSTITUTE(Z207,"P",""),"R","S")&amp; Data!CO52,SUBSTITUTE(Z207,"P","")&amp; Data!CO52),IF(AND(COUNTIF(Z207,"*P*"),COUNTIF(Z207,"*R*")),SUBSTITUTE(Z207,"R","S")&amp;Data!CO52,IF(AND(COUNTIF(Z207,"*V*"),COUNTIF(Z207,"*R*")),SUBSTITUTE(Z207,"R","S")&amp;Data!CO52,Z207 &amp; Data!CO52))),SUBSTITUTE(SUBSTITUTE(SUBSTITUTE(SUBSTITUTE(SUBSTITUTE(SUBSTITUTE(SUBSTITUTE(SUBSTITUTE(SUBSTITUTE(SUBSTITUTE(IF(AND(COUNTIF(Z207,"*P*"),COUNTIF(Z207,"*V*")),IF(COUNTIF(Z207,"*R*"),SUBSTITUTE(SUBSTITUTE(Z207,"P",""),"R","S"),SUBSTITUTE(Z207,"P","")),IF(AND(COUNTIF(Z207,"*P*"),COUNTIF(Z207,"*R*")),SUBSTITUTE(Z207,"R","S"),IF(AND(COUNTIF(Z207,"*V*"),COUNTIF(Z207,"*R*")),SUBSTITUTE(Z207,"R","S"),Z207))),"0",""),"1",""),"2",""),"3",""),"4",""),"5",""),"6",""),"7",""),"8",""),"9","")&amp; Data!CO52),"")</f>
        <v/>
      </c>
      <c r="AA224" s="41" t="str">
        <f>IF(AA207&lt;&gt;"",IF(OR(COUNTIF(AA207,"L*"),COUNTIF(AA207, "X*")),IF(AND(COUNTIF(AA207,"*P*"),COUNTIF(AA207,"*V*")),IF(COUNTIF(AA207,"*R*"),SUBSTITUTE(SUBSTITUTE(AA207,"P",""),"R","S")&amp; Data!CP52,SUBSTITUTE(AA207,"P","")&amp; Data!CP52),IF(AND(COUNTIF(AA207,"*P*"),COUNTIF(AA207,"*R*")),SUBSTITUTE(AA207,"R","S")&amp;Data!CP52,IF(AND(COUNTIF(AA207,"*V*"),COUNTIF(AA207,"*R*")),SUBSTITUTE(AA207,"R","S")&amp;Data!CP52,AA207 &amp; Data!CP52))),SUBSTITUTE(SUBSTITUTE(SUBSTITUTE(SUBSTITUTE(SUBSTITUTE(SUBSTITUTE(SUBSTITUTE(SUBSTITUTE(SUBSTITUTE(SUBSTITUTE(IF(AND(COUNTIF(AA207,"*P*"),COUNTIF(AA207,"*V*")),IF(COUNTIF(AA207,"*R*"),SUBSTITUTE(SUBSTITUTE(AA207,"P",""),"R","S"),SUBSTITUTE(AA207,"P","")),IF(AND(COUNTIF(AA207,"*P*"),COUNTIF(AA207,"*R*")),SUBSTITUTE(AA207,"R","S"),IF(AND(COUNTIF(AA207,"*V*"),COUNTIF(AA207,"*R*")),SUBSTITUTE(AA207,"R","S"),AA207))),"0",""),"1",""),"2",""),"3",""),"4",""),"5",""),"6",""),"7",""),"8",""),"9","")&amp; Data!CP52),"")</f>
        <v/>
      </c>
      <c r="AB224" s="41" t="str">
        <f>IF(AB207&lt;&gt;"",IF(OR(COUNTIF(AB207,"L*"),COUNTIF(AB207, "X*")),IF(AND(COUNTIF(AB207,"*P*"),COUNTIF(AB207,"*V*")),IF(COUNTIF(AB207,"*R*"),SUBSTITUTE(SUBSTITUTE(AB207,"P",""),"R","S")&amp; Data!CQ52,SUBSTITUTE(AB207,"P","")&amp; Data!CQ52),IF(AND(COUNTIF(AB207,"*P*"),COUNTIF(AB207,"*R*")),SUBSTITUTE(AB207,"R","S")&amp;Data!CQ52,IF(AND(COUNTIF(AB207,"*V*"),COUNTIF(AB207,"*R*")),SUBSTITUTE(AB207,"R","S")&amp;Data!CQ52,AB207 &amp; Data!CQ52))),SUBSTITUTE(SUBSTITUTE(SUBSTITUTE(SUBSTITUTE(SUBSTITUTE(SUBSTITUTE(SUBSTITUTE(SUBSTITUTE(SUBSTITUTE(SUBSTITUTE(IF(AND(COUNTIF(AB207,"*P*"),COUNTIF(AB207,"*V*")),IF(COUNTIF(AB207,"*R*"),SUBSTITUTE(SUBSTITUTE(AB207,"P",""),"R","S"),SUBSTITUTE(AB207,"P","")),IF(AND(COUNTIF(AB207,"*P*"),COUNTIF(AB207,"*R*")),SUBSTITUTE(AB207,"R","S"),IF(AND(COUNTIF(AB207,"*V*"),COUNTIF(AB207,"*R*")),SUBSTITUTE(AB207,"R","S"),AB207))),"0",""),"1",""),"2",""),"3",""),"4",""),"5",""),"6",""),"7",""),"8",""),"9","")&amp; Data!CQ52),"")</f>
        <v/>
      </c>
      <c r="AC224" s="41" t="str">
        <f>IF(AC207&lt;&gt;"",IF(OR(COUNTIF(AC207,"L*"),COUNTIF(AC207, "X*")),IF(AND(COUNTIF(AC207,"*P*"),COUNTIF(AC207,"*V*")),IF(COUNTIF(AC207,"*R*"),SUBSTITUTE(SUBSTITUTE(AC207,"P",""),"R","S")&amp; Data!CR52,SUBSTITUTE(AC207,"P","")&amp; Data!CR52),IF(AND(COUNTIF(AC207,"*P*"),COUNTIF(AC207,"*R*")),SUBSTITUTE(AC207,"R","S")&amp;Data!CR52,IF(AND(COUNTIF(AC207,"*V*"),COUNTIF(AC207,"*R*")),SUBSTITUTE(AC207,"R","S")&amp;Data!CR52,AC207 &amp; Data!CR52))),SUBSTITUTE(SUBSTITUTE(SUBSTITUTE(SUBSTITUTE(SUBSTITUTE(SUBSTITUTE(SUBSTITUTE(SUBSTITUTE(SUBSTITUTE(SUBSTITUTE(IF(AND(COUNTIF(AC207,"*P*"),COUNTIF(AC207,"*V*")),IF(COUNTIF(AC207,"*R*"),SUBSTITUTE(SUBSTITUTE(AC207,"P",""),"R","S"),SUBSTITUTE(AC207,"P","")),IF(AND(COUNTIF(AC207,"*P*"),COUNTIF(AC207,"*R*")),SUBSTITUTE(AC207,"R","S"),IF(AND(COUNTIF(AC207,"*V*"),COUNTIF(AC207,"*R*")),SUBSTITUTE(AC207,"R","S"),AC207))),"0",""),"1",""),"2",""),"3",""),"4",""),"5",""),"6",""),"7",""),"8",""),"9","")&amp; Data!CR52),"")</f>
        <v/>
      </c>
      <c r="AD224" s="41" t="str">
        <f>IF(AD207&lt;&gt;"",IF(OR(COUNTIF(AD207,"L*"),COUNTIF(AD207, "X*")),IF(AND(COUNTIF(AD207,"*P*"),COUNTIF(AD207,"*V*")),IF(COUNTIF(AD207,"*R*"),SUBSTITUTE(SUBSTITUTE(AD207,"P",""),"R","S")&amp; Data!CS52,SUBSTITUTE(AD207,"P","")&amp; Data!CS52),IF(AND(COUNTIF(AD207,"*P*"),COUNTIF(AD207,"*R*")),SUBSTITUTE(AD207,"R","S")&amp;Data!CS52,IF(AND(COUNTIF(AD207,"*V*"),COUNTIF(AD207,"*R*")),SUBSTITUTE(AD207,"R","S")&amp;Data!CS52,AD207 &amp; Data!CS52))),SUBSTITUTE(SUBSTITUTE(SUBSTITUTE(SUBSTITUTE(SUBSTITUTE(SUBSTITUTE(SUBSTITUTE(SUBSTITUTE(SUBSTITUTE(SUBSTITUTE(IF(AND(COUNTIF(AD207,"*P*"),COUNTIF(AD207,"*V*")),IF(COUNTIF(AD207,"*R*"),SUBSTITUTE(SUBSTITUTE(AD207,"P",""),"R","S"),SUBSTITUTE(AD207,"P","")),IF(AND(COUNTIF(AD207,"*P*"),COUNTIF(AD207,"*R*")),SUBSTITUTE(AD207,"R","S"),IF(AND(COUNTIF(AD207,"*V*"),COUNTIF(AD207,"*R*")),SUBSTITUTE(AD207,"R","S"),AD207))),"0",""),"1",""),"2",""),"3",""),"4",""),"5",""),"6",""),"7",""),"8",""),"9","")&amp; Data!CS52),"")</f>
        <v/>
      </c>
      <c r="AE224" s="41" t="str">
        <f>IF(AE207&lt;&gt;"",IF(OR(COUNTIF(AE207,"L*"),COUNTIF(AE207, "X*")),IF(AND(COUNTIF(AE207,"*P*"),COUNTIF(AE207,"*V*")),IF(COUNTIF(AE207,"*R*"),SUBSTITUTE(SUBSTITUTE(AE207,"P",""),"R","S")&amp; Data!CT52,SUBSTITUTE(AE207,"P","")&amp; Data!CT52),IF(AND(COUNTIF(AE207,"*P*"),COUNTIF(AE207,"*R*")),SUBSTITUTE(AE207,"R","S")&amp;Data!CT52,IF(AND(COUNTIF(AE207,"*V*"),COUNTIF(AE207,"*R*")),SUBSTITUTE(AE207,"R","S")&amp;Data!CT52,AE207 &amp; Data!CT52))),SUBSTITUTE(SUBSTITUTE(SUBSTITUTE(SUBSTITUTE(SUBSTITUTE(SUBSTITUTE(SUBSTITUTE(SUBSTITUTE(SUBSTITUTE(SUBSTITUTE(IF(AND(COUNTIF(AE207,"*P*"),COUNTIF(AE207,"*V*")),IF(COUNTIF(AE207,"*R*"),SUBSTITUTE(SUBSTITUTE(AE207,"P",""),"R","S"),SUBSTITUTE(AE207,"P","")),IF(AND(COUNTIF(AE207,"*P*"),COUNTIF(AE207,"*R*")),SUBSTITUTE(AE207,"R","S"),IF(AND(COUNTIF(AE207,"*V*"),COUNTIF(AE207,"*R*")),SUBSTITUTE(AE207,"R","S"),AE207))),"0",""),"1",""),"2",""),"3",""),"4",""),"5",""),"6",""),"7",""),"8",""),"9","")&amp; Data!CT52),"")</f>
        <v/>
      </c>
      <c r="AF224" s="41" t="str">
        <f>IF(AF207&lt;&gt;"",IF(OR(COUNTIF(AF207,"L*"),COUNTIF(AF207, "X*")),IF(AND(COUNTIF(AF207,"*P*"),COUNTIF(AF207,"*V*")),IF(COUNTIF(AF207,"*R*"),SUBSTITUTE(SUBSTITUTE(AF207,"P",""),"R","S")&amp; Data!CU52,SUBSTITUTE(AF207,"P","")&amp; Data!CU52),IF(AND(COUNTIF(AF207,"*P*"),COUNTIF(AF207,"*R*")),SUBSTITUTE(AF207,"R","S")&amp;Data!CU52,IF(AND(COUNTIF(AF207,"*V*"),COUNTIF(AF207,"*R*")),SUBSTITUTE(AF207,"R","S")&amp;Data!CU52,AF207 &amp; Data!CU52))),SUBSTITUTE(SUBSTITUTE(SUBSTITUTE(SUBSTITUTE(SUBSTITUTE(SUBSTITUTE(SUBSTITUTE(SUBSTITUTE(SUBSTITUTE(SUBSTITUTE(IF(AND(COUNTIF(AF207,"*P*"),COUNTIF(AF207,"*V*")),IF(COUNTIF(AF207,"*R*"),SUBSTITUTE(SUBSTITUTE(AF207,"P",""),"R","S"),SUBSTITUTE(AF207,"P","")),IF(AND(COUNTIF(AF207,"*P*"),COUNTIF(AF207,"*R*")),SUBSTITUTE(AF207,"R","S"),IF(AND(COUNTIF(AF207,"*V*"),COUNTIF(AF207,"*R*")),SUBSTITUTE(AF207,"R","S"),AF207))),"0",""),"1",""),"2",""),"3",""),"4",""),"5",""),"6",""),"7",""),"8",""),"9","")&amp; Data!CU52),"")</f>
        <v/>
      </c>
      <c r="AG224" s="41" t="str">
        <f>IF(AG207&lt;&gt;"",IF(OR(COUNTIF(AG207,"L*"),COUNTIF(AG207, "X*")),IF(AND(COUNTIF(AG207,"*P*"),COUNTIF(AG207,"*V*")),IF(COUNTIF(AG207,"*R*"),SUBSTITUTE(SUBSTITUTE(AG207,"P",""),"R","S")&amp; Data!CV52,SUBSTITUTE(AG207,"P","")&amp; Data!CV52),IF(AND(COUNTIF(AG207,"*P*"),COUNTIF(AG207,"*R*")),SUBSTITUTE(AG207,"R","S")&amp;Data!CV52,IF(AND(COUNTIF(AG207,"*V*"),COUNTIF(AG207,"*R*")),SUBSTITUTE(AG207,"R","S")&amp;Data!CV52,AG207 &amp; Data!CV52))),SUBSTITUTE(SUBSTITUTE(SUBSTITUTE(SUBSTITUTE(SUBSTITUTE(SUBSTITUTE(SUBSTITUTE(SUBSTITUTE(SUBSTITUTE(SUBSTITUTE(IF(AND(COUNTIF(AG207,"*P*"),COUNTIF(AG207,"*V*")),IF(COUNTIF(AG207,"*R*"),SUBSTITUTE(SUBSTITUTE(AG207,"P",""),"R","S"),SUBSTITUTE(AG207,"P","")),IF(AND(COUNTIF(AG207,"*P*"),COUNTIF(AG207,"*R*")),SUBSTITUTE(AG207,"R","S"),IF(AND(COUNTIF(AG207,"*V*"),COUNTIF(AG207,"*R*")),SUBSTITUTE(AG207,"R","S"),AG207))),"0",""),"1",""),"2",""),"3",""),"4",""),"5",""),"6",""),"7",""),"8",""),"9","")&amp; Data!CV52),"")</f>
        <v/>
      </c>
      <c r="AH224" s="41" t="str">
        <f>IF(AH207&lt;&gt;"",IF(OR(COUNTIF(AH207,"L*"),COUNTIF(AH207, "X*")),IF(AND(COUNTIF(AH207,"*P*"),COUNTIF(AH207,"*V*")),IF(COUNTIF(AH207,"*R*"),SUBSTITUTE(SUBSTITUTE(AH207,"P",""),"R","S")&amp; Data!CW52,SUBSTITUTE(AH207,"P","")&amp; Data!CW52),IF(AND(COUNTIF(AH207,"*P*"),COUNTIF(AH207,"*R*")),SUBSTITUTE(AH207,"R","S")&amp;Data!CW52,IF(AND(COUNTIF(AH207,"*V*"),COUNTIF(AH207,"*R*")),SUBSTITUTE(AH207,"R","S")&amp;Data!CW52,AH207 &amp; Data!CW52))),SUBSTITUTE(SUBSTITUTE(SUBSTITUTE(SUBSTITUTE(SUBSTITUTE(SUBSTITUTE(SUBSTITUTE(SUBSTITUTE(SUBSTITUTE(SUBSTITUTE(IF(AND(COUNTIF(AH207,"*P*"),COUNTIF(AH207,"*V*")),IF(COUNTIF(AH207,"*R*"),SUBSTITUTE(SUBSTITUTE(AH207,"P",""),"R","S"),SUBSTITUTE(AH207,"P","")),IF(AND(COUNTIF(AH207,"*P*"),COUNTIF(AH207,"*R*")),SUBSTITUTE(AH207,"R","S"),IF(AND(COUNTIF(AH207,"*V*"),COUNTIF(AH207,"*R*")),SUBSTITUTE(AH207,"R","S"),AH207))),"0",""),"1",""),"2",""),"3",""),"4",""),"5",""),"6",""),"7",""),"8",""),"9","")&amp; Data!CW52),"")</f>
        <v/>
      </c>
      <c r="AI224" s="41" t="str">
        <f>IF(AI207&lt;&gt;"",IF(OR(COUNTIF(AI207,"L*"),COUNTIF(AI207, "X*")),IF(AND(COUNTIF(AI207,"*P*"),COUNTIF(AI207,"*V*")),IF(COUNTIF(AI207,"*R*"),SUBSTITUTE(SUBSTITUTE(AI207,"P",""),"R","S")&amp; Data!CX52,SUBSTITUTE(AI207,"P","")&amp; Data!CX52),IF(AND(COUNTIF(AI207,"*P*"),COUNTIF(AI207,"*R*")),SUBSTITUTE(AI207,"R","S")&amp;Data!CX52,IF(AND(COUNTIF(AI207,"*V*"),COUNTIF(AI207,"*R*")),SUBSTITUTE(AI207,"R","S")&amp;Data!CX52,AI207 &amp; Data!CX52))),SUBSTITUTE(SUBSTITUTE(SUBSTITUTE(SUBSTITUTE(SUBSTITUTE(SUBSTITUTE(SUBSTITUTE(SUBSTITUTE(SUBSTITUTE(SUBSTITUTE(IF(AND(COUNTIF(AI207,"*P*"),COUNTIF(AI207,"*V*")),IF(COUNTIF(AI207,"*R*"),SUBSTITUTE(SUBSTITUTE(AI207,"P",""),"R","S"),SUBSTITUTE(AI207,"P","")),IF(AND(COUNTIF(AI207,"*P*"),COUNTIF(AI207,"*R*")),SUBSTITUTE(AI207,"R","S"),IF(AND(COUNTIF(AI207,"*V*"),COUNTIF(AI207,"*R*")),SUBSTITUTE(AI207,"R","S"),AI207))),"0",""),"1",""),"2",""),"3",""),"4",""),"5",""),"6",""),"7",""),"8",""),"9","")&amp; Data!CX52),"")</f>
        <v/>
      </c>
      <c r="AJ224" s="41" t="str">
        <f>IF(AJ207&lt;&gt;"",IF(OR(COUNTIF(AJ207,"L*"),COUNTIF(AJ207, "X*")),IF(AND(COUNTIF(AJ207,"*P*"),COUNTIF(AJ207,"*V*")),IF(COUNTIF(AJ207,"*R*"),SUBSTITUTE(SUBSTITUTE(AJ207,"P",""),"R","S")&amp; Data!CY52,SUBSTITUTE(AJ207,"P","")&amp; Data!CY52),IF(AND(COUNTIF(AJ207,"*P*"),COUNTIF(AJ207,"*R*")),SUBSTITUTE(AJ207,"R","S")&amp;Data!CY52,IF(AND(COUNTIF(AJ207,"*V*"),COUNTIF(AJ207,"*R*")),SUBSTITUTE(AJ207,"R","S")&amp;Data!CY52,AJ207 &amp; Data!CY52))),SUBSTITUTE(SUBSTITUTE(SUBSTITUTE(SUBSTITUTE(SUBSTITUTE(SUBSTITUTE(SUBSTITUTE(SUBSTITUTE(SUBSTITUTE(SUBSTITUTE(IF(AND(COUNTIF(AJ207,"*P*"),COUNTIF(AJ207,"*V*")),IF(COUNTIF(AJ207,"*R*"),SUBSTITUTE(SUBSTITUTE(AJ207,"P",""),"R","S"),SUBSTITUTE(AJ207,"P","")),IF(AND(COUNTIF(AJ207,"*P*"),COUNTIF(AJ207,"*R*")),SUBSTITUTE(AJ207,"R","S"),IF(AND(COUNTIF(AJ207,"*V*"),COUNTIF(AJ207,"*R*")),SUBSTITUTE(AJ207,"R","S"),AJ207))),"0",""),"1",""),"2",""),"3",""),"4",""),"5",""),"6",""),"7",""),"8",""),"9","")&amp; Data!CY52),"")</f>
        <v/>
      </c>
    </row>
    <row r="225" spans="1:54" ht="23.25" customHeight="1" x14ac:dyDescent="0.35">
      <c r="A225" s="1196"/>
      <c r="B225" s="22">
        <v>8</v>
      </c>
      <c r="C225" s="41" t="str">
        <f>IF(C208&lt;&gt;"",IF(OR(COUNTIF(C208,"L*"),COUNTIF(C208, "X*")),IF(AND(COUNTIF(C208,"*P*"),COUNTIF(C208,"*V*")),IF(COUNTIF(C208,"*R*"),SUBSTITUTE(SUBSTITUTE(C208,"P",""),"R","S")&amp; Data!BR53,SUBSTITUTE(C208,"P","")&amp; Data!BR53),IF(AND(COUNTIF(C208,"*P*"),COUNTIF(C208,"*R*")),SUBSTITUTE(C208,"R","S")&amp;Data!BR53,IF(AND(COUNTIF(C208,"*V*"),COUNTIF(C208,"*R*")),SUBSTITUTE(C208,"R","S")&amp;Data!BR53,C208 &amp; Data!BR53))),SUBSTITUTE(SUBSTITUTE(SUBSTITUTE(SUBSTITUTE(SUBSTITUTE(SUBSTITUTE(SUBSTITUTE(SUBSTITUTE(SUBSTITUTE(SUBSTITUTE(IF(AND(COUNTIF(C208,"*P*"),COUNTIF(C208,"*V*")),IF(COUNTIF(C208,"*R*"),SUBSTITUTE(SUBSTITUTE(C208,"P",""),"R","S"),SUBSTITUTE(C208,"P","")),IF(AND(COUNTIF(C208,"*P*"),COUNTIF(C208,"*R*")),SUBSTITUTE(C208,"R","S"),IF(AND(COUNTIF(C208,"*V*"),COUNTIF(C208,"*R*")),SUBSTITUTE(C208,"R","S"),C208))),"0",""),"1",""),"2",""),"3",""),"4",""),"5",""),"6",""),"7",""),"8",""),"9","")&amp; Data!BR53),"")</f>
        <v/>
      </c>
      <c r="D225" s="41" t="str">
        <f>IF(D208&lt;&gt;"",IF(OR(COUNTIF(D208,"L*"),COUNTIF(D208, "X*")),IF(AND(COUNTIF(D208,"*P*"),COUNTIF(D208,"*V*")),IF(COUNTIF(D208,"*R*"),SUBSTITUTE(SUBSTITUTE(D208,"P",""),"R","S")&amp; Data!BS53,SUBSTITUTE(D208,"P","")&amp; Data!BS53),IF(AND(COUNTIF(D208,"*P*"),COUNTIF(D208,"*R*")),SUBSTITUTE(D208,"R","S")&amp;Data!BS53,IF(AND(COUNTIF(D208,"*V*"),COUNTIF(D208,"*R*")),SUBSTITUTE(D208,"R","S")&amp;Data!BS53,D208 &amp; Data!BS53))),SUBSTITUTE(SUBSTITUTE(SUBSTITUTE(SUBSTITUTE(SUBSTITUTE(SUBSTITUTE(SUBSTITUTE(SUBSTITUTE(SUBSTITUTE(SUBSTITUTE(IF(AND(COUNTIF(D208,"*P*"),COUNTIF(D208,"*V*")),IF(COUNTIF(D208,"*R*"),SUBSTITUTE(SUBSTITUTE(D208,"P",""),"R","S"),SUBSTITUTE(D208,"P","")),IF(AND(COUNTIF(D208,"*P*"),COUNTIF(D208,"*R*")),SUBSTITUTE(D208,"R","S"),IF(AND(COUNTIF(D208,"*V*"),COUNTIF(D208,"*R*")),SUBSTITUTE(D208,"R","S"),D208))),"0",""),"1",""),"2",""),"3",""),"4",""),"5",""),"6",""),"7",""),"8",""),"9","")&amp; Data!BS53),"")</f>
        <v/>
      </c>
      <c r="E225" s="41" t="str">
        <f>IF(E208&lt;&gt;"",IF(OR(COUNTIF(E208,"L*"),COUNTIF(E208, "X*")),IF(AND(COUNTIF(E208,"*P*"),COUNTIF(E208,"*V*")),IF(COUNTIF(E208,"*R*"),SUBSTITUTE(SUBSTITUTE(E208,"P",""),"R","S")&amp; Data!BT53,SUBSTITUTE(E208,"P","")&amp; Data!BT53),IF(AND(COUNTIF(E208,"*P*"),COUNTIF(E208,"*R*")),SUBSTITUTE(E208,"R","S")&amp;Data!BT53,IF(AND(COUNTIF(E208,"*V*"),COUNTIF(E208,"*R*")),SUBSTITUTE(E208,"R","S")&amp;Data!BT53,E208 &amp; Data!BT53))),SUBSTITUTE(SUBSTITUTE(SUBSTITUTE(SUBSTITUTE(SUBSTITUTE(SUBSTITUTE(SUBSTITUTE(SUBSTITUTE(SUBSTITUTE(SUBSTITUTE(IF(AND(COUNTIF(E208,"*P*"),COUNTIF(E208,"*V*")),IF(COUNTIF(E208,"*R*"),SUBSTITUTE(SUBSTITUTE(E208,"P",""),"R","S"),SUBSTITUTE(E208,"P","")),IF(AND(COUNTIF(E208,"*P*"),COUNTIF(E208,"*R*")),SUBSTITUTE(E208,"R","S"),IF(AND(COUNTIF(E208,"*V*"),COUNTIF(E208,"*R*")),SUBSTITUTE(E208,"R","S"),E208))),"0",""),"1",""),"2",""),"3",""),"4",""),"5",""),"6",""),"7",""),"8",""),"9","")&amp; Data!BT53),"")</f>
        <v/>
      </c>
      <c r="F225" s="41" t="str">
        <f>IF(F208&lt;&gt;"",IF(OR(COUNTIF(F208,"L*"),COUNTIF(F208, "X*")),IF(AND(COUNTIF(F208,"*P*"),COUNTIF(F208,"*V*")),IF(COUNTIF(F208,"*R*"),SUBSTITUTE(SUBSTITUTE(F208,"P",""),"R","S")&amp; Data!BU53,SUBSTITUTE(F208,"P","")&amp; Data!BU53),IF(AND(COUNTIF(F208,"*P*"),COUNTIF(F208,"*R*")),SUBSTITUTE(F208,"R","S")&amp;Data!BU53,IF(AND(COUNTIF(F208,"*V*"),COUNTIF(F208,"*R*")),SUBSTITUTE(F208,"R","S")&amp;Data!BU53,F208 &amp; Data!BU53))),SUBSTITUTE(SUBSTITUTE(SUBSTITUTE(SUBSTITUTE(SUBSTITUTE(SUBSTITUTE(SUBSTITUTE(SUBSTITUTE(SUBSTITUTE(SUBSTITUTE(IF(AND(COUNTIF(F208,"*P*"),COUNTIF(F208,"*V*")),IF(COUNTIF(F208,"*R*"),SUBSTITUTE(SUBSTITUTE(F208,"P",""),"R","S"),SUBSTITUTE(F208,"P","")),IF(AND(COUNTIF(F208,"*P*"),COUNTIF(F208,"*R*")),SUBSTITUTE(F208,"R","S"),IF(AND(COUNTIF(F208,"*V*"),COUNTIF(F208,"*R*")),SUBSTITUTE(F208,"R","S"),F208))),"0",""),"1",""),"2",""),"3",""),"4",""),"5",""),"6",""),"7",""),"8",""),"9","")&amp; Data!BU53),"")</f>
        <v/>
      </c>
      <c r="G225" s="41" t="str">
        <f>IF(G208&lt;&gt;"",IF(OR(COUNTIF(G208,"L*"),COUNTIF(G208, "X*")),IF(AND(COUNTIF(G208,"*P*"),COUNTIF(G208,"*V*")),IF(COUNTIF(G208,"*R*"),SUBSTITUTE(SUBSTITUTE(G208,"P",""),"R","S")&amp; Data!BV53,SUBSTITUTE(G208,"P","")&amp; Data!BV53),IF(AND(COUNTIF(G208,"*P*"),COUNTIF(G208,"*R*")),SUBSTITUTE(G208,"R","S")&amp;Data!BV53,IF(AND(COUNTIF(G208,"*V*"),COUNTIF(G208,"*R*")),SUBSTITUTE(G208,"R","S")&amp;Data!BV53,G208 &amp; Data!BV53))),SUBSTITUTE(SUBSTITUTE(SUBSTITUTE(SUBSTITUTE(SUBSTITUTE(SUBSTITUTE(SUBSTITUTE(SUBSTITUTE(SUBSTITUTE(SUBSTITUTE(IF(AND(COUNTIF(G208,"*P*"),COUNTIF(G208,"*V*")),IF(COUNTIF(G208,"*R*"),SUBSTITUTE(SUBSTITUTE(G208,"P",""),"R","S"),SUBSTITUTE(G208,"P","")),IF(AND(COUNTIF(G208,"*P*"),COUNTIF(G208,"*R*")),SUBSTITUTE(G208,"R","S"),IF(AND(COUNTIF(G208,"*V*"),COUNTIF(G208,"*R*")),SUBSTITUTE(G208,"R","S"),G208))),"0",""),"1",""),"2",""),"3",""),"4",""),"5",""),"6",""),"7",""),"8",""),"9","")&amp; Data!BV53),"")</f>
        <v/>
      </c>
      <c r="H225" s="41" t="str">
        <f>IF(H208&lt;&gt;"",IF(OR(COUNTIF(H208,"L*"),COUNTIF(H208, "X*")),IF(AND(COUNTIF(H208,"*P*"),COUNTIF(H208,"*V*")),IF(COUNTIF(H208,"*R*"),SUBSTITUTE(SUBSTITUTE(H208,"P",""),"R","S")&amp; Data!BW53,SUBSTITUTE(H208,"P","")&amp; Data!BW53),IF(AND(COUNTIF(H208,"*P*"),COUNTIF(H208,"*R*")),SUBSTITUTE(H208,"R","S")&amp;Data!BW53,IF(AND(COUNTIF(H208,"*V*"),COUNTIF(H208,"*R*")),SUBSTITUTE(H208,"R","S")&amp;Data!BW53,H208 &amp; Data!BW53))),SUBSTITUTE(SUBSTITUTE(SUBSTITUTE(SUBSTITUTE(SUBSTITUTE(SUBSTITUTE(SUBSTITUTE(SUBSTITUTE(SUBSTITUTE(SUBSTITUTE(IF(AND(COUNTIF(H208,"*P*"),COUNTIF(H208,"*V*")),IF(COUNTIF(H208,"*R*"),SUBSTITUTE(SUBSTITUTE(H208,"P",""),"R","S"),SUBSTITUTE(H208,"P","")),IF(AND(COUNTIF(H208,"*P*"),COUNTIF(H208,"*R*")),SUBSTITUTE(H208,"R","S"),IF(AND(COUNTIF(H208,"*V*"),COUNTIF(H208,"*R*")),SUBSTITUTE(H208,"R","S"),H208))),"0",""),"1",""),"2",""),"3",""),"4",""),"5",""),"6",""),"7",""),"8",""),"9","")&amp; Data!BW53),"")</f>
        <v/>
      </c>
      <c r="I225" s="41" t="str">
        <f>IF(I208&lt;&gt;"",IF(OR(COUNTIF(I208,"L*"),COUNTIF(I208, "X*")),IF(AND(COUNTIF(I208,"*P*"),COUNTIF(I208,"*V*")),IF(COUNTIF(I208,"*R*"),SUBSTITUTE(SUBSTITUTE(I208,"P",""),"R","S")&amp; Data!BX53,SUBSTITUTE(I208,"P","")&amp; Data!BX53),IF(AND(COUNTIF(I208,"*P*"),COUNTIF(I208,"*R*")),SUBSTITUTE(I208,"R","S")&amp;Data!BX53,IF(AND(COUNTIF(I208,"*V*"),COUNTIF(I208,"*R*")),SUBSTITUTE(I208,"R","S")&amp;Data!BX53,I208 &amp; Data!BX53))),SUBSTITUTE(SUBSTITUTE(SUBSTITUTE(SUBSTITUTE(SUBSTITUTE(SUBSTITUTE(SUBSTITUTE(SUBSTITUTE(SUBSTITUTE(SUBSTITUTE(IF(AND(COUNTIF(I208,"*P*"),COUNTIF(I208,"*V*")),IF(COUNTIF(I208,"*R*"),SUBSTITUTE(SUBSTITUTE(I208,"P",""),"R","S"),SUBSTITUTE(I208,"P","")),IF(AND(COUNTIF(I208,"*P*"),COUNTIF(I208,"*R*")),SUBSTITUTE(I208,"R","S"),IF(AND(COUNTIF(I208,"*V*"),COUNTIF(I208,"*R*")),SUBSTITUTE(I208,"R","S"),I208))),"0",""),"1",""),"2",""),"3",""),"4",""),"5",""),"6",""),"7",""),"8",""),"9","")&amp; Data!BX53),"")</f>
        <v/>
      </c>
      <c r="J225" s="41" t="str">
        <f>IF(J208&lt;&gt;"",IF(OR(COUNTIF(J208,"L*"),COUNTIF(J208, "X*")),IF(AND(COUNTIF(J208,"*P*"),COUNTIF(J208,"*V*")),IF(COUNTIF(J208,"*R*"),SUBSTITUTE(SUBSTITUTE(J208,"P",""),"R","S")&amp; Data!BY53,SUBSTITUTE(J208,"P","")&amp; Data!BY53),IF(AND(COUNTIF(J208,"*P*"),COUNTIF(J208,"*R*")),SUBSTITUTE(J208,"R","S")&amp;Data!BY53,IF(AND(COUNTIF(J208,"*V*"),COUNTIF(J208,"*R*")),SUBSTITUTE(J208,"R","S")&amp;Data!BY53,J208 &amp; Data!BY53))),SUBSTITUTE(SUBSTITUTE(SUBSTITUTE(SUBSTITUTE(SUBSTITUTE(SUBSTITUTE(SUBSTITUTE(SUBSTITUTE(SUBSTITUTE(SUBSTITUTE(IF(AND(COUNTIF(J208,"*P*"),COUNTIF(J208,"*V*")),IF(COUNTIF(J208,"*R*"),SUBSTITUTE(SUBSTITUTE(J208,"P",""),"R","S"),SUBSTITUTE(J208,"P","")),IF(AND(COUNTIF(J208,"*P*"),COUNTIF(J208,"*R*")),SUBSTITUTE(J208,"R","S"),IF(AND(COUNTIF(J208,"*V*"),COUNTIF(J208,"*R*")),SUBSTITUTE(J208,"R","S"),J208))),"0",""),"1",""),"2",""),"3",""),"4",""),"5",""),"6",""),"7",""),"8",""),"9","")&amp; Data!BY53),"")</f>
        <v/>
      </c>
      <c r="K225" s="41" t="str">
        <f>IF(K208&lt;&gt;"",IF(OR(COUNTIF(K208,"L*"),COUNTIF(K208, "X*")),IF(AND(COUNTIF(K208,"*P*"),COUNTIF(K208,"*V*")),IF(COUNTIF(K208,"*R*"),SUBSTITUTE(SUBSTITUTE(K208,"P",""),"R","S")&amp; Data!BZ53,SUBSTITUTE(K208,"P","")&amp; Data!BZ53),IF(AND(COUNTIF(K208,"*P*"),COUNTIF(K208,"*R*")),SUBSTITUTE(K208,"R","S")&amp;Data!BZ53,IF(AND(COUNTIF(K208,"*V*"),COUNTIF(K208,"*R*")),SUBSTITUTE(K208,"R","S")&amp;Data!BZ53,K208 &amp; Data!BZ53))),SUBSTITUTE(SUBSTITUTE(SUBSTITUTE(SUBSTITUTE(SUBSTITUTE(SUBSTITUTE(SUBSTITUTE(SUBSTITUTE(SUBSTITUTE(SUBSTITUTE(IF(AND(COUNTIF(K208,"*P*"),COUNTIF(K208,"*V*")),IF(COUNTIF(K208,"*R*"),SUBSTITUTE(SUBSTITUTE(K208,"P",""),"R","S"),SUBSTITUTE(K208,"P","")),IF(AND(COUNTIF(K208,"*P*"),COUNTIF(K208,"*R*")),SUBSTITUTE(K208,"R","S"),IF(AND(COUNTIF(K208,"*V*"),COUNTIF(K208,"*R*")),SUBSTITUTE(K208,"R","S"),K208))),"0",""),"1",""),"2",""),"3",""),"4",""),"5",""),"6",""),"7",""),"8",""),"9","")&amp; Data!BZ53),"")</f>
        <v/>
      </c>
      <c r="L225" s="41" t="str">
        <f>IF(L208&lt;&gt;"",IF(OR(COUNTIF(L208,"L*"),COUNTIF(L208, "X*")),IF(AND(COUNTIF(L208,"*P*"),COUNTIF(L208,"*V*")),IF(COUNTIF(L208,"*R*"),SUBSTITUTE(SUBSTITUTE(L208,"P",""),"R","S")&amp; Data!CA53,SUBSTITUTE(L208,"P","")&amp; Data!CA53),IF(AND(COUNTIF(L208,"*P*"),COUNTIF(L208,"*R*")),SUBSTITUTE(L208,"R","S")&amp;Data!CA53,IF(AND(COUNTIF(L208,"*V*"),COUNTIF(L208,"*R*")),SUBSTITUTE(L208,"R","S")&amp;Data!CA53,L208 &amp; Data!CA53))),SUBSTITUTE(SUBSTITUTE(SUBSTITUTE(SUBSTITUTE(SUBSTITUTE(SUBSTITUTE(SUBSTITUTE(SUBSTITUTE(SUBSTITUTE(SUBSTITUTE(IF(AND(COUNTIF(L208,"*P*"),COUNTIF(L208,"*V*")),IF(COUNTIF(L208,"*R*"),SUBSTITUTE(SUBSTITUTE(L208,"P",""),"R","S"),SUBSTITUTE(L208,"P","")),IF(AND(COUNTIF(L208,"*P*"),COUNTIF(L208,"*R*")),SUBSTITUTE(L208,"R","S"),IF(AND(COUNTIF(L208,"*V*"),COUNTIF(L208,"*R*")),SUBSTITUTE(L208,"R","S"),L208))),"0",""),"1",""),"2",""),"3",""),"4",""),"5",""),"6",""),"7",""),"8",""),"9","")&amp; Data!CA53),"")</f>
        <v/>
      </c>
      <c r="M225" s="41" t="str">
        <f>IF(M208&lt;&gt;"",IF(OR(COUNTIF(M208,"L*"),COUNTIF(M208, "X*")),IF(AND(COUNTIF(M208,"*P*"),COUNTIF(M208,"*V*")),IF(COUNTIF(M208,"*R*"),SUBSTITUTE(SUBSTITUTE(M208,"P",""),"R","S")&amp; Data!CB53,SUBSTITUTE(M208,"P","")&amp; Data!CB53),IF(AND(COUNTIF(M208,"*P*"),COUNTIF(M208,"*R*")),SUBSTITUTE(M208,"R","S")&amp;Data!CB53,IF(AND(COUNTIF(M208,"*V*"),COUNTIF(M208,"*R*")),SUBSTITUTE(M208,"R","S")&amp;Data!CB53,M208 &amp; Data!CB53))),SUBSTITUTE(SUBSTITUTE(SUBSTITUTE(SUBSTITUTE(SUBSTITUTE(SUBSTITUTE(SUBSTITUTE(SUBSTITUTE(SUBSTITUTE(SUBSTITUTE(IF(AND(COUNTIF(M208,"*P*"),COUNTIF(M208,"*V*")),IF(COUNTIF(M208,"*R*"),SUBSTITUTE(SUBSTITUTE(M208,"P",""),"R","S"),SUBSTITUTE(M208,"P","")),IF(AND(COUNTIF(M208,"*P*"),COUNTIF(M208,"*R*")),SUBSTITUTE(M208,"R","S"),IF(AND(COUNTIF(M208,"*V*"),COUNTIF(M208,"*R*")),SUBSTITUTE(M208,"R","S"),M208))),"0",""),"1",""),"2",""),"3",""),"4",""),"5",""),"6",""),"7",""),"8",""),"9","")&amp; Data!CB53),"")</f>
        <v/>
      </c>
      <c r="N225" s="41" t="str">
        <f>IF(N208&lt;&gt;"",IF(OR(COUNTIF(N208,"L*"),COUNTIF(N208, "X*")),IF(AND(COUNTIF(N208,"*P*"),COUNTIF(N208,"*V*")),IF(COUNTIF(N208,"*R*"),SUBSTITUTE(SUBSTITUTE(N208,"P",""),"R","S")&amp; Data!CC53,SUBSTITUTE(N208,"P","")&amp; Data!CC53),IF(AND(COUNTIF(N208,"*P*"),COUNTIF(N208,"*R*")),SUBSTITUTE(N208,"R","S")&amp;Data!CC53,IF(AND(COUNTIF(N208,"*V*"),COUNTIF(N208,"*R*")),SUBSTITUTE(N208,"R","S")&amp;Data!CC53,N208 &amp; Data!CC53))),SUBSTITUTE(SUBSTITUTE(SUBSTITUTE(SUBSTITUTE(SUBSTITUTE(SUBSTITUTE(SUBSTITUTE(SUBSTITUTE(SUBSTITUTE(SUBSTITUTE(IF(AND(COUNTIF(N208,"*P*"),COUNTIF(N208,"*V*")),IF(COUNTIF(N208,"*R*"),SUBSTITUTE(SUBSTITUTE(N208,"P",""),"R","S"),SUBSTITUTE(N208,"P","")),IF(AND(COUNTIF(N208,"*P*"),COUNTIF(N208,"*R*")),SUBSTITUTE(N208,"R","S"),IF(AND(COUNTIF(N208,"*V*"),COUNTIF(N208,"*R*")),SUBSTITUTE(N208,"R","S"),N208))),"0",""),"1",""),"2",""),"3",""),"4",""),"5",""),"6",""),"7",""),"8",""),"9","")&amp; Data!CC53),"")</f>
        <v/>
      </c>
      <c r="O225" s="41" t="str">
        <f>IF(O208&lt;&gt;"",IF(OR(COUNTIF(O208,"L*"),COUNTIF(O208, "X*")),IF(AND(COUNTIF(O208,"*P*"),COUNTIF(O208,"*V*")),IF(COUNTIF(O208,"*R*"),SUBSTITUTE(SUBSTITUTE(O208,"P",""),"R","S")&amp; Data!CD53,SUBSTITUTE(O208,"P","")&amp; Data!CD53),IF(AND(COUNTIF(O208,"*P*"),COUNTIF(O208,"*R*")),SUBSTITUTE(O208,"R","S")&amp;Data!CD53,IF(AND(COUNTIF(O208,"*V*"),COUNTIF(O208,"*R*")),SUBSTITUTE(O208,"R","S")&amp;Data!CD53,O208 &amp; Data!CD53))),SUBSTITUTE(SUBSTITUTE(SUBSTITUTE(SUBSTITUTE(SUBSTITUTE(SUBSTITUTE(SUBSTITUTE(SUBSTITUTE(SUBSTITUTE(SUBSTITUTE(IF(AND(COUNTIF(O208,"*P*"),COUNTIF(O208,"*V*")),IF(COUNTIF(O208,"*R*"),SUBSTITUTE(SUBSTITUTE(O208,"P",""),"R","S"),SUBSTITUTE(O208,"P","")),IF(AND(COUNTIF(O208,"*P*"),COUNTIF(O208,"*R*")),SUBSTITUTE(O208,"R","S"),IF(AND(COUNTIF(O208,"*V*"),COUNTIF(O208,"*R*")),SUBSTITUTE(O208,"R","S"),O208))),"0",""),"1",""),"2",""),"3",""),"4",""),"5",""),"6",""),"7",""),"8",""),"9","")&amp; Data!CD53),"")</f>
        <v/>
      </c>
      <c r="P225" s="41" t="str">
        <f>IF(P208&lt;&gt;"",IF(OR(COUNTIF(P208,"L*"),COUNTIF(P208, "X*")),IF(AND(COUNTIF(P208,"*P*"),COUNTIF(P208,"*V*")),IF(COUNTIF(P208,"*R*"),SUBSTITUTE(SUBSTITUTE(P208,"P",""),"R","S")&amp; Data!CE53,SUBSTITUTE(P208,"P","")&amp; Data!CE53),IF(AND(COUNTIF(P208,"*P*"),COUNTIF(P208,"*R*")),SUBSTITUTE(P208,"R","S")&amp;Data!CE53,IF(AND(COUNTIF(P208,"*V*"),COUNTIF(P208,"*R*")),SUBSTITUTE(P208,"R","S")&amp;Data!CE53,P208 &amp; Data!CE53))),SUBSTITUTE(SUBSTITUTE(SUBSTITUTE(SUBSTITUTE(SUBSTITUTE(SUBSTITUTE(SUBSTITUTE(SUBSTITUTE(SUBSTITUTE(SUBSTITUTE(IF(AND(COUNTIF(P208,"*P*"),COUNTIF(P208,"*V*")),IF(COUNTIF(P208,"*R*"),SUBSTITUTE(SUBSTITUTE(P208,"P",""),"R","S"),SUBSTITUTE(P208,"P","")),IF(AND(COUNTIF(P208,"*P*"),COUNTIF(P208,"*R*")),SUBSTITUTE(P208,"R","S"),IF(AND(COUNTIF(P208,"*V*"),COUNTIF(P208,"*R*")),SUBSTITUTE(P208,"R","S"),P208))),"0",""),"1",""),"2",""),"3",""),"4",""),"5",""),"6",""),"7",""),"8",""),"9","")&amp; Data!CE53),"")</f>
        <v/>
      </c>
      <c r="Q225" s="41" t="str">
        <f>IF(Q208&lt;&gt;"",IF(OR(COUNTIF(Q208,"L*"),COUNTIF(Q208, "X*")),IF(AND(COUNTIF(Q208,"*P*"),COUNTIF(Q208,"*V*")),IF(COUNTIF(Q208,"*R*"),SUBSTITUTE(SUBSTITUTE(Q208,"P",""),"R","S")&amp; Data!CF53,SUBSTITUTE(Q208,"P","")&amp; Data!CF53),IF(AND(COUNTIF(Q208,"*P*"),COUNTIF(Q208,"*R*")),SUBSTITUTE(Q208,"R","S")&amp;Data!CF53,IF(AND(COUNTIF(Q208,"*V*"),COUNTIF(Q208,"*R*")),SUBSTITUTE(Q208,"R","S")&amp;Data!CF53,Q208 &amp; Data!CF53))),SUBSTITUTE(SUBSTITUTE(SUBSTITUTE(SUBSTITUTE(SUBSTITUTE(SUBSTITUTE(SUBSTITUTE(SUBSTITUTE(SUBSTITUTE(SUBSTITUTE(IF(AND(COUNTIF(Q208,"*P*"),COUNTIF(Q208,"*V*")),IF(COUNTIF(Q208,"*R*"),SUBSTITUTE(SUBSTITUTE(Q208,"P",""),"R","S"),SUBSTITUTE(Q208,"P","")),IF(AND(COUNTIF(Q208,"*P*"),COUNTIF(Q208,"*R*")),SUBSTITUTE(Q208,"R","S"),IF(AND(COUNTIF(Q208,"*V*"),COUNTIF(Q208,"*R*")),SUBSTITUTE(Q208,"R","S"),Q208))),"0",""),"1",""),"2",""),"3",""),"4",""),"5",""),"6",""),"7",""),"8",""),"9","")&amp; Data!CF53),"")</f>
        <v/>
      </c>
      <c r="R225" s="41" t="str">
        <f>IF(R208&lt;&gt;"",IF(OR(COUNTIF(R208,"L*"),COUNTIF(R208, "X*")),IF(AND(COUNTIF(R208,"*P*"),COUNTIF(R208,"*V*")),IF(COUNTIF(R208,"*R*"),SUBSTITUTE(SUBSTITUTE(R208,"P",""),"R","S")&amp; Data!CG53,SUBSTITUTE(R208,"P","")&amp; Data!CG53),IF(AND(COUNTIF(R208,"*P*"),COUNTIF(R208,"*R*")),SUBSTITUTE(R208,"R","S")&amp;Data!CG53,IF(AND(COUNTIF(R208,"*V*"),COUNTIF(R208,"*R*")),SUBSTITUTE(R208,"R","S")&amp;Data!CG53,R208 &amp; Data!CG53))),SUBSTITUTE(SUBSTITUTE(SUBSTITUTE(SUBSTITUTE(SUBSTITUTE(SUBSTITUTE(SUBSTITUTE(SUBSTITUTE(SUBSTITUTE(SUBSTITUTE(IF(AND(COUNTIF(R208,"*P*"),COUNTIF(R208,"*V*")),IF(COUNTIF(R208,"*R*"),SUBSTITUTE(SUBSTITUTE(R208,"P",""),"R","S"),SUBSTITUTE(R208,"P","")),IF(AND(COUNTIF(R208,"*P*"),COUNTIF(R208,"*R*")),SUBSTITUTE(R208,"R","S"),IF(AND(COUNTIF(R208,"*V*"),COUNTIF(R208,"*R*")),SUBSTITUTE(R208,"R","S"),R208))),"0",""),"1",""),"2",""),"3",""),"4",""),"5",""),"6",""),"7",""),"8",""),"9","")&amp; Data!CG53),"")</f>
        <v/>
      </c>
      <c r="S225" s="41" t="str">
        <f>IF(S208&lt;&gt;"",IF(OR(COUNTIF(S208,"L*"),COUNTIF(S208, "X*")),IF(AND(COUNTIF(S208,"*P*"),COUNTIF(S208,"*V*")),IF(COUNTIF(S208,"*R*"),SUBSTITUTE(SUBSTITUTE(S208,"P",""),"R","S")&amp; Data!CH53,SUBSTITUTE(S208,"P","")&amp; Data!CH53),IF(AND(COUNTIF(S208,"*P*"),COUNTIF(S208,"*R*")),SUBSTITUTE(S208,"R","S")&amp;Data!CH53,IF(AND(COUNTIF(S208,"*V*"),COUNTIF(S208,"*R*")),SUBSTITUTE(S208,"R","S")&amp;Data!CH53,S208 &amp; Data!CH53))),SUBSTITUTE(SUBSTITUTE(SUBSTITUTE(SUBSTITUTE(SUBSTITUTE(SUBSTITUTE(SUBSTITUTE(SUBSTITUTE(SUBSTITUTE(SUBSTITUTE(IF(AND(COUNTIF(S208,"*P*"),COUNTIF(S208,"*V*")),IF(COUNTIF(S208,"*R*"),SUBSTITUTE(SUBSTITUTE(S208,"P",""),"R","S"),SUBSTITUTE(S208,"P","")),IF(AND(COUNTIF(S208,"*P*"),COUNTIF(S208,"*R*")),SUBSTITUTE(S208,"R","S"),IF(AND(COUNTIF(S208,"*V*"),COUNTIF(S208,"*R*")),SUBSTITUTE(S208,"R","S"),S208))),"0",""),"1",""),"2",""),"3",""),"4",""),"5",""),"6",""),"7",""),"8",""),"9","")&amp; Data!CH53),"")</f>
        <v/>
      </c>
      <c r="T225" s="41" t="str">
        <f>IF(T208&lt;&gt;"",IF(OR(COUNTIF(T208,"L*"),COUNTIF(T208, "X*")),IF(AND(COUNTIF(T208,"*P*"),COUNTIF(T208,"*V*")),IF(COUNTIF(T208,"*R*"),SUBSTITUTE(SUBSTITUTE(T208,"P",""),"R","S")&amp; Data!CI53,SUBSTITUTE(T208,"P","")&amp; Data!CI53),IF(AND(COUNTIF(T208,"*P*"),COUNTIF(T208,"*R*")),SUBSTITUTE(T208,"R","S")&amp;Data!CI53,IF(AND(COUNTIF(T208,"*V*"),COUNTIF(T208,"*R*")),SUBSTITUTE(T208,"R","S")&amp;Data!CI53,T208 &amp; Data!CI53))),SUBSTITUTE(SUBSTITUTE(SUBSTITUTE(SUBSTITUTE(SUBSTITUTE(SUBSTITUTE(SUBSTITUTE(SUBSTITUTE(SUBSTITUTE(SUBSTITUTE(IF(AND(COUNTIF(T208,"*P*"),COUNTIF(T208,"*V*")),IF(COUNTIF(T208,"*R*"),SUBSTITUTE(SUBSTITUTE(T208,"P",""),"R","S"),SUBSTITUTE(T208,"P","")),IF(AND(COUNTIF(T208,"*P*"),COUNTIF(T208,"*R*")),SUBSTITUTE(T208,"R","S"),IF(AND(COUNTIF(T208,"*V*"),COUNTIF(T208,"*R*")),SUBSTITUTE(T208,"R","S"),T208))),"0",""),"1",""),"2",""),"3",""),"4",""),"5",""),"6",""),"7",""),"8",""),"9","")&amp; Data!CI53),"")</f>
        <v/>
      </c>
      <c r="U225" s="41" t="str">
        <f>IF(U208&lt;&gt;"",IF(OR(COUNTIF(U208,"L*"),COUNTIF(U208, "X*")),IF(AND(COUNTIF(U208,"*P*"),COUNTIF(U208,"*V*")),IF(COUNTIF(U208,"*R*"),SUBSTITUTE(SUBSTITUTE(U208,"P",""),"R","S")&amp; Data!CJ53,SUBSTITUTE(U208,"P","")&amp; Data!CJ53),IF(AND(COUNTIF(U208,"*P*"),COUNTIF(U208,"*R*")),SUBSTITUTE(U208,"R","S")&amp;Data!CJ53,IF(AND(COUNTIF(U208,"*V*"),COUNTIF(U208,"*R*")),SUBSTITUTE(U208,"R","S")&amp;Data!CJ53,U208 &amp; Data!CJ53))),SUBSTITUTE(SUBSTITUTE(SUBSTITUTE(SUBSTITUTE(SUBSTITUTE(SUBSTITUTE(SUBSTITUTE(SUBSTITUTE(SUBSTITUTE(SUBSTITUTE(IF(AND(COUNTIF(U208,"*P*"),COUNTIF(U208,"*V*")),IF(COUNTIF(U208,"*R*"),SUBSTITUTE(SUBSTITUTE(U208,"P",""),"R","S"),SUBSTITUTE(U208,"P","")),IF(AND(COUNTIF(U208,"*P*"),COUNTIF(U208,"*R*")),SUBSTITUTE(U208,"R","S"),IF(AND(COUNTIF(U208,"*V*"),COUNTIF(U208,"*R*")),SUBSTITUTE(U208,"R","S"),U208))),"0",""),"1",""),"2",""),"3",""),"4",""),"5",""),"6",""),"7",""),"8",""),"9","")&amp; Data!CJ53),"")</f>
        <v/>
      </c>
      <c r="V225" s="41" t="str">
        <f>IF(V208&lt;&gt;"",IF(OR(COUNTIF(V208,"L*"),COUNTIF(V208, "X*")),IF(AND(COUNTIF(V208,"*P*"),COUNTIF(V208,"*V*")),IF(COUNTIF(V208,"*R*"),SUBSTITUTE(SUBSTITUTE(V208,"P",""),"R","S")&amp; Data!CK53,SUBSTITUTE(V208,"P","")&amp; Data!CK53),IF(AND(COUNTIF(V208,"*P*"),COUNTIF(V208,"*R*")),SUBSTITUTE(V208,"R","S")&amp;Data!CK53,IF(AND(COUNTIF(V208,"*V*"),COUNTIF(V208,"*R*")),SUBSTITUTE(V208,"R","S")&amp;Data!CK53,V208 &amp; Data!CK53))),SUBSTITUTE(SUBSTITUTE(SUBSTITUTE(SUBSTITUTE(SUBSTITUTE(SUBSTITUTE(SUBSTITUTE(SUBSTITUTE(SUBSTITUTE(SUBSTITUTE(IF(AND(COUNTIF(V208,"*P*"),COUNTIF(V208,"*V*")),IF(COUNTIF(V208,"*R*"),SUBSTITUTE(SUBSTITUTE(V208,"P",""),"R","S"),SUBSTITUTE(V208,"P","")),IF(AND(COUNTIF(V208,"*P*"),COUNTIF(V208,"*R*")),SUBSTITUTE(V208,"R","S"),IF(AND(COUNTIF(V208,"*V*"),COUNTIF(V208,"*R*")),SUBSTITUTE(V208,"R","S"),V208))),"0",""),"1",""),"2",""),"3",""),"4",""),"5",""),"6",""),"7",""),"8",""),"9","")&amp; Data!CK53),"")</f>
        <v/>
      </c>
      <c r="W225" s="41" t="str">
        <f>IF(W208&lt;&gt;"",IF(OR(COUNTIF(W208,"L*"),COUNTIF(W208, "X*")),IF(AND(COUNTIF(W208,"*P*"),COUNTIF(W208,"*V*")),IF(COUNTIF(W208,"*R*"),SUBSTITUTE(SUBSTITUTE(W208,"P",""),"R","S")&amp; Data!CL53,SUBSTITUTE(W208,"P","")&amp; Data!CL53),IF(AND(COUNTIF(W208,"*P*"),COUNTIF(W208,"*R*")),SUBSTITUTE(W208,"R","S")&amp;Data!CL53,IF(AND(COUNTIF(W208,"*V*"),COUNTIF(W208,"*R*")),SUBSTITUTE(W208,"R","S")&amp;Data!CL53,W208 &amp; Data!CL53))),SUBSTITUTE(SUBSTITUTE(SUBSTITUTE(SUBSTITUTE(SUBSTITUTE(SUBSTITUTE(SUBSTITUTE(SUBSTITUTE(SUBSTITUTE(SUBSTITUTE(IF(AND(COUNTIF(W208,"*P*"),COUNTIF(W208,"*V*")),IF(COUNTIF(W208,"*R*"),SUBSTITUTE(SUBSTITUTE(W208,"P",""),"R","S"),SUBSTITUTE(W208,"P","")),IF(AND(COUNTIF(W208,"*P*"),COUNTIF(W208,"*R*")),SUBSTITUTE(W208,"R","S"),IF(AND(COUNTIF(W208,"*V*"),COUNTIF(W208,"*R*")),SUBSTITUTE(W208,"R","S"),W208))),"0",""),"1",""),"2",""),"3",""),"4",""),"5",""),"6",""),"7",""),"8",""),"9","")&amp; Data!CL53),"")</f>
        <v/>
      </c>
      <c r="X225" s="41" t="str">
        <f>IF(X208&lt;&gt;"",IF(OR(COUNTIF(X208,"L*"),COUNTIF(X208, "X*")),IF(AND(COUNTIF(X208,"*P*"),COUNTIF(X208,"*V*")),IF(COUNTIF(X208,"*R*"),SUBSTITUTE(SUBSTITUTE(X208,"P",""),"R","S")&amp; Data!CM53,SUBSTITUTE(X208,"P","")&amp; Data!CM53),IF(AND(COUNTIF(X208,"*P*"),COUNTIF(X208,"*R*")),SUBSTITUTE(X208,"R","S")&amp;Data!CM53,IF(AND(COUNTIF(X208,"*V*"),COUNTIF(X208,"*R*")),SUBSTITUTE(X208,"R","S")&amp;Data!CM53,X208 &amp; Data!CM53))),SUBSTITUTE(SUBSTITUTE(SUBSTITUTE(SUBSTITUTE(SUBSTITUTE(SUBSTITUTE(SUBSTITUTE(SUBSTITUTE(SUBSTITUTE(SUBSTITUTE(IF(AND(COUNTIF(X208,"*P*"),COUNTIF(X208,"*V*")),IF(COUNTIF(X208,"*R*"),SUBSTITUTE(SUBSTITUTE(X208,"P",""),"R","S"),SUBSTITUTE(X208,"P","")),IF(AND(COUNTIF(X208,"*P*"),COUNTIF(X208,"*R*")),SUBSTITUTE(X208,"R","S"),IF(AND(COUNTIF(X208,"*V*"),COUNTIF(X208,"*R*")),SUBSTITUTE(X208,"R","S"),X208))),"0",""),"1",""),"2",""),"3",""),"4",""),"5",""),"6",""),"7",""),"8",""),"9","")&amp; Data!CM53),"")</f>
        <v/>
      </c>
      <c r="Y225" s="41" t="str">
        <f>IF(Y208&lt;&gt;"",IF(OR(COUNTIF(Y208,"L*"),COUNTIF(Y208, "X*")),IF(AND(COUNTIF(Y208,"*P*"),COUNTIF(Y208,"*V*")),IF(COUNTIF(Y208,"*R*"),SUBSTITUTE(SUBSTITUTE(Y208,"P",""),"R","S")&amp; Data!CN53,SUBSTITUTE(Y208,"P","")&amp; Data!CN53),IF(AND(COUNTIF(Y208,"*P*"),COUNTIF(Y208,"*R*")),SUBSTITUTE(Y208,"R","S")&amp;Data!CN53,IF(AND(COUNTIF(Y208,"*V*"),COUNTIF(Y208,"*R*")),SUBSTITUTE(Y208,"R","S")&amp;Data!CN53,Y208 &amp; Data!CN53))),SUBSTITUTE(SUBSTITUTE(SUBSTITUTE(SUBSTITUTE(SUBSTITUTE(SUBSTITUTE(SUBSTITUTE(SUBSTITUTE(SUBSTITUTE(SUBSTITUTE(IF(AND(COUNTIF(Y208,"*P*"),COUNTIF(Y208,"*V*")),IF(COUNTIF(Y208,"*R*"),SUBSTITUTE(SUBSTITUTE(Y208,"P",""),"R","S"),SUBSTITUTE(Y208,"P","")),IF(AND(COUNTIF(Y208,"*P*"),COUNTIF(Y208,"*R*")),SUBSTITUTE(Y208,"R","S"),IF(AND(COUNTIF(Y208,"*V*"),COUNTIF(Y208,"*R*")),SUBSTITUTE(Y208,"R","S"),Y208))),"0",""),"1",""),"2",""),"3",""),"4",""),"5",""),"6",""),"7",""),"8",""),"9","")&amp; Data!CN53),"")</f>
        <v/>
      </c>
      <c r="Z225" s="41" t="str">
        <f>IF(Z208&lt;&gt;"",IF(OR(COUNTIF(Z208,"L*"),COUNTIF(Z208, "X*")),IF(AND(COUNTIF(Z208,"*P*"),COUNTIF(Z208,"*V*")),IF(COUNTIF(Z208,"*R*"),SUBSTITUTE(SUBSTITUTE(Z208,"P",""),"R","S")&amp; Data!CO53,SUBSTITUTE(Z208,"P","")&amp; Data!CO53),IF(AND(COUNTIF(Z208,"*P*"),COUNTIF(Z208,"*R*")),SUBSTITUTE(Z208,"R","S")&amp;Data!CO53,IF(AND(COUNTIF(Z208,"*V*"),COUNTIF(Z208,"*R*")),SUBSTITUTE(Z208,"R","S")&amp;Data!CO53,Z208 &amp; Data!CO53))),SUBSTITUTE(SUBSTITUTE(SUBSTITUTE(SUBSTITUTE(SUBSTITUTE(SUBSTITUTE(SUBSTITUTE(SUBSTITUTE(SUBSTITUTE(SUBSTITUTE(IF(AND(COUNTIF(Z208,"*P*"),COUNTIF(Z208,"*V*")),IF(COUNTIF(Z208,"*R*"),SUBSTITUTE(SUBSTITUTE(Z208,"P",""),"R","S"),SUBSTITUTE(Z208,"P","")),IF(AND(COUNTIF(Z208,"*P*"),COUNTIF(Z208,"*R*")),SUBSTITUTE(Z208,"R","S"),IF(AND(COUNTIF(Z208,"*V*"),COUNTIF(Z208,"*R*")),SUBSTITUTE(Z208,"R","S"),Z208))),"0",""),"1",""),"2",""),"3",""),"4",""),"5",""),"6",""),"7",""),"8",""),"9","")&amp; Data!CO53),"")</f>
        <v/>
      </c>
      <c r="AA225" s="41" t="str">
        <f>IF(AA208&lt;&gt;"",IF(OR(COUNTIF(AA208,"L*"),COUNTIF(AA208, "X*")),IF(AND(COUNTIF(AA208,"*P*"),COUNTIF(AA208,"*V*")),IF(COUNTIF(AA208,"*R*"),SUBSTITUTE(SUBSTITUTE(AA208,"P",""),"R","S")&amp; Data!CP53,SUBSTITUTE(AA208,"P","")&amp; Data!CP53),IF(AND(COUNTIF(AA208,"*P*"),COUNTIF(AA208,"*R*")),SUBSTITUTE(AA208,"R","S")&amp;Data!CP53,IF(AND(COUNTIF(AA208,"*V*"),COUNTIF(AA208,"*R*")),SUBSTITUTE(AA208,"R","S")&amp;Data!CP53,AA208 &amp; Data!CP53))),SUBSTITUTE(SUBSTITUTE(SUBSTITUTE(SUBSTITUTE(SUBSTITUTE(SUBSTITUTE(SUBSTITUTE(SUBSTITUTE(SUBSTITUTE(SUBSTITUTE(IF(AND(COUNTIF(AA208,"*P*"),COUNTIF(AA208,"*V*")),IF(COUNTIF(AA208,"*R*"),SUBSTITUTE(SUBSTITUTE(AA208,"P",""),"R","S"),SUBSTITUTE(AA208,"P","")),IF(AND(COUNTIF(AA208,"*P*"),COUNTIF(AA208,"*R*")),SUBSTITUTE(AA208,"R","S"),IF(AND(COUNTIF(AA208,"*V*"),COUNTIF(AA208,"*R*")),SUBSTITUTE(AA208,"R","S"),AA208))),"0",""),"1",""),"2",""),"3",""),"4",""),"5",""),"6",""),"7",""),"8",""),"9","")&amp; Data!CP53),"")</f>
        <v/>
      </c>
      <c r="AB225" s="41" t="str">
        <f>IF(AB208&lt;&gt;"",IF(OR(COUNTIF(AB208,"L*"),COUNTIF(AB208, "X*")),IF(AND(COUNTIF(AB208,"*P*"),COUNTIF(AB208,"*V*")),IF(COUNTIF(AB208,"*R*"),SUBSTITUTE(SUBSTITUTE(AB208,"P",""),"R","S")&amp; Data!CQ53,SUBSTITUTE(AB208,"P","")&amp; Data!CQ53),IF(AND(COUNTIF(AB208,"*P*"),COUNTIF(AB208,"*R*")),SUBSTITUTE(AB208,"R","S")&amp;Data!CQ53,IF(AND(COUNTIF(AB208,"*V*"),COUNTIF(AB208,"*R*")),SUBSTITUTE(AB208,"R","S")&amp;Data!CQ53,AB208 &amp; Data!CQ53))),SUBSTITUTE(SUBSTITUTE(SUBSTITUTE(SUBSTITUTE(SUBSTITUTE(SUBSTITUTE(SUBSTITUTE(SUBSTITUTE(SUBSTITUTE(SUBSTITUTE(IF(AND(COUNTIF(AB208,"*P*"),COUNTIF(AB208,"*V*")),IF(COUNTIF(AB208,"*R*"),SUBSTITUTE(SUBSTITUTE(AB208,"P",""),"R","S"),SUBSTITUTE(AB208,"P","")),IF(AND(COUNTIF(AB208,"*P*"),COUNTIF(AB208,"*R*")),SUBSTITUTE(AB208,"R","S"),IF(AND(COUNTIF(AB208,"*V*"),COUNTIF(AB208,"*R*")),SUBSTITUTE(AB208,"R","S"),AB208))),"0",""),"1",""),"2",""),"3",""),"4",""),"5",""),"6",""),"7",""),"8",""),"9","")&amp; Data!CQ53),"")</f>
        <v/>
      </c>
      <c r="AC225" s="41" t="str">
        <f>IF(AC208&lt;&gt;"",IF(OR(COUNTIF(AC208,"L*"),COUNTIF(AC208, "X*")),IF(AND(COUNTIF(AC208,"*P*"),COUNTIF(AC208,"*V*")),IF(COUNTIF(AC208,"*R*"),SUBSTITUTE(SUBSTITUTE(AC208,"P",""),"R","S")&amp; Data!CR53,SUBSTITUTE(AC208,"P","")&amp; Data!CR53),IF(AND(COUNTIF(AC208,"*P*"),COUNTIF(AC208,"*R*")),SUBSTITUTE(AC208,"R","S")&amp;Data!CR53,IF(AND(COUNTIF(AC208,"*V*"),COUNTIF(AC208,"*R*")),SUBSTITUTE(AC208,"R","S")&amp;Data!CR53,AC208 &amp; Data!CR53))),SUBSTITUTE(SUBSTITUTE(SUBSTITUTE(SUBSTITUTE(SUBSTITUTE(SUBSTITUTE(SUBSTITUTE(SUBSTITUTE(SUBSTITUTE(SUBSTITUTE(IF(AND(COUNTIF(AC208,"*P*"),COUNTIF(AC208,"*V*")),IF(COUNTIF(AC208,"*R*"),SUBSTITUTE(SUBSTITUTE(AC208,"P",""),"R","S"),SUBSTITUTE(AC208,"P","")),IF(AND(COUNTIF(AC208,"*P*"),COUNTIF(AC208,"*R*")),SUBSTITUTE(AC208,"R","S"),IF(AND(COUNTIF(AC208,"*V*"),COUNTIF(AC208,"*R*")),SUBSTITUTE(AC208,"R","S"),AC208))),"0",""),"1",""),"2",""),"3",""),"4",""),"5",""),"6",""),"7",""),"8",""),"9","")&amp; Data!CR53),"")</f>
        <v/>
      </c>
      <c r="AD225" s="41" t="str">
        <f>IF(AD208&lt;&gt;"",IF(OR(COUNTIF(AD208,"L*"),COUNTIF(AD208, "X*")),IF(AND(COUNTIF(AD208,"*P*"),COUNTIF(AD208,"*V*")),IF(COUNTIF(AD208,"*R*"),SUBSTITUTE(SUBSTITUTE(AD208,"P",""),"R","S")&amp; Data!CS53,SUBSTITUTE(AD208,"P","")&amp; Data!CS53),IF(AND(COUNTIF(AD208,"*P*"),COUNTIF(AD208,"*R*")),SUBSTITUTE(AD208,"R","S")&amp;Data!CS53,IF(AND(COUNTIF(AD208,"*V*"),COUNTIF(AD208,"*R*")),SUBSTITUTE(AD208,"R","S")&amp;Data!CS53,AD208 &amp; Data!CS53))),SUBSTITUTE(SUBSTITUTE(SUBSTITUTE(SUBSTITUTE(SUBSTITUTE(SUBSTITUTE(SUBSTITUTE(SUBSTITUTE(SUBSTITUTE(SUBSTITUTE(IF(AND(COUNTIF(AD208,"*P*"),COUNTIF(AD208,"*V*")),IF(COUNTIF(AD208,"*R*"),SUBSTITUTE(SUBSTITUTE(AD208,"P",""),"R","S"),SUBSTITUTE(AD208,"P","")),IF(AND(COUNTIF(AD208,"*P*"),COUNTIF(AD208,"*R*")),SUBSTITUTE(AD208,"R","S"),IF(AND(COUNTIF(AD208,"*V*"),COUNTIF(AD208,"*R*")),SUBSTITUTE(AD208,"R","S"),AD208))),"0",""),"1",""),"2",""),"3",""),"4",""),"5",""),"6",""),"7",""),"8",""),"9","")&amp; Data!CS53),"")</f>
        <v/>
      </c>
      <c r="AE225" s="41" t="str">
        <f>IF(AE208&lt;&gt;"",IF(OR(COUNTIF(AE208,"L*"),COUNTIF(AE208, "X*")),IF(AND(COUNTIF(AE208,"*P*"),COUNTIF(AE208,"*V*")),IF(COUNTIF(AE208,"*R*"),SUBSTITUTE(SUBSTITUTE(AE208,"P",""),"R","S")&amp; Data!CT53,SUBSTITUTE(AE208,"P","")&amp; Data!CT53),IF(AND(COUNTIF(AE208,"*P*"),COUNTIF(AE208,"*R*")),SUBSTITUTE(AE208,"R","S")&amp;Data!CT53,IF(AND(COUNTIF(AE208,"*V*"),COUNTIF(AE208,"*R*")),SUBSTITUTE(AE208,"R","S")&amp;Data!CT53,AE208 &amp; Data!CT53))),SUBSTITUTE(SUBSTITUTE(SUBSTITUTE(SUBSTITUTE(SUBSTITUTE(SUBSTITUTE(SUBSTITUTE(SUBSTITUTE(SUBSTITUTE(SUBSTITUTE(IF(AND(COUNTIF(AE208,"*P*"),COUNTIF(AE208,"*V*")),IF(COUNTIF(AE208,"*R*"),SUBSTITUTE(SUBSTITUTE(AE208,"P",""),"R","S"),SUBSTITUTE(AE208,"P","")),IF(AND(COUNTIF(AE208,"*P*"),COUNTIF(AE208,"*R*")),SUBSTITUTE(AE208,"R","S"),IF(AND(COUNTIF(AE208,"*V*"),COUNTIF(AE208,"*R*")),SUBSTITUTE(AE208,"R","S"),AE208))),"0",""),"1",""),"2",""),"3",""),"4",""),"5",""),"6",""),"7",""),"8",""),"9","")&amp; Data!CT53),"")</f>
        <v/>
      </c>
      <c r="AF225" s="41" t="str">
        <f>IF(AF208&lt;&gt;"",IF(OR(COUNTIF(AF208,"L*"),COUNTIF(AF208, "X*")),IF(AND(COUNTIF(AF208,"*P*"),COUNTIF(AF208,"*V*")),IF(COUNTIF(AF208,"*R*"),SUBSTITUTE(SUBSTITUTE(AF208,"P",""),"R","S")&amp; Data!CU53,SUBSTITUTE(AF208,"P","")&amp; Data!CU53),IF(AND(COUNTIF(AF208,"*P*"),COUNTIF(AF208,"*R*")),SUBSTITUTE(AF208,"R","S")&amp;Data!CU53,IF(AND(COUNTIF(AF208,"*V*"),COUNTIF(AF208,"*R*")),SUBSTITUTE(AF208,"R","S")&amp;Data!CU53,AF208 &amp; Data!CU53))),SUBSTITUTE(SUBSTITUTE(SUBSTITUTE(SUBSTITUTE(SUBSTITUTE(SUBSTITUTE(SUBSTITUTE(SUBSTITUTE(SUBSTITUTE(SUBSTITUTE(IF(AND(COUNTIF(AF208,"*P*"),COUNTIF(AF208,"*V*")),IF(COUNTIF(AF208,"*R*"),SUBSTITUTE(SUBSTITUTE(AF208,"P",""),"R","S"),SUBSTITUTE(AF208,"P","")),IF(AND(COUNTIF(AF208,"*P*"),COUNTIF(AF208,"*R*")),SUBSTITUTE(AF208,"R","S"),IF(AND(COUNTIF(AF208,"*V*"),COUNTIF(AF208,"*R*")),SUBSTITUTE(AF208,"R","S"),AF208))),"0",""),"1",""),"2",""),"3",""),"4",""),"5",""),"6",""),"7",""),"8",""),"9","")&amp; Data!CU53),"")</f>
        <v/>
      </c>
      <c r="AG225" s="41" t="str">
        <f>IF(AG208&lt;&gt;"",IF(OR(COUNTIF(AG208,"L*"),COUNTIF(AG208, "X*")),IF(AND(COUNTIF(AG208,"*P*"),COUNTIF(AG208,"*V*")),IF(COUNTIF(AG208,"*R*"),SUBSTITUTE(SUBSTITUTE(AG208,"P",""),"R","S")&amp; Data!CV53,SUBSTITUTE(AG208,"P","")&amp; Data!CV53),IF(AND(COUNTIF(AG208,"*P*"),COUNTIF(AG208,"*R*")),SUBSTITUTE(AG208,"R","S")&amp;Data!CV53,IF(AND(COUNTIF(AG208,"*V*"),COUNTIF(AG208,"*R*")),SUBSTITUTE(AG208,"R","S")&amp;Data!CV53,AG208 &amp; Data!CV53))),SUBSTITUTE(SUBSTITUTE(SUBSTITUTE(SUBSTITUTE(SUBSTITUTE(SUBSTITUTE(SUBSTITUTE(SUBSTITUTE(SUBSTITUTE(SUBSTITUTE(IF(AND(COUNTIF(AG208,"*P*"),COUNTIF(AG208,"*V*")),IF(COUNTIF(AG208,"*R*"),SUBSTITUTE(SUBSTITUTE(AG208,"P",""),"R","S"),SUBSTITUTE(AG208,"P","")),IF(AND(COUNTIF(AG208,"*P*"),COUNTIF(AG208,"*R*")),SUBSTITUTE(AG208,"R","S"),IF(AND(COUNTIF(AG208,"*V*"),COUNTIF(AG208,"*R*")),SUBSTITUTE(AG208,"R","S"),AG208))),"0",""),"1",""),"2",""),"3",""),"4",""),"5",""),"6",""),"7",""),"8",""),"9","")&amp; Data!CV53),"")</f>
        <v/>
      </c>
      <c r="AH225" s="41" t="str">
        <f>IF(AH208&lt;&gt;"",IF(OR(COUNTIF(AH208,"L*"),COUNTIF(AH208, "X*")),IF(AND(COUNTIF(AH208,"*P*"),COUNTIF(AH208,"*V*")),IF(COUNTIF(AH208,"*R*"),SUBSTITUTE(SUBSTITUTE(AH208,"P",""),"R","S")&amp; Data!CW53,SUBSTITUTE(AH208,"P","")&amp; Data!CW53),IF(AND(COUNTIF(AH208,"*P*"),COUNTIF(AH208,"*R*")),SUBSTITUTE(AH208,"R","S")&amp;Data!CW53,IF(AND(COUNTIF(AH208,"*V*"),COUNTIF(AH208,"*R*")),SUBSTITUTE(AH208,"R","S")&amp;Data!CW53,AH208 &amp; Data!CW53))),SUBSTITUTE(SUBSTITUTE(SUBSTITUTE(SUBSTITUTE(SUBSTITUTE(SUBSTITUTE(SUBSTITUTE(SUBSTITUTE(SUBSTITUTE(SUBSTITUTE(IF(AND(COUNTIF(AH208,"*P*"),COUNTIF(AH208,"*V*")),IF(COUNTIF(AH208,"*R*"),SUBSTITUTE(SUBSTITUTE(AH208,"P",""),"R","S"),SUBSTITUTE(AH208,"P","")),IF(AND(COUNTIF(AH208,"*P*"),COUNTIF(AH208,"*R*")),SUBSTITUTE(AH208,"R","S"),IF(AND(COUNTIF(AH208,"*V*"),COUNTIF(AH208,"*R*")),SUBSTITUTE(AH208,"R","S"),AH208))),"0",""),"1",""),"2",""),"3",""),"4",""),"5",""),"6",""),"7",""),"8",""),"9","")&amp; Data!CW53),"")</f>
        <v/>
      </c>
      <c r="AI225" s="41" t="str">
        <f>IF(AI208&lt;&gt;"",IF(OR(COUNTIF(AI208,"L*"),COUNTIF(AI208, "X*")),IF(AND(COUNTIF(AI208,"*P*"),COUNTIF(AI208,"*V*")),IF(COUNTIF(AI208,"*R*"),SUBSTITUTE(SUBSTITUTE(AI208,"P",""),"R","S")&amp; Data!CX53,SUBSTITUTE(AI208,"P","")&amp; Data!CX53),IF(AND(COUNTIF(AI208,"*P*"),COUNTIF(AI208,"*R*")),SUBSTITUTE(AI208,"R","S")&amp;Data!CX53,IF(AND(COUNTIF(AI208,"*V*"),COUNTIF(AI208,"*R*")),SUBSTITUTE(AI208,"R","S")&amp;Data!CX53,AI208 &amp; Data!CX53))),SUBSTITUTE(SUBSTITUTE(SUBSTITUTE(SUBSTITUTE(SUBSTITUTE(SUBSTITUTE(SUBSTITUTE(SUBSTITUTE(SUBSTITUTE(SUBSTITUTE(IF(AND(COUNTIF(AI208,"*P*"),COUNTIF(AI208,"*V*")),IF(COUNTIF(AI208,"*R*"),SUBSTITUTE(SUBSTITUTE(AI208,"P",""),"R","S"),SUBSTITUTE(AI208,"P","")),IF(AND(COUNTIF(AI208,"*P*"),COUNTIF(AI208,"*R*")),SUBSTITUTE(AI208,"R","S"),IF(AND(COUNTIF(AI208,"*V*"),COUNTIF(AI208,"*R*")),SUBSTITUTE(AI208,"R","S"),AI208))),"0",""),"1",""),"2",""),"3",""),"4",""),"5",""),"6",""),"7",""),"8",""),"9","")&amp; Data!CX53),"")</f>
        <v/>
      </c>
      <c r="AJ225" s="41" t="str">
        <f>IF(AJ208&lt;&gt;"",IF(OR(COUNTIF(AJ208,"L*"),COUNTIF(AJ208, "X*")),IF(AND(COUNTIF(AJ208,"*P*"),COUNTIF(AJ208,"*V*")),IF(COUNTIF(AJ208,"*R*"),SUBSTITUTE(SUBSTITUTE(AJ208,"P",""),"R","S")&amp; Data!CY53,SUBSTITUTE(AJ208,"P","")&amp; Data!CY53),IF(AND(COUNTIF(AJ208,"*P*"),COUNTIF(AJ208,"*R*")),SUBSTITUTE(AJ208,"R","S")&amp;Data!CY53,IF(AND(COUNTIF(AJ208,"*V*"),COUNTIF(AJ208,"*R*")),SUBSTITUTE(AJ208,"R","S")&amp;Data!CY53,AJ208 &amp; Data!CY53))),SUBSTITUTE(SUBSTITUTE(SUBSTITUTE(SUBSTITUTE(SUBSTITUTE(SUBSTITUTE(SUBSTITUTE(SUBSTITUTE(SUBSTITUTE(SUBSTITUTE(IF(AND(COUNTIF(AJ208,"*P*"),COUNTIF(AJ208,"*V*")),IF(COUNTIF(AJ208,"*R*"),SUBSTITUTE(SUBSTITUTE(AJ208,"P",""),"R","S"),SUBSTITUTE(AJ208,"P","")),IF(AND(COUNTIF(AJ208,"*P*"),COUNTIF(AJ208,"*R*")),SUBSTITUTE(AJ208,"R","S"),IF(AND(COUNTIF(AJ208,"*V*"),COUNTIF(AJ208,"*R*")),SUBSTITUTE(AJ208,"R","S"),AJ208))),"0",""),"1",""),"2",""),"3",""),"4",""),"5",""),"6",""),"7",""),"8",""),"9","")&amp; Data!CY53),"")</f>
        <v/>
      </c>
    </row>
    <row r="226" spans="1:54" ht="23.25" customHeight="1" x14ac:dyDescent="0.35">
      <c r="A226" s="1196"/>
      <c r="B226" s="22">
        <v>9</v>
      </c>
      <c r="C226" s="41" t="str">
        <f>IF(C209&lt;&gt;"",IF(OR(COUNTIF(C209,"L*"),COUNTIF(C209, "X*")),IF(AND(COUNTIF(C209,"*P*"),COUNTIF(C209,"*V*")),IF(COUNTIF(C209,"*R*"),SUBSTITUTE(SUBSTITUTE(C209,"P",""),"R","S")&amp; Data!BR54,SUBSTITUTE(C209,"P","")&amp; Data!BR54),IF(AND(COUNTIF(C209,"*P*"),COUNTIF(C209,"*R*")),SUBSTITUTE(C209,"R","S")&amp;Data!BR54,IF(AND(COUNTIF(C209,"*V*"),COUNTIF(C209,"*R*")),SUBSTITUTE(C209,"R","S")&amp;Data!BR54,C209 &amp; Data!BR54))),SUBSTITUTE(SUBSTITUTE(SUBSTITUTE(SUBSTITUTE(SUBSTITUTE(SUBSTITUTE(SUBSTITUTE(SUBSTITUTE(SUBSTITUTE(SUBSTITUTE(IF(AND(COUNTIF(C209,"*P*"),COUNTIF(C209,"*V*")),IF(COUNTIF(C209,"*R*"),SUBSTITUTE(SUBSTITUTE(C209,"P",""),"R","S"),SUBSTITUTE(C209,"P","")),IF(AND(COUNTIF(C209,"*P*"),COUNTIF(C209,"*R*")),SUBSTITUTE(C209,"R","S"),IF(AND(COUNTIF(C209,"*V*"),COUNTIF(C209,"*R*")),SUBSTITUTE(C209,"R","S"),C209))),"0",""),"1",""),"2",""),"3",""),"4",""),"5",""),"6",""),"7",""),"8",""),"9","")&amp; Data!BR54),"")</f>
        <v/>
      </c>
      <c r="D226" s="41" t="str">
        <f>IF(D209&lt;&gt;"",IF(OR(COUNTIF(D209,"L*"),COUNTIF(D209, "X*")),IF(AND(COUNTIF(D209,"*P*"),COUNTIF(D209,"*V*")),IF(COUNTIF(D209,"*R*"),SUBSTITUTE(SUBSTITUTE(D209,"P",""),"R","S")&amp; Data!BS54,SUBSTITUTE(D209,"P","")&amp; Data!BS54),IF(AND(COUNTIF(D209,"*P*"),COUNTIF(D209,"*R*")),SUBSTITUTE(D209,"R","S")&amp;Data!BS54,IF(AND(COUNTIF(D209,"*V*"),COUNTIF(D209,"*R*")),SUBSTITUTE(D209,"R","S")&amp;Data!BS54,D209 &amp; Data!BS54))),SUBSTITUTE(SUBSTITUTE(SUBSTITUTE(SUBSTITUTE(SUBSTITUTE(SUBSTITUTE(SUBSTITUTE(SUBSTITUTE(SUBSTITUTE(SUBSTITUTE(IF(AND(COUNTIF(D209,"*P*"),COUNTIF(D209,"*V*")),IF(COUNTIF(D209,"*R*"),SUBSTITUTE(SUBSTITUTE(D209,"P",""),"R","S"),SUBSTITUTE(D209,"P","")),IF(AND(COUNTIF(D209,"*P*"),COUNTIF(D209,"*R*")),SUBSTITUTE(D209,"R","S"),IF(AND(COUNTIF(D209,"*V*"),COUNTIF(D209,"*R*")),SUBSTITUTE(D209,"R","S"),D209))),"0",""),"1",""),"2",""),"3",""),"4",""),"5",""),"6",""),"7",""),"8",""),"9","")&amp; Data!BS54),"")</f>
        <v/>
      </c>
      <c r="E226" s="41" t="str">
        <f>IF(E209&lt;&gt;"",IF(OR(COUNTIF(E209,"L*"),COUNTIF(E209, "X*")),IF(AND(COUNTIF(E209,"*P*"),COUNTIF(E209,"*V*")),IF(COUNTIF(E209,"*R*"),SUBSTITUTE(SUBSTITUTE(E209,"P",""),"R","S")&amp; Data!BT54,SUBSTITUTE(E209,"P","")&amp; Data!BT54),IF(AND(COUNTIF(E209,"*P*"),COUNTIF(E209,"*R*")),SUBSTITUTE(E209,"R","S")&amp;Data!BT54,IF(AND(COUNTIF(E209,"*V*"),COUNTIF(E209,"*R*")),SUBSTITUTE(E209,"R","S")&amp;Data!BT54,E209 &amp; Data!BT54))),SUBSTITUTE(SUBSTITUTE(SUBSTITUTE(SUBSTITUTE(SUBSTITUTE(SUBSTITUTE(SUBSTITUTE(SUBSTITUTE(SUBSTITUTE(SUBSTITUTE(IF(AND(COUNTIF(E209,"*P*"),COUNTIF(E209,"*V*")),IF(COUNTIF(E209,"*R*"),SUBSTITUTE(SUBSTITUTE(E209,"P",""),"R","S"),SUBSTITUTE(E209,"P","")),IF(AND(COUNTIF(E209,"*P*"),COUNTIF(E209,"*R*")),SUBSTITUTE(E209,"R","S"),IF(AND(COUNTIF(E209,"*V*"),COUNTIF(E209,"*R*")),SUBSTITUTE(E209,"R","S"),E209))),"0",""),"1",""),"2",""),"3",""),"4",""),"5",""),"6",""),"7",""),"8",""),"9","")&amp; Data!BT54),"")</f>
        <v/>
      </c>
      <c r="F226" s="41" t="str">
        <f>IF(F209&lt;&gt;"",IF(OR(COUNTIF(F209,"L*"),COUNTIF(F209, "X*")),IF(AND(COUNTIF(F209,"*P*"),COUNTIF(F209,"*V*")),IF(COUNTIF(F209,"*R*"),SUBSTITUTE(SUBSTITUTE(F209,"P",""),"R","S")&amp; Data!BU54,SUBSTITUTE(F209,"P","")&amp; Data!BU54),IF(AND(COUNTIF(F209,"*P*"),COUNTIF(F209,"*R*")),SUBSTITUTE(F209,"R","S")&amp;Data!BU54,IF(AND(COUNTIF(F209,"*V*"),COUNTIF(F209,"*R*")),SUBSTITUTE(F209,"R","S")&amp;Data!BU54,F209 &amp; Data!BU54))),SUBSTITUTE(SUBSTITUTE(SUBSTITUTE(SUBSTITUTE(SUBSTITUTE(SUBSTITUTE(SUBSTITUTE(SUBSTITUTE(SUBSTITUTE(SUBSTITUTE(IF(AND(COUNTIF(F209,"*P*"),COUNTIF(F209,"*V*")),IF(COUNTIF(F209,"*R*"),SUBSTITUTE(SUBSTITUTE(F209,"P",""),"R","S"),SUBSTITUTE(F209,"P","")),IF(AND(COUNTIF(F209,"*P*"),COUNTIF(F209,"*R*")),SUBSTITUTE(F209,"R","S"),IF(AND(COUNTIF(F209,"*V*"),COUNTIF(F209,"*R*")),SUBSTITUTE(F209,"R","S"),F209))),"0",""),"1",""),"2",""),"3",""),"4",""),"5",""),"6",""),"7",""),"8",""),"9","")&amp; Data!BU54),"")</f>
        <v/>
      </c>
      <c r="G226" s="41" t="str">
        <f>IF(G209&lt;&gt;"",IF(OR(COUNTIF(G209,"L*"),COUNTIF(G209, "X*")),IF(AND(COUNTIF(G209,"*P*"),COUNTIF(G209,"*V*")),IF(COUNTIF(G209,"*R*"),SUBSTITUTE(SUBSTITUTE(G209,"P",""),"R","S")&amp; Data!BV54,SUBSTITUTE(G209,"P","")&amp; Data!BV54),IF(AND(COUNTIF(G209,"*P*"),COUNTIF(G209,"*R*")),SUBSTITUTE(G209,"R","S")&amp;Data!BV54,IF(AND(COUNTIF(G209,"*V*"),COUNTIF(G209,"*R*")),SUBSTITUTE(G209,"R","S")&amp;Data!BV54,G209 &amp; Data!BV54))),SUBSTITUTE(SUBSTITUTE(SUBSTITUTE(SUBSTITUTE(SUBSTITUTE(SUBSTITUTE(SUBSTITUTE(SUBSTITUTE(SUBSTITUTE(SUBSTITUTE(IF(AND(COUNTIF(G209,"*P*"),COUNTIF(G209,"*V*")),IF(COUNTIF(G209,"*R*"),SUBSTITUTE(SUBSTITUTE(G209,"P",""),"R","S"),SUBSTITUTE(G209,"P","")),IF(AND(COUNTIF(G209,"*P*"),COUNTIF(G209,"*R*")),SUBSTITUTE(G209,"R","S"),IF(AND(COUNTIF(G209,"*V*"),COUNTIF(G209,"*R*")),SUBSTITUTE(G209,"R","S"),G209))),"0",""),"1",""),"2",""),"3",""),"4",""),"5",""),"6",""),"7",""),"8",""),"9","")&amp; Data!BV54),"")</f>
        <v/>
      </c>
      <c r="H226" s="41" t="str">
        <f>IF(H209&lt;&gt;"",IF(OR(COUNTIF(H209,"L*"),COUNTIF(H209, "X*")),IF(AND(COUNTIF(H209,"*P*"),COUNTIF(H209,"*V*")),IF(COUNTIF(H209,"*R*"),SUBSTITUTE(SUBSTITUTE(H209,"P",""),"R","S")&amp; Data!BW54,SUBSTITUTE(H209,"P","")&amp; Data!BW54),IF(AND(COUNTIF(H209,"*P*"),COUNTIF(H209,"*R*")),SUBSTITUTE(H209,"R","S")&amp;Data!BW54,IF(AND(COUNTIF(H209,"*V*"),COUNTIF(H209,"*R*")),SUBSTITUTE(H209,"R","S")&amp;Data!BW54,H209 &amp; Data!BW54))),SUBSTITUTE(SUBSTITUTE(SUBSTITUTE(SUBSTITUTE(SUBSTITUTE(SUBSTITUTE(SUBSTITUTE(SUBSTITUTE(SUBSTITUTE(SUBSTITUTE(IF(AND(COUNTIF(H209,"*P*"),COUNTIF(H209,"*V*")),IF(COUNTIF(H209,"*R*"),SUBSTITUTE(SUBSTITUTE(H209,"P",""),"R","S"),SUBSTITUTE(H209,"P","")),IF(AND(COUNTIF(H209,"*P*"),COUNTIF(H209,"*R*")),SUBSTITUTE(H209,"R","S"),IF(AND(COUNTIF(H209,"*V*"),COUNTIF(H209,"*R*")),SUBSTITUTE(H209,"R","S"),H209))),"0",""),"1",""),"2",""),"3",""),"4",""),"5",""),"6",""),"7",""),"8",""),"9","")&amp; Data!BW54),"")</f>
        <v/>
      </c>
      <c r="I226" s="41" t="str">
        <f>IF(I209&lt;&gt;"",IF(OR(COUNTIF(I209,"L*"),COUNTIF(I209, "X*")),IF(AND(COUNTIF(I209,"*P*"),COUNTIF(I209,"*V*")),IF(COUNTIF(I209,"*R*"),SUBSTITUTE(SUBSTITUTE(I209,"P",""),"R","S")&amp; Data!BX54,SUBSTITUTE(I209,"P","")&amp; Data!BX54),IF(AND(COUNTIF(I209,"*P*"),COUNTIF(I209,"*R*")),SUBSTITUTE(I209,"R","S")&amp;Data!BX54,IF(AND(COUNTIF(I209,"*V*"),COUNTIF(I209,"*R*")),SUBSTITUTE(I209,"R","S")&amp;Data!BX54,I209 &amp; Data!BX54))),SUBSTITUTE(SUBSTITUTE(SUBSTITUTE(SUBSTITUTE(SUBSTITUTE(SUBSTITUTE(SUBSTITUTE(SUBSTITUTE(SUBSTITUTE(SUBSTITUTE(IF(AND(COUNTIF(I209,"*P*"),COUNTIF(I209,"*V*")),IF(COUNTIF(I209,"*R*"),SUBSTITUTE(SUBSTITUTE(I209,"P",""),"R","S"),SUBSTITUTE(I209,"P","")),IF(AND(COUNTIF(I209,"*P*"),COUNTIF(I209,"*R*")),SUBSTITUTE(I209,"R","S"),IF(AND(COUNTIF(I209,"*V*"),COUNTIF(I209,"*R*")),SUBSTITUTE(I209,"R","S"),I209))),"0",""),"1",""),"2",""),"3",""),"4",""),"5",""),"6",""),"7",""),"8",""),"9","")&amp; Data!BX54),"")</f>
        <v/>
      </c>
      <c r="J226" s="41" t="str">
        <f>IF(J209&lt;&gt;"",IF(OR(COUNTIF(J209,"L*"),COUNTIF(J209, "X*")),IF(AND(COUNTIF(J209,"*P*"),COUNTIF(J209,"*V*")),IF(COUNTIF(J209,"*R*"),SUBSTITUTE(SUBSTITUTE(J209,"P",""),"R","S")&amp; Data!BY54,SUBSTITUTE(J209,"P","")&amp; Data!BY54),IF(AND(COUNTIF(J209,"*P*"),COUNTIF(J209,"*R*")),SUBSTITUTE(J209,"R","S")&amp;Data!BY54,IF(AND(COUNTIF(J209,"*V*"),COUNTIF(J209,"*R*")),SUBSTITUTE(J209,"R","S")&amp;Data!BY54,J209 &amp; Data!BY54))),SUBSTITUTE(SUBSTITUTE(SUBSTITUTE(SUBSTITUTE(SUBSTITUTE(SUBSTITUTE(SUBSTITUTE(SUBSTITUTE(SUBSTITUTE(SUBSTITUTE(IF(AND(COUNTIF(J209,"*P*"),COUNTIF(J209,"*V*")),IF(COUNTIF(J209,"*R*"),SUBSTITUTE(SUBSTITUTE(J209,"P",""),"R","S"),SUBSTITUTE(J209,"P","")),IF(AND(COUNTIF(J209,"*P*"),COUNTIF(J209,"*R*")),SUBSTITUTE(J209,"R","S"),IF(AND(COUNTIF(J209,"*V*"),COUNTIF(J209,"*R*")),SUBSTITUTE(J209,"R","S"),J209))),"0",""),"1",""),"2",""),"3",""),"4",""),"5",""),"6",""),"7",""),"8",""),"9","")&amp; Data!BY54),"")</f>
        <v/>
      </c>
      <c r="K226" s="41" t="str">
        <f>IF(K209&lt;&gt;"",IF(OR(COUNTIF(K209,"L*"),COUNTIF(K209, "X*")),IF(AND(COUNTIF(K209,"*P*"),COUNTIF(K209,"*V*")),IF(COUNTIF(K209,"*R*"),SUBSTITUTE(SUBSTITUTE(K209,"P",""),"R","S")&amp; Data!BZ54,SUBSTITUTE(K209,"P","")&amp; Data!BZ54),IF(AND(COUNTIF(K209,"*P*"),COUNTIF(K209,"*R*")),SUBSTITUTE(K209,"R","S")&amp;Data!BZ54,IF(AND(COUNTIF(K209,"*V*"),COUNTIF(K209,"*R*")),SUBSTITUTE(K209,"R","S")&amp;Data!BZ54,K209 &amp; Data!BZ54))),SUBSTITUTE(SUBSTITUTE(SUBSTITUTE(SUBSTITUTE(SUBSTITUTE(SUBSTITUTE(SUBSTITUTE(SUBSTITUTE(SUBSTITUTE(SUBSTITUTE(IF(AND(COUNTIF(K209,"*P*"),COUNTIF(K209,"*V*")),IF(COUNTIF(K209,"*R*"),SUBSTITUTE(SUBSTITUTE(K209,"P",""),"R","S"),SUBSTITUTE(K209,"P","")),IF(AND(COUNTIF(K209,"*P*"),COUNTIF(K209,"*R*")),SUBSTITUTE(K209,"R","S"),IF(AND(COUNTIF(K209,"*V*"),COUNTIF(K209,"*R*")),SUBSTITUTE(K209,"R","S"),K209))),"0",""),"1",""),"2",""),"3",""),"4",""),"5",""),"6",""),"7",""),"8",""),"9","")&amp; Data!BZ54),"")</f>
        <v/>
      </c>
      <c r="L226" s="41" t="str">
        <f>IF(L209&lt;&gt;"",IF(OR(COUNTIF(L209,"L*"),COUNTIF(L209, "X*")),IF(AND(COUNTIF(L209,"*P*"),COUNTIF(L209,"*V*")),IF(COUNTIF(L209,"*R*"),SUBSTITUTE(SUBSTITUTE(L209,"P",""),"R","S")&amp; Data!CA54,SUBSTITUTE(L209,"P","")&amp; Data!CA54),IF(AND(COUNTIF(L209,"*P*"),COUNTIF(L209,"*R*")),SUBSTITUTE(L209,"R","S")&amp;Data!CA54,IF(AND(COUNTIF(L209,"*V*"),COUNTIF(L209,"*R*")),SUBSTITUTE(L209,"R","S")&amp;Data!CA54,L209 &amp; Data!CA54))),SUBSTITUTE(SUBSTITUTE(SUBSTITUTE(SUBSTITUTE(SUBSTITUTE(SUBSTITUTE(SUBSTITUTE(SUBSTITUTE(SUBSTITUTE(SUBSTITUTE(IF(AND(COUNTIF(L209,"*P*"),COUNTIF(L209,"*V*")),IF(COUNTIF(L209,"*R*"),SUBSTITUTE(SUBSTITUTE(L209,"P",""),"R","S"),SUBSTITUTE(L209,"P","")),IF(AND(COUNTIF(L209,"*P*"),COUNTIF(L209,"*R*")),SUBSTITUTE(L209,"R","S"),IF(AND(COUNTIF(L209,"*V*"),COUNTIF(L209,"*R*")),SUBSTITUTE(L209,"R","S"),L209))),"0",""),"1",""),"2",""),"3",""),"4",""),"5",""),"6",""),"7",""),"8",""),"9","")&amp; Data!CA54),"")</f>
        <v/>
      </c>
      <c r="M226" s="41" t="str">
        <f>IF(M209&lt;&gt;"",IF(OR(COUNTIF(M209,"L*"),COUNTIF(M209, "X*")),IF(AND(COUNTIF(M209,"*P*"),COUNTIF(M209,"*V*")),IF(COUNTIF(M209,"*R*"),SUBSTITUTE(SUBSTITUTE(M209,"P",""),"R","S")&amp; Data!CB54,SUBSTITUTE(M209,"P","")&amp; Data!CB54),IF(AND(COUNTIF(M209,"*P*"),COUNTIF(M209,"*R*")),SUBSTITUTE(M209,"R","S")&amp;Data!CB54,IF(AND(COUNTIF(M209,"*V*"),COUNTIF(M209,"*R*")),SUBSTITUTE(M209,"R","S")&amp;Data!CB54,M209 &amp; Data!CB54))),SUBSTITUTE(SUBSTITUTE(SUBSTITUTE(SUBSTITUTE(SUBSTITUTE(SUBSTITUTE(SUBSTITUTE(SUBSTITUTE(SUBSTITUTE(SUBSTITUTE(IF(AND(COUNTIF(M209,"*P*"),COUNTIF(M209,"*V*")),IF(COUNTIF(M209,"*R*"),SUBSTITUTE(SUBSTITUTE(M209,"P",""),"R","S"),SUBSTITUTE(M209,"P","")),IF(AND(COUNTIF(M209,"*P*"),COUNTIF(M209,"*R*")),SUBSTITUTE(M209,"R","S"),IF(AND(COUNTIF(M209,"*V*"),COUNTIF(M209,"*R*")),SUBSTITUTE(M209,"R","S"),M209))),"0",""),"1",""),"2",""),"3",""),"4",""),"5",""),"6",""),"7",""),"8",""),"9","")&amp; Data!CB54),"")</f>
        <v/>
      </c>
      <c r="N226" s="41" t="str">
        <f>IF(N209&lt;&gt;"",IF(OR(COUNTIF(N209,"L*"),COUNTIF(N209, "X*")),IF(AND(COUNTIF(N209,"*P*"),COUNTIF(N209,"*V*")),IF(COUNTIF(N209,"*R*"),SUBSTITUTE(SUBSTITUTE(N209,"P",""),"R","S")&amp; Data!CC54,SUBSTITUTE(N209,"P","")&amp; Data!CC54),IF(AND(COUNTIF(N209,"*P*"),COUNTIF(N209,"*R*")),SUBSTITUTE(N209,"R","S")&amp;Data!CC54,IF(AND(COUNTIF(N209,"*V*"),COUNTIF(N209,"*R*")),SUBSTITUTE(N209,"R","S")&amp;Data!CC54,N209 &amp; Data!CC54))),SUBSTITUTE(SUBSTITUTE(SUBSTITUTE(SUBSTITUTE(SUBSTITUTE(SUBSTITUTE(SUBSTITUTE(SUBSTITUTE(SUBSTITUTE(SUBSTITUTE(IF(AND(COUNTIF(N209,"*P*"),COUNTIF(N209,"*V*")),IF(COUNTIF(N209,"*R*"),SUBSTITUTE(SUBSTITUTE(N209,"P",""),"R","S"),SUBSTITUTE(N209,"P","")),IF(AND(COUNTIF(N209,"*P*"),COUNTIF(N209,"*R*")),SUBSTITUTE(N209,"R","S"),IF(AND(COUNTIF(N209,"*V*"),COUNTIF(N209,"*R*")),SUBSTITUTE(N209,"R","S"),N209))),"0",""),"1",""),"2",""),"3",""),"4",""),"5",""),"6",""),"7",""),"8",""),"9","")&amp; Data!CC54),"")</f>
        <v/>
      </c>
      <c r="O226" s="41" t="str">
        <f>IF(O209&lt;&gt;"",IF(OR(COUNTIF(O209,"L*"),COUNTIF(O209, "X*")),IF(AND(COUNTIF(O209,"*P*"),COUNTIF(O209,"*V*")),IF(COUNTIF(O209,"*R*"),SUBSTITUTE(SUBSTITUTE(O209,"P",""),"R","S")&amp; Data!CD54,SUBSTITUTE(O209,"P","")&amp; Data!CD54),IF(AND(COUNTIF(O209,"*P*"),COUNTIF(O209,"*R*")),SUBSTITUTE(O209,"R","S")&amp;Data!CD54,IF(AND(COUNTIF(O209,"*V*"),COUNTIF(O209,"*R*")),SUBSTITUTE(O209,"R","S")&amp;Data!CD54,O209 &amp; Data!CD54))),SUBSTITUTE(SUBSTITUTE(SUBSTITUTE(SUBSTITUTE(SUBSTITUTE(SUBSTITUTE(SUBSTITUTE(SUBSTITUTE(SUBSTITUTE(SUBSTITUTE(IF(AND(COUNTIF(O209,"*P*"),COUNTIF(O209,"*V*")),IF(COUNTIF(O209,"*R*"),SUBSTITUTE(SUBSTITUTE(O209,"P",""),"R","S"),SUBSTITUTE(O209,"P","")),IF(AND(COUNTIF(O209,"*P*"),COUNTIF(O209,"*R*")),SUBSTITUTE(O209,"R","S"),IF(AND(COUNTIF(O209,"*V*"),COUNTIF(O209,"*R*")),SUBSTITUTE(O209,"R","S"),O209))),"0",""),"1",""),"2",""),"3",""),"4",""),"5",""),"6",""),"7",""),"8",""),"9","")&amp; Data!CD54),"")</f>
        <v/>
      </c>
      <c r="P226" s="41" t="str">
        <f>IF(P209&lt;&gt;"",IF(OR(COUNTIF(P209,"L*"),COUNTIF(P209, "X*")),IF(AND(COUNTIF(P209,"*P*"),COUNTIF(P209,"*V*")),IF(COUNTIF(P209,"*R*"),SUBSTITUTE(SUBSTITUTE(P209,"P",""),"R","S")&amp; Data!CE54,SUBSTITUTE(P209,"P","")&amp; Data!CE54),IF(AND(COUNTIF(P209,"*P*"),COUNTIF(P209,"*R*")),SUBSTITUTE(P209,"R","S")&amp;Data!CE54,IF(AND(COUNTIF(P209,"*V*"),COUNTIF(P209,"*R*")),SUBSTITUTE(P209,"R","S")&amp;Data!CE54,P209 &amp; Data!CE54))),SUBSTITUTE(SUBSTITUTE(SUBSTITUTE(SUBSTITUTE(SUBSTITUTE(SUBSTITUTE(SUBSTITUTE(SUBSTITUTE(SUBSTITUTE(SUBSTITUTE(IF(AND(COUNTIF(P209,"*P*"),COUNTIF(P209,"*V*")),IF(COUNTIF(P209,"*R*"),SUBSTITUTE(SUBSTITUTE(P209,"P",""),"R","S"),SUBSTITUTE(P209,"P","")),IF(AND(COUNTIF(P209,"*P*"),COUNTIF(P209,"*R*")),SUBSTITUTE(P209,"R","S"),IF(AND(COUNTIF(P209,"*V*"),COUNTIF(P209,"*R*")),SUBSTITUTE(P209,"R","S"),P209))),"0",""),"1",""),"2",""),"3",""),"4",""),"5",""),"6",""),"7",""),"8",""),"9","")&amp; Data!CE54),"")</f>
        <v/>
      </c>
      <c r="Q226" s="41" t="str">
        <f>IF(Q209&lt;&gt;"",IF(OR(COUNTIF(Q209,"L*"),COUNTIF(Q209, "X*")),IF(AND(COUNTIF(Q209,"*P*"),COUNTIF(Q209,"*V*")),IF(COUNTIF(Q209,"*R*"),SUBSTITUTE(SUBSTITUTE(Q209,"P",""),"R","S")&amp; Data!CF54,SUBSTITUTE(Q209,"P","")&amp; Data!CF54),IF(AND(COUNTIF(Q209,"*P*"),COUNTIF(Q209,"*R*")),SUBSTITUTE(Q209,"R","S")&amp;Data!CF54,IF(AND(COUNTIF(Q209,"*V*"),COUNTIF(Q209,"*R*")),SUBSTITUTE(Q209,"R","S")&amp;Data!CF54,Q209 &amp; Data!CF54))),SUBSTITUTE(SUBSTITUTE(SUBSTITUTE(SUBSTITUTE(SUBSTITUTE(SUBSTITUTE(SUBSTITUTE(SUBSTITUTE(SUBSTITUTE(SUBSTITUTE(IF(AND(COUNTIF(Q209,"*P*"),COUNTIF(Q209,"*V*")),IF(COUNTIF(Q209,"*R*"),SUBSTITUTE(SUBSTITUTE(Q209,"P",""),"R","S"),SUBSTITUTE(Q209,"P","")),IF(AND(COUNTIF(Q209,"*P*"),COUNTIF(Q209,"*R*")),SUBSTITUTE(Q209,"R","S"),IF(AND(COUNTIF(Q209,"*V*"),COUNTIF(Q209,"*R*")),SUBSTITUTE(Q209,"R","S"),Q209))),"0",""),"1",""),"2",""),"3",""),"4",""),"5",""),"6",""),"7",""),"8",""),"9","")&amp; Data!CF54),"")</f>
        <v/>
      </c>
      <c r="R226" s="41" t="str">
        <f>IF(R209&lt;&gt;"",IF(OR(COUNTIF(R209,"L*"),COUNTIF(R209, "X*")),IF(AND(COUNTIF(R209,"*P*"),COUNTIF(R209,"*V*")),IF(COUNTIF(R209,"*R*"),SUBSTITUTE(SUBSTITUTE(R209,"P",""),"R","S")&amp; Data!CG54,SUBSTITUTE(R209,"P","")&amp; Data!CG54),IF(AND(COUNTIF(R209,"*P*"),COUNTIF(R209,"*R*")),SUBSTITUTE(R209,"R","S")&amp;Data!CG54,IF(AND(COUNTIF(R209,"*V*"),COUNTIF(R209,"*R*")),SUBSTITUTE(R209,"R","S")&amp;Data!CG54,R209 &amp; Data!CG54))),SUBSTITUTE(SUBSTITUTE(SUBSTITUTE(SUBSTITUTE(SUBSTITUTE(SUBSTITUTE(SUBSTITUTE(SUBSTITUTE(SUBSTITUTE(SUBSTITUTE(IF(AND(COUNTIF(R209,"*P*"),COUNTIF(R209,"*V*")),IF(COUNTIF(R209,"*R*"),SUBSTITUTE(SUBSTITUTE(R209,"P",""),"R","S"),SUBSTITUTE(R209,"P","")),IF(AND(COUNTIF(R209,"*P*"),COUNTIF(R209,"*R*")),SUBSTITUTE(R209,"R","S"),IF(AND(COUNTIF(R209,"*V*"),COUNTIF(R209,"*R*")),SUBSTITUTE(R209,"R","S"),R209))),"0",""),"1",""),"2",""),"3",""),"4",""),"5",""),"6",""),"7",""),"8",""),"9","")&amp; Data!CG54),"")</f>
        <v/>
      </c>
      <c r="S226" s="41" t="str">
        <f>IF(S209&lt;&gt;"",IF(OR(COUNTIF(S209,"L*"),COUNTIF(S209, "X*")),IF(AND(COUNTIF(S209,"*P*"),COUNTIF(S209,"*V*")),IF(COUNTIF(S209,"*R*"),SUBSTITUTE(SUBSTITUTE(S209,"P",""),"R","S")&amp; Data!CH54,SUBSTITUTE(S209,"P","")&amp; Data!CH54),IF(AND(COUNTIF(S209,"*P*"),COUNTIF(S209,"*R*")),SUBSTITUTE(S209,"R","S")&amp;Data!CH54,IF(AND(COUNTIF(S209,"*V*"),COUNTIF(S209,"*R*")),SUBSTITUTE(S209,"R","S")&amp;Data!CH54,S209 &amp; Data!CH54))),SUBSTITUTE(SUBSTITUTE(SUBSTITUTE(SUBSTITUTE(SUBSTITUTE(SUBSTITUTE(SUBSTITUTE(SUBSTITUTE(SUBSTITUTE(SUBSTITUTE(IF(AND(COUNTIF(S209,"*P*"),COUNTIF(S209,"*V*")),IF(COUNTIF(S209,"*R*"),SUBSTITUTE(SUBSTITUTE(S209,"P",""),"R","S"),SUBSTITUTE(S209,"P","")),IF(AND(COUNTIF(S209,"*P*"),COUNTIF(S209,"*R*")),SUBSTITUTE(S209,"R","S"),IF(AND(COUNTIF(S209,"*V*"),COUNTIF(S209,"*R*")),SUBSTITUTE(S209,"R","S"),S209))),"0",""),"1",""),"2",""),"3",""),"4",""),"5",""),"6",""),"7",""),"8",""),"9","")&amp; Data!CH54),"")</f>
        <v/>
      </c>
      <c r="T226" s="41" t="str">
        <f>IF(T209&lt;&gt;"",IF(OR(COUNTIF(T209,"L*"),COUNTIF(T209, "X*")),IF(AND(COUNTIF(T209,"*P*"),COUNTIF(T209,"*V*")),IF(COUNTIF(T209,"*R*"),SUBSTITUTE(SUBSTITUTE(T209,"P",""),"R","S")&amp; Data!CI54,SUBSTITUTE(T209,"P","")&amp; Data!CI54),IF(AND(COUNTIF(T209,"*P*"),COUNTIF(T209,"*R*")),SUBSTITUTE(T209,"R","S")&amp;Data!CI54,IF(AND(COUNTIF(T209,"*V*"),COUNTIF(T209,"*R*")),SUBSTITUTE(T209,"R","S")&amp;Data!CI54,T209 &amp; Data!CI54))),SUBSTITUTE(SUBSTITUTE(SUBSTITUTE(SUBSTITUTE(SUBSTITUTE(SUBSTITUTE(SUBSTITUTE(SUBSTITUTE(SUBSTITUTE(SUBSTITUTE(IF(AND(COUNTIF(T209,"*P*"),COUNTIF(T209,"*V*")),IF(COUNTIF(T209,"*R*"),SUBSTITUTE(SUBSTITUTE(T209,"P",""),"R","S"),SUBSTITUTE(T209,"P","")),IF(AND(COUNTIF(T209,"*P*"),COUNTIF(T209,"*R*")),SUBSTITUTE(T209,"R","S"),IF(AND(COUNTIF(T209,"*V*"),COUNTIF(T209,"*R*")),SUBSTITUTE(T209,"R","S"),T209))),"0",""),"1",""),"2",""),"3",""),"4",""),"5",""),"6",""),"7",""),"8",""),"9","")&amp; Data!CI54),"")</f>
        <v/>
      </c>
      <c r="U226" s="41" t="str">
        <f>IF(U209&lt;&gt;"",IF(OR(COUNTIF(U209,"L*"),COUNTIF(U209, "X*")),IF(AND(COUNTIF(U209,"*P*"),COUNTIF(U209,"*V*")),IF(COUNTIF(U209,"*R*"),SUBSTITUTE(SUBSTITUTE(U209,"P",""),"R","S")&amp; Data!CJ54,SUBSTITUTE(U209,"P","")&amp; Data!CJ54),IF(AND(COUNTIF(U209,"*P*"),COUNTIF(U209,"*R*")),SUBSTITUTE(U209,"R","S")&amp;Data!CJ54,IF(AND(COUNTIF(U209,"*V*"),COUNTIF(U209,"*R*")),SUBSTITUTE(U209,"R","S")&amp;Data!CJ54,U209 &amp; Data!CJ54))),SUBSTITUTE(SUBSTITUTE(SUBSTITUTE(SUBSTITUTE(SUBSTITUTE(SUBSTITUTE(SUBSTITUTE(SUBSTITUTE(SUBSTITUTE(SUBSTITUTE(IF(AND(COUNTIF(U209,"*P*"),COUNTIF(U209,"*V*")),IF(COUNTIF(U209,"*R*"),SUBSTITUTE(SUBSTITUTE(U209,"P",""),"R","S"),SUBSTITUTE(U209,"P","")),IF(AND(COUNTIF(U209,"*P*"),COUNTIF(U209,"*R*")),SUBSTITUTE(U209,"R","S"),IF(AND(COUNTIF(U209,"*V*"),COUNTIF(U209,"*R*")),SUBSTITUTE(U209,"R","S"),U209))),"0",""),"1",""),"2",""),"3",""),"4",""),"5",""),"6",""),"7",""),"8",""),"9","")&amp; Data!CJ54),"")</f>
        <v/>
      </c>
      <c r="V226" s="41" t="str">
        <f>IF(V209&lt;&gt;"",IF(OR(COUNTIF(V209,"L*"),COUNTIF(V209, "X*")),IF(AND(COUNTIF(V209,"*P*"),COUNTIF(V209,"*V*")),IF(COUNTIF(V209,"*R*"),SUBSTITUTE(SUBSTITUTE(V209,"P",""),"R","S")&amp; Data!CK54,SUBSTITUTE(V209,"P","")&amp; Data!CK54),IF(AND(COUNTIF(V209,"*P*"),COUNTIF(V209,"*R*")),SUBSTITUTE(V209,"R","S")&amp;Data!CK54,IF(AND(COUNTIF(V209,"*V*"),COUNTIF(V209,"*R*")),SUBSTITUTE(V209,"R","S")&amp;Data!CK54,V209 &amp; Data!CK54))),SUBSTITUTE(SUBSTITUTE(SUBSTITUTE(SUBSTITUTE(SUBSTITUTE(SUBSTITUTE(SUBSTITUTE(SUBSTITUTE(SUBSTITUTE(SUBSTITUTE(IF(AND(COUNTIF(V209,"*P*"),COUNTIF(V209,"*V*")),IF(COUNTIF(V209,"*R*"),SUBSTITUTE(SUBSTITUTE(V209,"P",""),"R","S"),SUBSTITUTE(V209,"P","")),IF(AND(COUNTIF(V209,"*P*"),COUNTIF(V209,"*R*")),SUBSTITUTE(V209,"R","S"),IF(AND(COUNTIF(V209,"*V*"),COUNTIF(V209,"*R*")),SUBSTITUTE(V209,"R","S"),V209))),"0",""),"1",""),"2",""),"3",""),"4",""),"5",""),"6",""),"7",""),"8",""),"9","")&amp; Data!CK54),"")</f>
        <v/>
      </c>
      <c r="W226" s="41" t="str">
        <f>IF(W209&lt;&gt;"",IF(OR(COUNTIF(W209,"L*"),COUNTIF(W209, "X*")),IF(AND(COUNTIF(W209,"*P*"),COUNTIF(W209,"*V*")),IF(COUNTIF(W209,"*R*"),SUBSTITUTE(SUBSTITUTE(W209,"P",""),"R","S")&amp; Data!CL54,SUBSTITUTE(W209,"P","")&amp; Data!CL54),IF(AND(COUNTIF(W209,"*P*"),COUNTIF(W209,"*R*")),SUBSTITUTE(W209,"R","S")&amp;Data!CL54,IF(AND(COUNTIF(W209,"*V*"),COUNTIF(W209,"*R*")),SUBSTITUTE(W209,"R","S")&amp;Data!CL54,W209 &amp; Data!CL54))),SUBSTITUTE(SUBSTITUTE(SUBSTITUTE(SUBSTITUTE(SUBSTITUTE(SUBSTITUTE(SUBSTITUTE(SUBSTITUTE(SUBSTITUTE(SUBSTITUTE(IF(AND(COUNTIF(W209,"*P*"),COUNTIF(W209,"*V*")),IF(COUNTIF(W209,"*R*"),SUBSTITUTE(SUBSTITUTE(W209,"P",""),"R","S"),SUBSTITUTE(W209,"P","")),IF(AND(COUNTIF(W209,"*P*"),COUNTIF(W209,"*R*")),SUBSTITUTE(W209,"R","S"),IF(AND(COUNTIF(W209,"*V*"),COUNTIF(W209,"*R*")),SUBSTITUTE(W209,"R","S"),W209))),"0",""),"1",""),"2",""),"3",""),"4",""),"5",""),"6",""),"7",""),"8",""),"9","")&amp; Data!CL54),"")</f>
        <v/>
      </c>
      <c r="X226" s="41" t="str">
        <f>IF(X209&lt;&gt;"",IF(OR(COUNTIF(X209,"L*"),COUNTIF(X209, "X*")),IF(AND(COUNTIF(X209,"*P*"),COUNTIF(X209,"*V*")),IF(COUNTIF(X209,"*R*"),SUBSTITUTE(SUBSTITUTE(X209,"P",""),"R","S")&amp; Data!CM54,SUBSTITUTE(X209,"P","")&amp; Data!CM54),IF(AND(COUNTIF(X209,"*P*"),COUNTIF(X209,"*R*")),SUBSTITUTE(X209,"R","S")&amp;Data!CM54,IF(AND(COUNTIF(X209,"*V*"),COUNTIF(X209,"*R*")),SUBSTITUTE(X209,"R","S")&amp;Data!CM54,X209 &amp; Data!CM54))),SUBSTITUTE(SUBSTITUTE(SUBSTITUTE(SUBSTITUTE(SUBSTITUTE(SUBSTITUTE(SUBSTITUTE(SUBSTITUTE(SUBSTITUTE(SUBSTITUTE(IF(AND(COUNTIF(X209,"*P*"),COUNTIF(X209,"*V*")),IF(COUNTIF(X209,"*R*"),SUBSTITUTE(SUBSTITUTE(X209,"P",""),"R","S"),SUBSTITUTE(X209,"P","")),IF(AND(COUNTIF(X209,"*P*"),COUNTIF(X209,"*R*")),SUBSTITUTE(X209,"R","S"),IF(AND(COUNTIF(X209,"*V*"),COUNTIF(X209,"*R*")),SUBSTITUTE(X209,"R","S"),X209))),"0",""),"1",""),"2",""),"3",""),"4",""),"5",""),"6",""),"7",""),"8",""),"9","")&amp; Data!CM54),"")</f>
        <v/>
      </c>
      <c r="Y226" s="41" t="str">
        <f>IF(Y209&lt;&gt;"",IF(OR(COUNTIF(Y209,"L*"),COUNTIF(Y209, "X*")),IF(AND(COUNTIF(Y209,"*P*"),COUNTIF(Y209,"*V*")),IF(COUNTIF(Y209,"*R*"),SUBSTITUTE(SUBSTITUTE(Y209,"P",""),"R","S")&amp; Data!CN54,SUBSTITUTE(Y209,"P","")&amp; Data!CN54),IF(AND(COUNTIF(Y209,"*P*"),COUNTIF(Y209,"*R*")),SUBSTITUTE(Y209,"R","S")&amp;Data!CN54,IF(AND(COUNTIF(Y209,"*V*"),COUNTIF(Y209,"*R*")),SUBSTITUTE(Y209,"R","S")&amp;Data!CN54,Y209 &amp; Data!CN54))),SUBSTITUTE(SUBSTITUTE(SUBSTITUTE(SUBSTITUTE(SUBSTITUTE(SUBSTITUTE(SUBSTITUTE(SUBSTITUTE(SUBSTITUTE(SUBSTITUTE(IF(AND(COUNTIF(Y209,"*P*"),COUNTIF(Y209,"*V*")),IF(COUNTIF(Y209,"*R*"),SUBSTITUTE(SUBSTITUTE(Y209,"P",""),"R","S"),SUBSTITUTE(Y209,"P","")),IF(AND(COUNTIF(Y209,"*P*"),COUNTIF(Y209,"*R*")),SUBSTITUTE(Y209,"R","S"),IF(AND(COUNTIF(Y209,"*V*"),COUNTIF(Y209,"*R*")),SUBSTITUTE(Y209,"R","S"),Y209))),"0",""),"1",""),"2",""),"3",""),"4",""),"5",""),"6",""),"7",""),"8",""),"9","")&amp; Data!CN54),"")</f>
        <v/>
      </c>
      <c r="Z226" s="41" t="str">
        <f>IF(Z209&lt;&gt;"",IF(OR(COUNTIF(Z209,"L*"),COUNTIF(Z209, "X*")),IF(AND(COUNTIF(Z209,"*P*"),COUNTIF(Z209,"*V*")),IF(COUNTIF(Z209,"*R*"),SUBSTITUTE(SUBSTITUTE(Z209,"P",""),"R","S")&amp; Data!CO54,SUBSTITUTE(Z209,"P","")&amp; Data!CO54),IF(AND(COUNTIF(Z209,"*P*"),COUNTIF(Z209,"*R*")),SUBSTITUTE(Z209,"R","S")&amp;Data!CO54,IF(AND(COUNTIF(Z209,"*V*"),COUNTIF(Z209,"*R*")),SUBSTITUTE(Z209,"R","S")&amp;Data!CO54,Z209 &amp; Data!CO54))),SUBSTITUTE(SUBSTITUTE(SUBSTITUTE(SUBSTITUTE(SUBSTITUTE(SUBSTITUTE(SUBSTITUTE(SUBSTITUTE(SUBSTITUTE(SUBSTITUTE(IF(AND(COUNTIF(Z209,"*P*"),COUNTIF(Z209,"*V*")),IF(COUNTIF(Z209,"*R*"),SUBSTITUTE(SUBSTITUTE(Z209,"P",""),"R","S"),SUBSTITUTE(Z209,"P","")),IF(AND(COUNTIF(Z209,"*P*"),COUNTIF(Z209,"*R*")),SUBSTITUTE(Z209,"R","S"),IF(AND(COUNTIF(Z209,"*V*"),COUNTIF(Z209,"*R*")),SUBSTITUTE(Z209,"R","S"),Z209))),"0",""),"1",""),"2",""),"3",""),"4",""),"5",""),"6",""),"7",""),"8",""),"9","")&amp; Data!CO54),"")</f>
        <v/>
      </c>
      <c r="AA226" s="41" t="str">
        <f>IF(AA209&lt;&gt;"",IF(OR(COUNTIF(AA209,"L*"),COUNTIF(AA209, "X*")),IF(AND(COUNTIF(AA209,"*P*"),COUNTIF(AA209,"*V*")),IF(COUNTIF(AA209,"*R*"),SUBSTITUTE(SUBSTITUTE(AA209,"P",""),"R","S")&amp; Data!CP54,SUBSTITUTE(AA209,"P","")&amp; Data!CP54),IF(AND(COUNTIF(AA209,"*P*"),COUNTIF(AA209,"*R*")),SUBSTITUTE(AA209,"R","S")&amp;Data!CP54,IF(AND(COUNTIF(AA209,"*V*"),COUNTIF(AA209,"*R*")),SUBSTITUTE(AA209,"R","S")&amp;Data!CP54,AA209 &amp; Data!CP54))),SUBSTITUTE(SUBSTITUTE(SUBSTITUTE(SUBSTITUTE(SUBSTITUTE(SUBSTITUTE(SUBSTITUTE(SUBSTITUTE(SUBSTITUTE(SUBSTITUTE(IF(AND(COUNTIF(AA209,"*P*"),COUNTIF(AA209,"*V*")),IF(COUNTIF(AA209,"*R*"),SUBSTITUTE(SUBSTITUTE(AA209,"P",""),"R","S"),SUBSTITUTE(AA209,"P","")),IF(AND(COUNTIF(AA209,"*P*"),COUNTIF(AA209,"*R*")),SUBSTITUTE(AA209,"R","S"),IF(AND(COUNTIF(AA209,"*V*"),COUNTIF(AA209,"*R*")),SUBSTITUTE(AA209,"R","S"),AA209))),"0",""),"1",""),"2",""),"3",""),"4",""),"5",""),"6",""),"7",""),"8",""),"9","")&amp; Data!CP54),"")</f>
        <v/>
      </c>
      <c r="AB226" s="41" t="str">
        <f>IF(AB209&lt;&gt;"",IF(OR(COUNTIF(AB209,"L*"),COUNTIF(AB209, "X*")),IF(AND(COUNTIF(AB209,"*P*"),COUNTIF(AB209,"*V*")),IF(COUNTIF(AB209,"*R*"),SUBSTITUTE(SUBSTITUTE(AB209,"P",""),"R","S")&amp; Data!CQ54,SUBSTITUTE(AB209,"P","")&amp; Data!CQ54),IF(AND(COUNTIF(AB209,"*P*"),COUNTIF(AB209,"*R*")),SUBSTITUTE(AB209,"R","S")&amp;Data!CQ54,IF(AND(COUNTIF(AB209,"*V*"),COUNTIF(AB209,"*R*")),SUBSTITUTE(AB209,"R","S")&amp;Data!CQ54,AB209 &amp; Data!CQ54))),SUBSTITUTE(SUBSTITUTE(SUBSTITUTE(SUBSTITUTE(SUBSTITUTE(SUBSTITUTE(SUBSTITUTE(SUBSTITUTE(SUBSTITUTE(SUBSTITUTE(IF(AND(COUNTIF(AB209,"*P*"),COUNTIF(AB209,"*V*")),IF(COUNTIF(AB209,"*R*"),SUBSTITUTE(SUBSTITUTE(AB209,"P",""),"R","S"),SUBSTITUTE(AB209,"P","")),IF(AND(COUNTIF(AB209,"*P*"),COUNTIF(AB209,"*R*")),SUBSTITUTE(AB209,"R","S"),IF(AND(COUNTIF(AB209,"*V*"),COUNTIF(AB209,"*R*")),SUBSTITUTE(AB209,"R","S"),AB209))),"0",""),"1",""),"2",""),"3",""),"4",""),"5",""),"6",""),"7",""),"8",""),"9","")&amp; Data!CQ54),"")</f>
        <v/>
      </c>
      <c r="AC226" s="41" t="str">
        <f>IF(AC209&lt;&gt;"",IF(OR(COUNTIF(AC209,"L*"),COUNTIF(AC209, "X*")),IF(AND(COUNTIF(AC209,"*P*"),COUNTIF(AC209,"*V*")),IF(COUNTIF(AC209,"*R*"),SUBSTITUTE(SUBSTITUTE(AC209,"P",""),"R","S")&amp; Data!CR54,SUBSTITUTE(AC209,"P","")&amp; Data!CR54),IF(AND(COUNTIF(AC209,"*P*"),COUNTIF(AC209,"*R*")),SUBSTITUTE(AC209,"R","S")&amp;Data!CR54,IF(AND(COUNTIF(AC209,"*V*"),COUNTIF(AC209,"*R*")),SUBSTITUTE(AC209,"R","S")&amp;Data!CR54,AC209 &amp; Data!CR54))),SUBSTITUTE(SUBSTITUTE(SUBSTITUTE(SUBSTITUTE(SUBSTITUTE(SUBSTITUTE(SUBSTITUTE(SUBSTITUTE(SUBSTITUTE(SUBSTITUTE(IF(AND(COUNTIF(AC209,"*P*"),COUNTIF(AC209,"*V*")),IF(COUNTIF(AC209,"*R*"),SUBSTITUTE(SUBSTITUTE(AC209,"P",""),"R","S"),SUBSTITUTE(AC209,"P","")),IF(AND(COUNTIF(AC209,"*P*"),COUNTIF(AC209,"*R*")),SUBSTITUTE(AC209,"R","S"),IF(AND(COUNTIF(AC209,"*V*"),COUNTIF(AC209,"*R*")),SUBSTITUTE(AC209,"R","S"),AC209))),"0",""),"1",""),"2",""),"3",""),"4",""),"5",""),"6",""),"7",""),"8",""),"9","")&amp; Data!CR54),"")</f>
        <v/>
      </c>
      <c r="AD226" s="41" t="str">
        <f>IF(AD209&lt;&gt;"",IF(OR(COUNTIF(AD209,"L*"),COUNTIF(AD209, "X*")),IF(AND(COUNTIF(AD209,"*P*"),COUNTIF(AD209,"*V*")),IF(COUNTIF(AD209,"*R*"),SUBSTITUTE(SUBSTITUTE(AD209,"P",""),"R","S")&amp; Data!CS54,SUBSTITUTE(AD209,"P","")&amp; Data!CS54),IF(AND(COUNTIF(AD209,"*P*"),COUNTIF(AD209,"*R*")),SUBSTITUTE(AD209,"R","S")&amp;Data!CS54,IF(AND(COUNTIF(AD209,"*V*"),COUNTIF(AD209,"*R*")),SUBSTITUTE(AD209,"R","S")&amp;Data!CS54,AD209 &amp; Data!CS54))),SUBSTITUTE(SUBSTITUTE(SUBSTITUTE(SUBSTITUTE(SUBSTITUTE(SUBSTITUTE(SUBSTITUTE(SUBSTITUTE(SUBSTITUTE(SUBSTITUTE(IF(AND(COUNTIF(AD209,"*P*"),COUNTIF(AD209,"*V*")),IF(COUNTIF(AD209,"*R*"),SUBSTITUTE(SUBSTITUTE(AD209,"P",""),"R","S"),SUBSTITUTE(AD209,"P","")),IF(AND(COUNTIF(AD209,"*P*"),COUNTIF(AD209,"*R*")),SUBSTITUTE(AD209,"R","S"),IF(AND(COUNTIF(AD209,"*V*"),COUNTIF(AD209,"*R*")),SUBSTITUTE(AD209,"R","S"),AD209))),"0",""),"1",""),"2",""),"3",""),"4",""),"5",""),"6",""),"7",""),"8",""),"9","")&amp; Data!CS54),"")</f>
        <v/>
      </c>
      <c r="AE226" s="41" t="str">
        <f>IF(AE209&lt;&gt;"",IF(OR(COUNTIF(AE209,"L*"),COUNTIF(AE209, "X*")),IF(AND(COUNTIF(AE209,"*P*"),COUNTIF(AE209,"*V*")),IF(COUNTIF(AE209,"*R*"),SUBSTITUTE(SUBSTITUTE(AE209,"P",""),"R","S")&amp; Data!CT54,SUBSTITUTE(AE209,"P","")&amp; Data!CT54),IF(AND(COUNTIF(AE209,"*P*"),COUNTIF(AE209,"*R*")),SUBSTITUTE(AE209,"R","S")&amp;Data!CT54,IF(AND(COUNTIF(AE209,"*V*"),COUNTIF(AE209,"*R*")),SUBSTITUTE(AE209,"R","S")&amp;Data!CT54,AE209 &amp; Data!CT54))),SUBSTITUTE(SUBSTITUTE(SUBSTITUTE(SUBSTITUTE(SUBSTITUTE(SUBSTITUTE(SUBSTITUTE(SUBSTITUTE(SUBSTITUTE(SUBSTITUTE(IF(AND(COUNTIF(AE209,"*P*"),COUNTIF(AE209,"*V*")),IF(COUNTIF(AE209,"*R*"),SUBSTITUTE(SUBSTITUTE(AE209,"P",""),"R","S"),SUBSTITUTE(AE209,"P","")),IF(AND(COUNTIF(AE209,"*P*"),COUNTIF(AE209,"*R*")),SUBSTITUTE(AE209,"R","S"),IF(AND(COUNTIF(AE209,"*V*"),COUNTIF(AE209,"*R*")),SUBSTITUTE(AE209,"R","S"),AE209))),"0",""),"1",""),"2",""),"3",""),"4",""),"5",""),"6",""),"7",""),"8",""),"9","")&amp; Data!CT54),"")</f>
        <v/>
      </c>
      <c r="AF226" s="41" t="str">
        <f>IF(AF209&lt;&gt;"",IF(OR(COUNTIF(AF209,"L*"),COUNTIF(AF209, "X*")),IF(AND(COUNTIF(AF209,"*P*"),COUNTIF(AF209,"*V*")),IF(COUNTIF(AF209,"*R*"),SUBSTITUTE(SUBSTITUTE(AF209,"P",""),"R","S")&amp; Data!CU54,SUBSTITUTE(AF209,"P","")&amp; Data!CU54),IF(AND(COUNTIF(AF209,"*P*"),COUNTIF(AF209,"*R*")),SUBSTITUTE(AF209,"R","S")&amp;Data!CU54,IF(AND(COUNTIF(AF209,"*V*"),COUNTIF(AF209,"*R*")),SUBSTITUTE(AF209,"R","S")&amp;Data!CU54,AF209 &amp; Data!CU54))),SUBSTITUTE(SUBSTITUTE(SUBSTITUTE(SUBSTITUTE(SUBSTITUTE(SUBSTITUTE(SUBSTITUTE(SUBSTITUTE(SUBSTITUTE(SUBSTITUTE(IF(AND(COUNTIF(AF209,"*P*"),COUNTIF(AF209,"*V*")),IF(COUNTIF(AF209,"*R*"),SUBSTITUTE(SUBSTITUTE(AF209,"P",""),"R","S"),SUBSTITUTE(AF209,"P","")),IF(AND(COUNTIF(AF209,"*P*"),COUNTIF(AF209,"*R*")),SUBSTITUTE(AF209,"R","S"),IF(AND(COUNTIF(AF209,"*V*"),COUNTIF(AF209,"*R*")),SUBSTITUTE(AF209,"R","S"),AF209))),"0",""),"1",""),"2",""),"3",""),"4",""),"5",""),"6",""),"7",""),"8",""),"9","")&amp; Data!CU54),"")</f>
        <v/>
      </c>
      <c r="AG226" s="41" t="str">
        <f>IF(AG209&lt;&gt;"",IF(OR(COUNTIF(AG209,"L*"),COUNTIF(AG209, "X*")),IF(AND(COUNTIF(AG209,"*P*"),COUNTIF(AG209,"*V*")),IF(COUNTIF(AG209,"*R*"),SUBSTITUTE(SUBSTITUTE(AG209,"P",""),"R","S")&amp; Data!CV54,SUBSTITUTE(AG209,"P","")&amp; Data!CV54),IF(AND(COUNTIF(AG209,"*P*"),COUNTIF(AG209,"*R*")),SUBSTITUTE(AG209,"R","S")&amp;Data!CV54,IF(AND(COUNTIF(AG209,"*V*"),COUNTIF(AG209,"*R*")),SUBSTITUTE(AG209,"R","S")&amp;Data!CV54,AG209 &amp; Data!CV54))),SUBSTITUTE(SUBSTITUTE(SUBSTITUTE(SUBSTITUTE(SUBSTITUTE(SUBSTITUTE(SUBSTITUTE(SUBSTITUTE(SUBSTITUTE(SUBSTITUTE(IF(AND(COUNTIF(AG209,"*P*"),COUNTIF(AG209,"*V*")),IF(COUNTIF(AG209,"*R*"),SUBSTITUTE(SUBSTITUTE(AG209,"P",""),"R","S"),SUBSTITUTE(AG209,"P","")),IF(AND(COUNTIF(AG209,"*P*"),COUNTIF(AG209,"*R*")),SUBSTITUTE(AG209,"R","S"),IF(AND(COUNTIF(AG209,"*V*"),COUNTIF(AG209,"*R*")),SUBSTITUTE(AG209,"R","S"),AG209))),"0",""),"1",""),"2",""),"3",""),"4",""),"5",""),"6",""),"7",""),"8",""),"9","")&amp; Data!CV54),"")</f>
        <v/>
      </c>
      <c r="AH226" s="41" t="str">
        <f>IF(AH209&lt;&gt;"",IF(OR(COUNTIF(AH209,"L*"),COUNTIF(AH209, "X*")),IF(AND(COUNTIF(AH209,"*P*"),COUNTIF(AH209,"*V*")),IF(COUNTIF(AH209,"*R*"),SUBSTITUTE(SUBSTITUTE(AH209,"P",""),"R","S")&amp; Data!CW54,SUBSTITUTE(AH209,"P","")&amp; Data!CW54),IF(AND(COUNTIF(AH209,"*P*"),COUNTIF(AH209,"*R*")),SUBSTITUTE(AH209,"R","S")&amp;Data!CW54,IF(AND(COUNTIF(AH209,"*V*"),COUNTIF(AH209,"*R*")),SUBSTITUTE(AH209,"R","S")&amp;Data!CW54,AH209 &amp; Data!CW54))),SUBSTITUTE(SUBSTITUTE(SUBSTITUTE(SUBSTITUTE(SUBSTITUTE(SUBSTITUTE(SUBSTITUTE(SUBSTITUTE(SUBSTITUTE(SUBSTITUTE(IF(AND(COUNTIF(AH209,"*P*"),COUNTIF(AH209,"*V*")),IF(COUNTIF(AH209,"*R*"),SUBSTITUTE(SUBSTITUTE(AH209,"P",""),"R","S"),SUBSTITUTE(AH209,"P","")),IF(AND(COUNTIF(AH209,"*P*"),COUNTIF(AH209,"*R*")),SUBSTITUTE(AH209,"R","S"),IF(AND(COUNTIF(AH209,"*V*"),COUNTIF(AH209,"*R*")),SUBSTITUTE(AH209,"R","S"),AH209))),"0",""),"1",""),"2",""),"3",""),"4",""),"5",""),"6",""),"7",""),"8",""),"9","")&amp; Data!CW54),"")</f>
        <v/>
      </c>
      <c r="AI226" s="41" t="str">
        <f>IF(AI209&lt;&gt;"",IF(OR(COUNTIF(AI209,"L*"),COUNTIF(AI209, "X*")),IF(AND(COUNTIF(AI209,"*P*"),COUNTIF(AI209,"*V*")),IF(COUNTIF(AI209,"*R*"),SUBSTITUTE(SUBSTITUTE(AI209,"P",""),"R","S")&amp; Data!CX54,SUBSTITUTE(AI209,"P","")&amp; Data!CX54),IF(AND(COUNTIF(AI209,"*P*"),COUNTIF(AI209,"*R*")),SUBSTITUTE(AI209,"R","S")&amp;Data!CX54,IF(AND(COUNTIF(AI209,"*V*"),COUNTIF(AI209,"*R*")),SUBSTITUTE(AI209,"R","S")&amp;Data!CX54,AI209 &amp; Data!CX54))),SUBSTITUTE(SUBSTITUTE(SUBSTITUTE(SUBSTITUTE(SUBSTITUTE(SUBSTITUTE(SUBSTITUTE(SUBSTITUTE(SUBSTITUTE(SUBSTITUTE(IF(AND(COUNTIF(AI209,"*P*"),COUNTIF(AI209,"*V*")),IF(COUNTIF(AI209,"*R*"),SUBSTITUTE(SUBSTITUTE(AI209,"P",""),"R","S"),SUBSTITUTE(AI209,"P","")),IF(AND(COUNTIF(AI209,"*P*"),COUNTIF(AI209,"*R*")),SUBSTITUTE(AI209,"R","S"),IF(AND(COUNTIF(AI209,"*V*"),COUNTIF(AI209,"*R*")),SUBSTITUTE(AI209,"R","S"),AI209))),"0",""),"1",""),"2",""),"3",""),"4",""),"5",""),"6",""),"7",""),"8",""),"9","")&amp; Data!CX54),"")</f>
        <v/>
      </c>
      <c r="AJ226" s="41" t="str">
        <f>IF(AJ209&lt;&gt;"",IF(OR(COUNTIF(AJ209,"L*"),COUNTIF(AJ209, "X*")),IF(AND(COUNTIF(AJ209,"*P*"),COUNTIF(AJ209,"*V*")),IF(COUNTIF(AJ209,"*R*"),SUBSTITUTE(SUBSTITUTE(AJ209,"P",""),"R","S")&amp; Data!CY54,SUBSTITUTE(AJ209,"P","")&amp; Data!CY54),IF(AND(COUNTIF(AJ209,"*P*"),COUNTIF(AJ209,"*R*")),SUBSTITUTE(AJ209,"R","S")&amp;Data!CY54,IF(AND(COUNTIF(AJ209,"*V*"),COUNTIF(AJ209,"*R*")),SUBSTITUTE(AJ209,"R","S")&amp;Data!CY54,AJ209 &amp; Data!CY54))),SUBSTITUTE(SUBSTITUTE(SUBSTITUTE(SUBSTITUTE(SUBSTITUTE(SUBSTITUTE(SUBSTITUTE(SUBSTITUTE(SUBSTITUTE(SUBSTITUTE(IF(AND(COUNTIF(AJ209,"*P*"),COUNTIF(AJ209,"*V*")),IF(COUNTIF(AJ209,"*R*"),SUBSTITUTE(SUBSTITUTE(AJ209,"P",""),"R","S"),SUBSTITUTE(AJ209,"P","")),IF(AND(COUNTIF(AJ209,"*P*"),COUNTIF(AJ209,"*R*")),SUBSTITUTE(AJ209,"R","S"),IF(AND(COUNTIF(AJ209,"*V*"),COUNTIF(AJ209,"*R*")),SUBSTITUTE(AJ209,"R","S"),AJ209))),"0",""),"1",""),"2",""),"3",""),"4",""),"5",""),"6",""),"7",""),"8",""),"9","")&amp; Data!CY54),"")</f>
        <v/>
      </c>
    </row>
    <row r="227" spans="1:54" ht="23.25" customHeight="1" x14ac:dyDescent="0.35">
      <c r="A227" s="1196"/>
      <c r="B227" s="22">
        <v>10</v>
      </c>
      <c r="C227" s="41" t="str">
        <f>IF(C210&lt;&gt;"",IF(OR(COUNTIF(C210,"L*"),COUNTIF(C210, "X*")),IF(AND(COUNTIF(C210,"*P*"),COUNTIF(C210,"*V*")),IF(COUNTIF(C210,"*R*"),SUBSTITUTE(SUBSTITUTE(C210,"P",""),"R","S")&amp; Data!BR55,SUBSTITUTE(C210,"P","")&amp; Data!BR55),IF(AND(COUNTIF(C210,"*P*"),COUNTIF(C210,"*R*")),SUBSTITUTE(C210,"R","S")&amp;Data!BR55,IF(AND(COUNTIF(C210,"*V*"),COUNTIF(C210,"*R*")),SUBSTITUTE(C210,"R","S")&amp;Data!BR55,C210 &amp; Data!BR55))),SUBSTITUTE(SUBSTITUTE(SUBSTITUTE(SUBSTITUTE(SUBSTITUTE(SUBSTITUTE(SUBSTITUTE(SUBSTITUTE(SUBSTITUTE(SUBSTITUTE(IF(AND(COUNTIF(C210,"*P*"),COUNTIF(C210,"*V*")),IF(COUNTIF(C210,"*R*"),SUBSTITUTE(SUBSTITUTE(C210,"P",""),"R","S"),SUBSTITUTE(C210,"P","")),IF(AND(COUNTIF(C210,"*P*"),COUNTIF(C210,"*R*")),SUBSTITUTE(C210,"R","S"),IF(AND(COUNTIF(C210,"*V*"),COUNTIF(C210,"*R*")),SUBSTITUTE(C210,"R","S"),C210))),"0",""),"1",""),"2",""),"3",""),"4",""),"5",""),"6",""),"7",""),"8",""),"9","")&amp; Data!BR55),"")</f>
        <v/>
      </c>
      <c r="D227" s="41" t="str">
        <f>IF(D210&lt;&gt;"",IF(OR(COUNTIF(D210,"L*"),COUNTIF(D210, "X*")),IF(AND(COUNTIF(D210,"*P*"),COUNTIF(D210,"*V*")),IF(COUNTIF(D210,"*R*"),SUBSTITUTE(SUBSTITUTE(D210,"P",""),"R","S")&amp; Data!BS55,SUBSTITUTE(D210,"P","")&amp; Data!BS55),IF(AND(COUNTIF(D210,"*P*"),COUNTIF(D210,"*R*")),SUBSTITUTE(D210,"R","S")&amp;Data!BS55,IF(AND(COUNTIF(D210,"*V*"),COUNTIF(D210,"*R*")),SUBSTITUTE(D210,"R","S")&amp;Data!BS55,D210 &amp; Data!BS55))),SUBSTITUTE(SUBSTITUTE(SUBSTITUTE(SUBSTITUTE(SUBSTITUTE(SUBSTITUTE(SUBSTITUTE(SUBSTITUTE(SUBSTITUTE(SUBSTITUTE(IF(AND(COUNTIF(D210,"*P*"),COUNTIF(D210,"*V*")),IF(COUNTIF(D210,"*R*"),SUBSTITUTE(SUBSTITUTE(D210,"P",""),"R","S"),SUBSTITUTE(D210,"P","")),IF(AND(COUNTIF(D210,"*P*"),COUNTIF(D210,"*R*")),SUBSTITUTE(D210,"R","S"),IF(AND(COUNTIF(D210,"*V*"),COUNTIF(D210,"*R*")),SUBSTITUTE(D210,"R","S"),D210))),"0",""),"1",""),"2",""),"3",""),"4",""),"5",""),"6",""),"7",""),"8",""),"9","")&amp; Data!BS55),"")</f>
        <v/>
      </c>
      <c r="E227" s="41" t="str">
        <f>IF(E210&lt;&gt;"",IF(OR(COUNTIF(E210,"L*"),COUNTIF(E210, "X*")),IF(AND(COUNTIF(E210,"*P*"),COUNTIF(E210,"*V*")),IF(COUNTIF(E210,"*R*"),SUBSTITUTE(SUBSTITUTE(E210,"P",""),"R","S")&amp; Data!BT55,SUBSTITUTE(E210,"P","")&amp; Data!BT55),IF(AND(COUNTIF(E210,"*P*"),COUNTIF(E210,"*R*")),SUBSTITUTE(E210,"R","S")&amp;Data!BT55,IF(AND(COUNTIF(E210,"*V*"),COUNTIF(E210,"*R*")),SUBSTITUTE(E210,"R","S")&amp;Data!BT55,E210 &amp; Data!BT55))),SUBSTITUTE(SUBSTITUTE(SUBSTITUTE(SUBSTITUTE(SUBSTITUTE(SUBSTITUTE(SUBSTITUTE(SUBSTITUTE(SUBSTITUTE(SUBSTITUTE(IF(AND(COUNTIF(E210,"*P*"),COUNTIF(E210,"*V*")),IF(COUNTIF(E210,"*R*"),SUBSTITUTE(SUBSTITUTE(E210,"P",""),"R","S"),SUBSTITUTE(E210,"P","")),IF(AND(COUNTIF(E210,"*P*"),COUNTIF(E210,"*R*")),SUBSTITUTE(E210,"R","S"),IF(AND(COUNTIF(E210,"*V*"),COUNTIF(E210,"*R*")),SUBSTITUTE(E210,"R","S"),E210))),"0",""),"1",""),"2",""),"3",""),"4",""),"5",""),"6",""),"7",""),"8",""),"9","")&amp; Data!BT55),"")</f>
        <v/>
      </c>
      <c r="F227" s="41" t="str">
        <f>IF(F210&lt;&gt;"",IF(OR(COUNTIF(F210,"L*"),COUNTIF(F210, "X*")),IF(AND(COUNTIF(F210,"*P*"),COUNTIF(F210,"*V*")),IF(COUNTIF(F210,"*R*"),SUBSTITUTE(SUBSTITUTE(F210,"P",""),"R","S")&amp; Data!BU55,SUBSTITUTE(F210,"P","")&amp; Data!BU55),IF(AND(COUNTIF(F210,"*P*"),COUNTIF(F210,"*R*")),SUBSTITUTE(F210,"R","S")&amp;Data!BU55,IF(AND(COUNTIF(F210,"*V*"),COUNTIF(F210,"*R*")),SUBSTITUTE(F210,"R","S")&amp;Data!BU55,F210 &amp; Data!BU55))),SUBSTITUTE(SUBSTITUTE(SUBSTITUTE(SUBSTITUTE(SUBSTITUTE(SUBSTITUTE(SUBSTITUTE(SUBSTITUTE(SUBSTITUTE(SUBSTITUTE(IF(AND(COUNTIF(F210,"*P*"),COUNTIF(F210,"*V*")),IF(COUNTIF(F210,"*R*"),SUBSTITUTE(SUBSTITUTE(F210,"P",""),"R","S"),SUBSTITUTE(F210,"P","")),IF(AND(COUNTIF(F210,"*P*"),COUNTIF(F210,"*R*")),SUBSTITUTE(F210,"R","S"),IF(AND(COUNTIF(F210,"*V*"),COUNTIF(F210,"*R*")),SUBSTITUTE(F210,"R","S"),F210))),"0",""),"1",""),"2",""),"3",""),"4",""),"5",""),"6",""),"7",""),"8",""),"9","")&amp; Data!BU55),"")</f>
        <v/>
      </c>
      <c r="G227" s="41" t="str">
        <f>IF(G210&lt;&gt;"",IF(OR(COUNTIF(G210,"L*"),COUNTIF(G210, "X*")),IF(AND(COUNTIF(G210,"*P*"),COUNTIF(G210,"*V*")),IF(COUNTIF(G210,"*R*"),SUBSTITUTE(SUBSTITUTE(G210,"P",""),"R","S")&amp; Data!BV55,SUBSTITUTE(G210,"P","")&amp; Data!BV55),IF(AND(COUNTIF(G210,"*P*"),COUNTIF(G210,"*R*")),SUBSTITUTE(G210,"R","S")&amp;Data!BV55,IF(AND(COUNTIF(G210,"*V*"),COUNTIF(G210,"*R*")),SUBSTITUTE(G210,"R","S")&amp;Data!BV55,G210 &amp; Data!BV55))),SUBSTITUTE(SUBSTITUTE(SUBSTITUTE(SUBSTITUTE(SUBSTITUTE(SUBSTITUTE(SUBSTITUTE(SUBSTITUTE(SUBSTITUTE(SUBSTITUTE(IF(AND(COUNTIF(G210,"*P*"),COUNTIF(G210,"*V*")),IF(COUNTIF(G210,"*R*"),SUBSTITUTE(SUBSTITUTE(G210,"P",""),"R","S"),SUBSTITUTE(G210,"P","")),IF(AND(COUNTIF(G210,"*P*"),COUNTIF(G210,"*R*")),SUBSTITUTE(G210,"R","S"),IF(AND(COUNTIF(G210,"*V*"),COUNTIF(G210,"*R*")),SUBSTITUTE(G210,"R","S"),G210))),"0",""),"1",""),"2",""),"3",""),"4",""),"5",""),"6",""),"7",""),"8",""),"9","")&amp; Data!BV55),"")</f>
        <v/>
      </c>
      <c r="H227" s="41" t="str">
        <f>IF(H210&lt;&gt;"",IF(OR(COUNTIF(H210,"L*"),COUNTIF(H210, "X*")),IF(AND(COUNTIF(H210,"*P*"),COUNTIF(H210,"*V*")),IF(COUNTIF(H210,"*R*"),SUBSTITUTE(SUBSTITUTE(H210,"P",""),"R","S")&amp; Data!BW55,SUBSTITUTE(H210,"P","")&amp; Data!BW55),IF(AND(COUNTIF(H210,"*P*"),COUNTIF(H210,"*R*")),SUBSTITUTE(H210,"R","S")&amp;Data!BW55,IF(AND(COUNTIF(H210,"*V*"),COUNTIF(H210,"*R*")),SUBSTITUTE(H210,"R","S")&amp;Data!BW55,H210 &amp; Data!BW55))),SUBSTITUTE(SUBSTITUTE(SUBSTITUTE(SUBSTITUTE(SUBSTITUTE(SUBSTITUTE(SUBSTITUTE(SUBSTITUTE(SUBSTITUTE(SUBSTITUTE(IF(AND(COUNTIF(H210,"*P*"),COUNTIF(H210,"*V*")),IF(COUNTIF(H210,"*R*"),SUBSTITUTE(SUBSTITUTE(H210,"P",""),"R","S"),SUBSTITUTE(H210,"P","")),IF(AND(COUNTIF(H210,"*P*"),COUNTIF(H210,"*R*")),SUBSTITUTE(H210,"R","S"),IF(AND(COUNTIF(H210,"*V*"),COUNTIF(H210,"*R*")),SUBSTITUTE(H210,"R","S"),H210))),"0",""),"1",""),"2",""),"3",""),"4",""),"5",""),"6",""),"7",""),"8",""),"9","")&amp; Data!BW55),"")</f>
        <v/>
      </c>
      <c r="I227" s="41" t="str">
        <f>IF(I210&lt;&gt;"",IF(OR(COUNTIF(I210,"L*"),COUNTIF(I210, "X*")),IF(AND(COUNTIF(I210,"*P*"),COUNTIF(I210,"*V*")),IF(COUNTIF(I210,"*R*"),SUBSTITUTE(SUBSTITUTE(I210,"P",""),"R","S")&amp; Data!BX55,SUBSTITUTE(I210,"P","")&amp; Data!BX55),IF(AND(COUNTIF(I210,"*P*"),COUNTIF(I210,"*R*")),SUBSTITUTE(I210,"R","S")&amp;Data!BX55,IF(AND(COUNTIF(I210,"*V*"),COUNTIF(I210,"*R*")),SUBSTITUTE(I210,"R","S")&amp;Data!BX55,I210 &amp; Data!BX55))),SUBSTITUTE(SUBSTITUTE(SUBSTITUTE(SUBSTITUTE(SUBSTITUTE(SUBSTITUTE(SUBSTITUTE(SUBSTITUTE(SUBSTITUTE(SUBSTITUTE(IF(AND(COUNTIF(I210,"*P*"),COUNTIF(I210,"*V*")),IF(COUNTIF(I210,"*R*"),SUBSTITUTE(SUBSTITUTE(I210,"P",""),"R","S"),SUBSTITUTE(I210,"P","")),IF(AND(COUNTIF(I210,"*P*"),COUNTIF(I210,"*R*")),SUBSTITUTE(I210,"R","S"),IF(AND(COUNTIF(I210,"*V*"),COUNTIF(I210,"*R*")),SUBSTITUTE(I210,"R","S"),I210))),"0",""),"1",""),"2",""),"3",""),"4",""),"5",""),"6",""),"7",""),"8",""),"9","")&amp; Data!BX55),"")</f>
        <v/>
      </c>
      <c r="J227" s="41" t="str">
        <f>IF(J210&lt;&gt;"",IF(OR(COUNTIF(J210,"L*"),COUNTIF(J210, "X*")),IF(AND(COUNTIF(J210,"*P*"),COUNTIF(J210,"*V*")),IF(COUNTIF(J210,"*R*"),SUBSTITUTE(SUBSTITUTE(J210,"P",""),"R","S")&amp; Data!BY55,SUBSTITUTE(J210,"P","")&amp; Data!BY55),IF(AND(COUNTIF(J210,"*P*"),COUNTIF(J210,"*R*")),SUBSTITUTE(J210,"R","S")&amp;Data!BY55,IF(AND(COUNTIF(J210,"*V*"),COUNTIF(J210,"*R*")),SUBSTITUTE(J210,"R","S")&amp;Data!BY55,J210 &amp; Data!BY55))),SUBSTITUTE(SUBSTITUTE(SUBSTITUTE(SUBSTITUTE(SUBSTITUTE(SUBSTITUTE(SUBSTITUTE(SUBSTITUTE(SUBSTITUTE(SUBSTITUTE(IF(AND(COUNTIF(J210,"*P*"),COUNTIF(J210,"*V*")),IF(COUNTIF(J210,"*R*"),SUBSTITUTE(SUBSTITUTE(J210,"P",""),"R","S"),SUBSTITUTE(J210,"P","")),IF(AND(COUNTIF(J210,"*P*"),COUNTIF(J210,"*R*")),SUBSTITUTE(J210,"R","S"),IF(AND(COUNTIF(J210,"*V*"),COUNTIF(J210,"*R*")),SUBSTITUTE(J210,"R","S"),J210))),"0",""),"1",""),"2",""),"3",""),"4",""),"5",""),"6",""),"7",""),"8",""),"9","")&amp; Data!BY55),"")</f>
        <v/>
      </c>
      <c r="K227" s="41" t="str">
        <f>IF(K210&lt;&gt;"",IF(OR(COUNTIF(K210,"L*"),COUNTIF(K210, "X*")),IF(AND(COUNTIF(K210,"*P*"),COUNTIF(K210,"*V*")),IF(COUNTIF(K210,"*R*"),SUBSTITUTE(SUBSTITUTE(K210,"P",""),"R","S")&amp; Data!BZ55,SUBSTITUTE(K210,"P","")&amp; Data!BZ55),IF(AND(COUNTIF(K210,"*P*"),COUNTIF(K210,"*R*")),SUBSTITUTE(K210,"R","S")&amp;Data!BZ55,IF(AND(COUNTIF(K210,"*V*"),COUNTIF(K210,"*R*")),SUBSTITUTE(K210,"R","S")&amp;Data!BZ55,K210 &amp; Data!BZ55))),SUBSTITUTE(SUBSTITUTE(SUBSTITUTE(SUBSTITUTE(SUBSTITUTE(SUBSTITUTE(SUBSTITUTE(SUBSTITUTE(SUBSTITUTE(SUBSTITUTE(IF(AND(COUNTIF(K210,"*P*"),COUNTIF(K210,"*V*")),IF(COUNTIF(K210,"*R*"),SUBSTITUTE(SUBSTITUTE(K210,"P",""),"R","S"),SUBSTITUTE(K210,"P","")),IF(AND(COUNTIF(K210,"*P*"),COUNTIF(K210,"*R*")),SUBSTITUTE(K210,"R","S"),IF(AND(COUNTIF(K210,"*V*"),COUNTIF(K210,"*R*")),SUBSTITUTE(K210,"R","S"),K210))),"0",""),"1",""),"2",""),"3",""),"4",""),"5",""),"6",""),"7",""),"8",""),"9","")&amp; Data!BZ55),"")</f>
        <v/>
      </c>
      <c r="L227" s="41" t="str">
        <f>IF(L210&lt;&gt;"",IF(OR(COUNTIF(L210,"L*"),COUNTIF(L210, "X*")),IF(AND(COUNTIF(L210,"*P*"),COUNTIF(L210,"*V*")),IF(COUNTIF(L210,"*R*"),SUBSTITUTE(SUBSTITUTE(L210,"P",""),"R","S")&amp; Data!CA55,SUBSTITUTE(L210,"P","")&amp; Data!CA55),IF(AND(COUNTIF(L210,"*P*"),COUNTIF(L210,"*R*")),SUBSTITUTE(L210,"R","S")&amp;Data!CA55,IF(AND(COUNTIF(L210,"*V*"),COUNTIF(L210,"*R*")),SUBSTITUTE(L210,"R","S")&amp;Data!CA55,L210 &amp; Data!CA55))),SUBSTITUTE(SUBSTITUTE(SUBSTITUTE(SUBSTITUTE(SUBSTITUTE(SUBSTITUTE(SUBSTITUTE(SUBSTITUTE(SUBSTITUTE(SUBSTITUTE(IF(AND(COUNTIF(L210,"*P*"),COUNTIF(L210,"*V*")),IF(COUNTIF(L210,"*R*"),SUBSTITUTE(SUBSTITUTE(L210,"P",""),"R","S"),SUBSTITUTE(L210,"P","")),IF(AND(COUNTIF(L210,"*P*"),COUNTIF(L210,"*R*")),SUBSTITUTE(L210,"R","S"),IF(AND(COUNTIF(L210,"*V*"),COUNTIF(L210,"*R*")),SUBSTITUTE(L210,"R","S"),L210))),"0",""),"1",""),"2",""),"3",""),"4",""),"5",""),"6",""),"7",""),"8",""),"9","")&amp; Data!CA55),"")</f>
        <v/>
      </c>
      <c r="M227" s="41" t="str">
        <f>IF(M210&lt;&gt;"",IF(OR(COUNTIF(M210,"L*"),COUNTIF(M210, "X*")),IF(AND(COUNTIF(M210,"*P*"),COUNTIF(M210,"*V*")),IF(COUNTIF(M210,"*R*"),SUBSTITUTE(SUBSTITUTE(M210,"P",""),"R","S")&amp; Data!CB55,SUBSTITUTE(M210,"P","")&amp; Data!CB55),IF(AND(COUNTIF(M210,"*P*"),COUNTIF(M210,"*R*")),SUBSTITUTE(M210,"R","S")&amp;Data!CB55,IF(AND(COUNTIF(M210,"*V*"),COUNTIF(M210,"*R*")),SUBSTITUTE(M210,"R","S")&amp;Data!CB55,M210 &amp; Data!CB55))),SUBSTITUTE(SUBSTITUTE(SUBSTITUTE(SUBSTITUTE(SUBSTITUTE(SUBSTITUTE(SUBSTITUTE(SUBSTITUTE(SUBSTITUTE(SUBSTITUTE(IF(AND(COUNTIF(M210,"*P*"),COUNTIF(M210,"*V*")),IF(COUNTIF(M210,"*R*"),SUBSTITUTE(SUBSTITUTE(M210,"P",""),"R","S"),SUBSTITUTE(M210,"P","")),IF(AND(COUNTIF(M210,"*P*"),COUNTIF(M210,"*R*")),SUBSTITUTE(M210,"R","S"),IF(AND(COUNTIF(M210,"*V*"),COUNTIF(M210,"*R*")),SUBSTITUTE(M210,"R","S"),M210))),"0",""),"1",""),"2",""),"3",""),"4",""),"5",""),"6",""),"7",""),"8",""),"9","")&amp; Data!CB55),"")</f>
        <v/>
      </c>
      <c r="N227" s="41" t="str">
        <f>IF(N210&lt;&gt;"",IF(OR(COUNTIF(N210,"L*"),COUNTIF(N210, "X*")),IF(AND(COUNTIF(N210,"*P*"),COUNTIF(N210,"*V*")),IF(COUNTIF(N210,"*R*"),SUBSTITUTE(SUBSTITUTE(N210,"P",""),"R","S")&amp; Data!CC55,SUBSTITUTE(N210,"P","")&amp; Data!CC55),IF(AND(COUNTIF(N210,"*P*"),COUNTIF(N210,"*R*")),SUBSTITUTE(N210,"R","S")&amp;Data!CC55,IF(AND(COUNTIF(N210,"*V*"),COUNTIF(N210,"*R*")),SUBSTITUTE(N210,"R","S")&amp;Data!CC55,N210 &amp; Data!CC55))),SUBSTITUTE(SUBSTITUTE(SUBSTITUTE(SUBSTITUTE(SUBSTITUTE(SUBSTITUTE(SUBSTITUTE(SUBSTITUTE(SUBSTITUTE(SUBSTITUTE(IF(AND(COUNTIF(N210,"*P*"),COUNTIF(N210,"*V*")),IF(COUNTIF(N210,"*R*"),SUBSTITUTE(SUBSTITUTE(N210,"P",""),"R","S"),SUBSTITUTE(N210,"P","")),IF(AND(COUNTIF(N210,"*P*"),COUNTIF(N210,"*R*")),SUBSTITUTE(N210,"R","S"),IF(AND(COUNTIF(N210,"*V*"),COUNTIF(N210,"*R*")),SUBSTITUTE(N210,"R","S"),N210))),"0",""),"1",""),"2",""),"3",""),"4",""),"5",""),"6",""),"7",""),"8",""),"9","")&amp; Data!CC55),"")</f>
        <v/>
      </c>
      <c r="O227" s="41" t="str">
        <f>IF(O210&lt;&gt;"",IF(OR(COUNTIF(O210,"L*"),COUNTIF(O210, "X*")),IF(AND(COUNTIF(O210,"*P*"),COUNTIF(O210,"*V*")),IF(COUNTIF(O210,"*R*"),SUBSTITUTE(SUBSTITUTE(O210,"P",""),"R","S")&amp; Data!CD55,SUBSTITUTE(O210,"P","")&amp; Data!CD55),IF(AND(COUNTIF(O210,"*P*"),COUNTIF(O210,"*R*")),SUBSTITUTE(O210,"R","S")&amp;Data!CD55,IF(AND(COUNTIF(O210,"*V*"),COUNTIF(O210,"*R*")),SUBSTITUTE(O210,"R","S")&amp;Data!CD55,O210 &amp; Data!CD55))),SUBSTITUTE(SUBSTITUTE(SUBSTITUTE(SUBSTITUTE(SUBSTITUTE(SUBSTITUTE(SUBSTITUTE(SUBSTITUTE(SUBSTITUTE(SUBSTITUTE(IF(AND(COUNTIF(O210,"*P*"),COUNTIF(O210,"*V*")),IF(COUNTIF(O210,"*R*"),SUBSTITUTE(SUBSTITUTE(O210,"P",""),"R","S"),SUBSTITUTE(O210,"P","")),IF(AND(COUNTIF(O210,"*P*"),COUNTIF(O210,"*R*")),SUBSTITUTE(O210,"R","S"),IF(AND(COUNTIF(O210,"*V*"),COUNTIF(O210,"*R*")),SUBSTITUTE(O210,"R","S"),O210))),"0",""),"1",""),"2",""),"3",""),"4",""),"5",""),"6",""),"7",""),"8",""),"9","")&amp; Data!CD55),"")</f>
        <v/>
      </c>
      <c r="P227" s="41" t="str">
        <f>IF(P210&lt;&gt;"",IF(OR(COUNTIF(P210,"L*"),COUNTIF(P210, "X*")),IF(AND(COUNTIF(P210,"*P*"),COUNTIF(P210,"*V*")),IF(COUNTIF(P210,"*R*"),SUBSTITUTE(SUBSTITUTE(P210,"P",""),"R","S")&amp; Data!CE55,SUBSTITUTE(P210,"P","")&amp; Data!CE55),IF(AND(COUNTIF(P210,"*P*"),COUNTIF(P210,"*R*")),SUBSTITUTE(P210,"R","S")&amp;Data!CE55,IF(AND(COUNTIF(P210,"*V*"),COUNTIF(P210,"*R*")),SUBSTITUTE(P210,"R","S")&amp;Data!CE55,P210 &amp; Data!CE55))),SUBSTITUTE(SUBSTITUTE(SUBSTITUTE(SUBSTITUTE(SUBSTITUTE(SUBSTITUTE(SUBSTITUTE(SUBSTITUTE(SUBSTITUTE(SUBSTITUTE(IF(AND(COUNTIF(P210,"*P*"),COUNTIF(P210,"*V*")),IF(COUNTIF(P210,"*R*"),SUBSTITUTE(SUBSTITUTE(P210,"P",""),"R","S"),SUBSTITUTE(P210,"P","")),IF(AND(COUNTIF(P210,"*P*"),COUNTIF(P210,"*R*")),SUBSTITUTE(P210,"R","S"),IF(AND(COUNTIF(P210,"*V*"),COUNTIF(P210,"*R*")),SUBSTITUTE(P210,"R","S"),P210))),"0",""),"1",""),"2",""),"3",""),"4",""),"5",""),"6",""),"7",""),"8",""),"9","")&amp; Data!CE55),"")</f>
        <v/>
      </c>
      <c r="Q227" s="41" t="str">
        <f>IF(Q210&lt;&gt;"",IF(OR(COUNTIF(Q210,"L*"),COUNTIF(Q210, "X*")),IF(AND(COUNTIF(Q210,"*P*"),COUNTIF(Q210,"*V*")),IF(COUNTIF(Q210,"*R*"),SUBSTITUTE(SUBSTITUTE(Q210,"P",""),"R","S")&amp; Data!CF55,SUBSTITUTE(Q210,"P","")&amp; Data!CF55),IF(AND(COUNTIF(Q210,"*P*"),COUNTIF(Q210,"*R*")),SUBSTITUTE(Q210,"R","S")&amp;Data!CF55,IF(AND(COUNTIF(Q210,"*V*"),COUNTIF(Q210,"*R*")),SUBSTITUTE(Q210,"R","S")&amp;Data!CF55,Q210 &amp; Data!CF55))),SUBSTITUTE(SUBSTITUTE(SUBSTITUTE(SUBSTITUTE(SUBSTITUTE(SUBSTITUTE(SUBSTITUTE(SUBSTITUTE(SUBSTITUTE(SUBSTITUTE(IF(AND(COUNTIF(Q210,"*P*"),COUNTIF(Q210,"*V*")),IF(COUNTIF(Q210,"*R*"),SUBSTITUTE(SUBSTITUTE(Q210,"P",""),"R","S"),SUBSTITUTE(Q210,"P","")),IF(AND(COUNTIF(Q210,"*P*"),COUNTIF(Q210,"*R*")),SUBSTITUTE(Q210,"R","S"),IF(AND(COUNTIF(Q210,"*V*"),COUNTIF(Q210,"*R*")),SUBSTITUTE(Q210,"R","S"),Q210))),"0",""),"1",""),"2",""),"3",""),"4",""),"5",""),"6",""),"7",""),"8",""),"9","")&amp; Data!CF55),"")</f>
        <v/>
      </c>
      <c r="R227" s="41" t="str">
        <f>IF(R210&lt;&gt;"",IF(OR(COUNTIF(R210,"L*"),COUNTIF(R210, "X*")),IF(AND(COUNTIF(R210,"*P*"),COUNTIF(R210,"*V*")),IF(COUNTIF(R210,"*R*"),SUBSTITUTE(SUBSTITUTE(R210,"P",""),"R","S")&amp; Data!CG55,SUBSTITUTE(R210,"P","")&amp; Data!CG55),IF(AND(COUNTIF(R210,"*P*"),COUNTIF(R210,"*R*")),SUBSTITUTE(R210,"R","S")&amp;Data!CG55,IF(AND(COUNTIF(R210,"*V*"),COUNTIF(R210,"*R*")),SUBSTITUTE(R210,"R","S")&amp;Data!CG55,R210 &amp; Data!CG55))),SUBSTITUTE(SUBSTITUTE(SUBSTITUTE(SUBSTITUTE(SUBSTITUTE(SUBSTITUTE(SUBSTITUTE(SUBSTITUTE(SUBSTITUTE(SUBSTITUTE(IF(AND(COUNTIF(R210,"*P*"),COUNTIF(R210,"*V*")),IF(COUNTIF(R210,"*R*"),SUBSTITUTE(SUBSTITUTE(R210,"P",""),"R","S"),SUBSTITUTE(R210,"P","")),IF(AND(COUNTIF(R210,"*P*"),COUNTIF(R210,"*R*")),SUBSTITUTE(R210,"R","S"),IF(AND(COUNTIF(R210,"*V*"),COUNTIF(R210,"*R*")),SUBSTITUTE(R210,"R","S"),R210))),"0",""),"1",""),"2",""),"3",""),"4",""),"5",""),"6",""),"7",""),"8",""),"9","")&amp; Data!CG55),"")</f>
        <v/>
      </c>
      <c r="S227" s="41" t="str">
        <f>IF(S210&lt;&gt;"",IF(OR(COUNTIF(S210,"L*"),COUNTIF(S210, "X*")),IF(AND(COUNTIF(S210,"*P*"),COUNTIF(S210,"*V*")),IF(COUNTIF(S210,"*R*"),SUBSTITUTE(SUBSTITUTE(S210,"P",""),"R","S")&amp; Data!CH55,SUBSTITUTE(S210,"P","")&amp; Data!CH55),IF(AND(COUNTIF(S210,"*P*"),COUNTIF(S210,"*R*")),SUBSTITUTE(S210,"R","S")&amp;Data!CH55,IF(AND(COUNTIF(S210,"*V*"),COUNTIF(S210,"*R*")),SUBSTITUTE(S210,"R","S")&amp;Data!CH55,S210 &amp; Data!CH55))),SUBSTITUTE(SUBSTITUTE(SUBSTITUTE(SUBSTITUTE(SUBSTITUTE(SUBSTITUTE(SUBSTITUTE(SUBSTITUTE(SUBSTITUTE(SUBSTITUTE(IF(AND(COUNTIF(S210,"*P*"),COUNTIF(S210,"*V*")),IF(COUNTIF(S210,"*R*"),SUBSTITUTE(SUBSTITUTE(S210,"P",""),"R","S"),SUBSTITUTE(S210,"P","")),IF(AND(COUNTIF(S210,"*P*"),COUNTIF(S210,"*R*")),SUBSTITUTE(S210,"R","S"),IF(AND(COUNTIF(S210,"*V*"),COUNTIF(S210,"*R*")),SUBSTITUTE(S210,"R","S"),S210))),"0",""),"1",""),"2",""),"3",""),"4",""),"5",""),"6",""),"7",""),"8",""),"9","")&amp; Data!CH55),"")</f>
        <v/>
      </c>
      <c r="T227" s="41" t="str">
        <f>IF(T210&lt;&gt;"",IF(OR(COUNTIF(T210,"L*"),COUNTIF(T210, "X*")),IF(AND(COUNTIF(T210,"*P*"),COUNTIF(T210,"*V*")),IF(COUNTIF(T210,"*R*"),SUBSTITUTE(SUBSTITUTE(T210,"P",""),"R","S")&amp; Data!CI55,SUBSTITUTE(T210,"P","")&amp; Data!CI55),IF(AND(COUNTIF(T210,"*P*"),COUNTIF(T210,"*R*")),SUBSTITUTE(T210,"R","S")&amp;Data!CI55,IF(AND(COUNTIF(T210,"*V*"),COUNTIF(T210,"*R*")),SUBSTITUTE(T210,"R","S")&amp;Data!CI55,T210 &amp; Data!CI55))),SUBSTITUTE(SUBSTITUTE(SUBSTITUTE(SUBSTITUTE(SUBSTITUTE(SUBSTITUTE(SUBSTITUTE(SUBSTITUTE(SUBSTITUTE(SUBSTITUTE(IF(AND(COUNTIF(T210,"*P*"),COUNTIF(T210,"*V*")),IF(COUNTIF(T210,"*R*"),SUBSTITUTE(SUBSTITUTE(T210,"P",""),"R","S"),SUBSTITUTE(T210,"P","")),IF(AND(COUNTIF(T210,"*P*"),COUNTIF(T210,"*R*")),SUBSTITUTE(T210,"R","S"),IF(AND(COUNTIF(T210,"*V*"),COUNTIF(T210,"*R*")),SUBSTITUTE(T210,"R","S"),T210))),"0",""),"1",""),"2",""),"3",""),"4",""),"5",""),"6",""),"7",""),"8",""),"9","")&amp; Data!CI55),"")</f>
        <v/>
      </c>
      <c r="U227" s="41" t="str">
        <f>IF(U210&lt;&gt;"",IF(OR(COUNTIF(U210,"L*"),COUNTIF(U210, "X*")),IF(AND(COUNTIF(U210,"*P*"),COUNTIF(U210,"*V*")),IF(COUNTIF(U210,"*R*"),SUBSTITUTE(SUBSTITUTE(U210,"P",""),"R","S")&amp; Data!CJ55,SUBSTITUTE(U210,"P","")&amp; Data!CJ55),IF(AND(COUNTIF(U210,"*P*"),COUNTIF(U210,"*R*")),SUBSTITUTE(U210,"R","S")&amp;Data!CJ55,IF(AND(COUNTIF(U210,"*V*"),COUNTIF(U210,"*R*")),SUBSTITUTE(U210,"R","S")&amp;Data!CJ55,U210 &amp; Data!CJ55))),SUBSTITUTE(SUBSTITUTE(SUBSTITUTE(SUBSTITUTE(SUBSTITUTE(SUBSTITUTE(SUBSTITUTE(SUBSTITUTE(SUBSTITUTE(SUBSTITUTE(IF(AND(COUNTIF(U210,"*P*"),COUNTIF(U210,"*V*")),IF(COUNTIF(U210,"*R*"),SUBSTITUTE(SUBSTITUTE(U210,"P",""),"R","S"),SUBSTITUTE(U210,"P","")),IF(AND(COUNTIF(U210,"*P*"),COUNTIF(U210,"*R*")),SUBSTITUTE(U210,"R","S"),IF(AND(COUNTIF(U210,"*V*"),COUNTIF(U210,"*R*")),SUBSTITUTE(U210,"R","S"),U210))),"0",""),"1",""),"2",""),"3",""),"4",""),"5",""),"6",""),"7",""),"8",""),"9","")&amp; Data!CJ55),"")</f>
        <v/>
      </c>
      <c r="V227" s="41" t="str">
        <f>IF(V210&lt;&gt;"",IF(OR(COUNTIF(V210,"L*"),COUNTIF(V210, "X*")),IF(AND(COUNTIF(V210,"*P*"),COUNTIF(V210,"*V*")),IF(COUNTIF(V210,"*R*"),SUBSTITUTE(SUBSTITUTE(V210,"P",""),"R","S")&amp; Data!CK55,SUBSTITUTE(V210,"P","")&amp; Data!CK55),IF(AND(COUNTIF(V210,"*P*"),COUNTIF(V210,"*R*")),SUBSTITUTE(V210,"R","S")&amp;Data!CK55,IF(AND(COUNTIF(V210,"*V*"),COUNTIF(V210,"*R*")),SUBSTITUTE(V210,"R","S")&amp;Data!CK55,V210 &amp; Data!CK55))),SUBSTITUTE(SUBSTITUTE(SUBSTITUTE(SUBSTITUTE(SUBSTITUTE(SUBSTITUTE(SUBSTITUTE(SUBSTITUTE(SUBSTITUTE(SUBSTITUTE(IF(AND(COUNTIF(V210,"*P*"),COUNTIF(V210,"*V*")),IF(COUNTIF(V210,"*R*"),SUBSTITUTE(SUBSTITUTE(V210,"P",""),"R","S"),SUBSTITUTE(V210,"P","")),IF(AND(COUNTIF(V210,"*P*"),COUNTIF(V210,"*R*")),SUBSTITUTE(V210,"R","S"),IF(AND(COUNTIF(V210,"*V*"),COUNTIF(V210,"*R*")),SUBSTITUTE(V210,"R","S"),V210))),"0",""),"1",""),"2",""),"3",""),"4",""),"5",""),"6",""),"7",""),"8",""),"9","")&amp; Data!CK55),"")</f>
        <v/>
      </c>
      <c r="W227" s="41" t="str">
        <f>IF(W210&lt;&gt;"",IF(OR(COUNTIF(W210,"L*"),COUNTIF(W210, "X*")),IF(AND(COUNTIF(W210,"*P*"),COUNTIF(W210,"*V*")),IF(COUNTIF(W210,"*R*"),SUBSTITUTE(SUBSTITUTE(W210,"P",""),"R","S")&amp; Data!CL55,SUBSTITUTE(W210,"P","")&amp; Data!CL55),IF(AND(COUNTIF(W210,"*P*"),COUNTIF(W210,"*R*")),SUBSTITUTE(W210,"R","S")&amp;Data!CL55,IF(AND(COUNTIF(W210,"*V*"),COUNTIF(W210,"*R*")),SUBSTITUTE(W210,"R","S")&amp;Data!CL55,W210 &amp; Data!CL55))),SUBSTITUTE(SUBSTITUTE(SUBSTITUTE(SUBSTITUTE(SUBSTITUTE(SUBSTITUTE(SUBSTITUTE(SUBSTITUTE(SUBSTITUTE(SUBSTITUTE(IF(AND(COUNTIF(W210,"*P*"),COUNTIF(W210,"*V*")),IF(COUNTIF(W210,"*R*"),SUBSTITUTE(SUBSTITUTE(W210,"P",""),"R","S"),SUBSTITUTE(W210,"P","")),IF(AND(COUNTIF(W210,"*P*"),COUNTIF(W210,"*R*")),SUBSTITUTE(W210,"R","S"),IF(AND(COUNTIF(W210,"*V*"),COUNTIF(W210,"*R*")),SUBSTITUTE(W210,"R","S"),W210))),"0",""),"1",""),"2",""),"3",""),"4",""),"5",""),"6",""),"7",""),"8",""),"9","")&amp; Data!CL55),"")</f>
        <v/>
      </c>
      <c r="X227" s="41" t="str">
        <f>IF(X210&lt;&gt;"",IF(OR(COUNTIF(X210,"L*"),COUNTIF(X210, "X*")),IF(AND(COUNTIF(X210,"*P*"),COUNTIF(X210,"*V*")),IF(COUNTIF(X210,"*R*"),SUBSTITUTE(SUBSTITUTE(X210,"P",""),"R","S")&amp; Data!CM55,SUBSTITUTE(X210,"P","")&amp; Data!CM55),IF(AND(COUNTIF(X210,"*P*"),COUNTIF(X210,"*R*")),SUBSTITUTE(X210,"R","S")&amp;Data!CM55,IF(AND(COUNTIF(X210,"*V*"),COUNTIF(X210,"*R*")),SUBSTITUTE(X210,"R","S")&amp;Data!CM55,X210 &amp; Data!CM55))),SUBSTITUTE(SUBSTITUTE(SUBSTITUTE(SUBSTITUTE(SUBSTITUTE(SUBSTITUTE(SUBSTITUTE(SUBSTITUTE(SUBSTITUTE(SUBSTITUTE(IF(AND(COUNTIF(X210,"*P*"),COUNTIF(X210,"*V*")),IF(COUNTIF(X210,"*R*"),SUBSTITUTE(SUBSTITUTE(X210,"P",""),"R","S"),SUBSTITUTE(X210,"P","")),IF(AND(COUNTIF(X210,"*P*"),COUNTIF(X210,"*R*")),SUBSTITUTE(X210,"R","S"),IF(AND(COUNTIF(X210,"*V*"),COUNTIF(X210,"*R*")),SUBSTITUTE(X210,"R","S"),X210))),"0",""),"1",""),"2",""),"3",""),"4",""),"5",""),"6",""),"7",""),"8",""),"9","")&amp; Data!CM55),"")</f>
        <v/>
      </c>
      <c r="Y227" s="41" t="str">
        <f>IF(Y210&lt;&gt;"",IF(OR(COUNTIF(Y210,"L*"),COUNTIF(Y210, "X*")),IF(AND(COUNTIF(Y210,"*P*"),COUNTIF(Y210,"*V*")),IF(COUNTIF(Y210,"*R*"),SUBSTITUTE(SUBSTITUTE(Y210,"P",""),"R","S")&amp; Data!CN55,SUBSTITUTE(Y210,"P","")&amp; Data!CN55),IF(AND(COUNTIF(Y210,"*P*"),COUNTIF(Y210,"*R*")),SUBSTITUTE(Y210,"R","S")&amp;Data!CN55,IF(AND(COUNTIF(Y210,"*V*"),COUNTIF(Y210,"*R*")),SUBSTITUTE(Y210,"R","S")&amp;Data!CN55,Y210 &amp; Data!CN55))),SUBSTITUTE(SUBSTITUTE(SUBSTITUTE(SUBSTITUTE(SUBSTITUTE(SUBSTITUTE(SUBSTITUTE(SUBSTITUTE(SUBSTITUTE(SUBSTITUTE(IF(AND(COUNTIF(Y210,"*P*"),COUNTIF(Y210,"*V*")),IF(COUNTIF(Y210,"*R*"),SUBSTITUTE(SUBSTITUTE(Y210,"P",""),"R","S"),SUBSTITUTE(Y210,"P","")),IF(AND(COUNTIF(Y210,"*P*"),COUNTIF(Y210,"*R*")),SUBSTITUTE(Y210,"R","S"),IF(AND(COUNTIF(Y210,"*V*"),COUNTIF(Y210,"*R*")),SUBSTITUTE(Y210,"R","S"),Y210))),"0",""),"1",""),"2",""),"3",""),"4",""),"5",""),"6",""),"7",""),"8",""),"9","")&amp; Data!CN55),"")</f>
        <v/>
      </c>
      <c r="Z227" s="41" t="str">
        <f>IF(Z210&lt;&gt;"",IF(OR(COUNTIF(Z210,"L*"),COUNTIF(Z210, "X*")),IF(AND(COUNTIF(Z210,"*P*"),COUNTIF(Z210,"*V*")),IF(COUNTIF(Z210,"*R*"),SUBSTITUTE(SUBSTITUTE(Z210,"P",""),"R","S")&amp; Data!CO55,SUBSTITUTE(Z210,"P","")&amp; Data!CO55),IF(AND(COUNTIF(Z210,"*P*"),COUNTIF(Z210,"*R*")),SUBSTITUTE(Z210,"R","S")&amp;Data!CO55,IF(AND(COUNTIF(Z210,"*V*"),COUNTIF(Z210,"*R*")),SUBSTITUTE(Z210,"R","S")&amp;Data!CO55,Z210 &amp; Data!CO55))),SUBSTITUTE(SUBSTITUTE(SUBSTITUTE(SUBSTITUTE(SUBSTITUTE(SUBSTITUTE(SUBSTITUTE(SUBSTITUTE(SUBSTITUTE(SUBSTITUTE(IF(AND(COUNTIF(Z210,"*P*"),COUNTIF(Z210,"*V*")),IF(COUNTIF(Z210,"*R*"),SUBSTITUTE(SUBSTITUTE(Z210,"P",""),"R","S"),SUBSTITUTE(Z210,"P","")),IF(AND(COUNTIF(Z210,"*P*"),COUNTIF(Z210,"*R*")),SUBSTITUTE(Z210,"R","S"),IF(AND(COUNTIF(Z210,"*V*"),COUNTIF(Z210,"*R*")),SUBSTITUTE(Z210,"R","S"),Z210))),"0",""),"1",""),"2",""),"3",""),"4",""),"5",""),"6",""),"7",""),"8",""),"9","")&amp; Data!CO55),"")</f>
        <v/>
      </c>
      <c r="AA227" s="41" t="str">
        <f>IF(AA210&lt;&gt;"",IF(OR(COUNTIF(AA210,"L*"),COUNTIF(AA210, "X*")),IF(AND(COUNTIF(AA210,"*P*"),COUNTIF(AA210,"*V*")),IF(COUNTIF(AA210,"*R*"),SUBSTITUTE(SUBSTITUTE(AA210,"P",""),"R","S")&amp; Data!CP55,SUBSTITUTE(AA210,"P","")&amp; Data!CP55),IF(AND(COUNTIF(AA210,"*P*"),COUNTIF(AA210,"*R*")),SUBSTITUTE(AA210,"R","S")&amp;Data!CP55,IF(AND(COUNTIF(AA210,"*V*"),COUNTIF(AA210,"*R*")),SUBSTITUTE(AA210,"R","S")&amp;Data!CP55,AA210 &amp; Data!CP55))),SUBSTITUTE(SUBSTITUTE(SUBSTITUTE(SUBSTITUTE(SUBSTITUTE(SUBSTITUTE(SUBSTITUTE(SUBSTITUTE(SUBSTITUTE(SUBSTITUTE(IF(AND(COUNTIF(AA210,"*P*"),COUNTIF(AA210,"*V*")),IF(COUNTIF(AA210,"*R*"),SUBSTITUTE(SUBSTITUTE(AA210,"P",""),"R","S"),SUBSTITUTE(AA210,"P","")),IF(AND(COUNTIF(AA210,"*P*"),COUNTIF(AA210,"*R*")),SUBSTITUTE(AA210,"R","S"),IF(AND(COUNTIF(AA210,"*V*"),COUNTIF(AA210,"*R*")),SUBSTITUTE(AA210,"R","S"),AA210))),"0",""),"1",""),"2",""),"3",""),"4",""),"5",""),"6",""),"7",""),"8",""),"9","")&amp; Data!CP55),"")</f>
        <v/>
      </c>
      <c r="AB227" s="41" t="str">
        <f>IF(AB210&lt;&gt;"",IF(OR(COUNTIF(AB210,"L*"),COUNTIF(AB210, "X*")),IF(AND(COUNTIF(AB210,"*P*"),COUNTIF(AB210,"*V*")),IF(COUNTIF(AB210,"*R*"),SUBSTITUTE(SUBSTITUTE(AB210,"P",""),"R","S")&amp; Data!CQ55,SUBSTITUTE(AB210,"P","")&amp; Data!CQ55),IF(AND(COUNTIF(AB210,"*P*"),COUNTIF(AB210,"*R*")),SUBSTITUTE(AB210,"R","S")&amp;Data!CQ55,IF(AND(COUNTIF(AB210,"*V*"),COUNTIF(AB210,"*R*")),SUBSTITUTE(AB210,"R","S")&amp;Data!CQ55,AB210 &amp; Data!CQ55))),SUBSTITUTE(SUBSTITUTE(SUBSTITUTE(SUBSTITUTE(SUBSTITUTE(SUBSTITUTE(SUBSTITUTE(SUBSTITUTE(SUBSTITUTE(SUBSTITUTE(IF(AND(COUNTIF(AB210,"*P*"),COUNTIF(AB210,"*V*")),IF(COUNTIF(AB210,"*R*"),SUBSTITUTE(SUBSTITUTE(AB210,"P",""),"R","S"),SUBSTITUTE(AB210,"P","")),IF(AND(COUNTIF(AB210,"*P*"),COUNTIF(AB210,"*R*")),SUBSTITUTE(AB210,"R","S"),IF(AND(COUNTIF(AB210,"*V*"),COUNTIF(AB210,"*R*")),SUBSTITUTE(AB210,"R","S"),AB210))),"0",""),"1",""),"2",""),"3",""),"4",""),"5",""),"6",""),"7",""),"8",""),"9","")&amp; Data!CQ55),"")</f>
        <v/>
      </c>
      <c r="AC227" s="41" t="str">
        <f>IF(AC210&lt;&gt;"",IF(OR(COUNTIF(AC210,"L*"),COUNTIF(AC210, "X*")),IF(AND(COUNTIF(AC210,"*P*"),COUNTIF(AC210,"*V*")),IF(COUNTIF(AC210,"*R*"),SUBSTITUTE(SUBSTITUTE(AC210,"P",""),"R","S")&amp; Data!CR55,SUBSTITUTE(AC210,"P","")&amp; Data!CR55),IF(AND(COUNTIF(AC210,"*P*"),COUNTIF(AC210,"*R*")),SUBSTITUTE(AC210,"R","S")&amp;Data!CR55,IF(AND(COUNTIF(AC210,"*V*"),COUNTIF(AC210,"*R*")),SUBSTITUTE(AC210,"R","S")&amp;Data!CR55,AC210 &amp; Data!CR55))),SUBSTITUTE(SUBSTITUTE(SUBSTITUTE(SUBSTITUTE(SUBSTITUTE(SUBSTITUTE(SUBSTITUTE(SUBSTITUTE(SUBSTITUTE(SUBSTITUTE(IF(AND(COUNTIF(AC210,"*P*"),COUNTIF(AC210,"*V*")),IF(COUNTIF(AC210,"*R*"),SUBSTITUTE(SUBSTITUTE(AC210,"P",""),"R","S"),SUBSTITUTE(AC210,"P","")),IF(AND(COUNTIF(AC210,"*P*"),COUNTIF(AC210,"*R*")),SUBSTITUTE(AC210,"R","S"),IF(AND(COUNTIF(AC210,"*V*"),COUNTIF(AC210,"*R*")),SUBSTITUTE(AC210,"R","S"),AC210))),"0",""),"1",""),"2",""),"3",""),"4",""),"5",""),"6",""),"7",""),"8",""),"9","")&amp; Data!CR55),"")</f>
        <v/>
      </c>
      <c r="AD227" s="41" t="str">
        <f>IF(AD210&lt;&gt;"",IF(OR(COUNTIF(AD210,"L*"),COUNTIF(AD210, "X*")),IF(AND(COUNTIF(AD210,"*P*"),COUNTIF(AD210,"*V*")),IF(COUNTIF(AD210,"*R*"),SUBSTITUTE(SUBSTITUTE(AD210,"P",""),"R","S")&amp; Data!CS55,SUBSTITUTE(AD210,"P","")&amp; Data!CS55),IF(AND(COUNTIF(AD210,"*P*"),COUNTIF(AD210,"*R*")),SUBSTITUTE(AD210,"R","S")&amp;Data!CS55,IF(AND(COUNTIF(AD210,"*V*"),COUNTIF(AD210,"*R*")),SUBSTITUTE(AD210,"R","S")&amp;Data!CS55,AD210 &amp; Data!CS55))),SUBSTITUTE(SUBSTITUTE(SUBSTITUTE(SUBSTITUTE(SUBSTITUTE(SUBSTITUTE(SUBSTITUTE(SUBSTITUTE(SUBSTITUTE(SUBSTITUTE(IF(AND(COUNTIF(AD210,"*P*"),COUNTIF(AD210,"*V*")),IF(COUNTIF(AD210,"*R*"),SUBSTITUTE(SUBSTITUTE(AD210,"P",""),"R","S"),SUBSTITUTE(AD210,"P","")),IF(AND(COUNTIF(AD210,"*P*"),COUNTIF(AD210,"*R*")),SUBSTITUTE(AD210,"R","S"),IF(AND(COUNTIF(AD210,"*V*"),COUNTIF(AD210,"*R*")),SUBSTITUTE(AD210,"R","S"),AD210))),"0",""),"1",""),"2",""),"3",""),"4",""),"5",""),"6",""),"7",""),"8",""),"9","")&amp; Data!CS55),"")</f>
        <v/>
      </c>
      <c r="AE227" s="41" t="str">
        <f>IF(AE210&lt;&gt;"",IF(OR(COUNTIF(AE210,"L*"),COUNTIF(AE210, "X*")),IF(AND(COUNTIF(AE210,"*P*"),COUNTIF(AE210,"*V*")),IF(COUNTIF(AE210,"*R*"),SUBSTITUTE(SUBSTITUTE(AE210,"P",""),"R","S")&amp; Data!CT55,SUBSTITUTE(AE210,"P","")&amp; Data!CT55),IF(AND(COUNTIF(AE210,"*P*"),COUNTIF(AE210,"*R*")),SUBSTITUTE(AE210,"R","S")&amp;Data!CT55,IF(AND(COUNTIF(AE210,"*V*"),COUNTIF(AE210,"*R*")),SUBSTITUTE(AE210,"R","S")&amp;Data!CT55,AE210 &amp; Data!CT55))),SUBSTITUTE(SUBSTITUTE(SUBSTITUTE(SUBSTITUTE(SUBSTITUTE(SUBSTITUTE(SUBSTITUTE(SUBSTITUTE(SUBSTITUTE(SUBSTITUTE(IF(AND(COUNTIF(AE210,"*P*"),COUNTIF(AE210,"*V*")),IF(COUNTIF(AE210,"*R*"),SUBSTITUTE(SUBSTITUTE(AE210,"P",""),"R","S"),SUBSTITUTE(AE210,"P","")),IF(AND(COUNTIF(AE210,"*P*"),COUNTIF(AE210,"*R*")),SUBSTITUTE(AE210,"R","S"),IF(AND(COUNTIF(AE210,"*V*"),COUNTIF(AE210,"*R*")),SUBSTITUTE(AE210,"R","S"),AE210))),"0",""),"1",""),"2",""),"3",""),"4",""),"5",""),"6",""),"7",""),"8",""),"9","")&amp; Data!CT55),"")</f>
        <v/>
      </c>
      <c r="AF227" s="41" t="str">
        <f>IF(AF210&lt;&gt;"",IF(OR(COUNTIF(AF210,"L*"),COUNTIF(AF210, "X*")),IF(AND(COUNTIF(AF210,"*P*"),COUNTIF(AF210,"*V*")),IF(COUNTIF(AF210,"*R*"),SUBSTITUTE(SUBSTITUTE(AF210,"P",""),"R","S")&amp; Data!CU55,SUBSTITUTE(AF210,"P","")&amp; Data!CU55),IF(AND(COUNTIF(AF210,"*P*"),COUNTIF(AF210,"*R*")),SUBSTITUTE(AF210,"R","S")&amp;Data!CU55,IF(AND(COUNTIF(AF210,"*V*"),COUNTIF(AF210,"*R*")),SUBSTITUTE(AF210,"R","S")&amp;Data!CU55,AF210 &amp; Data!CU55))),SUBSTITUTE(SUBSTITUTE(SUBSTITUTE(SUBSTITUTE(SUBSTITUTE(SUBSTITUTE(SUBSTITUTE(SUBSTITUTE(SUBSTITUTE(SUBSTITUTE(IF(AND(COUNTIF(AF210,"*P*"),COUNTIF(AF210,"*V*")),IF(COUNTIF(AF210,"*R*"),SUBSTITUTE(SUBSTITUTE(AF210,"P",""),"R","S"),SUBSTITUTE(AF210,"P","")),IF(AND(COUNTIF(AF210,"*P*"),COUNTIF(AF210,"*R*")),SUBSTITUTE(AF210,"R","S"),IF(AND(COUNTIF(AF210,"*V*"),COUNTIF(AF210,"*R*")),SUBSTITUTE(AF210,"R","S"),AF210))),"0",""),"1",""),"2",""),"3",""),"4",""),"5",""),"6",""),"7",""),"8",""),"9","")&amp; Data!CU55),"")</f>
        <v/>
      </c>
      <c r="AG227" s="41" t="str">
        <f>IF(AG210&lt;&gt;"",IF(OR(COUNTIF(AG210,"L*"),COUNTIF(AG210, "X*")),IF(AND(COUNTIF(AG210,"*P*"),COUNTIF(AG210,"*V*")),IF(COUNTIF(AG210,"*R*"),SUBSTITUTE(SUBSTITUTE(AG210,"P",""),"R","S")&amp; Data!CV55,SUBSTITUTE(AG210,"P","")&amp; Data!CV55),IF(AND(COUNTIF(AG210,"*P*"),COUNTIF(AG210,"*R*")),SUBSTITUTE(AG210,"R","S")&amp;Data!CV55,IF(AND(COUNTIF(AG210,"*V*"),COUNTIF(AG210,"*R*")),SUBSTITUTE(AG210,"R","S")&amp;Data!CV55,AG210 &amp; Data!CV55))),SUBSTITUTE(SUBSTITUTE(SUBSTITUTE(SUBSTITUTE(SUBSTITUTE(SUBSTITUTE(SUBSTITUTE(SUBSTITUTE(SUBSTITUTE(SUBSTITUTE(IF(AND(COUNTIF(AG210,"*P*"),COUNTIF(AG210,"*V*")),IF(COUNTIF(AG210,"*R*"),SUBSTITUTE(SUBSTITUTE(AG210,"P",""),"R","S"),SUBSTITUTE(AG210,"P","")),IF(AND(COUNTIF(AG210,"*P*"),COUNTIF(AG210,"*R*")),SUBSTITUTE(AG210,"R","S"),IF(AND(COUNTIF(AG210,"*V*"),COUNTIF(AG210,"*R*")),SUBSTITUTE(AG210,"R","S"),AG210))),"0",""),"1",""),"2",""),"3",""),"4",""),"5",""),"6",""),"7",""),"8",""),"9","")&amp; Data!CV55),"")</f>
        <v/>
      </c>
      <c r="AH227" s="41" t="str">
        <f>IF(AH210&lt;&gt;"",IF(OR(COUNTIF(AH210,"L*"),COUNTIF(AH210, "X*")),IF(AND(COUNTIF(AH210,"*P*"),COUNTIF(AH210,"*V*")),IF(COUNTIF(AH210,"*R*"),SUBSTITUTE(SUBSTITUTE(AH210,"P",""),"R","S")&amp; Data!CW55,SUBSTITUTE(AH210,"P","")&amp; Data!CW55),IF(AND(COUNTIF(AH210,"*P*"),COUNTIF(AH210,"*R*")),SUBSTITUTE(AH210,"R","S")&amp;Data!CW55,IF(AND(COUNTIF(AH210,"*V*"),COUNTIF(AH210,"*R*")),SUBSTITUTE(AH210,"R","S")&amp;Data!CW55,AH210 &amp; Data!CW55))),SUBSTITUTE(SUBSTITUTE(SUBSTITUTE(SUBSTITUTE(SUBSTITUTE(SUBSTITUTE(SUBSTITUTE(SUBSTITUTE(SUBSTITUTE(SUBSTITUTE(IF(AND(COUNTIF(AH210,"*P*"),COUNTIF(AH210,"*V*")),IF(COUNTIF(AH210,"*R*"),SUBSTITUTE(SUBSTITUTE(AH210,"P",""),"R","S"),SUBSTITUTE(AH210,"P","")),IF(AND(COUNTIF(AH210,"*P*"),COUNTIF(AH210,"*R*")),SUBSTITUTE(AH210,"R","S"),IF(AND(COUNTIF(AH210,"*V*"),COUNTIF(AH210,"*R*")),SUBSTITUTE(AH210,"R","S"),AH210))),"0",""),"1",""),"2",""),"3",""),"4",""),"5",""),"6",""),"7",""),"8",""),"9","")&amp; Data!CW55),"")</f>
        <v/>
      </c>
      <c r="AI227" s="41" t="str">
        <f>IF(AI210&lt;&gt;"",IF(OR(COUNTIF(AI210,"L*"),COUNTIF(AI210, "X*")),IF(AND(COUNTIF(AI210,"*P*"),COUNTIF(AI210,"*V*")),IF(COUNTIF(AI210,"*R*"),SUBSTITUTE(SUBSTITUTE(AI210,"P",""),"R","S")&amp; Data!CX55,SUBSTITUTE(AI210,"P","")&amp; Data!CX55),IF(AND(COUNTIF(AI210,"*P*"),COUNTIF(AI210,"*R*")),SUBSTITUTE(AI210,"R","S")&amp;Data!CX55,IF(AND(COUNTIF(AI210,"*V*"),COUNTIF(AI210,"*R*")),SUBSTITUTE(AI210,"R","S")&amp;Data!CX55,AI210 &amp; Data!CX55))),SUBSTITUTE(SUBSTITUTE(SUBSTITUTE(SUBSTITUTE(SUBSTITUTE(SUBSTITUTE(SUBSTITUTE(SUBSTITUTE(SUBSTITUTE(SUBSTITUTE(IF(AND(COUNTIF(AI210,"*P*"),COUNTIF(AI210,"*V*")),IF(COUNTIF(AI210,"*R*"),SUBSTITUTE(SUBSTITUTE(AI210,"P",""),"R","S"),SUBSTITUTE(AI210,"P","")),IF(AND(COUNTIF(AI210,"*P*"),COUNTIF(AI210,"*R*")),SUBSTITUTE(AI210,"R","S"),IF(AND(COUNTIF(AI210,"*V*"),COUNTIF(AI210,"*R*")),SUBSTITUTE(AI210,"R","S"),AI210))),"0",""),"1",""),"2",""),"3",""),"4",""),"5",""),"6",""),"7",""),"8",""),"9","")&amp; Data!CX55),"")</f>
        <v/>
      </c>
      <c r="AJ227" s="41" t="str">
        <f>IF(AJ210&lt;&gt;"",IF(OR(COUNTIF(AJ210,"L*"),COUNTIF(AJ210, "X*")),IF(AND(COUNTIF(AJ210,"*P*"),COUNTIF(AJ210,"*V*")),IF(COUNTIF(AJ210,"*R*"),SUBSTITUTE(SUBSTITUTE(AJ210,"P",""),"R","S")&amp; Data!CY55,SUBSTITUTE(AJ210,"P","")&amp; Data!CY55),IF(AND(COUNTIF(AJ210,"*P*"),COUNTIF(AJ210,"*R*")),SUBSTITUTE(AJ210,"R","S")&amp;Data!CY55,IF(AND(COUNTIF(AJ210,"*V*"),COUNTIF(AJ210,"*R*")),SUBSTITUTE(AJ210,"R","S")&amp;Data!CY55,AJ210 &amp; Data!CY55))),SUBSTITUTE(SUBSTITUTE(SUBSTITUTE(SUBSTITUTE(SUBSTITUTE(SUBSTITUTE(SUBSTITUTE(SUBSTITUTE(SUBSTITUTE(SUBSTITUTE(IF(AND(COUNTIF(AJ210,"*P*"),COUNTIF(AJ210,"*V*")),IF(COUNTIF(AJ210,"*R*"),SUBSTITUTE(SUBSTITUTE(AJ210,"P",""),"R","S"),SUBSTITUTE(AJ210,"P","")),IF(AND(COUNTIF(AJ210,"*P*"),COUNTIF(AJ210,"*R*")),SUBSTITUTE(AJ210,"R","S"),IF(AND(COUNTIF(AJ210,"*V*"),COUNTIF(AJ210,"*R*")),SUBSTITUTE(AJ210,"R","S"),AJ210))),"0",""),"1",""),"2",""),"3",""),"4",""),"5",""),"6",""),"7",""),"8",""),"9","")&amp; Data!CY55),"")</f>
        <v/>
      </c>
    </row>
    <row r="228" spans="1:54" ht="23.25" customHeight="1" x14ac:dyDescent="0.35">
      <c r="A228" s="1196"/>
      <c r="B228" s="22">
        <v>11</v>
      </c>
      <c r="C228" s="41" t="str">
        <f>IF(C211&lt;&gt;"",IF(OR(COUNTIF(C211,"L*"),COUNTIF(C211, "X*")),IF(AND(COUNTIF(C211,"*P*"),COUNTIF(C211,"*V*")),IF(COUNTIF(C211,"*R*"),SUBSTITUTE(SUBSTITUTE(C211,"P",""),"R","S")&amp; Data!BR56,SUBSTITUTE(C211,"P","")&amp; Data!BR56),IF(AND(COUNTIF(C211,"*P*"),COUNTIF(C211,"*R*")),SUBSTITUTE(C211,"R","S")&amp;Data!BR56,IF(AND(COUNTIF(C211,"*V*"),COUNTIF(C211,"*R*")),SUBSTITUTE(C211,"R","S")&amp;Data!BR56,C211 &amp; Data!BR56))),SUBSTITUTE(SUBSTITUTE(SUBSTITUTE(SUBSTITUTE(SUBSTITUTE(SUBSTITUTE(SUBSTITUTE(SUBSTITUTE(SUBSTITUTE(SUBSTITUTE(IF(AND(COUNTIF(C211,"*P*"),COUNTIF(C211,"*V*")),IF(COUNTIF(C211,"*R*"),SUBSTITUTE(SUBSTITUTE(C211,"P",""),"R","S"),SUBSTITUTE(C211,"P","")),IF(AND(COUNTIF(C211,"*P*"),COUNTIF(C211,"*R*")),SUBSTITUTE(C211,"R","S"),IF(AND(COUNTIF(C211,"*V*"),COUNTIF(C211,"*R*")),SUBSTITUTE(C211,"R","S"),C211))),"0",""),"1",""),"2",""),"3",""),"4",""),"5",""),"6",""),"7",""),"8",""),"9","")&amp; Data!BR56),"")</f>
        <v/>
      </c>
      <c r="D228" s="41" t="str">
        <f>IF(D211&lt;&gt;"",IF(OR(COUNTIF(D211,"L*"),COUNTIF(D211, "X*")),IF(AND(COUNTIF(D211,"*P*"),COUNTIF(D211,"*V*")),IF(COUNTIF(D211,"*R*"),SUBSTITUTE(SUBSTITUTE(D211,"P",""),"R","S")&amp; Data!BS56,SUBSTITUTE(D211,"P","")&amp; Data!BS56),IF(AND(COUNTIF(D211,"*P*"),COUNTIF(D211,"*R*")),SUBSTITUTE(D211,"R","S")&amp;Data!BS56,IF(AND(COUNTIF(D211,"*V*"),COUNTIF(D211,"*R*")),SUBSTITUTE(D211,"R","S")&amp;Data!BS56,D211 &amp; Data!BS56))),SUBSTITUTE(SUBSTITUTE(SUBSTITUTE(SUBSTITUTE(SUBSTITUTE(SUBSTITUTE(SUBSTITUTE(SUBSTITUTE(SUBSTITUTE(SUBSTITUTE(IF(AND(COUNTIF(D211,"*P*"),COUNTIF(D211,"*V*")),IF(COUNTIF(D211,"*R*"),SUBSTITUTE(SUBSTITUTE(D211,"P",""),"R","S"),SUBSTITUTE(D211,"P","")),IF(AND(COUNTIF(D211,"*P*"),COUNTIF(D211,"*R*")),SUBSTITUTE(D211,"R","S"),IF(AND(COUNTIF(D211,"*V*"),COUNTIF(D211,"*R*")),SUBSTITUTE(D211,"R","S"),D211))),"0",""),"1",""),"2",""),"3",""),"4",""),"5",""),"6",""),"7",""),"8",""),"9","")&amp; Data!BS56),"")</f>
        <v/>
      </c>
      <c r="E228" s="41" t="str">
        <f>IF(E211&lt;&gt;"",IF(OR(COUNTIF(E211,"L*"),COUNTIF(E211, "X*")),IF(AND(COUNTIF(E211,"*P*"),COUNTIF(E211,"*V*")),IF(COUNTIF(E211,"*R*"),SUBSTITUTE(SUBSTITUTE(E211,"P",""),"R","S")&amp; Data!BT56,SUBSTITUTE(E211,"P","")&amp; Data!BT56),IF(AND(COUNTIF(E211,"*P*"),COUNTIF(E211,"*R*")),SUBSTITUTE(E211,"R","S")&amp;Data!BT56,IF(AND(COUNTIF(E211,"*V*"),COUNTIF(E211,"*R*")),SUBSTITUTE(E211,"R","S")&amp;Data!BT56,E211 &amp; Data!BT56))),SUBSTITUTE(SUBSTITUTE(SUBSTITUTE(SUBSTITUTE(SUBSTITUTE(SUBSTITUTE(SUBSTITUTE(SUBSTITUTE(SUBSTITUTE(SUBSTITUTE(IF(AND(COUNTIF(E211,"*P*"),COUNTIF(E211,"*V*")),IF(COUNTIF(E211,"*R*"),SUBSTITUTE(SUBSTITUTE(E211,"P",""),"R","S"),SUBSTITUTE(E211,"P","")),IF(AND(COUNTIF(E211,"*P*"),COUNTIF(E211,"*R*")),SUBSTITUTE(E211,"R","S"),IF(AND(COUNTIF(E211,"*V*"),COUNTIF(E211,"*R*")),SUBSTITUTE(E211,"R","S"),E211))),"0",""),"1",""),"2",""),"3",""),"4",""),"5",""),"6",""),"7",""),"8",""),"9","")&amp; Data!BT56),"")</f>
        <v/>
      </c>
      <c r="F228" s="41" t="str">
        <f>IF(F211&lt;&gt;"",IF(OR(COUNTIF(F211,"L*"),COUNTIF(F211, "X*")),IF(AND(COUNTIF(F211,"*P*"),COUNTIF(F211,"*V*")),IF(COUNTIF(F211,"*R*"),SUBSTITUTE(SUBSTITUTE(F211,"P",""),"R","S")&amp; Data!BU56,SUBSTITUTE(F211,"P","")&amp; Data!BU56),IF(AND(COUNTIF(F211,"*P*"),COUNTIF(F211,"*R*")),SUBSTITUTE(F211,"R","S")&amp;Data!BU56,IF(AND(COUNTIF(F211,"*V*"),COUNTIF(F211,"*R*")),SUBSTITUTE(F211,"R","S")&amp;Data!BU56,F211 &amp; Data!BU56))),SUBSTITUTE(SUBSTITUTE(SUBSTITUTE(SUBSTITUTE(SUBSTITUTE(SUBSTITUTE(SUBSTITUTE(SUBSTITUTE(SUBSTITUTE(SUBSTITUTE(IF(AND(COUNTIF(F211,"*P*"),COUNTIF(F211,"*V*")),IF(COUNTIF(F211,"*R*"),SUBSTITUTE(SUBSTITUTE(F211,"P",""),"R","S"),SUBSTITUTE(F211,"P","")),IF(AND(COUNTIF(F211,"*P*"),COUNTIF(F211,"*R*")),SUBSTITUTE(F211,"R","S"),IF(AND(COUNTIF(F211,"*V*"),COUNTIF(F211,"*R*")),SUBSTITUTE(F211,"R","S"),F211))),"0",""),"1",""),"2",""),"3",""),"4",""),"5",""),"6",""),"7",""),"8",""),"9","")&amp; Data!BU56),"")</f>
        <v/>
      </c>
      <c r="G228" s="41" t="str">
        <f>IF(G211&lt;&gt;"",IF(OR(COUNTIF(G211,"L*"),COUNTIF(G211, "X*")),IF(AND(COUNTIF(G211,"*P*"),COUNTIF(G211,"*V*")),IF(COUNTIF(G211,"*R*"),SUBSTITUTE(SUBSTITUTE(G211,"P",""),"R","S")&amp; Data!BV56,SUBSTITUTE(G211,"P","")&amp; Data!BV56),IF(AND(COUNTIF(G211,"*P*"),COUNTIF(G211,"*R*")),SUBSTITUTE(G211,"R","S")&amp;Data!BV56,IF(AND(COUNTIF(G211,"*V*"),COUNTIF(G211,"*R*")),SUBSTITUTE(G211,"R","S")&amp;Data!BV56,G211 &amp; Data!BV56))),SUBSTITUTE(SUBSTITUTE(SUBSTITUTE(SUBSTITUTE(SUBSTITUTE(SUBSTITUTE(SUBSTITUTE(SUBSTITUTE(SUBSTITUTE(SUBSTITUTE(IF(AND(COUNTIF(G211,"*P*"),COUNTIF(G211,"*V*")),IF(COUNTIF(G211,"*R*"),SUBSTITUTE(SUBSTITUTE(G211,"P",""),"R","S"),SUBSTITUTE(G211,"P","")),IF(AND(COUNTIF(G211,"*P*"),COUNTIF(G211,"*R*")),SUBSTITUTE(G211,"R","S"),IF(AND(COUNTIF(G211,"*V*"),COUNTIF(G211,"*R*")),SUBSTITUTE(G211,"R","S"),G211))),"0",""),"1",""),"2",""),"3",""),"4",""),"5",""),"6",""),"7",""),"8",""),"9","")&amp; Data!BV56),"")</f>
        <v/>
      </c>
      <c r="H228" s="41" t="str">
        <f>IF(H211&lt;&gt;"",IF(OR(COUNTIF(H211,"L*"),COUNTIF(H211, "X*")),IF(AND(COUNTIF(H211,"*P*"),COUNTIF(H211,"*V*")),IF(COUNTIF(H211,"*R*"),SUBSTITUTE(SUBSTITUTE(H211,"P",""),"R","S")&amp; Data!BW56,SUBSTITUTE(H211,"P","")&amp; Data!BW56),IF(AND(COUNTIF(H211,"*P*"),COUNTIF(H211,"*R*")),SUBSTITUTE(H211,"R","S")&amp;Data!BW56,IF(AND(COUNTIF(H211,"*V*"),COUNTIF(H211,"*R*")),SUBSTITUTE(H211,"R","S")&amp;Data!BW56,H211 &amp; Data!BW56))),SUBSTITUTE(SUBSTITUTE(SUBSTITUTE(SUBSTITUTE(SUBSTITUTE(SUBSTITUTE(SUBSTITUTE(SUBSTITUTE(SUBSTITUTE(SUBSTITUTE(IF(AND(COUNTIF(H211,"*P*"),COUNTIF(H211,"*V*")),IF(COUNTIF(H211,"*R*"),SUBSTITUTE(SUBSTITUTE(H211,"P",""),"R","S"),SUBSTITUTE(H211,"P","")),IF(AND(COUNTIF(H211,"*P*"),COUNTIF(H211,"*R*")),SUBSTITUTE(H211,"R","S"),IF(AND(COUNTIF(H211,"*V*"),COUNTIF(H211,"*R*")),SUBSTITUTE(H211,"R","S"),H211))),"0",""),"1",""),"2",""),"3",""),"4",""),"5",""),"6",""),"7",""),"8",""),"9","")&amp; Data!BW56),"")</f>
        <v/>
      </c>
      <c r="I228" s="41" t="str">
        <f>IF(I211&lt;&gt;"",IF(OR(COUNTIF(I211,"L*"),COUNTIF(I211, "X*")),IF(AND(COUNTIF(I211,"*P*"),COUNTIF(I211,"*V*")),IF(COUNTIF(I211,"*R*"),SUBSTITUTE(SUBSTITUTE(I211,"P",""),"R","S")&amp; Data!BX56,SUBSTITUTE(I211,"P","")&amp; Data!BX56),IF(AND(COUNTIF(I211,"*P*"),COUNTIF(I211,"*R*")),SUBSTITUTE(I211,"R","S")&amp;Data!BX56,IF(AND(COUNTIF(I211,"*V*"),COUNTIF(I211,"*R*")),SUBSTITUTE(I211,"R","S")&amp;Data!BX56,I211 &amp; Data!BX56))),SUBSTITUTE(SUBSTITUTE(SUBSTITUTE(SUBSTITUTE(SUBSTITUTE(SUBSTITUTE(SUBSTITUTE(SUBSTITUTE(SUBSTITUTE(SUBSTITUTE(IF(AND(COUNTIF(I211,"*P*"),COUNTIF(I211,"*V*")),IF(COUNTIF(I211,"*R*"),SUBSTITUTE(SUBSTITUTE(I211,"P",""),"R","S"),SUBSTITUTE(I211,"P","")),IF(AND(COUNTIF(I211,"*P*"),COUNTIF(I211,"*R*")),SUBSTITUTE(I211,"R","S"),IF(AND(COUNTIF(I211,"*V*"),COUNTIF(I211,"*R*")),SUBSTITUTE(I211,"R","S"),I211))),"0",""),"1",""),"2",""),"3",""),"4",""),"5",""),"6",""),"7",""),"8",""),"9","")&amp; Data!BX56),"")</f>
        <v/>
      </c>
      <c r="J228" s="41" t="str">
        <f>IF(J211&lt;&gt;"",IF(OR(COUNTIF(J211,"L*"),COUNTIF(J211, "X*")),IF(AND(COUNTIF(J211,"*P*"),COUNTIF(J211,"*V*")),IF(COUNTIF(J211,"*R*"),SUBSTITUTE(SUBSTITUTE(J211,"P",""),"R","S")&amp; Data!BY56,SUBSTITUTE(J211,"P","")&amp; Data!BY56),IF(AND(COUNTIF(J211,"*P*"),COUNTIF(J211,"*R*")),SUBSTITUTE(J211,"R","S")&amp;Data!BY56,IF(AND(COUNTIF(J211,"*V*"),COUNTIF(J211,"*R*")),SUBSTITUTE(J211,"R","S")&amp;Data!BY56,J211 &amp; Data!BY56))),SUBSTITUTE(SUBSTITUTE(SUBSTITUTE(SUBSTITUTE(SUBSTITUTE(SUBSTITUTE(SUBSTITUTE(SUBSTITUTE(SUBSTITUTE(SUBSTITUTE(IF(AND(COUNTIF(J211,"*P*"),COUNTIF(J211,"*V*")),IF(COUNTIF(J211,"*R*"),SUBSTITUTE(SUBSTITUTE(J211,"P",""),"R","S"),SUBSTITUTE(J211,"P","")),IF(AND(COUNTIF(J211,"*P*"),COUNTIF(J211,"*R*")),SUBSTITUTE(J211,"R","S"),IF(AND(COUNTIF(J211,"*V*"),COUNTIF(J211,"*R*")),SUBSTITUTE(J211,"R","S"),J211))),"0",""),"1",""),"2",""),"3",""),"4",""),"5",""),"6",""),"7",""),"8",""),"9","")&amp; Data!BY56),"")</f>
        <v/>
      </c>
      <c r="K228" s="41" t="str">
        <f>IF(K211&lt;&gt;"",IF(OR(COUNTIF(K211,"L*"),COUNTIF(K211, "X*")),IF(AND(COUNTIF(K211,"*P*"),COUNTIF(K211,"*V*")),IF(COUNTIF(K211,"*R*"),SUBSTITUTE(SUBSTITUTE(K211,"P",""),"R","S")&amp; Data!BZ56,SUBSTITUTE(K211,"P","")&amp; Data!BZ56),IF(AND(COUNTIF(K211,"*P*"),COUNTIF(K211,"*R*")),SUBSTITUTE(K211,"R","S")&amp;Data!BZ56,IF(AND(COUNTIF(K211,"*V*"),COUNTIF(K211,"*R*")),SUBSTITUTE(K211,"R","S")&amp;Data!BZ56,K211 &amp; Data!BZ56))),SUBSTITUTE(SUBSTITUTE(SUBSTITUTE(SUBSTITUTE(SUBSTITUTE(SUBSTITUTE(SUBSTITUTE(SUBSTITUTE(SUBSTITUTE(SUBSTITUTE(IF(AND(COUNTIF(K211,"*P*"),COUNTIF(K211,"*V*")),IF(COUNTIF(K211,"*R*"),SUBSTITUTE(SUBSTITUTE(K211,"P",""),"R","S"),SUBSTITUTE(K211,"P","")),IF(AND(COUNTIF(K211,"*P*"),COUNTIF(K211,"*R*")),SUBSTITUTE(K211,"R","S"),IF(AND(COUNTIF(K211,"*V*"),COUNTIF(K211,"*R*")),SUBSTITUTE(K211,"R","S"),K211))),"0",""),"1",""),"2",""),"3",""),"4",""),"5",""),"6",""),"7",""),"8",""),"9","")&amp; Data!BZ56),"")</f>
        <v/>
      </c>
      <c r="L228" s="41" t="str">
        <f>IF(L211&lt;&gt;"",IF(OR(COUNTIF(L211,"L*"),COUNTIF(L211, "X*")),IF(AND(COUNTIF(L211,"*P*"),COUNTIF(L211,"*V*")),IF(COUNTIF(L211,"*R*"),SUBSTITUTE(SUBSTITUTE(L211,"P",""),"R","S")&amp; Data!CA56,SUBSTITUTE(L211,"P","")&amp; Data!CA56),IF(AND(COUNTIF(L211,"*P*"),COUNTIF(L211,"*R*")),SUBSTITUTE(L211,"R","S")&amp;Data!CA56,IF(AND(COUNTIF(L211,"*V*"),COUNTIF(L211,"*R*")),SUBSTITUTE(L211,"R","S")&amp;Data!CA56,L211 &amp; Data!CA56))),SUBSTITUTE(SUBSTITUTE(SUBSTITUTE(SUBSTITUTE(SUBSTITUTE(SUBSTITUTE(SUBSTITUTE(SUBSTITUTE(SUBSTITUTE(SUBSTITUTE(IF(AND(COUNTIF(L211,"*P*"),COUNTIF(L211,"*V*")),IF(COUNTIF(L211,"*R*"),SUBSTITUTE(SUBSTITUTE(L211,"P",""),"R","S"),SUBSTITUTE(L211,"P","")),IF(AND(COUNTIF(L211,"*P*"),COUNTIF(L211,"*R*")),SUBSTITUTE(L211,"R","S"),IF(AND(COUNTIF(L211,"*V*"),COUNTIF(L211,"*R*")),SUBSTITUTE(L211,"R","S"),L211))),"0",""),"1",""),"2",""),"3",""),"4",""),"5",""),"6",""),"7",""),"8",""),"9","")&amp; Data!CA56),"")</f>
        <v/>
      </c>
      <c r="M228" s="41" t="str">
        <f>IF(M211&lt;&gt;"",IF(OR(COUNTIF(M211,"L*"),COUNTIF(M211, "X*")),IF(AND(COUNTIF(M211,"*P*"),COUNTIF(M211,"*V*")),IF(COUNTIF(M211,"*R*"),SUBSTITUTE(SUBSTITUTE(M211,"P",""),"R","S")&amp; Data!CB56,SUBSTITUTE(M211,"P","")&amp; Data!CB56),IF(AND(COUNTIF(M211,"*P*"),COUNTIF(M211,"*R*")),SUBSTITUTE(M211,"R","S")&amp;Data!CB56,IF(AND(COUNTIF(M211,"*V*"),COUNTIF(M211,"*R*")),SUBSTITUTE(M211,"R","S")&amp;Data!CB56,M211 &amp; Data!CB56))),SUBSTITUTE(SUBSTITUTE(SUBSTITUTE(SUBSTITUTE(SUBSTITUTE(SUBSTITUTE(SUBSTITUTE(SUBSTITUTE(SUBSTITUTE(SUBSTITUTE(IF(AND(COUNTIF(M211,"*P*"),COUNTIF(M211,"*V*")),IF(COUNTIF(M211,"*R*"),SUBSTITUTE(SUBSTITUTE(M211,"P",""),"R","S"),SUBSTITUTE(M211,"P","")),IF(AND(COUNTIF(M211,"*P*"),COUNTIF(M211,"*R*")),SUBSTITUTE(M211,"R","S"),IF(AND(COUNTIF(M211,"*V*"),COUNTIF(M211,"*R*")),SUBSTITUTE(M211,"R","S"),M211))),"0",""),"1",""),"2",""),"3",""),"4",""),"5",""),"6",""),"7",""),"8",""),"9","")&amp; Data!CB56),"")</f>
        <v/>
      </c>
      <c r="N228" s="41" t="str">
        <f>IF(N211&lt;&gt;"",IF(OR(COUNTIF(N211,"L*"),COUNTIF(N211, "X*")),IF(AND(COUNTIF(N211,"*P*"),COUNTIF(N211,"*V*")),IF(COUNTIF(N211,"*R*"),SUBSTITUTE(SUBSTITUTE(N211,"P",""),"R","S")&amp; Data!CC56,SUBSTITUTE(N211,"P","")&amp; Data!CC56),IF(AND(COUNTIF(N211,"*P*"),COUNTIF(N211,"*R*")),SUBSTITUTE(N211,"R","S")&amp;Data!CC56,IF(AND(COUNTIF(N211,"*V*"),COUNTIF(N211,"*R*")),SUBSTITUTE(N211,"R","S")&amp;Data!CC56,N211 &amp; Data!CC56))),SUBSTITUTE(SUBSTITUTE(SUBSTITUTE(SUBSTITUTE(SUBSTITUTE(SUBSTITUTE(SUBSTITUTE(SUBSTITUTE(SUBSTITUTE(SUBSTITUTE(IF(AND(COUNTIF(N211,"*P*"),COUNTIF(N211,"*V*")),IF(COUNTIF(N211,"*R*"),SUBSTITUTE(SUBSTITUTE(N211,"P",""),"R","S"),SUBSTITUTE(N211,"P","")),IF(AND(COUNTIF(N211,"*P*"),COUNTIF(N211,"*R*")),SUBSTITUTE(N211,"R","S"),IF(AND(COUNTIF(N211,"*V*"),COUNTIF(N211,"*R*")),SUBSTITUTE(N211,"R","S"),N211))),"0",""),"1",""),"2",""),"3",""),"4",""),"5",""),"6",""),"7",""),"8",""),"9","")&amp; Data!CC56),"")</f>
        <v/>
      </c>
      <c r="O228" s="41" t="str">
        <f>IF(O211&lt;&gt;"",IF(OR(COUNTIF(O211,"L*"),COUNTIF(O211, "X*")),IF(AND(COUNTIF(O211,"*P*"),COUNTIF(O211,"*V*")),IF(COUNTIF(O211,"*R*"),SUBSTITUTE(SUBSTITUTE(O211,"P",""),"R","S")&amp; Data!CD56,SUBSTITUTE(O211,"P","")&amp; Data!CD56),IF(AND(COUNTIF(O211,"*P*"),COUNTIF(O211,"*R*")),SUBSTITUTE(O211,"R","S")&amp;Data!CD56,IF(AND(COUNTIF(O211,"*V*"),COUNTIF(O211,"*R*")),SUBSTITUTE(O211,"R","S")&amp;Data!CD56,O211 &amp; Data!CD56))),SUBSTITUTE(SUBSTITUTE(SUBSTITUTE(SUBSTITUTE(SUBSTITUTE(SUBSTITUTE(SUBSTITUTE(SUBSTITUTE(SUBSTITUTE(SUBSTITUTE(IF(AND(COUNTIF(O211,"*P*"),COUNTIF(O211,"*V*")),IF(COUNTIF(O211,"*R*"),SUBSTITUTE(SUBSTITUTE(O211,"P",""),"R","S"),SUBSTITUTE(O211,"P","")),IF(AND(COUNTIF(O211,"*P*"),COUNTIF(O211,"*R*")),SUBSTITUTE(O211,"R","S"),IF(AND(COUNTIF(O211,"*V*"),COUNTIF(O211,"*R*")),SUBSTITUTE(O211,"R","S"),O211))),"0",""),"1",""),"2",""),"3",""),"4",""),"5",""),"6",""),"7",""),"8",""),"9","")&amp; Data!CD56),"")</f>
        <v/>
      </c>
      <c r="P228" s="41" t="str">
        <f>IF(P211&lt;&gt;"",IF(OR(COUNTIF(P211,"L*"),COUNTIF(P211, "X*")),IF(AND(COUNTIF(P211,"*P*"),COUNTIF(P211,"*V*")),IF(COUNTIF(P211,"*R*"),SUBSTITUTE(SUBSTITUTE(P211,"P",""),"R","S")&amp; Data!CE56,SUBSTITUTE(P211,"P","")&amp; Data!CE56),IF(AND(COUNTIF(P211,"*P*"),COUNTIF(P211,"*R*")),SUBSTITUTE(P211,"R","S")&amp;Data!CE56,IF(AND(COUNTIF(P211,"*V*"),COUNTIF(P211,"*R*")),SUBSTITUTE(P211,"R","S")&amp;Data!CE56,P211 &amp; Data!CE56))),SUBSTITUTE(SUBSTITUTE(SUBSTITUTE(SUBSTITUTE(SUBSTITUTE(SUBSTITUTE(SUBSTITUTE(SUBSTITUTE(SUBSTITUTE(SUBSTITUTE(IF(AND(COUNTIF(P211,"*P*"),COUNTIF(P211,"*V*")),IF(COUNTIF(P211,"*R*"),SUBSTITUTE(SUBSTITUTE(P211,"P",""),"R","S"),SUBSTITUTE(P211,"P","")),IF(AND(COUNTIF(P211,"*P*"),COUNTIF(P211,"*R*")),SUBSTITUTE(P211,"R","S"),IF(AND(COUNTIF(P211,"*V*"),COUNTIF(P211,"*R*")),SUBSTITUTE(P211,"R","S"),P211))),"0",""),"1",""),"2",""),"3",""),"4",""),"5",""),"6",""),"7",""),"8",""),"9","")&amp; Data!CE56),"")</f>
        <v/>
      </c>
      <c r="Q228" s="41" t="str">
        <f>IF(Q211&lt;&gt;"",IF(OR(COUNTIF(Q211,"L*"),COUNTIF(Q211, "X*")),IF(AND(COUNTIF(Q211,"*P*"),COUNTIF(Q211,"*V*")),IF(COUNTIF(Q211,"*R*"),SUBSTITUTE(SUBSTITUTE(Q211,"P",""),"R","S")&amp; Data!CF56,SUBSTITUTE(Q211,"P","")&amp; Data!CF56),IF(AND(COUNTIF(Q211,"*P*"),COUNTIF(Q211,"*R*")),SUBSTITUTE(Q211,"R","S")&amp;Data!CF56,IF(AND(COUNTIF(Q211,"*V*"),COUNTIF(Q211,"*R*")),SUBSTITUTE(Q211,"R","S")&amp;Data!CF56,Q211 &amp; Data!CF56))),SUBSTITUTE(SUBSTITUTE(SUBSTITUTE(SUBSTITUTE(SUBSTITUTE(SUBSTITUTE(SUBSTITUTE(SUBSTITUTE(SUBSTITUTE(SUBSTITUTE(IF(AND(COUNTIF(Q211,"*P*"),COUNTIF(Q211,"*V*")),IF(COUNTIF(Q211,"*R*"),SUBSTITUTE(SUBSTITUTE(Q211,"P",""),"R","S"),SUBSTITUTE(Q211,"P","")),IF(AND(COUNTIF(Q211,"*P*"),COUNTIF(Q211,"*R*")),SUBSTITUTE(Q211,"R","S"),IF(AND(COUNTIF(Q211,"*V*"),COUNTIF(Q211,"*R*")),SUBSTITUTE(Q211,"R","S"),Q211))),"0",""),"1",""),"2",""),"3",""),"4",""),"5",""),"6",""),"7",""),"8",""),"9","")&amp; Data!CF56),"")</f>
        <v/>
      </c>
      <c r="R228" s="41" t="str">
        <f>IF(R211&lt;&gt;"",IF(OR(COUNTIF(R211,"L*"),COUNTIF(R211, "X*")),IF(AND(COUNTIF(R211,"*P*"),COUNTIF(R211,"*V*")),IF(COUNTIF(R211,"*R*"),SUBSTITUTE(SUBSTITUTE(R211,"P",""),"R","S")&amp; Data!CG56,SUBSTITUTE(R211,"P","")&amp; Data!CG56),IF(AND(COUNTIF(R211,"*P*"),COUNTIF(R211,"*R*")),SUBSTITUTE(R211,"R","S")&amp;Data!CG56,IF(AND(COUNTIF(R211,"*V*"),COUNTIF(R211,"*R*")),SUBSTITUTE(R211,"R","S")&amp;Data!CG56,R211 &amp; Data!CG56))),SUBSTITUTE(SUBSTITUTE(SUBSTITUTE(SUBSTITUTE(SUBSTITUTE(SUBSTITUTE(SUBSTITUTE(SUBSTITUTE(SUBSTITUTE(SUBSTITUTE(IF(AND(COUNTIF(R211,"*P*"),COUNTIF(R211,"*V*")),IF(COUNTIF(R211,"*R*"),SUBSTITUTE(SUBSTITUTE(R211,"P",""),"R","S"),SUBSTITUTE(R211,"P","")),IF(AND(COUNTIF(R211,"*P*"),COUNTIF(R211,"*R*")),SUBSTITUTE(R211,"R","S"),IF(AND(COUNTIF(R211,"*V*"),COUNTIF(R211,"*R*")),SUBSTITUTE(R211,"R","S"),R211))),"0",""),"1",""),"2",""),"3",""),"4",""),"5",""),"6",""),"7",""),"8",""),"9","")&amp; Data!CG56),"")</f>
        <v/>
      </c>
      <c r="S228" s="41" t="str">
        <f>IF(S211&lt;&gt;"",IF(OR(COUNTIF(S211,"L*"),COUNTIF(S211, "X*")),IF(AND(COUNTIF(S211,"*P*"),COUNTIF(S211,"*V*")),IF(COUNTIF(S211,"*R*"),SUBSTITUTE(SUBSTITUTE(S211,"P",""),"R","S")&amp; Data!CH56,SUBSTITUTE(S211,"P","")&amp; Data!CH56),IF(AND(COUNTIF(S211,"*P*"),COUNTIF(S211,"*R*")),SUBSTITUTE(S211,"R","S")&amp;Data!CH56,IF(AND(COUNTIF(S211,"*V*"),COUNTIF(S211,"*R*")),SUBSTITUTE(S211,"R","S")&amp;Data!CH56,S211 &amp; Data!CH56))),SUBSTITUTE(SUBSTITUTE(SUBSTITUTE(SUBSTITUTE(SUBSTITUTE(SUBSTITUTE(SUBSTITUTE(SUBSTITUTE(SUBSTITUTE(SUBSTITUTE(IF(AND(COUNTIF(S211,"*P*"),COUNTIF(S211,"*V*")),IF(COUNTIF(S211,"*R*"),SUBSTITUTE(SUBSTITUTE(S211,"P",""),"R","S"),SUBSTITUTE(S211,"P","")),IF(AND(COUNTIF(S211,"*P*"),COUNTIF(S211,"*R*")),SUBSTITUTE(S211,"R","S"),IF(AND(COUNTIF(S211,"*V*"),COUNTIF(S211,"*R*")),SUBSTITUTE(S211,"R","S"),S211))),"0",""),"1",""),"2",""),"3",""),"4",""),"5",""),"6",""),"7",""),"8",""),"9","")&amp; Data!CH56),"")</f>
        <v/>
      </c>
      <c r="T228" s="41" t="str">
        <f>IF(T211&lt;&gt;"",IF(OR(COUNTIF(T211,"L*"),COUNTIF(T211, "X*")),IF(AND(COUNTIF(T211,"*P*"),COUNTIF(T211,"*V*")),IF(COUNTIF(T211,"*R*"),SUBSTITUTE(SUBSTITUTE(T211,"P",""),"R","S")&amp; Data!CI56,SUBSTITUTE(T211,"P","")&amp; Data!CI56),IF(AND(COUNTIF(T211,"*P*"),COUNTIF(T211,"*R*")),SUBSTITUTE(T211,"R","S")&amp;Data!CI56,IF(AND(COUNTIF(T211,"*V*"),COUNTIF(T211,"*R*")),SUBSTITUTE(T211,"R","S")&amp;Data!CI56,T211 &amp; Data!CI56))),SUBSTITUTE(SUBSTITUTE(SUBSTITUTE(SUBSTITUTE(SUBSTITUTE(SUBSTITUTE(SUBSTITUTE(SUBSTITUTE(SUBSTITUTE(SUBSTITUTE(IF(AND(COUNTIF(T211,"*P*"),COUNTIF(T211,"*V*")),IF(COUNTIF(T211,"*R*"),SUBSTITUTE(SUBSTITUTE(T211,"P",""),"R","S"),SUBSTITUTE(T211,"P","")),IF(AND(COUNTIF(T211,"*P*"),COUNTIF(T211,"*R*")),SUBSTITUTE(T211,"R","S"),IF(AND(COUNTIF(T211,"*V*"),COUNTIF(T211,"*R*")),SUBSTITUTE(T211,"R","S"),T211))),"0",""),"1",""),"2",""),"3",""),"4",""),"5",""),"6",""),"7",""),"8",""),"9","")&amp; Data!CI56),"")</f>
        <v/>
      </c>
      <c r="U228" s="41" t="str">
        <f>IF(U211&lt;&gt;"",IF(OR(COUNTIF(U211,"L*"),COUNTIF(U211, "X*")),IF(AND(COUNTIF(U211,"*P*"),COUNTIF(U211,"*V*")),IF(COUNTIF(U211,"*R*"),SUBSTITUTE(SUBSTITUTE(U211,"P",""),"R","S")&amp; Data!CJ56,SUBSTITUTE(U211,"P","")&amp; Data!CJ56),IF(AND(COUNTIF(U211,"*P*"),COUNTIF(U211,"*R*")),SUBSTITUTE(U211,"R","S")&amp;Data!CJ56,IF(AND(COUNTIF(U211,"*V*"),COUNTIF(U211,"*R*")),SUBSTITUTE(U211,"R","S")&amp;Data!CJ56,U211 &amp; Data!CJ56))),SUBSTITUTE(SUBSTITUTE(SUBSTITUTE(SUBSTITUTE(SUBSTITUTE(SUBSTITUTE(SUBSTITUTE(SUBSTITUTE(SUBSTITUTE(SUBSTITUTE(IF(AND(COUNTIF(U211,"*P*"),COUNTIF(U211,"*V*")),IF(COUNTIF(U211,"*R*"),SUBSTITUTE(SUBSTITUTE(U211,"P",""),"R","S"),SUBSTITUTE(U211,"P","")),IF(AND(COUNTIF(U211,"*P*"),COUNTIF(U211,"*R*")),SUBSTITUTE(U211,"R","S"),IF(AND(COUNTIF(U211,"*V*"),COUNTIF(U211,"*R*")),SUBSTITUTE(U211,"R","S"),U211))),"0",""),"1",""),"2",""),"3",""),"4",""),"5",""),"6",""),"7",""),"8",""),"9","")&amp; Data!CJ56),"")</f>
        <v/>
      </c>
      <c r="V228" s="41" t="str">
        <f>IF(V211&lt;&gt;"",IF(OR(COUNTIF(V211,"L*"),COUNTIF(V211, "X*")),IF(AND(COUNTIF(V211,"*P*"),COUNTIF(V211,"*V*")),IF(COUNTIF(V211,"*R*"),SUBSTITUTE(SUBSTITUTE(V211,"P",""),"R","S")&amp; Data!CK56,SUBSTITUTE(V211,"P","")&amp; Data!CK56),IF(AND(COUNTIF(V211,"*P*"),COUNTIF(V211,"*R*")),SUBSTITUTE(V211,"R","S")&amp;Data!CK56,IF(AND(COUNTIF(V211,"*V*"),COUNTIF(V211,"*R*")),SUBSTITUTE(V211,"R","S")&amp;Data!CK56,V211 &amp; Data!CK56))),SUBSTITUTE(SUBSTITUTE(SUBSTITUTE(SUBSTITUTE(SUBSTITUTE(SUBSTITUTE(SUBSTITUTE(SUBSTITUTE(SUBSTITUTE(SUBSTITUTE(IF(AND(COUNTIF(V211,"*P*"),COUNTIF(V211,"*V*")),IF(COUNTIF(V211,"*R*"),SUBSTITUTE(SUBSTITUTE(V211,"P",""),"R","S"),SUBSTITUTE(V211,"P","")),IF(AND(COUNTIF(V211,"*P*"),COUNTIF(V211,"*R*")),SUBSTITUTE(V211,"R","S"),IF(AND(COUNTIF(V211,"*V*"),COUNTIF(V211,"*R*")),SUBSTITUTE(V211,"R","S"),V211))),"0",""),"1",""),"2",""),"3",""),"4",""),"5",""),"6",""),"7",""),"8",""),"9","")&amp; Data!CK56),"")</f>
        <v/>
      </c>
      <c r="W228" s="41" t="str">
        <f>IF(W211&lt;&gt;"",IF(OR(COUNTIF(W211,"L*"),COUNTIF(W211, "X*")),IF(AND(COUNTIF(W211,"*P*"),COUNTIF(W211,"*V*")),IF(COUNTIF(W211,"*R*"),SUBSTITUTE(SUBSTITUTE(W211,"P",""),"R","S")&amp; Data!CL56,SUBSTITUTE(W211,"P","")&amp; Data!CL56),IF(AND(COUNTIF(W211,"*P*"),COUNTIF(W211,"*R*")),SUBSTITUTE(W211,"R","S")&amp;Data!CL56,IF(AND(COUNTIF(W211,"*V*"),COUNTIF(W211,"*R*")),SUBSTITUTE(W211,"R","S")&amp;Data!CL56,W211 &amp; Data!CL56))),SUBSTITUTE(SUBSTITUTE(SUBSTITUTE(SUBSTITUTE(SUBSTITUTE(SUBSTITUTE(SUBSTITUTE(SUBSTITUTE(SUBSTITUTE(SUBSTITUTE(IF(AND(COUNTIF(W211,"*P*"),COUNTIF(W211,"*V*")),IF(COUNTIF(W211,"*R*"),SUBSTITUTE(SUBSTITUTE(W211,"P",""),"R","S"),SUBSTITUTE(W211,"P","")),IF(AND(COUNTIF(W211,"*P*"),COUNTIF(W211,"*R*")),SUBSTITUTE(W211,"R","S"),IF(AND(COUNTIF(W211,"*V*"),COUNTIF(W211,"*R*")),SUBSTITUTE(W211,"R","S"),W211))),"0",""),"1",""),"2",""),"3",""),"4",""),"5",""),"6",""),"7",""),"8",""),"9","")&amp; Data!CL56),"")</f>
        <v/>
      </c>
      <c r="X228" s="41" t="str">
        <f>IF(X211&lt;&gt;"",IF(OR(COUNTIF(X211,"L*"),COUNTIF(X211, "X*")),IF(AND(COUNTIF(X211,"*P*"),COUNTIF(X211,"*V*")),IF(COUNTIF(X211,"*R*"),SUBSTITUTE(SUBSTITUTE(X211,"P",""),"R","S")&amp; Data!CM56,SUBSTITUTE(X211,"P","")&amp; Data!CM56),IF(AND(COUNTIF(X211,"*P*"),COUNTIF(X211,"*R*")),SUBSTITUTE(X211,"R","S")&amp;Data!CM56,IF(AND(COUNTIF(X211,"*V*"),COUNTIF(X211,"*R*")),SUBSTITUTE(X211,"R","S")&amp;Data!CM56,X211 &amp; Data!CM56))),SUBSTITUTE(SUBSTITUTE(SUBSTITUTE(SUBSTITUTE(SUBSTITUTE(SUBSTITUTE(SUBSTITUTE(SUBSTITUTE(SUBSTITUTE(SUBSTITUTE(IF(AND(COUNTIF(X211,"*P*"),COUNTIF(X211,"*V*")),IF(COUNTIF(X211,"*R*"),SUBSTITUTE(SUBSTITUTE(X211,"P",""),"R","S"),SUBSTITUTE(X211,"P","")),IF(AND(COUNTIF(X211,"*P*"),COUNTIF(X211,"*R*")),SUBSTITUTE(X211,"R","S"),IF(AND(COUNTIF(X211,"*V*"),COUNTIF(X211,"*R*")),SUBSTITUTE(X211,"R","S"),X211))),"0",""),"1",""),"2",""),"3",""),"4",""),"5",""),"6",""),"7",""),"8",""),"9","")&amp; Data!CM56),"")</f>
        <v/>
      </c>
      <c r="Y228" s="41" t="str">
        <f>IF(Y211&lt;&gt;"",IF(OR(COUNTIF(Y211,"L*"),COUNTIF(Y211, "X*")),IF(AND(COUNTIF(Y211,"*P*"),COUNTIF(Y211,"*V*")),IF(COUNTIF(Y211,"*R*"),SUBSTITUTE(SUBSTITUTE(Y211,"P",""),"R","S")&amp; Data!CN56,SUBSTITUTE(Y211,"P","")&amp; Data!CN56),IF(AND(COUNTIF(Y211,"*P*"),COUNTIF(Y211,"*R*")),SUBSTITUTE(Y211,"R","S")&amp;Data!CN56,IF(AND(COUNTIF(Y211,"*V*"),COUNTIF(Y211,"*R*")),SUBSTITUTE(Y211,"R","S")&amp;Data!CN56,Y211 &amp; Data!CN56))),SUBSTITUTE(SUBSTITUTE(SUBSTITUTE(SUBSTITUTE(SUBSTITUTE(SUBSTITUTE(SUBSTITUTE(SUBSTITUTE(SUBSTITUTE(SUBSTITUTE(IF(AND(COUNTIF(Y211,"*P*"),COUNTIF(Y211,"*V*")),IF(COUNTIF(Y211,"*R*"),SUBSTITUTE(SUBSTITUTE(Y211,"P",""),"R","S"),SUBSTITUTE(Y211,"P","")),IF(AND(COUNTIF(Y211,"*P*"),COUNTIF(Y211,"*R*")),SUBSTITUTE(Y211,"R","S"),IF(AND(COUNTIF(Y211,"*V*"),COUNTIF(Y211,"*R*")),SUBSTITUTE(Y211,"R","S"),Y211))),"0",""),"1",""),"2",""),"3",""),"4",""),"5",""),"6",""),"7",""),"8",""),"9","")&amp; Data!CN56),"")</f>
        <v/>
      </c>
      <c r="Z228" s="41" t="str">
        <f>IF(Z211&lt;&gt;"",IF(OR(COUNTIF(Z211,"L*"),COUNTIF(Z211, "X*")),IF(AND(COUNTIF(Z211,"*P*"),COUNTIF(Z211,"*V*")),IF(COUNTIF(Z211,"*R*"),SUBSTITUTE(SUBSTITUTE(Z211,"P",""),"R","S")&amp; Data!CO56,SUBSTITUTE(Z211,"P","")&amp; Data!CO56),IF(AND(COUNTIF(Z211,"*P*"),COUNTIF(Z211,"*R*")),SUBSTITUTE(Z211,"R","S")&amp;Data!CO56,IF(AND(COUNTIF(Z211,"*V*"),COUNTIF(Z211,"*R*")),SUBSTITUTE(Z211,"R","S")&amp;Data!CO56,Z211 &amp; Data!CO56))),SUBSTITUTE(SUBSTITUTE(SUBSTITUTE(SUBSTITUTE(SUBSTITUTE(SUBSTITUTE(SUBSTITUTE(SUBSTITUTE(SUBSTITUTE(SUBSTITUTE(IF(AND(COUNTIF(Z211,"*P*"),COUNTIF(Z211,"*V*")),IF(COUNTIF(Z211,"*R*"),SUBSTITUTE(SUBSTITUTE(Z211,"P",""),"R","S"),SUBSTITUTE(Z211,"P","")),IF(AND(COUNTIF(Z211,"*P*"),COUNTIF(Z211,"*R*")),SUBSTITUTE(Z211,"R","S"),IF(AND(COUNTIF(Z211,"*V*"),COUNTIF(Z211,"*R*")),SUBSTITUTE(Z211,"R","S"),Z211))),"0",""),"1",""),"2",""),"3",""),"4",""),"5",""),"6",""),"7",""),"8",""),"9","")&amp; Data!CO56),"")</f>
        <v/>
      </c>
      <c r="AA228" s="41" t="str">
        <f>IF(AA211&lt;&gt;"",IF(OR(COUNTIF(AA211,"L*"),COUNTIF(AA211, "X*")),IF(AND(COUNTIF(AA211,"*P*"),COUNTIF(AA211,"*V*")),IF(COUNTIF(AA211,"*R*"),SUBSTITUTE(SUBSTITUTE(AA211,"P",""),"R","S")&amp; Data!CP56,SUBSTITUTE(AA211,"P","")&amp; Data!CP56),IF(AND(COUNTIF(AA211,"*P*"),COUNTIF(AA211,"*R*")),SUBSTITUTE(AA211,"R","S")&amp;Data!CP56,IF(AND(COUNTIF(AA211,"*V*"),COUNTIF(AA211,"*R*")),SUBSTITUTE(AA211,"R","S")&amp;Data!CP56,AA211 &amp; Data!CP56))),SUBSTITUTE(SUBSTITUTE(SUBSTITUTE(SUBSTITUTE(SUBSTITUTE(SUBSTITUTE(SUBSTITUTE(SUBSTITUTE(SUBSTITUTE(SUBSTITUTE(IF(AND(COUNTIF(AA211,"*P*"),COUNTIF(AA211,"*V*")),IF(COUNTIF(AA211,"*R*"),SUBSTITUTE(SUBSTITUTE(AA211,"P",""),"R","S"),SUBSTITUTE(AA211,"P","")),IF(AND(COUNTIF(AA211,"*P*"),COUNTIF(AA211,"*R*")),SUBSTITUTE(AA211,"R","S"),IF(AND(COUNTIF(AA211,"*V*"),COUNTIF(AA211,"*R*")),SUBSTITUTE(AA211,"R","S"),AA211))),"0",""),"1",""),"2",""),"3",""),"4",""),"5",""),"6",""),"7",""),"8",""),"9","")&amp; Data!CP56),"")</f>
        <v/>
      </c>
      <c r="AB228" s="41" t="str">
        <f>IF(AB211&lt;&gt;"",IF(OR(COUNTIF(AB211,"L*"),COUNTIF(AB211, "X*")),IF(AND(COUNTIF(AB211,"*P*"),COUNTIF(AB211,"*V*")),IF(COUNTIF(AB211,"*R*"),SUBSTITUTE(SUBSTITUTE(AB211,"P",""),"R","S")&amp; Data!CQ56,SUBSTITUTE(AB211,"P","")&amp; Data!CQ56),IF(AND(COUNTIF(AB211,"*P*"),COUNTIF(AB211,"*R*")),SUBSTITUTE(AB211,"R","S")&amp;Data!CQ56,IF(AND(COUNTIF(AB211,"*V*"),COUNTIF(AB211,"*R*")),SUBSTITUTE(AB211,"R","S")&amp;Data!CQ56,AB211 &amp; Data!CQ56))),SUBSTITUTE(SUBSTITUTE(SUBSTITUTE(SUBSTITUTE(SUBSTITUTE(SUBSTITUTE(SUBSTITUTE(SUBSTITUTE(SUBSTITUTE(SUBSTITUTE(IF(AND(COUNTIF(AB211,"*P*"),COUNTIF(AB211,"*V*")),IF(COUNTIF(AB211,"*R*"),SUBSTITUTE(SUBSTITUTE(AB211,"P",""),"R","S"),SUBSTITUTE(AB211,"P","")),IF(AND(COUNTIF(AB211,"*P*"),COUNTIF(AB211,"*R*")),SUBSTITUTE(AB211,"R","S"),IF(AND(COUNTIF(AB211,"*V*"),COUNTIF(AB211,"*R*")),SUBSTITUTE(AB211,"R","S"),AB211))),"0",""),"1",""),"2",""),"3",""),"4",""),"5",""),"6",""),"7",""),"8",""),"9","")&amp; Data!CQ56),"")</f>
        <v/>
      </c>
      <c r="AC228" s="41" t="str">
        <f>IF(AC211&lt;&gt;"",IF(OR(COUNTIF(AC211,"L*"),COUNTIF(AC211, "X*")),IF(AND(COUNTIF(AC211,"*P*"),COUNTIF(AC211,"*V*")),IF(COUNTIF(AC211,"*R*"),SUBSTITUTE(SUBSTITUTE(AC211,"P",""),"R","S")&amp; Data!CR56,SUBSTITUTE(AC211,"P","")&amp; Data!CR56),IF(AND(COUNTIF(AC211,"*P*"),COUNTIF(AC211,"*R*")),SUBSTITUTE(AC211,"R","S")&amp;Data!CR56,IF(AND(COUNTIF(AC211,"*V*"),COUNTIF(AC211,"*R*")),SUBSTITUTE(AC211,"R","S")&amp;Data!CR56,AC211 &amp; Data!CR56))),SUBSTITUTE(SUBSTITUTE(SUBSTITUTE(SUBSTITUTE(SUBSTITUTE(SUBSTITUTE(SUBSTITUTE(SUBSTITUTE(SUBSTITUTE(SUBSTITUTE(IF(AND(COUNTIF(AC211,"*P*"),COUNTIF(AC211,"*V*")),IF(COUNTIF(AC211,"*R*"),SUBSTITUTE(SUBSTITUTE(AC211,"P",""),"R","S"),SUBSTITUTE(AC211,"P","")),IF(AND(COUNTIF(AC211,"*P*"),COUNTIF(AC211,"*R*")),SUBSTITUTE(AC211,"R","S"),IF(AND(COUNTIF(AC211,"*V*"),COUNTIF(AC211,"*R*")),SUBSTITUTE(AC211,"R","S"),AC211))),"0",""),"1",""),"2",""),"3",""),"4",""),"5",""),"6",""),"7",""),"8",""),"9","")&amp; Data!CR56),"")</f>
        <v/>
      </c>
      <c r="AD228" s="41" t="str">
        <f>IF(AD211&lt;&gt;"",IF(OR(COUNTIF(AD211,"L*"),COUNTIF(AD211, "X*")),IF(AND(COUNTIF(AD211,"*P*"),COUNTIF(AD211,"*V*")),IF(COUNTIF(AD211,"*R*"),SUBSTITUTE(SUBSTITUTE(AD211,"P",""),"R","S")&amp; Data!CS56,SUBSTITUTE(AD211,"P","")&amp; Data!CS56),IF(AND(COUNTIF(AD211,"*P*"),COUNTIF(AD211,"*R*")),SUBSTITUTE(AD211,"R","S")&amp;Data!CS56,IF(AND(COUNTIF(AD211,"*V*"),COUNTIF(AD211,"*R*")),SUBSTITUTE(AD211,"R","S")&amp;Data!CS56,AD211 &amp; Data!CS56))),SUBSTITUTE(SUBSTITUTE(SUBSTITUTE(SUBSTITUTE(SUBSTITUTE(SUBSTITUTE(SUBSTITUTE(SUBSTITUTE(SUBSTITUTE(SUBSTITUTE(IF(AND(COUNTIF(AD211,"*P*"),COUNTIF(AD211,"*V*")),IF(COUNTIF(AD211,"*R*"),SUBSTITUTE(SUBSTITUTE(AD211,"P",""),"R","S"),SUBSTITUTE(AD211,"P","")),IF(AND(COUNTIF(AD211,"*P*"),COUNTIF(AD211,"*R*")),SUBSTITUTE(AD211,"R","S"),IF(AND(COUNTIF(AD211,"*V*"),COUNTIF(AD211,"*R*")),SUBSTITUTE(AD211,"R","S"),AD211))),"0",""),"1",""),"2",""),"3",""),"4",""),"5",""),"6",""),"7",""),"8",""),"9","")&amp; Data!CS56),"")</f>
        <v/>
      </c>
      <c r="AE228" s="41" t="str">
        <f>IF(AE211&lt;&gt;"",IF(OR(COUNTIF(AE211,"L*"),COUNTIF(AE211, "X*")),IF(AND(COUNTIF(AE211,"*P*"),COUNTIF(AE211,"*V*")),IF(COUNTIF(AE211,"*R*"),SUBSTITUTE(SUBSTITUTE(AE211,"P",""),"R","S")&amp; Data!CT56,SUBSTITUTE(AE211,"P","")&amp; Data!CT56),IF(AND(COUNTIF(AE211,"*P*"),COUNTIF(AE211,"*R*")),SUBSTITUTE(AE211,"R","S")&amp;Data!CT56,IF(AND(COUNTIF(AE211,"*V*"),COUNTIF(AE211,"*R*")),SUBSTITUTE(AE211,"R","S")&amp;Data!CT56,AE211 &amp; Data!CT56))),SUBSTITUTE(SUBSTITUTE(SUBSTITUTE(SUBSTITUTE(SUBSTITUTE(SUBSTITUTE(SUBSTITUTE(SUBSTITUTE(SUBSTITUTE(SUBSTITUTE(IF(AND(COUNTIF(AE211,"*P*"),COUNTIF(AE211,"*V*")),IF(COUNTIF(AE211,"*R*"),SUBSTITUTE(SUBSTITUTE(AE211,"P",""),"R","S"),SUBSTITUTE(AE211,"P","")),IF(AND(COUNTIF(AE211,"*P*"),COUNTIF(AE211,"*R*")),SUBSTITUTE(AE211,"R","S"),IF(AND(COUNTIF(AE211,"*V*"),COUNTIF(AE211,"*R*")),SUBSTITUTE(AE211,"R","S"),AE211))),"0",""),"1",""),"2",""),"3",""),"4",""),"5",""),"6",""),"7",""),"8",""),"9","")&amp; Data!CT56),"")</f>
        <v/>
      </c>
      <c r="AF228" s="41" t="str">
        <f>IF(AF211&lt;&gt;"",IF(OR(COUNTIF(AF211,"L*"),COUNTIF(AF211, "X*")),IF(AND(COUNTIF(AF211,"*P*"),COUNTIF(AF211,"*V*")),IF(COUNTIF(AF211,"*R*"),SUBSTITUTE(SUBSTITUTE(AF211,"P",""),"R","S")&amp; Data!CU56,SUBSTITUTE(AF211,"P","")&amp; Data!CU56),IF(AND(COUNTIF(AF211,"*P*"),COUNTIF(AF211,"*R*")),SUBSTITUTE(AF211,"R","S")&amp;Data!CU56,IF(AND(COUNTIF(AF211,"*V*"),COUNTIF(AF211,"*R*")),SUBSTITUTE(AF211,"R","S")&amp;Data!CU56,AF211 &amp; Data!CU56))),SUBSTITUTE(SUBSTITUTE(SUBSTITUTE(SUBSTITUTE(SUBSTITUTE(SUBSTITUTE(SUBSTITUTE(SUBSTITUTE(SUBSTITUTE(SUBSTITUTE(IF(AND(COUNTIF(AF211,"*P*"),COUNTIF(AF211,"*V*")),IF(COUNTIF(AF211,"*R*"),SUBSTITUTE(SUBSTITUTE(AF211,"P",""),"R","S"),SUBSTITUTE(AF211,"P","")),IF(AND(COUNTIF(AF211,"*P*"),COUNTIF(AF211,"*R*")),SUBSTITUTE(AF211,"R","S"),IF(AND(COUNTIF(AF211,"*V*"),COUNTIF(AF211,"*R*")),SUBSTITUTE(AF211,"R","S"),AF211))),"0",""),"1",""),"2",""),"3",""),"4",""),"5",""),"6",""),"7",""),"8",""),"9","")&amp; Data!CU56),"")</f>
        <v/>
      </c>
      <c r="AG228" s="41" t="str">
        <f>IF(AG211&lt;&gt;"",IF(OR(COUNTIF(AG211,"L*"),COUNTIF(AG211, "X*")),IF(AND(COUNTIF(AG211,"*P*"),COUNTIF(AG211,"*V*")),IF(COUNTIF(AG211,"*R*"),SUBSTITUTE(SUBSTITUTE(AG211,"P",""),"R","S")&amp; Data!CV56,SUBSTITUTE(AG211,"P","")&amp; Data!CV56),IF(AND(COUNTIF(AG211,"*P*"),COUNTIF(AG211,"*R*")),SUBSTITUTE(AG211,"R","S")&amp;Data!CV56,IF(AND(COUNTIF(AG211,"*V*"),COUNTIF(AG211,"*R*")),SUBSTITUTE(AG211,"R","S")&amp;Data!CV56,AG211 &amp; Data!CV56))),SUBSTITUTE(SUBSTITUTE(SUBSTITUTE(SUBSTITUTE(SUBSTITUTE(SUBSTITUTE(SUBSTITUTE(SUBSTITUTE(SUBSTITUTE(SUBSTITUTE(IF(AND(COUNTIF(AG211,"*P*"),COUNTIF(AG211,"*V*")),IF(COUNTIF(AG211,"*R*"),SUBSTITUTE(SUBSTITUTE(AG211,"P",""),"R","S"),SUBSTITUTE(AG211,"P","")),IF(AND(COUNTIF(AG211,"*P*"),COUNTIF(AG211,"*R*")),SUBSTITUTE(AG211,"R","S"),IF(AND(COUNTIF(AG211,"*V*"),COUNTIF(AG211,"*R*")),SUBSTITUTE(AG211,"R","S"),AG211))),"0",""),"1",""),"2",""),"3",""),"4",""),"5",""),"6",""),"7",""),"8",""),"9","")&amp; Data!CV56),"")</f>
        <v/>
      </c>
      <c r="AH228" s="41" t="str">
        <f>IF(AH211&lt;&gt;"",IF(OR(COUNTIF(AH211,"L*"),COUNTIF(AH211, "X*")),IF(AND(COUNTIF(AH211,"*P*"),COUNTIF(AH211,"*V*")),IF(COUNTIF(AH211,"*R*"),SUBSTITUTE(SUBSTITUTE(AH211,"P",""),"R","S")&amp; Data!CW56,SUBSTITUTE(AH211,"P","")&amp; Data!CW56),IF(AND(COUNTIF(AH211,"*P*"),COUNTIF(AH211,"*R*")),SUBSTITUTE(AH211,"R","S")&amp;Data!CW56,IF(AND(COUNTIF(AH211,"*V*"),COUNTIF(AH211,"*R*")),SUBSTITUTE(AH211,"R","S")&amp;Data!CW56,AH211 &amp; Data!CW56))),SUBSTITUTE(SUBSTITUTE(SUBSTITUTE(SUBSTITUTE(SUBSTITUTE(SUBSTITUTE(SUBSTITUTE(SUBSTITUTE(SUBSTITUTE(SUBSTITUTE(IF(AND(COUNTIF(AH211,"*P*"),COUNTIF(AH211,"*V*")),IF(COUNTIF(AH211,"*R*"),SUBSTITUTE(SUBSTITUTE(AH211,"P",""),"R","S"),SUBSTITUTE(AH211,"P","")),IF(AND(COUNTIF(AH211,"*P*"),COUNTIF(AH211,"*R*")),SUBSTITUTE(AH211,"R","S"),IF(AND(COUNTIF(AH211,"*V*"),COUNTIF(AH211,"*R*")),SUBSTITUTE(AH211,"R","S"),AH211))),"0",""),"1",""),"2",""),"3",""),"4",""),"5",""),"6",""),"7",""),"8",""),"9","")&amp; Data!CW56),"")</f>
        <v/>
      </c>
      <c r="AI228" s="41" t="str">
        <f>IF(AI211&lt;&gt;"",IF(OR(COUNTIF(AI211,"L*"),COUNTIF(AI211, "X*")),IF(AND(COUNTIF(AI211,"*P*"),COUNTIF(AI211,"*V*")),IF(COUNTIF(AI211,"*R*"),SUBSTITUTE(SUBSTITUTE(AI211,"P",""),"R","S")&amp; Data!CX56,SUBSTITUTE(AI211,"P","")&amp; Data!CX56),IF(AND(COUNTIF(AI211,"*P*"),COUNTIF(AI211,"*R*")),SUBSTITUTE(AI211,"R","S")&amp;Data!CX56,IF(AND(COUNTIF(AI211,"*V*"),COUNTIF(AI211,"*R*")),SUBSTITUTE(AI211,"R","S")&amp;Data!CX56,AI211 &amp; Data!CX56))),SUBSTITUTE(SUBSTITUTE(SUBSTITUTE(SUBSTITUTE(SUBSTITUTE(SUBSTITUTE(SUBSTITUTE(SUBSTITUTE(SUBSTITUTE(SUBSTITUTE(IF(AND(COUNTIF(AI211,"*P*"),COUNTIF(AI211,"*V*")),IF(COUNTIF(AI211,"*R*"),SUBSTITUTE(SUBSTITUTE(AI211,"P",""),"R","S"),SUBSTITUTE(AI211,"P","")),IF(AND(COUNTIF(AI211,"*P*"),COUNTIF(AI211,"*R*")),SUBSTITUTE(AI211,"R","S"),IF(AND(COUNTIF(AI211,"*V*"),COUNTIF(AI211,"*R*")),SUBSTITUTE(AI211,"R","S"),AI211))),"0",""),"1",""),"2",""),"3",""),"4",""),"5",""),"6",""),"7",""),"8",""),"9","")&amp; Data!CX56),"")</f>
        <v/>
      </c>
      <c r="AJ228" s="41" t="str">
        <f>IF(AJ211&lt;&gt;"",IF(OR(COUNTIF(AJ211,"L*"),COUNTIF(AJ211, "X*")),IF(AND(COUNTIF(AJ211,"*P*"),COUNTIF(AJ211,"*V*")),IF(COUNTIF(AJ211,"*R*"),SUBSTITUTE(SUBSTITUTE(AJ211,"P",""),"R","S")&amp; Data!CY56,SUBSTITUTE(AJ211,"P","")&amp; Data!CY56),IF(AND(COUNTIF(AJ211,"*P*"),COUNTIF(AJ211,"*R*")),SUBSTITUTE(AJ211,"R","S")&amp;Data!CY56,IF(AND(COUNTIF(AJ211,"*V*"),COUNTIF(AJ211,"*R*")),SUBSTITUTE(AJ211,"R","S")&amp;Data!CY56,AJ211 &amp; Data!CY56))),SUBSTITUTE(SUBSTITUTE(SUBSTITUTE(SUBSTITUTE(SUBSTITUTE(SUBSTITUTE(SUBSTITUTE(SUBSTITUTE(SUBSTITUTE(SUBSTITUTE(IF(AND(COUNTIF(AJ211,"*P*"),COUNTIF(AJ211,"*V*")),IF(COUNTIF(AJ211,"*R*"),SUBSTITUTE(SUBSTITUTE(AJ211,"P",""),"R","S"),SUBSTITUTE(AJ211,"P","")),IF(AND(COUNTIF(AJ211,"*P*"),COUNTIF(AJ211,"*R*")),SUBSTITUTE(AJ211,"R","S"),IF(AND(COUNTIF(AJ211,"*V*"),COUNTIF(AJ211,"*R*")),SUBSTITUTE(AJ211,"R","S"),AJ211))),"0",""),"1",""),"2",""),"3",""),"4",""),"5",""),"6",""),"7",""),"8",""),"9","")&amp; Data!CY56),"")</f>
        <v/>
      </c>
    </row>
    <row r="229" spans="1:54" ht="24" customHeight="1" thickBot="1" x14ac:dyDescent="0.4">
      <c r="A229" s="1197"/>
      <c r="B229" s="23">
        <v>12</v>
      </c>
      <c r="C229" s="41" t="str">
        <f>IF(C212&lt;&gt;"",IF(OR(COUNTIF(C212,"L*"),COUNTIF(C212, "X*")),IF(AND(COUNTIF(C212,"*P*"),COUNTIF(C212,"*V*")),IF(COUNTIF(C212,"*R*"),SUBSTITUTE(SUBSTITUTE(C212,"P",""),"R","S")&amp; Data!BR57,SUBSTITUTE(C212,"P","")&amp; Data!BR57),IF(AND(COUNTIF(C212,"*P*"),COUNTIF(C212,"*R*")),SUBSTITUTE(C212,"R","S")&amp;Data!BR57,IF(AND(COUNTIF(C212,"*V*"),COUNTIF(C212,"*R*")),SUBSTITUTE(C212,"R","S")&amp;Data!BR57,C212 &amp; Data!BR57))),SUBSTITUTE(SUBSTITUTE(SUBSTITUTE(SUBSTITUTE(SUBSTITUTE(SUBSTITUTE(SUBSTITUTE(SUBSTITUTE(SUBSTITUTE(SUBSTITUTE(IF(AND(COUNTIF(C212,"*P*"),COUNTIF(C212,"*V*")),IF(COUNTIF(C212,"*R*"),SUBSTITUTE(SUBSTITUTE(C212,"P",""),"R","S"),SUBSTITUTE(C212,"P","")),IF(AND(COUNTIF(C212,"*P*"),COUNTIF(C212,"*R*")),SUBSTITUTE(C212,"R","S"),IF(AND(COUNTIF(C212,"*V*"),COUNTIF(C212,"*R*")),SUBSTITUTE(C212,"R","S"),C212))),"0",""),"1",""),"2",""),"3",""),"4",""),"5",""),"6",""),"7",""),"8",""),"9","")&amp; Data!BR57),"")</f>
        <v/>
      </c>
      <c r="D229" s="41" t="str">
        <f>IF(D212&lt;&gt;"",IF(OR(COUNTIF(D212,"L*"),COUNTIF(D212, "X*")),IF(AND(COUNTIF(D212,"*P*"),COUNTIF(D212,"*V*")),IF(COUNTIF(D212,"*R*"),SUBSTITUTE(SUBSTITUTE(D212,"P",""),"R","S")&amp; Data!BS57,SUBSTITUTE(D212,"P","")&amp; Data!BS57),IF(AND(COUNTIF(D212,"*P*"),COUNTIF(D212,"*R*")),SUBSTITUTE(D212,"R","S")&amp;Data!BS57,IF(AND(COUNTIF(D212,"*V*"),COUNTIF(D212,"*R*")),SUBSTITUTE(D212,"R","S")&amp;Data!BS57,D212 &amp; Data!BS57))),SUBSTITUTE(SUBSTITUTE(SUBSTITUTE(SUBSTITUTE(SUBSTITUTE(SUBSTITUTE(SUBSTITUTE(SUBSTITUTE(SUBSTITUTE(SUBSTITUTE(IF(AND(COUNTIF(D212,"*P*"),COUNTIF(D212,"*V*")),IF(COUNTIF(D212,"*R*"),SUBSTITUTE(SUBSTITUTE(D212,"P",""),"R","S"),SUBSTITUTE(D212,"P","")),IF(AND(COUNTIF(D212,"*P*"),COUNTIF(D212,"*R*")),SUBSTITUTE(D212,"R","S"),IF(AND(COUNTIF(D212,"*V*"),COUNTIF(D212,"*R*")),SUBSTITUTE(D212,"R","S"),D212))),"0",""),"1",""),"2",""),"3",""),"4",""),"5",""),"6",""),"7",""),"8",""),"9","")&amp; Data!BS57),"")</f>
        <v/>
      </c>
      <c r="E229" s="41" t="str">
        <f>IF(E212&lt;&gt;"",IF(OR(COUNTIF(E212,"L*"),COUNTIF(E212, "X*")),IF(AND(COUNTIF(E212,"*P*"),COUNTIF(E212,"*V*")),IF(COUNTIF(E212,"*R*"),SUBSTITUTE(SUBSTITUTE(E212,"P",""),"R","S")&amp; Data!BT57,SUBSTITUTE(E212,"P","")&amp; Data!BT57),IF(AND(COUNTIF(E212,"*P*"),COUNTIF(E212,"*R*")),SUBSTITUTE(E212,"R","S")&amp;Data!BT57,IF(AND(COUNTIF(E212,"*V*"),COUNTIF(E212,"*R*")),SUBSTITUTE(E212,"R","S")&amp;Data!BT57,E212 &amp; Data!BT57))),SUBSTITUTE(SUBSTITUTE(SUBSTITUTE(SUBSTITUTE(SUBSTITUTE(SUBSTITUTE(SUBSTITUTE(SUBSTITUTE(SUBSTITUTE(SUBSTITUTE(IF(AND(COUNTIF(E212,"*P*"),COUNTIF(E212,"*V*")),IF(COUNTIF(E212,"*R*"),SUBSTITUTE(SUBSTITUTE(E212,"P",""),"R","S"),SUBSTITUTE(E212,"P","")),IF(AND(COUNTIF(E212,"*P*"),COUNTIF(E212,"*R*")),SUBSTITUTE(E212,"R","S"),IF(AND(COUNTIF(E212,"*V*"),COUNTIF(E212,"*R*")),SUBSTITUTE(E212,"R","S"),E212))),"0",""),"1",""),"2",""),"3",""),"4",""),"5",""),"6",""),"7",""),"8",""),"9","")&amp; Data!BT57),"")</f>
        <v/>
      </c>
      <c r="F229" s="41" t="str">
        <f>IF(F212&lt;&gt;"",IF(OR(COUNTIF(F212,"L*"),COUNTIF(F212, "X*")),IF(AND(COUNTIF(F212,"*P*"),COUNTIF(F212,"*V*")),IF(COUNTIF(F212,"*R*"),SUBSTITUTE(SUBSTITUTE(F212,"P",""),"R","S")&amp; Data!BU57,SUBSTITUTE(F212,"P","")&amp; Data!BU57),IF(AND(COUNTIF(F212,"*P*"),COUNTIF(F212,"*R*")),SUBSTITUTE(F212,"R","S")&amp;Data!BU57,IF(AND(COUNTIF(F212,"*V*"),COUNTIF(F212,"*R*")),SUBSTITUTE(F212,"R","S")&amp;Data!BU57,F212 &amp; Data!BU57))),SUBSTITUTE(SUBSTITUTE(SUBSTITUTE(SUBSTITUTE(SUBSTITUTE(SUBSTITUTE(SUBSTITUTE(SUBSTITUTE(SUBSTITUTE(SUBSTITUTE(IF(AND(COUNTIF(F212,"*P*"),COUNTIF(F212,"*V*")),IF(COUNTIF(F212,"*R*"),SUBSTITUTE(SUBSTITUTE(F212,"P",""),"R","S"),SUBSTITUTE(F212,"P","")),IF(AND(COUNTIF(F212,"*P*"),COUNTIF(F212,"*R*")),SUBSTITUTE(F212,"R","S"),IF(AND(COUNTIF(F212,"*V*"),COUNTIF(F212,"*R*")),SUBSTITUTE(F212,"R","S"),F212))),"0",""),"1",""),"2",""),"3",""),"4",""),"5",""),"6",""),"7",""),"8",""),"9","")&amp; Data!BU57),"")</f>
        <v/>
      </c>
      <c r="G229" s="41" t="str">
        <f>IF(G212&lt;&gt;"",IF(OR(COUNTIF(G212,"L*"),COUNTIF(G212, "X*")),IF(AND(COUNTIF(G212,"*P*"),COUNTIF(G212,"*V*")),IF(COUNTIF(G212,"*R*"),SUBSTITUTE(SUBSTITUTE(G212,"P",""),"R","S")&amp; Data!BV57,SUBSTITUTE(G212,"P","")&amp; Data!BV57),IF(AND(COUNTIF(G212,"*P*"),COUNTIF(G212,"*R*")),SUBSTITUTE(G212,"R","S")&amp;Data!BV57,IF(AND(COUNTIF(G212,"*V*"),COUNTIF(G212,"*R*")),SUBSTITUTE(G212,"R","S")&amp;Data!BV57,G212 &amp; Data!BV57))),SUBSTITUTE(SUBSTITUTE(SUBSTITUTE(SUBSTITUTE(SUBSTITUTE(SUBSTITUTE(SUBSTITUTE(SUBSTITUTE(SUBSTITUTE(SUBSTITUTE(IF(AND(COUNTIF(G212,"*P*"),COUNTIF(G212,"*V*")),IF(COUNTIF(G212,"*R*"),SUBSTITUTE(SUBSTITUTE(G212,"P",""),"R","S"),SUBSTITUTE(G212,"P","")),IF(AND(COUNTIF(G212,"*P*"),COUNTIF(G212,"*R*")),SUBSTITUTE(G212,"R","S"),IF(AND(COUNTIF(G212,"*V*"),COUNTIF(G212,"*R*")),SUBSTITUTE(G212,"R","S"),G212))),"0",""),"1",""),"2",""),"3",""),"4",""),"5",""),"6",""),"7",""),"8",""),"9","")&amp; Data!BV57),"")</f>
        <v/>
      </c>
      <c r="H229" s="41" t="str">
        <f>IF(H212&lt;&gt;"",IF(OR(COUNTIF(H212,"L*"),COUNTIF(H212, "X*")),IF(AND(COUNTIF(H212,"*P*"),COUNTIF(H212,"*V*")),IF(COUNTIF(H212,"*R*"),SUBSTITUTE(SUBSTITUTE(H212,"P",""),"R","S")&amp; Data!BW57,SUBSTITUTE(H212,"P","")&amp; Data!BW57),IF(AND(COUNTIF(H212,"*P*"),COUNTIF(H212,"*R*")),SUBSTITUTE(H212,"R","S")&amp;Data!BW57,IF(AND(COUNTIF(H212,"*V*"),COUNTIF(H212,"*R*")),SUBSTITUTE(H212,"R","S")&amp;Data!BW57,H212 &amp; Data!BW57))),SUBSTITUTE(SUBSTITUTE(SUBSTITUTE(SUBSTITUTE(SUBSTITUTE(SUBSTITUTE(SUBSTITUTE(SUBSTITUTE(SUBSTITUTE(SUBSTITUTE(IF(AND(COUNTIF(H212,"*P*"),COUNTIF(H212,"*V*")),IF(COUNTIF(H212,"*R*"),SUBSTITUTE(SUBSTITUTE(H212,"P",""),"R","S"),SUBSTITUTE(H212,"P","")),IF(AND(COUNTIF(H212,"*P*"),COUNTIF(H212,"*R*")),SUBSTITUTE(H212,"R","S"),IF(AND(COUNTIF(H212,"*V*"),COUNTIF(H212,"*R*")),SUBSTITUTE(H212,"R","S"),H212))),"0",""),"1",""),"2",""),"3",""),"4",""),"5",""),"6",""),"7",""),"8",""),"9","")&amp; Data!BW57),"")</f>
        <v/>
      </c>
      <c r="I229" s="41" t="str">
        <f>IF(I212&lt;&gt;"",IF(OR(COUNTIF(I212,"L*"),COUNTIF(I212, "X*")),IF(AND(COUNTIF(I212,"*P*"),COUNTIF(I212,"*V*")),IF(COUNTIF(I212,"*R*"),SUBSTITUTE(SUBSTITUTE(I212,"P",""),"R","S")&amp; Data!BX57,SUBSTITUTE(I212,"P","")&amp; Data!BX57),IF(AND(COUNTIF(I212,"*P*"),COUNTIF(I212,"*R*")),SUBSTITUTE(I212,"R","S")&amp;Data!BX57,IF(AND(COUNTIF(I212,"*V*"),COUNTIF(I212,"*R*")),SUBSTITUTE(I212,"R","S")&amp;Data!BX57,I212 &amp; Data!BX57))),SUBSTITUTE(SUBSTITUTE(SUBSTITUTE(SUBSTITUTE(SUBSTITUTE(SUBSTITUTE(SUBSTITUTE(SUBSTITUTE(SUBSTITUTE(SUBSTITUTE(IF(AND(COUNTIF(I212,"*P*"),COUNTIF(I212,"*V*")),IF(COUNTIF(I212,"*R*"),SUBSTITUTE(SUBSTITUTE(I212,"P",""),"R","S"),SUBSTITUTE(I212,"P","")),IF(AND(COUNTIF(I212,"*P*"),COUNTIF(I212,"*R*")),SUBSTITUTE(I212,"R","S"),IF(AND(COUNTIF(I212,"*V*"),COUNTIF(I212,"*R*")),SUBSTITUTE(I212,"R","S"),I212))),"0",""),"1",""),"2",""),"3",""),"4",""),"5",""),"6",""),"7",""),"8",""),"9","")&amp; Data!BX57),"")</f>
        <v/>
      </c>
      <c r="J229" s="41" t="str">
        <f>IF(J212&lt;&gt;"",IF(OR(COUNTIF(J212,"L*"),COUNTIF(J212, "X*")),IF(AND(COUNTIF(J212,"*P*"),COUNTIF(J212,"*V*")),IF(COUNTIF(J212,"*R*"),SUBSTITUTE(SUBSTITUTE(J212,"P",""),"R","S")&amp; Data!BY57,SUBSTITUTE(J212,"P","")&amp; Data!BY57),IF(AND(COUNTIF(J212,"*P*"),COUNTIF(J212,"*R*")),SUBSTITUTE(J212,"R","S")&amp;Data!BY57,IF(AND(COUNTIF(J212,"*V*"),COUNTIF(J212,"*R*")),SUBSTITUTE(J212,"R","S")&amp;Data!BY57,J212 &amp; Data!BY57))),SUBSTITUTE(SUBSTITUTE(SUBSTITUTE(SUBSTITUTE(SUBSTITUTE(SUBSTITUTE(SUBSTITUTE(SUBSTITUTE(SUBSTITUTE(SUBSTITUTE(IF(AND(COUNTIF(J212,"*P*"),COUNTIF(J212,"*V*")),IF(COUNTIF(J212,"*R*"),SUBSTITUTE(SUBSTITUTE(J212,"P",""),"R","S"),SUBSTITUTE(J212,"P","")),IF(AND(COUNTIF(J212,"*P*"),COUNTIF(J212,"*R*")),SUBSTITUTE(J212,"R","S"),IF(AND(COUNTIF(J212,"*V*"),COUNTIF(J212,"*R*")),SUBSTITUTE(J212,"R","S"),J212))),"0",""),"1",""),"2",""),"3",""),"4",""),"5",""),"6",""),"7",""),"8",""),"9","")&amp; Data!BY57),"")</f>
        <v/>
      </c>
      <c r="K229" s="41" t="str">
        <f>IF(K212&lt;&gt;"",IF(OR(COUNTIF(K212,"L*"),COUNTIF(K212, "X*")),IF(AND(COUNTIF(K212,"*P*"),COUNTIF(K212,"*V*")),IF(COUNTIF(K212,"*R*"),SUBSTITUTE(SUBSTITUTE(K212,"P",""),"R","S")&amp; Data!BZ57,SUBSTITUTE(K212,"P","")&amp; Data!BZ57),IF(AND(COUNTIF(K212,"*P*"),COUNTIF(K212,"*R*")),SUBSTITUTE(K212,"R","S")&amp;Data!BZ57,IF(AND(COUNTIF(K212,"*V*"),COUNTIF(K212,"*R*")),SUBSTITUTE(K212,"R","S")&amp;Data!BZ57,K212 &amp; Data!BZ57))),SUBSTITUTE(SUBSTITUTE(SUBSTITUTE(SUBSTITUTE(SUBSTITUTE(SUBSTITUTE(SUBSTITUTE(SUBSTITUTE(SUBSTITUTE(SUBSTITUTE(IF(AND(COUNTIF(K212,"*P*"),COUNTIF(K212,"*V*")),IF(COUNTIF(K212,"*R*"),SUBSTITUTE(SUBSTITUTE(K212,"P",""),"R","S"),SUBSTITUTE(K212,"P","")),IF(AND(COUNTIF(K212,"*P*"),COUNTIF(K212,"*R*")),SUBSTITUTE(K212,"R","S"),IF(AND(COUNTIF(K212,"*V*"),COUNTIF(K212,"*R*")),SUBSTITUTE(K212,"R","S"),K212))),"0",""),"1",""),"2",""),"3",""),"4",""),"5",""),"6",""),"7",""),"8",""),"9","")&amp; Data!BZ57),"")</f>
        <v/>
      </c>
      <c r="L229" s="41" t="str">
        <f>IF(L212&lt;&gt;"",IF(OR(COUNTIF(L212,"L*"),COUNTIF(L212, "X*")),IF(AND(COUNTIF(L212,"*P*"),COUNTIF(L212,"*V*")),IF(COUNTIF(L212,"*R*"),SUBSTITUTE(SUBSTITUTE(L212,"P",""),"R","S")&amp; Data!CA57,SUBSTITUTE(L212,"P","")&amp; Data!CA57),IF(AND(COUNTIF(L212,"*P*"),COUNTIF(L212,"*R*")),SUBSTITUTE(L212,"R","S")&amp;Data!CA57,IF(AND(COUNTIF(L212,"*V*"),COUNTIF(L212,"*R*")),SUBSTITUTE(L212,"R","S")&amp;Data!CA57,L212 &amp; Data!CA57))),SUBSTITUTE(SUBSTITUTE(SUBSTITUTE(SUBSTITUTE(SUBSTITUTE(SUBSTITUTE(SUBSTITUTE(SUBSTITUTE(SUBSTITUTE(SUBSTITUTE(IF(AND(COUNTIF(L212,"*P*"),COUNTIF(L212,"*V*")),IF(COUNTIF(L212,"*R*"),SUBSTITUTE(SUBSTITUTE(L212,"P",""),"R","S"),SUBSTITUTE(L212,"P","")),IF(AND(COUNTIF(L212,"*P*"),COUNTIF(L212,"*R*")),SUBSTITUTE(L212,"R","S"),IF(AND(COUNTIF(L212,"*V*"),COUNTIF(L212,"*R*")),SUBSTITUTE(L212,"R","S"),L212))),"0",""),"1",""),"2",""),"3",""),"4",""),"5",""),"6",""),"7",""),"8",""),"9","")&amp; Data!CA57),"")</f>
        <v/>
      </c>
      <c r="M229" s="41" t="str">
        <f>IF(M212&lt;&gt;"",IF(OR(COUNTIF(M212,"L*"),COUNTIF(M212, "X*")),IF(AND(COUNTIF(M212,"*P*"),COUNTIF(M212,"*V*")),IF(COUNTIF(M212,"*R*"),SUBSTITUTE(SUBSTITUTE(M212,"P",""),"R","S")&amp; Data!CB57,SUBSTITUTE(M212,"P","")&amp; Data!CB57),IF(AND(COUNTIF(M212,"*P*"),COUNTIF(M212,"*R*")),SUBSTITUTE(M212,"R","S")&amp;Data!CB57,IF(AND(COUNTIF(M212,"*V*"),COUNTIF(M212,"*R*")),SUBSTITUTE(M212,"R","S")&amp;Data!CB57,M212 &amp; Data!CB57))),SUBSTITUTE(SUBSTITUTE(SUBSTITUTE(SUBSTITUTE(SUBSTITUTE(SUBSTITUTE(SUBSTITUTE(SUBSTITUTE(SUBSTITUTE(SUBSTITUTE(IF(AND(COUNTIF(M212,"*P*"),COUNTIF(M212,"*V*")),IF(COUNTIF(M212,"*R*"),SUBSTITUTE(SUBSTITUTE(M212,"P",""),"R","S"),SUBSTITUTE(M212,"P","")),IF(AND(COUNTIF(M212,"*P*"),COUNTIF(M212,"*R*")),SUBSTITUTE(M212,"R","S"),IF(AND(COUNTIF(M212,"*V*"),COUNTIF(M212,"*R*")),SUBSTITUTE(M212,"R","S"),M212))),"0",""),"1",""),"2",""),"3",""),"4",""),"5",""),"6",""),"7",""),"8",""),"9","")&amp; Data!CB57),"")</f>
        <v/>
      </c>
      <c r="N229" s="41" t="str">
        <f>IF(N212&lt;&gt;"",IF(OR(COUNTIF(N212,"L*"),COUNTIF(N212, "X*")),IF(AND(COUNTIF(N212,"*P*"),COUNTIF(N212,"*V*")),IF(COUNTIF(N212,"*R*"),SUBSTITUTE(SUBSTITUTE(N212,"P",""),"R","S")&amp; Data!CC57,SUBSTITUTE(N212,"P","")&amp; Data!CC57),IF(AND(COUNTIF(N212,"*P*"),COUNTIF(N212,"*R*")),SUBSTITUTE(N212,"R","S")&amp;Data!CC57,IF(AND(COUNTIF(N212,"*V*"),COUNTIF(N212,"*R*")),SUBSTITUTE(N212,"R","S")&amp;Data!CC57,N212 &amp; Data!CC57))),SUBSTITUTE(SUBSTITUTE(SUBSTITUTE(SUBSTITUTE(SUBSTITUTE(SUBSTITUTE(SUBSTITUTE(SUBSTITUTE(SUBSTITUTE(SUBSTITUTE(IF(AND(COUNTIF(N212,"*P*"),COUNTIF(N212,"*V*")),IF(COUNTIF(N212,"*R*"),SUBSTITUTE(SUBSTITUTE(N212,"P",""),"R","S"),SUBSTITUTE(N212,"P","")),IF(AND(COUNTIF(N212,"*P*"),COUNTIF(N212,"*R*")),SUBSTITUTE(N212,"R","S"),IF(AND(COUNTIF(N212,"*V*"),COUNTIF(N212,"*R*")),SUBSTITUTE(N212,"R","S"),N212))),"0",""),"1",""),"2",""),"3",""),"4",""),"5",""),"6",""),"7",""),"8",""),"9","")&amp; Data!CC57),"")</f>
        <v/>
      </c>
      <c r="O229" s="41" t="str">
        <f>IF(O212&lt;&gt;"",IF(OR(COUNTIF(O212,"L*"),COUNTIF(O212, "X*")),IF(AND(COUNTIF(O212,"*P*"),COUNTIF(O212,"*V*")),IF(COUNTIF(O212,"*R*"),SUBSTITUTE(SUBSTITUTE(O212,"P",""),"R","S")&amp; Data!CD57,SUBSTITUTE(O212,"P","")&amp; Data!CD57),IF(AND(COUNTIF(O212,"*P*"),COUNTIF(O212,"*R*")),SUBSTITUTE(O212,"R","S")&amp;Data!CD57,IF(AND(COUNTIF(O212,"*V*"),COUNTIF(O212,"*R*")),SUBSTITUTE(O212,"R","S")&amp;Data!CD57,O212 &amp; Data!CD57))),SUBSTITUTE(SUBSTITUTE(SUBSTITUTE(SUBSTITUTE(SUBSTITUTE(SUBSTITUTE(SUBSTITUTE(SUBSTITUTE(SUBSTITUTE(SUBSTITUTE(IF(AND(COUNTIF(O212,"*P*"),COUNTIF(O212,"*V*")),IF(COUNTIF(O212,"*R*"),SUBSTITUTE(SUBSTITUTE(O212,"P",""),"R","S"),SUBSTITUTE(O212,"P","")),IF(AND(COUNTIF(O212,"*P*"),COUNTIF(O212,"*R*")),SUBSTITUTE(O212,"R","S"),IF(AND(COUNTIF(O212,"*V*"),COUNTIF(O212,"*R*")),SUBSTITUTE(O212,"R","S"),O212))),"0",""),"1",""),"2",""),"3",""),"4",""),"5",""),"6",""),"7",""),"8",""),"9","")&amp; Data!CD57),"")</f>
        <v/>
      </c>
      <c r="P229" s="41" t="str">
        <f>IF(P212&lt;&gt;"",IF(OR(COUNTIF(P212,"L*"),COUNTIF(P212, "X*")),IF(AND(COUNTIF(P212,"*P*"),COUNTIF(P212,"*V*")),IF(COUNTIF(P212,"*R*"),SUBSTITUTE(SUBSTITUTE(P212,"P",""),"R","S")&amp; Data!CE57,SUBSTITUTE(P212,"P","")&amp; Data!CE57),IF(AND(COUNTIF(P212,"*P*"),COUNTIF(P212,"*R*")),SUBSTITUTE(P212,"R","S")&amp;Data!CE57,IF(AND(COUNTIF(P212,"*V*"),COUNTIF(P212,"*R*")),SUBSTITUTE(P212,"R","S")&amp;Data!CE57,P212 &amp; Data!CE57))),SUBSTITUTE(SUBSTITUTE(SUBSTITUTE(SUBSTITUTE(SUBSTITUTE(SUBSTITUTE(SUBSTITUTE(SUBSTITUTE(SUBSTITUTE(SUBSTITUTE(IF(AND(COUNTIF(P212,"*P*"),COUNTIF(P212,"*V*")),IF(COUNTIF(P212,"*R*"),SUBSTITUTE(SUBSTITUTE(P212,"P",""),"R","S"),SUBSTITUTE(P212,"P","")),IF(AND(COUNTIF(P212,"*P*"),COUNTIF(P212,"*R*")),SUBSTITUTE(P212,"R","S"),IF(AND(COUNTIF(P212,"*V*"),COUNTIF(P212,"*R*")),SUBSTITUTE(P212,"R","S"),P212))),"0",""),"1",""),"2",""),"3",""),"4",""),"5",""),"6",""),"7",""),"8",""),"9","")&amp; Data!CE57),"")</f>
        <v/>
      </c>
      <c r="Q229" s="41" t="str">
        <f>IF(Q212&lt;&gt;"",IF(OR(COUNTIF(Q212,"L*"),COUNTIF(Q212, "X*")),IF(AND(COUNTIF(Q212,"*P*"),COUNTIF(Q212,"*V*")),IF(COUNTIF(Q212,"*R*"),SUBSTITUTE(SUBSTITUTE(Q212,"P",""),"R","S")&amp; Data!CF57,SUBSTITUTE(Q212,"P","")&amp; Data!CF57),IF(AND(COUNTIF(Q212,"*P*"),COUNTIF(Q212,"*R*")),SUBSTITUTE(Q212,"R","S")&amp;Data!CF57,IF(AND(COUNTIF(Q212,"*V*"),COUNTIF(Q212,"*R*")),SUBSTITUTE(Q212,"R","S")&amp;Data!CF57,Q212 &amp; Data!CF57))),SUBSTITUTE(SUBSTITUTE(SUBSTITUTE(SUBSTITUTE(SUBSTITUTE(SUBSTITUTE(SUBSTITUTE(SUBSTITUTE(SUBSTITUTE(SUBSTITUTE(IF(AND(COUNTIF(Q212,"*P*"),COUNTIF(Q212,"*V*")),IF(COUNTIF(Q212,"*R*"),SUBSTITUTE(SUBSTITUTE(Q212,"P",""),"R","S"),SUBSTITUTE(Q212,"P","")),IF(AND(COUNTIF(Q212,"*P*"),COUNTIF(Q212,"*R*")),SUBSTITUTE(Q212,"R","S"),IF(AND(COUNTIF(Q212,"*V*"),COUNTIF(Q212,"*R*")),SUBSTITUTE(Q212,"R","S"),Q212))),"0",""),"1",""),"2",""),"3",""),"4",""),"5",""),"6",""),"7",""),"8",""),"9","")&amp; Data!CF57),"")</f>
        <v/>
      </c>
      <c r="R229" s="41" t="str">
        <f>IF(R212&lt;&gt;"",IF(OR(COUNTIF(R212,"L*"),COUNTIF(R212, "X*")),IF(AND(COUNTIF(R212,"*P*"),COUNTIF(R212,"*V*")),IF(COUNTIF(R212,"*R*"),SUBSTITUTE(SUBSTITUTE(R212,"P",""),"R","S")&amp; Data!CG57,SUBSTITUTE(R212,"P","")&amp; Data!CG57),IF(AND(COUNTIF(R212,"*P*"),COUNTIF(R212,"*R*")),SUBSTITUTE(R212,"R","S")&amp;Data!CG57,IF(AND(COUNTIF(R212,"*V*"),COUNTIF(R212,"*R*")),SUBSTITUTE(R212,"R","S")&amp;Data!CG57,R212 &amp; Data!CG57))),SUBSTITUTE(SUBSTITUTE(SUBSTITUTE(SUBSTITUTE(SUBSTITUTE(SUBSTITUTE(SUBSTITUTE(SUBSTITUTE(SUBSTITUTE(SUBSTITUTE(IF(AND(COUNTIF(R212,"*P*"),COUNTIF(R212,"*V*")),IF(COUNTIF(R212,"*R*"),SUBSTITUTE(SUBSTITUTE(R212,"P",""),"R","S"),SUBSTITUTE(R212,"P","")),IF(AND(COUNTIF(R212,"*P*"),COUNTIF(R212,"*R*")),SUBSTITUTE(R212,"R","S"),IF(AND(COUNTIF(R212,"*V*"),COUNTIF(R212,"*R*")),SUBSTITUTE(R212,"R","S"),R212))),"0",""),"1",""),"2",""),"3",""),"4",""),"5",""),"6",""),"7",""),"8",""),"9","")&amp; Data!CG57),"")</f>
        <v/>
      </c>
      <c r="S229" s="41" t="str">
        <f>IF(S212&lt;&gt;"",IF(OR(COUNTIF(S212,"L*"),COUNTIF(S212, "X*")),IF(AND(COUNTIF(S212,"*P*"),COUNTIF(S212,"*V*")),IF(COUNTIF(S212,"*R*"),SUBSTITUTE(SUBSTITUTE(S212,"P",""),"R","S")&amp; Data!CH57,SUBSTITUTE(S212,"P","")&amp; Data!CH57),IF(AND(COUNTIF(S212,"*P*"),COUNTIF(S212,"*R*")),SUBSTITUTE(S212,"R","S")&amp;Data!CH57,IF(AND(COUNTIF(S212,"*V*"),COUNTIF(S212,"*R*")),SUBSTITUTE(S212,"R","S")&amp;Data!CH57,S212 &amp; Data!CH57))),SUBSTITUTE(SUBSTITUTE(SUBSTITUTE(SUBSTITUTE(SUBSTITUTE(SUBSTITUTE(SUBSTITUTE(SUBSTITUTE(SUBSTITUTE(SUBSTITUTE(IF(AND(COUNTIF(S212,"*P*"),COUNTIF(S212,"*V*")),IF(COUNTIF(S212,"*R*"),SUBSTITUTE(SUBSTITUTE(S212,"P",""),"R","S"),SUBSTITUTE(S212,"P","")),IF(AND(COUNTIF(S212,"*P*"),COUNTIF(S212,"*R*")),SUBSTITUTE(S212,"R","S"),IF(AND(COUNTIF(S212,"*V*"),COUNTIF(S212,"*R*")),SUBSTITUTE(S212,"R","S"),S212))),"0",""),"1",""),"2",""),"3",""),"4",""),"5",""),"6",""),"7",""),"8",""),"9","")&amp; Data!CH57),"")</f>
        <v/>
      </c>
      <c r="T229" s="41" t="str">
        <f>IF(T212&lt;&gt;"",IF(OR(COUNTIF(T212,"L*"),COUNTIF(T212, "X*")),IF(AND(COUNTIF(T212,"*P*"),COUNTIF(T212,"*V*")),IF(COUNTIF(T212,"*R*"),SUBSTITUTE(SUBSTITUTE(T212,"P",""),"R","S")&amp; Data!CI57,SUBSTITUTE(T212,"P","")&amp; Data!CI57),IF(AND(COUNTIF(T212,"*P*"),COUNTIF(T212,"*R*")),SUBSTITUTE(T212,"R","S")&amp;Data!CI57,IF(AND(COUNTIF(T212,"*V*"),COUNTIF(T212,"*R*")),SUBSTITUTE(T212,"R","S")&amp;Data!CI57,T212 &amp; Data!CI57))),SUBSTITUTE(SUBSTITUTE(SUBSTITUTE(SUBSTITUTE(SUBSTITUTE(SUBSTITUTE(SUBSTITUTE(SUBSTITUTE(SUBSTITUTE(SUBSTITUTE(IF(AND(COUNTIF(T212,"*P*"),COUNTIF(T212,"*V*")),IF(COUNTIF(T212,"*R*"),SUBSTITUTE(SUBSTITUTE(T212,"P",""),"R","S"),SUBSTITUTE(T212,"P","")),IF(AND(COUNTIF(T212,"*P*"),COUNTIF(T212,"*R*")),SUBSTITUTE(T212,"R","S"),IF(AND(COUNTIF(T212,"*V*"),COUNTIF(T212,"*R*")),SUBSTITUTE(T212,"R","S"),T212))),"0",""),"1",""),"2",""),"3",""),"4",""),"5",""),"6",""),"7",""),"8",""),"9","")&amp; Data!CI57),"")</f>
        <v/>
      </c>
      <c r="U229" s="41" t="str">
        <f>IF(U212&lt;&gt;"",IF(OR(COUNTIF(U212,"L*"),COUNTIF(U212, "X*")),IF(AND(COUNTIF(U212,"*P*"),COUNTIF(U212,"*V*")),IF(COUNTIF(U212,"*R*"),SUBSTITUTE(SUBSTITUTE(U212,"P",""),"R","S")&amp; Data!CJ57,SUBSTITUTE(U212,"P","")&amp; Data!CJ57),IF(AND(COUNTIF(U212,"*P*"),COUNTIF(U212,"*R*")),SUBSTITUTE(U212,"R","S")&amp;Data!CJ57,IF(AND(COUNTIF(U212,"*V*"),COUNTIF(U212,"*R*")),SUBSTITUTE(U212,"R","S")&amp;Data!CJ57,U212 &amp; Data!CJ57))),SUBSTITUTE(SUBSTITUTE(SUBSTITUTE(SUBSTITUTE(SUBSTITUTE(SUBSTITUTE(SUBSTITUTE(SUBSTITUTE(SUBSTITUTE(SUBSTITUTE(IF(AND(COUNTIF(U212,"*P*"),COUNTIF(U212,"*V*")),IF(COUNTIF(U212,"*R*"),SUBSTITUTE(SUBSTITUTE(U212,"P",""),"R","S"),SUBSTITUTE(U212,"P","")),IF(AND(COUNTIF(U212,"*P*"),COUNTIF(U212,"*R*")),SUBSTITUTE(U212,"R","S"),IF(AND(COUNTIF(U212,"*V*"),COUNTIF(U212,"*R*")),SUBSTITUTE(U212,"R","S"),U212))),"0",""),"1",""),"2",""),"3",""),"4",""),"5",""),"6",""),"7",""),"8",""),"9","")&amp; Data!CJ57),"")</f>
        <v/>
      </c>
      <c r="V229" s="41" t="str">
        <f>IF(V212&lt;&gt;"",IF(OR(COUNTIF(V212,"L*"),COUNTIF(V212, "X*")),IF(AND(COUNTIF(V212,"*P*"),COUNTIF(V212,"*V*")),IF(COUNTIF(V212,"*R*"),SUBSTITUTE(SUBSTITUTE(V212,"P",""),"R","S")&amp; Data!CK57,SUBSTITUTE(V212,"P","")&amp; Data!CK57),IF(AND(COUNTIF(V212,"*P*"),COUNTIF(V212,"*R*")),SUBSTITUTE(V212,"R","S")&amp;Data!CK57,IF(AND(COUNTIF(V212,"*V*"),COUNTIF(V212,"*R*")),SUBSTITUTE(V212,"R","S")&amp;Data!CK57,V212 &amp; Data!CK57))),SUBSTITUTE(SUBSTITUTE(SUBSTITUTE(SUBSTITUTE(SUBSTITUTE(SUBSTITUTE(SUBSTITUTE(SUBSTITUTE(SUBSTITUTE(SUBSTITUTE(IF(AND(COUNTIF(V212,"*P*"),COUNTIF(V212,"*V*")),IF(COUNTIF(V212,"*R*"),SUBSTITUTE(SUBSTITUTE(V212,"P",""),"R","S"),SUBSTITUTE(V212,"P","")),IF(AND(COUNTIF(V212,"*P*"),COUNTIF(V212,"*R*")),SUBSTITUTE(V212,"R","S"),IF(AND(COUNTIF(V212,"*V*"),COUNTIF(V212,"*R*")),SUBSTITUTE(V212,"R","S"),V212))),"0",""),"1",""),"2",""),"3",""),"4",""),"5",""),"6",""),"7",""),"8",""),"9","")&amp; Data!CK57),"")</f>
        <v/>
      </c>
      <c r="W229" s="41" t="str">
        <f>IF(W212&lt;&gt;"",IF(OR(COUNTIF(W212,"L*"),COUNTIF(W212, "X*")),IF(AND(COUNTIF(W212,"*P*"),COUNTIF(W212,"*V*")),IF(COUNTIF(W212,"*R*"),SUBSTITUTE(SUBSTITUTE(W212,"P",""),"R","S")&amp; Data!CL57,SUBSTITUTE(W212,"P","")&amp; Data!CL57),IF(AND(COUNTIF(W212,"*P*"),COUNTIF(W212,"*R*")),SUBSTITUTE(W212,"R","S")&amp;Data!CL57,IF(AND(COUNTIF(W212,"*V*"),COUNTIF(W212,"*R*")),SUBSTITUTE(W212,"R","S")&amp;Data!CL57,W212 &amp; Data!CL57))),SUBSTITUTE(SUBSTITUTE(SUBSTITUTE(SUBSTITUTE(SUBSTITUTE(SUBSTITUTE(SUBSTITUTE(SUBSTITUTE(SUBSTITUTE(SUBSTITUTE(IF(AND(COUNTIF(W212,"*P*"),COUNTIF(W212,"*V*")),IF(COUNTIF(W212,"*R*"),SUBSTITUTE(SUBSTITUTE(W212,"P",""),"R","S"),SUBSTITUTE(W212,"P","")),IF(AND(COUNTIF(W212,"*P*"),COUNTIF(W212,"*R*")),SUBSTITUTE(W212,"R","S"),IF(AND(COUNTIF(W212,"*V*"),COUNTIF(W212,"*R*")),SUBSTITUTE(W212,"R","S"),W212))),"0",""),"1",""),"2",""),"3",""),"4",""),"5",""),"6",""),"7",""),"8",""),"9","")&amp; Data!CL57),"")</f>
        <v/>
      </c>
      <c r="X229" s="41" t="str">
        <f>IF(X212&lt;&gt;"",IF(OR(COUNTIF(X212,"L*"),COUNTIF(X212, "X*")),IF(AND(COUNTIF(X212,"*P*"),COUNTIF(X212,"*V*")),IF(COUNTIF(X212,"*R*"),SUBSTITUTE(SUBSTITUTE(X212,"P",""),"R","S")&amp; Data!CM57,SUBSTITUTE(X212,"P","")&amp; Data!CM57),IF(AND(COUNTIF(X212,"*P*"),COUNTIF(X212,"*R*")),SUBSTITUTE(X212,"R","S")&amp;Data!CM57,IF(AND(COUNTIF(X212,"*V*"),COUNTIF(X212,"*R*")),SUBSTITUTE(X212,"R","S")&amp;Data!CM57,X212 &amp; Data!CM57))),SUBSTITUTE(SUBSTITUTE(SUBSTITUTE(SUBSTITUTE(SUBSTITUTE(SUBSTITUTE(SUBSTITUTE(SUBSTITUTE(SUBSTITUTE(SUBSTITUTE(IF(AND(COUNTIF(X212,"*P*"),COUNTIF(X212,"*V*")),IF(COUNTIF(X212,"*R*"),SUBSTITUTE(SUBSTITUTE(X212,"P",""),"R","S"),SUBSTITUTE(X212,"P","")),IF(AND(COUNTIF(X212,"*P*"),COUNTIF(X212,"*R*")),SUBSTITUTE(X212,"R","S"),IF(AND(COUNTIF(X212,"*V*"),COUNTIF(X212,"*R*")),SUBSTITUTE(X212,"R","S"),X212))),"0",""),"1",""),"2",""),"3",""),"4",""),"5",""),"6",""),"7",""),"8",""),"9","")&amp; Data!CM57),"")</f>
        <v/>
      </c>
      <c r="Y229" s="41" t="str">
        <f>IF(Y212&lt;&gt;"",IF(OR(COUNTIF(Y212,"L*"),COUNTIF(Y212, "X*")),IF(AND(COUNTIF(Y212,"*P*"),COUNTIF(Y212,"*V*")),IF(COUNTIF(Y212,"*R*"),SUBSTITUTE(SUBSTITUTE(Y212,"P",""),"R","S")&amp; Data!CN57,SUBSTITUTE(Y212,"P","")&amp; Data!CN57),IF(AND(COUNTIF(Y212,"*P*"),COUNTIF(Y212,"*R*")),SUBSTITUTE(Y212,"R","S")&amp;Data!CN57,IF(AND(COUNTIF(Y212,"*V*"),COUNTIF(Y212,"*R*")),SUBSTITUTE(Y212,"R","S")&amp;Data!CN57,Y212 &amp; Data!CN57))),SUBSTITUTE(SUBSTITUTE(SUBSTITUTE(SUBSTITUTE(SUBSTITUTE(SUBSTITUTE(SUBSTITUTE(SUBSTITUTE(SUBSTITUTE(SUBSTITUTE(IF(AND(COUNTIF(Y212,"*P*"),COUNTIF(Y212,"*V*")),IF(COUNTIF(Y212,"*R*"),SUBSTITUTE(SUBSTITUTE(Y212,"P",""),"R","S"),SUBSTITUTE(Y212,"P","")),IF(AND(COUNTIF(Y212,"*P*"),COUNTIF(Y212,"*R*")),SUBSTITUTE(Y212,"R","S"),IF(AND(COUNTIF(Y212,"*V*"),COUNTIF(Y212,"*R*")),SUBSTITUTE(Y212,"R","S"),Y212))),"0",""),"1",""),"2",""),"3",""),"4",""),"5",""),"6",""),"7",""),"8",""),"9","")&amp; Data!CN57),"")</f>
        <v/>
      </c>
      <c r="Z229" s="41" t="str">
        <f>IF(Z212&lt;&gt;"",IF(OR(COUNTIF(Z212,"L*"),COUNTIF(Z212, "X*")),IF(AND(COUNTIF(Z212,"*P*"),COUNTIF(Z212,"*V*")),IF(COUNTIF(Z212,"*R*"),SUBSTITUTE(SUBSTITUTE(Z212,"P",""),"R","S")&amp; Data!CO57,SUBSTITUTE(Z212,"P","")&amp; Data!CO57),IF(AND(COUNTIF(Z212,"*P*"),COUNTIF(Z212,"*R*")),SUBSTITUTE(Z212,"R","S")&amp;Data!CO57,IF(AND(COUNTIF(Z212,"*V*"),COUNTIF(Z212,"*R*")),SUBSTITUTE(Z212,"R","S")&amp;Data!CO57,Z212 &amp; Data!CO57))),SUBSTITUTE(SUBSTITUTE(SUBSTITUTE(SUBSTITUTE(SUBSTITUTE(SUBSTITUTE(SUBSTITUTE(SUBSTITUTE(SUBSTITUTE(SUBSTITUTE(IF(AND(COUNTIF(Z212,"*P*"),COUNTIF(Z212,"*V*")),IF(COUNTIF(Z212,"*R*"),SUBSTITUTE(SUBSTITUTE(Z212,"P",""),"R","S"),SUBSTITUTE(Z212,"P","")),IF(AND(COUNTIF(Z212,"*P*"),COUNTIF(Z212,"*R*")),SUBSTITUTE(Z212,"R","S"),IF(AND(COUNTIF(Z212,"*V*"),COUNTIF(Z212,"*R*")),SUBSTITUTE(Z212,"R","S"),Z212))),"0",""),"1",""),"2",""),"3",""),"4",""),"5",""),"6",""),"7",""),"8",""),"9","")&amp; Data!CO57),"")</f>
        <v/>
      </c>
      <c r="AA229" s="41" t="str">
        <f>IF(AA212&lt;&gt;"",IF(OR(COUNTIF(AA212,"L*"),COUNTIF(AA212, "X*")),IF(AND(COUNTIF(AA212,"*P*"),COUNTIF(AA212,"*V*")),IF(COUNTIF(AA212,"*R*"),SUBSTITUTE(SUBSTITUTE(AA212,"P",""),"R","S")&amp; Data!CP57,SUBSTITUTE(AA212,"P","")&amp; Data!CP57),IF(AND(COUNTIF(AA212,"*P*"),COUNTIF(AA212,"*R*")),SUBSTITUTE(AA212,"R","S")&amp;Data!CP57,IF(AND(COUNTIF(AA212,"*V*"),COUNTIF(AA212,"*R*")),SUBSTITUTE(AA212,"R","S")&amp;Data!CP57,AA212 &amp; Data!CP57))),SUBSTITUTE(SUBSTITUTE(SUBSTITUTE(SUBSTITUTE(SUBSTITUTE(SUBSTITUTE(SUBSTITUTE(SUBSTITUTE(SUBSTITUTE(SUBSTITUTE(IF(AND(COUNTIF(AA212,"*P*"),COUNTIF(AA212,"*V*")),IF(COUNTIF(AA212,"*R*"),SUBSTITUTE(SUBSTITUTE(AA212,"P",""),"R","S"),SUBSTITUTE(AA212,"P","")),IF(AND(COUNTIF(AA212,"*P*"),COUNTIF(AA212,"*R*")),SUBSTITUTE(AA212,"R","S"),IF(AND(COUNTIF(AA212,"*V*"),COUNTIF(AA212,"*R*")),SUBSTITUTE(AA212,"R","S"),AA212))),"0",""),"1",""),"2",""),"3",""),"4",""),"5",""),"6",""),"7",""),"8",""),"9","")&amp; Data!CP57),"")</f>
        <v/>
      </c>
      <c r="AB229" s="41" t="str">
        <f>IF(AB212&lt;&gt;"",IF(OR(COUNTIF(AB212,"L*"),COUNTIF(AB212, "X*")),IF(AND(COUNTIF(AB212,"*P*"),COUNTIF(AB212,"*V*")),IF(COUNTIF(AB212,"*R*"),SUBSTITUTE(SUBSTITUTE(AB212,"P",""),"R","S")&amp; Data!CQ57,SUBSTITUTE(AB212,"P","")&amp; Data!CQ57),IF(AND(COUNTIF(AB212,"*P*"),COUNTIF(AB212,"*R*")),SUBSTITUTE(AB212,"R","S")&amp;Data!CQ57,IF(AND(COUNTIF(AB212,"*V*"),COUNTIF(AB212,"*R*")),SUBSTITUTE(AB212,"R","S")&amp;Data!CQ57,AB212 &amp; Data!CQ57))),SUBSTITUTE(SUBSTITUTE(SUBSTITUTE(SUBSTITUTE(SUBSTITUTE(SUBSTITUTE(SUBSTITUTE(SUBSTITUTE(SUBSTITUTE(SUBSTITUTE(IF(AND(COUNTIF(AB212,"*P*"),COUNTIF(AB212,"*V*")),IF(COUNTIF(AB212,"*R*"),SUBSTITUTE(SUBSTITUTE(AB212,"P",""),"R","S"),SUBSTITUTE(AB212,"P","")),IF(AND(COUNTIF(AB212,"*P*"),COUNTIF(AB212,"*R*")),SUBSTITUTE(AB212,"R","S"),IF(AND(COUNTIF(AB212,"*V*"),COUNTIF(AB212,"*R*")),SUBSTITUTE(AB212,"R","S"),AB212))),"0",""),"1",""),"2",""),"3",""),"4",""),"5",""),"6",""),"7",""),"8",""),"9","")&amp; Data!CQ57),"")</f>
        <v/>
      </c>
      <c r="AC229" s="41" t="str">
        <f>IF(AC212&lt;&gt;"",IF(OR(COUNTIF(AC212,"L*"),COUNTIF(AC212, "X*")),IF(AND(COUNTIF(AC212,"*P*"),COUNTIF(AC212,"*V*")),IF(COUNTIF(AC212,"*R*"),SUBSTITUTE(SUBSTITUTE(AC212,"P",""),"R","S")&amp; Data!CR57,SUBSTITUTE(AC212,"P","")&amp; Data!CR57),IF(AND(COUNTIF(AC212,"*P*"),COUNTIF(AC212,"*R*")),SUBSTITUTE(AC212,"R","S")&amp;Data!CR57,IF(AND(COUNTIF(AC212,"*V*"),COUNTIF(AC212,"*R*")),SUBSTITUTE(AC212,"R","S")&amp;Data!CR57,AC212 &amp; Data!CR57))),SUBSTITUTE(SUBSTITUTE(SUBSTITUTE(SUBSTITUTE(SUBSTITUTE(SUBSTITUTE(SUBSTITUTE(SUBSTITUTE(SUBSTITUTE(SUBSTITUTE(IF(AND(COUNTIF(AC212,"*P*"),COUNTIF(AC212,"*V*")),IF(COUNTIF(AC212,"*R*"),SUBSTITUTE(SUBSTITUTE(AC212,"P",""),"R","S"),SUBSTITUTE(AC212,"P","")),IF(AND(COUNTIF(AC212,"*P*"),COUNTIF(AC212,"*R*")),SUBSTITUTE(AC212,"R","S"),IF(AND(COUNTIF(AC212,"*V*"),COUNTIF(AC212,"*R*")),SUBSTITUTE(AC212,"R","S"),AC212))),"0",""),"1",""),"2",""),"3",""),"4",""),"5",""),"6",""),"7",""),"8",""),"9","")&amp; Data!CR57),"")</f>
        <v/>
      </c>
      <c r="AD229" s="41" t="str">
        <f>IF(AD212&lt;&gt;"",IF(OR(COUNTIF(AD212,"L*"),COUNTIF(AD212, "X*")),IF(AND(COUNTIF(AD212,"*P*"),COUNTIF(AD212,"*V*")),IF(COUNTIF(AD212,"*R*"),SUBSTITUTE(SUBSTITUTE(AD212,"P",""),"R","S")&amp; Data!CS57,SUBSTITUTE(AD212,"P","")&amp; Data!CS57),IF(AND(COUNTIF(AD212,"*P*"),COUNTIF(AD212,"*R*")),SUBSTITUTE(AD212,"R","S")&amp;Data!CS57,IF(AND(COUNTIF(AD212,"*V*"),COUNTIF(AD212,"*R*")),SUBSTITUTE(AD212,"R","S")&amp;Data!CS57,AD212 &amp; Data!CS57))),SUBSTITUTE(SUBSTITUTE(SUBSTITUTE(SUBSTITUTE(SUBSTITUTE(SUBSTITUTE(SUBSTITUTE(SUBSTITUTE(SUBSTITUTE(SUBSTITUTE(IF(AND(COUNTIF(AD212,"*P*"),COUNTIF(AD212,"*V*")),IF(COUNTIF(AD212,"*R*"),SUBSTITUTE(SUBSTITUTE(AD212,"P",""),"R","S"),SUBSTITUTE(AD212,"P","")),IF(AND(COUNTIF(AD212,"*P*"),COUNTIF(AD212,"*R*")),SUBSTITUTE(AD212,"R","S"),IF(AND(COUNTIF(AD212,"*V*"),COUNTIF(AD212,"*R*")),SUBSTITUTE(AD212,"R","S"),AD212))),"0",""),"1",""),"2",""),"3",""),"4",""),"5",""),"6",""),"7",""),"8",""),"9","")&amp; Data!CS57),"")</f>
        <v/>
      </c>
      <c r="AE229" s="41" t="str">
        <f>IF(AE212&lt;&gt;"",IF(OR(COUNTIF(AE212,"L*"),COUNTIF(AE212, "X*")),IF(AND(COUNTIF(AE212,"*P*"),COUNTIF(AE212,"*V*")),IF(COUNTIF(AE212,"*R*"),SUBSTITUTE(SUBSTITUTE(AE212,"P",""),"R","S")&amp; Data!CT57,SUBSTITUTE(AE212,"P","")&amp; Data!CT57),IF(AND(COUNTIF(AE212,"*P*"),COUNTIF(AE212,"*R*")),SUBSTITUTE(AE212,"R","S")&amp;Data!CT57,IF(AND(COUNTIF(AE212,"*V*"),COUNTIF(AE212,"*R*")),SUBSTITUTE(AE212,"R","S")&amp;Data!CT57,AE212 &amp; Data!CT57))),SUBSTITUTE(SUBSTITUTE(SUBSTITUTE(SUBSTITUTE(SUBSTITUTE(SUBSTITUTE(SUBSTITUTE(SUBSTITUTE(SUBSTITUTE(SUBSTITUTE(IF(AND(COUNTIF(AE212,"*P*"),COUNTIF(AE212,"*V*")),IF(COUNTIF(AE212,"*R*"),SUBSTITUTE(SUBSTITUTE(AE212,"P",""),"R","S"),SUBSTITUTE(AE212,"P","")),IF(AND(COUNTIF(AE212,"*P*"),COUNTIF(AE212,"*R*")),SUBSTITUTE(AE212,"R","S"),IF(AND(COUNTIF(AE212,"*V*"),COUNTIF(AE212,"*R*")),SUBSTITUTE(AE212,"R","S"),AE212))),"0",""),"1",""),"2",""),"3",""),"4",""),"5",""),"6",""),"7",""),"8",""),"9","")&amp; Data!CT57),"")</f>
        <v/>
      </c>
      <c r="AF229" s="41" t="str">
        <f>IF(AF212&lt;&gt;"",IF(OR(COUNTIF(AF212,"L*"),COUNTIF(AF212, "X*")),IF(AND(COUNTIF(AF212,"*P*"),COUNTIF(AF212,"*V*")),IF(COUNTIF(AF212,"*R*"),SUBSTITUTE(SUBSTITUTE(AF212,"P",""),"R","S")&amp; Data!CU57,SUBSTITUTE(AF212,"P","")&amp; Data!CU57),IF(AND(COUNTIF(AF212,"*P*"),COUNTIF(AF212,"*R*")),SUBSTITUTE(AF212,"R","S")&amp;Data!CU57,IF(AND(COUNTIF(AF212,"*V*"),COUNTIF(AF212,"*R*")),SUBSTITUTE(AF212,"R","S")&amp;Data!CU57,AF212 &amp; Data!CU57))),SUBSTITUTE(SUBSTITUTE(SUBSTITUTE(SUBSTITUTE(SUBSTITUTE(SUBSTITUTE(SUBSTITUTE(SUBSTITUTE(SUBSTITUTE(SUBSTITUTE(IF(AND(COUNTIF(AF212,"*P*"),COUNTIF(AF212,"*V*")),IF(COUNTIF(AF212,"*R*"),SUBSTITUTE(SUBSTITUTE(AF212,"P",""),"R","S"),SUBSTITUTE(AF212,"P","")),IF(AND(COUNTIF(AF212,"*P*"),COUNTIF(AF212,"*R*")),SUBSTITUTE(AF212,"R","S"),IF(AND(COUNTIF(AF212,"*V*"),COUNTIF(AF212,"*R*")),SUBSTITUTE(AF212,"R","S"),AF212))),"0",""),"1",""),"2",""),"3",""),"4",""),"5",""),"6",""),"7",""),"8",""),"9","")&amp; Data!CU57),"")</f>
        <v/>
      </c>
      <c r="AG229" s="41" t="str">
        <f>IF(AG212&lt;&gt;"",IF(OR(COUNTIF(AG212,"L*"),COUNTIF(AG212, "X*")),IF(AND(COUNTIF(AG212,"*P*"),COUNTIF(AG212,"*V*")),IF(COUNTIF(AG212,"*R*"),SUBSTITUTE(SUBSTITUTE(AG212,"P",""),"R","S")&amp; Data!CV57,SUBSTITUTE(AG212,"P","")&amp; Data!CV57),IF(AND(COUNTIF(AG212,"*P*"),COUNTIF(AG212,"*R*")),SUBSTITUTE(AG212,"R","S")&amp;Data!CV57,IF(AND(COUNTIF(AG212,"*V*"),COUNTIF(AG212,"*R*")),SUBSTITUTE(AG212,"R","S")&amp;Data!CV57,AG212 &amp; Data!CV57))),SUBSTITUTE(SUBSTITUTE(SUBSTITUTE(SUBSTITUTE(SUBSTITUTE(SUBSTITUTE(SUBSTITUTE(SUBSTITUTE(SUBSTITUTE(SUBSTITUTE(IF(AND(COUNTIF(AG212,"*P*"),COUNTIF(AG212,"*V*")),IF(COUNTIF(AG212,"*R*"),SUBSTITUTE(SUBSTITUTE(AG212,"P",""),"R","S"),SUBSTITUTE(AG212,"P","")),IF(AND(COUNTIF(AG212,"*P*"),COUNTIF(AG212,"*R*")),SUBSTITUTE(AG212,"R","S"),IF(AND(COUNTIF(AG212,"*V*"),COUNTIF(AG212,"*R*")),SUBSTITUTE(AG212,"R","S"),AG212))),"0",""),"1",""),"2",""),"3",""),"4",""),"5",""),"6",""),"7",""),"8",""),"9","")&amp; Data!CV57),"")</f>
        <v/>
      </c>
      <c r="AH229" s="41" t="str">
        <f>IF(AH212&lt;&gt;"",IF(OR(COUNTIF(AH212,"L*"),COUNTIF(AH212, "X*")),IF(AND(COUNTIF(AH212,"*P*"),COUNTIF(AH212,"*V*")),IF(COUNTIF(AH212,"*R*"),SUBSTITUTE(SUBSTITUTE(AH212,"P",""),"R","S")&amp; Data!CW57,SUBSTITUTE(AH212,"P","")&amp; Data!CW57),IF(AND(COUNTIF(AH212,"*P*"),COUNTIF(AH212,"*R*")),SUBSTITUTE(AH212,"R","S")&amp;Data!CW57,IF(AND(COUNTIF(AH212,"*V*"),COUNTIF(AH212,"*R*")),SUBSTITUTE(AH212,"R","S")&amp;Data!CW57,AH212 &amp; Data!CW57))),SUBSTITUTE(SUBSTITUTE(SUBSTITUTE(SUBSTITUTE(SUBSTITUTE(SUBSTITUTE(SUBSTITUTE(SUBSTITUTE(SUBSTITUTE(SUBSTITUTE(IF(AND(COUNTIF(AH212,"*P*"),COUNTIF(AH212,"*V*")),IF(COUNTIF(AH212,"*R*"),SUBSTITUTE(SUBSTITUTE(AH212,"P",""),"R","S"),SUBSTITUTE(AH212,"P","")),IF(AND(COUNTIF(AH212,"*P*"),COUNTIF(AH212,"*R*")),SUBSTITUTE(AH212,"R","S"),IF(AND(COUNTIF(AH212,"*V*"),COUNTIF(AH212,"*R*")),SUBSTITUTE(AH212,"R","S"),AH212))),"0",""),"1",""),"2",""),"3",""),"4",""),"5",""),"6",""),"7",""),"8",""),"9","")&amp; Data!CW57),"")</f>
        <v/>
      </c>
      <c r="AI229" s="41" t="str">
        <f>IF(AI212&lt;&gt;"",IF(OR(COUNTIF(AI212,"L*"),COUNTIF(AI212, "X*")),IF(AND(COUNTIF(AI212,"*P*"),COUNTIF(AI212,"*V*")),IF(COUNTIF(AI212,"*R*"),SUBSTITUTE(SUBSTITUTE(AI212,"P",""),"R","S")&amp; Data!CX57,SUBSTITUTE(AI212,"P","")&amp; Data!CX57),IF(AND(COUNTIF(AI212,"*P*"),COUNTIF(AI212,"*R*")),SUBSTITUTE(AI212,"R","S")&amp;Data!CX57,IF(AND(COUNTIF(AI212,"*V*"),COUNTIF(AI212,"*R*")),SUBSTITUTE(AI212,"R","S")&amp;Data!CX57,AI212 &amp; Data!CX57))),SUBSTITUTE(SUBSTITUTE(SUBSTITUTE(SUBSTITUTE(SUBSTITUTE(SUBSTITUTE(SUBSTITUTE(SUBSTITUTE(SUBSTITUTE(SUBSTITUTE(IF(AND(COUNTIF(AI212,"*P*"),COUNTIF(AI212,"*V*")),IF(COUNTIF(AI212,"*R*"),SUBSTITUTE(SUBSTITUTE(AI212,"P",""),"R","S"),SUBSTITUTE(AI212,"P","")),IF(AND(COUNTIF(AI212,"*P*"),COUNTIF(AI212,"*R*")),SUBSTITUTE(AI212,"R","S"),IF(AND(COUNTIF(AI212,"*V*"),COUNTIF(AI212,"*R*")),SUBSTITUTE(AI212,"R","S"),AI212))),"0",""),"1",""),"2",""),"3",""),"4",""),"5",""),"6",""),"7",""),"8",""),"9","")&amp; Data!CX57),"")</f>
        <v/>
      </c>
      <c r="AJ229" s="41" t="str">
        <f>IF(AJ212&lt;&gt;"",IF(OR(COUNTIF(AJ212,"L*"),COUNTIF(AJ212, "X*")),IF(AND(COUNTIF(AJ212,"*P*"),COUNTIF(AJ212,"*V*")),IF(COUNTIF(AJ212,"*R*"),SUBSTITUTE(SUBSTITUTE(AJ212,"P",""),"R","S")&amp; Data!CY57,SUBSTITUTE(AJ212,"P","")&amp; Data!CY57),IF(AND(COUNTIF(AJ212,"*P*"),COUNTIF(AJ212,"*R*")),SUBSTITUTE(AJ212,"R","S")&amp;Data!CY57,IF(AND(COUNTIF(AJ212,"*V*"),COUNTIF(AJ212,"*R*")),SUBSTITUTE(AJ212,"R","S")&amp;Data!CY57,AJ212 &amp; Data!CY57))),SUBSTITUTE(SUBSTITUTE(SUBSTITUTE(SUBSTITUTE(SUBSTITUTE(SUBSTITUTE(SUBSTITUTE(SUBSTITUTE(SUBSTITUTE(SUBSTITUTE(IF(AND(COUNTIF(AJ212,"*P*"),COUNTIF(AJ212,"*V*")),IF(COUNTIF(AJ212,"*R*"),SUBSTITUTE(SUBSTITUTE(AJ212,"P",""),"R","S"),SUBSTITUTE(AJ212,"P","")),IF(AND(COUNTIF(AJ212,"*P*"),COUNTIF(AJ212,"*R*")),SUBSTITUTE(AJ212,"R","S"),IF(AND(COUNTIF(AJ212,"*V*"),COUNTIF(AJ212,"*R*")),SUBSTITUTE(AJ212,"R","S"),AJ212))),"0",""),"1",""),"2",""),"3",""),"4",""),"5",""),"6",""),"7",""),"8",""),"9","")&amp; Data!CY57),"")</f>
        <v/>
      </c>
    </row>
    <row r="230" spans="1:54" ht="23.25" customHeight="1" x14ac:dyDescent="0.35">
      <c r="A230" s="34"/>
      <c r="B230" s="35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</row>
    <row r="231" spans="1:54" ht="10" customHeight="1" thickBot="1" x14ac:dyDescent="0.4">
      <c r="A231" s="1243" t="s">
        <v>133</v>
      </c>
      <c r="B231" s="1243"/>
      <c r="C231" s="1243"/>
      <c r="D231" s="1243"/>
      <c r="E231" s="1243"/>
      <c r="F231" s="1243"/>
      <c r="G231" s="1243"/>
      <c r="H231" s="1243"/>
      <c r="I231" s="1243"/>
      <c r="J231" s="1243"/>
      <c r="K231" s="1243"/>
      <c r="L231" s="1243"/>
      <c r="M231" s="1243"/>
      <c r="N231" s="1243"/>
      <c r="O231" s="1243"/>
      <c r="P231" s="1243"/>
      <c r="Q231" s="1243"/>
      <c r="R231" s="1243"/>
      <c r="S231" s="1243"/>
      <c r="T231" s="1243"/>
      <c r="U231" s="1243"/>
      <c r="V231" s="1243"/>
      <c r="W231" s="1243"/>
      <c r="X231" s="1243"/>
      <c r="Y231" s="1243"/>
      <c r="Z231" s="1243"/>
      <c r="AA231" s="1243"/>
      <c r="AB231" s="1243"/>
      <c r="AC231" s="1243"/>
      <c r="AD231" s="1243"/>
      <c r="AE231" s="1243"/>
      <c r="AF231" s="1243"/>
      <c r="AG231" s="1243"/>
      <c r="AH231" s="1243"/>
      <c r="AI231" s="1243"/>
    </row>
    <row r="232" spans="1:54" ht="24" customHeight="1" thickBot="1" x14ac:dyDescent="0.4">
      <c r="A232" s="34"/>
      <c r="B232" s="35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</row>
    <row r="233" spans="1:54" ht="15" customHeight="1" x14ac:dyDescent="0.35">
      <c r="A233" s="1202"/>
      <c r="B233" s="1203"/>
      <c r="C233" s="1207" t="s">
        <v>17</v>
      </c>
      <c r="D233" s="1207"/>
      <c r="E233" s="1207"/>
      <c r="F233" s="1207"/>
      <c r="G233" s="1207"/>
      <c r="H233" s="1207"/>
      <c r="I233" s="1207"/>
      <c r="J233" s="1207"/>
      <c r="K233" s="1207"/>
      <c r="L233" s="1207"/>
      <c r="M233" s="1207"/>
      <c r="N233" s="1207"/>
      <c r="O233" s="1207"/>
      <c r="P233" s="1207"/>
      <c r="Q233" s="1207"/>
      <c r="R233" s="1207"/>
      <c r="S233" s="1207"/>
      <c r="T233" s="1207"/>
      <c r="U233" s="1207"/>
      <c r="V233" s="1208"/>
      <c r="W233" s="6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8"/>
    </row>
    <row r="234" spans="1:54" ht="15.75" customHeight="1" thickBot="1" x14ac:dyDescent="0.4">
      <c r="A234" s="1204"/>
      <c r="B234" s="1205"/>
      <c r="C234" s="16">
        <v>1</v>
      </c>
      <c r="D234" s="17">
        <v>2</v>
      </c>
      <c r="E234" s="17">
        <v>3</v>
      </c>
      <c r="F234" s="17">
        <v>4</v>
      </c>
      <c r="G234" s="17">
        <v>5</v>
      </c>
      <c r="H234" s="17">
        <v>6</v>
      </c>
      <c r="I234" s="17">
        <v>7</v>
      </c>
      <c r="J234" s="17">
        <v>8</v>
      </c>
      <c r="K234" s="17">
        <v>9</v>
      </c>
      <c r="L234" s="17">
        <v>10</v>
      </c>
      <c r="M234" s="17">
        <v>11</v>
      </c>
      <c r="N234" s="17">
        <v>12</v>
      </c>
      <c r="O234" s="17">
        <v>13</v>
      </c>
      <c r="P234" s="17">
        <v>14</v>
      </c>
      <c r="Q234" s="17">
        <v>15</v>
      </c>
      <c r="R234" s="17">
        <v>16</v>
      </c>
      <c r="S234" s="17">
        <v>17</v>
      </c>
      <c r="T234" s="17">
        <v>18</v>
      </c>
      <c r="U234" s="17">
        <v>19</v>
      </c>
      <c r="V234" s="18">
        <v>20</v>
      </c>
      <c r="W234" s="17">
        <v>21</v>
      </c>
      <c r="X234" s="18">
        <v>22</v>
      </c>
      <c r="Y234" s="17">
        <v>23</v>
      </c>
      <c r="Z234" s="18">
        <v>24</v>
      </c>
      <c r="AA234" s="17">
        <v>25</v>
      </c>
      <c r="AB234" s="18">
        <v>26</v>
      </c>
      <c r="AC234" s="17">
        <v>27</v>
      </c>
      <c r="AD234" s="18">
        <v>28</v>
      </c>
      <c r="AE234" s="17">
        <v>29</v>
      </c>
      <c r="AF234" s="18">
        <v>30</v>
      </c>
      <c r="AG234" s="17">
        <v>31</v>
      </c>
      <c r="AH234" s="18">
        <v>32</v>
      </c>
      <c r="AI234" s="17">
        <v>33</v>
      </c>
      <c r="AJ234" s="18">
        <v>34</v>
      </c>
    </row>
    <row r="235" spans="1:54" ht="23.25" customHeight="1" x14ac:dyDescent="0.35">
      <c r="A235" s="1196" t="s">
        <v>18</v>
      </c>
      <c r="B235" s="21">
        <v>1</v>
      </c>
      <c r="C235" s="41" t="str">
        <f>IF(C201&lt;&gt;"",IF(OR(COUNTIF(C201,"L*"),COUNTIF(C201, "X*")),SUBSTITUTE(SUBSTITUTE(SUBSTITUTE(SUBSTITUTE(C201,"P",""),"I",""),"V",""),"B","") &amp; IF(COUNTIF(C201, "*"&amp;'ARDT Cutter Entry'!$BN$3&amp;"*"),"",IF(COUNTIF(C201, "*"&amp;'ARDT Cutter Entry'!$BN$4&amp;"*"),"",IF(COUNTIF(C201,"*"&amp;'ARDT Cutter Entry'!$BN$5&amp;"*"),"",IF(COUNTIF(C201,"*"&amp;'ARDT Cutter Entry'!$BN$6&amp;"*"),"",IF(COUNTIF(C201,"*"&amp;'ARDT Cutter Entry'!$BN$7&amp;"*"),"",Data!BR46))))),SUBSTITUTE(SUBSTITUTE(SUBSTITUTE(SUBSTITUTE(SUBSTITUTE(SUBSTITUTE(SUBSTITUTE(SUBSTITUTE(SUBSTITUTE(C201,'ARDT Cutter Entry'!$BN$3,""),'ARDT Cutter Entry'!$BN$4,""),'ARDT Cutter Entry'!$BN$5,""),'ARDT Cutter Entry'!$BN$6,""),'ARDT Cutter Entry'!$BN$7,""),"P",""),"I",""),"V",""),"B","")&amp;Data!BR46),IF(AND(Data!BR46&lt;&gt;0,Data!BR46&lt;&gt;""),IF(C218&lt;&gt;"",C218,"O"),""))</f>
        <v>O</v>
      </c>
      <c r="D235" s="41" t="str">
        <f>IF(D201&lt;&gt;"",IF(OR(COUNTIF(D201,"L*"),COUNTIF(D201, "X*")),SUBSTITUTE(SUBSTITUTE(SUBSTITUTE(SUBSTITUTE(D201,"P",""),"I",""),"V",""),"B","") &amp; IF(COUNTIF(D201, "*"&amp;'ARDT Cutter Entry'!$BN$3&amp;"*"),"",IF(COUNTIF(D201, "*"&amp;'ARDT Cutter Entry'!$BN$4&amp;"*"),"",IF(COUNTIF(D201,"*"&amp;'ARDT Cutter Entry'!$BN$5&amp;"*"),"",IF(COUNTIF(D201,"*"&amp;'ARDT Cutter Entry'!$BN$6&amp;"*"),"",IF(COUNTIF(D201,"*"&amp;'ARDT Cutter Entry'!$BN$7&amp;"*"),"",Data!BS46))))),SUBSTITUTE(SUBSTITUTE(SUBSTITUTE(SUBSTITUTE(SUBSTITUTE(SUBSTITUTE(SUBSTITUTE(SUBSTITUTE(SUBSTITUTE(D201,'ARDT Cutter Entry'!$BN$3,""),'ARDT Cutter Entry'!$BN$4,""),'ARDT Cutter Entry'!$BN$5,""),'ARDT Cutter Entry'!$BN$6,""),'ARDT Cutter Entry'!$BN$7,""),"P",""),"I",""),"V",""),"B","")&amp;Data!BS46),IF(AND(Data!BS46&lt;&gt;0,Data!BS46&lt;&gt;""),IF(D218&lt;&gt;"",D218,"O"),""))</f>
        <v>O</v>
      </c>
      <c r="E235" s="41" t="str">
        <f>IF(E201&lt;&gt;"",IF(OR(COUNTIF(E201,"L*"),COUNTIF(E201, "X*")),SUBSTITUTE(SUBSTITUTE(SUBSTITUTE(SUBSTITUTE(E201,"P",""),"I",""),"V",""),"B","") &amp; IF(COUNTIF(E201, "*"&amp;'ARDT Cutter Entry'!$BN$3&amp;"*"),"",IF(COUNTIF(E201, "*"&amp;'ARDT Cutter Entry'!$BN$4&amp;"*"),"",IF(COUNTIF(E201,"*"&amp;'ARDT Cutter Entry'!$BN$5&amp;"*"),"",IF(COUNTIF(E201,"*"&amp;'ARDT Cutter Entry'!$BN$6&amp;"*"),"",IF(COUNTIF(E201,"*"&amp;'ARDT Cutter Entry'!$BN$7&amp;"*"),"",Data!BT46))))),SUBSTITUTE(SUBSTITUTE(SUBSTITUTE(SUBSTITUTE(SUBSTITUTE(SUBSTITUTE(SUBSTITUTE(SUBSTITUTE(SUBSTITUTE(E201,'ARDT Cutter Entry'!$BN$3,""),'ARDT Cutter Entry'!$BN$4,""),'ARDT Cutter Entry'!$BN$5,""),'ARDT Cutter Entry'!$BN$6,""),'ARDT Cutter Entry'!$BN$7,""),"P",""),"I",""),"V",""),"B","")&amp;Data!BT46),IF(AND(Data!BT46&lt;&gt;0,Data!BT46&lt;&gt;""),IF(E218&lt;&gt;"",E218,"O"),""))</f>
        <v>O</v>
      </c>
      <c r="F235" s="41" t="str">
        <f>IF(F201&lt;&gt;"",IF(OR(COUNTIF(F201,"L*"),COUNTIF(F201, "X*")),SUBSTITUTE(SUBSTITUTE(SUBSTITUTE(SUBSTITUTE(F201,"P",""),"I",""),"V",""),"B","") &amp; IF(COUNTIF(F201, "*"&amp;'ARDT Cutter Entry'!$BN$3&amp;"*"),"",IF(COUNTIF(F201, "*"&amp;'ARDT Cutter Entry'!$BN$4&amp;"*"),"",IF(COUNTIF(F201,"*"&amp;'ARDT Cutter Entry'!$BN$5&amp;"*"),"",IF(COUNTIF(F201,"*"&amp;'ARDT Cutter Entry'!$BN$6&amp;"*"),"",IF(COUNTIF(F201,"*"&amp;'ARDT Cutter Entry'!$BN$7&amp;"*"),"",Data!BU46))))),SUBSTITUTE(SUBSTITUTE(SUBSTITUTE(SUBSTITUTE(SUBSTITUTE(SUBSTITUTE(SUBSTITUTE(SUBSTITUTE(SUBSTITUTE(F201,'ARDT Cutter Entry'!$BN$3,""),'ARDT Cutter Entry'!$BN$4,""),'ARDT Cutter Entry'!$BN$5,""),'ARDT Cutter Entry'!$BN$6,""),'ARDT Cutter Entry'!$BN$7,""),"P",""),"I",""),"V",""),"B","")&amp;Data!BU46),IF(AND(Data!BU46&lt;&gt;0,Data!BU46&lt;&gt;""),IF(F218&lt;&gt;"",F218,"O"),""))</f>
        <v>O</v>
      </c>
      <c r="G235" s="41" t="str">
        <f>IF(G201&lt;&gt;"",IF(OR(COUNTIF(G201,"L*"),COUNTIF(G201, "X*")),SUBSTITUTE(SUBSTITUTE(SUBSTITUTE(SUBSTITUTE(G201,"P",""),"I",""),"V",""),"B","") &amp; IF(COUNTIF(G201, "*"&amp;'ARDT Cutter Entry'!$BN$3&amp;"*"),"",IF(COUNTIF(G201, "*"&amp;'ARDT Cutter Entry'!$BN$4&amp;"*"),"",IF(COUNTIF(G201,"*"&amp;'ARDT Cutter Entry'!$BN$5&amp;"*"),"",IF(COUNTIF(G201,"*"&amp;'ARDT Cutter Entry'!$BN$6&amp;"*"),"",IF(COUNTIF(G201,"*"&amp;'ARDT Cutter Entry'!$BN$7&amp;"*"),"",Data!BV46))))),SUBSTITUTE(SUBSTITUTE(SUBSTITUTE(SUBSTITUTE(SUBSTITUTE(SUBSTITUTE(SUBSTITUTE(SUBSTITUTE(SUBSTITUTE(G201,'ARDT Cutter Entry'!$BN$3,""),'ARDT Cutter Entry'!$BN$4,""),'ARDT Cutter Entry'!$BN$5,""),'ARDT Cutter Entry'!$BN$6,""),'ARDT Cutter Entry'!$BN$7,""),"P",""),"I",""),"V",""),"B","")&amp;Data!BV46),IF(AND(Data!BV46&lt;&gt;0,Data!BV46&lt;&gt;""),IF(G218&lt;&gt;"",G218,"O"),""))</f>
        <v>O</v>
      </c>
      <c r="H235" s="41" t="str">
        <f>IF(H201&lt;&gt;"",IF(OR(COUNTIF(H201,"L*"),COUNTIF(H201, "X*")),SUBSTITUTE(SUBSTITUTE(SUBSTITUTE(SUBSTITUTE(H201,"P",""),"I",""),"V",""),"B","") &amp; IF(COUNTIF(H201, "*"&amp;'ARDT Cutter Entry'!$BN$3&amp;"*"),"",IF(COUNTIF(H201, "*"&amp;'ARDT Cutter Entry'!$BN$4&amp;"*"),"",IF(COUNTIF(H201,"*"&amp;'ARDT Cutter Entry'!$BN$5&amp;"*"),"",IF(COUNTIF(H201,"*"&amp;'ARDT Cutter Entry'!$BN$6&amp;"*"),"",IF(COUNTIF(H201,"*"&amp;'ARDT Cutter Entry'!$BN$7&amp;"*"),"",Data!BW46))))),SUBSTITUTE(SUBSTITUTE(SUBSTITUTE(SUBSTITUTE(SUBSTITUTE(SUBSTITUTE(SUBSTITUTE(SUBSTITUTE(SUBSTITUTE(H201,'ARDT Cutter Entry'!$BN$3,""),'ARDT Cutter Entry'!$BN$4,""),'ARDT Cutter Entry'!$BN$5,""),'ARDT Cutter Entry'!$BN$6,""),'ARDT Cutter Entry'!$BN$7,""),"P",""),"I",""),"V",""),"B","")&amp;Data!BW46),IF(AND(Data!BW46&lt;&gt;0,Data!BW46&lt;&gt;""),IF(H218&lt;&gt;"",H218,"O"),""))</f>
        <v>O</v>
      </c>
      <c r="I235" s="41" t="str">
        <f>IF(I201&lt;&gt;"",IF(OR(COUNTIF(I201,"L*"),COUNTIF(I201, "X*")),SUBSTITUTE(SUBSTITUTE(SUBSTITUTE(SUBSTITUTE(I201,"P",""),"I",""),"V",""),"B","") &amp; IF(COUNTIF(I201, "*"&amp;'ARDT Cutter Entry'!$BN$3&amp;"*"),"",IF(COUNTIF(I201, "*"&amp;'ARDT Cutter Entry'!$BN$4&amp;"*"),"",IF(COUNTIF(I201,"*"&amp;'ARDT Cutter Entry'!$BN$5&amp;"*"),"",IF(COUNTIF(I201,"*"&amp;'ARDT Cutter Entry'!$BN$6&amp;"*"),"",IF(COUNTIF(I201,"*"&amp;'ARDT Cutter Entry'!$BN$7&amp;"*"),"",Data!BX46))))),SUBSTITUTE(SUBSTITUTE(SUBSTITUTE(SUBSTITUTE(SUBSTITUTE(SUBSTITUTE(SUBSTITUTE(SUBSTITUTE(SUBSTITUTE(I201,'ARDT Cutter Entry'!$BN$3,""),'ARDT Cutter Entry'!$BN$4,""),'ARDT Cutter Entry'!$BN$5,""),'ARDT Cutter Entry'!$BN$6,""),'ARDT Cutter Entry'!$BN$7,""),"P",""),"I",""),"V",""),"B","")&amp;Data!BX46),IF(AND(Data!BX46&lt;&gt;0,Data!BX46&lt;&gt;""),IF(I218&lt;&gt;"",I218,"O"),""))</f>
        <v>O</v>
      </c>
      <c r="J235" s="41" t="str">
        <f>IF(J201&lt;&gt;"",IF(OR(COUNTIF(J201,"L*"),COUNTIF(J201, "X*")),SUBSTITUTE(SUBSTITUTE(SUBSTITUTE(SUBSTITUTE(J201,"P",""),"I",""),"V",""),"B","") &amp; IF(COUNTIF(J201, "*"&amp;'ARDT Cutter Entry'!$BN$3&amp;"*"),"",IF(COUNTIF(J201, "*"&amp;'ARDT Cutter Entry'!$BN$4&amp;"*"),"",IF(COUNTIF(J201,"*"&amp;'ARDT Cutter Entry'!$BN$5&amp;"*"),"",IF(COUNTIF(J201,"*"&amp;'ARDT Cutter Entry'!$BN$6&amp;"*"),"",IF(COUNTIF(J201,"*"&amp;'ARDT Cutter Entry'!$BN$7&amp;"*"),"",Data!BY46))))),SUBSTITUTE(SUBSTITUTE(SUBSTITUTE(SUBSTITUTE(SUBSTITUTE(SUBSTITUTE(SUBSTITUTE(SUBSTITUTE(SUBSTITUTE(J201,'ARDT Cutter Entry'!$BN$3,""),'ARDT Cutter Entry'!$BN$4,""),'ARDT Cutter Entry'!$BN$5,""),'ARDT Cutter Entry'!$BN$6,""),'ARDT Cutter Entry'!$BN$7,""),"P",""),"I",""),"V",""),"B","")&amp;Data!BY46),IF(AND(Data!BY46&lt;&gt;0,Data!BY46&lt;&gt;""),IF(J218&lt;&gt;"",J218,"O"),""))</f>
        <v>O</v>
      </c>
      <c r="K235" s="41" t="str">
        <f>IF(K201&lt;&gt;"",IF(OR(COUNTIF(K201,"L*"),COUNTIF(K201, "X*")),SUBSTITUTE(SUBSTITUTE(SUBSTITUTE(SUBSTITUTE(K201,"P",""),"I",""),"V",""),"B","") &amp; IF(COUNTIF(K201, "*"&amp;'ARDT Cutter Entry'!$BN$3&amp;"*"),"",IF(COUNTIF(K201, "*"&amp;'ARDT Cutter Entry'!$BN$4&amp;"*"),"",IF(COUNTIF(K201,"*"&amp;'ARDT Cutter Entry'!$BN$5&amp;"*"),"",IF(COUNTIF(K201,"*"&amp;'ARDT Cutter Entry'!$BN$6&amp;"*"),"",IF(COUNTIF(K201,"*"&amp;'ARDT Cutter Entry'!$BN$7&amp;"*"),"",Data!BZ46))))),SUBSTITUTE(SUBSTITUTE(SUBSTITUTE(SUBSTITUTE(SUBSTITUTE(SUBSTITUTE(SUBSTITUTE(SUBSTITUTE(SUBSTITUTE(K201,'ARDT Cutter Entry'!$BN$3,""),'ARDT Cutter Entry'!$BN$4,""),'ARDT Cutter Entry'!$BN$5,""),'ARDT Cutter Entry'!$BN$6,""),'ARDT Cutter Entry'!$BN$7,""),"P",""),"I",""),"V",""),"B","")&amp;Data!BZ46),IF(AND(Data!BZ46&lt;&gt;0,Data!BZ46&lt;&gt;""),IF(K218&lt;&gt;"",K218,"O"),""))</f>
        <v/>
      </c>
      <c r="L235" s="41" t="str">
        <f>IF(L201&lt;&gt;"",IF(OR(COUNTIF(L201,"L*"),COUNTIF(L201, "X*")),SUBSTITUTE(SUBSTITUTE(SUBSTITUTE(SUBSTITUTE(L201,"P",""),"I",""),"V",""),"B","") &amp; IF(COUNTIF(L201, "*"&amp;'ARDT Cutter Entry'!$BN$3&amp;"*"),"",IF(COUNTIF(L201, "*"&amp;'ARDT Cutter Entry'!$BN$4&amp;"*"),"",IF(COUNTIF(L201,"*"&amp;'ARDT Cutter Entry'!$BN$5&amp;"*"),"",IF(COUNTIF(L201,"*"&amp;'ARDT Cutter Entry'!$BN$6&amp;"*"),"",IF(COUNTIF(L201,"*"&amp;'ARDT Cutter Entry'!$BN$7&amp;"*"),"",Data!CA46))))),SUBSTITUTE(SUBSTITUTE(SUBSTITUTE(SUBSTITUTE(SUBSTITUTE(SUBSTITUTE(SUBSTITUTE(SUBSTITUTE(SUBSTITUTE(L201,'ARDT Cutter Entry'!$BN$3,""),'ARDT Cutter Entry'!$BN$4,""),'ARDT Cutter Entry'!$BN$5,""),'ARDT Cutter Entry'!$BN$6,""),'ARDT Cutter Entry'!$BN$7,""),"P",""),"I",""),"V",""),"B","")&amp;Data!CA46),IF(AND(Data!CA46&lt;&gt;0,Data!CA46&lt;&gt;""),IF(L218&lt;&gt;"",L218,"O"),""))</f>
        <v>O</v>
      </c>
      <c r="M235" s="41" t="str">
        <f>IF(M201&lt;&gt;"",IF(OR(COUNTIF(M201,"L*"),COUNTIF(M201, "X*")),SUBSTITUTE(SUBSTITUTE(SUBSTITUTE(SUBSTITUTE(M201,"P",""),"I",""),"V",""),"B","") &amp; IF(COUNTIF(M201, "*"&amp;'ARDT Cutter Entry'!$BN$3&amp;"*"),"",IF(COUNTIF(M201, "*"&amp;'ARDT Cutter Entry'!$BN$4&amp;"*"),"",IF(COUNTIF(M201,"*"&amp;'ARDT Cutter Entry'!$BN$5&amp;"*"),"",IF(COUNTIF(M201,"*"&amp;'ARDT Cutter Entry'!$BN$6&amp;"*"),"",IF(COUNTIF(M201,"*"&amp;'ARDT Cutter Entry'!$BN$7&amp;"*"),"",Data!CB46))))),SUBSTITUTE(SUBSTITUTE(SUBSTITUTE(SUBSTITUTE(SUBSTITUTE(SUBSTITUTE(SUBSTITUTE(SUBSTITUTE(SUBSTITUTE(M201,'ARDT Cutter Entry'!$BN$3,""),'ARDT Cutter Entry'!$BN$4,""),'ARDT Cutter Entry'!$BN$5,""),'ARDT Cutter Entry'!$BN$6,""),'ARDT Cutter Entry'!$BN$7,""),"P",""),"I",""),"V",""),"B","")&amp;Data!CB46),IF(AND(Data!CB46&lt;&gt;0,Data!CB46&lt;&gt;""),IF(M218&lt;&gt;"",M218,"O"),""))</f>
        <v>O</v>
      </c>
      <c r="N235" s="41" t="str">
        <f>IF(N201&lt;&gt;"",IF(OR(COUNTIF(N201,"L*"),COUNTIF(N201, "X*")),SUBSTITUTE(SUBSTITUTE(SUBSTITUTE(SUBSTITUTE(N201,"P",""),"I",""),"V",""),"B","") &amp; IF(COUNTIF(N201, "*"&amp;'ARDT Cutter Entry'!$BN$3&amp;"*"),"",IF(COUNTIF(N201, "*"&amp;'ARDT Cutter Entry'!$BN$4&amp;"*"),"",IF(COUNTIF(N201,"*"&amp;'ARDT Cutter Entry'!$BN$5&amp;"*"),"",IF(COUNTIF(N201,"*"&amp;'ARDT Cutter Entry'!$BN$6&amp;"*"),"",IF(COUNTIF(N201,"*"&amp;'ARDT Cutter Entry'!$BN$7&amp;"*"),"",Data!CC46))))),SUBSTITUTE(SUBSTITUTE(SUBSTITUTE(SUBSTITUTE(SUBSTITUTE(SUBSTITUTE(SUBSTITUTE(SUBSTITUTE(SUBSTITUTE(N201,'ARDT Cutter Entry'!$BN$3,""),'ARDT Cutter Entry'!$BN$4,""),'ARDT Cutter Entry'!$BN$5,""),'ARDT Cutter Entry'!$BN$6,""),'ARDT Cutter Entry'!$BN$7,""),"P",""),"I",""),"V",""),"B","")&amp;Data!CC46),IF(AND(Data!CC46&lt;&gt;0,Data!CC46&lt;&gt;""),IF(N218&lt;&gt;"",N218,"O"),""))</f>
        <v>O</v>
      </c>
      <c r="O235" s="41" t="str">
        <f>IF(O201&lt;&gt;"",IF(OR(COUNTIF(O201,"L*"),COUNTIF(O201, "X*")),SUBSTITUTE(SUBSTITUTE(SUBSTITUTE(SUBSTITUTE(O201,"P",""),"I",""),"V",""),"B","") &amp; IF(COUNTIF(O201, "*"&amp;'ARDT Cutter Entry'!$BN$3&amp;"*"),"",IF(COUNTIF(O201, "*"&amp;'ARDT Cutter Entry'!$BN$4&amp;"*"),"",IF(COUNTIF(O201,"*"&amp;'ARDT Cutter Entry'!$BN$5&amp;"*"),"",IF(COUNTIF(O201,"*"&amp;'ARDT Cutter Entry'!$BN$6&amp;"*"),"",IF(COUNTIF(O201,"*"&amp;'ARDT Cutter Entry'!$BN$7&amp;"*"),"",Data!CD46))))),SUBSTITUTE(SUBSTITUTE(SUBSTITUTE(SUBSTITUTE(SUBSTITUTE(SUBSTITUTE(SUBSTITUTE(SUBSTITUTE(SUBSTITUTE(O201,'ARDT Cutter Entry'!$BN$3,""),'ARDT Cutter Entry'!$BN$4,""),'ARDT Cutter Entry'!$BN$5,""),'ARDT Cutter Entry'!$BN$6,""),'ARDT Cutter Entry'!$BN$7,""),"P",""),"I",""),"V",""),"B","")&amp;Data!CD46),IF(AND(Data!CD46&lt;&gt;0,Data!CD46&lt;&gt;""),IF(O218&lt;&gt;"",O218,"O"),""))</f>
        <v>O</v>
      </c>
      <c r="P235" s="41" t="str">
        <f>IF(P201&lt;&gt;"",IF(OR(COUNTIF(P201,"L*"),COUNTIF(P201, "X*")),SUBSTITUTE(SUBSTITUTE(SUBSTITUTE(SUBSTITUTE(P201,"P",""),"I",""),"V",""),"B","") &amp; IF(COUNTIF(P201, "*"&amp;'ARDT Cutter Entry'!$BN$3&amp;"*"),"",IF(COUNTIF(P201, "*"&amp;'ARDT Cutter Entry'!$BN$4&amp;"*"),"",IF(COUNTIF(P201,"*"&amp;'ARDT Cutter Entry'!$BN$5&amp;"*"),"",IF(COUNTIF(P201,"*"&amp;'ARDT Cutter Entry'!$BN$6&amp;"*"),"",IF(COUNTIF(P201,"*"&amp;'ARDT Cutter Entry'!$BN$7&amp;"*"),"",Data!CE46))))),SUBSTITUTE(SUBSTITUTE(SUBSTITUTE(SUBSTITUTE(SUBSTITUTE(SUBSTITUTE(SUBSTITUTE(SUBSTITUTE(SUBSTITUTE(P201,'ARDT Cutter Entry'!$BN$3,""),'ARDT Cutter Entry'!$BN$4,""),'ARDT Cutter Entry'!$BN$5,""),'ARDT Cutter Entry'!$BN$6,""),'ARDT Cutter Entry'!$BN$7,""),"P",""),"I",""),"V",""),"B","")&amp;Data!CE46),IF(AND(Data!CE46&lt;&gt;0,Data!CE46&lt;&gt;""),IF(P218&lt;&gt;"",P218,"O"),""))</f>
        <v/>
      </c>
      <c r="Q235" s="41" t="str">
        <f>IF(Q201&lt;&gt;"",IF(OR(COUNTIF(Q201,"L*"),COUNTIF(Q201, "X*")),SUBSTITUTE(SUBSTITUTE(SUBSTITUTE(SUBSTITUTE(Q201,"P",""),"I",""),"V",""),"B","") &amp; IF(COUNTIF(Q201, "*"&amp;'ARDT Cutter Entry'!$BN$3&amp;"*"),"",IF(COUNTIF(Q201, "*"&amp;'ARDT Cutter Entry'!$BN$4&amp;"*"),"",IF(COUNTIF(Q201,"*"&amp;'ARDT Cutter Entry'!$BN$5&amp;"*"),"",IF(COUNTIF(Q201,"*"&amp;'ARDT Cutter Entry'!$BN$6&amp;"*"),"",IF(COUNTIF(Q201,"*"&amp;'ARDT Cutter Entry'!$BN$7&amp;"*"),"",Data!CF46))))),SUBSTITUTE(SUBSTITUTE(SUBSTITUTE(SUBSTITUTE(SUBSTITUTE(SUBSTITUTE(SUBSTITUTE(SUBSTITUTE(SUBSTITUTE(Q201,'ARDT Cutter Entry'!$BN$3,""),'ARDT Cutter Entry'!$BN$4,""),'ARDT Cutter Entry'!$BN$5,""),'ARDT Cutter Entry'!$BN$6,""),'ARDT Cutter Entry'!$BN$7,""),"P",""),"I",""),"V",""),"B","")&amp;Data!CF46),IF(AND(Data!CF46&lt;&gt;0,Data!CF46&lt;&gt;""),IF(Q218&lt;&gt;"",Q218,"O"),""))</f>
        <v/>
      </c>
      <c r="R235" s="41" t="str">
        <f>IF(R201&lt;&gt;"",IF(OR(COUNTIF(R201,"L*"),COUNTIF(R201, "X*")),SUBSTITUTE(SUBSTITUTE(SUBSTITUTE(SUBSTITUTE(R201,"P",""),"I",""),"V",""),"B","") &amp; IF(COUNTIF(R201, "*"&amp;'ARDT Cutter Entry'!$BN$3&amp;"*"),"",IF(COUNTIF(R201, "*"&amp;'ARDT Cutter Entry'!$BN$4&amp;"*"),"",IF(COUNTIF(R201,"*"&amp;'ARDT Cutter Entry'!$BN$5&amp;"*"),"",IF(COUNTIF(R201,"*"&amp;'ARDT Cutter Entry'!$BN$6&amp;"*"),"",IF(COUNTIF(R201,"*"&amp;'ARDT Cutter Entry'!$BN$7&amp;"*"),"",Data!CG46))))),SUBSTITUTE(SUBSTITUTE(SUBSTITUTE(SUBSTITUTE(SUBSTITUTE(SUBSTITUTE(SUBSTITUTE(SUBSTITUTE(SUBSTITUTE(R201,'ARDT Cutter Entry'!$BN$3,""),'ARDT Cutter Entry'!$BN$4,""),'ARDT Cutter Entry'!$BN$5,""),'ARDT Cutter Entry'!$BN$6,""),'ARDT Cutter Entry'!$BN$7,""),"P",""),"I",""),"V",""),"B","")&amp;Data!CG46),IF(AND(Data!CG46&lt;&gt;0,Data!CG46&lt;&gt;""),IF(R218&lt;&gt;"",R218,"O"),""))</f>
        <v/>
      </c>
      <c r="S235" s="41" t="str">
        <f>IF(S201&lt;&gt;"",IF(OR(COUNTIF(S201,"L*"),COUNTIF(S201, "X*")),SUBSTITUTE(SUBSTITUTE(SUBSTITUTE(SUBSTITUTE(S201,"P",""),"I",""),"V",""),"B","") &amp; IF(COUNTIF(S201, "*"&amp;'ARDT Cutter Entry'!$BN$3&amp;"*"),"",IF(COUNTIF(S201, "*"&amp;'ARDT Cutter Entry'!$BN$4&amp;"*"),"",IF(COUNTIF(S201,"*"&amp;'ARDT Cutter Entry'!$BN$5&amp;"*"),"",IF(COUNTIF(S201,"*"&amp;'ARDT Cutter Entry'!$BN$6&amp;"*"),"",IF(COUNTIF(S201,"*"&amp;'ARDT Cutter Entry'!$BN$7&amp;"*"),"",Data!CH46))))),SUBSTITUTE(SUBSTITUTE(SUBSTITUTE(SUBSTITUTE(SUBSTITUTE(SUBSTITUTE(SUBSTITUTE(SUBSTITUTE(SUBSTITUTE(S201,'ARDT Cutter Entry'!$BN$3,""),'ARDT Cutter Entry'!$BN$4,""),'ARDT Cutter Entry'!$BN$5,""),'ARDT Cutter Entry'!$BN$6,""),'ARDT Cutter Entry'!$BN$7,""),"P",""),"I",""),"V",""),"B","")&amp;Data!CH46),IF(AND(Data!CH46&lt;&gt;0,Data!CH46&lt;&gt;""),IF(S218&lt;&gt;"",S218,"O"),""))</f>
        <v/>
      </c>
      <c r="T235" s="41" t="str">
        <f>IF(T201&lt;&gt;"",IF(OR(COUNTIF(T201,"L*"),COUNTIF(T201, "X*")),SUBSTITUTE(SUBSTITUTE(SUBSTITUTE(SUBSTITUTE(T201,"P",""),"I",""),"V",""),"B","") &amp; IF(COUNTIF(T201, "*"&amp;'ARDT Cutter Entry'!$BN$3&amp;"*"),"",IF(COUNTIF(T201, "*"&amp;'ARDT Cutter Entry'!$BN$4&amp;"*"),"",IF(COUNTIF(T201,"*"&amp;'ARDT Cutter Entry'!$BN$5&amp;"*"),"",IF(COUNTIF(T201,"*"&amp;'ARDT Cutter Entry'!$BN$6&amp;"*"),"",IF(COUNTIF(T201,"*"&amp;'ARDT Cutter Entry'!$BN$7&amp;"*"),"",Data!CI46))))),SUBSTITUTE(SUBSTITUTE(SUBSTITUTE(SUBSTITUTE(SUBSTITUTE(SUBSTITUTE(SUBSTITUTE(SUBSTITUTE(SUBSTITUTE(T201,'ARDT Cutter Entry'!$BN$3,""),'ARDT Cutter Entry'!$BN$4,""),'ARDT Cutter Entry'!$BN$5,""),'ARDT Cutter Entry'!$BN$6,""),'ARDT Cutter Entry'!$BN$7,""),"P",""),"I",""),"V",""),"B","")&amp;Data!CI46),IF(AND(Data!CI46&lt;&gt;0,Data!CI46&lt;&gt;""),IF(T218&lt;&gt;"",T218,"O"),""))</f>
        <v/>
      </c>
      <c r="U235" s="41" t="str">
        <f>IF(U201&lt;&gt;"",IF(OR(COUNTIF(U201,"L*"),COUNTIF(U201, "X*")),SUBSTITUTE(SUBSTITUTE(SUBSTITUTE(SUBSTITUTE(U201,"P",""),"I",""),"V",""),"B","") &amp; IF(COUNTIF(U201, "*"&amp;'ARDT Cutter Entry'!$BN$3&amp;"*"),"",IF(COUNTIF(U201, "*"&amp;'ARDT Cutter Entry'!$BN$4&amp;"*"),"",IF(COUNTIF(U201,"*"&amp;'ARDT Cutter Entry'!$BN$5&amp;"*"),"",IF(COUNTIF(U201,"*"&amp;'ARDT Cutter Entry'!$BN$6&amp;"*"),"",IF(COUNTIF(U201,"*"&amp;'ARDT Cutter Entry'!$BN$7&amp;"*"),"",Data!CJ46))))),SUBSTITUTE(SUBSTITUTE(SUBSTITUTE(SUBSTITUTE(SUBSTITUTE(SUBSTITUTE(SUBSTITUTE(SUBSTITUTE(SUBSTITUTE(U201,'ARDT Cutter Entry'!$BN$3,""),'ARDT Cutter Entry'!$BN$4,""),'ARDT Cutter Entry'!$BN$5,""),'ARDT Cutter Entry'!$BN$6,""),'ARDT Cutter Entry'!$BN$7,""),"P",""),"I",""),"V",""),"B","")&amp;Data!CJ46),IF(AND(Data!CJ46&lt;&gt;0,Data!CJ46&lt;&gt;""),IF(U218&lt;&gt;"",U218,"O"),""))</f>
        <v/>
      </c>
      <c r="V235" s="41" t="str">
        <f>IF(V201&lt;&gt;"",IF(OR(COUNTIF(V201,"L*"),COUNTIF(V201, "X*")),SUBSTITUTE(SUBSTITUTE(SUBSTITUTE(SUBSTITUTE(V201,"P",""),"I",""),"V",""),"B","") &amp; IF(COUNTIF(V201, "*"&amp;'ARDT Cutter Entry'!$BN$3&amp;"*"),"",IF(COUNTIF(V201, "*"&amp;'ARDT Cutter Entry'!$BN$4&amp;"*"),"",IF(COUNTIF(V201,"*"&amp;'ARDT Cutter Entry'!$BN$5&amp;"*"),"",IF(COUNTIF(V201,"*"&amp;'ARDT Cutter Entry'!$BN$6&amp;"*"),"",IF(COUNTIF(V201,"*"&amp;'ARDT Cutter Entry'!$BN$7&amp;"*"),"",Data!CK46))))),SUBSTITUTE(SUBSTITUTE(SUBSTITUTE(SUBSTITUTE(SUBSTITUTE(SUBSTITUTE(SUBSTITUTE(SUBSTITUTE(SUBSTITUTE(V201,'ARDT Cutter Entry'!$BN$3,""),'ARDT Cutter Entry'!$BN$4,""),'ARDT Cutter Entry'!$BN$5,""),'ARDT Cutter Entry'!$BN$6,""),'ARDT Cutter Entry'!$BN$7,""),"P",""),"I",""),"V",""),"B","")&amp;Data!CK46),IF(AND(Data!CK46&lt;&gt;0,Data!CK46&lt;&gt;""),IF(V218&lt;&gt;"",V218,"O"),""))</f>
        <v/>
      </c>
      <c r="W235" s="41" t="str">
        <f>IF(W201&lt;&gt;"",IF(OR(COUNTIF(W201,"L*"),COUNTIF(W201, "X*")),SUBSTITUTE(SUBSTITUTE(SUBSTITUTE(SUBSTITUTE(W201,"P",""),"I",""),"V",""),"B","") &amp; IF(COUNTIF(W201, "*"&amp;'ARDT Cutter Entry'!$BN$3&amp;"*"),"",IF(COUNTIF(W201, "*"&amp;'ARDT Cutter Entry'!$BN$4&amp;"*"),"",IF(COUNTIF(W201,"*"&amp;'ARDT Cutter Entry'!$BN$5&amp;"*"),"",IF(COUNTIF(W201,"*"&amp;'ARDT Cutter Entry'!$BN$6&amp;"*"),"",IF(COUNTIF(W201,"*"&amp;'ARDT Cutter Entry'!$BN$7&amp;"*"),"",Data!CL46))))),SUBSTITUTE(SUBSTITUTE(SUBSTITUTE(SUBSTITUTE(SUBSTITUTE(SUBSTITUTE(SUBSTITUTE(SUBSTITUTE(SUBSTITUTE(W201,'ARDT Cutter Entry'!$BN$3,""),'ARDT Cutter Entry'!$BN$4,""),'ARDT Cutter Entry'!$BN$5,""),'ARDT Cutter Entry'!$BN$6,""),'ARDT Cutter Entry'!$BN$7,""),"P",""),"I",""),"V",""),"B","")&amp;Data!CL46),IF(AND(Data!CL46&lt;&gt;0,Data!CL46&lt;&gt;""),IF(W218&lt;&gt;"",W218,"O"),""))</f>
        <v/>
      </c>
      <c r="X235" s="41" t="str">
        <f>IF(X201&lt;&gt;"",IF(OR(COUNTIF(X201,"L*"),COUNTIF(X201, "X*")),SUBSTITUTE(SUBSTITUTE(SUBSTITUTE(SUBSTITUTE(X201,"P",""),"I",""),"V",""),"B","") &amp; IF(COUNTIF(X201, "*"&amp;'ARDT Cutter Entry'!$BN$3&amp;"*"),"",IF(COUNTIF(X201, "*"&amp;'ARDT Cutter Entry'!$BN$4&amp;"*"),"",IF(COUNTIF(X201,"*"&amp;'ARDT Cutter Entry'!$BN$5&amp;"*"),"",IF(COUNTIF(X201,"*"&amp;'ARDT Cutter Entry'!$BN$6&amp;"*"),"",IF(COUNTIF(X201,"*"&amp;'ARDT Cutter Entry'!$BN$7&amp;"*"),"",Data!CM46))))),SUBSTITUTE(SUBSTITUTE(SUBSTITUTE(SUBSTITUTE(SUBSTITUTE(SUBSTITUTE(SUBSTITUTE(SUBSTITUTE(SUBSTITUTE(X201,'ARDT Cutter Entry'!$BN$3,""),'ARDT Cutter Entry'!$BN$4,""),'ARDT Cutter Entry'!$BN$5,""),'ARDT Cutter Entry'!$BN$6,""),'ARDT Cutter Entry'!$BN$7,""),"P",""),"I",""),"V",""),"B","")&amp;Data!CM46),IF(AND(Data!CM46&lt;&gt;0,Data!CM46&lt;&gt;""),IF(X218&lt;&gt;"",X218,"O"),""))</f>
        <v/>
      </c>
      <c r="Y235" s="41" t="str">
        <f>IF(Y201&lt;&gt;"",IF(OR(COUNTIF(Y201,"L*"),COUNTIF(Y201, "X*")),SUBSTITUTE(SUBSTITUTE(SUBSTITUTE(SUBSTITUTE(Y201,"P",""),"I",""),"V",""),"B","") &amp; IF(COUNTIF(Y201, "*"&amp;'ARDT Cutter Entry'!$BN$3&amp;"*"),"",IF(COUNTIF(Y201, "*"&amp;'ARDT Cutter Entry'!$BN$4&amp;"*"),"",IF(COUNTIF(Y201,"*"&amp;'ARDT Cutter Entry'!$BN$5&amp;"*"),"",IF(COUNTIF(Y201,"*"&amp;'ARDT Cutter Entry'!$BN$6&amp;"*"),"",IF(COUNTIF(Y201,"*"&amp;'ARDT Cutter Entry'!$BN$7&amp;"*"),"",Data!CN46))))),SUBSTITUTE(SUBSTITUTE(SUBSTITUTE(SUBSTITUTE(SUBSTITUTE(SUBSTITUTE(SUBSTITUTE(SUBSTITUTE(SUBSTITUTE(Y201,'ARDT Cutter Entry'!$BN$3,""),'ARDT Cutter Entry'!$BN$4,""),'ARDT Cutter Entry'!$BN$5,""),'ARDT Cutter Entry'!$BN$6,""),'ARDT Cutter Entry'!$BN$7,""),"P",""),"I",""),"V",""),"B","")&amp;Data!CN46),IF(AND(Data!CN46&lt;&gt;0,Data!CN46&lt;&gt;""),IF(Y218&lt;&gt;"",Y218,"O"),""))</f>
        <v/>
      </c>
      <c r="Z235" s="41" t="str">
        <f>IF(Z201&lt;&gt;"",IF(OR(COUNTIF(Z201,"L*"),COUNTIF(Z201, "X*")),SUBSTITUTE(SUBSTITUTE(SUBSTITUTE(SUBSTITUTE(Z201,"P",""),"I",""),"V",""),"B","") &amp; IF(COUNTIF(Z201, "*"&amp;'ARDT Cutter Entry'!$BN$3&amp;"*"),"",IF(COUNTIF(Z201, "*"&amp;'ARDT Cutter Entry'!$BN$4&amp;"*"),"",IF(COUNTIF(Z201,"*"&amp;'ARDT Cutter Entry'!$BN$5&amp;"*"),"",IF(COUNTIF(Z201,"*"&amp;'ARDT Cutter Entry'!$BN$6&amp;"*"),"",IF(COUNTIF(Z201,"*"&amp;'ARDT Cutter Entry'!$BN$7&amp;"*"),"",Data!CO46))))),SUBSTITUTE(SUBSTITUTE(SUBSTITUTE(SUBSTITUTE(SUBSTITUTE(SUBSTITUTE(SUBSTITUTE(SUBSTITUTE(SUBSTITUTE(Z201,'ARDT Cutter Entry'!$BN$3,""),'ARDT Cutter Entry'!$BN$4,""),'ARDT Cutter Entry'!$BN$5,""),'ARDT Cutter Entry'!$BN$6,""),'ARDT Cutter Entry'!$BN$7,""),"P",""),"I",""),"V",""),"B","")&amp;Data!CO46),IF(AND(Data!CO46&lt;&gt;0,Data!CO46&lt;&gt;""),IF(Z218&lt;&gt;"",Z218,"O"),""))</f>
        <v/>
      </c>
      <c r="AA235" s="41" t="str">
        <f>IF(AA201&lt;&gt;"",IF(OR(COUNTIF(AA201,"L*"),COUNTIF(AA201, "X*")),SUBSTITUTE(SUBSTITUTE(SUBSTITUTE(SUBSTITUTE(AA201,"P",""),"I",""),"V",""),"B","") &amp; IF(COUNTIF(AA201, "*"&amp;'ARDT Cutter Entry'!$BN$3&amp;"*"),"",IF(COUNTIF(AA201, "*"&amp;'ARDT Cutter Entry'!$BN$4&amp;"*"),"",IF(COUNTIF(AA201,"*"&amp;'ARDT Cutter Entry'!$BN$5&amp;"*"),"",IF(COUNTIF(AA201,"*"&amp;'ARDT Cutter Entry'!$BN$6&amp;"*"),"",IF(COUNTIF(AA201,"*"&amp;'ARDT Cutter Entry'!$BN$7&amp;"*"),"",Data!CP46))))),SUBSTITUTE(SUBSTITUTE(SUBSTITUTE(SUBSTITUTE(SUBSTITUTE(SUBSTITUTE(SUBSTITUTE(SUBSTITUTE(SUBSTITUTE(AA201,'ARDT Cutter Entry'!$BN$3,""),'ARDT Cutter Entry'!$BN$4,""),'ARDT Cutter Entry'!$BN$5,""),'ARDT Cutter Entry'!$BN$6,""),'ARDT Cutter Entry'!$BN$7,""),"P",""),"I",""),"V",""),"B","")&amp;Data!CP46),IF(AND(Data!CP46&lt;&gt;0,Data!CP46&lt;&gt;""),IF(AA218&lt;&gt;"",AA218,"O"),""))</f>
        <v/>
      </c>
      <c r="AB235" s="41" t="str">
        <f>IF(AB201&lt;&gt;"",IF(OR(COUNTIF(AB201,"L*"),COUNTIF(AB201, "X*")),SUBSTITUTE(SUBSTITUTE(SUBSTITUTE(SUBSTITUTE(AB201,"P",""),"I",""),"V",""),"B","") &amp; IF(COUNTIF(AB201, "*"&amp;'ARDT Cutter Entry'!$BN$3&amp;"*"),"",IF(COUNTIF(AB201, "*"&amp;'ARDT Cutter Entry'!$BN$4&amp;"*"),"",IF(COUNTIF(AB201,"*"&amp;'ARDT Cutter Entry'!$BN$5&amp;"*"),"",IF(COUNTIF(AB201,"*"&amp;'ARDT Cutter Entry'!$BN$6&amp;"*"),"",IF(COUNTIF(AB201,"*"&amp;'ARDT Cutter Entry'!$BN$7&amp;"*"),"",Data!CQ46))))),SUBSTITUTE(SUBSTITUTE(SUBSTITUTE(SUBSTITUTE(SUBSTITUTE(SUBSTITUTE(SUBSTITUTE(SUBSTITUTE(SUBSTITUTE(AB201,'ARDT Cutter Entry'!$BN$3,""),'ARDT Cutter Entry'!$BN$4,""),'ARDT Cutter Entry'!$BN$5,""),'ARDT Cutter Entry'!$BN$6,""),'ARDT Cutter Entry'!$BN$7,""),"P",""),"I",""),"V",""),"B","")&amp;Data!CQ46),IF(AND(Data!CQ46&lt;&gt;0,Data!CQ46&lt;&gt;""),IF(AB218&lt;&gt;"",AB218,"O"),""))</f>
        <v/>
      </c>
      <c r="AC235" s="41" t="str">
        <f>IF(AC201&lt;&gt;"",IF(OR(COUNTIF(AC201,"L*"),COUNTIF(AC201, "X*")),SUBSTITUTE(SUBSTITUTE(SUBSTITUTE(SUBSTITUTE(AC201,"P",""),"I",""),"V",""),"B","") &amp; IF(COUNTIF(AC201, "*"&amp;'ARDT Cutter Entry'!$BN$3&amp;"*"),"",IF(COUNTIF(AC201, "*"&amp;'ARDT Cutter Entry'!$BN$4&amp;"*"),"",IF(COUNTIF(AC201,"*"&amp;'ARDT Cutter Entry'!$BN$5&amp;"*"),"",IF(COUNTIF(AC201,"*"&amp;'ARDT Cutter Entry'!$BN$6&amp;"*"),"",IF(COUNTIF(AC201,"*"&amp;'ARDT Cutter Entry'!$BN$7&amp;"*"),"",Data!CR46))))),SUBSTITUTE(SUBSTITUTE(SUBSTITUTE(SUBSTITUTE(SUBSTITUTE(SUBSTITUTE(SUBSTITUTE(SUBSTITUTE(SUBSTITUTE(AC201,'ARDT Cutter Entry'!$BN$3,""),'ARDT Cutter Entry'!$BN$4,""),'ARDT Cutter Entry'!$BN$5,""),'ARDT Cutter Entry'!$BN$6,""),'ARDT Cutter Entry'!$BN$7,""),"P",""),"I",""),"V",""),"B","")&amp;Data!CR46),IF(AND(Data!CR46&lt;&gt;0,Data!CR46&lt;&gt;""),IF(AC218&lt;&gt;"",AC218,"O"),""))</f>
        <v/>
      </c>
      <c r="AD235" s="41" t="str">
        <f>IF(AD201&lt;&gt;"",IF(OR(COUNTIF(AD201,"L*"),COUNTIF(AD201, "X*")),SUBSTITUTE(SUBSTITUTE(SUBSTITUTE(SUBSTITUTE(AD201,"P",""),"I",""),"V",""),"B","") &amp; IF(COUNTIF(AD201, "*"&amp;'ARDT Cutter Entry'!$BN$3&amp;"*"),"",IF(COUNTIF(AD201, "*"&amp;'ARDT Cutter Entry'!$BN$4&amp;"*"),"",IF(COUNTIF(AD201,"*"&amp;'ARDT Cutter Entry'!$BN$5&amp;"*"),"",IF(COUNTIF(AD201,"*"&amp;'ARDT Cutter Entry'!$BN$6&amp;"*"),"",IF(COUNTIF(AD201,"*"&amp;'ARDT Cutter Entry'!$BN$7&amp;"*"),"",Data!CS46))))),SUBSTITUTE(SUBSTITUTE(SUBSTITUTE(SUBSTITUTE(SUBSTITUTE(SUBSTITUTE(SUBSTITUTE(SUBSTITUTE(SUBSTITUTE(AD201,'ARDT Cutter Entry'!$BN$3,""),'ARDT Cutter Entry'!$BN$4,""),'ARDT Cutter Entry'!$BN$5,""),'ARDT Cutter Entry'!$BN$6,""),'ARDT Cutter Entry'!$BN$7,""),"P",""),"I",""),"V",""),"B","")&amp;Data!CS46),IF(AND(Data!CS46&lt;&gt;0,Data!CS46&lt;&gt;""),IF(AD218&lt;&gt;"",AD218,"O"),""))</f>
        <v/>
      </c>
      <c r="AE235" s="41" t="str">
        <f>IF(AE201&lt;&gt;"",IF(OR(COUNTIF(AE201,"L*"),COUNTIF(AE201, "X*")),SUBSTITUTE(SUBSTITUTE(SUBSTITUTE(SUBSTITUTE(AE201,"P",""),"I",""),"V",""),"B","") &amp; IF(COUNTIF(AE201, "*"&amp;'ARDT Cutter Entry'!$BN$3&amp;"*"),"",IF(COUNTIF(AE201, "*"&amp;'ARDT Cutter Entry'!$BN$4&amp;"*"),"",IF(COUNTIF(AE201,"*"&amp;'ARDT Cutter Entry'!$BN$5&amp;"*"),"",IF(COUNTIF(AE201,"*"&amp;'ARDT Cutter Entry'!$BN$6&amp;"*"),"",IF(COUNTIF(AE201,"*"&amp;'ARDT Cutter Entry'!$BN$7&amp;"*"),"",Data!CT46))))),SUBSTITUTE(SUBSTITUTE(SUBSTITUTE(SUBSTITUTE(SUBSTITUTE(SUBSTITUTE(SUBSTITUTE(SUBSTITUTE(SUBSTITUTE(AE201,'ARDT Cutter Entry'!$BN$3,""),'ARDT Cutter Entry'!$BN$4,""),'ARDT Cutter Entry'!$BN$5,""),'ARDT Cutter Entry'!$BN$6,""),'ARDT Cutter Entry'!$BN$7,""),"P",""),"I",""),"V",""),"B","")&amp;Data!CT46),IF(AND(Data!CT46&lt;&gt;0,Data!CT46&lt;&gt;""),IF(AE218&lt;&gt;"",AE218,"O"),""))</f>
        <v/>
      </c>
      <c r="AF235" s="41" t="str">
        <f>IF(AF201&lt;&gt;"",IF(OR(COUNTIF(AF201,"L*"),COUNTIF(AF201, "X*")),SUBSTITUTE(SUBSTITUTE(SUBSTITUTE(SUBSTITUTE(AF201,"P",""),"I",""),"V",""),"B","") &amp; IF(COUNTIF(AF201, "*"&amp;'ARDT Cutter Entry'!$BN$3&amp;"*"),"",IF(COUNTIF(AF201, "*"&amp;'ARDT Cutter Entry'!$BN$4&amp;"*"),"",IF(COUNTIF(AF201,"*"&amp;'ARDT Cutter Entry'!$BN$5&amp;"*"),"",IF(COUNTIF(AF201,"*"&amp;'ARDT Cutter Entry'!$BN$6&amp;"*"),"",IF(COUNTIF(AF201,"*"&amp;'ARDT Cutter Entry'!$BN$7&amp;"*"),"",Data!CU46))))),SUBSTITUTE(SUBSTITUTE(SUBSTITUTE(SUBSTITUTE(SUBSTITUTE(SUBSTITUTE(SUBSTITUTE(SUBSTITUTE(SUBSTITUTE(AF201,'ARDT Cutter Entry'!$BN$3,""),'ARDT Cutter Entry'!$BN$4,""),'ARDT Cutter Entry'!$BN$5,""),'ARDT Cutter Entry'!$BN$6,""),'ARDT Cutter Entry'!$BN$7,""),"P",""),"I",""),"V",""),"B","")&amp;Data!CU46),IF(AND(Data!CU46&lt;&gt;0,Data!CU46&lt;&gt;""),IF(AF218&lt;&gt;"",AF218,"O"),""))</f>
        <v/>
      </c>
      <c r="AG235" s="41" t="str">
        <f>IF(AG201&lt;&gt;"",IF(OR(COUNTIF(AG201,"L*"),COUNTIF(AG201, "X*")),SUBSTITUTE(SUBSTITUTE(SUBSTITUTE(SUBSTITUTE(AG201,"P",""),"I",""),"V",""),"B","") &amp; IF(COUNTIF(AG201, "*"&amp;'ARDT Cutter Entry'!$BN$3&amp;"*"),"",IF(COUNTIF(AG201, "*"&amp;'ARDT Cutter Entry'!$BN$4&amp;"*"),"",IF(COUNTIF(AG201,"*"&amp;'ARDT Cutter Entry'!$BN$5&amp;"*"),"",IF(COUNTIF(AG201,"*"&amp;'ARDT Cutter Entry'!$BN$6&amp;"*"),"",IF(COUNTIF(AG201,"*"&amp;'ARDT Cutter Entry'!$BN$7&amp;"*"),"",Data!CV46))))),SUBSTITUTE(SUBSTITUTE(SUBSTITUTE(SUBSTITUTE(SUBSTITUTE(SUBSTITUTE(SUBSTITUTE(SUBSTITUTE(SUBSTITUTE(AG201,'ARDT Cutter Entry'!$BN$3,""),'ARDT Cutter Entry'!$BN$4,""),'ARDT Cutter Entry'!$BN$5,""),'ARDT Cutter Entry'!$BN$6,""),'ARDT Cutter Entry'!$BN$7,""),"P",""),"I",""),"V",""),"B","")&amp;Data!CV46),IF(AND(Data!CV46&lt;&gt;0,Data!CV46&lt;&gt;""),IF(AG218&lt;&gt;"",AG218,"O"),""))</f>
        <v/>
      </c>
      <c r="AH235" s="41" t="str">
        <f>IF(AH201&lt;&gt;"",IF(OR(COUNTIF(AH201,"L*"),COUNTIF(AH201, "X*")),SUBSTITUTE(SUBSTITUTE(SUBSTITUTE(SUBSTITUTE(AH201,"P",""),"I",""),"V",""),"B","") &amp; IF(COUNTIF(AH201, "*"&amp;'ARDT Cutter Entry'!$BN$3&amp;"*"),"",IF(COUNTIF(AH201, "*"&amp;'ARDT Cutter Entry'!$BN$4&amp;"*"),"",IF(COUNTIF(AH201,"*"&amp;'ARDT Cutter Entry'!$BN$5&amp;"*"),"",IF(COUNTIF(AH201,"*"&amp;'ARDT Cutter Entry'!$BN$6&amp;"*"),"",IF(COUNTIF(AH201,"*"&amp;'ARDT Cutter Entry'!$BN$7&amp;"*"),"",Data!CW46))))),SUBSTITUTE(SUBSTITUTE(SUBSTITUTE(SUBSTITUTE(SUBSTITUTE(SUBSTITUTE(SUBSTITUTE(SUBSTITUTE(SUBSTITUTE(AH201,'ARDT Cutter Entry'!$BN$3,""),'ARDT Cutter Entry'!$BN$4,""),'ARDT Cutter Entry'!$BN$5,""),'ARDT Cutter Entry'!$BN$6,""),'ARDT Cutter Entry'!$BN$7,""),"P",""),"I",""),"V",""),"B","")&amp;Data!CW46),IF(AND(Data!CW46&lt;&gt;0,Data!CW46&lt;&gt;""),IF(AH218&lt;&gt;"",AH218,"O"),""))</f>
        <v/>
      </c>
      <c r="AI235" s="41" t="str">
        <f>IF(AI201&lt;&gt;"",IF(OR(COUNTIF(AI201,"L*"),COUNTIF(AI201, "X*")),SUBSTITUTE(SUBSTITUTE(SUBSTITUTE(SUBSTITUTE(AI201,"P",""),"I",""),"V",""),"B","") &amp; IF(COUNTIF(AI201, "*"&amp;'ARDT Cutter Entry'!$BN$3&amp;"*"),"",IF(COUNTIF(AI201, "*"&amp;'ARDT Cutter Entry'!$BN$4&amp;"*"),"",IF(COUNTIF(AI201,"*"&amp;'ARDT Cutter Entry'!$BN$5&amp;"*"),"",IF(COUNTIF(AI201,"*"&amp;'ARDT Cutter Entry'!$BN$6&amp;"*"),"",IF(COUNTIF(AI201,"*"&amp;'ARDT Cutter Entry'!$BN$7&amp;"*"),"",Data!CX46))))),SUBSTITUTE(SUBSTITUTE(SUBSTITUTE(SUBSTITUTE(SUBSTITUTE(SUBSTITUTE(SUBSTITUTE(SUBSTITUTE(SUBSTITUTE(AI201,'ARDT Cutter Entry'!$BN$3,""),'ARDT Cutter Entry'!$BN$4,""),'ARDT Cutter Entry'!$BN$5,""),'ARDT Cutter Entry'!$BN$6,""),'ARDT Cutter Entry'!$BN$7,""),"P",""),"I",""),"V",""),"B","")&amp;Data!CX46),IF(AND(Data!CX46&lt;&gt;0,Data!CX46&lt;&gt;""),IF(AI218&lt;&gt;"",AI218,"O"),""))</f>
        <v/>
      </c>
      <c r="AJ235" s="41" t="str">
        <f>IF(AJ201&lt;&gt;"",IF(OR(COUNTIF(AJ201,"L*"),COUNTIF(AJ201, "X*")),SUBSTITUTE(SUBSTITUTE(SUBSTITUTE(SUBSTITUTE(AJ201,"P",""),"I",""),"V",""),"B","") &amp; IF(COUNTIF(AJ201, "*"&amp;'ARDT Cutter Entry'!$BN$3&amp;"*"),"",IF(COUNTIF(AJ201, "*"&amp;'ARDT Cutter Entry'!$BN$4&amp;"*"),"",IF(COUNTIF(AJ201,"*"&amp;'ARDT Cutter Entry'!$BN$5&amp;"*"),"",IF(COUNTIF(AJ201,"*"&amp;'ARDT Cutter Entry'!$BN$6&amp;"*"),"",IF(COUNTIF(AJ201,"*"&amp;'ARDT Cutter Entry'!$BN$7&amp;"*"),"",Data!CY46))))),SUBSTITUTE(SUBSTITUTE(SUBSTITUTE(SUBSTITUTE(SUBSTITUTE(SUBSTITUTE(SUBSTITUTE(SUBSTITUTE(SUBSTITUTE(AJ201,'ARDT Cutter Entry'!$BN$3,""),'ARDT Cutter Entry'!$BN$4,""),'ARDT Cutter Entry'!$BN$5,""),'ARDT Cutter Entry'!$BN$6,""),'ARDT Cutter Entry'!$BN$7,""),"P",""),"I",""),"V",""),"B","")&amp;Data!CY46),IF(AND(Data!CY46&lt;&gt;0,Data!CY46&lt;&gt;""),IF(AJ218&lt;&gt;"",AJ218,"O"),""))</f>
        <v/>
      </c>
      <c r="AK235" t="str">
        <f>IF(AND($Y$57=1,C201&lt;&gt;""),"O"&amp; Data!BR46,IF(C5&lt;&gt;"",IF(OR(COUNTIF(C5,"L*"),COUNTIF(C5, "X*")),SUBSTITUTE(SUBSTITUTE(SUBSTITUTE(SUBSTITUTE(C5,"P",""),"I",""),"V",""),"B","") &amp; IF(COUNTIF(C5, "*"&amp;$BG$3&amp;"*"),"",IF(COUNTIF(C5, "*"&amp;$BG$4&amp;"*"),"",IF(COUNTIF(C5,"*"&amp;$BG$5&amp;"*"),"",Data!BR46))),SUBSTITUTE(SUBSTITUTE(SUBSTITUTE(SUBSTITUTE(SUBSTITUTE(SUBSTITUTE(SUBSTITUTE(C5,$BG$3,""),$BG$4,""),$BG$5,""),"P",""),"I",""),"V",""),"B","")&amp;Data!BR46),""))</f>
        <v/>
      </c>
    </row>
    <row r="236" spans="1:54" s="9" customFormat="1" ht="23.25" customHeight="1" x14ac:dyDescent="0.35">
      <c r="A236" s="1196"/>
      <c r="B236" s="22">
        <v>2</v>
      </c>
      <c r="C236" s="41" t="str">
        <f>IF(C202&lt;&gt;"",IF(OR(COUNTIF(C202,"L*"),COUNTIF(C202, "X*")),SUBSTITUTE(SUBSTITUTE(SUBSTITUTE(SUBSTITUTE(C202,"P",""),"I",""),"V",""),"B","") &amp; IF(COUNTIF(C202, "*"&amp;'ARDT Cutter Entry'!$BN$3&amp;"*"),"",IF(COUNTIF(C202, "*"&amp;'ARDT Cutter Entry'!$BN$4&amp;"*"),"",IF(COUNTIF(C202,"*"&amp;'ARDT Cutter Entry'!$BN$5&amp;"*"),"",IF(COUNTIF(C202,"*"&amp;'ARDT Cutter Entry'!$BN$6&amp;"*"),"",IF(COUNTIF(C202,"*"&amp;'ARDT Cutter Entry'!$BN$7&amp;"*"),"",Data!BR47))))),SUBSTITUTE(SUBSTITUTE(SUBSTITUTE(SUBSTITUTE(SUBSTITUTE(SUBSTITUTE(SUBSTITUTE(SUBSTITUTE(SUBSTITUTE(C202,'ARDT Cutter Entry'!$BN$3,""),'ARDT Cutter Entry'!$BN$4,""),'ARDT Cutter Entry'!$BN$5,""),'ARDT Cutter Entry'!$BN$6,""),'ARDT Cutter Entry'!$BN$7,""),"P",""),"I",""),"V",""),"B","")&amp;Data!BR47),IF(AND(Data!BR47&lt;&gt;0,Data!BR47&lt;&gt;""),IF(C219&lt;&gt;"",C219,"O"),""))</f>
        <v>O</v>
      </c>
      <c r="D236" s="41" t="str">
        <f>IF(D202&lt;&gt;"",IF(OR(COUNTIF(D202,"L*"),COUNTIF(D202, "X*")),SUBSTITUTE(SUBSTITUTE(SUBSTITUTE(SUBSTITUTE(D202,"P",""),"I",""),"V",""),"B","") &amp; IF(COUNTIF(D202, "*"&amp;'ARDT Cutter Entry'!$BN$3&amp;"*"),"",IF(COUNTIF(D202, "*"&amp;'ARDT Cutter Entry'!$BN$4&amp;"*"),"",IF(COUNTIF(D202,"*"&amp;'ARDT Cutter Entry'!$BN$5&amp;"*"),"",IF(COUNTIF(D202,"*"&amp;'ARDT Cutter Entry'!$BN$6&amp;"*"),"",IF(COUNTIF(D202,"*"&amp;'ARDT Cutter Entry'!$BN$7&amp;"*"),"",Data!BS47))))),SUBSTITUTE(SUBSTITUTE(SUBSTITUTE(SUBSTITUTE(SUBSTITUTE(SUBSTITUTE(SUBSTITUTE(SUBSTITUTE(SUBSTITUTE(D202,'ARDT Cutter Entry'!$BN$3,""),'ARDT Cutter Entry'!$BN$4,""),'ARDT Cutter Entry'!$BN$5,""),'ARDT Cutter Entry'!$BN$6,""),'ARDT Cutter Entry'!$BN$7,""),"P",""),"I",""),"V",""),"B","")&amp;Data!BS47),IF(AND(Data!BS47&lt;&gt;0,Data!BS47&lt;&gt;""),IF(D219&lt;&gt;"",D219,"O"),""))</f>
        <v>O</v>
      </c>
      <c r="E236" s="41" t="str">
        <f>IF(E202&lt;&gt;"",IF(OR(COUNTIF(E202,"L*"),COUNTIF(E202, "X*")),SUBSTITUTE(SUBSTITUTE(SUBSTITUTE(SUBSTITUTE(E202,"P",""),"I",""),"V",""),"B","") &amp; IF(COUNTIF(E202, "*"&amp;'ARDT Cutter Entry'!$BN$3&amp;"*"),"",IF(COUNTIF(E202, "*"&amp;'ARDT Cutter Entry'!$BN$4&amp;"*"),"",IF(COUNTIF(E202,"*"&amp;'ARDT Cutter Entry'!$BN$5&amp;"*"),"",IF(COUNTIF(E202,"*"&amp;'ARDT Cutter Entry'!$BN$6&amp;"*"),"",IF(COUNTIF(E202,"*"&amp;'ARDT Cutter Entry'!$BN$7&amp;"*"),"",Data!BT47))))),SUBSTITUTE(SUBSTITUTE(SUBSTITUTE(SUBSTITUTE(SUBSTITUTE(SUBSTITUTE(SUBSTITUTE(SUBSTITUTE(SUBSTITUTE(E202,'ARDT Cutter Entry'!$BN$3,""),'ARDT Cutter Entry'!$BN$4,""),'ARDT Cutter Entry'!$BN$5,""),'ARDT Cutter Entry'!$BN$6,""),'ARDT Cutter Entry'!$BN$7,""),"P",""),"I",""),"V",""),"B","")&amp;Data!BT47),IF(AND(Data!BT47&lt;&gt;0,Data!BT47&lt;&gt;""),IF(E219&lt;&gt;"",E219,"O"),""))</f>
        <v>O</v>
      </c>
      <c r="F236" s="41" t="str">
        <f>IF(F202&lt;&gt;"",IF(OR(COUNTIF(F202,"L*"),COUNTIF(F202, "X*")),SUBSTITUTE(SUBSTITUTE(SUBSTITUTE(SUBSTITUTE(F202,"P",""),"I",""),"V",""),"B","") &amp; IF(COUNTIF(F202, "*"&amp;'ARDT Cutter Entry'!$BN$3&amp;"*"),"",IF(COUNTIF(F202, "*"&amp;'ARDT Cutter Entry'!$BN$4&amp;"*"),"",IF(COUNTIF(F202,"*"&amp;'ARDT Cutter Entry'!$BN$5&amp;"*"),"",IF(COUNTIF(F202,"*"&amp;'ARDT Cutter Entry'!$BN$6&amp;"*"),"",IF(COUNTIF(F202,"*"&amp;'ARDT Cutter Entry'!$BN$7&amp;"*"),"",Data!BU47))))),SUBSTITUTE(SUBSTITUTE(SUBSTITUTE(SUBSTITUTE(SUBSTITUTE(SUBSTITUTE(SUBSTITUTE(SUBSTITUTE(SUBSTITUTE(F202,'ARDT Cutter Entry'!$BN$3,""),'ARDT Cutter Entry'!$BN$4,""),'ARDT Cutter Entry'!$BN$5,""),'ARDT Cutter Entry'!$BN$6,""),'ARDT Cutter Entry'!$BN$7,""),"P",""),"I",""),"V",""),"B","")&amp;Data!BU47),IF(AND(Data!BU47&lt;&gt;0,Data!BU47&lt;&gt;""),IF(F219&lt;&gt;"",F219,"O"),""))</f>
        <v>O</v>
      </c>
      <c r="G236" s="41" t="str">
        <f>IF(G202&lt;&gt;"",IF(OR(COUNTIF(G202,"L*"),COUNTIF(G202, "X*")),SUBSTITUTE(SUBSTITUTE(SUBSTITUTE(SUBSTITUTE(G202,"P",""),"I",""),"V",""),"B","") &amp; IF(COUNTIF(G202, "*"&amp;'ARDT Cutter Entry'!$BN$3&amp;"*"),"",IF(COUNTIF(G202, "*"&amp;'ARDT Cutter Entry'!$BN$4&amp;"*"),"",IF(COUNTIF(G202,"*"&amp;'ARDT Cutter Entry'!$BN$5&amp;"*"),"",IF(COUNTIF(G202,"*"&amp;'ARDT Cutter Entry'!$BN$6&amp;"*"),"",IF(COUNTIF(G202,"*"&amp;'ARDT Cutter Entry'!$BN$7&amp;"*"),"",Data!BV47))))),SUBSTITUTE(SUBSTITUTE(SUBSTITUTE(SUBSTITUTE(SUBSTITUTE(SUBSTITUTE(SUBSTITUTE(SUBSTITUTE(SUBSTITUTE(G202,'ARDT Cutter Entry'!$BN$3,""),'ARDT Cutter Entry'!$BN$4,""),'ARDT Cutter Entry'!$BN$5,""),'ARDT Cutter Entry'!$BN$6,""),'ARDT Cutter Entry'!$BN$7,""),"P",""),"I",""),"V",""),"B","")&amp;Data!BV47),IF(AND(Data!BV47&lt;&gt;0,Data!BV47&lt;&gt;""),IF(G219&lt;&gt;"",G219,"O"),""))</f>
        <v>O</v>
      </c>
      <c r="H236" s="41" t="str">
        <f>IF(H202&lt;&gt;"",IF(OR(COUNTIF(H202,"L*"),COUNTIF(H202, "X*")),SUBSTITUTE(SUBSTITUTE(SUBSTITUTE(SUBSTITUTE(H202,"P",""),"I",""),"V",""),"B","") &amp; IF(COUNTIF(H202, "*"&amp;'ARDT Cutter Entry'!$BN$3&amp;"*"),"",IF(COUNTIF(H202, "*"&amp;'ARDT Cutter Entry'!$BN$4&amp;"*"),"",IF(COUNTIF(H202,"*"&amp;'ARDT Cutter Entry'!$BN$5&amp;"*"),"",IF(COUNTIF(H202,"*"&amp;'ARDT Cutter Entry'!$BN$6&amp;"*"),"",IF(COUNTIF(H202,"*"&amp;'ARDT Cutter Entry'!$BN$7&amp;"*"),"",Data!BW47))))),SUBSTITUTE(SUBSTITUTE(SUBSTITUTE(SUBSTITUTE(SUBSTITUTE(SUBSTITUTE(SUBSTITUTE(SUBSTITUTE(SUBSTITUTE(H202,'ARDT Cutter Entry'!$BN$3,""),'ARDT Cutter Entry'!$BN$4,""),'ARDT Cutter Entry'!$BN$5,""),'ARDT Cutter Entry'!$BN$6,""),'ARDT Cutter Entry'!$BN$7,""),"P",""),"I",""),"V",""),"B","")&amp;Data!BW47),IF(AND(Data!BW47&lt;&gt;0,Data!BW47&lt;&gt;""),IF(H219&lt;&gt;"",H219,"O"),""))</f>
        <v/>
      </c>
      <c r="I236" s="41" t="str">
        <f>IF(I202&lt;&gt;"",IF(OR(COUNTIF(I202,"L*"),COUNTIF(I202, "X*")),SUBSTITUTE(SUBSTITUTE(SUBSTITUTE(SUBSTITUTE(I202,"P",""),"I",""),"V",""),"B","") &amp; IF(COUNTIF(I202, "*"&amp;'ARDT Cutter Entry'!$BN$3&amp;"*"),"",IF(COUNTIF(I202, "*"&amp;'ARDT Cutter Entry'!$BN$4&amp;"*"),"",IF(COUNTIF(I202,"*"&amp;'ARDT Cutter Entry'!$BN$5&amp;"*"),"",IF(COUNTIF(I202,"*"&amp;'ARDT Cutter Entry'!$BN$6&amp;"*"),"",IF(COUNTIF(I202,"*"&amp;'ARDT Cutter Entry'!$BN$7&amp;"*"),"",Data!BX47))))),SUBSTITUTE(SUBSTITUTE(SUBSTITUTE(SUBSTITUTE(SUBSTITUTE(SUBSTITUTE(SUBSTITUTE(SUBSTITUTE(SUBSTITUTE(I202,'ARDT Cutter Entry'!$BN$3,""),'ARDT Cutter Entry'!$BN$4,""),'ARDT Cutter Entry'!$BN$5,""),'ARDT Cutter Entry'!$BN$6,""),'ARDT Cutter Entry'!$BN$7,""),"P",""),"I",""),"V",""),"B","")&amp;Data!BX47),IF(AND(Data!BX47&lt;&gt;0,Data!BX47&lt;&gt;""),IF(I219&lt;&gt;"",I219,"O"),""))</f>
        <v/>
      </c>
      <c r="J236" s="41" t="str">
        <f>IF(J202&lt;&gt;"",IF(OR(COUNTIF(J202,"L*"),COUNTIF(J202, "X*")),SUBSTITUTE(SUBSTITUTE(SUBSTITUTE(SUBSTITUTE(J202,"P",""),"I",""),"V",""),"B","") &amp; IF(COUNTIF(J202, "*"&amp;'ARDT Cutter Entry'!$BN$3&amp;"*"),"",IF(COUNTIF(J202, "*"&amp;'ARDT Cutter Entry'!$BN$4&amp;"*"),"",IF(COUNTIF(J202,"*"&amp;'ARDT Cutter Entry'!$BN$5&amp;"*"),"",IF(COUNTIF(J202,"*"&amp;'ARDT Cutter Entry'!$BN$6&amp;"*"),"",IF(COUNTIF(J202,"*"&amp;'ARDT Cutter Entry'!$BN$7&amp;"*"),"",Data!BY47))))),SUBSTITUTE(SUBSTITUTE(SUBSTITUTE(SUBSTITUTE(SUBSTITUTE(SUBSTITUTE(SUBSTITUTE(SUBSTITUTE(SUBSTITUTE(J202,'ARDT Cutter Entry'!$BN$3,""),'ARDT Cutter Entry'!$BN$4,""),'ARDT Cutter Entry'!$BN$5,""),'ARDT Cutter Entry'!$BN$6,""),'ARDT Cutter Entry'!$BN$7,""),"P",""),"I",""),"V",""),"B","")&amp;Data!BY47),IF(AND(Data!BY47&lt;&gt;0,Data!BY47&lt;&gt;""),IF(J219&lt;&gt;"",J219,"O"),""))</f>
        <v/>
      </c>
      <c r="K236" s="41" t="str">
        <f>IF(K202&lt;&gt;"",IF(OR(COUNTIF(K202,"L*"),COUNTIF(K202, "X*")),SUBSTITUTE(SUBSTITUTE(SUBSTITUTE(SUBSTITUTE(K202,"P",""),"I",""),"V",""),"B","") &amp; IF(COUNTIF(K202, "*"&amp;'ARDT Cutter Entry'!$BN$3&amp;"*"),"",IF(COUNTIF(K202, "*"&amp;'ARDT Cutter Entry'!$BN$4&amp;"*"),"",IF(COUNTIF(K202,"*"&amp;'ARDT Cutter Entry'!$BN$5&amp;"*"),"",IF(COUNTIF(K202,"*"&amp;'ARDT Cutter Entry'!$BN$6&amp;"*"),"",IF(COUNTIF(K202,"*"&amp;'ARDT Cutter Entry'!$BN$7&amp;"*"),"",Data!BZ47))))),SUBSTITUTE(SUBSTITUTE(SUBSTITUTE(SUBSTITUTE(SUBSTITUTE(SUBSTITUTE(SUBSTITUTE(SUBSTITUTE(SUBSTITUTE(K202,'ARDT Cutter Entry'!$BN$3,""),'ARDT Cutter Entry'!$BN$4,""),'ARDT Cutter Entry'!$BN$5,""),'ARDT Cutter Entry'!$BN$6,""),'ARDT Cutter Entry'!$BN$7,""),"P",""),"I",""),"V",""),"B","")&amp;Data!BZ47),IF(AND(Data!BZ47&lt;&gt;0,Data!BZ47&lt;&gt;""),IF(K219&lt;&gt;"",K219,"O"),""))</f>
        <v/>
      </c>
      <c r="L236" s="41" t="str">
        <f>IF(L202&lt;&gt;"",IF(OR(COUNTIF(L202,"L*"),COUNTIF(L202, "X*")),SUBSTITUTE(SUBSTITUTE(SUBSTITUTE(SUBSTITUTE(L202,"P",""),"I",""),"V",""),"B","") &amp; IF(COUNTIF(L202, "*"&amp;'ARDT Cutter Entry'!$BN$3&amp;"*"),"",IF(COUNTIF(L202, "*"&amp;'ARDT Cutter Entry'!$BN$4&amp;"*"),"",IF(COUNTIF(L202,"*"&amp;'ARDT Cutter Entry'!$BN$5&amp;"*"),"",IF(COUNTIF(L202,"*"&amp;'ARDT Cutter Entry'!$BN$6&amp;"*"),"",IF(COUNTIF(L202,"*"&amp;'ARDT Cutter Entry'!$BN$7&amp;"*"),"",Data!CA47))))),SUBSTITUTE(SUBSTITUTE(SUBSTITUTE(SUBSTITUTE(SUBSTITUTE(SUBSTITUTE(SUBSTITUTE(SUBSTITUTE(SUBSTITUTE(L202,'ARDT Cutter Entry'!$BN$3,""),'ARDT Cutter Entry'!$BN$4,""),'ARDT Cutter Entry'!$BN$5,""),'ARDT Cutter Entry'!$BN$6,""),'ARDT Cutter Entry'!$BN$7,""),"P",""),"I",""),"V",""),"B","")&amp;Data!CA47),IF(AND(Data!CA47&lt;&gt;0,Data!CA47&lt;&gt;""),IF(L219&lt;&gt;"",L219,"O"),""))</f>
        <v>O</v>
      </c>
      <c r="M236" s="41" t="str">
        <f>IF(M202&lt;&gt;"",IF(OR(COUNTIF(M202,"L*"),COUNTIF(M202, "X*")),SUBSTITUTE(SUBSTITUTE(SUBSTITUTE(SUBSTITUTE(M202,"P",""),"I",""),"V",""),"B","") &amp; IF(COUNTIF(M202, "*"&amp;'ARDT Cutter Entry'!$BN$3&amp;"*"),"",IF(COUNTIF(M202, "*"&amp;'ARDT Cutter Entry'!$BN$4&amp;"*"),"",IF(COUNTIF(M202,"*"&amp;'ARDT Cutter Entry'!$BN$5&amp;"*"),"",IF(COUNTIF(M202,"*"&amp;'ARDT Cutter Entry'!$BN$6&amp;"*"),"",IF(COUNTIF(M202,"*"&amp;'ARDT Cutter Entry'!$BN$7&amp;"*"),"",Data!CB47))))),SUBSTITUTE(SUBSTITUTE(SUBSTITUTE(SUBSTITUTE(SUBSTITUTE(SUBSTITUTE(SUBSTITUTE(SUBSTITUTE(SUBSTITUTE(M202,'ARDT Cutter Entry'!$BN$3,""),'ARDT Cutter Entry'!$BN$4,""),'ARDT Cutter Entry'!$BN$5,""),'ARDT Cutter Entry'!$BN$6,""),'ARDT Cutter Entry'!$BN$7,""),"P",""),"I",""),"V",""),"B","")&amp;Data!CB47),IF(AND(Data!CB47&lt;&gt;0,Data!CB47&lt;&gt;""),IF(M219&lt;&gt;"",M219,"O"),""))</f>
        <v>O</v>
      </c>
      <c r="N236" s="41" t="str">
        <f>IF(N202&lt;&gt;"",IF(OR(COUNTIF(N202,"L*"),COUNTIF(N202, "X*")),SUBSTITUTE(SUBSTITUTE(SUBSTITUTE(SUBSTITUTE(N202,"P",""),"I",""),"V",""),"B","") &amp; IF(COUNTIF(N202, "*"&amp;'ARDT Cutter Entry'!$BN$3&amp;"*"),"",IF(COUNTIF(N202, "*"&amp;'ARDT Cutter Entry'!$BN$4&amp;"*"),"",IF(COUNTIF(N202,"*"&amp;'ARDT Cutter Entry'!$BN$5&amp;"*"),"",IF(COUNTIF(N202,"*"&amp;'ARDT Cutter Entry'!$BN$6&amp;"*"),"",IF(COUNTIF(N202,"*"&amp;'ARDT Cutter Entry'!$BN$7&amp;"*"),"",Data!CC47))))),SUBSTITUTE(SUBSTITUTE(SUBSTITUTE(SUBSTITUTE(SUBSTITUTE(SUBSTITUTE(SUBSTITUTE(SUBSTITUTE(SUBSTITUTE(N202,'ARDT Cutter Entry'!$BN$3,""),'ARDT Cutter Entry'!$BN$4,""),'ARDT Cutter Entry'!$BN$5,""),'ARDT Cutter Entry'!$BN$6,""),'ARDT Cutter Entry'!$BN$7,""),"P",""),"I",""),"V",""),"B","")&amp;Data!CC47),IF(AND(Data!CC47&lt;&gt;0,Data!CC47&lt;&gt;""),IF(N219&lt;&gt;"",N219,"O"),""))</f>
        <v>O</v>
      </c>
      <c r="O236" s="41" t="str">
        <f>IF(O202&lt;&gt;"",IF(OR(COUNTIF(O202,"L*"),COUNTIF(O202, "X*")),SUBSTITUTE(SUBSTITUTE(SUBSTITUTE(SUBSTITUTE(O202,"P",""),"I",""),"V",""),"B","") &amp; IF(COUNTIF(O202, "*"&amp;'ARDT Cutter Entry'!$BN$3&amp;"*"),"",IF(COUNTIF(O202, "*"&amp;'ARDT Cutter Entry'!$BN$4&amp;"*"),"",IF(COUNTIF(O202,"*"&amp;'ARDT Cutter Entry'!$BN$5&amp;"*"),"",IF(COUNTIF(O202,"*"&amp;'ARDT Cutter Entry'!$BN$6&amp;"*"),"",IF(COUNTIF(O202,"*"&amp;'ARDT Cutter Entry'!$BN$7&amp;"*"),"",Data!CD47))))),SUBSTITUTE(SUBSTITUTE(SUBSTITUTE(SUBSTITUTE(SUBSTITUTE(SUBSTITUTE(SUBSTITUTE(SUBSTITUTE(SUBSTITUTE(O202,'ARDT Cutter Entry'!$BN$3,""),'ARDT Cutter Entry'!$BN$4,""),'ARDT Cutter Entry'!$BN$5,""),'ARDT Cutter Entry'!$BN$6,""),'ARDT Cutter Entry'!$BN$7,""),"P",""),"I",""),"V",""),"B","")&amp;Data!CD47),IF(AND(Data!CD47&lt;&gt;0,Data!CD47&lt;&gt;""),IF(O219&lt;&gt;"",O219,"O"),""))</f>
        <v>O</v>
      </c>
      <c r="P236" s="41" t="str">
        <f>IF(P202&lt;&gt;"",IF(OR(COUNTIF(P202,"L*"),COUNTIF(P202, "X*")),SUBSTITUTE(SUBSTITUTE(SUBSTITUTE(SUBSTITUTE(P202,"P",""),"I",""),"V",""),"B","") &amp; IF(COUNTIF(P202, "*"&amp;'ARDT Cutter Entry'!$BN$3&amp;"*"),"",IF(COUNTIF(P202, "*"&amp;'ARDT Cutter Entry'!$BN$4&amp;"*"),"",IF(COUNTIF(P202,"*"&amp;'ARDT Cutter Entry'!$BN$5&amp;"*"),"",IF(COUNTIF(P202,"*"&amp;'ARDT Cutter Entry'!$BN$6&amp;"*"),"",IF(COUNTIF(P202,"*"&amp;'ARDT Cutter Entry'!$BN$7&amp;"*"),"",Data!CE47))))),SUBSTITUTE(SUBSTITUTE(SUBSTITUTE(SUBSTITUTE(SUBSTITUTE(SUBSTITUTE(SUBSTITUTE(SUBSTITUTE(SUBSTITUTE(P202,'ARDT Cutter Entry'!$BN$3,""),'ARDT Cutter Entry'!$BN$4,""),'ARDT Cutter Entry'!$BN$5,""),'ARDT Cutter Entry'!$BN$6,""),'ARDT Cutter Entry'!$BN$7,""),"P",""),"I",""),"V",""),"B","")&amp;Data!CE47),IF(AND(Data!CE47&lt;&gt;0,Data!CE47&lt;&gt;""),IF(P219&lt;&gt;"",P219,"O"),""))</f>
        <v/>
      </c>
      <c r="Q236" s="41" t="str">
        <f>IF(Q202&lt;&gt;"",IF(OR(COUNTIF(Q202,"L*"),COUNTIF(Q202, "X*")),SUBSTITUTE(SUBSTITUTE(SUBSTITUTE(SUBSTITUTE(Q202,"P",""),"I",""),"V",""),"B","") &amp; IF(COUNTIF(Q202, "*"&amp;'ARDT Cutter Entry'!$BN$3&amp;"*"),"",IF(COUNTIF(Q202, "*"&amp;'ARDT Cutter Entry'!$BN$4&amp;"*"),"",IF(COUNTIF(Q202,"*"&amp;'ARDT Cutter Entry'!$BN$5&amp;"*"),"",IF(COUNTIF(Q202,"*"&amp;'ARDT Cutter Entry'!$BN$6&amp;"*"),"",IF(COUNTIF(Q202,"*"&amp;'ARDT Cutter Entry'!$BN$7&amp;"*"),"",Data!CF47))))),SUBSTITUTE(SUBSTITUTE(SUBSTITUTE(SUBSTITUTE(SUBSTITUTE(SUBSTITUTE(SUBSTITUTE(SUBSTITUTE(SUBSTITUTE(Q202,'ARDT Cutter Entry'!$BN$3,""),'ARDT Cutter Entry'!$BN$4,""),'ARDT Cutter Entry'!$BN$5,""),'ARDT Cutter Entry'!$BN$6,""),'ARDT Cutter Entry'!$BN$7,""),"P",""),"I",""),"V",""),"B","")&amp;Data!CF47),IF(AND(Data!CF47&lt;&gt;0,Data!CF47&lt;&gt;""),IF(Q219&lt;&gt;"",Q219,"O"),""))</f>
        <v/>
      </c>
      <c r="R236" s="41" t="str">
        <f>IF(R202&lt;&gt;"",IF(OR(COUNTIF(R202,"L*"),COUNTIF(R202, "X*")),SUBSTITUTE(SUBSTITUTE(SUBSTITUTE(SUBSTITUTE(R202,"P",""),"I",""),"V",""),"B","") &amp; IF(COUNTIF(R202, "*"&amp;'ARDT Cutter Entry'!$BN$3&amp;"*"),"",IF(COUNTIF(R202, "*"&amp;'ARDT Cutter Entry'!$BN$4&amp;"*"),"",IF(COUNTIF(R202,"*"&amp;'ARDT Cutter Entry'!$BN$5&amp;"*"),"",IF(COUNTIF(R202,"*"&amp;'ARDT Cutter Entry'!$BN$6&amp;"*"),"",IF(COUNTIF(R202,"*"&amp;'ARDT Cutter Entry'!$BN$7&amp;"*"),"",Data!CG47))))),SUBSTITUTE(SUBSTITUTE(SUBSTITUTE(SUBSTITUTE(SUBSTITUTE(SUBSTITUTE(SUBSTITUTE(SUBSTITUTE(SUBSTITUTE(R202,'ARDT Cutter Entry'!$BN$3,""),'ARDT Cutter Entry'!$BN$4,""),'ARDT Cutter Entry'!$BN$5,""),'ARDT Cutter Entry'!$BN$6,""),'ARDT Cutter Entry'!$BN$7,""),"P",""),"I",""),"V",""),"B","")&amp;Data!CG47),IF(AND(Data!CG47&lt;&gt;0,Data!CG47&lt;&gt;""),IF(R219&lt;&gt;"",R219,"O"),""))</f>
        <v/>
      </c>
      <c r="S236" s="41" t="str">
        <f>IF(S202&lt;&gt;"",IF(OR(COUNTIF(S202,"L*"),COUNTIF(S202, "X*")),SUBSTITUTE(SUBSTITUTE(SUBSTITUTE(SUBSTITUTE(S202,"P",""),"I",""),"V",""),"B","") &amp; IF(COUNTIF(S202, "*"&amp;'ARDT Cutter Entry'!$BN$3&amp;"*"),"",IF(COUNTIF(S202, "*"&amp;'ARDT Cutter Entry'!$BN$4&amp;"*"),"",IF(COUNTIF(S202,"*"&amp;'ARDT Cutter Entry'!$BN$5&amp;"*"),"",IF(COUNTIF(S202,"*"&amp;'ARDT Cutter Entry'!$BN$6&amp;"*"),"",IF(COUNTIF(S202,"*"&amp;'ARDT Cutter Entry'!$BN$7&amp;"*"),"",Data!CH47))))),SUBSTITUTE(SUBSTITUTE(SUBSTITUTE(SUBSTITUTE(SUBSTITUTE(SUBSTITUTE(SUBSTITUTE(SUBSTITUTE(SUBSTITUTE(S202,'ARDT Cutter Entry'!$BN$3,""),'ARDT Cutter Entry'!$BN$4,""),'ARDT Cutter Entry'!$BN$5,""),'ARDT Cutter Entry'!$BN$6,""),'ARDT Cutter Entry'!$BN$7,""),"P",""),"I",""),"V",""),"B","")&amp;Data!CH47),IF(AND(Data!CH47&lt;&gt;0,Data!CH47&lt;&gt;""),IF(S219&lt;&gt;"",S219,"O"),""))</f>
        <v/>
      </c>
      <c r="T236" s="41" t="str">
        <f>IF(T202&lt;&gt;"",IF(OR(COUNTIF(T202,"L*"),COUNTIF(T202, "X*")),SUBSTITUTE(SUBSTITUTE(SUBSTITUTE(SUBSTITUTE(T202,"P",""),"I",""),"V",""),"B","") &amp; IF(COUNTIF(T202, "*"&amp;'ARDT Cutter Entry'!$BN$3&amp;"*"),"",IF(COUNTIF(T202, "*"&amp;'ARDT Cutter Entry'!$BN$4&amp;"*"),"",IF(COUNTIF(T202,"*"&amp;'ARDT Cutter Entry'!$BN$5&amp;"*"),"",IF(COUNTIF(T202,"*"&amp;'ARDT Cutter Entry'!$BN$6&amp;"*"),"",IF(COUNTIF(T202,"*"&amp;'ARDT Cutter Entry'!$BN$7&amp;"*"),"",Data!CI47))))),SUBSTITUTE(SUBSTITUTE(SUBSTITUTE(SUBSTITUTE(SUBSTITUTE(SUBSTITUTE(SUBSTITUTE(SUBSTITUTE(SUBSTITUTE(T202,'ARDT Cutter Entry'!$BN$3,""),'ARDT Cutter Entry'!$BN$4,""),'ARDT Cutter Entry'!$BN$5,""),'ARDT Cutter Entry'!$BN$6,""),'ARDT Cutter Entry'!$BN$7,""),"P",""),"I",""),"V",""),"B","")&amp;Data!CI47),IF(AND(Data!CI47&lt;&gt;0,Data!CI47&lt;&gt;""),IF(T219&lt;&gt;"",T219,"O"),""))</f>
        <v/>
      </c>
      <c r="U236" s="41" t="str">
        <f>IF(U202&lt;&gt;"",IF(OR(COUNTIF(U202,"L*"),COUNTIF(U202, "X*")),SUBSTITUTE(SUBSTITUTE(SUBSTITUTE(SUBSTITUTE(U202,"P",""),"I",""),"V",""),"B","") &amp; IF(COUNTIF(U202, "*"&amp;'ARDT Cutter Entry'!$BN$3&amp;"*"),"",IF(COUNTIF(U202, "*"&amp;'ARDT Cutter Entry'!$BN$4&amp;"*"),"",IF(COUNTIF(U202,"*"&amp;'ARDT Cutter Entry'!$BN$5&amp;"*"),"",IF(COUNTIF(U202,"*"&amp;'ARDT Cutter Entry'!$BN$6&amp;"*"),"",IF(COUNTIF(U202,"*"&amp;'ARDT Cutter Entry'!$BN$7&amp;"*"),"",Data!CJ47))))),SUBSTITUTE(SUBSTITUTE(SUBSTITUTE(SUBSTITUTE(SUBSTITUTE(SUBSTITUTE(SUBSTITUTE(SUBSTITUTE(SUBSTITUTE(U202,'ARDT Cutter Entry'!$BN$3,""),'ARDT Cutter Entry'!$BN$4,""),'ARDT Cutter Entry'!$BN$5,""),'ARDT Cutter Entry'!$BN$6,""),'ARDT Cutter Entry'!$BN$7,""),"P",""),"I",""),"V",""),"B","")&amp;Data!CJ47),IF(AND(Data!CJ47&lt;&gt;0,Data!CJ47&lt;&gt;""),IF(U219&lt;&gt;"",U219,"O"),""))</f>
        <v/>
      </c>
      <c r="V236" s="41" t="str">
        <f>IF(V202&lt;&gt;"",IF(OR(COUNTIF(V202,"L*"),COUNTIF(V202, "X*")),SUBSTITUTE(SUBSTITUTE(SUBSTITUTE(SUBSTITUTE(V202,"P",""),"I",""),"V",""),"B","") &amp; IF(COUNTIF(V202, "*"&amp;'ARDT Cutter Entry'!$BN$3&amp;"*"),"",IF(COUNTIF(V202, "*"&amp;'ARDT Cutter Entry'!$BN$4&amp;"*"),"",IF(COUNTIF(V202,"*"&amp;'ARDT Cutter Entry'!$BN$5&amp;"*"),"",IF(COUNTIF(V202,"*"&amp;'ARDT Cutter Entry'!$BN$6&amp;"*"),"",IF(COUNTIF(V202,"*"&amp;'ARDT Cutter Entry'!$BN$7&amp;"*"),"",Data!CK47))))),SUBSTITUTE(SUBSTITUTE(SUBSTITUTE(SUBSTITUTE(SUBSTITUTE(SUBSTITUTE(SUBSTITUTE(SUBSTITUTE(SUBSTITUTE(V202,'ARDT Cutter Entry'!$BN$3,""),'ARDT Cutter Entry'!$BN$4,""),'ARDT Cutter Entry'!$BN$5,""),'ARDT Cutter Entry'!$BN$6,""),'ARDT Cutter Entry'!$BN$7,""),"P",""),"I",""),"V",""),"B","")&amp;Data!CK47),IF(AND(Data!CK47&lt;&gt;0,Data!CK47&lt;&gt;""),IF(V219&lt;&gt;"",V219,"O"),""))</f>
        <v/>
      </c>
      <c r="W236" s="41" t="str">
        <f>IF(W202&lt;&gt;"",IF(OR(COUNTIF(W202,"L*"),COUNTIF(W202, "X*")),SUBSTITUTE(SUBSTITUTE(SUBSTITUTE(SUBSTITUTE(W202,"P",""),"I",""),"V",""),"B","") &amp; IF(COUNTIF(W202, "*"&amp;'ARDT Cutter Entry'!$BN$3&amp;"*"),"",IF(COUNTIF(W202, "*"&amp;'ARDT Cutter Entry'!$BN$4&amp;"*"),"",IF(COUNTIF(W202,"*"&amp;'ARDT Cutter Entry'!$BN$5&amp;"*"),"",IF(COUNTIF(W202,"*"&amp;'ARDT Cutter Entry'!$BN$6&amp;"*"),"",IF(COUNTIF(W202,"*"&amp;'ARDT Cutter Entry'!$BN$7&amp;"*"),"",Data!CL47))))),SUBSTITUTE(SUBSTITUTE(SUBSTITUTE(SUBSTITUTE(SUBSTITUTE(SUBSTITUTE(SUBSTITUTE(SUBSTITUTE(SUBSTITUTE(W202,'ARDT Cutter Entry'!$BN$3,""),'ARDT Cutter Entry'!$BN$4,""),'ARDT Cutter Entry'!$BN$5,""),'ARDT Cutter Entry'!$BN$6,""),'ARDT Cutter Entry'!$BN$7,""),"P",""),"I",""),"V",""),"B","")&amp;Data!CL47),IF(AND(Data!CL47&lt;&gt;0,Data!CL47&lt;&gt;""),IF(W219&lt;&gt;"",W219,"O"),""))</f>
        <v/>
      </c>
      <c r="X236" s="41" t="str">
        <f>IF(X202&lt;&gt;"",IF(OR(COUNTIF(X202,"L*"),COUNTIF(X202, "X*")),SUBSTITUTE(SUBSTITUTE(SUBSTITUTE(SUBSTITUTE(X202,"P",""),"I",""),"V",""),"B","") &amp; IF(COUNTIF(X202, "*"&amp;'ARDT Cutter Entry'!$BN$3&amp;"*"),"",IF(COUNTIF(X202, "*"&amp;'ARDT Cutter Entry'!$BN$4&amp;"*"),"",IF(COUNTIF(X202,"*"&amp;'ARDT Cutter Entry'!$BN$5&amp;"*"),"",IF(COUNTIF(X202,"*"&amp;'ARDT Cutter Entry'!$BN$6&amp;"*"),"",IF(COUNTIF(X202,"*"&amp;'ARDT Cutter Entry'!$BN$7&amp;"*"),"",Data!CM47))))),SUBSTITUTE(SUBSTITUTE(SUBSTITUTE(SUBSTITUTE(SUBSTITUTE(SUBSTITUTE(SUBSTITUTE(SUBSTITUTE(SUBSTITUTE(X202,'ARDT Cutter Entry'!$BN$3,""),'ARDT Cutter Entry'!$BN$4,""),'ARDT Cutter Entry'!$BN$5,""),'ARDT Cutter Entry'!$BN$6,""),'ARDT Cutter Entry'!$BN$7,""),"P",""),"I",""),"V",""),"B","")&amp;Data!CM47),IF(AND(Data!CM47&lt;&gt;0,Data!CM47&lt;&gt;""),IF(X219&lt;&gt;"",X219,"O"),""))</f>
        <v/>
      </c>
      <c r="Y236" s="41" t="str">
        <f>IF(Y202&lt;&gt;"",IF(OR(COUNTIF(Y202,"L*"),COUNTIF(Y202, "X*")),SUBSTITUTE(SUBSTITUTE(SUBSTITUTE(SUBSTITUTE(Y202,"P",""),"I",""),"V",""),"B","") &amp; IF(COUNTIF(Y202, "*"&amp;'ARDT Cutter Entry'!$BN$3&amp;"*"),"",IF(COUNTIF(Y202, "*"&amp;'ARDT Cutter Entry'!$BN$4&amp;"*"),"",IF(COUNTIF(Y202,"*"&amp;'ARDT Cutter Entry'!$BN$5&amp;"*"),"",IF(COUNTIF(Y202,"*"&amp;'ARDT Cutter Entry'!$BN$6&amp;"*"),"",IF(COUNTIF(Y202,"*"&amp;'ARDT Cutter Entry'!$BN$7&amp;"*"),"",Data!CN47))))),SUBSTITUTE(SUBSTITUTE(SUBSTITUTE(SUBSTITUTE(SUBSTITUTE(SUBSTITUTE(SUBSTITUTE(SUBSTITUTE(SUBSTITUTE(Y202,'ARDT Cutter Entry'!$BN$3,""),'ARDT Cutter Entry'!$BN$4,""),'ARDT Cutter Entry'!$BN$5,""),'ARDT Cutter Entry'!$BN$6,""),'ARDT Cutter Entry'!$BN$7,""),"P",""),"I",""),"V",""),"B","")&amp;Data!CN47),IF(AND(Data!CN47&lt;&gt;0,Data!CN47&lt;&gt;""),IF(Y219&lt;&gt;"",Y219,"O"),""))</f>
        <v/>
      </c>
      <c r="Z236" s="41" t="str">
        <f>IF(Z202&lt;&gt;"",IF(OR(COUNTIF(Z202,"L*"),COUNTIF(Z202, "X*")),SUBSTITUTE(SUBSTITUTE(SUBSTITUTE(SUBSTITUTE(Z202,"P",""),"I",""),"V",""),"B","") &amp; IF(COUNTIF(Z202, "*"&amp;'ARDT Cutter Entry'!$BN$3&amp;"*"),"",IF(COUNTIF(Z202, "*"&amp;'ARDT Cutter Entry'!$BN$4&amp;"*"),"",IF(COUNTIF(Z202,"*"&amp;'ARDT Cutter Entry'!$BN$5&amp;"*"),"",IF(COUNTIF(Z202,"*"&amp;'ARDT Cutter Entry'!$BN$6&amp;"*"),"",IF(COUNTIF(Z202,"*"&amp;'ARDT Cutter Entry'!$BN$7&amp;"*"),"",Data!CO47))))),SUBSTITUTE(SUBSTITUTE(SUBSTITUTE(SUBSTITUTE(SUBSTITUTE(SUBSTITUTE(SUBSTITUTE(SUBSTITUTE(SUBSTITUTE(Z202,'ARDT Cutter Entry'!$BN$3,""),'ARDT Cutter Entry'!$BN$4,""),'ARDT Cutter Entry'!$BN$5,""),'ARDT Cutter Entry'!$BN$6,""),'ARDT Cutter Entry'!$BN$7,""),"P",""),"I",""),"V",""),"B","")&amp;Data!CO47),IF(AND(Data!CO47&lt;&gt;0,Data!CO47&lt;&gt;""),IF(Z219&lt;&gt;"",Z219,"O"),""))</f>
        <v/>
      </c>
      <c r="AA236" s="41" t="str">
        <f>IF(AA202&lt;&gt;"",IF(OR(COUNTIF(AA202,"L*"),COUNTIF(AA202, "X*")),SUBSTITUTE(SUBSTITUTE(SUBSTITUTE(SUBSTITUTE(AA202,"P",""),"I",""),"V",""),"B","") &amp; IF(COUNTIF(AA202, "*"&amp;'ARDT Cutter Entry'!$BN$3&amp;"*"),"",IF(COUNTIF(AA202, "*"&amp;'ARDT Cutter Entry'!$BN$4&amp;"*"),"",IF(COUNTIF(AA202,"*"&amp;'ARDT Cutter Entry'!$BN$5&amp;"*"),"",IF(COUNTIF(AA202,"*"&amp;'ARDT Cutter Entry'!$BN$6&amp;"*"),"",IF(COUNTIF(AA202,"*"&amp;'ARDT Cutter Entry'!$BN$7&amp;"*"),"",Data!CP47))))),SUBSTITUTE(SUBSTITUTE(SUBSTITUTE(SUBSTITUTE(SUBSTITUTE(SUBSTITUTE(SUBSTITUTE(SUBSTITUTE(SUBSTITUTE(AA202,'ARDT Cutter Entry'!$BN$3,""),'ARDT Cutter Entry'!$BN$4,""),'ARDT Cutter Entry'!$BN$5,""),'ARDT Cutter Entry'!$BN$6,""),'ARDT Cutter Entry'!$BN$7,""),"P",""),"I",""),"V",""),"B","")&amp;Data!CP47),IF(AND(Data!CP47&lt;&gt;0,Data!CP47&lt;&gt;""),IF(AA219&lt;&gt;"",AA219,"O"),""))</f>
        <v/>
      </c>
      <c r="AB236" s="41" t="str">
        <f>IF(AB202&lt;&gt;"",IF(OR(COUNTIF(AB202,"L*"),COUNTIF(AB202, "X*")),SUBSTITUTE(SUBSTITUTE(SUBSTITUTE(SUBSTITUTE(AB202,"P",""),"I",""),"V",""),"B","") &amp; IF(COUNTIF(AB202, "*"&amp;'ARDT Cutter Entry'!$BN$3&amp;"*"),"",IF(COUNTIF(AB202, "*"&amp;'ARDT Cutter Entry'!$BN$4&amp;"*"),"",IF(COUNTIF(AB202,"*"&amp;'ARDT Cutter Entry'!$BN$5&amp;"*"),"",IF(COUNTIF(AB202,"*"&amp;'ARDT Cutter Entry'!$BN$6&amp;"*"),"",IF(COUNTIF(AB202,"*"&amp;'ARDT Cutter Entry'!$BN$7&amp;"*"),"",Data!CQ47))))),SUBSTITUTE(SUBSTITUTE(SUBSTITUTE(SUBSTITUTE(SUBSTITUTE(SUBSTITUTE(SUBSTITUTE(SUBSTITUTE(SUBSTITUTE(AB202,'ARDT Cutter Entry'!$BN$3,""),'ARDT Cutter Entry'!$BN$4,""),'ARDT Cutter Entry'!$BN$5,""),'ARDT Cutter Entry'!$BN$6,""),'ARDT Cutter Entry'!$BN$7,""),"P",""),"I",""),"V",""),"B","")&amp;Data!CQ47),IF(AND(Data!CQ47&lt;&gt;0,Data!CQ47&lt;&gt;""),IF(AB219&lt;&gt;"",AB219,"O"),""))</f>
        <v/>
      </c>
      <c r="AC236" s="41" t="str">
        <f>IF(AC202&lt;&gt;"",IF(OR(COUNTIF(AC202,"L*"),COUNTIF(AC202, "X*")),SUBSTITUTE(SUBSTITUTE(SUBSTITUTE(SUBSTITUTE(AC202,"P",""),"I",""),"V",""),"B","") &amp; IF(COUNTIF(AC202, "*"&amp;'ARDT Cutter Entry'!$BN$3&amp;"*"),"",IF(COUNTIF(AC202, "*"&amp;'ARDT Cutter Entry'!$BN$4&amp;"*"),"",IF(COUNTIF(AC202,"*"&amp;'ARDT Cutter Entry'!$BN$5&amp;"*"),"",IF(COUNTIF(AC202,"*"&amp;'ARDT Cutter Entry'!$BN$6&amp;"*"),"",IF(COUNTIF(AC202,"*"&amp;'ARDT Cutter Entry'!$BN$7&amp;"*"),"",Data!CR47))))),SUBSTITUTE(SUBSTITUTE(SUBSTITUTE(SUBSTITUTE(SUBSTITUTE(SUBSTITUTE(SUBSTITUTE(SUBSTITUTE(SUBSTITUTE(AC202,'ARDT Cutter Entry'!$BN$3,""),'ARDT Cutter Entry'!$BN$4,""),'ARDT Cutter Entry'!$BN$5,""),'ARDT Cutter Entry'!$BN$6,""),'ARDT Cutter Entry'!$BN$7,""),"P",""),"I",""),"V",""),"B","")&amp;Data!CR47),IF(AND(Data!CR47&lt;&gt;0,Data!CR47&lt;&gt;""),IF(AC219&lt;&gt;"",AC219,"O"),""))</f>
        <v/>
      </c>
      <c r="AD236" s="41" t="str">
        <f>IF(AD202&lt;&gt;"",IF(OR(COUNTIF(AD202,"L*"),COUNTIF(AD202, "X*")),SUBSTITUTE(SUBSTITUTE(SUBSTITUTE(SUBSTITUTE(AD202,"P",""),"I",""),"V",""),"B","") &amp; IF(COUNTIF(AD202, "*"&amp;'ARDT Cutter Entry'!$BN$3&amp;"*"),"",IF(COUNTIF(AD202, "*"&amp;'ARDT Cutter Entry'!$BN$4&amp;"*"),"",IF(COUNTIF(AD202,"*"&amp;'ARDT Cutter Entry'!$BN$5&amp;"*"),"",IF(COUNTIF(AD202,"*"&amp;'ARDT Cutter Entry'!$BN$6&amp;"*"),"",IF(COUNTIF(AD202,"*"&amp;'ARDT Cutter Entry'!$BN$7&amp;"*"),"",Data!CS47))))),SUBSTITUTE(SUBSTITUTE(SUBSTITUTE(SUBSTITUTE(SUBSTITUTE(SUBSTITUTE(SUBSTITUTE(SUBSTITUTE(SUBSTITUTE(AD202,'ARDT Cutter Entry'!$BN$3,""),'ARDT Cutter Entry'!$BN$4,""),'ARDT Cutter Entry'!$BN$5,""),'ARDT Cutter Entry'!$BN$6,""),'ARDT Cutter Entry'!$BN$7,""),"P",""),"I",""),"V",""),"B","")&amp;Data!CS47),IF(AND(Data!CS47&lt;&gt;0,Data!CS47&lt;&gt;""),IF(AD219&lt;&gt;"",AD219,"O"),""))</f>
        <v/>
      </c>
      <c r="AE236" s="41" t="str">
        <f>IF(AE202&lt;&gt;"",IF(OR(COUNTIF(AE202,"L*"),COUNTIF(AE202, "X*")),SUBSTITUTE(SUBSTITUTE(SUBSTITUTE(SUBSTITUTE(AE202,"P",""),"I",""),"V",""),"B","") &amp; IF(COUNTIF(AE202, "*"&amp;'ARDT Cutter Entry'!$BN$3&amp;"*"),"",IF(COUNTIF(AE202, "*"&amp;'ARDT Cutter Entry'!$BN$4&amp;"*"),"",IF(COUNTIF(AE202,"*"&amp;'ARDT Cutter Entry'!$BN$5&amp;"*"),"",IF(COUNTIF(AE202,"*"&amp;'ARDT Cutter Entry'!$BN$6&amp;"*"),"",IF(COUNTIF(AE202,"*"&amp;'ARDT Cutter Entry'!$BN$7&amp;"*"),"",Data!CT47))))),SUBSTITUTE(SUBSTITUTE(SUBSTITUTE(SUBSTITUTE(SUBSTITUTE(SUBSTITUTE(SUBSTITUTE(SUBSTITUTE(SUBSTITUTE(AE202,'ARDT Cutter Entry'!$BN$3,""),'ARDT Cutter Entry'!$BN$4,""),'ARDT Cutter Entry'!$BN$5,""),'ARDT Cutter Entry'!$BN$6,""),'ARDT Cutter Entry'!$BN$7,""),"P",""),"I",""),"V",""),"B","")&amp;Data!CT47),IF(AND(Data!CT47&lt;&gt;0,Data!CT47&lt;&gt;""),IF(AE219&lt;&gt;"",AE219,"O"),""))</f>
        <v/>
      </c>
      <c r="AF236" s="41" t="str">
        <f>IF(AF202&lt;&gt;"",IF(OR(COUNTIF(AF202,"L*"),COUNTIF(AF202, "X*")),SUBSTITUTE(SUBSTITUTE(SUBSTITUTE(SUBSTITUTE(AF202,"P",""),"I",""),"V",""),"B","") &amp; IF(COUNTIF(AF202, "*"&amp;'ARDT Cutter Entry'!$BN$3&amp;"*"),"",IF(COUNTIF(AF202, "*"&amp;'ARDT Cutter Entry'!$BN$4&amp;"*"),"",IF(COUNTIF(AF202,"*"&amp;'ARDT Cutter Entry'!$BN$5&amp;"*"),"",IF(COUNTIF(AF202,"*"&amp;'ARDT Cutter Entry'!$BN$6&amp;"*"),"",IF(COUNTIF(AF202,"*"&amp;'ARDT Cutter Entry'!$BN$7&amp;"*"),"",Data!CU47))))),SUBSTITUTE(SUBSTITUTE(SUBSTITUTE(SUBSTITUTE(SUBSTITUTE(SUBSTITUTE(SUBSTITUTE(SUBSTITUTE(SUBSTITUTE(AF202,'ARDT Cutter Entry'!$BN$3,""),'ARDT Cutter Entry'!$BN$4,""),'ARDT Cutter Entry'!$BN$5,""),'ARDT Cutter Entry'!$BN$6,""),'ARDT Cutter Entry'!$BN$7,""),"P",""),"I",""),"V",""),"B","")&amp;Data!CU47),IF(AND(Data!CU47&lt;&gt;0,Data!CU47&lt;&gt;""),IF(AF219&lt;&gt;"",AF219,"O"),""))</f>
        <v/>
      </c>
      <c r="AG236" s="41" t="str">
        <f>IF(AG202&lt;&gt;"",IF(OR(COUNTIF(AG202,"L*"),COUNTIF(AG202, "X*")),SUBSTITUTE(SUBSTITUTE(SUBSTITUTE(SUBSTITUTE(AG202,"P",""),"I",""),"V",""),"B","") &amp; IF(COUNTIF(AG202, "*"&amp;'ARDT Cutter Entry'!$BN$3&amp;"*"),"",IF(COUNTIF(AG202, "*"&amp;'ARDT Cutter Entry'!$BN$4&amp;"*"),"",IF(COUNTIF(AG202,"*"&amp;'ARDT Cutter Entry'!$BN$5&amp;"*"),"",IF(COUNTIF(AG202,"*"&amp;'ARDT Cutter Entry'!$BN$6&amp;"*"),"",IF(COUNTIF(AG202,"*"&amp;'ARDT Cutter Entry'!$BN$7&amp;"*"),"",Data!CV47))))),SUBSTITUTE(SUBSTITUTE(SUBSTITUTE(SUBSTITUTE(SUBSTITUTE(SUBSTITUTE(SUBSTITUTE(SUBSTITUTE(SUBSTITUTE(AG202,'ARDT Cutter Entry'!$BN$3,""),'ARDT Cutter Entry'!$BN$4,""),'ARDT Cutter Entry'!$BN$5,""),'ARDT Cutter Entry'!$BN$6,""),'ARDT Cutter Entry'!$BN$7,""),"P",""),"I",""),"V",""),"B","")&amp;Data!CV47),IF(AND(Data!CV47&lt;&gt;0,Data!CV47&lt;&gt;""),IF(AG219&lt;&gt;"",AG219,"O"),""))</f>
        <v/>
      </c>
      <c r="AH236" s="41" t="str">
        <f>IF(AH202&lt;&gt;"",IF(OR(COUNTIF(AH202,"L*"),COUNTIF(AH202, "X*")),SUBSTITUTE(SUBSTITUTE(SUBSTITUTE(SUBSTITUTE(AH202,"P",""),"I",""),"V",""),"B","") &amp; IF(COUNTIF(AH202, "*"&amp;'ARDT Cutter Entry'!$BN$3&amp;"*"),"",IF(COUNTIF(AH202, "*"&amp;'ARDT Cutter Entry'!$BN$4&amp;"*"),"",IF(COUNTIF(AH202,"*"&amp;'ARDT Cutter Entry'!$BN$5&amp;"*"),"",IF(COUNTIF(AH202,"*"&amp;'ARDT Cutter Entry'!$BN$6&amp;"*"),"",IF(COUNTIF(AH202,"*"&amp;'ARDT Cutter Entry'!$BN$7&amp;"*"),"",Data!CW47))))),SUBSTITUTE(SUBSTITUTE(SUBSTITUTE(SUBSTITUTE(SUBSTITUTE(SUBSTITUTE(SUBSTITUTE(SUBSTITUTE(SUBSTITUTE(AH202,'ARDT Cutter Entry'!$BN$3,""),'ARDT Cutter Entry'!$BN$4,""),'ARDT Cutter Entry'!$BN$5,""),'ARDT Cutter Entry'!$BN$6,""),'ARDT Cutter Entry'!$BN$7,""),"P",""),"I",""),"V",""),"B","")&amp;Data!CW47),IF(AND(Data!CW47&lt;&gt;0,Data!CW47&lt;&gt;""),IF(AH219&lt;&gt;"",AH219,"O"),""))</f>
        <v/>
      </c>
      <c r="AI236" s="41" t="str">
        <f>IF(AI202&lt;&gt;"",IF(OR(COUNTIF(AI202,"L*"),COUNTIF(AI202, "X*")),SUBSTITUTE(SUBSTITUTE(SUBSTITUTE(SUBSTITUTE(AI202,"P",""),"I",""),"V",""),"B","") &amp; IF(COUNTIF(AI202, "*"&amp;'ARDT Cutter Entry'!$BN$3&amp;"*"),"",IF(COUNTIF(AI202, "*"&amp;'ARDT Cutter Entry'!$BN$4&amp;"*"),"",IF(COUNTIF(AI202,"*"&amp;'ARDT Cutter Entry'!$BN$5&amp;"*"),"",IF(COUNTIF(AI202,"*"&amp;'ARDT Cutter Entry'!$BN$6&amp;"*"),"",IF(COUNTIF(AI202,"*"&amp;'ARDT Cutter Entry'!$BN$7&amp;"*"),"",Data!CX47))))),SUBSTITUTE(SUBSTITUTE(SUBSTITUTE(SUBSTITUTE(SUBSTITUTE(SUBSTITUTE(SUBSTITUTE(SUBSTITUTE(SUBSTITUTE(AI202,'ARDT Cutter Entry'!$BN$3,""),'ARDT Cutter Entry'!$BN$4,""),'ARDT Cutter Entry'!$BN$5,""),'ARDT Cutter Entry'!$BN$6,""),'ARDT Cutter Entry'!$BN$7,""),"P",""),"I",""),"V",""),"B","")&amp;Data!CX47),IF(AND(Data!CX47&lt;&gt;0,Data!CX47&lt;&gt;""),IF(AI219&lt;&gt;"",AI219,"O"),""))</f>
        <v/>
      </c>
      <c r="AJ236" s="41" t="str">
        <f>IF(AJ202&lt;&gt;"",IF(OR(COUNTIF(AJ202,"L*"),COUNTIF(AJ202, "X*")),SUBSTITUTE(SUBSTITUTE(SUBSTITUTE(SUBSTITUTE(AJ202,"P",""),"I",""),"V",""),"B","") &amp; IF(COUNTIF(AJ202, "*"&amp;'ARDT Cutter Entry'!$BN$3&amp;"*"),"",IF(COUNTIF(AJ202, "*"&amp;'ARDT Cutter Entry'!$BN$4&amp;"*"),"",IF(COUNTIF(AJ202,"*"&amp;'ARDT Cutter Entry'!$BN$5&amp;"*"),"",IF(COUNTIF(AJ202,"*"&amp;'ARDT Cutter Entry'!$BN$6&amp;"*"),"",IF(COUNTIF(AJ202,"*"&amp;'ARDT Cutter Entry'!$BN$7&amp;"*"),"",Data!CY47))))),SUBSTITUTE(SUBSTITUTE(SUBSTITUTE(SUBSTITUTE(SUBSTITUTE(SUBSTITUTE(SUBSTITUTE(SUBSTITUTE(SUBSTITUTE(AJ202,'ARDT Cutter Entry'!$BN$3,""),'ARDT Cutter Entry'!$BN$4,""),'ARDT Cutter Entry'!$BN$5,""),'ARDT Cutter Entry'!$BN$6,""),'ARDT Cutter Entry'!$BN$7,""),"P",""),"I",""),"V",""),"B","")&amp;Data!CY47),IF(AND(Data!CY47&lt;&gt;0,Data!CY47&lt;&gt;""),IF(AJ219&lt;&gt;"",AJ219,"O"),""))</f>
        <v/>
      </c>
      <c r="AN236" s="95"/>
      <c r="AO236" s="95"/>
      <c r="AP236" s="95"/>
      <c r="AQ236" s="95"/>
      <c r="AR236" s="95"/>
      <c r="AS236" s="95"/>
      <c r="AT236" s="95"/>
      <c r="AU236" s="95"/>
      <c r="AV236" s="95"/>
      <c r="AW236" s="95"/>
      <c r="AX236" s="95"/>
      <c r="AY236" s="95"/>
      <c r="AZ236" s="95"/>
      <c r="BA236" s="95"/>
      <c r="BB236" s="95"/>
    </row>
    <row r="237" spans="1:54" s="9" customFormat="1" ht="23.25" customHeight="1" x14ac:dyDescent="0.35">
      <c r="A237" s="1196"/>
      <c r="B237" s="22">
        <v>3</v>
      </c>
      <c r="C237" s="41" t="str">
        <f>IF(C203&lt;&gt;"",IF(OR(COUNTIF(C203,"L*"),COUNTIF(C203, "X*")),SUBSTITUTE(SUBSTITUTE(SUBSTITUTE(SUBSTITUTE(C203,"P",""),"I",""),"V",""),"B","") &amp; IF(COUNTIF(C203, "*"&amp;'ARDT Cutter Entry'!$BN$3&amp;"*"),"",IF(COUNTIF(C203, "*"&amp;'ARDT Cutter Entry'!$BN$4&amp;"*"),"",IF(COUNTIF(C203,"*"&amp;'ARDT Cutter Entry'!$BN$5&amp;"*"),"",IF(COUNTIF(C203,"*"&amp;'ARDT Cutter Entry'!$BN$6&amp;"*"),"",IF(COUNTIF(C203,"*"&amp;'ARDT Cutter Entry'!$BN$7&amp;"*"),"",Data!BR48))))),SUBSTITUTE(SUBSTITUTE(SUBSTITUTE(SUBSTITUTE(SUBSTITUTE(SUBSTITUTE(SUBSTITUTE(SUBSTITUTE(SUBSTITUTE(C203,'ARDT Cutter Entry'!$BN$3,""),'ARDT Cutter Entry'!$BN$4,""),'ARDT Cutter Entry'!$BN$5,""),'ARDT Cutter Entry'!$BN$6,""),'ARDT Cutter Entry'!$BN$7,""),"P",""),"I",""),"V",""),"B","")&amp;Data!BR48),IF(AND(Data!BR48&lt;&gt;0,Data!BR48&lt;&gt;""),IF(C220&lt;&gt;"",C220,"O"),""))</f>
        <v>O</v>
      </c>
      <c r="D237" s="41" t="str">
        <f>IF(D203&lt;&gt;"",IF(OR(COUNTIF(D203,"L*"),COUNTIF(D203, "X*")),SUBSTITUTE(SUBSTITUTE(SUBSTITUTE(SUBSTITUTE(D203,"P",""),"I",""),"V",""),"B","") &amp; IF(COUNTIF(D203, "*"&amp;'ARDT Cutter Entry'!$BN$3&amp;"*"),"",IF(COUNTIF(D203, "*"&amp;'ARDT Cutter Entry'!$BN$4&amp;"*"),"",IF(COUNTIF(D203,"*"&amp;'ARDT Cutter Entry'!$BN$5&amp;"*"),"",IF(COUNTIF(D203,"*"&amp;'ARDT Cutter Entry'!$BN$6&amp;"*"),"",IF(COUNTIF(D203,"*"&amp;'ARDT Cutter Entry'!$BN$7&amp;"*"),"",Data!BS48))))),SUBSTITUTE(SUBSTITUTE(SUBSTITUTE(SUBSTITUTE(SUBSTITUTE(SUBSTITUTE(SUBSTITUTE(SUBSTITUTE(SUBSTITUTE(D203,'ARDT Cutter Entry'!$BN$3,""),'ARDT Cutter Entry'!$BN$4,""),'ARDT Cutter Entry'!$BN$5,""),'ARDT Cutter Entry'!$BN$6,""),'ARDT Cutter Entry'!$BN$7,""),"P",""),"I",""),"V",""),"B","")&amp;Data!BS48),IF(AND(Data!BS48&lt;&gt;0,Data!BS48&lt;&gt;""),IF(D220&lt;&gt;"",D220,"O"),""))</f>
        <v>O</v>
      </c>
      <c r="E237" s="41" t="str">
        <f>IF(E203&lt;&gt;"",IF(OR(COUNTIF(E203,"L*"),COUNTIF(E203, "X*")),SUBSTITUTE(SUBSTITUTE(SUBSTITUTE(SUBSTITUTE(E203,"P",""),"I",""),"V",""),"B","") &amp; IF(COUNTIF(E203, "*"&amp;'ARDT Cutter Entry'!$BN$3&amp;"*"),"",IF(COUNTIF(E203, "*"&amp;'ARDT Cutter Entry'!$BN$4&amp;"*"),"",IF(COUNTIF(E203,"*"&amp;'ARDT Cutter Entry'!$BN$5&amp;"*"),"",IF(COUNTIF(E203,"*"&amp;'ARDT Cutter Entry'!$BN$6&amp;"*"),"",IF(COUNTIF(E203,"*"&amp;'ARDT Cutter Entry'!$BN$7&amp;"*"),"",Data!BT48))))),SUBSTITUTE(SUBSTITUTE(SUBSTITUTE(SUBSTITUTE(SUBSTITUTE(SUBSTITUTE(SUBSTITUTE(SUBSTITUTE(SUBSTITUTE(E203,'ARDT Cutter Entry'!$BN$3,""),'ARDT Cutter Entry'!$BN$4,""),'ARDT Cutter Entry'!$BN$5,""),'ARDT Cutter Entry'!$BN$6,""),'ARDT Cutter Entry'!$BN$7,""),"P",""),"I",""),"V",""),"B","")&amp;Data!BT48),IF(AND(Data!BT48&lt;&gt;0,Data!BT48&lt;&gt;""),IF(E220&lt;&gt;"",E220,"O"),""))</f>
        <v>O</v>
      </c>
      <c r="F237" s="41" t="str">
        <f>IF(F203&lt;&gt;"",IF(OR(COUNTIF(F203,"L*"),COUNTIF(F203, "X*")),SUBSTITUTE(SUBSTITUTE(SUBSTITUTE(SUBSTITUTE(F203,"P",""),"I",""),"V",""),"B","") &amp; IF(COUNTIF(F203, "*"&amp;'ARDT Cutter Entry'!$BN$3&amp;"*"),"",IF(COUNTIF(F203, "*"&amp;'ARDT Cutter Entry'!$BN$4&amp;"*"),"",IF(COUNTIF(F203,"*"&amp;'ARDT Cutter Entry'!$BN$5&amp;"*"),"",IF(COUNTIF(F203,"*"&amp;'ARDT Cutter Entry'!$BN$6&amp;"*"),"",IF(COUNTIF(F203,"*"&amp;'ARDT Cutter Entry'!$BN$7&amp;"*"),"",Data!BU48))))),SUBSTITUTE(SUBSTITUTE(SUBSTITUTE(SUBSTITUTE(SUBSTITUTE(SUBSTITUTE(SUBSTITUTE(SUBSTITUTE(SUBSTITUTE(F203,'ARDT Cutter Entry'!$BN$3,""),'ARDT Cutter Entry'!$BN$4,""),'ARDT Cutter Entry'!$BN$5,""),'ARDT Cutter Entry'!$BN$6,""),'ARDT Cutter Entry'!$BN$7,""),"P",""),"I",""),"V",""),"B","")&amp;Data!BU48),IF(AND(Data!BU48&lt;&gt;0,Data!BU48&lt;&gt;""),IF(F220&lt;&gt;"",F220,"O"),""))</f>
        <v>O</v>
      </c>
      <c r="G237" s="41" t="str">
        <f>IF(G203&lt;&gt;"",IF(OR(COUNTIF(G203,"L*"),COUNTIF(G203, "X*")),SUBSTITUTE(SUBSTITUTE(SUBSTITUTE(SUBSTITUTE(G203,"P",""),"I",""),"V",""),"B","") &amp; IF(COUNTIF(G203, "*"&amp;'ARDT Cutter Entry'!$BN$3&amp;"*"),"",IF(COUNTIF(G203, "*"&amp;'ARDT Cutter Entry'!$BN$4&amp;"*"),"",IF(COUNTIF(G203,"*"&amp;'ARDT Cutter Entry'!$BN$5&amp;"*"),"",IF(COUNTIF(G203,"*"&amp;'ARDT Cutter Entry'!$BN$6&amp;"*"),"",IF(COUNTIF(G203,"*"&amp;'ARDT Cutter Entry'!$BN$7&amp;"*"),"",Data!BV48))))),SUBSTITUTE(SUBSTITUTE(SUBSTITUTE(SUBSTITUTE(SUBSTITUTE(SUBSTITUTE(SUBSTITUTE(SUBSTITUTE(SUBSTITUTE(G203,'ARDT Cutter Entry'!$BN$3,""),'ARDT Cutter Entry'!$BN$4,""),'ARDT Cutter Entry'!$BN$5,""),'ARDT Cutter Entry'!$BN$6,""),'ARDT Cutter Entry'!$BN$7,""),"P",""),"I",""),"V",""),"B","")&amp;Data!BV48),IF(AND(Data!BV48&lt;&gt;0,Data!BV48&lt;&gt;""),IF(G220&lt;&gt;"",G220,"O"),""))</f>
        <v>O</v>
      </c>
      <c r="H237" s="41" t="str">
        <f>IF(H203&lt;&gt;"",IF(OR(COUNTIF(H203,"L*"),COUNTIF(H203, "X*")),SUBSTITUTE(SUBSTITUTE(SUBSTITUTE(SUBSTITUTE(H203,"P",""),"I",""),"V",""),"B","") &amp; IF(COUNTIF(H203, "*"&amp;'ARDT Cutter Entry'!$BN$3&amp;"*"),"",IF(COUNTIF(H203, "*"&amp;'ARDT Cutter Entry'!$BN$4&amp;"*"),"",IF(COUNTIF(H203,"*"&amp;'ARDT Cutter Entry'!$BN$5&amp;"*"),"",IF(COUNTIF(H203,"*"&amp;'ARDT Cutter Entry'!$BN$6&amp;"*"),"",IF(COUNTIF(H203,"*"&amp;'ARDT Cutter Entry'!$BN$7&amp;"*"),"",Data!BW48))))),SUBSTITUTE(SUBSTITUTE(SUBSTITUTE(SUBSTITUTE(SUBSTITUTE(SUBSTITUTE(SUBSTITUTE(SUBSTITUTE(SUBSTITUTE(H203,'ARDT Cutter Entry'!$BN$3,""),'ARDT Cutter Entry'!$BN$4,""),'ARDT Cutter Entry'!$BN$5,""),'ARDT Cutter Entry'!$BN$6,""),'ARDT Cutter Entry'!$BN$7,""),"P",""),"I",""),"V",""),"B","")&amp;Data!BW48),IF(AND(Data!BW48&lt;&gt;0,Data!BW48&lt;&gt;""),IF(H220&lt;&gt;"",H220,"O"),""))</f>
        <v>O</v>
      </c>
      <c r="I237" s="41" t="str">
        <f>IF(I203&lt;&gt;"",IF(OR(COUNTIF(I203,"L*"),COUNTIF(I203, "X*")),SUBSTITUTE(SUBSTITUTE(SUBSTITUTE(SUBSTITUTE(I203,"P",""),"I",""),"V",""),"B","") &amp; IF(COUNTIF(I203, "*"&amp;'ARDT Cutter Entry'!$BN$3&amp;"*"),"",IF(COUNTIF(I203, "*"&amp;'ARDT Cutter Entry'!$BN$4&amp;"*"),"",IF(COUNTIF(I203,"*"&amp;'ARDT Cutter Entry'!$BN$5&amp;"*"),"",IF(COUNTIF(I203,"*"&amp;'ARDT Cutter Entry'!$BN$6&amp;"*"),"",IF(COUNTIF(I203,"*"&amp;'ARDT Cutter Entry'!$BN$7&amp;"*"),"",Data!BX48))))),SUBSTITUTE(SUBSTITUTE(SUBSTITUTE(SUBSTITUTE(SUBSTITUTE(SUBSTITUTE(SUBSTITUTE(SUBSTITUTE(SUBSTITUTE(I203,'ARDT Cutter Entry'!$BN$3,""),'ARDT Cutter Entry'!$BN$4,""),'ARDT Cutter Entry'!$BN$5,""),'ARDT Cutter Entry'!$BN$6,""),'ARDT Cutter Entry'!$BN$7,""),"P",""),"I",""),"V",""),"B","")&amp;Data!BX48),IF(AND(Data!BX48&lt;&gt;0,Data!BX48&lt;&gt;""),IF(I220&lt;&gt;"",I220,"O"),""))</f>
        <v>O</v>
      </c>
      <c r="J237" s="41" t="str">
        <f>IF(J203&lt;&gt;"",IF(OR(COUNTIF(J203,"L*"),COUNTIF(J203, "X*")),SUBSTITUTE(SUBSTITUTE(SUBSTITUTE(SUBSTITUTE(J203,"P",""),"I",""),"V",""),"B","") &amp; IF(COUNTIF(J203, "*"&amp;'ARDT Cutter Entry'!$BN$3&amp;"*"),"",IF(COUNTIF(J203, "*"&amp;'ARDT Cutter Entry'!$BN$4&amp;"*"),"",IF(COUNTIF(J203,"*"&amp;'ARDT Cutter Entry'!$BN$5&amp;"*"),"",IF(COUNTIF(J203,"*"&amp;'ARDT Cutter Entry'!$BN$6&amp;"*"),"",IF(COUNTIF(J203,"*"&amp;'ARDT Cutter Entry'!$BN$7&amp;"*"),"",Data!BY48))))),SUBSTITUTE(SUBSTITUTE(SUBSTITUTE(SUBSTITUTE(SUBSTITUTE(SUBSTITUTE(SUBSTITUTE(SUBSTITUTE(SUBSTITUTE(J203,'ARDT Cutter Entry'!$BN$3,""),'ARDT Cutter Entry'!$BN$4,""),'ARDT Cutter Entry'!$BN$5,""),'ARDT Cutter Entry'!$BN$6,""),'ARDT Cutter Entry'!$BN$7,""),"P",""),"I",""),"V",""),"B","")&amp;Data!BY48),IF(AND(Data!BY48&lt;&gt;0,Data!BY48&lt;&gt;""),IF(J220&lt;&gt;"",J220,"O"),""))</f>
        <v/>
      </c>
      <c r="K237" s="41" t="str">
        <f>IF(K203&lt;&gt;"",IF(OR(COUNTIF(K203,"L*"),COUNTIF(K203, "X*")),SUBSTITUTE(SUBSTITUTE(SUBSTITUTE(SUBSTITUTE(K203,"P",""),"I",""),"V",""),"B","") &amp; IF(COUNTIF(K203, "*"&amp;'ARDT Cutter Entry'!$BN$3&amp;"*"),"",IF(COUNTIF(K203, "*"&amp;'ARDT Cutter Entry'!$BN$4&amp;"*"),"",IF(COUNTIF(K203,"*"&amp;'ARDT Cutter Entry'!$BN$5&amp;"*"),"",IF(COUNTIF(K203,"*"&amp;'ARDT Cutter Entry'!$BN$6&amp;"*"),"",IF(COUNTIF(K203,"*"&amp;'ARDT Cutter Entry'!$BN$7&amp;"*"),"",Data!BZ48))))),SUBSTITUTE(SUBSTITUTE(SUBSTITUTE(SUBSTITUTE(SUBSTITUTE(SUBSTITUTE(SUBSTITUTE(SUBSTITUTE(SUBSTITUTE(K203,'ARDT Cutter Entry'!$BN$3,""),'ARDT Cutter Entry'!$BN$4,""),'ARDT Cutter Entry'!$BN$5,""),'ARDT Cutter Entry'!$BN$6,""),'ARDT Cutter Entry'!$BN$7,""),"P",""),"I",""),"V",""),"B","")&amp;Data!BZ48),IF(AND(Data!BZ48&lt;&gt;0,Data!BZ48&lt;&gt;""),IF(K220&lt;&gt;"",K220,"O"),""))</f>
        <v/>
      </c>
      <c r="L237" s="41" t="str">
        <f>IF(L203&lt;&gt;"",IF(OR(COUNTIF(L203,"L*"),COUNTIF(L203, "X*")),SUBSTITUTE(SUBSTITUTE(SUBSTITUTE(SUBSTITUTE(L203,"P",""),"I",""),"V",""),"B","") &amp; IF(COUNTIF(L203, "*"&amp;'ARDT Cutter Entry'!$BN$3&amp;"*"),"",IF(COUNTIF(L203, "*"&amp;'ARDT Cutter Entry'!$BN$4&amp;"*"),"",IF(COUNTIF(L203,"*"&amp;'ARDT Cutter Entry'!$BN$5&amp;"*"),"",IF(COUNTIF(L203,"*"&amp;'ARDT Cutter Entry'!$BN$6&amp;"*"),"",IF(COUNTIF(L203,"*"&amp;'ARDT Cutter Entry'!$BN$7&amp;"*"),"",Data!CA48))))),SUBSTITUTE(SUBSTITUTE(SUBSTITUTE(SUBSTITUTE(SUBSTITUTE(SUBSTITUTE(SUBSTITUTE(SUBSTITUTE(SUBSTITUTE(L203,'ARDT Cutter Entry'!$BN$3,""),'ARDT Cutter Entry'!$BN$4,""),'ARDT Cutter Entry'!$BN$5,""),'ARDT Cutter Entry'!$BN$6,""),'ARDT Cutter Entry'!$BN$7,""),"P",""),"I",""),"V",""),"B","")&amp;Data!CA48),IF(AND(Data!CA48&lt;&gt;0,Data!CA48&lt;&gt;""),IF(L220&lt;&gt;"",L220,"O"),""))</f>
        <v>O</v>
      </c>
      <c r="M237" s="41" t="str">
        <f>IF(M203&lt;&gt;"",IF(OR(COUNTIF(M203,"L*"),COUNTIF(M203, "X*")),SUBSTITUTE(SUBSTITUTE(SUBSTITUTE(SUBSTITUTE(M203,"P",""),"I",""),"V",""),"B","") &amp; IF(COUNTIF(M203, "*"&amp;'ARDT Cutter Entry'!$BN$3&amp;"*"),"",IF(COUNTIF(M203, "*"&amp;'ARDT Cutter Entry'!$BN$4&amp;"*"),"",IF(COUNTIF(M203,"*"&amp;'ARDT Cutter Entry'!$BN$5&amp;"*"),"",IF(COUNTIF(M203,"*"&amp;'ARDT Cutter Entry'!$BN$6&amp;"*"),"",IF(COUNTIF(M203,"*"&amp;'ARDT Cutter Entry'!$BN$7&amp;"*"),"",Data!CB48))))),SUBSTITUTE(SUBSTITUTE(SUBSTITUTE(SUBSTITUTE(SUBSTITUTE(SUBSTITUTE(SUBSTITUTE(SUBSTITUTE(SUBSTITUTE(M203,'ARDT Cutter Entry'!$BN$3,""),'ARDT Cutter Entry'!$BN$4,""),'ARDT Cutter Entry'!$BN$5,""),'ARDT Cutter Entry'!$BN$6,""),'ARDT Cutter Entry'!$BN$7,""),"P",""),"I",""),"V",""),"B","")&amp;Data!CB48),IF(AND(Data!CB48&lt;&gt;0,Data!CB48&lt;&gt;""),IF(M220&lt;&gt;"",M220,"O"),""))</f>
        <v>O</v>
      </c>
      <c r="N237" s="41" t="str">
        <f>IF(N203&lt;&gt;"",IF(OR(COUNTIF(N203,"L*"),COUNTIF(N203, "X*")),SUBSTITUTE(SUBSTITUTE(SUBSTITUTE(SUBSTITUTE(N203,"P",""),"I",""),"V",""),"B","") &amp; IF(COUNTIF(N203, "*"&amp;'ARDT Cutter Entry'!$BN$3&amp;"*"),"",IF(COUNTIF(N203, "*"&amp;'ARDT Cutter Entry'!$BN$4&amp;"*"),"",IF(COUNTIF(N203,"*"&amp;'ARDT Cutter Entry'!$BN$5&amp;"*"),"",IF(COUNTIF(N203,"*"&amp;'ARDT Cutter Entry'!$BN$6&amp;"*"),"",IF(COUNTIF(N203,"*"&amp;'ARDT Cutter Entry'!$BN$7&amp;"*"),"",Data!CC48))))),SUBSTITUTE(SUBSTITUTE(SUBSTITUTE(SUBSTITUTE(SUBSTITUTE(SUBSTITUTE(SUBSTITUTE(SUBSTITUTE(SUBSTITUTE(N203,'ARDT Cutter Entry'!$BN$3,""),'ARDT Cutter Entry'!$BN$4,""),'ARDT Cutter Entry'!$BN$5,""),'ARDT Cutter Entry'!$BN$6,""),'ARDT Cutter Entry'!$BN$7,""),"P",""),"I",""),"V",""),"B","")&amp;Data!CC48),IF(AND(Data!CC48&lt;&gt;0,Data!CC48&lt;&gt;""),IF(N220&lt;&gt;"",N220,"O"),""))</f>
        <v>O</v>
      </c>
      <c r="O237" s="41" t="str">
        <f>IF(O203&lt;&gt;"",IF(OR(COUNTIF(O203,"L*"),COUNTIF(O203, "X*")),SUBSTITUTE(SUBSTITUTE(SUBSTITUTE(SUBSTITUTE(O203,"P",""),"I",""),"V",""),"B","") &amp; IF(COUNTIF(O203, "*"&amp;'ARDT Cutter Entry'!$BN$3&amp;"*"),"",IF(COUNTIF(O203, "*"&amp;'ARDT Cutter Entry'!$BN$4&amp;"*"),"",IF(COUNTIF(O203,"*"&amp;'ARDT Cutter Entry'!$BN$5&amp;"*"),"",IF(COUNTIF(O203,"*"&amp;'ARDT Cutter Entry'!$BN$6&amp;"*"),"",IF(COUNTIF(O203,"*"&amp;'ARDT Cutter Entry'!$BN$7&amp;"*"),"",Data!CD48))))),SUBSTITUTE(SUBSTITUTE(SUBSTITUTE(SUBSTITUTE(SUBSTITUTE(SUBSTITUTE(SUBSTITUTE(SUBSTITUTE(SUBSTITUTE(O203,'ARDT Cutter Entry'!$BN$3,""),'ARDT Cutter Entry'!$BN$4,""),'ARDT Cutter Entry'!$BN$5,""),'ARDT Cutter Entry'!$BN$6,""),'ARDT Cutter Entry'!$BN$7,""),"P",""),"I",""),"V",""),"B","")&amp;Data!CD48),IF(AND(Data!CD48&lt;&gt;0,Data!CD48&lt;&gt;""),IF(O220&lt;&gt;"",O220,"O"),""))</f>
        <v/>
      </c>
      <c r="P237" s="41" t="str">
        <f>IF(P203&lt;&gt;"",IF(OR(COUNTIF(P203,"L*"),COUNTIF(P203, "X*")),SUBSTITUTE(SUBSTITUTE(SUBSTITUTE(SUBSTITUTE(P203,"P",""),"I",""),"V",""),"B","") &amp; IF(COUNTIF(P203, "*"&amp;'ARDT Cutter Entry'!$BN$3&amp;"*"),"",IF(COUNTIF(P203, "*"&amp;'ARDT Cutter Entry'!$BN$4&amp;"*"),"",IF(COUNTIF(P203,"*"&amp;'ARDT Cutter Entry'!$BN$5&amp;"*"),"",IF(COUNTIF(P203,"*"&amp;'ARDT Cutter Entry'!$BN$6&amp;"*"),"",IF(COUNTIF(P203,"*"&amp;'ARDT Cutter Entry'!$BN$7&amp;"*"),"",Data!CE48))))),SUBSTITUTE(SUBSTITUTE(SUBSTITUTE(SUBSTITUTE(SUBSTITUTE(SUBSTITUTE(SUBSTITUTE(SUBSTITUTE(SUBSTITUTE(P203,'ARDT Cutter Entry'!$BN$3,""),'ARDT Cutter Entry'!$BN$4,""),'ARDT Cutter Entry'!$BN$5,""),'ARDT Cutter Entry'!$BN$6,""),'ARDT Cutter Entry'!$BN$7,""),"P",""),"I",""),"V",""),"B","")&amp;Data!CE48),IF(AND(Data!CE48&lt;&gt;0,Data!CE48&lt;&gt;""),IF(P220&lt;&gt;"",P220,"O"),""))</f>
        <v/>
      </c>
      <c r="Q237" s="41" t="str">
        <f>IF(Q203&lt;&gt;"",IF(OR(COUNTIF(Q203,"L*"),COUNTIF(Q203, "X*")),SUBSTITUTE(SUBSTITUTE(SUBSTITUTE(SUBSTITUTE(Q203,"P",""),"I",""),"V",""),"B","") &amp; IF(COUNTIF(Q203, "*"&amp;'ARDT Cutter Entry'!$BN$3&amp;"*"),"",IF(COUNTIF(Q203, "*"&amp;'ARDT Cutter Entry'!$BN$4&amp;"*"),"",IF(COUNTIF(Q203,"*"&amp;'ARDT Cutter Entry'!$BN$5&amp;"*"),"",IF(COUNTIF(Q203,"*"&amp;'ARDT Cutter Entry'!$BN$6&amp;"*"),"",IF(COUNTIF(Q203,"*"&amp;'ARDT Cutter Entry'!$BN$7&amp;"*"),"",Data!CF48))))),SUBSTITUTE(SUBSTITUTE(SUBSTITUTE(SUBSTITUTE(SUBSTITUTE(SUBSTITUTE(SUBSTITUTE(SUBSTITUTE(SUBSTITUTE(Q203,'ARDT Cutter Entry'!$BN$3,""),'ARDT Cutter Entry'!$BN$4,""),'ARDT Cutter Entry'!$BN$5,""),'ARDT Cutter Entry'!$BN$6,""),'ARDT Cutter Entry'!$BN$7,""),"P",""),"I",""),"V",""),"B","")&amp;Data!CF48),IF(AND(Data!CF48&lt;&gt;0,Data!CF48&lt;&gt;""),IF(Q220&lt;&gt;"",Q220,"O"),""))</f>
        <v/>
      </c>
      <c r="R237" s="41" t="str">
        <f>IF(R203&lt;&gt;"",IF(OR(COUNTIF(R203,"L*"),COUNTIF(R203, "X*")),SUBSTITUTE(SUBSTITUTE(SUBSTITUTE(SUBSTITUTE(R203,"P",""),"I",""),"V",""),"B","") &amp; IF(COUNTIF(R203, "*"&amp;'ARDT Cutter Entry'!$BN$3&amp;"*"),"",IF(COUNTIF(R203, "*"&amp;'ARDT Cutter Entry'!$BN$4&amp;"*"),"",IF(COUNTIF(R203,"*"&amp;'ARDT Cutter Entry'!$BN$5&amp;"*"),"",IF(COUNTIF(R203,"*"&amp;'ARDT Cutter Entry'!$BN$6&amp;"*"),"",IF(COUNTIF(R203,"*"&amp;'ARDT Cutter Entry'!$BN$7&amp;"*"),"",Data!CG48))))),SUBSTITUTE(SUBSTITUTE(SUBSTITUTE(SUBSTITUTE(SUBSTITUTE(SUBSTITUTE(SUBSTITUTE(SUBSTITUTE(SUBSTITUTE(R203,'ARDT Cutter Entry'!$BN$3,""),'ARDT Cutter Entry'!$BN$4,""),'ARDT Cutter Entry'!$BN$5,""),'ARDT Cutter Entry'!$BN$6,""),'ARDT Cutter Entry'!$BN$7,""),"P",""),"I",""),"V",""),"B","")&amp;Data!CG48),IF(AND(Data!CG48&lt;&gt;0,Data!CG48&lt;&gt;""),IF(R220&lt;&gt;"",R220,"O"),""))</f>
        <v/>
      </c>
      <c r="S237" s="41" t="str">
        <f>IF(S203&lt;&gt;"",IF(OR(COUNTIF(S203,"L*"),COUNTIF(S203, "X*")),SUBSTITUTE(SUBSTITUTE(SUBSTITUTE(SUBSTITUTE(S203,"P",""),"I",""),"V",""),"B","") &amp; IF(COUNTIF(S203, "*"&amp;'ARDT Cutter Entry'!$BN$3&amp;"*"),"",IF(COUNTIF(S203, "*"&amp;'ARDT Cutter Entry'!$BN$4&amp;"*"),"",IF(COUNTIF(S203,"*"&amp;'ARDT Cutter Entry'!$BN$5&amp;"*"),"",IF(COUNTIF(S203,"*"&amp;'ARDT Cutter Entry'!$BN$6&amp;"*"),"",IF(COUNTIF(S203,"*"&amp;'ARDT Cutter Entry'!$BN$7&amp;"*"),"",Data!CH48))))),SUBSTITUTE(SUBSTITUTE(SUBSTITUTE(SUBSTITUTE(SUBSTITUTE(SUBSTITUTE(SUBSTITUTE(SUBSTITUTE(SUBSTITUTE(S203,'ARDT Cutter Entry'!$BN$3,""),'ARDT Cutter Entry'!$BN$4,""),'ARDT Cutter Entry'!$BN$5,""),'ARDT Cutter Entry'!$BN$6,""),'ARDT Cutter Entry'!$BN$7,""),"P",""),"I",""),"V",""),"B","")&amp;Data!CH48),IF(AND(Data!CH48&lt;&gt;0,Data!CH48&lt;&gt;""),IF(S220&lt;&gt;"",S220,"O"),""))</f>
        <v/>
      </c>
      <c r="T237" s="41" t="str">
        <f>IF(T203&lt;&gt;"",IF(OR(COUNTIF(T203,"L*"),COUNTIF(T203, "X*")),SUBSTITUTE(SUBSTITUTE(SUBSTITUTE(SUBSTITUTE(T203,"P",""),"I",""),"V",""),"B","") &amp; IF(COUNTIF(T203, "*"&amp;'ARDT Cutter Entry'!$BN$3&amp;"*"),"",IF(COUNTIF(T203, "*"&amp;'ARDT Cutter Entry'!$BN$4&amp;"*"),"",IF(COUNTIF(T203,"*"&amp;'ARDT Cutter Entry'!$BN$5&amp;"*"),"",IF(COUNTIF(T203,"*"&amp;'ARDT Cutter Entry'!$BN$6&amp;"*"),"",IF(COUNTIF(T203,"*"&amp;'ARDT Cutter Entry'!$BN$7&amp;"*"),"",Data!CI48))))),SUBSTITUTE(SUBSTITUTE(SUBSTITUTE(SUBSTITUTE(SUBSTITUTE(SUBSTITUTE(SUBSTITUTE(SUBSTITUTE(SUBSTITUTE(T203,'ARDT Cutter Entry'!$BN$3,""),'ARDT Cutter Entry'!$BN$4,""),'ARDT Cutter Entry'!$BN$5,""),'ARDT Cutter Entry'!$BN$6,""),'ARDT Cutter Entry'!$BN$7,""),"P",""),"I",""),"V",""),"B","")&amp;Data!CI48),IF(AND(Data!CI48&lt;&gt;0,Data!CI48&lt;&gt;""),IF(T220&lt;&gt;"",T220,"O"),""))</f>
        <v/>
      </c>
      <c r="U237" s="41" t="str">
        <f>IF(U203&lt;&gt;"",IF(OR(COUNTIF(U203,"L*"),COUNTIF(U203, "X*")),SUBSTITUTE(SUBSTITUTE(SUBSTITUTE(SUBSTITUTE(U203,"P",""),"I",""),"V",""),"B","") &amp; IF(COUNTIF(U203, "*"&amp;'ARDT Cutter Entry'!$BN$3&amp;"*"),"",IF(COUNTIF(U203, "*"&amp;'ARDT Cutter Entry'!$BN$4&amp;"*"),"",IF(COUNTIF(U203,"*"&amp;'ARDT Cutter Entry'!$BN$5&amp;"*"),"",IF(COUNTIF(U203,"*"&amp;'ARDT Cutter Entry'!$BN$6&amp;"*"),"",IF(COUNTIF(U203,"*"&amp;'ARDT Cutter Entry'!$BN$7&amp;"*"),"",Data!CJ48))))),SUBSTITUTE(SUBSTITUTE(SUBSTITUTE(SUBSTITUTE(SUBSTITUTE(SUBSTITUTE(SUBSTITUTE(SUBSTITUTE(SUBSTITUTE(U203,'ARDT Cutter Entry'!$BN$3,""),'ARDT Cutter Entry'!$BN$4,""),'ARDT Cutter Entry'!$BN$5,""),'ARDT Cutter Entry'!$BN$6,""),'ARDT Cutter Entry'!$BN$7,""),"P",""),"I",""),"V",""),"B","")&amp;Data!CJ48),IF(AND(Data!CJ48&lt;&gt;0,Data!CJ48&lt;&gt;""),IF(U220&lt;&gt;"",U220,"O"),""))</f>
        <v/>
      </c>
      <c r="V237" s="41" t="str">
        <f>IF(V203&lt;&gt;"",IF(OR(COUNTIF(V203,"L*"),COUNTIF(V203, "X*")),SUBSTITUTE(SUBSTITUTE(SUBSTITUTE(SUBSTITUTE(V203,"P",""),"I",""),"V",""),"B","") &amp; IF(COUNTIF(V203, "*"&amp;'ARDT Cutter Entry'!$BN$3&amp;"*"),"",IF(COUNTIF(V203, "*"&amp;'ARDT Cutter Entry'!$BN$4&amp;"*"),"",IF(COUNTIF(V203,"*"&amp;'ARDT Cutter Entry'!$BN$5&amp;"*"),"",IF(COUNTIF(V203,"*"&amp;'ARDT Cutter Entry'!$BN$6&amp;"*"),"",IF(COUNTIF(V203,"*"&amp;'ARDT Cutter Entry'!$BN$7&amp;"*"),"",Data!CK48))))),SUBSTITUTE(SUBSTITUTE(SUBSTITUTE(SUBSTITUTE(SUBSTITUTE(SUBSTITUTE(SUBSTITUTE(SUBSTITUTE(SUBSTITUTE(V203,'ARDT Cutter Entry'!$BN$3,""),'ARDT Cutter Entry'!$BN$4,""),'ARDT Cutter Entry'!$BN$5,""),'ARDT Cutter Entry'!$BN$6,""),'ARDT Cutter Entry'!$BN$7,""),"P",""),"I",""),"V",""),"B","")&amp;Data!CK48),IF(AND(Data!CK48&lt;&gt;0,Data!CK48&lt;&gt;""),IF(V220&lt;&gt;"",V220,"O"),""))</f>
        <v/>
      </c>
      <c r="W237" s="41" t="str">
        <f>IF(W203&lt;&gt;"",IF(OR(COUNTIF(W203,"L*"),COUNTIF(W203, "X*")),SUBSTITUTE(SUBSTITUTE(SUBSTITUTE(SUBSTITUTE(W203,"P",""),"I",""),"V",""),"B","") &amp; IF(COUNTIF(W203, "*"&amp;'ARDT Cutter Entry'!$BN$3&amp;"*"),"",IF(COUNTIF(W203, "*"&amp;'ARDT Cutter Entry'!$BN$4&amp;"*"),"",IF(COUNTIF(W203,"*"&amp;'ARDT Cutter Entry'!$BN$5&amp;"*"),"",IF(COUNTIF(W203,"*"&amp;'ARDT Cutter Entry'!$BN$6&amp;"*"),"",IF(COUNTIF(W203,"*"&amp;'ARDT Cutter Entry'!$BN$7&amp;"*"),"",Data!CL48))))),SUBSTITUTE(SUBSTITUTE(SUBSTITUTE(SUBSTITUTE(SUBSTITUTE(SUBSTITUTE(SUBSTITUTE(SUBSTITUTE(SUBSTITUTE(W203,'ARDT Cutter Entry'!$BN$3,""),'ARDT Cutter Entry'!$BN$4,""),'ARDT Cutter Entry'!$BN$5,""),'ARDT Cutter Entry'!$BN$6,""),'ARDT Cutter Entry'!$BN$7,""),"P",""),"I",""),"V",""),"B","")&amp;Data!CL48),IF(AND(Data!CL48&lt;&gt;0,Data!CL48&lt;&gt;""),IF(W220&lt;&gt;"",W220,"O"),""))</f>
        <v/>
      </c>
      <c r="X237" s="41" t="str">
        <f>IF(X203&lt;&gt;"",IF(OR(COUNTIF(X203,"L*"),COUNTIF(X203, "X*")),SUBSTITUTE(SUBSTITUTE(SUBSTITUTE(SUBSTITUTE(X203,"P",""),"I",""),"V",""),"B","") &amp; IF(COUNTIF(X203, "*"&amp;'ARDT Cutter Entry'!$BN$3&amp;"*"),"",IF(COUNTIF(X203, "*"&amp;'ARDT Cutter Entry'!$BN$4&amp;"*"),"",IF(COUNTIF(X203,"*"&amp;'ARDT Cutter Entry'!$BN$5&amp;"*"),"",IF(COUNTIF(X203,"*"&amp;'ARDT Cutter Entry'!$BN$6&amp;"*"),"",IF(COUNTIF(X203,"*"&amp;'ARDT Cutter Entry'!$BN$7&amp;"*"),"",Data!CM48))))),SUBSTITUTE(SUBSTITUTE(SUBSTITUTE(SUBSTITUTE(SUBSTITUTE(SUBSTITUTE(SUBSTITUTE(SUBSTITUTE(SUBSTITUTE(X203,'ARDT Cutter Entry'!$BN$3,""),'ARDT Cutter Entry'!$BN$4,""),'ARDT Cutter Entry'!$BN$5,""),'ARDT Cutter Entry'!$BN$6,""),'ARDT Cutter Entry'!$BN$7,""),"P",""),"I",""),"V",""),"B","")&amp;Data!CM48),IF(AND(Data!CM48&lt;&gt;0,Data!CM48&lt;&gt;""),IF(X220&lt;&gt;"",X220,"O"),""))</f>
        <v/>
      </c>
      <c r="Y237" s="41" t="str">
        <f>IF(Y203&lt;&gt;"",IF(OR(COUNTIF(Y203,"L*"),COUNTIF(Y203, "X*")),SUBSTITUTE(SUBSTITUTE(SUBSTITUTE(SUBSTITUTE(Y203,"P",""),"I",""),"V",""),"B","") &amp; IF(COUNTIF(Y203, "*"&amp;'ARDT Cutter Entry'!$BN$3&amp;"*"),"",IF(COUNTIF(Y203, "*"&amp;'ARDT Cutter Entry'!$BN$4&amp;"*"),"",IF(COUNTIF(Y203,"*"&amp;'ARDT Cutter Entry'!$BN$5&amp;"*"),"",IF(COUNTIF(Y203,"*"&amp;'ARDT Cutter Entry'!$BN$6&amp;"*"),"",IF(COUNTIF(Y203,"*"&amp;'ARDT Cutter Entry'!$BN$7&amp;"*"),"",Data!CN48))))),SUBSTITUTE(SUBSTITUTE(SUBSTITUTE(SUBSTITUTE(SUBSTITUTE(SUBSTITUTE(SUBSTITUTE(SUBSTITUTE(SUBSTITUTE(Y203,'ARDT Cutter Entry'!$BN$3,""),'ARDT Cutter Entry'!$BN$4,""),'ARDT Cutter Entry'!$BN$5,""),'ARDT Cutter Entry'!$BN$6,""),'ARDT Cutter Entry'!$BN$7,""),"P",""),"I",""),"V",""),"B","")&amp;Data!CN48),IF(AND(Data!CN48&lt;&gt;0,Data!CN48&lt;&gt;""),IF(Y220&lt;&gt;"",Y220,"O"),""))</f>
        <v/>
      </c>
      <c r="Z237" s="41" t="str">
        <f>IF(Z203&lt;&gt;"",IF(OR(COUNTIF(Z203,"L*"),COUNTIF(Z203, "X*")),SUBSTITUTE(SUBSTITUTE(SUBSTITUTE(SUBSTITUTE(Z203,"P",""),"I",""),"V",""),"B","") &amp; IF(COUNTIF(Z203, "*"&amp;'ARDT Cutter Entry'!$BN$3&amp;"*"),"",IF(COUNTIF(Z203, "*"&amp;'ARDT Cutter Entry'!$BN$4&amp;"*"),"",IF(COUNTIF(Z203,"*"&amp;'ARDT Cutter Entry'!$BN$5&amp;"*"),"",IF(COUNTIF(Z203,"*"&amp;'ARDT Cutter Entry'!$BN$6&amp;"*"),"",IF(COUNTIF(Z203,"*"&amp;'ARDT Cutter Entry'!$BN$7&amp;"*"),"",Data!CO48))))),SUBSTITUTE(SUBSTITUTE(SUBSTITUTE(SUBSTITUTE(SUBSTITUTE(SUBSTITUTE(SUBSTITUTE(SUBSTITUTE(SUBSTITUTE(Z203,'ARDT Cutter Entry'!$BN$3,""),'ARDT Cutter Entry'!$BN$4,""),'ARDT Cutter Entry'!$BN$5,""),'ARDT Cutter Entry'!$BN$6,""),'ARDT Cutter Entry'!$BN$7,""),"P",""),"I",""),"V",""),"B","")&amp;Data!CO48),IF(AND(Data!CO48&lt;&gt;0,Data!CO48&lt;&gt;""),IF(Z220&lt;&gt;"",Z220,"O"),""))</f>
        <v/>
      </c>
      <c r="AA237" s="41" t="str">
        <f>IF(AA203&lt;&gt;"",IF(OR(COUNTIF(AA203,"L*"),COUNTIF(AA203, "X*")),SUBSTITUTE(SUBSTITUTE(SUBSTITUTE(SUBSTITUTE(AA203,"P",""),"I",""),"V",""),"B","") &amp; IF(COUNTIF(AA203, "*"&amp;'ARDT Cutter Entry'!$BN$3&amp;"*"),"",IF(COUNTIF(AA203, "*"&amp;'ARDT Cutter Entry'!$BN$4&amp;"*"),"",IF(COUNTIF(AA203,"*"&amp;'ARDT Cutter Entry'!$BN$5&amp;"*"),"",IF(COUNTIF(AA203,"*"&amp;'ARDT Cutter Entry'!$BN$6&amp;"*"),"",IF(COUNTIF(AA203,"*"&amp;'ARDT Cutter Entry'!$BN$7&amp;"*"),"",Data!CP48))))),SUBSTITUTE(SUBSTITUTE(SUBSTITUTE(SUBSTITUTE(SUBSTITUTE(SUBSTITUTE(SUBSTITUTE(SUBSTITUTE(SUBSTITUTE(AA203,'ARDT Cutter Entry'!$BN$3,""),'ARDT Cutter Entry'!$BN$4,""),'ARDT Cutter Entry'!$BN$5,""),'ARDT Cutter Entry'!$BN$6,""),'ARDT Cutter Entry'!$BN$7,""),"P",""),"I",""),"V",""),"B","")&amp;Data!CP48),IF(AND(Data!CP48&lt;&gt;0,Data!CP48&lt;&gt;""),IF(AA220&lt;&gt;"",AA220,"O"),""))</f>
        <v/>
      </c>
      <c r="AB237" s="41" t="str">
        <f>IF(AB203&lt;&gt;"",IF(OR(COUNTIF(AB203,"L*"),COUNTIF(AB203, "X*")),SUBSTITUTE(SUBSTITUTE(SUBSTITUTE(SUBSTITUTE(AB203,"P",""),"I",""),"V",""),"B","") &amp; IF(COUNTIF(AB203, "*"&amp;'ARDT Cutter Entry'!$BN$3&amp;"*"),"",IF(COUNTIF(AB203, "*"&amp;'ARDT Cutter Entry'!$BN$4&amp;"*"),"",IF(COUNTIF(AB203,"*"&amp;'ARDT Cutter Entry'!$BN$5&amp;"*"),"",IF(COUNTIF(AB203,"*"&amp;'ARDT Cutter Entry'!$BN$6&amp;"*"),"",IF(COUNTIF(AB203,"*"&amp;'ARDT Cutter Entry'!$BN$7&amp;"*"),"",Data!CQ48))))),SUBSTITUTE(SUBSTITUTE(SUBSTITUTE(SUBSTITUTE(SUBSTITUTE(SUBSTITUTE(SUBSTITUTE(SUBSTITUTE(SUBSTITUTE(AB203,'ARDT Cutter Entry'!$BN$3,""),'ARDT Cutter Entry'!$BN$4,""),'ARDT Cutter Entry'!$BN$5,""),'ARDT Cutter Entry'!$BN$6,""),'ARDT Cutter Entry'!$BN$7,""),"P",""),"I",""),"V",""),"B","")&amp;Data!CQ48),IF(AND(Data!CQ48&lt;&gt;0,Data!CQ48&lt;&gt;""),IF(AB220&lt;&gt;"",AB220,"O"),""))</f>
        <v/>
      </c>
      <c r="AC237" s="41" t="str">
        <f>IF(AC203&lt;&gt;"",IF(OR(COUNTIF(AC203,"L*"),COUNTIF(AC203, "X*")),SUBSTITUTE(SUBSTITUTE(SUBSTITUTE(SUBSTITUTE(AC203,"P",""),"I",""),"V",""),"B","") &amp; IF(COUNTIF(AC203, "*"&amp;'ARDT Cutter Entry'!$BN$3&amp;"*"),"",IF(COUNTIF(AC203, "*"&amp;'ARDT Cutter Entry'!$BN$4&amp;"*"),"",IF(COUNTIF(AC203,"*"&amp;'ARDT Cutter Entry'!$BN$5&amp;"*"),"",IF(COUNTIF(AC203,"*"&amp;'ARDT Cutter Entry'!$BN$6&amp;"*"),"",IF(COUNTIF(AC203,"*"&amp;'ARDT Cutter Entry'!$BN$7&amp;"*"),"",Data!CR48))))),SUBSTITUTE(SUBSTITUTE(SUBSTITUTE(SUBSTITUTE(SUBSTITUTE(SUBSTITUTE(SUBSTITUTE(SUBSTITUTE(SUBSTITUTE(AC203,'ARDT Cutter Entry'!$BN$3,""),'ARDT Cutter Entry'!$BN$4,""),'ARDT Cutter Entry'!$BN$5,""),'ARDT Cutter Entry'!$BN$6,""),'ARDT Cutter Entry'!$BN$7,""),"P",""),"I",""),"V",""),"B","")&amp;Data!CR48),IF(AND(Data!CR48&lt;&gt;0,Data!CR48&lt;&gt;""),IF(AC220&lt;&gt;"",AC220,"O"),""))</f>
        <v/>
      </c>
      <c r="AD237" s="41" t="str">
        <f>IF(AD203&lt;&gt;"",IF(OR(COUNTIF(AD203,"L*"),COUNTIF(AD203, "X*")),SUBSTITUTE(SUBSTITUTE(SUBSTITUTE(SUBSTITUTE(AD203,"P",""),"I",""),"V",""),"B","") &amp; IF(COUNTIF(AD203, "*"&amp;'ARDT Cutter Entry'!$BN$3&amp;"*"),"",IF(COUNTIF(AD203, "*"&amp;'ARDT Cutter Entry'!$BN$4&amp;"*"),"",IF(COUNTIF(AD203,"*"&amp;'ARDT Cutter Entry'!$BN$5&amp;"*"),"",IF(COUNTIF(AD203,"*"&amp;'ARDT Cutter Entry'!$BN$6&amp;"*"),"",IF(COUNTIF(AD203,"*"&amp;'ARDT Cutter Entry'!$BN$7&amp;"*"),"",Data!CS48))))),SUBSTITUTE(SUBSTITUTE(SUBSTITUTE(SUBSTITUTE(SUBSTITUTE(SUBSTITUTE(SUBSTITUTE(SUBSTITUTE(SUBSTITUTE(AD203,'ARDT Cutter Entry'!$BN$3,""),'ARDT Cutter Entry'!$BN$4,""),'ARDT Cutter Entry'!$BN$5,""),'ARDT Cutter Entry'!$BN$6,""),'ARDT Cutter Entry'!$BN$7,""),"P",""),"I",""),"V",""),"B","")&amp;Data!CS48),IF(AND(Data!CS48&lt;&gt;0,Data!CS48&lt;&gt;""),IF(AD220&lt;&gt;"",AD220,"O"),""))</f>
        <v/>
      </c>
      <c r="AE237" s="41" t="str">
        <f>IF(AE203&lt;&gt;"",IF(OR(COUNTIF(AE203,"L*"),COUNTIF(AE203, "X*")),SUBSTITUTE(SUBSTITUTE(SUBSTITUTE(SUBSTITUTE(AE203,"P",""),"I",""),"V",""),"B","") &amp; IF(COUNTIF(AE203, "*"&amp;'ARDT Cutter Entry'!$BN$3&amp;"*"),"",IF(COUNTIF(AE203, "*"&amp;'ARDT Cutter Entry'!$BN$4&amp;"*"),"",IF(COUNTIF(AE203,"*"&amp;'ARDT Cutter Entry'!$BN$5&amp;"*"),"",IF(COUNTIF(AE203,"*"&amp;'ARDT Cutter Entry'!$BN$6&amp;"*"),"",IF(COUNTIF(AE203,"*"&amp;'ARDT Cutter Entry'!$BN$7&amp;"*"),"",Data!CT48))))),SUBSTITUTE(SUBSTITUTE(SUBSTITUTE(SUBSTITUTE(SUBSTITUTE(SUBSTITUTE(SUBSTITUTE(SUBSTITUTE(SUBSTITUTE(AE203,'ARDT Cutter Entry'!$BN$3,""),'ARDT Cutter Entry'!$BN$4,""),'ARDT Cutter Entry'!$BN$5,""),'ARDT Cutter Entry'!$BN$6,""),'ARDT Cutter Entry'!$BN$7,""),"P",""),"I",""),"V",""),"B","")&amp;Data!CT48),IF(AND(Data!CT48&lt;&gt;0,Data!CT48&lt;&gt;""),IF(AE220&lt;&gt;"",AE220,"O"),""))</f>
        <v/>
      </c>
      <c r="AF237" s="41" t="str">
        <f>IF(AF203&lt;&gt;"",IF(OR(COUNTIF(AF203,"L*"),COUNTIF(AF203, "X*")),SUBSTITUTE(SUBSTITUTE(SUBSTITUTE(SUBSTITUTE(AF203,"P",""),"I",""),"V",""),"B","") &amp; IF(COUNTIF(AF203, "*"&amp;'ARDT Cutter Entry'!$BN$3&amp;"*"),"",IF(COUNTIF(AF203, "*"&amp;'ARDT Cutter Entry'!$BN$4&amp;"*"),"",IF(COUNTIF(AF203,"*"&amp;'ARDT Cutter Entry'!$BN$5&amp;"*"),"",IF(COUNTIF(AF203,"*"&amp;'ARDT Cutter Entry'!$BN$6&amp;"*"),"",IF(COUNTIF(AF203,"*"&amp;'ARDT Cutter Entry'!$BN$7&amp;"*"),"",Data!CU48))))),SUBSTITUTE(SUBSTITUTE(SUBSTITUTE(SUBSTITUTE(SUBSTITUTE(SUBSTITUTE(SUBSTITUTE(SUBSTITUTE(SUBSTITUTE(AF203,'ARDT Cutter Entry'!$BN$3,""),'ARDT Cutter Entry'!$BN$4,""),'ARDT Cutter Entry'!$BN$5,""),'ARDT Cutter Entry'!$BN$6,""),'ARDT Cutter Entry'!$BN$7,""),"P",""),"I",""),"V",""),"B","")&amp;Data!CU48),IF(AND(Data!CU48&lt;&gt;0,Data!CU48&lt;&gt;""),IF(AF220&lt;&gt;"",AF220,"O"),""))</f>
        <v/>
      </c>
      <c r="AG237" s="41" t="str">
        <f>IF(AG203&lt;&gt;"",IF(OR(COUNTIF(AG203,"L*"),COUNTIF(AG203, "X*")),SUBSTITUTE(SUBSTITUTE(SUBSTITUTE(SUBSTITUTE(AG203,"P",""),"I",""),"V",""),"B","") &amp; IF(COUNTIF(AG203, "*"&amp;'ARDT Cutter Entry'!$BN$3&amp;"*"),"",IF(COUNTIF(AG203, "*"&amp;'ARDT Cutter Entry'!$BN$4&amp;"*"),"",IF(COUNTIF(AG203,"*"&amp;'ARDT Cutter Entry'!$BN$5&amp;"*"),"",IF(COUNTIF(AG203,"*"&amp;'ARDT Cutter Entry'!$BN$6&amp;"*"),"",IF(COUNTIF(AG203,"*"&amp;'ARDT Cutter Entry'!$BN$7&amp;"*"),"",Data!CV48))))),SUBSTITUTE(SUBSTITUTE(SUBSTITUTE(SUBSTITUTE(SUBSTITUTE(SUBSTITUTE(SUBSTITUTE(SUBSTITUTE(SUBSTITUTE(AG203,'ARDT Cutter Entry'!$BN$3,""),'ARDT Cutter Entry'!$BN$4,""),'ARDT Cutter Entry'!$BN$5,""),'ARDT Cutter Entry'!$BN$6,""),'ARDT Cutter Entry'!$BN$7,""),"P",""),"I",""),"V",""),"B","")&amp;Data!CV48),IF(AND(Data!CV48&lt;&gt;0,Data!CV48&lt;&gt;""),IF(AG220&lt;&gt;"",AG220,"O"),""))</f>
        <v/>
      </c>
      <c r="AH237" s="41" t="str">
        <f>IF(AH203&lt;&gt;"",IF(OR(COUNTIF(AH203,"L*"),COUNTIF(AH203, "X*")),SUBSTITUTE(SUBSTITUTE(SUBSTITUTE(SUBSTITUTE(AH203,"P",""),"I",""),"V",""),"B","") &amp; IF(COUNTIF(AH203, "*"&amp;'ARDT Cutter Entry'!$BN$3&amp;"*"),"",IF(COUNTIF(AH203, "*"&amp;'ARDT Cutter Entry'!$BN$4&amp;"*"),"",IF(COUNTIF(AH203,"*"&amp;'ARDT Cutter Entry'!$BN$5&amp;"*"),"",IF(COUNTIF(AH203,"*"&amp;'ARDT Cutter Entry'!$BN$6&amp;"*"),"",IF(COUNTIF(AH203,"*"&amp;'ARDT Cutter Entry'!$BN$7&amp;"*"),"",Data!CW48))))),SUBSTITUTE(SUBSTITUTE(SUBSTITUTE(SUBSTITUTE(SUBSTITUTE(SUBSTITUTE(SUBSTITUTE(SUBSTITUTE(SUBSTITUTE(AH203,'ARDT Cutter Entry'!$BN$3,""),'ARDT Cutter Entry'!$BN$4,""),'ARDT Cutter Entry'!$BN$5,""),'ARDT Cutter Entry'!$BN$6,""),'ARDT Cutter Entry'!$BN$7,""),"P",""),"I",""),"V",""),"B","")&amp;Data!CW48),IF(AND(Data!CW48&lt;&gt;0,Data!CW48&lt;&gt;""),IF(AH220&lt;&gt;"",AH220,"O"),""))</f>
        <v/>
      </c>
      <c r="AI237" s="41" t="str">
        <f>IF(AI203&lt;&gt;"",IF(OR(COUNTIF(AI203,"L*"),COUNTIF(AI203, "X*")),SUBSTITUTE(SUBSTITUTE(SUBSTITUTE(SUBSTITUTE(AI203,"P",""),"I",""),"V",""),"B","") &amp; IF(COUNTIF(AI203, "*"&amp;'ARDT Cutter Entry'!$BN$3&amp;"*"),"",IF(COUNTIF(AI203, "*"&amp;'ARDT Cutter Entry'!$BN$4&amp;"*"),"",IF(COUNTIF(AI203,"*"&amp;'ARDT Cutter Entry'!$BN$5&amp;"*"),"",IF(COUNTIF(AI203,"*"&amp;'ARDT Cutter Entry'!$BN$6&amp;"*"),"",IF(COUNTIF(AI203,"*"&amp;'ARDT Cutter Entry'!$BN$7&amp;"*"),"",Data!CX48))))),SUBSTITUTE(SUBSTITUTE(SUBSTITUTE(SUBSTITUTE(SUBSTITUTE(SUBSTITUTE(SUBSTITUTE(SUBSTITUTE(SUBSTITUTE(AI203,'ARDT Cutter Entry'!$BN$3,""),'ARDT Cutter Entry'!$BN$4,""),'ARDT Cutter Entry'!$BN$5,""),'ARDT Cutter Entry'!$BN$6,""),'ARDT Cutter Entry'!$BN$7,""),"P",""),"I",""),"V",""),"B","")&amp;Data!CX48),IF(AND(Data!CX48&lt;&gt;0,Data!CX48&lt;&gt;""),IF(AI220&lt;&gt;"",AI220,"O"),""))</f>
        <v/>
      </c>
      <c r="AJ237" s="41" t="str">
        <f>IF(AJ203&lt;&gt;"",IF(OR(COUNTIF(AJ203,"L*"),COUNTIF(AJ203, "X*")),SUBSTITUTE(SUBSTITUTE(SUBSTITUTE(SUBSTITUTE(AJ203,"P",""),"I",""),"V",""),"B","") &amp; IF(COUNTIF(AJ203, "*"&amp;'ARDT Cutter Entry'!$BN$3&amp;"*"),"",IF(COUNTIF(AJ203, "*"&amp;'ARDT Cutter Entry'!$BN$4&amp;"*"),"",IF(COUNTIF(AJ203,"*"&amp;'ARDT Cutter Entry'!$BN$5&amp;"*"),"",IF(COUNTIF(AJ203,"*"&amp;'ARDT Cutter Entry'!$BN$6&amp;"*"),"",IF(COUNTIF(AJ203,"*"&amp;'ARDT Cutter Entry'!$BN$7&amp;"*"),"",Data!CY48))))),SUBSTITUTE(SUBSTITUTE(SUBSTITUTE(SUBSTITUTE(SUBSTITUTE(SUBSTITUTE(SUBSTITUTE(SUBSTITUTE(SUBSTITUTE(AJ203,'ARDT Cutter Entry'!$BN$3,""),'ARDT Cutter Entry'!$BN$4,""),'ARDT Cutter Entry'!$BN$5,""),'ARDT Cutter Entry'!$BN$6,""),'ARDT Cutter Entry'!$BN$7,""),"P",""),"I",""),"V",""),"B","")&amp;Data!CY48),IF(AND(Data!CY48&lt;&gt;0,Data!CY48&lt;&gt;""),IF(AJ220&lt;&gt;"",AJ220,"O"),""))</f>
        <v/>
      </c>
      <c r="AN237" s="95"/>
      <c r="AO237" s="95"/>
      <c r="AP237" s="95"/>
      <c r="AQ237" s="95"/>
      <c r="AR237" s="95"/>
      <c r="AS237" s="95"/>
      <c r="AT237" s="95"/>
      <c r="AU237" s="95"/>
      <c r="AV237" s="95"/>
      <c r="AW237" s="95"/>
      <c r="AX237" s="95"/>
      <c r="AY237" s="95"/>
      <c r="AZ237" s="95"/>
      <c r="BA237" s="95"/>
      <c r="BB237" s="95"/>
    </row>
    <row r="238" spans="1:54" ht="23.25" customHeight="1" x14ac:dyDescent="0.35">
      <c r="A238" s="1196"/>
      <c r="B238" s="22">
        <v>4</v>
      </c>
      <c r="C238" s="41" t="str">
        <f>IF(C204&lt;&gt;"",IF(OR(COUNTIF(C204,"L*"),COUNTIF(C204, "X*")),SUBSTITUTE(SUBSTITUTE(SUBSTITUTE(SUBSTITUTE(C204,"P",""),"I",""),"V",""),"B","") &amp; IF(COUNTIF(C204, "*"&amp;'ARDT Cutter Entry'!$BN$3&amp;"*"),"",IF(COUNTIF(C204, "*"&amp;'ARDT Cutter Entry'!$BN$4&amp;"*"),"",IF(COUNTIF(C204,"*"&amp;'ARDT Cutter Entry'!$BN$5&amp;"*"),"",IF(COUNTIF(C204,"*"&amp;'ARDT Cutter Entry'!$BN$6&amp;"*"),"",IF(COUNTIF(C204,"*"&amp;'ARDT Cutter Entry'!$BN$7&amp;"*"),"",Data!BR49))))),SUBSTITUTE(SUBSTITUTE(SUBSTITUTE(SUBSTITUTE(SUBSTITUTE(SUBSTITUTE(SUBSTITUTE(SUBSTITUTE(SUBSTITUTE(C204,'ARDT Cutter Entry'!$BN$3,""),'ARDT Cutter Entry'!$BN$4,""),'ARDT Cutter Entry'!$BN$5,""),'ARDT Cutter Entry'!$BN$6,""),'ARDT Cutter Entry'!$BN$7,""),"P",""),"I",""),"V",""),"B","")&amp;Data!BR49),IF(AND(Data!BR49&lt;&gt;0,Data!BR49&lt;&gt;""),IF(C221&lt;&gt;"",C221,"O"),""))</f>
        <v>O</v>
      </c>
      <c r="D238" s="41" t="str">
        <f>IF(D204&lt;&gt;"",IF(OR(COUNTIF(D204,"L*"),COUNTIF(D204, "X*")),SUBSTITUTE(SUBSTITUTE(SUBSTITUTE(SUBSTITUTE(D204,"P",""),"I",""),"V",""),"B","") &amp; IF(COUNTIF(D204, "*"&amp;'ARDT Cutter Entry'!$BN$3&amp;"*"),"",IF(COUNTIF(D204, "*"&amp;'ARDT Cutter Entry'!$BN$4&amp;"*"),"",IF(COUNTIF(D204,"*"&amp;'ARDT Cutter Entry'!$BN$5&amp;"*"),"",IF(COUNTIF(D204,"*"&amp;'ARDT Cutter Entry'!$BN$6&amp;"*"),"",IF(COUNTIF(D204,"*"&amp;'ARDT Cutter Entry'!$BN$7&amp;"*"),"",Data!BS49))))),SUBSTITUTE(SUBSTITUTE(SUBSTITUTE(SUBSTITUTE(SUBSTITUTE(SUBSTITUTE(SUBSTITUTE(SUBSTITUTE(SUBSTITUTE(D204,'ARDT Cutter Entry'!$BN$3,""),'ARDT Cutter Entry'!$BN$4,""),'ARDT Cutter Entry'!$BN$5,""),'ARDT Cutter Entry'!$BN$6,""),'ARDT Cutter Entry'!$BN$7,""),"P",""),"I",""),"V",""),"B","")&amp;Data!BS49),IF(AND(Data!BS49&lt;&gt;0,Data!BS49&lt;&gt;""),IF(D221&lt;&gt;"",D221,"O"),""))</f>
        <v>O</v>
      </c>
      <c r="E238" s="41" t="str">
        <f>IF(E204&lt;&gt;"",IF(OR(COUNTIF(E204,"L*"),COUNTIF(E204, "X*")),SUBSTITUTE(SUBSTITUTE(SUBSTITUTE(SUBSTITUTE(E204,"P",""),"I",""),"V",""),"B","") &amp; IF(COUNTIF(E204, "*"&amp;'ARDT Cutter Entry'!$BN$3&amp;"*"),"",IF(COUNTIF(E204, "*"&amp;'ARDT Cutter Entry'!$BN$4&amp;"*"),"",IF(COUNTIF(E204,"*"&amp;'ARDT Cutter Entry'!$BN$5&amp;"*"),"",IF(COUNTIF(E204,"*"&amp;'ARDT Cutter Entry'!$BN$6&amp;"*"),"",IF(COUNTIF(E204,"*"&amp;'ARDT Cutter Entry'!$BN$7&amp;"*"),"",Data!BT49))))),SUBSTITUTE(SUBSTITUTE(SUBSTITUTE(SUBSTITUTE(SUBSTITUTE(SUBSTITUTE(SUBSTITUTE(SUBSTITUTE(SUBSTITUTE(E204,'ARDT Cutter Entry'!$BN$3,""),'ARDT Cutter Entry'!$BN$4,""),'ARDT Cutter Entry'!$BN$5,""),'ARDT Cutter Entry'!$BN$6,""),'ARDT Cutter Entry'!$BN$7,""),"P",""),"I",""),"V",""),"B","")&amp;Data!BT49),IF(AND(Data!BT49&lt;&gt;0,Data!BT49&lt;&gt;""),IF(E221&lt;&gt;"",E221,"O"),""))</f>
        <v>O</v>
      </c>
      <c r="F238" s="41" t="str">
        <f>IF(F204&lt;&gt;"",IF(OR(COUNTIF(F204,"L*"),COUNTIF(F204, "X*")),SUBSTITUTE(SUBSTITUTE(SUBSTITUTE(SUBSTITUTE(F204,"P",""),"I",""),"V",""),"B","") &amp; IF(COUNTIF(F204, "*"&amp;'ARDT Cutter Entry'!$BN$3&amp;"*"),"",IF(COUNTIF(F204, "*"&amp;'ARDT Cutter Entry'!$BN$4&amp;"*"),"",IF(COUNTIF(F204,"*"&amp;'ARDT Cutter Entry'!$BN$5&amp;"*"),"",IF(COUNTIF(F204,"*"&amp;'ARDT Cutter Entry'!$BN$6&amp;"*"),"",IF(COUNTIF(F204,"*"&amp;'ARDT Cutter Entry'!$BN$7&amp;"*"),"",Data!BU49))))),SUBSTITUTE(SUBSTITUTE(SUBSTITUTE(SUBSTITUTE(SUBSTITUTE(SUBSTITUTE(SUBSTITUTE(SUBSTITUTE(SUBSTITUTE(F204,'ARDT Cutter Entry'!$BN$3,""),'ARDT Cutter Entry'!$BN$4,""),'ARDT Cutter Entry'!$BN$5,""),'ARDT Cutter Entry'!$BN$6,""),'ARDT Cutter Entry'!$BN$7,""),"P",""),"I",""),"V",""),"B","")&amp;Data!BU49),IF(AND(Data!BU49&lt;&gt;0,Data!BU49&lt;&gt;""),IF(F221&lt;&gt;"",F221,"O"),""))</f>
        <v>O</v>
      </c>
      <c r="G238" s="41" t="str">
        <f>IF(G204&lt;&gt;"",IF(OR(COUNTIF(G204,"L*"),COUNTIF(G204, "X*")),SUBSTITUTE(SUBSTITUTE(SUBSTITUTE(SUBSTITUTE(G204,"P",""),"I",""),"V",""),"B","") &amp; IF(COUNTIF(G204, "*"&amp;'ARDT Cutter Entry'!$BN$3&amp;"*"),"",IF(COUNTIF(G204, "*"&amp;'ARDT Cutter Entry'!$BN$4&amp;"*"),"",IF(COUNTIF(G204,"*"&amp;'ARDT Cutter Entry'!$BN$5&amp;"*"),"",IF(COUNTIF(G204,"*"&amp;'ARDT Cutter Entry'!$BN$6&amp;"*"),"",IF(COUNTIF(G204,"*"&amp;'ARDT Cutter Entry'!$BN$7&amp;"*"),"",Data!BV49))))),SUBSTITUTE(SUBSTITUTE(SUBSTITUTE(SUBSTITUTE(SUBSTITUTE(SUBSTITUTE(SUBSTITUTE(SUBSTITUTE(SUBSTITUTE(G204,'ARDT Cutter Entry'!$BN$3,""),'ARDT Cutter Entry'!$BN$4,""),'ARDT Cutter Entry'!$BN$5,""),'ARDT Cutter Entry'!$BN$6,""),'ARDT Cutter Entry'!$BN$7,""),"P",""),"I",""),"V",""),"B","")&amp;Data!BV49),IF(AND(Data!BV49&lt;&gt;0,Data!BV49&lt;&gt;""),IF(G221&lt;&gt;"",G221,"O"),""))</f>
        <v>O</v>
      </c>
      <c r="H238" s="41" t="str">
        <f>IF(H204&lt;&gt;"",IF(OR(COUNTIF(H204,"L*"),COUNTIF(H204, "X*")),SUBSTITUTE(SUBSTITUTE(SUBSTITUTE(SUBSTITUTE(H204,"P",""),"I",""),"V",""),"B","") &amp; IF(COUNTIF(H204, "*"&amp;'ARDT Cutter Entry'!$BN$3&amp;"*"),"",IF(COUNTIF(H204, "*"&amp;'ARDT Cutter Entry'!$BN$4&amp;"*"),"",IF(COUNTIF(H204,"*"&amp;'ARDT Cutter Entry'!$BN$5&amp;"*"),"",IF(COUNTIF(H204,"*"&amp;'ARDT Cutter Entry'!$BN$6&amp;"*"),"",IF(COUNTIF(H204,"*"&amp;'ARDT Cutter Entry'!$BN$7&amp;"*"),"",Data!BW49))))),SUBSTITUTE(SUBSTITUTE(SUBSTITUTE(SUBSTITUTE(SUBSTITUTE(SUBSTITUTE(SUBSTITUTE(SUBSTITUTE(SUBSTITUTE(H204,'ARDT Cutter Entry'!$BN$3,""),'ARDT Cutter Entry'!$BN$4,""),'ARDT Cutter Entry'!$BN$5,""),'ARDT Cutter Entry'!$BN$6,""),'ARDT Cutter Entry'!$BN$7,""),"P",""),"I",""),"V",""),"B","")&amp;Data!BW49),IF(AND(Data!BW49&lt;&gt;0,Data!BW49&lt;&gt;""),IF(H221&lt;&gt;"",H221,"O"),""))</f>
        <v>O</v>
      </c>
      <c r="I238" s="41" t="str">
        <f>IF(I204&lt;&gt;"",IF(OR(COUNTIF(I204,"L*"),COUNTIF(I204, "X*")),SUBSTITUTE(SUBSTITUTE(SUBSTITUTE(SUBSTITUTE(I204,"P",""),"I",""),"V",""),"B","") &amp; IF(COUNTIF(I204, "*"&amp;'ARDT Cutter Entry'!$BN$3&amp;"*"),"",IF(COUNTIF(I204, "*"&amp;'ARDT Cutter Entry'!$BN$4&amp;"*"),"",IF(COUNTIF(I204,"*"&amp;'ARDT Cutter Entry'!$BN$5&amp;"*"),"",IF(COUNTIF(I204,"*"&amp;'ARDT Cutter Entry'!$BN$6&amp;"*"),"",IF(COUNTIF(I204,"*"&amp;'ARDT Cutter Entry'!$BN$7&amp;"*"),"",Data!BX49))))),SUBSTITUTE(SUBSTITUTE(SUBSTITUTE(SUBSTITUTE(SUBSTITUTE(SUBSTITUTE(SUBSTITUTE(SUBSTITUTE(SUBSTITUTE(I204,'ARDT Cutter Entry'!$BN$3,""),'ARDT Cutter Entry'!$BN$4,""),'ARDT Cutter Entry'!$BN$5,""),'ARDT Cutter Entry'!$BN$6,""),'ARDT Cutter Entry'!$BN$7,""),"P",""),"I",""),"V",""),"B","")&amp;Data!BX49),IF(AND(Data!BX49&lt;&gt;0,Data!BX49&lt;&gt;""),IF(I221&lt;&gt;"",I221,"O"),""))</f>
        <v/>
      </c>
      <c r="J238" s="41" t="str">
        <f>IF(J204&lt;&gt;"",IF(OR(COUNTIF(J204,"L*"),COUNTIF(J204, "X*")),SUBSTITUTE(SUBSTITUTE(SUBSTITUTE(SUBSTITUTE(J204,"P",""),"I",""),"V",""),"B","") &amp; IF(COUNTIF(J204, "*"&amp;'ARDT Cutter Entry'!$BN$3&amp;"*"),"",IF(COUNTIF(J204, "*"&amp;'ARDT Cutter Entry'!$BN$4&amp;"*"),"",IF(COUNTIF(J204,"*"&amp;'ARDT Cutter Entry'!$BN$5&amp;"*"),"",IF(COUNTIF(J204,"*"&amp;'ARDT Cutter Entry'!$BN$6&amp;"*"),"",IF(COUNTIF(J204,"*"&amp;'ARDT Cutter Entry'!$BN$7&amp;"*"),"",Data!BY49))))),SUBSTITUTE(SUBSTITUTE(SUBSTITUTE(SUBSTITUTE(SUBSTITUTE(SUBSTITUTE(SUBSTITUTE(SUBSTITUTE(SUBSTITUTE(J204,'ARDT Cutter Entry'!$BN$3,""),'ARDT Cutter Entry'!$BN$4,""),'ARDT Cutter Entry'!$BN$5,""),'ARDT Cutter Entry'!$BN$6,""),'ARDT Cutter Entry'!$BN$7,""),"P",""),"I",""),"V",""),"B","")&amp;Data!BY49),IF(AND(Data!BY49&lt;&gt;0,Data!BY49&lt;&gt;""),IF(J221&lt;&gt;"",J221,"O"),""))</f>
        <v/>
      </c>
      <c r="K238" s="41" t="str">
        <f>IF(K204&lt;&gt;"",IF(OR(COUNTIF(K204,"L*"),COUNTIF(K204, "X*")),SUBSTITUTE(SUBSTITUTE(SUBSTITUTE(SUBSTITUTE(K204,"P",""),"I",""),"V",""),"B","") &amp; IF(COUNTIF(K204, "*"&amp;'ARDT Cutter Entry'!$BN$3&amp;"*"),"",IF(COUNTIF(K204, "*"&amp;'ARDT Cutter Entry'!$BN$4&amp;"*"),"",IF(COUNTIF(K204,"*"&amp;'ARDT Cutter Entry'!$BN$5&amp;"*"),"",IF(COUNTIF(K204,"*"&amp;'ARDT Cutter Entry'!$BN$6&amp;"*"),"",IF(COUNTIF(K204,"*"&amp;'ARDT Cutter Entry'!$BN$7&amp;"*"),"",Data!BZ49))))),SUBSTITUTE(SUBSTITUTE(SUBSTITUTE(SUBSTITUTE(SUBSTITUTE(SUBSTITUTE(SUBSTITUTE(SUBSTITUTE(SUBSTITUTE(K204,'ARDT Cutter Entry'!$BN$3,""),'ARDT Cutter Entry'!$BN$4,""),'ARDT Cutter Entry'!$BN$5,""),'ARDT Cutter Entry'!$BN$6,""),'ARDT Cutter Entry'!$BN$7,""),"P",""),"I",""),"V",""),"B","")&amp;Data!BZ49),IF(AND(Data!BZ49&lt;&gt;0,Data!BZ49&lt;&gt;""),IF(K221&lt;&gt;"",K221,"O"),""))</f>
        <v/>
      </c>
      <c r="L238" s="41" t="str">
        <f>IF(L204&lt;&gt;"",IF(OR(COUNTIF(L204,"L*"),COUNTIF(L204, "X*")),SUBSTITUTE(SUBSTITUTE(SUBSTITUTE(SUBSTITUTE(L204,"P",""),"I",""),"V",""),"B","") &amp; IF(COUNTIF(L204, "*"&amp;'ARDT Cutter Entry'!$BN$3&amp;"*"),"",IF(COUNTIF(L204, "*"&amp;'ARDT Cutter Entry'!$BN$4&amp;"*"),"",IF(COUNTIF(L204,"*"&amp;'ARDT Cutter Entry'!$BN$5&amp;"*"),"",IF(COUNTIF(L204,"*"&amp;'ARDT Cutter Entry'!$BN$6&amp;"*"),"",IF(COUNTIF(L204,"*"&amp;'ARDT Cutter Entry'!$BN$7&amp;"*"),"",Data!CA49))))),SUBSTITUTE(SUBSTITUTE(SUBSTITUTE(SUBSTITUTE(SUBSTITUTE(SUBSTITUTE(SUBSTITUTE(SUBSTITUTE(SUBSTITUTE(L204,'ARDT Cutter Entry'!$BN$3,""),'ARDT Cutter Entry'!$BN$4,""),'ARDT Cutter Entry'!$BN$5,""),'ARDT Cutter Entry'!$BN$6,""),'ARDT Cutter Entry'!$BN$7,""),"P",""),"I",""),"V",""),"B","")&amp;Data!CA49),IF(AND(Data!CA49&lt;&gt;0,Data!CA49&lt;&gt;""),IF(L221&lt;&gt;"",L221,"O"),""))</f>
        <v>O</v>
      </c>
      <c r="M238" s="41" t="str">
        <f>IF(M204&lt;&gt;"",IF(OR(COUNTIF(M204,"L*"),COUNTIF(M204, "X*")),SUBSTITUTE(SUBSTITUTE(SUBSTITUTE(SUBSTITUTE(M204,"P",""),"I",""),"V",""),"B","") &amp; IF(COUNTIF(M204, "*"&amp;'ARDT Cutter Entry'!$BN$3&amp;"*"),"",IF(COUNTIF(M204, "*"&amp;'ARDT Cutter Entry'!$BN$4&amp;"*"),"",IF(COUNTIF(M204,"*"&amp;'ARDT Cutter Entry'!$BN$5&amp;"*"),"",IF(COUNTIF(M204,"*"&amp;'ARDT Cutter Entry'!$BN$6&amp;"*"),"",IF(COUNTIF(M204,"*"&amp;'ARDT Cutter Entry'!$BN$7&amp;"*"),"",Data!CB49))))),SUBSTITUTE(SUBSTITUTE(SUBSTITUTE(SUBSTITUTE(SUBSTITUTE(SUBSTITUTE(SUBSTITUTE(SUBSTITUTE(SUBSTITUTE(M204,'ARDT Cutter Entry'!$BN$3,""),'ARDT Cutter Entry'!$BN$4,""),'ARDT Cutter Entry'!$BN$5,""),'ARDT Cutter Entry'!$BN$6,""),'ARDT Cutter Entry'!$BN$7,""),"P",""),"I",""),"V",""),"B","")&amp;Data!CB49),IF(AND(Data!CB49&lt;&gt;0,Data!CB49&lt;&gt;""),IF(M221&lt;&gt;"",M221,"O"),""))</f>
        <v>O</v>
      </c>
      <c r="N238" s="41" t="str">
        <f>IF(N204&lt;&gt;"",IF(OR(COUNTIF(N204,"L*"),COUNTIF(N204, "X*")),SUBSTITUTE(SUBSTITUTE(SUBSTITUTE(SUBSTITUTE(N204,"P",""),"I",""),"V",""),"B","") &amp; IF(COUNTIF(N204, "*"&amp;'ARDT Cutter Entry'!$BN$3&amp;"*"),"",IF(COUNTIF(N204, "*"&amp;'ARDT Cutter Entry'!$BN$4&amp;"*"),"",IF(COUNTIF(N204,"*"&amp;'ARDT Cutter Entry'!$BN$5&amp;"*"),"",IF(COUNTIF(N204,"*"&amp;'ARDT Cutter Entry'!$BN$6&amp;"*"),"",IF(COUNTIF(N204,"*"&amp;'ARDT Cutter Entry'!$BN$7&amp;"*"),"",Data!CC49))))),SUBSTITUTE(SUBSTITUTE(SUBSTITUTE(SUBSTITUTE(SUBSTITUTE(SUBSTITUTE(SUBSTITUTE(SUBSTITUTE(SUBSTITUTE(N204,'ARDT Cutter Entry'!$BN$3,""),'ARDT Cutter Entry'!$BN$4,""),'ARDT Cutter Entry'!$BN$5,""),'ARDT Cutter Entry'!$BN$6,""),'ARDT Cutter Entry'!$BN$7,""),"P",""),"I",""),"V",""),"B","")&amp;Data!CC49),IF(AND(Data!CC49&lt;&gt;0,Data!CC49&lt;&gt;""),IF(N221&lt;&gt;"",N221,"O"),""))</f>
        <v>O</v>
      </c>
      <c r="O238" s="41" t="str">
        <f>IF(O204&lt;&gt;"",IF(OR(COUNTIF(O204,"L*"),COUNTIF(O204, "X*")),SUBSTITUTE(SUBSTITUTE(SUBSTITUTE(SUBSTITUTE(O204,"P",""),"I",""),"V",""),"B","") &amp; IF(COUNTIF(O204, "*"&amp;'ARDT Cutter Entry'!$BN$3&amp;"*"),"",IF(COUNTIF(O204, "*"&amp;'ARDT Cutter Entry'!$BN$4&amp;"*"),"",IF(COUNTIF(O204,"*"&amp;'ARDT Cutter Entry'!$BN$5&amp;"*"),"",IF(COUNTIF(O204,"*"&amp;'ARDT Cutter Entry'!$BN$6&amp;"*"),"",IF(COUNTIF(O204,"*"&amp;'ARDT Cutter Entry'!$BN$7&amp;"*"),"",Data!CD49))))),SUBSTITUTE(SUBSTITUTE(SUBSTITUTE(SUBSTITUTE(SUBSTITUTE(SUBSTITUTE(SUBSTITUTE(SUBSTITUTE(SUBSTITUTE(O204,'ARDT Cutter Entry'!$BN$3,""),'ARDT Cutter Entry'!$BN$4,""),'ARDT Cutter Entry'!$BN$5,""),'ARDT Cutter Entry'!$BN$6,""),'ARDT Cutter Entry'!$BN$7,""),"P",""),"I",""),"V",""),"B","")&amp;Data!CD49),IF(AND(Data!CD49&lt;&gt;0,Data!CD49&lt;&gt;""),IF(O221&lt;&gt;"",O221,"O"),""))</f>
        <v>O</v>
      </c>
      <c r="P238" s="41" t="str">
        <f>IF(P204&lt;&gt;"",IF(OR(COUNTIF(P204,"L*"),COUNTIF(P204, "X*")),SUBSTITUTE(SUBSTITUTE(SUBSTITUTE(SUBSTITUTE(P204,"P",""),"I",""),"V",""),"B","") &amp; IF(COUNTIF(P204, "*"&amp;'ARDT Cutter Entry'!$BN$3&amp;"*"),"",IF(COUNTIF(P204, "*"&amp;'ARDT Cutter Entry'!$BN$4&amp;"*"),"",IF(COUNTIF(P204,"*"&amp;'ARDT Cutter Entry'!$BN$5&amp;"*"),"",IF(COUNTIF(P204,"*"&amp;'ARDT Cutter Entry'!$BN$6&amp;"*"),"",IF(COUNTIF(P204,"*"&amp;'ARDT Cutter Entry'!$BN$7&amp;"*"),"",Data!CE49))))),SUBSTITUTE(SUBSTITUTE(SUBSTITUTE(SUBSTITUTE(SUBSTITUTE(SUBSTITUTE(SUBSTITUTE(SUBSTITUTE(SUBSTITUTE(P204,'ARDT Cutter Entry'!$BN$3,""),'ARDT Cutter Entry'!$BN$4,""),'ARDT Cutter Entry'!$BN$5,""),'ARDT Cutter Entry'!$BN$6,""),'ARDT Cutter Entry'!$BN$7,""),"P",""),"I",""),"V",""),"B","")&amp;Data!CE49),IF(AND(Data!CE49&lt;&gt;0,Data!CE49&lt;&gt;""),IF(P221&lt;&gt;"",P221,"O"),""))</f>
        <v/>
      </c>
      <c r="Q238" s="41" t="str">
        <f>IF(Q204&lt;&gt;"",IF(OR(COUNTIF(Q204,"L*"),COUNTIF(Q204, "X*")),SUBSTITUTE(SUBSTITUTE(SUBSTITUTE(SUBSTITUTE(Q204,"P",""),"I",""),"V",""),"B","") &amp; IF(COUNTIF(Q204, "*"&amp;'ARDT Cutter Entry'!$BN$3&amp;"*"),"",IF(COUNTIF(Q204, "*"&amp;'ARDT Cutter Entry'!$BN$4&amp;"*"),"",IF(COUNTIF(Q204,"*"&amp;'ARDT Cutter Entry'!$BN$5&amp;"*"),"",IF(COUNTIF(Q204,"*"&amp;'ARDT Cutter Entry'!$BN$6&amp;"*"),"",IF(COUNTIF(Q204,"*"&amp;'ARDT Cutter Entry'!$BN$7&amp;"*"),"",Data!CF49))))),SUBSTITUTE(SUBSTITUTE(SUBSTITUTE(SUBSTITUTE(SUBSTITUTE(SUBSTITUTE(SUBSTITUTE(SUBSTITUTE(SUBSTITUTE(Q204,'ARDT Cutter Entry'!$BN$3,""),'ARDT Cutter Entry'!$BN$4,""),'ARDT Cutter Entry'!$BN$5,""),'ARDT Cutter Entry'!$BN$6,""),'ARDT Cutter Entry'!$BN$7,""),"P",""),"I",""),"V",""),"B","")&amp;Data!CF49),IF(AND(Data!CF49&lt;&gt;0,Data!CF49&lt;&gt;""),IF(Q221&lt;&gt;"",Q221,"O"),""))</f>
        <v/>
      </c>
      <c r="R238" s="41" t="str">
        <f>IF(R204&lt;&gt;"",IF(OR(COUNTIF(R204,"L*"),COUNTIF(R204, "X*")),SUBSTITUTE(SUBSTITUTE(SUBSTITUTE(SUBSTITUTE(R204,"P",""),"I",""),"V",""),"B","") &amp; IF(COUNTIF(R204, "*"&amp;'ARDT Cutter Entry'!$BN$3&amp;"*"),"",IF(COUNTIF(R204, "*"&amp;'ARDT Cutter Entry'!$BN$4&amp;"*"),"",IF(COUNTIF(R204,"*"&amp;'ARDT Cutter Entry'!$BN$5&amp;"*"),"",IF(COUNTIF(R204,"*"&amp;'ARDT Cutter Entry'!$BN$6&amp;"*"),"",IF(COUNTIF(R204,"*"&amp;'ARDT Cutter Entry'!$BN$7&amp;"*"),"",Data!CG49))))),SUBSTITUTE(SUBSTITUTE(SUBSTITUTE(SUBSTITUTE(SUBSTITUTE(SUBSTITUTE(SUBSTITUTE(SUBSTITUTE(SUBSTITUTE(R204,'ARDT Cutter Entry'!$BN$3,""),'ARDT Cutter Entry'!$BN$4,""),'ARDT Cutter Entry'!$BN$5,""),'ARDT Cutter Entry'!$BN$6,""),'ARDT Cutter Entry'!$BN$7,""),"P",""),"I",""),"V",""),"B","")&amp;Data!CG49),IF(AND(Data!CG49&lt;&gt;0,Data!CG49&lt;&gt;""),IF(R221&lt;&gt;"",R221,"O"),""))</f>
        <v/>
      </c>
      <c r="S238" s="41" t="str">
        <f>IF(S204&lt;&gt;"",IF(OR(COUNTIF(S204,"L*"),COUNTIF(S204, "X*")),SUBSTITUTE(SUBSTITUTE(SUBSTITUTE(SUBSTITUTE(S204,"P",""),"I",""),"V",""),"B","") &amp; IF(COUNTIF(S204, "*"&amp;'ARDT Cutter Entry'!$BN$3&amp;"*"),"",IF(COUNTIF(S204, "*"&amp;'ARDT Cutter Entry'!$BN$4&amp;"*"),"",IF(COUNTIF(S204,"*"&amp;'ARDT Cutter Entry'!$BN$5&amp;"*"),"",IF(COUNTIF(S204,"*"&amp;'ARDT Cutter Entry'!$BN$6&amp;"*"),"",IF(COUNTIF(S204,"*"&amp;'ARDT Cutter Entry'!$BN$7&amp;"*"),"",Data!CH49))))),SUBSTITUTE(SUBSTITUTE(SUBSTITUTE(SUBSTITUTE(SUBSTITUTE(SUBSTITUTE(SUBSTITUTE(SUBSTITUTE(SUBSTITUTE(S204,'ARDT Cutter Entry'!$BN$3,""),'ARDT Cutter Entry'!$BN$4,""),'ARDT Cutter Entry'!$BN$5,""),'ARDT Cutter Entry'!$BN$6,""),'ARDT Cutter Entry'!$BN$7,""),"P",""),"I",""),"V",""),"B","")&amp;Data!CH49),IF(AND(Data!CH49&lt;&gt;0,Data!CH49&lt;&gt;""),IF(S221&lt;&gt;"",S221,"O"),""))</f>
        <v/>
      </c>
      <c r="T238" s="41" t="str">
        <f>IF(T204&lt;&gt;"",IF(OR(COUNTIF(T204,"L*"),COUNTIF(T204, "X*")),SUBSTITUTE(SUBSTITUTE(SUBSTITUTE(SUBSTITUTE(T204,"P",""),"I",""),"V",""),"B","") &amp; IF(COUNTIF(T204, "*"&amp;'ARDT Cutter Entry'!$BN$3&amp;"*"),"",IF(COUNTIF(T204, "*"&amp;'ARDT Cutter Entry'!$BN$4&amp;"*"),"",IF(COUNTIF(T204,"*"&amp;'ARDT Cutter Entry'!$BN$5&amp;"*"),"",IF(COUNTIF(T204,"*"&amp;'ARDT Cutter Entry'!$BN$6&amp;"*"),"",IF(COUNTIF(T204,"*"&amp;'ARDT Cutter Entry'!$BN$7&amp;"*"),"",Data!CI49))))),SUBSTITUTE(SUBSTITUTE(SUBSTITUTE(SUBSTITUTE(SUBSTITUTE(SUBSTITUTE(SUBSTITUTE(SUBSTITUTE(SUBSTITUTE(T204,'ARDT Cutter Entry'!$BN$3,""),'ARDT Cutter Entry'!$BN$4,""),'ARDT Cutter Entry'!$BN$5,""),'ARDT Cutter Entry'!$BN$6,""),'ARDT Cutter Entry'!$BN$7,""),"P",""),"I",""),"V",""),"B","")&amp;Data!CI49),IF(AND(Data!CI49&lt;&gt;0,Data!CI49&lt;&gt;""),IF(T221&lt;&gt;"",T221,"O"),""))</f>
        <v/>
      </c>
      <c r="U238" s="41" t="str">
        <f>IF(U204&lt;&gt;"",IF(OR(COUNTIF(U204,"L*"),COUNTIF(U204, "X*")),SUBSTITUTE(SUBSTITUTE(SUBSTITUTE(SUBSTITUTE(U204,"P",""),"I",""),"V",""),"B","") &amp; IF(COUNTIF(U204, "*"&amp;'ARDT Cutter Entry'!$BN$3&amp;"*"),"",IF(COUNTIF(U204, "*"&amp;'ARDT Cutter Entry'!$BN$4&amp;"*"),"",IF(COUNTIF(U204,"*"&amp;'ARDT Cutter Entry'!$BN$5&amp;"*"),"",IF(COUNTIF(U204,"*"&amp;'ARDT Cutter Entry'!$BN$6&amp;"*"),"",IF(COUNTIF(U204,"*"&amp;'ARDT Cutter Entry'!$BN$7&amp;"*"),"",Data!CJ49))))),SUBSTITUTE(SUBSTITUTE(SUBSTITUTE(SUBSTITUTE(SUBSTITUTE(SUBSTITUTE(SUBSTITUTE(SUBSTITUTE(SUBSTITUTE(U204,'ARDT Cutter Entry'!$BN$3,""),'ARDT Cutter Entry'!$BN$4,""),'ARDT Cutter Entry'!$BN$5,""),'ARDT Cutter Entry'!$BN$6,""),'ARDT Cutter Entry'!$BN$7,""),"P",""),"I",""),"V",""),"B","")&amp;Data!CJ49),IF(AND(Data!CJ49&lt;&gt;0,Data!CJ49&lt;&gt;""),IF(U221&lt;&gt;"",U221,"O"),""))</f>
        <v/>
      </c>
      <c r="V238" s="41" t="str">
        <f>IF(V204&lt;&gt;"",IF(OR(COUNTIF(V204,"L*"),COUNTIF(V204, "X*")),SUBSTITUTE(SUBSTITUTE(SUBSTITUTE(SUBSTITUTE(V204,"P",""),"I",""),"V",""),"B","") &amp; IF(COUNTIF(V204, "*"&amp;'ARDT Cutter Entry'!$BN$3&amp;"*"),"",IF(COUNTIF(V204, "*"&amp;'ARDT Cutter Entry'!$BN$4&amp;"*"),"",IF(COUNTIF(V204,"*"&amp;'ARDT Cutter Entry'!$BN$5&amp;"*"),"",IF(COUNTIF(V204,"*"&amp;'ARDT Cutter Entry'!$BN$6&amp;"*"),"",IF(COUNTIF(V204,"*"&amp;'ARDT Cutter Entry'!$BN$7&amp;"*"),"",Data!CK49))))),SUBSTITUTE(SUBSTITUTE(SUBSTITUTE(SUBSTITUTE(SUBSTITUTE(SUBSTITUTE(SUBSTITUTE(SUBSTITUTE(SUBSTITUTE(V204,'ARDT Cutter Entry'!$BN$3,""),'ARDT Cutter Entry'!$BN$4,""),'ARDT Cutter Entry'!$BN$5,""),'ARDT Cutter Entry'!$BN$6,""),'ARDT Cutter Entry'!$BN$7,""),"P",""),"I",""),"V",""),"B","")&amp;Data!CK49),IF(AND(Data!CK49&lt;&gt;0,Data!CK49&lt;&gt;""),IF(V221&lt;&gt;"",V221,"O"),""))</f>
        <v/>
      </c>
      <c r="W238" s="41" t="str">
        <f>IF(W204&lt;&gt;"",IF(OR(COUNTIF(W204,"L*"),COUNTIF(W204, "X*")),SUBSTITUTE(SUBSTITUTE(SUBSTITUTE(SUBSTITUTE(W204,"P",""),"I",""),"V",""),"B","") &amp; IF(COUNTIF(W204, "*"&amp;'ARDT Cutter Entry'!$BN$3&amp;"*"),"",IF(COUNTIF(W204, "*"&amp;'ARDT Cutter Entry'!$BN$4&amp;"*"),"",IF(COUNTIF(W204,"*"&amp;'ARDT Cutter Entry'!$BN$5&amp;"*"),"",IF(COUNTIF(W204,"*"&amp;'ARDT Cutter Entry'!$BN$6&amp;"*"),"",IF(COUNTIF(W204,"*"&amp;'ARDT Cutter Entry'!$BN$7&amp;"*"),"",Data!CL49))))),SUBSTITUTE(SUBSTITUTE(SUBSTITUTE(SUBSTITUTE(SUBSTITUTE(SUBSTITUTE(SUBSTITUTE(SUBSTITUTE(SUBSTITUTE(W204,'ARDT Cutter Entry'!$BN$3,""),'ARDT Cutter Entry'!$BN$4,""),'ARDT Cutter Entry'!$BN$5,""),'ARDT Cutter Entry'!$BN$6,""),'ARDT Cutter Entry'!$BN$7,""),"P",""),"I",""),"V",""),"B","")&amp;Data!CL49),IF(AND(Data!CL49&lt;&gt;0,Data!CL49&lt;&gt;""),IF(W221&lt;&gt;"",W221,"O"),""))</f>
        <v/>
      </c>
      <c r="X238" s="41" t="str">
        <f>IF(X204&lt;&gt;"",IF(OR(COUNTIF(X204,"L*"),COUNTIF(X204, "X*")),SUBSTITUTE(SUBSTITUTE(SUBSTITUTE(SUBSTITUTE(X204,"P",""),"I",""),"V",""),"B","") &amp; IF(COUNTIF(X204, "*"&amp;'ARDT Cutter Entry'!$BN$3&amp;"*"),"",IF(COUNTIF(X204, "*"&amp;'ARDT Cutter Entry'!$BN$4&amp;"*"),"",IF(COUNTIF(X204,"*"&amp;'ARDT Cutter Entry'!$BN$5&amp;"*"),"",IF(COUNTIF(X204,"*"&amp;'ARDT Cutter Entry'!$BN$6&amp;"*"),"",IF(COUNTIF(X204,"*"&amp;'ARDT Cutter Entry'!$BN$7&amp;"*"),"",Data!CM49))))),SUBSTITUTE(SUBSTITUTE(SUBSTITUTE(SUBSTITUTE(SUBSTITUTE(SUBSTITUTE(SUBSTITUTE(SUBSTITUTE(SUBSTITUTE(X204,'ARDT Cutter Entry'!$BN$3,""),'ARDT Cutter Entry'!$BN$4,""),'ARDT Cutter Entry'!$BN$5,""),'ARDT Cutter Entry'!$BN$6,""),'ARDT Cutter Entry'!$BN$7,""),"P",""),"I",""),"V",""),"B","")&amp;Data!CM49),IF(AND(Data!CM49&lt;&gt;0,Data!CM49&lt;&gt;""),IF(X221&lt;&gt;"",X221,"O"),""))</f>
        <v/>
      </c>
      <c r="Y238" s="41" t="str">
        <f>IF(Y204&lt;&gt;"",IF(OR(COUNTIF(Y204,"L*"),COUNTIF(Y204, "X*")),SUBSTITUTE(SUBSTITUTE(SUBSTITUTE(SUBSTITUTE(Y204,"P",""),"I",""),"V",""),"B","") &amp; IF(COUNTIF(Y204, "*"&amp;'ARDT Cutter Entry'!$BN$3&amp;"*"),"",IF(COUNTIF(Y204, "*"&amp;'ARDT Cutter Entry'!$BN$4&amp;"*"),"",IF(COUNTIF(Y204,"*"&amp;'ARDT Cutter Entry'!$BN$5&amp;"*"),"",IF(COUNTIF(Y204,"*"&amp;'ARDT Cutter Entry'!$BN$6&amp;"*"),"",IF(COUNTIF(Y204,"*"&amp;'ARDT Cutter Entry'!$BN$7&amp;"*"),"",Data!CN49))))),SUBSTITUTE(SUBSTITUTE(SUBSTITUTE(SUBSTITUTE(SUBSTITUTE(SUBSTITUTE(SUBSTITUTE(SUBSTITUTE(SUBSTITUTE(Y204,'ARDT Cutter Entry'!$BN$3,""),'ARDT Cutter Entry'!$BN$4,""),'ARDT Cutter Entry'!$BN$5,""),'ARDT Cutter Entry'!$BN$6,""),'ARDT Cutter Entry'!$BN$7,""),"P",""),"I",""),"V",""),"B","")&amp;Data!CN49),IF(AND(Data!CN49&lt;&gt;0,Data!CN49&lt;&gt;""),IF(Y221&lt;&gt;"",Y221,"O"),""))</f>
        <v/>
      </c>
      <c r="Z238" s="41" t="str">
        <f>IF(Z204&lt;&gt;"",IF(OR(COUNTIF(Z204,"L*"),COUNTIF(Z204, "X*")),SUBSTITUTE(SUBSTITUTE(SUBSTITUTE(SUBSTITUTE(Z204,"P",""),"I",""),"V",""),"B","") &amp; IF(COUNTIF(Z204, "*"&amp;'ARDT Cutter Entry'!$BN$3&amp;"*"),"",IF(COUNTIF(Z204, "*"&amp;'ARDT Cutter Entry'!$BN$4&amp;"*"),"",IF(COUNTIF(Z204,"*"&amp;'ARDT Cutter Entry'!$BN$5&amp;"*"),"",IF(COUNTIF(Z204,"*"&amp;'ARDT Cutter Entry'!$BN$6&amp;"*"),"",IF(COUNTIF(Z204,"*"&amp;'ARDT Cutter Entry'!$BN$7&amp;"*"),"",Data!CO49))))),SUBSTITUTE(SUBSTITUTE(SUBSTITUTE(SUBSTITUTE(SUBSTITUTE(SUBSTITUTE(SUBSTITUTE(SUBSTITUTE(SUBSTITUTE(Z204,'ARDT Cutter Entry'!$BN$3,""),'ARDT Cutter Entry'!$BN$4,""),'ARDT Cutter Entry'!$BN$5,""),'ARDT Cutter Entry'!$BN$6,""),'ARDT Cutter Entry'!$BN$7,""),"P",""),"I",""),"V",""),"B","")&amp;Data!CO49),IF(AND(Data!CO49&lt;&gt;0,Data!CO49&lt;&gt;""),IF(Z221&lt;&gt;"",Z221,"O"),""))</f>
        <v/>
      </c>
      <c r="AA238" s="41" t="str">
        <f>IF(AA204&lt;&gt;"",IF(OR(COUNTIF(AA204,"L*"),COUNTIF(AA204, "X*")),SUBSTITUTE(SUBSTITUTE(SUBSTITUTE(SUBSTITUTE(AA204,"P",""),"I",""),"V",""),"B","") &amp; IF(COUNTIF(AA204, "*"&amp;'ARDT Cutter Entry'!$BN$3&amp;"*"),"",IF(COUNTIF(AA204, "*"&amp;'ARDT Cutter Entry'!$BN$4&amp;"*"),"",IF(COUNTIF(AA204,"*"&amp;'ARDT Cutter Entry'!$BN$5&amp;"*"),"",IF(COUNTIF(AA204,"*"&amp;'ARDT Cutter Entry'!$BN$6&amp;"*"),"",IF(COUNTIF(AA204,"*"&amp;'ARDT Cutter Entry'!$BN$7&amp;"*"),"",Data!CP49))))),SUBSTITUTE(SUBSTITUTE(SUBSTITUTE(SUBSTITUTE(SUBSTITUTE(SUBSTITUTE(SUBSTITUTE(SUBSTITUTE(SUBSTITUTE(AA204,'ARDT Cutter Entry'!$BN$3,""),'ARDT Cutter Entry'!$BN$4,""),'ARDT Cutter Entry'!$BN$5,""),'ARDT Cutter Entry'!$BN$6,""),'ARDT Cutter Entry'!$BN$7,""),"P",""),"I",""),"V",""),"B","")&amp;Data!CP49),IF(AND(Data!CP49&lt;&gt;0,Data!CP49&lt;&gt;""),IF(AA221&lt;&gt;"",AA221,"O"),""))</f>
        <v/>
      </c>
      <c r="AB238" s="41" t="str">
        <f>IF(AB204&lt;&gt;"",IF(OR(COUNTIF(AB204,"L*"),COUNTIF(AB204, "X*")),SUBSTITUTE(SUBSTITUTE(SUBSTITUTE(SUBSTITUTE(AB204,"P",""),"I",""),"V",""),"B","") &amp; IF(COUNTIF(AB204, "*"&amp;'ARDT Cutter Entry'!$BN$3&amp;"*"),"",IF(COUNTIF(AB204, "*"&amp;'ARDT Cutter Entry'!$BN$4&amp;"*"),"",IF(COUNTIF(AB204,"*"&amp;'ARDT Cutter Entry'!$BN$5&amp;"*"),"",IF(COUNTIF(AB204,"*"&amp;'ARDT Cutter Entry'!$BN$6&amp;"*"),"",IF(COUNTIF(AB204,"*"&amp;'ARDT Cutter Entry'!$BN$7&amp;"*"),"",Data!CQ49))))),SUBSTITUTE(SUBSTITUTE(SUBSTITUTE(SUBSTITUTE(SUBSTITUTE(SUBSTITUTE(SUBSTITUTE(SUBSTITUTE(SUBSTITUTE(AB204,'ARDT Cutter Entry'!$BN$3,""),'ARDT Cutter Entry'!$BN$4,""),'ARDT Cutter Entry'!$BN$5,""),'ARDT Cutter Entry'!$BN$6,""),'ARDT Cutter Entry'!$BN$7,""),"P",""),"I",""),"V",""),"B","")&amp;Data!CQ49),IF(AND(Data!CQ49&lt;&gt;0,Data!CQ49&lt;&gt;""),IF(AB221&lt;&gt;"",AB221,"O"),""))</f>
        <v/>
      </c>
      <c r="AC238" s="41" t="str">
        <f>IF(AC204&lt;&gt;"",IF(OR(COUNTIF(AC204,"L*"),COUNTIF(AC204, "X*")),SUBSTITUTE(SUBSTITUTE(SUBSTITUTE(SUBSTITUTE(AC204,"P",""),"I",""),"V",""),"B","") &amp; IF(COUNTIF(AC204, "*"&amp;'ARDT Cutter Entry'!$BN$3&amp;"*"),"",IF(COUNTIF(AC204, "*"&amp;'ARDT Cutter Entry'!$BN$4&amp;"*"),"",IF(COUNTIF(AC204,"*"&amp;'ARDT Cutter Entry'!$BN$5&amp;"*"),"",IF(COUNTIF(AC204,"*"&amp;'ARDT Cutter Entry'!$BN$6&amp;"*"),"",IF(COUNTIF(AC204,"*"&amp;'ARDT Cutter Entry'!$BN$7&amp;"*"),"",Data!CR49))))),SUBSTITUTE(SUBSTITUTE(SUBSTITUTE(SUBSTITUTE(SUBSTITUTE(SUBSTITUTE(SUBSTITUTE(SUBSTITUTE(SUBSTITUTE(AC204,'ARDT Cutter Entry'!$BN$3,""),'ARDT Cutter Entry'!$BN$4,""),'ARDT Cutter Entry'!$BN$5,""),'ARDT Cutter Entry'!$BN$6,""),'ARDT Cutter Entry'!$BN$7,""),"P",""),"I",""),"V",""),"B","")&amp;Data!CR49),IF(AND(Data!CR49&lt;&gt;0,Data!CR49&lt;&gt;""),IF(AC221&lt;&gt;"",AC221,"O"),""))</f>
        <v/>
      </c>
      <c r="AD238" s="41" t="str">
        <f>IF(AD204&lt;&gt;"",IF(OR(COUNTIF(AD204,"L*"),COUNTIF(AD204, "X*")),SUBSTITUTE(SUBSTITUTE(SUBSTITUTE(SUBSTITUTE(AD204,"P",""),"I",""),"V",""),"B","") &amp; IF(COUNTIF(AD204, "*"&amp;'ARDT Cutter Entry'!$BN$3&amp;"*"),"",IF(COUNTIF(AD204, "*"&amp;'ARDT Cutter Entry'!$BN$4&amp;"*"),"",IF(COUNTIF(AD204,"*"&amp;'ARDT Cutter Entry'!$BN$5&amp;"*"),"",IF(COUNTIF(AD204,"*"&amp;'ARDT Cutter Entry'!$BN$6&amp;"*"),"",IF(COUNTIF(AD204,"*"&amp;'ARDT Cutter Entry'!$BN$7&amp;"*"),"",Data!CS49))))),SUBSTITUTE(SUBSTITUTE(SUBSTITUTE(SUBSTITUTE(SUBSTITUTE(SUBSTITUTE(SUBSTITUTE(SUBSTITUTE(SUBSTITUTE(AD204,'ARDT Cutter Entry'!$BN$3,""),'ARDT Cutter Entry'!$BN$4,""),'ARDT Cutter Entry'!$BN$5,""),'ARDT Cutter Entry'!$BN$6,""),'ARDT Cutter Entry'!$BN$7,""),"P",""),"I",""),"V",""),"B","")&amp;Data!CS49),IF(AND(Data!CS49&lt;&gt;0,Data!CS49&lt;&gt;""),IF(AD221&lt;&gt;"",AD221,"O"),""))</f>
        <v/>
      </c>
      <c r="AE238" s="41" t="str">
        <f>IF(AE204&lt;&gt;"",IF(OR(COUNTIF(AE204,"L*"),COUNTIF(AE204, "X*")),SUBSTITUTE(SUBSTITUTE(SUBSTITUTE(SUBSTITUTE(AE204,"P",""),"I",""),"V",""),"B","") &amp; IF(COUNTIF(AE204, "*"&amp;'ARDT Cutter Entry'!$BN$3&amp;"*"),"",IF(COUNTIF(AE204, "*"&amp;'ARDT Cutter Entry'!$BN$4&amp;"*"),"",IF(COUNTIF(AE204,"*"&amp;'ARDT Cutter Entry'!$BN$5&amp;"*"),"",IF(COUNTIF(AE204,"*"&amp;'ARDT Cutter Entry'!$BN$6&amp;"*"),"",IF(COUNTIF(AE204,"*"&amp;'ARDT Cutter Entry'!$BN$7&amp;"*"),"",Data!CT49))))),SUBSTITUTE(SUBSTITUTE(SUBSTITUTE(SUBSTITUTE(SUBSTITUTE(SUBSTITUTE(SUBSTITUTE(SUBSTITUTE(SUBSTITUTE(AE204,'ARDT Cutter Entry'!$BN$3,""),'ARDT Cutter Entry'!$BN$4,""),'ARDT Cutter Entry'!$BN$5,""),'ARDT Cutter Entry'!$BN$6,""),'ARDT Cutter Entry'!$BN$7,""),"P",""),"I",""),"V",""),"B","")&amp;Data!CT49),IF(AND(Data!CT49&lt;&gt;0,Data!CT49&lt;&gt;""),IF(AE221&lt;&gt;"",AE221,"O"),""))</f>
        <v/>
      </c>
      <c r="AF238" s="41" t="str">
        <f>IF(AF204&lt;&gt;"",IF(OR(COUNTIF(AF204,"L*"),COUNTIF(AF204, "X*")),SUBSTITUTE(SUBSTITUTE(SUBSTITUTE(SUBSTITUTE(AF204,"P",""),"I",""),"V",""),"B","") &amp; IF(COUNTIF(AF204, "*"&amp;'ARDT Cutter Entry'!$BN$3&amp;"*"),"",IF(COUNTIF(AF204, "*"&amp;'ARDT Cutter Entry'!$BN$4&amp;"*"),"",IF(COUNTIF(AF204,"*"&amp;'ARDT Cutter Entry'!$BN$5&amp;"*"),"",IF(COUNTIF(AF204,"*"&amp;'ARDT Cutter Entry'!$BN$6&amp;"*"),"",IF(COUNTIF(AF204,"*"&amp;'ARDT Cutter Entry'!$BN$7&amp;"*"),"",Data!CU49))))),SUBSTITUTE(SUBSTITUTE(SUBSTITUTE(SUBSTITUTE(SUBSTITUTE(SUBSTITUTE(SUBSTITUTE(SUBSTITUTE(SUBSTITUTE(AF204,'ARDT Cutter Entry'!$BN$3,""),'ARDT Cutter Entry'!$BN$4,""),'ARDT Cutter Entry'!$BN$5,""),'ARDT Cutter Entry'!$BN$6,""),'ARDT Cutter Entry'!$BN$7,""),"P",""),"I",""),"V",""),"B","")&amp;Data!CU49),IF(AND(Data!CU49&lt;&gt;0,Data!CU49&lt;&gt;""),IF(AF221&lt;&gt;"",AF221,"O"),""))</f>
        <v/>
      </c>
      <c r="AG238" s="41" t="str">
        <f>IF(AG204&lt;&gt;"",IF(OR(COUNTIF(AG204,"L*"),COUNTIF(AG204, "X*")),SUBSTITUTE(SUBSTITUTE(SUBSTITUTE(SUBSTITUTE(AG204,"P",""),"I",""),"V",""),"B","") &amp; IF(COUNTIF(AG204, "*"&amp;'ARDT Cutter Entry'!$BN$3&amp;"*"),"",IF(COUNTIF(AG204, "*"&amp;'ARDT Cutter Entry'!$BN$4&amp;"*"),"",IF(COUNTIF(AG204,"*"&amp;'ARDT Cutter Entry'!$BN$5&amp;"*"),"",IF(COUNTIF(AG204,"*"&amp;'ARDT Cutter Entry'!$BN$6&amp;"*"),"",IF(COUNTIF(AG204,"*"&amp;'ARDT Cutter Entry'!$BN$7&amp;"*"),"",Data!CV49))))),SUBSTITUTE(SUBSTITUTE(SUBSTITUTE(SUBSTITUTE(SUBSTITUTE(SUBSTITUTE(SUBSTITUTE(SUBSTITUTE(SUBSTITUTE(AG204,'ARDT Cutter Entry'!$BN$3,""),'ARDT Cutter Entry'!$BN$4,""),'ARDT Cutter Entry'!$BN$5,""),'ARDT Cutter Entry'!$BN$6,""),'ARDT Cutter Entry'!$BN$7,""),"P",""),"I",""),"V",""),"B","")&amp;Data!CV49),IF(AND(Data!CV49&lt;&gt;0,Data!CV49&lt;&gt;""),IF(AG221&lt;&gt;"",AG221,"O"),""))</f>
        <v/>
      </c>
      <c r="AH238" s="41" t="str">
        <f>IF(AH204&lt;&gt;"",IF(OR(COUNTIF(AH204,"L*"),COUNTIF(AH204, "X*")),SUBSTITUTE(SUBSTITUTE(SUBSTITUTE(SUBSTITUTE(AH204,"P",""),"I",""),"V",""),"B","") &amp; IF(COUNTIF(AH204, "*"&amp;'ARDT Cutter Entry'!$BN$3&amp;"*"),"",IF(COUNTIF(AH204, "*"&amp;'ARDT Cutter Entry'!$BN$4&amp;"*"),"",IF(COUNTIF(AH204,"*"&amp;'ARDT Cutter Entry'!$BN$5&amp;"*"),"",IF(COUNTIF(AH204,"*"&amp;'ARDT Cutter Entry'!$BN$6&amp;"*"),"",IF(COUNTIF(AH204,"*"&amp;'ARDT Cutter Entry'!$BN$7&amp;"*"),"",Data!CW49))))),SUBSTITUTE(SUBSTITUTE(SUBSTITUTE(SUBSTITUTE(SUBSTITUTE(SUBSTITUTE(SUBSTITUTE(SUBSTITUTE(SUBSTITUTE(AH204,'ARDT Cutter Entry'!$BN$3,""),'ARDT Cutter Entry'!$BN$4,""),'ARDT Cutter Entry'!$BN$5,""),'ARDT Cutter Entry'!$BN$6,""),'ARDT Cutter Entry'!$BN$7,""),"P",""),"I",""),"V",""),"B","")&amp;Data!CW49),IF(AND(Data!CW49&lt;&gt;0,Data!CW49&lt;&gt;""),IF(AH221&lt;&gt;"",AH221,"O"),""))</f>
        <v/>
      </c>
      <c r="AI238" s="41" t="str">
        <f>IF(AI204&lt;&gt;"",IF(OR(COUNTIF(AI204,"L*"),COUNTIF(AI204, "X*")),SUBSTITUTE(SUBSTITUTE(SUBSTITUTE(SUBSTITUTE(AI204,"P",""),"I",""),"V",""),"B","") &amp; IF(COUNTIF(AI204, "*"&amp;'ARDT Cutter Entry'!$BN$3&amp;"*"),"",IF(COUNTIF(AI204, "*"&amp;'ARDT Cutter Entry'!$BN$4&amp;"*"),"",IF(COUNTIF(AI204,"*"&amp;'ARDT Cutter Entry'!$BN$5&amp;"*"),"",IF(COUNTIF(AI204,"*"&amp;'ARDT Cutter Entry'!$BN$6&amp;"*"),"",IF(COUNTIF(AI204,"*"&amp;'ARDT Cutter Entry'!$BN$7&amp;"*"),"",Data!CX49))))),SUBSTITUTE(SUBSTITUTE(SUBSTITUTE(SUBSTITUTE(SUBSTITUTE(SUBSTITUTE(SUBSTITUTE(SUBSTITUTE(SUBSTITUTE(AI204,'ARDT Cutter Entry'!$BN$3,""),'ARDT Cutter Entry'!$BN$4,""),'ARDT Cutter Entry'!$BN$5,""),'ARDT Cutter Entry'!$BN$6,""),'ARDT Cutter Entry'!$BN$7,""),"P",""),"I",""),"V",""),"B","")&amp;Data!CX49),IF(AND(Data!CX49&lt;&gt;0,Data!CX49&lt;&gt;""),IF(AI221&lt;&gt;"",AI221,"O"),""))</f>
        <v/>
      </c>
      <c r="AJ238" s="41" t="str">
        <f>IF(AJ204&lt;&gt;"",IF(OR(COUNTIF(AJ204,"L*"),COUNTIF(AJ204, "X*")),SUBSTITUTE(SUBSTITUTE(SUBSTITUTE(SUBSTITUTE(AJ204,"P",""),"I",""),"V",""),"B","") &amp; IF(COUNTIF(AJ204, "*"&amp;'ARDT Cutter Entry'!$BN$3&amp;"*"),"",IF(COUNTIF(AJ204, "*"&amp;'ARDT Cutter Entry'!$BN$4&amp;"*"),"",IF(COUNTIF(AJ204,"*"&amp;'ARDT Cutter Entry'!$BN$5&amp;"*"),"",IF(COUNTIF(AJ204,"*"&amp;'ARDT Cutter Entry'!$BN$6&amp;"*"),"",IF(COUNTIF(AJ204,"*"&amp;'ARDT Cutter Entry'!$BN$7&amp;"*"),"",Data!CY49))))),SUBSTITUTE(SUBSTITUTE(SUBSTITUTE(SUBSTITUTE(SUBSTITUTE(SUBSTITUTE(SUBSTITUTE(SUBSTITUTE(SUBSTITUTE(AJ204,'ARDT Cutter Entry'!$BN$3,""),'ARDT Cutter Entry'!$BN$4,""),'ARDT Cutter Entry'!$BN$5,""),'ARDT Cutter Entry'!$BN$6,""),'ARDT Cutter Entry'!$BN$7,""),"P",""),"I",""),"V",""),"B","")&amp;Data!CY49),IF(AND(Data!CY49&lt;&gt;0,Data!CY49&lt;&gt;""),IF(AJ221&lt;&gt;"",AJ221,"O"),""))</f>
        <v/>
      </c>
      <c r="AK238" t="str">
        <f>IF(AND(Data!BR46&lt;&gt;0,Data!BR46&lt;&gt;""),IF(C5&lt;&gt;"",C5,"O"),"O")</f>
        <v>O</v>
      </c>
    </row>
    <row r="239" spans="1:54" ht="23.25" customHeight="1" x14ac:dyDescent="0.35">
      <c r="A239" s="1196"/>
      <c r="B239" s="22">
        <v>5</v>
      </c>
      <c r="C239" s="41" t="str">
        <f>IF(C205&lt;&gt;"",IF(OR(COUNTIF(C205,"L*"),COUNTIF(C205, "X*")),SUBSTITUTE(SUBSTITUTE(SUBSTITUTE(SUBSTITUTE(C205,"P",""),"I",""),"V",""),"B","") &amp; IF(COUNTIF(C205, "*"&amp;'ARDT Cutter Entry'!$BN$3&amp;"*"),"",IF(COUNTIF(C205, "*"&amp;'ARDT Cutter Entry'!$BN$4&amp;"*"),"",IF(COUNTIF(C205,"*"&amp;'ARDT Cutter Entry'!$BN$5&amp;"*"),"",IF(COUNTIF(C205,"*"&amp;'ARDT Cutter Entry'!$BN$6&amp;"*"),"",IF(COUNTIF(C205,"*"&amp;'ARDT Cutter Entry'!$BN$7&amp;"*"),"",Data!BR50))))),SUBSTITUTE(SUBSTITUTE(SUBSTITUTE(SUBSTITUTE(SUBSTITUTE(SUBSTITUTE(SUBSTITUTE(SUBSTITUTE(SUBSTITUTE(C205,'ARDT Cutter Entry'!$BN$3,""),'ARDT Cutter Entry'!$BN$4,""),'ARDT Cutter Entry'!$BN$5,""),'ARDT Cutter Entry'!$BN$6,""),'ARDT Cutter Entry'!$BN$7,""),"P",""),"I",""),"V",""),"B","")&amp;Data!BR50),IF(AND(Data!BR50&lt;&gt;0,Data!BR50&lt;&gt;""),IF(C222&lt;&gt;"",C222,"O"),""))</f>
        <v>O</v>
      </c>
      <c r="D239" s="41" t="str">
        <f>IF(D205&lt;&gt;"",IF(OR(COUNTIF(D205,"L*"),COUNTIF(D205, "X*")),SUBSTITUTE(SUBSTITUTE(SUBSTITUTE(SUBSTITUTE(D205,"P",""),"I",""),"V",""),"B","") &amp; IF(COUNTIF(D205, "*"&amp;'ARDT Cutter Entry'!$BN$3&amp;"*"),"",IF(COUNTIF(D205, "*"&amp;'ARDT Cutter Entry'!$BN$4&amp;"*"),"",IF(COUNTIF(D205,"*"&amp;'ARDT Cutter Entry'!$BN$5&amp;"*"),"",IF(COUNTIF(D205,"*"&amp;'ARDT Cutter Entry'!$BN$6&amp;"*"),"",IF(COUNTIF(D205,"*"&amp;'ARDT Cutter Entry'!$BN$7&amp;"*"),"",Data!BS50))))),SUBSTITUTE(SUBSTITUTE(SUBSTITUTE(SUBSTITUTE(SUBSTITUTE(SUBSTITUTE(SUBSTITUTE(SUBSTITUTE(SUBSTITUTE(D205,'ARDT Cutter Entry'!$BN$3,""),'ARDT Cutter Entry'!$BN$4,""),'ARDT Cutter Entry'!$BN$5,""),'ARDT Cutter Entry'!$BN$6,""),'ARDT Cutter Entry'!$BN$7,""),"P",""),"I",""),"V",""),"B","")&amp;Data!BS50),IF(AND(Data!BS50&lt;&gt;0,Data!BS50&lt;&gt;""),IF(D222&lt;&gt;"",D222,"O"),""))</f>
        <v>O</v>
      </c>
      <c r="E239" s="41" t="str">
        <f>IF(E205&lt;&gt;"",IF(OR(COUNTIF(E205,"L*"),COUNTIF(E205, "X*")),SUBSTITUTE(SUBSTITUTE(SUBSTITUTE(SUBSTITUTE(E205,"P",""),"I",""),"V",""),"B","") &amp; IF(COUNTIF(E205, "*"&amp;'ARDT Cutter Entry'!$BN$3&amp;"*"),"",IF(COUNTIF(E205, "*"&amp;'ARDT Cutter Entry'!$BN$4&amp;"*"),"",IF(COUNTIF(E205,"*"&amp;'ARDT Cutter Entry'!$BN$5&amp;"*"),"",IF(COUNTIF(E205,"*"&amp;'ARDT Cutter Entry'!$BN$6&amp;"*"),"",IF(COUNTIF(E205,"*"&amp;'ARDT Cutter Entry'!$BN$7&amp;"*"),"",Data!BT50))))),SUBSTITUTE(SUBSTITUTE(SUBSTITUTE(SUBSTITUTE(SUBSTITUTE(SUBSTITUTE(SUBSTITUTE(SUBSTITUTE(SUBSTITUTE(E205,'ARDT Cutter Entry'!$BN$3,""),'ARDT Cutter Entry'!$BN$4,""),'ARDT Cutter Entry'!$BN$5,""),'ARDT Cutter Entry'!$BN$6,""),'ARDT Cutter Entry'!$BN$7,""),"P",""),"I",""),"V",""),"B","")&amp;Data!BT50),IF(AND(Data!BT50&lt;&gt;0,Data!BT50&lt;&gt;""),IF(E222&lt;&gt;"",E222,"O"),""))</f>
        <v>O</v>
      </c>
      <c r="F239" s="41" t="str">
        <f>IF(F205&lt;&gt;"",IF(OR(COUNTIF(F205,"L*"),COUNTIF(F205, "X*")),SUBSTITUTE(SUBSTITUTE(SUBSTITUTE(SUBSTITUTE(F205,"P",""),"I",""),"V",""),"B","") &amp; IF(COUNTIF(F205, "*"&amp;'ARDT Cutter Entry'!$BN$3&amp;"*"),"",IF(COUNTIF(F205, "*"&amp;'ARDT Cutter Entry'!$BN$4&amp;"*"),"",IF(COUNTIF(F205,"*"&amp;'ARDT Cutter Entry'!$BN$5&amp;"*"),"",IF(COUNTIF(F205,"*"&amp;'ARDT Cutter Entry'!$BN$6&amp;"*"),"",IF(COUNTIF(F205,"*"&amp;'ARDT Cutter Entry'!$BN$7&amp;"*"),"",Data!BU50))))),SUBSTITUTE(SUBSTITUTE(SUBSTITUTE(SUBSTITUTE(SUBSTITUTE(SUBSTITUTE(SUBSTITUTE(SUBSTITUTE(SUBSTITUTE(F205,'ARDT Cutter Entry'!$BN$3,""),'ARDT Cutter Entry'!$BN$4,""),'ARDT Cutter Entry'!$BN$5,""),'ARDT Cutter Entry'!$BN$6,""),'ARDT Cutter Entry'!$BN$7,""),"P",""),"I",""),"V",""),"B","")&amp;Data!BU50),IF(AND(Data!BU50&lt;&gt;0,Data!BU50&lt;&gt;""),IF(F222&lt;&gt;"",F222,"O"),""))</f>
        <v>O</v>
      </c>
      <c r="G239" s="41" t="str">
        <f>IF(G205&lt;&gt;"",IF(OR(COUNTIF(G205,"L*"),COUNTIF(G205, "X*")),SUBSTITUTE(SUBSTITUTE(SUBSTITUTE(SUBSTITUTE(G205,"P",""),"I",""),"V",""),"B","") &amp; IF(COUNTIF(G205, "*"&amp;'ARDT Cutter Entry'!$BN$3&amp;"*"),"",IF(COUNTIF(G205, "*"&amp;'ARDT Cutter Entry'!$BN$4&amp;"*"),"",IF(COUNTIF(G205,"*"&amp;'ARDT Cutter Entry'!$BN$5&amp;"*"),"",IF(COUNTIF(G205,"*"&amp;'ARDT Cutter Entry'!$BN$6&amp;"*"),"",IF(COUNTIF(G205,"*"&amp;'ARDT Cutter Entry'!$BN$7&amp;"*"),"",Data!BV50))))),SUBSTITUTE(SUBSTITUTE(SUBSTITUTE(SUBSTITUTE(SUBSTITUTE(SUBSTITUTE(SUBSTITUTE(SUBSTITUTE(SUBSTITUTE(G205,'ARDT Cutter Entry'!$BN$3,""),'ARDT Cutter Entry'!$BN$4,""),'ARDT Cutter Entry'!$BN$5,""),'ARDT Cutter Entry'!$BN$6,""),'ARDT Cutter Entry'!$BN$7,""),"P",""),"I",""),"V",""),"B","")&amp;Data!BV50),IF(AND(Data!BV50&lt;&gt;0,Data!BV50&lt;&gt;""),IF(G222&lt;&gt;"",G222,"O"),""))</f>
        <v>O</v>
      </c>
      <c r="H239" s="41" t="str">
        <f>IF(H205&lt;&gt;"",IF(OR(COUNTIF(H205,"L*"),COUNTIF(H205, "X*")),SUBSTITUTE(SUBSTITUTE(SUBSTITUTE(SUBSTITUTE(H205,"P",""),"I",""),"V",""),"B","") &amp; IF(COUNTIF(H205, "*"&amp;'ARDT Cutter Entry'!$BN$3&amp;"*"),"",IF(COUNTIF(H205, "*"&amp;'ARDT Cutter Entry'!$BN$4&amp;"*"),"",IF(COUNTIF(H205,"*"&amp;'ARDT Cutter Entry'!$BN$5&amp;"*"),"",IF(COUNTIF(H205,"*"&amp;'ARDT Cutter Entry'!$BN$6&amp;"*"),"",IF(COUNTIF(H205,"*"&amp;'ARDT Cutter Entry'!$BN$7&amp;"*"),"",Data!BW50))))),SUBSTITUTE(SUBSTITUTE(SUBSTITUTE(SUBSTITUTE(SUBSTITUTE(SUBSTITUTE(SUBSTITUTE(SUBSTITUTE(SUBSTITUTE(H205,'ARDT Cutter Entry'!$BN$3,""),'ARDT Cutter Entry'!$BN$4,""),'ARDT Cutter Entry'!$BN$5,""),'ARDT Cutter Entry'!$BN$6,""),'ARDT Cutter Entry'!$BN$7,""),"P",""),"I",""),"V",""),"B","")&amp;Data!BW50),IF(AND(Data!BW50&lt;&gt;0,Data!BW50&lt;&gt;""),IF(H222&lt;&gt;"",H222,"O"),""))</f>
        <v>O</v>
      </c>
      <c r="I239" s="41" t="str">
        <f>IF(I205&lt;&gt;"",IF(OR(COUNTIF(I205,"L*"),COUNTIF(I205, "X*")),SUBSTITUTE(SUBSTITUTE(SUBSTITUTE(SUBSTITUTE(I205,"P",""),"I",""),"V",""),"B","") &amp; IF(COUNTIF(I205, "*"&amp;'ARDT Cutter Entry'!$BN$3&amp;"*"),"",IF(COUNTIF(I205, "*"&amp;'ARDT Cutter Entry'!$BN$4&amp;"*"),"",IF(COUNTIF(I205,"*"&amp;'ARDT Cutter Entry'!$BN$5&amp;"*"),"",IF(COUNTIF(I205,"*"&amp;'ARDT Cutter Entry'!$BN$6&amp;"*"),"",IF(COUNTIF(I205,"*"&amp;'ARDT Cutter Entry'!$BN$7&amp;"*"),"",Data!BX50))))),SUBSTITUTE(SUBSTITUTE(SUBSTITUTE(SUBSTITUTE(SUBSTITUTE(SUBSTITUTE(SUBSTITUTE(SUBSTITUTE(SUBSTITUTE(I205,'ARDT Cutter Entry'!$BN$3,""),'ARDT Cutter Entry'!$BN$4,""),'ARDT Cutter Entry'!$BN$5,""),'ARDT Cutter Entry'!$BN$6,""),'ARDT Cutter Entry'!$BN$7,""),"P",""),"I",""),"V",""),"B","")&amp;Data!BX50),IF(AND(Data!BX50&lt;&gt;0,Data!BX50&lt;&gt;""),IF(I222&lt;&gt;"",I222,"O"),""))</f>
        <v>O</v>
      </c>
      <c r="J239" s="41" t="str">
        <f>IF(J205&lt;&gt;"",IF(OR(COUNTIF(J205,"L*"),COUNTIF(J205, "X*")),SUBSTITUTE(SUBSTITUTE(SUBSTITUTE(SUBSTITUTE(J205,"P",""),"I",""),"V",""),"B","") &amp; IF(COUNTIF(J205, "*"&amp;'ARDT Cutter Entry'!$BN$3&amp;"*"),"",IF(COUNTIF(J205, "*"&amp;'ARDT Cutter Entry'!$BN$4&amp;"*"),"",IF(COUNTIF(J205,"*"&amp;'ARDT Cutter Entry'!$BN$5&amp;"*"),"",IF(COUNTIF(J205,"*"&amp;'ARDT Cutter Entry'!$BN$6&amp;"*"),"",IF(COUNTIF(J205,"*"&amp;'ARDT Cutter Entry'!$BN$7&amp;"*"),"",Data!BY50))))),SUBSTITUTE(SUBSTITUTE(SUBSTITUTE(SUBSTITUTE(SUBSTITUTE(SUBSTITUTE(SUBSTITUTE(SUBSTITUTE(SUBSTITUTE(J205,'ARDT Cutter Entry'!$BN$3,""),'ARDT Cutter Entry'!$BN$4,""),'ARDT Cutter Entry'!$BN$5,""),'ARDT Cutter Entry'!$BN$6,""),'ARDT Cutter Entry'!$BN$7,""),"P",""),"I",""),"V",""),"B","")&amp;Data!BY50),IF(AND(Data!BY50&lt;&gt;0,Data!BY50&lt;&gt;""),IF(J222&lt;&gt;"",J222,"O"),""))</f>
        <v>O</v>
      </c>
      <c r="K239" s="41" t="str">
        <f>IF(K205&lt;&gt;"",IF(OR(COUNTIF(K205,"L*"),COUNTIF(K205, "X*")),SUBSTITUTE(SUBSTITUTE(SUBSTITUTE(SUBSTITUTE(K205,"P",""),"I",""),"V",""),"B","") &amp; IF(COUNTIF(K205, "*"&amp;'ARDT Cutter Entry'!$BN$3&amp;"*"),"",IF(COUNTIF(K205, "*"&amp;'ARDT Cutter Entry'!$BN$4&amp;"*"),"",IF(COUNTIF(K205,"*"&amp;'ARDT Cutter Entry'!$BN$5&amp;"*"),"",IF(COUNTIF(K205,"*"&amp;'ARDT Cutter Entry'!$BN$6&amp;"*"),"",IF(COUNTIF(K205,"*"&amp;'ARDT Cutter Entry'!$BN$7&amp;"*"),"",Data!BZ50))))),SUBSTITUTE(SUBSTITUTE(SUBSTITUTE(SUBSTITUTE(SUBSTITUTE(SUBSTITUTE(SUBSTITUTE(SUBSTITUTE(SUBSTITUTE(K205,'ARDT Cutter Entry'!$BN$3,""),'ARDT Cutter Entry'!$BN$4,""),'ARDT Cutter Entry'!$BN$5,""),'ARDT Cutter Entry'!$BN$6,""),'ARDT Cutter Entry'!$BN$7,""),"P",""),"I",""),"V",""),"B","")&amp;Data!BZ50),IF(AND(Data!BZ50&lt;&gt;0,Data!BZ50&lt;&gt;""),IF(K222&lt;&gt;"",K222,"O"),""))</f>
        <v/>
      </c>
      <c r="L239" s="41" t="str">
        <f>IF(L205&lt;&gt;"",IF(OR(COUNTIF(L205,"L*"),COUNTIF(L205, "X*")),SUBSTITUTE(SUBSTITUTE(SUBSTITUTE(SUBSTITUTE(L205,"P",""),"I",""),"V",""),"B","") &amp; IF(COUNTIF(L205, "*"&amp;'ARDT Cutter Entry'!$BN$3&amp;"*"),"",IF(COUNTIF(L205, "*"&amp;'ARDT Cutter Entry'!$BN$4&amp;"*"),"",IF(COUNTIF(L205,"*"&amp;'ARDT Cutter Entry'!$BN$5&amp;"*"),"",IF(COUNTIF(L205,"*"&amp;'ARDT Cutter Entry'!$BN$6&amp;"*"),"",IF(COUNTIF(L205,"*"&amp;'ARDT Cutter Entry'!$BN$7&amp;"*"),"",Data!CA50))))),SUBSTITUTE(SUBSTITUTE(SUBSTITUTE(SUBSTITUTE(SUBSTITUTE(SUBSTITUTE(SUBSTITUTE(SUBSTITUTE(SUBSTITUTE(L205,'ARDT Cutter Entry'!$BN$3,""),'ARDT Cutter Entry'!$BN$4,""),'ARDT Cutter Entry'!$BN$5,""),'ARDT Cutter Entry'!$BN$6,""),'ARDT Cutter Entry'!$BN$7,""),"P",""),"I",""),"V",""),"B","")&amp;Data!CA50),IF(AND(Data!CA50&lt;&gt;0,Data!CA50&lt;&gt;""),IF(L222&lt;&gt;"",L222,"O"),""))</f>
        <v>O</v>
      </c>
      <c r="M239" s="41" t="str">
        <f>IF(M205&lt;&gt;"",IF(OR(COUNTIF(M205,"L*"),COUNTIF(M205, "X*")),SUBSTITUTE(SUBSTITUTE(SUBSTITUTE(SUBSTITUTE(M205,"P",""),"I",""),"V",""),"B","") &amp; IF(COUNTIF(M205, "*"&amp;'ARDT Cutter Entry'!$BN$3&amp;"*"),"",IF(COUNTIF(M205, "*"&amp;'ARDT Cutter Entry'!$BN$4&amp;"*"),"",IF(COUNTIF(M205,"*"&amp;'ARDT Cutter Entry'!$BN$5&amp;"*"),"",IF(COUNTIF(M205,"*"&amp;'ARDT Cutter Entry'!$BN$6&amp;"*"),"",IF(COUNTIF(M205,"*"&amp;'ARDT Cutter Entry'!$BN$7&amp;"*"),"",Data!CB50))))),SUBSTITUTE(SUBSTITUTE(SUBSTITUTE(SUBSTITUTE(SUBSTITUTE(SUBSTITUTE(SUBSTITUTE(SUBSTITUTE(SUBSTITUTE(M205,'ARDT Cutter Entry'!$BN$3,""),'ARDT Cutter Entry'!$BN$4,""),'ARDT Cutter Entry'!$BN$5,""),'ARDT Cutter Entry'!$BN$6,""),'ARDT Cutter Entry'!$BN$7,""),"P",""),"I",""),"V",""),"B","")&amp;Data!CB50),IF(AND(Data!CB50&lt;&gt;0,Data!CB50&lt;&gt;""),IF(M222&lt;&gt;"",M222,"O"),""))</f>
        <v>O</v>
      </c>
      <c r="N239" s="41" t="str">
        <f>IF(N205&lt;&gt;"",IF(OR(COUNTIF(N205,"L*"),COUNTIF(N205, "X*")),SUBSTITUTE(SUBSTITUTE(SUBSTITUTE(SUBSTITUTE(N205,"P",""),"I",""),"V",""),"B","") &amp; IF(COUNTIF(N205, "*"&amp;'ARDT Cutter Entry'!$BN$3&amp;"*"),"",IF(COUNTIF(N205, "*"&amp;'ARDT Cutter Entry'!$BN$4&amp;"*"),"",IF(COUNTIF(N205,"*"&amp;'ARDT Cutter Entry'!$BN$5&amp;"*"),"",IF(COUNTIF(N205,"*"&amp;'ARDT Cutter Entry'!$BN$6&amp;"*"),"",IF(COUNTIF(N205,"*"&amp;'ARDT Cutter Entry'!$BN$7&amp;"*"),"",Data!CC50))))),SUBSTITUTE(SUBSTITUTE(SUBSTITUTE(SUBSTITUTE(SUBSTITUTE(SUBSTITUTE(SUBSTITUTE(SUBSTITUTE(SUBSTITUTE(N205,'ARDT Cutter Entry'!$BN$3,""),'ARDT Cutter Entry'!$BN$4,""),'ARDT Cutter Entry'!$BN$5,""),'ARDT Cutter Entry'!$BN$6,""),'ARDT Cutter Entry'!$BN$7,""),"P",""),"I",""),"V",""),"B","")&amp;Data!CC50),IF(AND(Data!CC50&lt;&gt;0,Data!CC50&lt;&gt;""),IF(N222&lt;&gt;"",N222,"O"),""))</f>
        <v>O</v>
      </c>
      <c r="O239" s="41" t="str">
        <f>IF(O205&lt;&gt;"",IF(OR(COUNTIF(O205,"L*"),COUNTIF(O205, "X*")),SUBSTITUTE(SUBSTITUTE(SUBSTITUTE(SUBSTITUTE(O205,"P",""),"I",""),"V",""),"B","") &amp; IF(COUNTIF(O205, "*"&amp;'ARDT Cutter Entry'!$BN$3&amp;"*"),"",IF(COUNTIF(O205, "*"&amp;'ARDT Cutter Entry'!$BN$4&amp;"*"),"",IF(COUNTIF(O205,"*"&amp;'ARDT Cutter Entry'!$BN$5&amp;"*"),"",IF(COUNTIF(O205,"*"&amp;'ARDT Cutter Entry'!$BN$6&amp;"*"),"",IF(COUNTIF(O205,"*"&amp;'ARDT Cutter Entry'!$BN$7&amp;"*"),"",Data!CD50))))),SUBSTITUTE(SUBSTITUTE(SUBSTITUTE(SUBSTITUTE(SUBSTITUTE(SUBSTITUTE(SUBSTITUTE(SUBSTITUTE(SUBSTITUTE(O205,'ARDT Cutter Entry'!$BN$3,""),'ARDT Cutter Entry'!$BN$4,""),'ARDT Cutter Entry'!$BN$5,""),'ARDT Cutter Entry'!$BN$6,""),'ARDT Cutter Entry'!$BN$7,""),"P",""),"I",""),"V",""),"B","")&amp;Data!CD50),IF(AND(Data!CD50&lt;&gt;0,Data!CD50&lt;&gt;""),IF(O222&lt;&gt;"",O222,"O"),""))</f>
        <v>O</v>
      </c>
      <c r="P239" s="41" t="str">
        <f>IF(P205&lt;&gt;"",IF(OR(COUNTIF(P205,"L*"),COUNTIF(P205, "X*")),SUBSTITUTE(SUBSTITUTE(SUBSTITUTE(SUBSTITUTE(P205,"P",""),"I",""),"V",""),"B","") &amp; IF(COUNTIF(P205, "*"&amp;'ARDT Cutter Entry'!$BN$3&amp;"*"),"",IF(COUNTIF(P205, "*"&amp;'ARDT Cutter Entry'!$BN$4&amp;"*"),"",IF(COUNTIF(P205,"*"&amp;'ARDT Cutter Entry'!$BN$5&amp;"*"),"",IF(COUNTIF(P205,"*"&amp;'ARDT Cutter Entry'!$BN$6&amp;"*"),"",IF(COUNTIF(P205,"*"&amp;'ARDT Cutter Entry'!$BN$7&amp;"*"),"",Data!CE50))))),SUBSTITUTE(SUBSTITUTE(SUBSTITUTE(SUBSTITUTE(SUBSTITUTE(SUBSTITUTE(SUBSTITUTE(SUBSTITUTE(SUBSTITUTE(P205,'ARDT Cutter Entry'!$BN$3,""),'ARDT Cutter Entry'!$BN$4,""),'ARDT Cutter Entry'!$BN$5,""),'ARDT Cutter Entry'!$BN$6,""),'ARDT Cutter Entry'!$BN$7,""),"P",""),"I",""),"V",""),"B","")&amp;Data!CE50),IF(AND(Data!CE50&lt;&gt;0,Data!CE50&lt;&gt;""),IF(P222&lt;&gt;"",P222,"O"),""))</f>
        <v/>
      </c>
      <c r="Q239" s="41" t="str">
        <f>IF(Q205&lt;&gt;"",IF(OR(COUNTIF(Q205,"L*"),COUNTIF(Q205, "X*")),SUBSTITUTE(SUBSTITUTE(SUBSTITUTE(SUBSTITUTE(Q205,"P",""),"I",""),"V",""),"B","") &amp; IF(COUNTIF(Q205, "*"&amp;'ARDT Cutter Entry'!$BN$3&amp;"*"),"",IF(COUNTIF(Q205, "*"&amp;'ARDT Cutter Entry'!$BN$4&amp;"*"),"",IF(COUNTIF(Q205,"*"&amp;'ARDT Cutter Entry'!$BN$5&amp;"*"),"",IF(COUNTIF(Q205,"*"&amp;'ARDT Cutter Entry'!$BN$6&amp;"*"),"",IF(COUNTIF(Q205,"*"&amp;'ARDT Cutter Entry'!$BN$7&amp;"*"),"",Data!CF50))))),SUBSTITUTE(SUBSTITUTE(SUBSTITUTE(SUBSTITUTE(SUBSTITUTE(SUBSTITUTE(SUBSTITUTE(SUBSTITUTE(SUBSTITUTE(Q205,'ARDT Cutter Entry'!$BN$3,""),'ARDT Cutter Entry'!$BN$4,""),'ARDT Cutter Entry'!$BN$5,""),'ARDT Cutter Entry'!$BN$6,""),'ARDT Cutter Entry'!$BN$7,""),"P",""),"I",""),"V",""),"B","")&amp;Data!CF50),IF(AND(Data!CF50&lt;&gt;0,Data!CF50&lt;&gt;""),IF(Q222&lt;&gt;"",Q222,"O"),""))</f>
        <v/>
      </c>
      <c r="R239" s="41" t="str">
        <f>IF(R205&lt;&gt;"",IF(OR(COUNTIF(R205,"L*"),COUNTIF(R205, "X*")),SUBSTITUTE(SUBSTITUTE(SUBSTITUTE(SUBSTITUTE(R205,"P",""),"I",""),"V",""),"B","") &amp; IF(COUNTIF(R205, "*"&amp;'ARDT Cutter Entry'!$BN$3&amp;"*"),"",IF(COUNTIF(R205, "*"&amp;'ARDT Cutter Entry'!$BN$4&amp;"*"),"",IF(COUNTIF(R205,"*"&amp;'ARDT Cutter Entry'!$BN$5&amp;"*"),"",IF(COUNTIF(R205,"*"&amp;'ARDT Cutter Entry'!$BN$6&amp;"*"),"",IF(COUNTIF(R205,"*"&amp;'ARDT Cutter Entry'!$BN$7&amp;"*"),"",Data!CG50))))),SUBSTITUTE(SUBSTITUTE(SUBSTITUTE(SUBSTITUTE(SUBSTITUTE(SUBSTITUTE(SUBSTITUTE(SUBSTITUTE(SUBSTITUTE(R205,'ARDT Cutter Entry'!$BN$3,""),'ARDT Cutter Entry'!$BN$4,""),'ARDT Cutter Entry'!$BN$5,""),'ARDT Cutter Entry'!$BN$6,""),'ARDT Cutter Entry'!$BN$7,""),"P",""),"I",""),"V",""),"B","")&amp;Data!CG50),IF(AND(Data!CG50&lt;&gt;0,Data!CG50&lt;&gt;""),IF(R222&lt;&gt;"",R222,"O"),""))</f>
        <v/>
      </c>
      <c r="S239" s="41" t="str">
        <f>IF(S205&lt;&gt;"",IF(OR(COUNTIF(S205,"L*"),COUNTIF(S205, "X*")),SUBSTITUTE(SUBSTITUTE(SUBSTITUTE(SUBSTITUTE(S205,"P",""),"I",""),"V",""),"B","") &amp; IF(COUNTIF(S205, "*"&amp;'ARDT Cutter Entry'!$BN$3&amp;"*"),"",IF(COUNTIF(S205, "*"&amp;'ARDT Cutter Entry'!$BN$4&amp;"*"),"",IF(COUNTIF(S205,"*"&amp;'ARDT Cutter Entry'!$BN$5&amp;"*"),"",IF(COUNTIF(S205,"*"&amp;'ARDT Cutter Entry'!$BN$6&amp;"*"),"",IF(COUNTIF(S205,"*"&amp;'ARDT Cutter Entry'!$BN$7&amp;"*"),"",Data!CH50))))),SUBSTITUTE(SUBSTITUTE(SUBSTITUTE(SUBSTITUTE(SUBSTITUTE(SUBSTITUTE(SUBSTITUTE(SUBSTITUTE(SUBSTITUTE(S205,'ARDT Cutter Entry'!$BN$3,""),'ARDT Cutter Entry'!$BN$4,""),'ARDT Cutter Entry'!$BN$5,""),'ARDT Cutter Entry'!$BN$6,""),'ARDT Cutter Entry'!$BN$7,""),"P",""),"I",""),"V",""),"B","")&amp;Data!CH50),IF(AND(Data!CH50&lt;&gt;0,Data!CH50&lt;&gt;""),IF(S222&lt;&gt;"",S222,"O"),""))</f>
        <v/>
      </c>
      <c r="T239" s="41" t="str">
        <f>IF(T205&lt;&gt;"",IF(OR(COUNTIF(T205,"L*"),COUNTIF(T205, "X*")),SUBSTITUTE(SUBSTITUTE(SUBSTITUTE(SUBSTITUTE(T205,"P",""),"I",""),"V",""),"B","") &amp; IF(COUNTIF(T205, "*"&amp;'ARDT Cutter Entry'!$BN$3&amp;"*"),"",IF(COUNTIF(T205, "*"&amp;'ARDT Cutter Entry'!$BN$4&amp;"*"),"",IF(COUNTIF(T205,"*"&amp;'ARDT Cutter Entry'!$BN$5&amp;"*"),"",IF(COUNTIF(T205,"*"&amp;'ARDT Cutter Entry'!$BN$6&amp;"*"),"",IF(COUNTIF(T205,"*"&amp;'ARDT Cutter Entry'!$BN$7&amp;"*"),"",Data!CI50))))),SUBSTITUTE(SUBSTITUTE(SUBSTITUTE(SUBSTITUTE(SUBSTITUTE(SUBSTITUTE(SUBSTITUTE(SUBSTITUTE(SUBSTITUTE(T205,'ARDT Cutter Entry'!$BN$3,""),'ARDT Cutter Entry'!$BN$4,""),'ARDT Cutter Entry'!$BN$5,""),'ARDT Cutter Entry'!$BN$6,""),'ARDT Cutter Entry'!$BN$7,""),"P",""),"I",""),"V",""),"B","")&amp;Data!CI50),IF(AND(Data!CI50&lt;&gt;0,Data!CI50&lt;&gt;""),IF(T222&lt;&gt;"",T222,"O"),""))</f>
        <v/>
      </c>
      <c r="U239" s="41" t="str">
        <f>IF(U205&lt;&gt;"",IF(OR(COUNTIF(U205,"L*"),COUNTIF(U205, "X*")),SUBSTITUTE(SUBSTITUTE(SUBSTITUTE(SUBSTITUTE(U205,"P",""),"I",""),"V",""),"B","") &amp; IF(COUNTIF(U205, "*"&amp;'ARDT Cutter Entry'!$BN$3&amp;"*"),"",IF(COUNTIF(U205, "*"&amp;'ARDT Cutter Entry'!$BN$4&amp;"*"),"",IF(COUNTIF(U205,"*"&amp;'ARDT Cutter Entry'!$BN$5&amp;"*"),"",IF(COUNTIF(U205,"*"&amp;'ARDT Cutter Entry'!$BN$6&amp;"*"),"",IF(COUNTIF(U205,"*"&amp;'ARDT Cutter Entry'!$BN$7&amp;"*"),"",Data!CJ50))))),SUBSTITUTE(SUBSTITUTE(SUBSTITUTE(SUBSTITUTE(SUBSTITUTE(SUBSTITUTE(SUBSTITUTE(SUBSTITUTE(SUBSTITUTE(U205,'ARDT Cutter Entry'!$BN$3,""),'ARDT Cutter Entry'!$BN$4,""),'ARDT Cutter Entry'!$BN$5,""),'ARDT Cutter Entry'!$BN$6,""),'ARDT Cutter Entry'!$BN$7,""),"P",""),"I",""),"V",""),"B","")&amp;Data!CJ50),IF(AND(Data!CJ50&lt;&gt;0,Data!CJ50&lt;&gt;""),IF(U222&lt;&gt;"",U222,"O"),""))</f>
        <v/>
      </c>
      <c r="V239" s="41" t="str">
        <f>IF(V205&lt;&gt;"",IF(OR(COUNTIF(V205,"L*"),COUNTIF(V205, "X*")),SUBSTITUTE(SUBSTITUTE(SUBSTITUTE(SUBSTITUTE(V205,"P",""),"I",""),"V",""),"B","") &amp; IF(COUNTIF(V205, "*"&amp;'ARDT Cutter Entry'!$BN$3&amp;"*"),"",IF(COUNTIF(V205, "*"&amp;'ARDT Cutter Entry'!$BN$4&amp;"*"),"",IF(COUNTIF(V205,"*"&amp;'ARDT Cutter Entry'!$BN$5&amp;"*"),"",IF(COUNTIF(V205,"*"&amp;'ARDT Cutter Entry'!$BN$6&amp;"*"),"",IF(COUNTIF(V205,"*"&amp;'ARDT Cutter Entry'!$BN$7&amp;"*"),"",Data!CK50))))),SUBSTITUTE(SUBSTITUTE(SUBSTITUTE(SUBSTITUTE(SUBSTITUTE(SUBSTITUTE(SUBSTITUTE(SUBSTITUTE(SUBSTITUTE(V205,'ARDT Cutter Entry'!$BN$3,""),'ARDT Cutter Entry'!$BN$4,""),'ARDT Cutter Entry'!$BN$5,""),'ARDT Cutter Entry'!$BN$6,""),'ARDT Cutter Entry'!$BN$7,""),"P",""),"I",""),"V",""),"B","")&amp;Data!CK50),IF(AND(Data!CK50&lt;&gt;0,Data!CK50&lt;&gt;""),IF(V222&lt;&gt;"",V222,"O"),""))</f>
        <v/>
      </c>
      <c r="W239" s="41" t="str">
        <f>IF(W205&lt;&gt;"",IF(OR(COUNTIF(W205,"L*"),COUNTIF(W205, "X*")),SUBSTITUTE(SUBSTITUTE(SUBSTITUTE(SUBSTITUTE(W205,"P",""),"I",""),"V",""),"B","") &amp; IF(COUNTIF(W205, "*"&amp;'ARDT Cutter Entry'!$BN$3&amp;"*"),"",IF(COUNTIF(W205, "*"&amp;'ARDT Cutter Entry'!$BN$4&amp;"*"),"",IF(COUNTIF(W205,"*"&amp;'ARDT Cutter Entry'!$BN$5&amp;"*"),"",IF(COUNTIF(W205,"*"&amp;'ARDT Cutter Entry'!$BN$6&amp;"*"),"",IF(COUNTIF(W205,"*"&amp;'ARDT Cutter Entry'!$BN$7&amp;"*"),"",Data!CL50))))),SUBSTITUTE(SUBSTITUTE(SUBSTITUTE(SUBSTITUTE(SUBSTITUTE(SUBSTITUTE(SUBSTITUTE(SUBSTITUTE(SUBSTITUTE(W205,'ARDT Cutter Entry'!$BN$3,""),'ARDT Cutter Entry'!$BN$4,""),'ARDT Cutter Entry'!$BN$5,""),'ARDT Cutter Entry'!$BN$6,""),'ARDT Cutter Entry'!$BN$7,""),"P",""),"I",""),"V",""),"B","")&amp;Data!CL50),IF(AND(Data!CL50&lt;&gt;0,Data!CL50&lt;&gt;""),IF(W222&lt;&gt;"",W222,"O"),""))</f>
        <v/>
      </c>
      <c r="X239" s="41" t="str">
        <f>IF(X205&lt;&gt;"",IF(OR(COUNTIF(X205,"L*"),COUNTIF(X205, "X*")),SUBSTITUTE(SUBSTITUTE(SUBSTITUTE(SUBSTITUTE(X205,"P",""),"I",""),"V",""),"B","") &amp; IF(COUNTIF(X205, "*"&amp;'ARDT Cutter Entry'!$BN$3&amp;"*"),"",IF(COUNTIF(X205, "*"&amp;'ARDT Cutter Entry'!$BN$4&amp;"*"),"",IF(COUNTIF(X205,"*"&amp;'ARDT Cutter Entry'!$BN$5&amp;"*"),"",IF(COUNTIF(X205,"*"&amp;'ARDT Cutter Entry'!$BN$6&amp;"*"),"",IF(COUNTIF(X205,"*"&amp;'ARDT Cutter Entry'!$BN$7&amp;"*"),"",Data!CM50))))),SUBSTITUTE(SUBSTITUTE(SUBSTITUTE(SUBSTITUTE(SUBSTITUTE(SUBSTITUTE(SUBSTITUTE(SUBSTITUTE(SUBSTITUTE(X205,'ARDT Cutter Entry'!$BN$3,""),'ARDT Cutter Entry'!$BN$4,""),'ARDT Cutter Entry'!$BN$5,""),'ARDT Cutter Entry'!$BN$6,""),'ARDT Cutter Entry'!$BN$7,""),"P",""),"I",""),"V",""),"B","")&amp;Data!CM50),IF(AND(Data!CM50&lt;&gt;0,Data!CM50&lt;&gt;""),IF(X222&lt;&gt;"",X222,"O"),""))</f>
        <v/>
      </c>
      <c r="Y239" s="41" t="str">
        <f>IF(Y205&lt;&gt;"",IF(OR(COUNTIF(Y205,"L*"),COUNTIF(Y205, "X*")),SUBSTITUTE(SUBSTITUTE(SUBSTITUTE(SUBSTITUTE(Y205,"P",""),"I",""),"V",""),"B","") &amp; IF(COUNTIF(Y205, "*"&amp;'ARDT Cutter Entry'!$BN$3&amp;"*"),"",IF(COUNTIF(Y205, "*"&amp;'ARDT Cutter Entry'!$BN$4&amp;"*"),"",IF(COUNTIF(Y205,"*"&amp;'ARDT Cutter Entry'!$BN$5&amp;"*"),"",IF(COUNTIF(Y205,"*"&amp;'ARDT Cutter Entry'!$BN$6&amp;"*"),"",IF(COUNTIF(Y205,"*"&amp;'ARDT Cutter Entry'!$BN$7&amp;"*"),"",Data!CN50))))),SUBSTITUTE(SUBSTITUTE(SUBSTITUTE(SUBSTITUTE(SUBSTITUTE(SUBSTITUTE(SUBSTITUTE(SUBSTITUTE(SUBSTITUTE(Y205,'ARDT Cutter Entry'!$BN$3,""),'ARDT Cutter Entry'!$BN$4,""),'ARDT Cutter Entry'!$BN$5,""),'ARDT Cutter Entry'!$BN$6,""),'ARDT Cutter Entry'!$BN$7,""),"P",""),"I",""),"V",""),"B","")&amp;Data!CN50),IF(AND(Data!CN50&lt;&gt;0,Data!CN50&lt;&gt;""),IF(Y222&lt;&gt;"",Y222,"O"),""))</f>
        <v/>
      </c>
      <c r="Z239" s="41" t="str">
        <f>IF(Z205&lt;&gt;"",IF(OR(COUNTIF(Z205,"L*"),COUNTIF(Z205, "X*")),SUBSTITUTE(SUBSTITUTE(SUBSTITUTE(SUBSTITUTE(Z205,"P",""),"I",""),"V",""),"B","") &amp; IF(COUNTIF(Z205, "*"&amp;'ARDT Cutter Entry'!$BN$3&amp;"*"),"",IF(COUNTIF(Z205, "*"&amp;'ARDT Cutter Entry'!$BN$4&amp;"*"),"",IF(COUNTIF(Z205,"*"&amp;'ARDT Cutter Entry'!$BN$5&amp;"*"),"",IF(COUNTIF(Z205,"*"&amp;'ARDT Cutter Entry'!$BN$6&amp;"*"),"",IF(COUNTIF(Z205,"*"&amp;'ARDT Cutter Entry'!$BN$7&amp;"*"),"",Data!CO50))))),SUBSTITUTE(SUBSTITUTE(SUBSTITUTE(SUBSTITUTE(SUBSTITUTE(SUBSTITUTE(SUBSTITUTE(SUBSTITUTE(SUBSTITUTE(Z205,'ARDT Cutter Entry'!$BN$3,""),'ARDT Cutter Entry'!$BN$4,""),'ARDT Cutter Entry'!$BN$5,""),'ARDT Cutter Entry'!$BN$6,""),'ARDT Cutter Entry'!$BN$7,""),"P",""),"I",""),"V",""),"B","")&amp;Data!CO50),IF(AND(Data!CO50&lt;&gt;0,Data!CO50&lt;&gt;""),IF(Z222&lt;&gt;"",Z222,"O"),""))</f>
        <v/>
      </c>
      <c r="AA239" s="41" t="str">
        <f>IF(AA205&lt;&gt;"",IF(OR(COUNTIF(AA205,"L*"),COUNTIF(AA205, "X*")),SUBSTITUTE(SUBSTITUTE(SUBSTITUTE(SUBSTITUTE(AA205,"P",""),"I",""),"V",""),"B","") &amp; IF(COUNTIF(AA205, "*"&amp;'ARDT Cutter Entry'!$BN$3&amp;"*"),"",IF(COUNTIF(AA205, "*"&amp;'ARDT Cutter Entry'!$BN$4&amp;"*"),"",IF(COUNTIF(AA205,"*"&amp;'ARDT Cutter Entry'!$BN$5&amp;"*"),"",IF(COUNTIF(AA205,"*"&amp;'ARDT Cutter Entry'!$BN$6&amp;"*"),"",IF(COUNTIF(AA205,"*"&amp;'ARDT Cutter Entry'!$BN$7&amp;"*"),"",Data!CP50))))),SUBSTITUTE(SUBSTITUTE(SUBSTITUTE(SUBSTITUTE(SUBSTITUTE(SUBSTITUTE(SUBSTITUTE(SUBSTITUTE(SUBSTITUTE(AA205,'ARDT Cutter Entry'!$BN$3,""),'ARDT Cutter Entry'!$BN$4,""),'ARDT Cutter Entry'!$BN$5,""),'ARDT Cutter Entry'!$BN$6,""),'ARDT Cutter Entry'!$BN$7,""),"P",""),"I",""),"V",""),"B","")&amp;Data!CP50),IF(AND(Data!CP50&lt;&gt;0,Data!CP50&lt;&gt;""),IF(AA222&lt;&gt;"",AA222,"O"),""))</f>
        <v/>
      </c>
      <c r="AB239" s="41" t="str">
        <f>IF(AB205&lt;&gt;"",IF(OR(COUNTIF(AB205,"L*"),COUNTIF(AB205, "X*")),SUBSTITUTE(SUBSTITUTE(SUBSTITUTE(SUBSTITUTE(AB205,"P",""),"I",""),"V",""),"B","") &amp; IF(COUNTIF(AB205, "*"&amp;'ARDT Cutter Entry'!$BN$3&amp;"*"),"",IF(COUNTIF(AB205, "*"&amp;'ARDT Cutter Entry'!$BN$4&amp;"*"),"",IF(COUNTIF(AB205,"*"&amp;'ARDT Cutter Entry'!$BN$5&amp;"*"),"",IF(COUNTIF(AB205,"*"&amp;'ARDT Cutter Entry'!$BN$6&amp;"*"),"",IF(COUNTIF(AB205,"*"&amp;'ARDT Cutter Entry'!$BN$7&amp;"*"),"",Data!CQ50))))),SUBSTITUTE(SUBSTITUTE(SUBSTITUTE(SUBSTITUTE(SUBSTITUTE(SUBSTITUTE(SUBSTITUTE(SUBSTITUTE(SUBSTITUTE(AB205,'ARDT Cutter Entry'!$BN$3,""),'ARDT Cutter Entry'!$BN$4,""),'ARDT Cutter Entry'!$BN$5,""),'ARDT Cutter Entry'!$BN$6,""),'ARDT Cutter Entry'!$BN$7,""),"P",""),"I",""),"V",""),"B","")&amp;Data!CQ50),IF(AND(Data!CQ50&lt;&gt;0,Data!CQ50&lt;&gt;""),IF(AB222&lt;&gt;"",AB222,"O"),""))</f>
        <v/>
      </c>
      <c r="AC239" s="41" t="str">
        <f>IF(AC205&lt;&gt;"",IF(OR(COUNTIF(AC205,"L*"),COUNTIF(AC205, "X*")),SUBSTITUTE(SUBSTITUTE(SUBSTITUTE(SUBSTITUTE(AC205,"P",""),"I",""),"V",""),"B","") &amp; IF(COUNTIF(AC205, "*"&amp;'ARDT Cutter Entry'!$BN$3&amp;"*"),"",IF(COUNTIF(AC205, "*"&amp;'ARDT Cutter Entry'!$BN$4&amp;"*"),"",IF(COUNTIF(AC205,"*"&amp;'ARDT Cutter Entry'!$BN$5&amp;"*"),"",IF(COUNTIF(AC205,"*"&amp;'ARDT Cutter Entry'!$BN$6&amp;"*"),"",IF(COUNTIF(AC205,"*"&amp;'ARDT Cutter Entry'!$BN$7&amp;"*"),"",Data!CR50))))),SUBSTITUTE(SUBSTITUTE(SUBSTITUTE(SUBSTITUTE(SUBSTITUTE(SUBSTITUTE(SUBSTITUTE(SUBSTITUTE(SUBSTITUTE(AC205,'ARDT Cutter Entry'!$BN$3,""),'ARDT Cutter Entry'!$BN$4,""),'ARDT Cutter Entry'!$BN$5,""),'ARDT Cutter Entry'!$BN$6,""),'ARDT Cutter Entry'!$BN$7,""),"P",""),"I",""),"V",""),"B","")&amp;Data!CR50),IF(AND(Data!CR50&lt;&gt;0,Data!CR50&lt;&gt;""),IF(AC222&lt;&gt;"",AC222,"O"),""))</f>
        <v/>
      </c>
      <c r="AD239" s="41" t="str">
        <f>IF(AD205&lt;&gt;"",IF(OR(COUNTIF(AD205,"L*"),COUNTIF(AD205, "X*")),SUBSTITUTE(SUBSTITUTE(SUBSTITUTE(SUBSTITUTE(AD205,"P",""),"I",""),"V",""),"B","") &amp; IF(COUNTIF(AD205, "*"&amp;'ARDT Cutter Entry'!$BN$3&amp;"*"),"",IF(COUNTIF(AD205, "*"&amp;'ARDT Cutter Entry'!$BN$4&amp;"*"),"",IF(COUNTIF(AD205,"*"&amp;'ARDT Cutter Entry'!$BN$5&amp;"*"),"",IF(COUNTIF(AD205,"*"&amp;'ARDT Cutter Entry'!$BN$6&amp;"*"),"",IF(COUNTIF(AD205,"*"&amp;'ARDT Cutter Entry'!$BN$7&amp;"*"),"",Data!CS50))))),SUBSTITUTE(SUBSTITUTE(SUBSTITUTE(SUBSTITUTE(SUBSTITUTE(SUBSTITUTE(SUBSTITUTE(SUBSTITUTE(SUBSTITUTE(AD205,'ARDT Cutter Entry'!$BN$3,""),'ARDT Cutter Entry'!$BN$4,""),'ARDT Cutter Entry'!$BN$5,""),'ARDT Cutter Entry'!$BN$6,""),'ARDT Cutter Entry'!$BN$7,""),"P",""),"I",""),"V",""),"B","")&amp;Data!CS50),IF(AND(Data!CS50&lt;&gt;0,Data!CS50&lt;&gt;""),IF(AD222&lt;&gt;"",AD222,"O"),""))</f>
        <v/>
      </c>
      <c r="AE239" s="41" t="str">
        <f>IF(AE205&lt;&gt;"",IF(OR(COUNTIF(AE205,"L*"),COUNTIF(AE205, "X*")),SUBSTITUTE(SUBSTITUTE(SUBSTITUTE(SUBSTITUTE(AE205,"P",""),"I",""),"V",""),"B","") &amp; IF(COUNTIF(AE205, "*"&amp;'ARDT Cutter Entry'!$BN$3&amp;"*"),"",IF(COUNTIF(AE205, "*"&amp;'ARDT Cutter Entry'!$BN$4&amp;"*"),"",IF(COUNTIF(AE205,"*"&amp;'ARDT Cutter Entry'!$BN$5&amp;"*"),"",IF(COUNTIF(AE205,"*"&amp;'ARDT Cutter Entry'!$BN$6&amp;"*"),"",IF(COUNTIF(AE205,"*"&amp;'ARDT Cutter Entry'!$BN$7&amp;"*"),"",Data!CT50))))),SUBSTITUTE(SUBSTITUTE(SUBSTITUTE(SUBSTITUTE(SUBSTITUTE(SUBSTITUTE(SUBSTITUTE(SUBSTITUTE(SUBSTITUTE(AE205,'ARDT Cutter Entry'!$BN$3,""),'ARDT Cutter Entry'!$BN$4,""),'ARDT Cutter Entry'!$BN$5,""),'ARDT Cutter Entry'!$BN$6,""),'ARDT Cutter Entry'!$BN$7,""),"P",""),"I",""),"V",""),"B","")&amp;Data!CT50),IF(AND(Data!CT50&lt;&gt;0,Data!CT50&lt;&gt;""),IF(AE222&lt;&gt;"",AE222,"O"),""))</f>
        <v/>
      </c>
      <c r="AF239" s="41" t="str">
        <f>IF(AF205&lt;&gt;"",IF(OR(COUNTIF(AF205,"L*"),COUNTIF(AF205, "X*")),SUBSTITUTE(SUBSTITUTE(SUBSTITUTE(SUBSTITUTE(AF205,"P",""),"I",""),"V",""),"B","") &amp; IF(COUNTIF(AF205, "*"&amp;'ARDT Cutter Entry'!$BN$3&amp;"*"),"",IF(COUNTIF(AF205, "*"&amp;'ARDT Cutter Entry'!$BN$4&amp;"*"),"",IF(COUNTIF(AF205,"*"&amp;'ARDT Cutter Entry'!$BN$5&amp;"*"),"",IF(COUNTIF(AF205,"*"&amp;'ARDT Cutter Entry'!$BN$6&amp;"*"),"",IF(COUNTIF(AF205,"*"&amp;'ARDT Cutter Entry'!$BN$7&amp;"*"),"",Data!CU50))))),SUBSTITUTE(SUBSTITUTE(SUBSTITUTE(SUBSTITUTE(SUBSTITUTE(SUBSTITUTE(SUBSTITUTE(SUBSTITUTE(SUBSTITUTE(AF205,'ARDT Cutter Entry'!$BN$3,""),'ARDT Cutter Entry'!$BN$4,""),'ARDT Cutter Entry'!$BN$5,""),'ARDT Cutter Entry'!$BN$6,""),'ARDT Cutter Entry'!$BN$7,""),"P",""),"I",""),"V",""),"B","")&amp;Data!CU50),IF(AND(Data!CU50&lt;&gt;0,Data!CU50&lt;&gt;""),IF(AF222&lt;&gt;"",AF222,"O"),""))</f>
        <v/>
      </c>
      <c r="AG239" s="41" t="str">
        <f>IF(AG205&lt;&gt;"",IF(OR(COUNTIF(AG205,"L*"),COUNTIF(AG205, "X*")),SUBSTITUTE(SUBSTITUTE(SUBSTITUTE(SUBSTITUTE(AG205,"P",""),"I",""),"V",""),"B","") &amp; IF(COUNTIF(AG205, "*"&amp;'ARDT Cutter Entry'!$BN$3&amp;"*"),"",IF(COUNTIF(AG205, "*"&amp;'ARDT Cutter Entry'!$BN$4&amp;"*"),"",IF(COUNTIF(AG205,"*"&amp;'ARDT Cutter Entry'!$BN$5&amp;"*"),"",IF(COUNTIF(AG205,"*"&amp;'ARDT Cutter Entry'!$BN$6&amp;"*"),"",IF(COUNTIF(AG205,"*"&amp;'ARDT Cutter Entry'!$BN$7&amp;"*"),"",Data!CV50))))),SUBSTITUTE(SUBSTITUTE(SUBSTITUTE(SUBSTITUTE(SUBSTITUTE(SUBSTITUTE(SUBSTITUTE(SUBSTITUTE(SUBSTITUTE(AG205,'ARDT Cutter Entry'!$BN$3,""),'ARDT Cutter Entry'!$BN$4,""),'ARDT Cutter Entry'!$BN$5,""),'ARDT Cutter Entry'!$BN$6,""),'ARDT Cutter Entry'!$BN$7,""),"P",""),"I",""),"V",""),"B","")&amp;Data!CV50),IF(AND(Data!CV50&lt;&gt;0,Data!CV50&lt;&gt;""),IF(AG222&lt;&gt;"",AG222,"O"),""))</f>
        <v/>
      </c>
      <c r="AH239" s="41" t="str">
        <f>IF(AH205&lt;&gt;"",IF(OR(COUNTIF(AH205,"L*"),COUNTIF(AH205, "X*")),SUBSTITUTE(SUBSTITUTE(SUBSTITUTE(SUBSTITUTE(AH205,"P",""),"I",""),"V",""),"B","") &amp; IF(COUNTIF(AH205, "*"&amp;'ARDT Cutter Entry'!$BN$3&amp;"*"),"",IF(COUNTIF(AH205, "*"&amp;'ARDT Cutter Entry'!$BN$4&amp;"*"),"",IF(COUNTIF(AH205,"*"&amp;'ARDT Cutter Entry'!$BN$5&amp;"*"),"",IF(COUNTIF(AH205,"*"&amp;'ARDT Cutter Entry'!$BN$6&amp;"*"),"",IF(COUNTIF(AH205,"*"&amp;'ARDT Cutter Entry'!$BN$7&amp;"*"),"",Data!CW50))))),SUBSTITUTE(SUBSTITUTE(SUBSTITUTE(SUBSTITUTE(SUBSTITUTE(SUBSTITUTE(SUBSTITUTE(SUBSTITUTE(SUBSTITUTE(AH205,'ARDT Cutter Entry'!$BN$3,""),'ARDT Cutter Entry'!$BN$4,""),'ARDT Cutter Entry'!$BN$5,""),'ARDT Cutter Entry'!$BN$6,""),'ARDT Cutter Entry'!$BN$7,""),"P",""),"I",""),"V",""),"B","")&amp;Data!CW50),IF(AND(Data!CW50&lt;&gt;0,Data!CW50&lt;&gt;""),IF(AH222&lt;&gt;"",AH222,"O"),""))</f>
        <v/>
      </c>
      <c r="AI239" s="41" t="str">
        <f>IF(AI205&lt;&gt;"",IF(OR(COUNTIF(AI205,"L*"),COUNTIF(AI205, "X*")),SUBSTITUTE(SUBSTITUTE(SUBSTITUTE(SUBSTITUTE(AI205,"P",""),"I",""),"V",""),"B","") &amp; IF(COUNTIF(AI205, "*"&amp;'ARDT Cutter Entry'!$BN$3&amp;"*"),"",IF(COUNTIF(AI205, "*"&amp;'ARDT Cutter Entry'!$BN$4&amp;"*"),"",IF(COUNTIF(AI205,"*"&amp;'ARDT Cutter Entry'!$BN$5&amp;"*"),"",IF(COUNTIF(AI205,"*"&amp;'ARDT Cutter Entry'!$BN$6&amp;"*"),"",IF(COUNTIF(AI205,"*"&amp;'ARDT Cutter Entry'!$BN$7&amp;"*"),"",Data!CX50))))),SUBSTITUTE(SUBSTITUTE(SUBSTITUTE(SUBSTITUTE(SUBSTITUTE(SUBSTITUTE(SUBSTITUTE(SUBSTITUTE(SUBSTITUTE(AI205,'ARDT Cutter Entry'!$BN$3,""),'ARDT Cutter Entry'!$BN$4,""),'ARDT Cutter Entry'!$BN$5,""),'ARDT Cutter Entry'!$BN$6,""),'ARDT Cutter Entry'!$BN$7,""),"P",""),"I",""),"V",""),"B","")&amp;Data!CX50),IF(AND(Data!CX50&lt;&gt;0,Data!CX50&lt;&gt;""),IF(AI222&lt;&gt;"",AI222,"O"),""))</f>
        <v/>
      </c>
      <c r="AJ239" s="41" t="str">
        <f>IF(AJ205&lt;&gt;"",IF(OR(COUNTIF(AJ205,"L*"),COUNTIF(AJ205, "X*")),SUBSTITUTE(SUBSTITUTE(SUBSTITUTE(SUBSTITUTE(AJ205,"P",""),"I",""),"V",""),"B","") &amp; IF(COUNTIF(AJ205, "*"&amp;'ARDT Cutter Entry'!$BN$3&amp;"*"),"",IF(COUNTIF(AJ205, "*"&amp;'ARDT Cutter Entry'!$BN$4&amp;"*"),"",IF(COUNTIF(AJ205,"*"&amp;'ARDT Cutter Entry'!$BN$5&amp;"*"),"",IF(COUNTIF(AJ205,"*"&amp;'ARDT Cutter Entry'!$BN$6&amp;"*"),"",IF(COUNTIF(AJ205,"*"&amp;'ARDT Cutter Entry'!$BN$7&amp;"*"),"",Data!CY50))))),SUBSTITUTE(SUBSTITUTE(SUBSTITUTE(SUBSTITUTE(SUBSTITUTE(SUBSTITUTE(SUBSTITUTE(SUBSTITUTE(SUBSTITUTE(AJ205,'ARDT Cutter Entry'!$BN$3,""),'ARDT Cutter Entry'!$BN$4,""),'ARDT Cutter Entry'!$BN$5,""),'ARDT Cutter Entry'!$BN$6,""),'ARDT Cutter Entry'!$BN$7,""),"P",""),"I",""),"V",""),"B","")&amp;Data!CY50),IF(AND(Data!CY50&lt;&gt;0,Data!CY50&lt;&gt;""),IF(AJ222&lt;&gt;"",AJ222,"O"),""))</f>
        <v/>
      </c>
    </row>
    <row r="240" spans="1:54" ht="23.25" customHeight="1" x14ac:dyDescent="0.35">
      <c r="A240" s="1196"/>
      <c r="B240" s="22">
        <v>6</v>
      </c>
      <c r="C240" s="41" t="str">
        <f>IF(C206&lt;&gt;"",IF(OR(COUNTIF(C206,"L*"),COUNTIF(C206, "X*")),SUBSTITUTE(SUBSTITUTE(SUBSTITUTE(SUBSTITUTE(C206,"P",""),"I",""),"V",""),"B","") &amp; IF(COUNTIF(C206, "*"&amp;'ARDT Cutter Entry'!$BN$3&amp;"*"),"",IF(COUNTIF(C206, "*"&amp;'ARDT Cutter Entry'!$BN$4&amp;"*"),"",IF(COUNTIF(C206,"*"&amp;'ARDT Cutter Entry'!$BN$5&amp;"*"),"",IF(COUNTIF(C206,"*"&amp;'ARDT Cutter Entry'!$BN$6&amp;"*"),"",IF(COUNTIF(C206,"*"&amp;'ARDT Cutter Entry'!$BN$7&amp;"*"),"",Data!BR51))))),SUBSTITUTE(SUBSTITUTE(SUBSTITUTE(SUBSTITUTE(SUBSTITUTE(SUBSTITUTE(SUBSTITUTE(SUBSTITUTE(SUBSTITUTE(C206,'ARDT Cutter Entry'!$BN$3,""),'ARDT Cutter Entry'!$BN$4,""),'ARDT Cutter Entry'!$BN$5,""),'ARDT Cutter Entry'!$BN$6,""),'ARDT Cutter Entry'!$BN$7,""),"P",""),"I",""),"V",""),"B","")&amp;Data!BR51),IF(AND(Data!BR51&lt;&gt;0,Data!BR51&lt;&gt;""),IF(C223&lt;&gt;"",C223,"O"),""))</f>
        <v>O</v>
      </c>
      <c r="D240" s="41" t="str">
        <f>IF(D206&lt;&gt;"",IF(OR(COUNTIF(D206,"L*"),COUNTIF(D206, "X*")),SUBSTITUTE(SUBSTITUTE(SUBSTITUTE(SUBSTITUTE(D206,"P",""),"I",""),"V",""),"B","") &amp; IF(COUNTIF(D206, "*"&amp;'ARDT Cutter Entry'!$BN$3&amp;"*"),"",IF(COUNTIF(D206, "*"&amp;'ARDT Cutter Entry'!$BN$4&amp;"*"),"",IF(COUNTIF(D206,"*"&amp;'ARDT Cutter Entry'!$BN$5&amp;"*"),"",IF(COUNTIF(D206,"*"&amp;'ARDT Cutter Entry'!$BN$6&amp;"*"),"",IF(COUNTIF(D206,"*"&amp;'ARDT Cutter Entry'!$BN$7&amp;"*"),"",Data!BS51))))),SUBSTITUTE(SUBSTITUTE(SUBSTITUTE(SUBSTITUTE(SUBSTITUTE(SUBSTITUTE(SUBSTITUTE(SUBSTITUTE(SUBSTITUTE(D206,'ARDT Cutter Entry'!$BN$3,""),'ARDT Cutter Entry'!$BN$4,""),'ARDT Cutter Entry'!$BN$5,""),'ARDT Cutter Entry'!$BN$6,""),'ARDT Cutter Entry'!$BN$7,""),"P",""),"I",""),"V",""),"B","")&amp;Data!BS51),IF(AND(Data!BS51&lt;&gt;0,Data!BS51&lt;&gt;""),IF(D223&lt;&gt;"",D223,"O"),""))</f>
        <v>O</v>
      </c>
      <c r="E240" s="41" t="str">
        <f>IF(E206&lt;&gt;"",IF(OR(COUNTIF(E206,"L*"),COUNTIF(E206, "X*")),SUBSTITUTE(SUBSTITUTE(SUBSTITUTE(SUBSTITUTE(E206,"P",""),"I",""),"V",""),"B","") &amp; IF(COUNTIF(E206, "*"&amp;'ARDT Cutter Entry'!$BN$3&amp;"*"),"",IF(COUNTIF(E206, "*"&amp;'ARDT Cutter Entry'!$BN$4&amp;"*"),"",IF(COUNTIF(E206,"*"&amp;'ARDT Cutter Entry'!$BN$5&amp;"*"),"",IF(COUNTIF(E206,"*"&amp;'ARDT Cutter Entry'!$BN$6&amp;"*"),"",IF(COUNTIF(E206,"*"&amp;'ARDT Cutter Entry'!$BN$7&amp;"*"),"",Data!BT51))))),SUBSTITUTE(SUBSTITUTE(SUBSTITUTE(SUBSTITUTE(SUBSTITUTE(SUBSTITUTE(SUBSTITUTE(SUBSTITUTE(SUBSTITUTE(E206,'ARDT Cutter Entry'!$BN$3,""),'ARDT Cutter Entry'!$BN$4,""),'ARDT Cutter Entry'!$BN$5,""),'ARDT Cutter Entry'!$BN$6,""),'ARDT Cutter Entry'!$BN$7,""),"P",""),"I",""),"V",""),"B","")&amp;Data!BT51),IF(AND(Data!BT51&lt;&gt;0,Data!BT51&lt;&gt;""),IF(E223&lt;&gt;"",E223,"O"),""))</f>
        <v>O</v>
      </c>
      <c r="F240" s="41" t="str">
        <f>IF(F206&lt;&gt;"",IF(OR(COUNTIF(F206,"L*"),COUNTIF(F206, "X*")),SUBSTITUTE(SUBSTITUTE(SUBSTITUTE(SUBSTITUTE(F206,"P",""),"I",""),"V",""),"B","") &amp; IF(COUNTIF(F206, "*"&amp;'ARDT Cutter Entry'!$BN$3&amp;"*"),"",IF(COUNTIF(F206, "*"&amp;'ARDT Cutter Entry'!$BN$4&amp;"*"),"",IF(COUNTIF(F206,"*"&amp;'ARDT Cutter Entry'!$BN$5&amp;"*"),"",IF(COUNTIF(F206,"*"&amp;'ARDT Cutter Entry'!$BN$6&amp;"*"),"",IF(COUNTIF(F206,"*"&amp;'ARDT Cutter Entry'!$BN$7&amp;"*"),"",Data!BU51))))),SUBSTITUTE(SUBSTITUTE(SUBSTITUTE(SUBSTITUTE(SUBSTITUTE(SUBSTITUTE(SUBSTITUTE(SUBSTITUTE(SUBSTITUTE(F206,'ARDT Cutter Entry'!$BN$3,""),'ARDT Cutter Entry'!$BN$4,""),'ARDT Cutter Entry'!$BN$5,""),'ARDT Cutter Entry'!$BN$6,""),'ARDT Cutter Entry'!$BN$7,""),"P",""),"I",""),"V",""),"B","")&amp;Data!BU51),IF(AND(Data!BU51&lt;&gt;0,Data!BU51&lt;&gt;""),IF(F223&lt;&gt;"",F223,"O"),""))</f>
        <v>O</v>
      </c>
      <c r="G240" s="41" t="str">
        <f>IF(G206&lt;&gt;"",IF(OR(COUNTIF(G206,"L*"),COUNTIF(G206, "X*")),SUBSTITUTE(SUBSTITUTE(SUBSTITUTE(SUBSTITUTE(G206,"P",""),"I",""),"V",""),"B","") &amp; IF(COUNTIF(G206, "*"&amp;'ARDT Cutter Entry'!$BN$3&amp;"*"),"",IF(COUNTIF(G206, "*"&amp;'ARDT Cutter Entry'!$BN$4&amp;"*"),"",IF(COUNTIF(G206,"*"&amp;'ARDT Cutter Entry'!$BN$5&amp;"*"),"",IF(COUNTIF(G206,"*"&amp;'ARDT Cutter Entry'!$BN$6&amp;"*"),"",IF(COUNTIF(G206,"*"&amp;'ARDT Cutter Entry'!$BN$7&amp;"*"),"",Data!BV51))))),SUBSTITUTE(SUBSTITUTE(SUBSTITUTE(SUBSTITUTE(SUBSTITUTE(SUBSTITUTE(SUBSTITUTE(SUBSTITUTE(SUBSTITUTE(G206,'ARDT Cutter Entry'!$BN$3,""),'ARDT Cutter Entry'!$BN$4,""),'ARDT Cutter Entry'!$BN$5,""),'ARDT Cutter Entry'!$BN$6,""),'ARDT Cutter Entry'!$BN$7,""),"P",""),"I",""),"V",""),"B","")&amp;Data!BV51),IF(AND(Data!BV51&lt;&gt;0,Data!BV51&lt;&gt;""),IF(G223&lt;&gt;"",G223,"O"),""))</f>
        <v>O</v>
      </c>
      <c r="H240" s="41" t="str">
        <f>IF(H206&lt;&gt;"",IF(OR(COUNTIF(H206,"L*"),COUNTIF(H206, "X*")),SUBSTITUTE(SUBSTITUTE(SUBSTITUTE(SUBSTITUTE(H206,"P",""),"I",""),"V",""),"B","") &amp; IF(COUNTIF(H206, "*"&amp;'ARDT Cutter Entry'!$BN$3&amp;"*"),"",IF(COUNTIF(H206, "*"&amp;'ARDT Cutter Entry'!$BN$4&amp;"*"),"",IF(COUNTIF(H206,"*"&amp;'ARDT Cutter Entry'!$BN$5&amp;"*"),"",IF(COUNTIF(H206,"*"&amp;'ARDT Cutter Entry'!$BN$6&amp;"*"),"",IF(COUNTIF(H206,"*"&amp;'ARDT Cutter Entry'!$BN$7&amp;"*"),"",Data!BW51))))),SUBSTITUTE(SUBSTITUTE(SUBSTITUTE(SUBSTITUTE(SUBSTITUTE(SUBSTITUTE(SUBSTITUTE(SUBSTITUTE(SUBSTITUTE(H206,'ARDT Cutter Entry'!$BN$3,""),'ARDT Cutter Entry'!$BN$4,""),'ARDT Cutter Entry'!$BN$5,""),'ARDT Cutter Entry'!$BN$6,""),'ARDT Cutter Entry'!$BN$7,""),"P",""),"I",""),"V",""),"B","")&amp;Data!BW51),IF(AND(Data!BW51&lt;&gt;0,Data!BW51&lt;&gt;""),IF(H223&lt;&gt;"",H223,"O"),""))</f>
        <v/>
      </c>
      <c r="I240" s="41" t="str">
        <f>IF(I206&lt;&gt;"",IF(OR(COUNTIF(I206,"L*"),COUNTIF(I206, "X*")),SUBSTITUTE(SUBSTITUTE(SUBSTITUTE(SUBSTITUTE(I206,"P",""),"I",""),"V",""),"B","") &amp; IF(COUNTIF(I206, "*"&amp;'ARDT Cutter Entry'!$BN$3&amp;"*"),"",IF(COUNTIF(I206, "*"&amp;'ARDT Cutter Entry'!$BN$4&amp;"*"),"",IF(COUNTIF(I206,"*"&amp;'ARDT Cutter Entry'!$BN$5&amp;"*"),"",IF(COUNTIF(I206,"*"&amp;'ARDT Cutter Entry'!$BN$6&amp;"*"),"",IF(COUNTIF(I206,"*"&amp;'ARDT Cutter Entry'!$BN$7&amp;"*"),"",Data!BX51))))),SUBSTITUTE(SUBSTITUTE(SUBSTITUTE(SUBSTITUTE(SUBSTITUTE(SUBSTITUTE(SUBSTITUTE(SUBSTITUTE(SUBSTITUTE(I206,'ARDT Cutter Entry'!$BN$3,""),'ARDT Cutter Entry'!$BN$4,""),'ARDT Cutter Entry'!$BN$5,""),'ARDT Cutter Entry'!$BN$6,""),'ARDT Cutter Entry'!$BN$7,""),"P",""),"I",""),"V",""),"B","")&amp;Data!BX51),IF(AND(Data!BX51&lt;&gt;0,Data!BX51&lt;&gt;""),IF(I223&lt;&gt;"",I223,"O"),""))</f>
        <v/>
      </c>
      <c r="J240" s="41" t="str">
        <f>IF(J206&lt;&gt;"",IF(OR(COUNTIF(J206,"L*"),COUNTIF(J206, "X*")),SUBSTITUTE(SUBSTITUTE(SUBSTITUTE(SUBSTITUTE(J206,"P",""),"I",""),"V",""),"B","") &amp; IF(COUNTIF(J206, "*"&amp;'ARDT Cutter Entry'!$BN$3&amp;"*"),"",IF(COUNTIF(J206, "*"&amp;'ARDT Cutter Entry'!$BN$4&amp;"*"),"",IF(COUNTIF(J206,"*"&amp;'ARDT Cutter Entry'!$BN$5&amp;"*"),"",IF(COUNTIF(J206,"*"&amp;'ARDT Cutter Entry'!$BN$6&amp;"*"),"",IF(COUNTIF(J206,"*"&amp;'ARDT Cutter Entry'!$BN$7&amp;"*"),"",Data!BY51))))),SUBSTITUTE(SUBSTITUTE(SUBSTITUTE(SUBSTITUTE(SUBSTITUTE(SUBSTITUTE(SUBSTITUTE(SUBSTITUTE(SUBSTITUTE(J206,'ARDT Cutter Entry'!$BN$3,""),'ARDT Cutter Entry'!$BN$4,""),'ARDT Cutter Entry'!$BN$5,""),'ARDT Cutter Entry'!$BN$6,""),'ARDT Cutter Entry'!$BN$7,""),"P",""),"I",""),"V",""),"B","")&amp;Data!BY51),IF(AND(Data!BY51&lt;&gt;0,Data!BY51&lt;&gt;""),IF(J223&lt;&gt;"",J223,"O"),""))</f>
        <v/>
      </c>
      <c r="K240" s="41" t="str">
        <f>IF(K206&lt;&gt;"",IF(OR(COUNTIF(K206,"L*"),COUNTIF(K206, "X*")),SUBSTITUTE(SUBSTITUTE(SUBSTITUTE(SUBSTITUTE(K206,"P",""),"I",""),"V",""),"B","") &amp; IF(COUNTIF(K206, "*"&amp;'ARDT Cutter Entry'!$BN$3&amp;"*"),"",IF(COUNTIF(K206, "*"&amp;'ARDT Cutter Entry'!$BN$4&amp;"*"),"",IF(COUNTIF(K206,"*"&amp;'ARDT Cutter Entry'!$BN$5&amp;"*"),"",IF(COUNTIF(K206,"*"&amp;'ARDT Cutter Entry'!$BN$6&amp;"*"),"",IF(COUNTIF(K206,"*"&amp;'ARDT Cutter Entry'!$BN$7&amp;"*"),"",Data!BZ51))))),SUBSTITUTE(SUBSTITUTE(SUBSTITUTE(SUBSTITUTE(SUBSTITUTE(SUBSTITUTE(SUBSTITUTE(SUBSTITUTE(SUBSTITUTE(K206,'ARDT Cutter Entry'!$BN$3,""),'ARDT Cutter Entry'!$BN$4,""),'ARDT Cutter Entry'!$BN$5,""),'ARDT Cutter Entry'!$BN$6,""),'ARDT Cutter Entry'!$BN$7,""),"P",""),"I",""),"V",""),"B","")&amp;Data!BZ51),IF(AND(Data!BZ51&lt;&gt;0,Data!BZ51&lt;&gt;""),IF(K223&lt;&gt;"",K223,"O"),""))</f>
        <v/>
      </c>
      <c r="L240" s="41" t="str">
        <f>IF(L206&lt;&gt;"",IF(OR(COUNTIF(L206,"L*"),COUNTIF(L206, "X*")),SUBSTITUTE(SUBSTITUTE(SUBSTITUTE(SUBSTITUTE(L206,"P",""),"I",""),"V",""),"B","") &amp; IF(COUNTIF(L206, "*"&amp;'ARDT Cutter Entry'!$BN$3&amp;"*"),"",IF(COUNTIF(L206, "*"&amp;'ARDT Cutter Entry'!$BN$4&amp;"*"),"",IF(COUNTIF(L206,"*"&amp;'ARDT Cutter Entry'!$BN$5&amp;"*"),"",IF(COUNTIF(L206,"*"&amp;'ARDT Cutter Entry'!$BN$6&amp;"*"),"",IF(COUNTIF(L206,"*"&amp;'ARDT Cutter Entry'!$BN$7&amp;"*"),"",Data!CA51))))),SUBSTITUTE(SUBSTITUTE(SUBSTITUTE(SUBSTITUTE(SUBSTITUTE(SUBSTITUTE(SUBSTITUTE(SUBSTITUTE(SUBSTITUTE(L206,'ARDT Cutter Entry'!$BN$3,""),'ARDT Cutter Entry'!$BN$4,""),'ARDT Cutter Entry'!$BN$5,""),'ARDT Cutter Entry'!$BN$6,""),'ARDT Cutter Entry'!$BN$7,""),"P",""),"I",""),"V",""),"B","")&amp;Data!CA51),IF(AND(Data!CA51&lt;&gt;0,Data!CA51&lt;&gt;""),IF(L223&lt;&gt;"",L223,"O"),""))</f>
        <v>O</v>
      </c>
      <c r="M240" s="41" t="str">
        <f>IF(M206&lt;&gt;"",IF(OR(COUNTIF(M206,"L*"),COUNTIF(M206, "X*")),SUBSTITUTE(SUBSTITUTE(SUBSTITUTE(SUBSTITUTE(M206,"P",""),"I",""),"V",""),"B","") &amp; IF(COUNTIF(M206, "*"&amp;'ARDT Cutter Entry'!$BN$3&amp;"*"),"",IF(COUNTIF(M206, "*"&amp;'ARDT Cutter Entry'!$BN$4&amp;"*"),"",IF(COUNTIF(M206,"*"&amp;'ARDT Cutter Entry'!$BN$5&amp;"*"),"",IF(COUNTIF(M206,"*"&amp;'ARDT Cutter Entry'!$BN$6&amp;"*"),"",IF(COUNTIF(M206,"*"&amp;'ARDT Cutter Entry'!$BN$7&amp;"*"),"",Data!CB51))))),SUBSTITUTE(SUBSTITUTE(SUBSTITUTE(SUBSTITUTE(SUBSTITUTE(SUBSTITUTE(SUBSTITUTE(SUBSTITUTE(SUBSTITUTE(M206,'ARDT Cutter Entry'!$BN$3,""),'ARDT Cutter Entry'!$BN$4,""),'ARDT Cutter Entry'!$BN$5,""),'ARDT Cutter Entry'!$BN$6,""),'ARDT Cutter Entry'!$BN$7,""),"P",""),"I",""),"V",""),"B","")&amp;Data!CB51),IF(AND(Data!CB51&lt;&gt;0,Data!CB51&lt;&gt;""),IF(M223&lt;&gt;"",M223,"O"),""))</f>
        <v>O</v>
      </c>
      <c r="N240" s="41" t="str">
        <f>IF(N206&lt;&gt;"",IF(OR(COUNTIF(N206,"L*"),COUNTIF(N206, "X*")),SUBSTITUTE(SUBSTITUTE(SUBSTITUTE(SUBSTITUTE(N206,"P",""),"I",""),"V",""),"B","") &amp; IF(COUNTIF(N206, "*"&amp;'ARDT Cutter Entry'!$BN$3&amp;"*"),"",IF(COUNTIF(N206, "*"&amp;'ARDT Cutter Entry'!$BN$4&amp;"*"),"",IF(COUNTIF(N206,"*"&amp;'ARDT Cutter Entry'!$BN$5&amp;"*"),"",IF(COUNTIF(N206,"*"&amp;'ARDT Cutter Entry'!$BN$6&amp;"*"),"",IF(COUNTIF(N206,"*"&amp;'ARDT Cutter Entry'!$BN$7&amp;"*"),"",Data!CC51))))),SUBSTITUTE(SUBSTITUTE(SUBSTITUTE(SUBSTITUTE(SUBSTITUTE(SUBSTITUTE(SUBSTITUTE(SUBSTITUTE(SUBSTITUTE(N206,'ARDT Cutter Entry'!$BN$3,""),'ARDT Cutter Entry'!$BN$4,""),'ARDT Cutter Entry'!$BN$5,""),'ARDT Cutter Entry'!$BN$6,""),'ARDT Cutter Entry'!$BN$7,""),"P",""),"I",""),"V",""),"B","")&amp;Data!CC51),IF(AND(Data!CC51&lt;&gt;0,Data!CC51&lt;&gt;""),IF(N223&lt;&gt;"",N223,"O"),""))</f>
        <v>O</v>
      </c>
      <c r="O240" s="41" t="str">
        <f>IF(O206&lt;&gt;"",IF(OR(COUNTIF(O206,"L*"),COUNTIF(O206, "X*")),SUBSTITUTE(SUBSTITUTE(SUBSTITUTE(SUBSTITUTE(O206,"P",""),"I",""),"V",""),"B","") &amp; IF(COUNTIF(O206, "*"&amp;'ARDT Cutter Entry'!$BN$3&amp;"*"),"",IF(COUNTIF(O206, "*"&amp;'ARDT Cutter Entry'!$BN$4&amp;"*"),"",IF(COUNTIF(O206,"*"&amp;'ARDT Cutter Entry'!$BN$5&amp;"*"),"",IF(COUNTIF(O206,"*"&amp;'ARDT Cutter Entry'!$BN$6&amp;"*"),"",IF(COUNTIF(O206,"*"&amp;'ARDT Cutter Entry'!$BN$7&amp;"*"),"",Data!CD51))))),SUBSTITUTE(SUBSTITUTE(SUBSTITUTE(SUBSTITUTE(SUBSTITUTE(SUBSTITUTE(SUBSTITUTE(SUBSTITUTE(SUBSTITUTE(O206,'ARDT Cutter Entry'!$BN$3,""),'ARDT Cutter Entry'!$BN$4,""),'ARDT Cutter Entry'!$BN$5,""),'ARDT Cutter Entry'!$BN$6,""),'ARDT Cutter Entry'!$BN$7,""),"P",""),"I",""),"V",""),"B","")&amp;Data!CD51),IF(AND(Data!CD51&lt;&gt;0,Data!CD51&lt;&gt;""),IF(O223&lt;&gt;"",O223,"O"),""))</f>
        <v>O</v>
      </c>
      <c r="P240" s="41" t="str">
        <f>IF(P206&lt;&gt;"",IF(OR(COUNTIF(P206,"L*"),COUNTIF(P206, "X*")),SUBSTITUTE(SUBSTITUTE(SUBSTITUTE(SUBSTITUTE(P206,"P",""),"I",""),"V",""),"B","") &amp; IF(COUNTIF(P206, "*"&amp;'ARDT Cutter Entry'!$BN$3&amp;"*"),"",IF(COUNTIF(P206, "*"&amp;'ARDT Cutter Entry'!$BN$4&amp;"*"),"",IF(COUNTIF(P206,"*"&amp;'ARDT Cutter Entry'!$BN$5&amp;"*"),"",IF(COUNTIF(P206,"*"&amp;'ARDT Cutter Entry'!$BN$6&amp;"*"),"",IF(COUNTIF(P206,"*"&amp;'ARDT Cutter Entry'!$BN$7&amp;"*"),"",Data!CE51))))),SUBSTITUTE(SUBSTITUTE(SUBSTITUTE(SUBSTITUTE(SUBSTITUTE(SUBSTITUTE(SUBSTITUTE(SUBSTITUTE(SUBSTITUTE(P206,'ARDT Cutter Entry'!$BN$3,""),'ARDT Cutter Entry'!$BN$4,""),'ARDT Cutter Entry'!$BN$5,""),'ARDT Cutter Entry'!$BN$6,""),'ARDT Cutter Entry'!$BN$7,""),"P",""),"I",""),"V",""),"B","")&amp;Data!CE51),IF(AND(Data!CE51&lt;&gt;0,Data!CE51&lt;&gt;""),IF(P223&lt;&gt;"",P223,"O"),""))</f>
        <v/>
      </c>
      <c r="Q240" s="41" t="str">
        <f>IF(Q206&lt;&gt;"",IF(OR(COUNTIF(Q206,"L*"),COUNTIF(Q206, "X*")),SUBSTITUTE(SUBSTITUTE(SUBSTITUTE(SUBSTITUTE(Q206,"P",""),"I",""),"V",""),"B","") &amp; IF(COUNTIF(Q206, "*"&amp;'ARDT Cutter Entry'!$BN$3&amp;"*"),"",IF(COUNTIF(Q206, "*"&amp;'ARDT Cutter Entry'!$BN$4&amp;"*"),"",IF(COUNTIF(Q206,"*"&amp;'ARDT Cutter Entry'!$BN$5&amp;"*"),"",IF(COUNTIF(Q206,"*"&amp;'ARDT Cutter Entry'!$BN$6&amp;"*"),"",IF(COUNTIF(Q206,"*"&amp;'ARDT Cutter Entry'!$BN$7&amp;"*"),"",Data!CF51))))),SUBSTITUTE(SUBSTITUTE(SUBSTITUTE(SUBSTITUTE(SUBSTITUTE(SUBSTITUTE(SUBSTITUTE(SUBSTITUTE(SUBSTITUTE(Q206,'ARDT Cutter Entry'!$BN$3,""),'ARDT Cutter Entry'!$BN$4,""),'ARDT Cutter Entry'!$BN$5,""),'ARDT Cutter Entry'!$BN$6,""),'ARDT Cutter Entry'!$BN$7,""),"P",""),"I",""),"V",""),"B","")&amp;Data!CF51),IF(AND(Data!CF51&lt;&gt;0,Data!CF51&lt;&gt;""),IF(Q223&lt;&gt;"",Q223,"O"),""))</f>
        <v/>
      </c>
      <c r="R240" s="41" t="str">
        <f>IF(R206&lt;&gt;"",IF(OR(COUNTIF(R206,"L*"),COUNTIF(R206, "X*")),SUBSTITUTE(SUBSTITUTE(SUBSTITUTE(SUBSTITUTE(R206,"P",""),"I",""),"V",""),"B","") &amp; IF(COUNTIF(R206, "*"&amp;'ARDT Cutter Entry'!$BN$3&amp;"*"),"",IF(COUNTIF(R206, "*"&amp;'ARDT Cutter Entry'!$BN$4&amp;"*"),"",IF(COUNTIF(R206,"*"&amp;'ARDT Cutter Entry'!$BN$5&amp;"*"),"",IF(COUNTIF(R206,"*"&amp;'ARDT Cutter Entry'!$BN$6&amp;"*"),"",IF(COUNTIF(R206,"*"&amp;'ARDT Cutter Entry'!$BN$7&amp;"*"),"",Data!CG51))))),SUBSTITUTE(SUBSTITUTE(SUBSTITUTE(SUBSTITUTE(SUBSTITUTE(SUBSTITUTE(SUBSTITUTE(SUBSTITUTE(SUBSTITUTE(R206,'ARDT Cutter Entry'!$BN$3,""),'ARDT Cutter Entry'!$BN$4,""),'ARDT Cutter Entry'!$BN$5,""),'ARDT Cutter Entry'!$BN$6,""),'ARDT Cutter Entry'!$BN$7,""),"P",""),"I",""),"V",""),"B","")&amp;Data!CG51),IF(AND(Data!CG51&lt;&gt;0,Data!CG51&lt;&gt;""),IF(R223&lt;&gt;"",R223,"O"),""))</f>
        <v/>
      </c>
      <c r="S240" s="41" t="str">
        <f>IF(S206&lt;&gt;"",IF(OR(COUNTIF(S206,"L*"),COUNTIF(S206, "X*")),SUBSTITUTE(SUBSTITUTE(SUBSTITUTE(SUBSTITUTE(S206,"P",""),"I",""),"V",""),"B","") &amp; IF(COUNTIF(S206, "*"&amp;'ARDT Cutter Entry'!$BN$3&amp;"*"),"",IF(COUNTIF(S206, "*"&amp;'ARDT Cutter Entry'!$BN$4&amp;"*"),"",IF(COUNTIF(S206,"*"&amp;'ARDT Cutter Entry'!$BN$5&amp;"*"),"",IF(COUNTIF(S206,"*"&amp;'ARDT Cutter Entry'!$BN$6&amp;"*"),"",IF(COUNTIF(S206,"*"&amp;'ARDT Cutter Entry'!$BN$7&amp;"*"),"",Data!CH51))))),SUBSTITUTE(SUBSTITUTE(SUBSTITUTE(SUBSTITUTE(SUBSTITUTE(SUBSTITUTE(SUBSTITUTE(SUBSTITUTE(SUBSTITUTE(S206,'ARDT Cutter Entry'!$BN$3,""),'ARDT Cutter Entry'!$BN$4,""),'ARDT Cutter Entry'!$BN$5,""),'ARDT Cutter Entry'!$BN$6,""),'ARDT Cutter Entry'!$BN$7,""),"P",""),"I",""),"V",""),"B","")&amp;Data!CH51),IF(AND(Data!CH51&lt;&gt;0,Data!CH51&lt;&gt;""),IF(S223&lt;&gt;"",S223,"O"),""))</f>
        <v/>
      </c>
      <c r="T240" s="41" t="str">
        <f>IF(T206&lt;&gt;"",IF(OR(COUNTIF(T206,"L*"),COUNTIF(T206, "X*")),SUBSTITUTE(SUBSTITUTE(SUBSTITUTE(SUBSTITUTE(T206,"P",""),"I",""),"V",""),"B","") &amp; IF(COUNTIF(T206, "*"&amp;'ARDT Cutter Entry'!$BN$3&amp;"*"),"",IF(COUNTIF(T206, "*"&amp;'ARDT Cutter Entry'!$BN$4&amp;"*"),"",IF(COUNTIF(T206,"*"&amp;'ARDT Cutter Entry'!$BN$5&amp;"*"),"",IF(COUNTIF(T206,"*"&amp;'ARDT Cutter Entry'!$BN$6&amp;"*"),"",IF(COUNTIF(T206,"*"&amp;'ARDT Cutter Entry'!$BN$7&amp;"*"),"",Data!CI51))))),SUBSTITUTE(SUBSTITUTE(SUBSTITUTE(SUBSTITUTE(SUBSTITUTE(SUBSTITUTE(SUBSTITUTE(SUBSTITUTE(SUBSTITUTE(T206,'ARDT Cutter Entry'!$BN$3,""),'ARDT Cutter Entry'!$BN$4,""),'ARDT Cutter Entry'!$BN$5,""),'ARDT Cutter Entry'!$BN$6,""),'ARDT Cutter Entry'!$BN$7,""),"P",""),"I",""),"V",""),"B","")&amp;Data!CI51),IF(AND(Data!CI51&lt;&gt;0,Data!CI51&lt;&gt;""),IF(T223&lt;&gt;"",T223,"O"),""))</f>
        <v/>
      </c>
      <c r="U240" s="41" t="str">
        <f>IF(U206&lt;&gt;"",IF(OR(COUNTIF(U206,"L*"),COUNTIF(U206, "X*")),SUBSTITUTE(SUBSTITUTE(SUBSTITUTE(SUBSTITUTE(U206,"P",""),"I",""),"V",""),"B","") &amp; IF(COUNTIF(U206, "*"&amp;'ARDT Cutter Entry'!$BN$3&amp;"*"),"",IF(COUNTIF(U206, "*"&amp;'ARDT Cutter Entry'!$BN$4&amp;"*"),"",IF(COUNTIF(U206,"*"&amp;'ARDT Cutter Entry'!$BN$5&amp;"*"),"",IF(COUNTIF(U206,"*"&amp;'ARDT Cutter Entry'!$BN$6&amp;"*"),"",IF(COUNTIF(U206,"*"&amp;'ARDT Cutter Entry'!$BN$7&amp;"*"),"",Data!CJ51))))),SUBSTITUTE(SUBSTITUTE(SUBSTITUTE(SUBSTITUTE(SUBSTITUTE(SUBSTITUTE(SUBSTITUTE(SUBSTITUTE(SUBSTITUTE(U206,'ARDT Cutter Entry'!$BN$3,""),'ARDT Cutter Entry'!$BN$4,""),'ARDT Cutter Entry'!$BN$5,""),'ARDT Cutter Entry'!$BN$6,""),'ARDT Cutter Entry'!$BN$7,""),"P",""),"I",""),"V",""),"B","")&amp;Data!CJ51),IF(AND(Data!CJ51&lt;&gt;0,Data!CJ51&lt;&gt;""),IF(U223&lt;&gt;"",U223,"O"),""))</f>
        <v/>
      </c>
      <c r="V240" s="41" t="str">
        <f>IF(V206&lt;&gt;"",IF(OR(COUNTIF(V206,"L*"),COUNTIF(V206, "X*")),SUBSTITUTE(SUBSTITUTE(SUBSTITUTE(SUBSTITUTE(V206,"P",""),"I",""),"V",""),"B","") &amp; IF(COUNTIF(V206, "*"&amp;'ARDT Cutter Entry'!$BN$3&amp;"*"),"",IF(COUNTIF(V206, "*"&amp;'ARDT Cutter Entry'!$BN$4&amp;"*"),"",IF(COUNTIF(V206,"*"&amp;'ARDT Cutter Entry'!$BN$5&amp;"*"),"",IF(COUNTIF(V206,"*"&amp;'ARDT Cutter Entry'!$BN$6&amp;"*"),"",IF(COUNTIF(V206,"*"&amp;'ARDT Cutter Entry'!$BN$7&amp;"*"),"",Data!CK51))))),SUBSTITUTE(SUBSTITUTE(SUBSTITUTE(SUBSTITUTE(SUBSTITUTE(SUBSTITUTE(SUBSTITUTE(SUBSTITUTE(SUBSTITUTE(V206,'ARDT Cutter Entry'!$BN$3,""),'ARDT Cutter Entry'!$BN$4,""),'ARDT Cutter Entry'!$BN$5,""),'ARDT Cutter Entry'!$BN$6,""),'ARDT Cutter Entry'!$BN$7,""),"P",""),"I",""),"V",""),"B","")&amp;Data!CK51),IF(AND(Data!CK51&lt;&gt;0,Data!CK51&lt;&gt;""),IF(V223&lt;&gt;"",V223,"O"),""))</f>
        <v/>
      </c>
      <c r="W240" s="41" t="str">
        <f>IF(W206&lt;&gt;"",IF(OR(COUNTIF(W206,"L*"),COUNTIF(W206, "X*")),SUBSTITUTE(SUBSTITUTE(SUBSTITUTE(SUBSTITUTE(W206,"P",""),"I",""),"V",""),"B","") &amp; IF(COUNTIF(W206, "*"&amp;'ARDT Cutter Entry'!$BN$3&amp;"*"),"",IF(COUNTIF(W206, "*"&amp;'ARDT Cutter Entry'!$BN$4&amp;"*"),"",IF(COUNTIF(W206,"*"&amp;'ARDT Cutter Entry'!$BN$5&amp;"*"),"",IF(COUNTIF(W206,"*"&amp;'ARDT Cutter Entry'!$BN$6&amp;"*"),"",IF(COUNTIF(W206,"*"&amp;'ARDT Cutter Entry'!$BN$7&amp;"*"),"",Data!CL51))))),SUBSTITUTE(SUBSTITUTE(SUBSTITUTE(SUBSTITUTE(SUBSTITUTE(SUBSTITUTE(SUBSTITUTE(SUBSTITUTE(SUBSTITUTE(W206,'ARDT Cutter Entry'!$BN$3,""),'ARDT Cutter Entry'!$BN$4,""),'ARDT Cutter Entry'!$BN$5,""),'ARDT Cutter Entry'!$BN$6,""),'ARDT Cutter Entry'!$BN$7,""),"P",""),"I",""),"V",""),"B","")&amp;Data!CL51),IF(AND(Data!CL51&lt;&gt;0,Data!CL51&lt;&gt;""),IF(W223&lt;&gt;"",W223,"O"),""))</f>
        <v/>
      </c>
      <c r="X240" s="41" t="str">
        <f>IF(X206&lt;&gt;"",IF(OR(COUNTIF(X206,"L*"),COUNTIF(X206, "X*")),SUBSTITUTE(SUBSTITUTE(SUBSTITUTE(SUBSTITUTE(X206,"P",""),"I",""),"V",""),"B","") &amp; IF(COUNTIF(X206, "*"&amp;'ARDT Cutter Entry'!$BN$3&amp;"*"),"",IF(COUNTIF(X206, "*"&amp;'ARDT Cutter Entry'!$BN$4&amp;"*"),"",IF(COUNTIF(X206,"*"&amp;'ARDT Cutter Entry'!$BN$5&amp;"*"),"",IF(COUNTIF(X206,"*"&amp;'ARDT Cutter Entry'!$BN$6&amp;"*"),"",IF(COUNTIF(X206,"*"&amp;'ARDT Cutter Entry'!$BN$7&amp;"*"),"",Data!CM51))))),SUBSTITUTE(SUBSTITUTE(SUBSTITUTE(SUBSTITUTE(SUBSTITUTE(SUBSTITUTE(SUBSTITUTE(SUBSTITUTE(SUBSTITUTE(X206,'ARDT Cutter Entry'!$BN$3,""),'ARDT Cutter Entry'!$BN$4,""),'ARDT Cutter Entry'!$BN$5,""),'ARDT Cutter Entry'!$BN$6,""),'ARDT Cutter Entry'!$BN$7,""),"P",""),"I",""),"V",""),"B","")&amp;Data!CM51),IF(AND(Data!CM51&lt;&gt;0,Data!CM51&lt;&gt;""),IF(X223&lt;&gt;"",X223,"O"),""))</f>
        <v/>
      </c>
      <c r="Y240" s="41" t="str">
        <f>IF(Y206&lt;&gt;"",IF(OR(COUNTIF(Y206,"L*"),COUNTIF(Y206, "X*")),SUBSTITUTE(SUBSTITUTE(SUBSTITUTE(SUBSTITUTE(Y206,"P",""),"I",""),"V",""),"B","") &amp; IF(COUNTIF(Y206, "*"&amp;'ARDT Cutter Entry'!$BN$3&amp;"*"),"",IF(COUNTIF(Y206, "*"&amp;'ARDT Cutter Entry'!$BN$4&amp;"*"),"",IF(COUNTIF(Y206,"*"&amp;'ARDT Cutter Entry'!$BN$5&amp;"*"),"",IF(COUNTIF(Y206,"*"&amp;'ARDT Cutter Entry'!$BN$6&amp;"*"),"",IF(COUNTIF(Y206,"*"&amp;'ARDT Cutter Entry'!$BN$7&amp;"*"),"",Data!CN51))))),SUBSTITUTE(SUBSTITUTE(SUBSTITUTE(SUBSTITUTE(SUBSTITUTE(SUBSTITUTE(SUBSTITUTE(SUBSTITUTE(SUBSTITUTE(Y206,'ARDT Cutter Entry'!$BN$3,""),'ARDT Cutter Entry'!$BN$4,""),'ARDT Cutter Entry'!$BN$5,""),'ARDT Cutter Entry'!$BN$6,""),'ARDT Cutter Entry'!$BN$7,""),"P",""),"I",""),"V",""),"B","")&amp;Data!CN51),IF(AND(Data!CN51&lt;&gt;0,Data!CN51&lt;&gt;""),IF(Y223&lt;&gt;"",Y223,"O"),""))</f>
        <v/>
      </c>
      <c r="Z240" s="41" t="str">
        <f>IF(Z206&lt;&gt;"",IF(OR(COUNTIF(Z206,"L*"),COUNTIF(Z206, "X*")),SUBSTITUTE(SUBSTITUTE(SUBSTITUTE(SUBSTITUTE(Z206,"P",""),"I",""),"V",""),"B","") &amp; IF(COUNTIF(Z206, "*"&amp;'ARDT Cutter Entry'!$BN$3&amp;"*"),"",IF(COUNTIF(Z206, "*"&amp;'ARDT Cutter Entry'!$BN$4&amp;"*"),"",IF(COUNTIF(Z206,"*"&amp;'ARDT Cutter Entry'!$BN$5&amp;"*"),"",IF(COUNTIF(Z206,"*"&amp;'ARDT Cutter Entry'!$BN$6&amp;"*"),"",IF(COUNTIF(Z206,"*"&amp;'ARDT Cutter Entry'!$BN$7&amp;"*"),"",Data!CO51))))),SUBSTITUTE(SUBSTITUTE(SUBSTITUTE(SUBSTITUTE(SUBSTITUTE(SUBSTITUTE(SUBSTITUTE(SUBSTITUTE(SUBSTITUTE(Z206,'ARDT Cutter Entry'!$BN$3,""),'ARDT Cutter Entry'!$BN$4,""),'ARDT Cutter Entry'!$BN$5,""),'ARDT Cutter Entry'!$BN$6,""),'ARDT Cutter Entry'!$BN$7,""),"P",""),"I",""),"V",""),"B","")&amp;Data!CO51),IF(AND(Data!CO51&lt;&gt;0,Data!CO51&lt;&gt;""),IF(Z223&lt;&gt;"",Z223,"O"),""))</f>
        <v/>
      </c>
      <c r="AA240" s="41" t="str">
        <f>IF(AA206&lt;&gt;"",IF(OR(COUNTIF(AA206,"L*"),COUNTIF(AA206, "X*")),SUBSTITUTE(SUBSTITUTE(SUBSTITUTE(SUBSTITUTE(AA206,"P",""),"I",""),"V",""),"B","") &amp; IF(COUNTIF(AA206, "*"&amp;'ARDT Cutter Entry'!$BN$3&amp;"*"),"",IF(COUNTIF(AA206, "*"&amp;'ARDT Cutter Entry'!$BN$4&amp;"*"),"",IF(COUNTIF(AA206,"*"&amp;'ARDT Cutter Entry'!$BN$5&amp;"*"),"",IF(COUNTIF(AA206,"*"&amp;'ARDT Cutter Entry'!$BN$6&amp;"*"),"",IF(COUNTIF(AA206,"*"&amp;'ARDT Cutter Entry'!$BN$7&amp;"*"),"",Data!CP51))))),SUBSTITUTE(SUBSTITUTE(SUBSTITUTE(SUBSTITUTE(SUBSTITUTE(SUBSTITUTE(SUBSTITUTE(SUBSTITUTE(SUBSTITUTE(AA206,'ARDT Cutter Entry'!$BN$3,""),'ARDT Cutter Entry'!$BN$4,""),'ARDT Cutter Entry'!$BN$5,""),'ARDT Cutter Entry'!$BN$6,""),'ARDT Cutter Entry'!$BN$7,""),"P",""),"I",""),"V",""),"B","")&amp;Data!CP51),IF(AND(Data!CP51&lt;&gt;0,Data!CP51&lt;&gt;""),IF(AA223&lt;&gt;"",AA223,"O"),""))</f>
        <v/>
      </c>
      <c r="AB240" s="41" t="str">
        <f>IF(AB206&lt;&gt;"",IF(OR(COUNTIF(AB206,"L*"),COUNTIF(AB206, "X*")),SUBSTITUTE(SUBSTITUTE(SUBSTITUTE(SUBSTITUTE(AB206,"P",""),"I",""),"V",""),"B","") &amp; IF(COUNTIF(AB206, "*"&amp;'ARDT Cutter Entry'!$BN$3&amp;"*"),"",IF(COUNTIF(AB206, "*"&amp;'ARDT Cutter Entry'!$BN$4&amp;"*"),"",IF(COUNTIF(AB206,"*"&amp;'ARDT Cutter Entry'!$BN$5&amp;"*"),"",IF(COUNTIF(AB206,"*"&amp;'ARDT Cutter Entry'!$BN$6&amp;"*"),"",IF(COUNTIF(AB206,"*"&amp;'ARDT Cutter Entry'!$BN$7&amp;"*"),"",Data!CQ51))))),SUBSTITUTE(SUBSTITUTE(SUBSTITUTE(SUBSTITUTE(SUBSTITUTE(SUBSTITUTE(SUBSTITUTE(SUBSTITUTE(SUBSTITUTE(AB206,'ARDT Cutter Entry'!$BN$3,""),'ARDT Cutter Entry'!$BN$4,""),'ARDT Cutter Entry'!$BN$5,""),'ARDT Cutter Entry'!$BN$6,""),'ARDT Cutter Entry'!$BN$7,""),"P",""),"I",""),"V",""),"B","")&amp;Data!CQ51),IF(AND(Data!CQ51&lt;&gt;0,Data!CQ51&lt;&gt;""),IF(AB223&lt;&gt;"",AB223,"O"),""))</f>
        <v/>
      </c>
      <c r="AC240" s="41" t="str">
        <f>IF(AC206&lt;&gt;"",IF(OR(COUNTIF(AC206,"L*"),COUNTIF(AC206, "X*")),SUBSTITUTE(SUBSTITUTE(SUBSTITUTE(SUBSTITUTE(AC206,"P",""),"I",""),"V",""),"B","") &amp; IF(COUNTIF(AC206, "*"&amp;'ARDT Cutter Entry'!$BN$3&amp;"*"),"",IF(COUNTIF(AC206, "*"&amp;'ARDT Cutter Entry'!$BN$4&amp;"*"),"",IF(COUNTIF(AC206,"*"&amp;'ARDT Cutter Entry'!$BN$5&amp;"*"),"",IF(COUNTIF(AC206,"*"&amp;'ARDT Cutter Entry'!$BN$6&amp;"*"),"",IF(COUNTIF(AC206,"*"&amp;'ARDT Cutter Entry'!$BN$7&amp;"*"),"",Data!CR51))))),SUBSTITUTE(SUBSTITUTE(SUBSTITUTE(SUBSTITUTE(SUBSTITUTE(SUBSTITUTE(SUBSTITUTE(SUBSTITUTE(SUBSTITUTE(AC206,'ARDT Cutter Entry'!$BN$3,""),'ARDT Cutter Entry'!$BN$4,""),'ARDT Cutter Entry'!$BN$5,""),'ARDT Cutter Entry'!$BN$6,""),'ARDT Cutter Entry'!$BN$7,""),"P",""),"I",""),"V",""),"B","")&amp;Data!CR51),IF(AND(Data!CR51&lt;&gt;0,Data!CR51&lt;&gt;""),IF(AC223&lt;&gt;"",AC223,"O"),""))</f>
        <v/>
      </c>
      <c r="AD240" s="41" t="str">
        <f>IF(AD206&lt;&gt;"",IF(OR(COUNTIF(AD206,"L*"),COUNTIF(AD206, "X*")),SUBSTITUTE(SUBSTITUTE(SUBSTITUTE(SUBSTITUTE(AD206,"P",""),"I",""),"V",""),"B","") &amp; IF(COUNTIF(AD206, "*"&amp;'ARDT Cutter Entry'!$BN$3&amp;"*"),"",IF(COUNTIF(AD206, "*"&amp;'ARDT Cutter Entry'!$BN$4&amp;"*"),"",IF(COUNTIF(AD206,"*"&amp;'ARDT Cutter Entry'!$BN$5&amp;"*"),"",IF(COUNTIF(AD206,"*"&amp;'ARDT Cutter Entry'!$BN$6&amp;"*"),"",IF(COUNTIF(AD206,"*"&amp;'ARDT Cutter Entry'!$BN$7&amp;"*"),"",Data!CS51))))),SUBSTITUTE(SUBSTITUTE(SUBSTITUTE(SUBSTITUTE(SUBSTITUTE(SUBSTITUTE(SUBSTITUTE(SUBSTITUTE(SUBSTITUTE(AD206,'ARDT Cutter Entry'!$BN$3,""),'ARDT Cutter Entry'!$BN$4,""),'ARDT Cutter Entry'!$BN$5,""),'ARDT Cutter Entry'!$BN$6,""),'ARDT Cutter Entry'!$BN$7,""),"P",""),"I",""),"V",""),"B","")&amp;Data!CS51),IF(AND(Data!CS51&lt;&gt;0,Data!CS51&lt;&gt;""),IF(AD223&lt;&gt;"",AD223,"O"),""))</f>
        <v/>
      </c>
      <c r="AE240" s="41" t="str">
        <f>IF(AE206&lt;&gt;"",IF(OR(COUNTIF(AE206,"L*"),COUNTIF(AE206, "X*")),SUBSTITUTE(SUBSTITUTE(SUBSTITUTE(SUBSTITUTE(AE206,"P",""),"I",""),"V",""),"B","") &amp; IF(COUNTIF(AE206, "*"&amp;'ARDT Cutter Entry'!$BN$3&amp;"*"),"",IF(COUNTIF(AE206, "*"&amp;'ARDT Cutter Entry'!$BN$4&amp;"*"),"",IF(COUNTIF(AE206,"*"&amp;'ARDT Cutter Entry'!$BN$5&amp;"*"),"",IF(COUNTIF(AE206,"*"&amp;'ARDT Cutter Entry'!$BN$6&amp;"*"),"",IF(COUNTIF(AE206,"*"&amp;'ARDT Cutter Entry'!$BN$7&amp;"*"),"",Data!CT51))))),SUBSTITUTE(SUBSTITUTE(SUBSTITUTE(SUBSTITUTE(SUBSTITUTE(SUBSTITUTE(SUBSTITUTE(SUBSTITUTE(SUBSTITUTE(AE206,'ARDT Cutter Entry'!$BN$3,""),'ARDT Cutter Entry'!$BN$4,""),'ARDT Cutter Entry'!$BN$5,""),'ARDT Cutter Entry'!$BN$6,""),'ARDT Cutter Entry'!$BN$7,""),"P",""),"I",""),"V",""),"B","")&amp;Data!CT51),IF(AND(Data!CT51&lt;&gt;0,Data!CT51&lt;&gt;""),IF(AE223&lt;&gt;"",AE223,"O"),""))</f>
        <v/>
      </c>
      <c r="AF240" s="41" t="str">
        <f>IF(AF206&lt;&gt;"",IF(OR(COUNTIF(AF206,"L*"),COUNTIF(AF206, "X*")),SUBSTITUTE(SUBSTITUTE(SUBSTITUTE(SUBSTITUTE(AF206,"P",""),"I",""),"V",""),"B","") &amp; IF(COUNTIF(AF206, "*"&amp;'ARDT Cutter Entry'!$BN$3&amp;"*"),"",IF(COUNTIF(AF206, "*"&amp;'ARDT Cutter Entry'!$BN$4&amp;"*"),"",IF(COUNTIF(AF206,"*"&amp;'ARDT Cutter Entry'!$BN$5&amp;"*"),"",IF(COUNTIF(AF206,"*"&amp;'ARDT Cutter Entry'!$BN$6&amp;"*"),"",IF(COUNTIF(AF206,"*"&amp;'ARDT Cutter Entry'!$BN$7&amp;"*"),"",Data!CU51))))),SUBSTITUTE(SUBSTITUTE(SUBSTITUTE(SUBSTITUTE(SUBSTITUTE(SUBSTITUTE(SUBSTITUTE(SUBSTITUTE(SUBSTITUTE(AF206,'ARDT Cutter Entry'!$BN$3,""),'ARDT Cutter Entry'!$BN$4,""),'ARDT Cutter Entry'!$BN$5,""),'ARDT Cutter Entry'!$BN$6,""),'ARDT Cutter Entry'!$BN$7,""),"P",""),"I",""),"V",""),"B","")&amp;Data!CU51),IF(AND(Data!CU51&lt;&gt;0,Data!CU51&lt;&gt;""),IF(AF223&lt;&gt;"",AF223,"O"),""))</f>
        <v/>
      </c>
      <c r="AG240" s="41" t="str">
        <f>IF(AG206&lt;&gt;"",IF(OR(COUNTIF(AG206,"L*"),COUNTIF(AG206, "X*")),SUBSTITUTE(SUBSTITUTE(SUBSTITUTE(SUBSTITUTE(AG206,"P",""),"I",""),"V",""),"B","") &amp; IF(COUNTIF(AG206, "*"&amp;'ARDT Cutter Entry'!$BN$3&amp;"*"),"",IF(COUNTIF(AG206, "*"&amp;'ARDT Cutter Entry'!$BN$4&amp;"*"),"",IF(COUNTIF(AG206,"*"&amp;'ARDT Cutter Entry'!$BN$5&amp;"*"),"",IF(COUNTIF(AG206,"*"&amp;'ARDT Cutter Entry'!$BN$6&amp;"*"),"",IF(COUNTIF(AG206,"*"&amp;'ARDT Cutter Entry'!$BN$7&amp;"*"),"",Data!CV51))))),SUBSTITUTE(SUBSTITUTE(SUBSTITUTE(SUBSTITUTE(SUBSTITUTE(SUBSTITUTE(SUBSTITUTE(SUBSTITUTE(SUBSTITUTE(AG206,'ARDT Cutter Entry'!$BN$3,""),'ARDT Cutter Entry'!$BN$4,""),'ARDT Cutter Entry'!$BN$5,""),'ARDT Cutter Entry'!$BN$6,""),'ARDT Cutter Entry'!$BN$7,""),"P",""),"I",""),"V",""),"B","")&amp;Data!CV51),IF(AND(Data!CV51&lt;&gt;0,Data!CV51&lt;&gt;""),IF(AG223&lt;&gt;"",AG223,"O"),""))</f>
        <v/>
      </c>
      <c r="AH240" s="41" t="str">
        <f>IF(AH206&lt;&gt;"",IF(OR(COUNTIF(AH206,"L*"),COUNTIF(AH206, "X*")),SUBSTITUTE(SUBSTITUTE(SUBSTITUTE(SUBSTITUTE(AH206,"P",""),"I",""),"V",""),"B","") &amp; IF(COUNTIF(AH206, "*"&amp;'ARDT Cutter Entry'!$BN$3&amp;"*"),"",IF(COUNTIF(AH206, "*"&amp;'ARDT Cutter Entry'!$BN$4&amp;"*"),"",IF(COUNTIF(AH206,"*"&amp;'ARDT Cutter Entry'!$BN$5&amp;"*"),"",IF(COUNTIF(AH206,"*"&amp;'ARDT Cutter Entry'!$BN$6&amp;"*"),"",IF(COUNTIF(AH206,"*"&amp;'ARDT Cutter Entry'!$BN$7&amp;"*"),"",Data!CW51))))),SUBSTITUTE(SUBSTITUTE(SUBSTITUTE(SUBSTITUTE(SUBSTITUTE(SUBSTITUTE(SUBSTITUTE(SUBSTITUTE(SUBSTITUTE(AH206,'ARDT Cutter Entry'!$BN$3,""),'ARDT Cutter Entry'!$BN$4,""),'ARDT Cutter Entry'!$BN$5,""),'ARDT Cutter Entry'!$BN$6,""),'ARDT Cutter Entry'!$BN$7,""),"P",""),"I",""),"V",""),"B","")&amp;Data!CW51),IF(AND(Data!CW51&lt;&gt;0,Data!CW51&lt;&gt;""),IF(AH223&lt;&gt;"",AH223,"O"),""))</f>
        <v/>
      </c>
      <c r="AI240" s="41" t="str">
        <f>IF(AI206&lt;&gt;"",IF(OR(COUNTIF(AI206,"L*"),COUNTIF(AI206, "X*")),SUBSTITUTE(SUBSTITUTE(SUBSTITUTE(SUBSTITUTE(AI206,"P",""),"I",""),"V",""),"B","") &amp; IF(COUNTIF(AI206, "*"&amp;'ARDT Cutter Entry'!$BN$3&amp;"*"),"",IF(COUNTIF(AI206, "*"&amp;'ARDT Cutter Entry'!$BN$4&amp;"*"),"",IF(COUNTIF(AI206,"*"&amp;'ARDT Cutter Entry'!$BN$5&amp;"*"),"",IF(COUNTIF(AI206,"*"&amp;'ARDT Cutter Entry'!$BN$6&amp;"*"),"",IF(COUNTIF(AI206,"*"&amp;'ARDT Cutter Entry'!$BN$7&amp;"*"),"",Data!CX51))))),SUBSTITUTE(SUBSTITUTE(SUBSTITUTE(SUBSTITUTE(SUBSTITUTE(SUBSTITUTE(SUBSTITUTE(SUBSTITUTE(SUBSTITUTE(AI206,'ARDT Cutter Entry'!$BN$3,""),'ARDT Cutter Entry'!$BN$4,""),'ARDT Cutter Entry'!$BN$5,""),'ARDT Cutter Entry'!$BN$6,""),'ARDT Cutter Entry'!$BN$7,""),"P",""),"I",""),"V",""),"B","")&amp;Data!CX51),IF(AND(Data!CX51&lt;&gt;0,Data!CX51&lt;&gt;""),IF(AI223&lt;&gt;"",AI223,"O"),""))</f>
        <v/>
      </c>
      <c r="AJ240" s="41" t="str">
        <f>IF(AJ206&lt;&gt;"",IF(OR(COUNTIF(AJ206,"L*"),COUNTIF(AJ206, "X*")),SUBSTITUTE(SUBSTITUTE(SUBSTITUTE(SUBSTITUTE(AJ206,"P",""),"I",""),"V",""),"B","") &amp; IF(COUNTIF(AJ206, "*"&amp;'ARDT Cutter Entry'!$BN$3&amp;"*"),"",IF(COUNTIF(AJ206, "*"&amp;'ARDT Cutter Entry'!$BN$4&amp;"*"),"",IF(COUNTIF(AJ206,"*"&amp;'ARDT Cutter Entry'!$BN$5&amp;"*"),"",IF(COUNTIF(AJ206,"*"&amp;'ARDT Cutter Entry'!$BN$6&amp;"*"),"",IF(COUNTIF(AJ206,"*"&amp;'ARDT Cutter Entry'!$BN$7&amp;"*"),"",Data!CY51))))),SUBSTITUTE(SUBSTITUTE(SUBSTITUTE(SUBSTITUTE(SUBSTITUTE(SUBSTITUTE(SUBSTITUTE(SUBSTITUTE(SUBSTITUTE(AJ206,'ARDT Cutter Entry'!$BN$3,""),'ARDT Cutter Entry'!$BN$4,""),'ARDT Cutter Entry'!$BN$5,""),'ARDT Cutter Entry'!$BN$6,""),'ARDT Cutter Entry'!$BN$7,""),"P",""),"I",""),"V",""),"B","")&amp;Data!CY51),IF(AND(Data!CY51&lt;&gt;0,Data!CY51&lt;&gt;""),IF(AJ223&lt;&gt;"",AJ223,"O"),""))</f>
        <v/>
      </c>
    </row>
    <row r="241" spans="1:63" ht="23.25" customHeight="1" x14ac:dyDescent="0.35">
      <c r="A241" s="1196"/>
      <c r="B241" s="22">
        <v>7</v>
      </c>
      <c r="C241" s="41" t="str">
        <f>IF(C207&lt;&gt;"",IF(OR(COUNTIF(C207,"L*"),COUNTIF(C207, "X*")),SUBSTITUTE(SUBSTITUTE(SUBSTITUTE(SUBSTITUTE(C207,"P",""),"I",""),"V",""),"B","") &amp; IF(COUNTIF(C207, "*"&amp;'ARDT Cutter Entry'!$BN$3&amp;"*"),"",IF(COUNTIF(C207, "*"&amp;'ARDT Cutter Entry'!$BN$4&amp;"*"),"",IF(COUNTIF(C207,"*"&amp;'ARDT Cutter Entry'!$BN$5&amp;"*"),"",IF(COUNTIF(C207,"*"&amp;'ARDT Cutter Entry'!$BN$6&amp;"*"),"",IF(COUNTIF(C207,"*"&amp;'ARDT Cutter Entry'!$BN$7&amp;"*"),"",Data!BR52))))),SUBSTITUTE(SUBSTITUTE(SUBSTITUTE(SUBSTITUTE(SUBSTITUTE(SUBSTITUTE(SUBSTITUTE(SUBSTITUTE(SUBSTITUTE(C207,'ARDT Cutter Entry'!$BN$3,""),'ARDT Cutter Entry'!$BN$4,""),'ARDT Cutter Entry'!$BN$5,""),'ARDT Cutter Entry'!$BN$6,""),'ARDT Cutter Entry'!$BN$7,""),"P",""),"I",""),"V",""),"B","")&amp;Data!BR52),IF(AND(Data!BR52&lt;&gt;0,Data!BR52&lt;&gt;""),IF(C224&lt;&gt;"",C224,"O"),""))</f>
        <v/>
      </c>
      <c r="D241" s="41" t="str">
        <f>IF(D207&lt;&gt;"",IF(OR(COUNTIF(D207,"L*"),COUNTIF(D207, "X*")),SUBSTITUTE(SUBSTITUTE(SUBSTITUTE(SUBSTITUTE(D207,"P",""),"I",""),"V",""),"B","") &amp; IF(COUNTIF(D207, "*"&amp;'ARDT Cutter Entry'!$BN$3&amp;"*"),"",IF(COUNTIF(D207, "*"&amp;'ARDT Cutter Entry'!$BN$4&amp;"*"),"",IF(COUNTIF(D207,"*"&amp;'ARDT Cutter Entry'!$BN$5&amp;"*"),"",IF(COUNTIF(D207,"*"&amp;'ARDT Cutter Entry'!$BN$6&amp;"*"),"",IF(COUNTIF(D207,"*"&amp;'ARDT Cutter Entry'!$BN$7&amp;"*"),"",Data!BS52))))),SUBSTITUTE(SUBSTITUTE(SUBSTITUTE(SUBSTITUTE(SUBSTITUTE(SUBSTITUTE(SUBSTITUTE(SUBSTITUTE(SUBSTITUTE(D207,'ARDT Cutter Entry'!$BN$3,""),'ARDT Cutter Entry'!$BN$4,""),'ARDT Cutter Entry'!$BN$5,""),'ARDT Cutter Entry'!$BN$6,""),'ARDT Cutter Entry'!$BN$7,""),"P",""),"I",""),"V",""),"B","")&amp;Data!BS52),IF(AND(Data!BS52&lt;&gt;0,Data!BS52&lt;&gt;""),IF(D224&lt;&gt;"",D224,"O"),""))</f>
        <v/>
      </c>
      <c r="E241" s="41" t="str">
        <f>IF(E207&lt;&gt;"",IF(OR(COUNTIF(E207,"L*"),COUNTIF(E207, "X*")),SUBSTITUTE(SUBSTITUTE(SUBSTITUTE(SUBSTITUTE(E207,"P",""),"I",""),"V",""),"B","") &amp; IF(COUNTIF(E207, "*"&amp;'ARDT Cutter Entry'!$BN$3&amp;"*"),"",IF(COUNTIF(E207, "*"&amp;'ARDT Cutter Entry'!$BN$4&amp;"*"),"",IF(COUNTIF(E207,"*"&amp;'ARDT Cutter Entry'!$BN$5&amp;"*"),"",IF(COUNTIF(E207,"*"&amp;'ARDT Cutter Entry'!$BN$6&amp;"*"),"",IF(COUNTIF(E207,"*"&amp;'ARDT Cutter Entry'!$BN$7&amp;"*"),"",Data!BT52))))),SUBSTITUTE(SUBSTITUTE(SUBSTITUTE(SUBSTITUTE(SUBSTITUTE(SUBSTITUTE(SUBSTITUTE(SUBSTITUTE(SUBSTITUTE(E207,'ARDT Cutter Entry'!$BN$3,""),'ARDT Cutter Entry'!$BN$4,""),'ARDT Cutter Entry'!$BN$5,""),'ARDT Cutter Entry'!$BN$6,""),'ARDT Cutter Entry'!$BN$7,""),"P",""),"I",""),"V",""),"B","")&amp;Data!BT52),IF(AND(Data!BT52&lt;&gt;0,Data!BT52&lt;&gt;""),IF(E224&lt;&gt;"",E224,"O"),""))</f>
        <v/>
      </c>
      <c r="F241" s="41" t="str">
        <f>IF(F207&lt;&gt;"",IF(OR(COUNTIF(F207,"L*"),COUNTIF(F207, "X*")),SUBSTITUTE(SUBSTITUTE(SUBSTITUTE(SUBSTITUTE(F207,"P",""),"I",""),"V",""),"B","") &amp; IF(COUNTIF(F207, "*"&amp;'ARDT Cutter Entry'!$BN$3&amp;"*"),"",IF(COUNTIF(F207, "*"&amp;'ARDT Cutter Entry'!$BN$4&amp;"*"),"",IF(COUNTIF(F207,"*"&amp;'ARDT Cutter Entry'!$BN$5&amp;"*"),"",IF(COUNTIF(F207,"*"&amp;'ARDT Cutter Entry'!$BN$6&amp;"*"),"",IF(COUNTIF(F207,"*"&amp;'ARDT Cutter Entry'!$BN$7&amp;"*"),"",Data!BU52))))),SUBSTITUTE(SUBSTITUTE(SUBSTITUTE(SUBSTITUTE(SUBSTITUTE(SUBSTITUTE(SUBSTITUTE(SUBSTITUTE(SUBSTITUTE(F207,'ARDT Cutter Entry'!$BN$3,""),'ARDT Cutter Entry'!$BN$4,""),'ARDT Cutter Entry'!$BN$5,""),'ARDT Cutter Entry'!$BN$6,""),'ARDT Cutter Entry'!$BN$7,""),"P",""),"I",""),"V",""),"B","")&amp;Data!BU52),IF(AND(Data!BU52&lt;&gt;0,Data!BU52&lt;&gt;""),IF(F224&lt;&gt;"",F224,"O"),""))</f>
        <v/>
      </c>
      <c r="G241" s="41" t="str">
        <f>IF(G207&lt;&gt;"",IF(OR(COUNTIF(G207,"L*"),COUNTIF(G207, "X*")),SUBSTITUTE(SUBSTITUTE(SUBSTITUTE(SUBSTITUTE(G207,"P",""),"I",""),"V",""),"B","") &amp; IF(COUNTIF(G207, "*"&amp;'ARDT Cutter Entry'!$BN$3&amp;"*"),"",IF(COUNTIF(G207, "*"&amp;'ARDT Cutter Entry'!$BN$4&amp;"*"),"",IF(COUNTIF(G207,"*"&amp;'ARDT Cutter Entry'!$BN$5&amp;"*"),"",IF(COUNTIF(G207,"*"&amp;'ARDT Cutter Entry'!$BN$6&amp;"*"),"",IF(COUNTIF(G207,"*"&amp;'ARDT Cutter Entry'!$BN$7&amp;"*"),"",Data!BV52))))),SUBSTITUTE(SUBSTITUTE(SUBSTITUTE(SUBSTITUTE(SUBSTITUTE(SUBSTITUTE(SUBSTITUTE(SUBSTITUTE(SUBSTITUTE(G207,'ARDT Cutter Entry'!$BN$3,""),'ARDT Cutter Entry'!$BN$4,""),'ARDT Cutter Entry'!$BN$5,""),'ARDT Cutter Entry'!$BN$6,""),'ARDT Cutter Entry'!$BN$7,""),"P",""),"I",""),"V",""),"B","")&amp;Data!BV52),IF(AND(Data!BV52&lt;&gt;0,Data!BV52&lt;&gt;""),IF(G224&lt;&gt;"",G224,"O"),""))</f>
        <v/>
      </c>
      <c r="H241" s="41" t="str">
        <f>IF(H207&lt;&gt;"",IF(OR(COUNTIF(H207,"L*"),COUNTIF(H207, "X*")),SUBSTITUTE(SUBSTITUTE(SUBSTITUTE(SUBSTITUTE(H207,"P",""),"I",""),"V",""),"B","") &amp; IF(COUNTIF(H207, "*"&amp;'ARDT Cutter Entry'!$BN$3&amp;"*"),"",IF(COUNTIF(H207, "*"&amp;'ARDT Cutter Entry'!$BN$4&amp;"*"),"",IF(COUNTIF(H207,"*"&amp;'ARDT Cutter Entry'!$BN$5&amp;"*"),"",IF(COUNTIF(H207,"*"&amp;'ARDT Cutter Entry'!$BN$6&amp;"*"),"",IF(COUNTIF(H207,"*"&amp;'ARDT Cutter Entry'!$BN$7&amp;"*"),"",Data!BW52))))),SUBSTITUTE(SUBSTITUTE(SUBSTITUTE(SUBSTITUTE(SUBSTITUTE(SUBSTITUTE(SUBSTITUTE(SUBSTITUTE(SUBSTITUTE(H207,'ARDT Cutter Entry'!$BN$3,""),'ARDT Cutter Entry'!$BN$4,""),'ARDT Cutter Entry'!$BN$5,""),'ARDT Cutter Entry'!$BN$6,""),'ARDT Cutter Entry'!$BN$7,""),"P",""),"I",""),"V",""),"B","")&amp;Data!BW52),IF(AND(Data!BW52&lt;&gt;0,Data!BW52&lt;&gt;""),IF(H224&lt;&gt;"",H224,"O"),""))</f>
        <v/>
      </c>
      <c r="I241" s="41" t="str">
        <f>IF(I207&lt;&gt;"",IF(OR(COUNTIF(I207,"L*"),COUNTIF(I207, "X*")),SUBSTITUTE(SUBSTITUTE(SUBSTITUTE(SUBSTITUTE(I207,"P",""),"I",""),"V",""),"B","") &amp; IF(COUNTIF(I207, "*"&amp;'ARDT Cutter Entry'!$BN$3&amp;"*"),"",IF(COUNTIF(I207, "*"&amp;'ARDT Cutter Entry'!$BN$4&amp;"*"),"",IF(COUNTIF(I207,"*"&amp;'ARDT Cutter Entry'!$BN$5&amp;"*"),"",IF(COUNTIF(I207,"*"&amp;'ARDT Cutter Entry'!$BN$6&amp;"*"),"",IF(COUNTIF(I207,"*"&amp;'ARDT Cutter Entry'!$BN$7&amp;"*"),"",Data!BX52))))),SUBSTITUTE(SUBSTITUTE(SUBSTITUTE(SUBSTITUTE(SUBSTITUTE(SUBSTITUTE(SUBSTITUTE(SUBSTITUTE(SUBSTITUTE(I207,'ARDT Cutter Entry'!$BN$3,""),'ARDT Cutter Entry'!$BN$4,""),'ARDT Cutter Entry'!$BN$5,""),'ARDT Cutter Entry'!$BN$6,""),'ARDT Cutter Entry'!$BN$7,""),"P",""),"I",""),"V",""),"B","")&amp;Data!BX52),IF(AND(Data!BX52&lt;&gt;0,Data!BX52&lt;&gt;""),IF(I224&lt;&gt;"",I224,"O"),""))</f>
        <v/>
      </c>
      <c r="J241" s="41" t="str">
        <f>IF(J207&lt;&gt;"",IF(OR(COUNTIF(J207,"L*"),COUNTIF(J207, "X*")),SUBSTITUTE(SUBSTITUTE(SUBSTITUTE(SUBSTITUTE(J207,"P",""),"I",""),"V",""),"B","") &amp; IF(COUNTIF(J207, "*"&amp;'ARDT Cutter Entry'!$BN$3&amp;"*"),"",IF(COUNTIF(J207, "*"&amp;'ARDT Cutter Entry'!$BN$4&amp;"*"),"",IF(COUNTIF(J207,"*"&amp;'ARDT Cutter Entry'!$BN$5&amp;"*"),"",IF(COUNTIF(J207,"*"&amp;'ARDT Cutter Entry'!$BN$6&amp;"*"),"",IF(COUNTIF(J207,"*"&amp;'ARDT Cutter Entry'!$BN$7&amp;"*"),"",Data!BY52))))),SUBSTITUTE(SUBSTITUTE(SUBSTITUTE(SUBSTITUTE(SUBSTITUTE(SUBSTITUTE(SUBSTITUTE(SUBSTITUTE(SUBSTITUTE(J207,'ARDT Cutter Entry'!$BN$3,""),'ARDT Cutter Entry'!$BN$4,""),'ARDT Cutter Entry'!$BN$5,""),'ARDT Cutter Entry'!$BN$6,""),'ARDT Cutter Entry'!$BN$7,""),"P",""),"I",""),"V",""),"B","")&amp;Data!BY52),IF(AND(Data!BY52&lt;&gt;0,Data!BY52&lt;&gt;""),IF(J224&lt;&gt;"",J224,"O"),""))</f>
        <v/>
      </c>
      <c r="K241" s="41" t="str">
        <f>IF(K207&lt;&gt;"",IF(OR(COUNTIF(K207,"L*"),COUNTIF(K207, "X*")),SUBSTITUTE(SUBSTITUTE(SUBSTITUTE(SUBSTITUTE(K207,"P",""),"I",""),"V",""),"B","") &amp; IF(COUNTIF(K207, "*"&amp;'ARDT Cutter Entry'!$BN$3&amp;"*"),"",IF(COUNTIF(K207, "*"&amp;'ARDT Cutter Entry'!$BN$4&amp;"*"),"",IF(COUNTIF(K207,"*"&amp;'ARDT Cutter Entry'!$BN$5&amp;"*"),"",IF(COUNTIF(K207,"*"&amp;'ARDT Cutter Entry'!$BN$6&amp;"*"),"",IF(COUNTIF(K207,"*"&amp;'ARDT Cutter Entry'!$BN$7&amp;"*"),"",Data!BZ52))))),SUBSTITUTE(SUBSTITUTE(SUBSTITUTE(SUBSTITUTE(SUBSTITUTE(SUBSTITUTE(SUBSTITUTE(SUBSTITUTE(SUBSTITUTE(K207,'ARDT Cutter Entry'!$BN$3,""),'ARDT Cutter Entry'!$BN$4,""),'ARDT Cutter Entry'!$BN$5,""),'ARDT Cutter Entry'!$BN$6,""),'ARDT Cutter Entry'!$BN$7,""),"P",""),"I",""),"V",""),"B","")&amp;Data!BZ52),IF(AND(Data!BZ52&lt;&gt;0,Data!BZ52&lt;&gt;""),IF(K224&lt;&gt;"",K224,"O"),""))</f>
        <v/>
      </c>
      <c r="L241" s="41" t="str">
        <f>IF(L207&lt;&gt;"",IF(OR(COUNTIF(L207,"L*"),COUNTIF(L207, "X*")),SUBSTITUTE(SUBSTITUTE(SUBSTITUTE(SUBSTITUTE(L207,"P",""),"I",""),"V",""),"B","") &amp; IF(COUNTIF(L207, "*"&amp;'ARDT Cutter Entry'!$BN$3&amp;"*"),"",IF(COUNTIF(L207, "*"&amp;'ARDT Cutter Entry'!$BN$4&amp;"*"),"",IF(COUNTIF(L207,"*"&amp;'ARDT Cutter Entry'!$BN$5&amp;"*"),"",IF(COUNTIF(L207,"*"&amp;'ARDT Cutter Entry'!$BN$6&amp;"*"),"",IF(COUNTIF(L207,"*"&amp;'ARDT Cutter Entry'!$BN$7&amp;"*"),"",Data!CA52))))),SUBSTITUTE(SUBSTITUTE(SUBSTITUTE(SUBSTITUTE(SUBSTITUTE(SUBSTITUTE(SUBSTITUTE(SUBSTITUTE(SUBSTITUTE(L207,'ARDT Cutter Entry'!$BN$3,""),'ARDT Cutter Entry'!$BN$4,""),'ARDT Cutter Entry'!$BN$5,""),'ARDT Cutter Entry'!$BN$6,""),'ARDT Cutter Entry'!$BN$7,""),"P",""),"I",""),"V",""),"B","")&amp;Data!CA52),IF(AND(Data!CA52&lt;&gt;0,Data!CA52&lt;&gt;""),IF(L224&lt;&gt;"",L224,"O"),""))</f>
        <v/>
      </c>
      <c r="M241" s="41" t="str">
        <f>IF(M207&lt;&gt;"",IF(OR(COUNTIF(M207,"L*"),COUNTIF(M207, "X*")),SUBSTITUTE(SUBSTITUTE(SUBSTITUTE(SUBSTITUTE(M207,"P",""),"I",""),"V",""),"B","") &amp; IF(COUNTIF(M207, "*"&amp;'ARDT Cutter Entry'!$BN$3&amp;"*"),"",IF(COUNTIF(M207, "*"&amp;'ARDT Cutter Entry'!$BN$4&amp;"*"),"",IF(COUNTIF(M207,"*"&amp;'ARDT Cutter Entry'!$BN$5&amp;"*"),"",IF(COUNTIF(M207,"*"&amp;'ARDT Cutter Entry'!$BN$6&amp;"*"),"",IF(COUNTIF(M207,"*"&amp;'ARDT Cutter Entry'!$BN$7&amp;"*"),"",Data!CB52))))),SUBSTITUTE(SUBSTITUTE(SUBSTITUTE(SUBSTITUTE(SUBSTITUTE(SUBSTITUTE(SUBSTITUTE(SUBSTITUTE(SUBSTITUTE(M207,'ARDT Cutter Entry'!$BN$3,""),'ARDT Cutter Entry'!$BN$4,""),'ARDT Cutter Entry'!$BN$5,""),'ARDT Cutter Entry'!$BN$6,""),'ARDT Cutter Entry'!$BN$7,""),"P",""),"I",""),"V",""),"B","")&amp;Data!CB52),IF(AND(Data!CB52&lt;&gt;0,Data!CB52&lt;&gt;""),IF(M224&lt;&gt;"",M224,"O"),""))</f>
        <v/>
      </c>
      <c r="N241" s="41" t="str">
        <f>IF(N207&lt;&gt;"",IF(OR(COUNTIF(N207,"L*"),COUNTIF(N207, "X*")),SUBSTITUTE(SUBSTITUTE(SUBSTITUTE(SUBSTITUTE(N207,"P",""),"I",""),"V",""),"B","") &amp; IF(COUNTIF(N207, "*"&amp;'ARDT Cutter Entry'!$BN$3&amp;"*"),"",IF(COUNTIF(N207, "*"&amp;'ARDT Cutter Entry'!$BN$4&amp;"*"),"",IF(COUNTIF(N207,"*"&amp;'ARDT Cutter Entry'!$BN$5&amp;"*"),"",IF(COUNTIF(N207,"*"&amp;'ARDT Cutter Entry'!$BN$6&amp;"*"),"",IF(COUNTIF(N207,"*"&amp;'ARDT Cutter Entry'!$BN$7&amp;"*"),"",Data!CC52))))),SUBSTITUTE(SUBSTITUTE(SUBSTITUTE(SUBSTITUTE(SUBSTITUTE(SUBSTITUTE(SUBSTITUTE(SUBSTITUTE(SUBSTITUTE(N207,'ARDT Cutter Entry'!$BN$3,""),'ARDT Cutter Entry'!$BN$4,""),'ARDT Cutter Entry'!$BN$5,""),'ARDT Cutter Entry'!$BN$6,""),'ARDT Cutter Entry'!$BN$7,""),"P",""),"I",""),"V",""),"B","")&amp;Data!CC52),IF(AND(Data!CC52&lt;&gt;0,Data!CC52&lt;&gt;""),IF(N224&lt;&gt;"",N224,"O"),""))</f>
        <v/>
      </c>
      <c r="O241" s="41" t="str">
        <f>IF(O207&lt;&gt;"",IF(OR(COUNTIF(O207,"L*"),COUNTIF(O207, "X*")),SUBSTITUTE(SUBSTITUTE(SUBSTITUTE(SUBSTITUTE(O207,"P",""),"I",""),"V",""),"B","") &amp; IF(COUNTIF(O207, "*"&amp;'ARDT Cutter Entry'!$BN$3&amp;"*"),"",IF(COUNTIF(O207, "*"&amp;'ARDT Cutter Entry'!$BN$4&amp;"*"),"",IF(COUNTIF(O207,"*"&amp;'ARDT Cutter Entry'!$BN$5&amp;"*"),"",IF(COUNTIF(O207,"*"&amp;'ARDT Cutter Entry'!$BN$6&amp;"*"),"",IF(COUNTIF(O207,"*"&amp;'ARDT Cutter Entry'!$BN$7&amp;"*"),"",Data!CD52))))),SUBSTITUTE(SUBSTITUTE(SUBSTITUTE(SUBSTITUTE(SUBSTITUTE(SUBSTITUTE(SUBSTITUTE(SUBSTITUTE(SUBSTITUTE(O207,'ARDT Cutter Entry'!$BN$3,""),'ARDT Cutter Entry'!$BN$4,""),'ARDT Cutter Entry'!$BN$5,""),'ARDT Cutter Entry'!$BN$6,""),'ARDT Cutter Entry'!$BN$7,""),"P",""),"I",""),"V",""),"B","")&amp;Data!CD52),IF(AND(Data!CD52&lt;&gt;0,Data!CD52&lt;&gt;""),IF(O224&lt;&gt;"",O224,"O"),""))</f>
        <v/>
      </c>
      <c r="P241" s="41" t="str">
        <f>IF(P207&lt;&gt;"",IF(OR(COUNTIF(P207,"L*"),COUNTIF(P207, "X*")),SUBSTITUTE(SUBSTITUTE(SUBSTITUTE(SUBSTITUTE(P207,"P",""),"I",""),"V",""),"B","") &amp; IF(COUNTIF(P207, "*"&amp;'ARDT Cutter Entry'!$BN$3&amp;"*"),"",IF(COUNTIF(P207, "*"&amp;'ARDT Cutter Entry'!$BN$4&amp;"*"),"",IF(COUNTIF(P207,"*"&amp;'ARDT Cutter Entry'!$BN$5&amp;"*"),"",IF(COUNTIF(P207,"*"&amp;'ARDT Cutter Entry'!$BN$6&amp;"*"),"",IF(COUNTIF(P207,"*"&amp;'ARDT Cutter Entry'!$BN$7&amp;"*"),"",Data!CE52))))),SUBSTITUTE(SUBSTITUTE(SUBSTITUTE(SUBSTITUTE(SUBSTITUTE(SUBSTITUTE(SUBSTITUTE(SUBSTITUTE(SUBSTITUTE(P207,'ARDT Cutter Entry'!$BN$3,""),'ARDT Cutter Entry'!$BN$4,""),'ARDT Cutter Entry'!$BN$5,""),'ARDT Cutter Entry'!$BN$6,""),'ARDT Cutter Entry'!$BN$7,""),"P",""),"I",""),"V",""),"B","")&amp;Data!CE52),IF(AND(Data!CE52&lt;&gt;0,Data!CE52&lt;&gt;""),IF(P224&lt;&gt;"",P224,"O"),""))</f>
        <v/>
      </c>
      <c r="Q241" s="41" t="str">
        <f>IF(Q207&lt;&gt;"",IF(OR(COUNTIF(Q207,"L*"),COUNTIF(Q207, "X*")),SUBSTITUTE(SUBSTITUTE(SUBSTITUTE(SUBSTITUTE(Q207,"P",""),"I",""),"V",""),"B","") &amp; IF(COUNTIF(Q207, "*"&amp;'ARDT Cutter Entry'!$BN$3&amp;"*"),"",IF(COUNTIF(Q207, "*"&amp;'ARDT Cutter Entry'!$BN$4&amp;"*"),"",IF(COUNTIF(Q207,"*"&amp;'ARDT Cutter Entry'!$BN$5&amp;"*"),"",IF(COUNTIF(Q207,"*"&amp;'ARDT Cutter Entry'!$BN$6&amp;"*"),"",IF(COUNTIF(Q207,"*"&amp;'ARDT Cutter Entry'!$BN$7&amp;"*"),"",Data!CF52))))),SUBSTITUTE(SUBSTITUTE(SUBSTITUTE(SUBSTITUTE(SUBSTITUTE(SUBSTITUTE(SUBSTITUTE(SUBSTITUTE(SUBSTITUTE(Q207,'ARDT Cutter Entry'!$BN$3,""),'ARDT Cutter Entry'!$BN$4,""),'ARDT Cutter Entry'!$BN$5,""),'ARDT Cutter Entry'!$BN$6,""),'ARDT Cutter Entry'!$BN$7,""),"P",""),"I",""),"V",""),"B","")&amp;Data!CF52),IF(AND(Data!CF52&lt;&gt;0,Data!CF52&lt;&gt;""),IF(Q224&lt;&gt;"",Q224,"O"),""))</f>
        <v/>
      </c>
      <c r="R241" s="41" t="str">
        <f>IF(R207&lt;&gt;"",IF(OR(COUNTIF(R207,"L*"),COUNTIF(R207, "X*")),SUBSTITUTE(SUBSTITUTE(SUBSTITUTE(SUBSTITUTE(R207,"P",""),"I",""),"V",""),"B","") &amp; IF(COUNTIF(R207, "*"&amp;'ARDT Cutter Entry'!$BN$3&amp;"*"),"",IF(COUNTIF(R207, "*"&amp;'ARDT Cutter Entry'!$BN$4&amp;"*"),"",IF(COUNTIF(R207,"*"&amp;'ARDT Cutter Entry'!$BN$5&amp;"*"),"",IF(COUNTIF(R207,"*"&amp;'ARDT Cutter Entry'!$BN$6&amp;"*"),"",IF(COUNTIF(R207,"*"&amp;'ARDT Cutter Entry'!$BN$7&amp;"*"),"",Data!CG52))))),SUBSTITUTE(SUBSTITUTE(SUBSTITUTE(SUBSTITUTE(SUBSTITUTE(SUBSTITUTE(SUBSTITUTE(SUBSTITUTE(SUBSTITUTE(R207,'ARDT Cutter Entry'!$BN$3,""),'ARDT Cutter Entry'!$BN$4,""),'ARDT Cutter Entry'!$BN$5,""),'ARDT Cutter Entry'!$BN$6,""),'ARDT Cutter Entry'!$BN$7,""),"P",""),"I",""),"V",""),"B","")&amp;Data!CG52),IF(AND(Data!CG52&lt;&gt;0,Data!CG52&lt;&gt;""),IF(R224&lt;&gt;"",R224,"O"),""))</f>
        <v/>
      </c>
      <c r="S241" s="41" t="str">
        <f>IF(S207&lt;&gt;"",IF(OR(COUNTIF(S207,"L*"),COUNTIF(S207, "X*")),SUBSTITUTE(SUBSTITUTE(SUBSTITUTE(SUBSTITUTE(S207,"P",""),"I",""),"V",""),"B","") &amp; IF(COUNTIF(S207, "*"&amp;'ARDT Cutter Entry'!$BN$3&amp;"*"),"",IF(COUNTIF(S207, "*"&amp;'ARDT Cutter Entry'!$BN$4&amp;"*"),"",IF(COUNTIF(S207,"*"&amp;'ARDT Cutter Entry'!$BN$5&amp;"*"),"",IF(COUNTIF(S207,"*"&amp;'ARDT Cutter Entry'!$BN$6&amp;"*"),"",IF(COUNTIF(S207,"*"&amp;'ARDT Cutter Entry'!$BN$7&amp;"*"),"",Data!CH52))))),SUBSTITUTE(SUBSTITUTE(SUBSTITUTE(SUBSTITUTE(SUBSTITUTE(SUBSTITUTE(SUBSTITUTE(SUBSTITUTE(SUBSTITUTE(S207,'ARDT Cutter Entry'!$BN$3,""),'ARDT Cutter Entry'!$BN$4,""),'ARDT Cutter Entry'!$BN$5,""),'ARDT Cutter Entry'!$BN$6,""),'ARDT Cutter Entry'!$BN$7,""),"P",""),"I",""),"V",""),"B","")&amp;Data!CH52),IF(AND(Data!CH52&lt;&gt;0,Data!CH52&lt;&gt;""),IF(S224&lt;&gt;"",S224,"O"),""))</f>
        <v/>
      </c>
      <c r="T241" s="41" t="str">
        <f>IF(T207&lt;&gt;"",IF(OR(COUNTIF(T207,"L*"),COUNTIF(T207, "X*")),SUBSTITUTE(SUBSTITUTE(SUBSTITUTE(SUBSTITUTE(T207,"P",""),"I",""),"V",""),"B","") &amp; IF(COUNTIF(T207, "*"&amp;'ARDT Cutter Entry'!$BN$3&amp;"*"),"",IF(COUNTIF(T207, "*"&amp;'ARDT Cutter Entry'!$BN$4&amp;"*"),"",IF(COUNTIF(T207,"*"&amp;'ARDT Cutter Entry'!$BN$5&amp;"*"),"",IF(COUNTIF(T207,"*"&amp;'ARDT Cutter Entry'!$BN$6&amp;"*"),"",IF(COUNTIF(T207,"*"&amp;'ARDT Cutter Entry'!$BN$7&amp;"*"),"",Data!CI52))))),SUBSTITUTE(SUBSTITUTE(SUBSTITUTE(SUBSTITUTE(SUBSTITUTE(SUBSTITUTE(SUBSTITUTE(SUBSTITUTE(SUBSTITUTE(T207,'ARDT Cutter Entry'!$BN$3,""),'ARDT Cutter Entry'!$BN$4,""),'ARDT Cutter Entry'!$BN$5,""),'ARDT Cutter Entry'!$BN$6,""),'ARDT Cutter Entry'!$BN$7,""),"P",""),"I",""),"V",""),"B","")&amp;Data!CI52),IF(AND(Data!CI52&lt;&gt;0,Data!CI52&lt;&gt;""),IF(T224&lt;&gt;"",T224,"O"),""))</f>
        <v/>
      </c>
      <c r="U241" s="41" t="str">
        <f>IF(U207&lt;&gt;"",IF(OR(COUNTIF(U207,"L*"),COUNTIF(U207, "X*")),SUBSTITUTE(SUBSTITUTE(SUBSTITUTE(SUBSTITUTE(U207,"P",""),"I",""),"V",""),"B","") &amp; IF(COUNTIF(U207, "*"&amp;'ARDT Cutter Entry'!$BN$3&amp;"*"),"",IF(COUNTIF(U207, "*"&amp;'ARDT Cutter Entry'!$BN$4&amp;"*"),"",IF(COUNTIF(U207,"*"&amp;'ARDT Cutter Entry'!$BN$5&amp;"*"),"",IF(COUNTIF(U207,"*"&amp;'ARDT Cutter Entry'!$BN$6&amp;"*"),"",IF(COUNTIF(U207,"*"&amp;'ARDT Cutter Entry'!$BN$7&amp;"*"),"",Data!CJ52))))),SUBSTITUTE(SUBSTITUTE(SUBSTITUTE(SUBSTITUTE(SUBSTITUTE(SUBSTITUTE(SUBSTITUTE(SUBSTITUTE(SUBSTITUTE(U207,'ARDT Cutter Entry'!$BN$3,""),'ARDT Cutter Entry'!$BN$4,""),'ARDT Cutter Entry'!$BN$5,""),'ARDT Cutter Entry'!$BN$6,""),'ARDT Cutter Entry'!$BN$7,""),"P",""),"I",""),"V",""),"B","")&amp;Data!CJ52),IF(AND(Data!CJ52&lt;&gt;0,Data!CJ52&lt;&gt;""),IF(U224&lt;&gt;"",U224,"O"),""))</f>
        <v/>
      </c>
      <c r="V241" s="41" t="str">
        <f>IF(V207&lt;&gt;"",IF(OR(COUNTIF(V207,"L*"),COUNTIF(V207, "X*")),SUBSTITUTE(SUBSTITUTE(SUBSTITUTE(SUBSTITUTE(V207,"P",""),"I",""),"V",""),"B","") &amp; IF(COUNTIF(V207, "*"&amp;'ARDT Cutter Entry'!$BN$3&amp;"*"),"",IF(COUNTIF(V207, "*"&amp;'ARDT Cutter Entry'!$BN$4&amp;"*"),"",IF(COUNTIF(V207,"*"&amp;'ARDT Cutter Entry'!$BN$5&amp;"*"),"",IF(COUNTIF(V207,"*"&amp;'ARDT Cutter Entry'!$BN$6&amp;"*"),"",IF(COUNTIF(V207,"*"&amp;'ARDT Cutter Entry'!$BN$7&amp;"*"),"",Data!CK52))))),SUBSTITUTE(SUBSTITUTE(SUBSTITUTE(SUBSTITUTE(SUBSTITUTE(SUBSTITUTE(SUBSTITUTE(SUBSTITUTE(SUBSTITUTE(V207,'ARDT Cutter Entry'!$BN$3,""),'ARDT Cutter Entry'!$BN$4,""),'ARDT Cutter Entry'!$BN$5,""),'ARDT Cutter Entry'!$BN$6,""),'ARDT Cutter Entry'!$BN$7,""),"P",""),"I",""),"V",""),"B","")&amp;Data!CK52),IF(AND(Data!CK52&lt;&gt;0,Data!CK52&lt;&gt;""),IF(V224&lt;&gt;"",V224,"O"),""))</f>
        <v/>
      </c>
      <c r="W241" s="41" t="str">
        <f>IF(W207&lt;&gt;"",IF(OR(COUNTIF(W207,"L*"),COUNTIF(W207, "X*")),SUBSTITUTE(SUBSTITUTE(SUBSTITUTE(SUBSTITUTE(W207,"P",""),"I",""),"V",""),"B","") &amp; IF(COUNTIF(W207, "*"&amp;'ARDT Cutter Entry'!$BN$3&amp;"*"),"",IF(COUNTIF(W207, "*"&amp;'ARDT Cutter Entry'!$BN$4&amp;"*"),"",IF(COUNTIF(W207,"*"&amp;'ARDT Cutter Entry'!$BN$5&amp;"*"),"",IF(COUNTIF(W207,"*"&amp;'ARDT Cutter Entry'!$BN$6&amp;"*"),"",IF(COUNTIF(W207,"*"&amp;'ARDT Cutter Entry'!$BN$7&amp;"*"),"",Data!CL52))))),SUBSTITUTE(SUBSTITUTE(SUBSTITUTE(SUBSTITUTE(SUBSTITUTE(SUBSTITUTE(SUBSTITUTE(SUBSTITUTE(SUBSTITUTE(W207,'ARDT Cutter Entry'!$BN$3,""),'ARDT Cutter Entry'!$BN$4,""),'ARDT Cutter Entry'!$BN$5,""),'ARDT Cutter Entry'!$BN$6,""),'ARDT Cutter Entry'!$BN$7,""),"P",""),"I",""),"V",""),"B","")&amp;Data!CL52),IF(AND(Data!CL52&lt;&gt;0,Data!CL52&lt;&gt;""),IF(W224&lt;&gt;"",W224,"O"),""))</f>
        <v/>
      </c>
      <c r="X241" s="41" t="str">
        <f>IF(X207&lt;&gt;"",IF(OR(COUNTIF(X207,"L*"),COUNTIF(X207, "X*")),SUBSTITUTE(SUBSTITUTE(SUBSTITUTE(SUBSTITUTE(X207,"P",""),"I",""),"V",""),"B","") &amp; IF(COUNTIF(X207, "*"&amp;'ARDT Cutter Entry'!$BN$3&amp;"*"),"",IF(COUNTIF(X207, "*"&amp;'ARDT Cutter Entry'!$BN$4&amp;"*"),"",IF(COUNTIF(X207,"*"&amp;'ARDT Cutter Entry'!$BN$5&amp;"*"),"",IF(COUNTIF(X207,"*"&amp;'ARDT Cutter Entry'!$BN$6&amp;"*"),"",IF(COUNTIF(X207,"*"&amp;'ARDT Cutter Entry'!$BN$7&amp;"*"),"",Data!CM52))))),SUBSTITUTE(SUBSTITUTE(SUBSTITUTE(SUBSTITUTE(SUBSTITUTE(SUBSTITUTE(SUBSTITUTE(SUBSTITUTE(SUBSTITUTE(X207,'ARDT Cutter Entry'!$BN$3,""),'ARDT Cutter Entry'!$BN$4,""),'ARDT Cutter Entry'!$BN$5,""),'ARDT Cutter Entry'!$BN$6,""),'ARDT Cutter Entry'!$BN$7,""),"P",""),"I",""),"V",""),"B","")&amp;Data!CM52),IF(AND(Data!CM52&lt;&gt;0,Data!CM52&lt;&gt;""),IF(X224&lt;&gt;"",X224,"O"),""))</f>
        <v/>
      </c>
      <c r="Y241" s="41" t="str">
        <f>IF(Y207&lt;&gt;"",IF(OR(COUNTIF(Y207,"L*"),COUNTIF(Y207, "X*")),SUBSTITUTE(SUBSTITUTE(SUBSTITUTE(SUBSTITUTE(Y207,"P",""),"I",""),"V",""),"B","") &amp; IF(COUNTIF(Y207, "*"&amp;'ARDT Cutter Entry'!$BN$3&amp;"*"),"",IF(COUNTIF(Y207, "*"&amp;'ARDT Cutter Entry'!$BN$4&amp;"*"),"",IF(COUNTIF(Y207,"*"&amp;'ARDT Cutter Entry'!$BN$5&amp;"*"),"",IF(COUNTIF(Y207,"*"&amp;'ARDT Cutter Entry'!$BN$6&amp;"*"),"",IF(COUNTIF(Y207,"*"&amp;'ARDT Cutter Entry'!$BN$7&amp;"*"),"",Data!CN52))))),SUBSTITUTE(SUBSTITUTE(SUBSTITUTE(SUBSTITUTE(SUBSTITUTE(SUBSTITUTE(SUBSTITUTE(SUBSTITUTE(SUBSTITUTE(Y207,'ARDT Cutter Entry'!$BN$3,""),'ARDT Cutter Entry'!$BN$4,""),'ARDT Cutter Entry'!$BN$5,""),'ARDT Cutter Entry'!$BN$6,""),'ARDT Cutter Entry'!$BN$7,""),"P",""),"I",""),"V",""),"B","")&amp;Data!CN52),IF(AND(Data!CN52&lt;&gt;0,Data!CN52&lt;&gt;""),IF(Y224&lt;&gt;"",Y224,"O"),""))</f>
        <v/>
      </c>
      <c r="Z241" s="41" t="str">
        <f>IF(Z207&lt;&gt;"",IF(OR(COUNTIF(Z207,"L*"),COUNTIF(Z207, "X*")),SUBSTITUTE(SUBSTITUTE(SUBSTITUTE(SUBSTITUTE(Z207,"P",""),"I",""),"V",""),"B","") &amp; IF(COUNTIF(Z207, "*"&amp;'ARDT Cutter Entry'!$BN$3&amp;"*"),"",IF(COUNTIF(Z207, "*"&amp;'ARDT Cutter Entry'!$BN$4&amp;"*"),"",IF(COUNTIF(Z207,"*"&amp;'ARDT Cutter Entry'!$BN$5&amp;"*"),"",IF(COUNTIF(Z207,"*"&amp;'ARDT Cutter Entry'!$BN$6&amp;"*"),"",IF(COUNTIF(Z207,"*"&amp;'ARDT Cutter Entry'!$BN$7&amp;"*"),"",Data!CO52))))),SUBSTITUTE(SUBSTITUTE(SUBSTITUTE(SUBSTITUTE(SUBSTITUTE(SUBSTITUTE(SUBSTITUTE(SUBSTITUTE(SUBSTITUTE(Z207,'ARDT Cutter Entry'!$BN$3,""),'ARDT Cutter Entry'!$BN$4,""),'ARDT Cutter Entry'!$BN$5,""),'ARDT Cutter Entry'!$BN$6,""),'ARDT Cutter Entry'!$BN$7,""),"P",""),"I",""),"V",""),"B","")&amp;Data!CO52),IF(AND(Data!CO52&lt;&gt;0,Data!CO52&lt;&gt;""),IF(Z224&lt;&gt;"",Z224,"O"),""))</f>
        <v/>
      </c>
      <c r="AA241" s="41" t="str">
        <f>IF(AA207&lt;&gt;"",IF(OR(COUNTIF(AA207,"L*"),COUNTIF(AA207, "X*")),SUBSTITUTE(SUBSTITUTE(SUBSTITUTE(SUBSTITUTE(AA207,"P",""),"I",""),"V",""),"B","") &amp; IF(COUNTIF(AA207, "*"&amp;'ARDT Cutter Entry'!$BN$3&amp;"*"),"",IF(COUNTIF(AA207, "*"&amp;'ARDT Cutter Entry'!$BN$4&amp;"*"),"",IF(COUNTIF(AA207,"*"&amp;'ARDT Cutter Entry'!$BN$5&amp;"*"),"",IF(COUNTIF(AA207,"*"&amp;'ARDT Cutter Entry'!$BN$6&amp;"*"),"",IF(COUNTIF(AA207,"*"&amp;'ARDT Cutter Entry'!$BN$7&amp;"*"),"",Data!CP52))))),SUBSTITUTE(SUBSTITUTE(SUBSTITUTE(SUBSTITUTE(SUBSTITUTE(SUBSTITUTE(SUBSTITUTE(SUBSTITUTE(SUBSTITUTE(AA207,'ARDT Cutter Entry'!$BN$3,""),'ARDT Cutter Entry'!$BN$4,""),'ARDT Cutter Entry'!$BN$5,""),'ARDT Cutter Entry'!$BN$6,""),'ARDT Cutter Entry'!$BN$7,""),"P",""),"I",""),"V",""),"B","")&amp;Data!CP52),IF(AND(Data!CP52&lt;&gt;0,Data!CP52&lt;&gt;""),IF(AA224&lt;&gt;"",AA224,"O"),""))</f>
        <v/>
      </c>
      <c r="AB241" s="41" t="str">
        <f>IF(AB207&lt;&gt;"",IF(OR(COUNTIF(AB207,"L*"),COUNTIF(AB207, "X*")),SUBSTITUTE(SUBSTITUTE(SUBSTITUTE(SUBSTITUTE(AB207,"P",""),"I",""),"V",""),"B","") &amp; IF(COUNTIF(AB207, "*"&amp;'ARDT Cutter Entry'!$BN$3&amp;"*"),"",IF(COUNTIF(AB207, "*"&amp;'ARDT Cutter Entry'!$BN$4&amp;"*"),"",IF(COUNTIF(AB207,"*"&amp;'ARDT Cutter Entry'!$BN$5&amp;"*"),"",IF(COUNTIF(AB207,"*"&amp;'ARDT Cutter Entry'!$BN$6&amp;"*"),"",IF(COUNTIF(AB207,"*"&amp;'ARDT Cutter Entry'!$BN$7&amp;"*"),"",Data!CQ52))))),SUBSTITUTE(SUBSTITUTE(SUBSTITUTE(SUBSTITUTE(SUBSTITUTE(SUBSTITUTE(SUBSTITUTE(SUBSTITUTE(SUBSTITUTE(AB207,'ARDT Cutter Entry'!$BN$3,""),'ARDT Cutter Entry'!$BN$4,""),'ARDT Cutter Entry'!$BN$5,""),'ARDT Cutter Entry'!$BN$6,""),'ARDT Cutter Entry'!$BN$7,""),"P",""),"I",""),"V",""),"B","")&amp;Data!CQ52),IF(AND(Data!CQ52&lt;&gt;0,Data!CQ52&lt;&gt;""),IF(AB224&lt;&gt;"",AB224,"O"),""))</f>
        <v/>
      </c>
      <c r="AC241" s="41" t="str">
        <f>IF(AC207&lt;&gt;"",IF(OR(COUNTIF(AC207,"L*"),COUNTIF(AC207, "X*")),SUBSTITUTE(SUBSTITUTE(SUBSTITUTE(SUBSTITUTE(AC207,"P",""),"I",""),"V",""),"B","") &amp; IF(COUNTIF(AC207, "*"&amp;'ARDT Cutter Entry'!$BN$3&amp;"*"),"",IF(COUNTIF(AC207, "*"&amp;'ARDT Cutter Entry'!$BN$4&amp;"*"),"",IF(COUNTIF(AC207,"*"&amp;'ARDT Cutter Entry'!$BN$5&amp;"*"),"",IF(COUNTIF(AC207,"*"&amp;'ARDT Cutter Entry'!$BN$6&amp;"*"),"",IF(COUNTIF(AC207,"*"&amp;'ARDT Cutter Entry'!$BN$7&amp;"*"),"",Data!CR52))))),SUBSTITUTE(SUBSTITUTE(SUBSTITUTE(SUBSTITUTE(SUBSTITUTE(SUBSTITUTE(SUBSTITUTE(SUBSTITUTE(SUBSTITUTE(AC207,'ARDT Cutter Entry'!$BN$3,""),'ARDT Cutter Entry'!$BN$4,""),'ARDT Cutter Entry'!$BN$5,""),'ARDT Cutter Entry'!$BN$6,""),'ARDT Cutter Entry'!$BN$7,""),"P",""),"I",""),"V",""),"B","")&amp;Data!CR52),IF(AND(Data!CR52&lt;&gt;0,Data!CR52&lt;&gt;""),IF(AC224&lt;&gt;"",AC224,"O"),""))</f>
        <v/>
      </c>
      <c r="AD241" s="41" t="str">
        <f>IF(AD207&lt;&gt;"",IF(OR(COUNTIF(AD207,"L*"),COUNTIF(AD207, "X*")),SUBSTITUTE(SUBSTITUTE(SUBSTITUTE(SUBSTITUTE(AD207,"P",""),"I",""),"V",""),"B","") &amp; IF(COUNTIF(AD207, "*"&amp;'ARDT Cutter Entry'!$BN$3&amp;"*"),"",IF(COUNTIF(AD207, "*"&amp;'ARDT Cutter Entry'!$BN$4&amp;"*"),"",IF(COUNTIF(AD207,"*"&amp;'ARDT Cutter Entry'!$BN$5&amp;"*"),"",IF(COUNTIF(AD207,"*"&amp;'ARDT Cutter Entry'!$BN$6&amp;"*"),"",IF(COUNTIF(AD207,"*"&amp;'ARDT Cutter Entry'!$BN$7&amp;"*"),"",Data!CS52))))),SUBSTITUTE(SUBSTITUTE(SUBSTITUTE(SUBSTITUTE(SUBSTITUTE(SUBSTITUTE(SUBSTITUTE(SUBSTITUTE(SUBSTITUTE(AD207,'ARDT Cutter Entry'!$BN$3,""),'ARDT Cutter Entry'!$BN$4,""),'ARDT Cutter Entry'!$BN$5,""),'ARDT Cutter Entry'!$BN$6,""),'ARDT Cutter Entry'!$BN$7,""),"P",""),"I",""),"V",""),"B","")&amp;Data!CS52),IF(AND(Data!CS52&lt;&gt;0,Data!CS52&lt;&gt;""),IF(AD224&lt;&gt;"",AD224,"O"),""))</f>
        <v/>
      </c>
      <c r="AE241" s="41" t="str">
        <f>IF(AE207&lt;&gt;"",IF(OR(COUNTIF(AE207,"L*"),COUNTIF(AE207, "X*")),SUBSTITUTE(SUBSTITUTE(SUBSTITUTE(SUBSTITUTE(AE207,"P",""),"I",""),"V",""),"B","") &amp; IF(COUNTIF(AE207, "*"&amp;'ARDT Cutter Entry'!$BN$3&amp;"*"),"",IF(COUNTIF(AE207, "*"&amp;'ARDT Cutter Entry'!$BN$4&amp;"*"),"",IF(COUNTIF(AE207,"*"&amp;'ARDT Cutter Entry'!$BN$5&amp;"*"),"",IF(COUNTIF(AE207,"*"&amp;'ARDT Cutter Entry'!$BN$6&amp;"*"),"",IF(COUNTIF(AE207,"*"&amp;'ARDT Cutter Entry'!$BN$7&amp;"*"),"",Data!CT52))))),SUBSTITUTE(SUBSTITUTE(SUBSTITUTE(SUBSTITUTE(SUBSTITUTE(SUBSTITUTE(SUBSTITUTE(SUBSTITUTE(SUBSTITUTE(AE207,'ARDT Cutter Entry'!$BN$3,""),'ARDT Cutter Entry'!$BN$4,""),'ARDT Cutter Entry'!$BN$5,""),'ARDT Cutter Entry'!$BN$6,""),'ARDT Cutter Entry'!$BN$7,""),"P",""),"I",""),"V",""),"B","")&amp;Data!CT52),IF(AND(Data!CT52&lt;&gt;0,Data!CT52&lt;&gt;""),IF(AE224&lt;&gt;"",AE224,"O"),""))</f>
        <v/>
      </c>
      <c r="AF241" s="41" t="str">
        <f>IF(AF207&lt;&gt;"",IF(OR(COUNTIF(AF207,"L*"),COUNTIF(AF207, "X*")),SUBSTITUTE(SUBSTITUTE(SUBSTITUTE(SUBSTITUTE(AF207,"P",""),"I",""),"V",""),"B","") &amp; IF(COUNTIF(AF207, "*"&amp;'ARDT Cutter Entry'!$BN$3&amp;"*"),"",IF(COUNTIF(AF207, "*"&amp;'ARDT Cutter Entry'!$BN$4&amp;"*"),"",IF(COUNTIF(AF207,"*"&amp;'ARDT Cutter Entry'!$BN$5&amp;"*"),"",IF(COUNTIF(AF207,"*"&amp;'ARDT Cutter Entry'!$BN$6&amp;"*"),"",IF(COUNTIF(AF207,"*"&amp;'ARDT Cutter Entry'!$BN$7&amp;"*"),"",Data!CU52))))),SUBSTITUTE(SUBSTITUTE(SUBSTITUTE(SUBSTITUTE(SUBSTITUTE(SUBSTITUTE(SUBSTITUTE(SUBSTITUTE(SUBSTITUTE(AF207,'ARDT Cutter Entry'!$BN$3,""),'ARDT Cutter Entry'!$BN$4,""),'ARDT Cutter Entry'!$BN$5,""),'ARDT Cutter Entry'!$BN$6,""),'ARDT Cutter Entry'!$BN$7,""),"P",""),"I",""),"V",""),"B","")&amp;Data!CU52),IF(AND(Data!CU52&lt;&gt;0,Data!CU52&lt;&gt;""),IF(AF224&lt;&gt;"",AF224,"O"),""))</f>
        <v/>
      </c>
      <c r="AG241" s="41" t="str">
        <f>IF(AG207&lt;&gt;"",IF(OR(COUNTIF(AG207,"L*"),COUNTIF(AG207, "X*")),SUBSTITUTE(SUBSTITUTE(SUBSTITUTE(SUBSTITUTE(AG207,"P",""),"I",""),"V",""),"B","") &amp; IF(COUNTIF(AG207, "*"&amp;'ARDT Cutter Entry'!$BN$3&amp;"*"),"",IF(COUNTIF(AG207, "*"&amp;'ARDT Cutter Entry'!$BN$4&amp;"*"),"",IF(COUNTIF(AG207,"*"&amp;'ARDT Cutter Entry'!$BN$5&amp;"*"),"",IF(COUNTIF(AG207,"*"&amp;'ARDT Cutter Entry'!$BN$6&amp;"*"),"",IF(COUNTIF(AG207,"*"&amp;'ARDT Cutter Entry'!$BN$7&amp;"*"),"",Data!CV52))))),SUBSTITUTE(SUBSTITUTE(SUBSTITUTE(SUBSTITUTE(SUBSTITUTE(SUBSTITUTE(SUBSTITUTE(SUBSTITUTE(SUBSTITUTE(AG207,'ARDT Cutter Entry'!$BN$3,""),'ARDT Cutter Entry'!$BN$4,""),'ARDT Cutter Entry'!$BN$5,""),'ARDT Cutter Entry'!$BN$6,""),'ARDT Cutter Entry'!$BN$7,""),"P",""),"I",""),"V",""),"B","")&amp;Data!CV52),IF(AND(Data!CV52&lt;&gt;0,Data!CV52&lt;&gt;""),IF(AG224&lt;&gt;"",AG224,"O"),""))</f>
        <v/>
      </c>
      <c r="AH241" s="41" t="str">
        <f>IF(AH207&lt;&gt;"",IF(OR(COUNTIF(AH207,"L*"),COUNTIF(AH207, "X*")),SUBSTITUTE(SUBSTITUTE(SUBSTITUTE(SUBSTITUTE(AH207,"P",""),"I",""),"V",""),"B","") &amp; IF(COUNTIF(AH207, "*"&amp;'ARDT Cutter Entry'!$BN$3&amp;"*"),"",IF(COUNTIF(AH207, "*"&amp;'ARDT Cutter Entry'!$BN$4&amp;"*"),"",IF(COUNTIF(AH207,"*"&amp;'ARDT Cutter Entry'!$BN$5&amp;"*"),"",IF(COUNTIF(AH207,"*"&amp;'ARDT Cutter Entry'!$BN$6&amp;"*"),"",IF(COUNTIF(AH207,"*"&amp;'ARDT Cutter Entry'!$BN$7&amp;"*"),"",Data!CW52))))),SUBSTITUTE(SUBSTITUTE(SUBSTITUTE(SUBSTITUTE(SUBSTITUTE(SUBSTITUTE(SUBSTITUTE(SUBSTITUTE(SUBSTITUTE(AH207,'ARDT Cutter Entry'!$BN$3,""),'ARDT Cutter Entry'!$BN$4,""),'ARDT Cutter Entry'!$BN$5,""),'ARDT Cutter Entry'!$BN$6,""),'ARDT Cutter Entry'!$BN$7,""),"P",""),"I",""),"V",""),"B","")&amp;Data!CW52),IF(AND(Data!CW52&lt;&gt;0,Data!CW52&lt;&gt;""),IF(AH224&lt;&gt;"",AH224,"O"),""))</f>
        <v/>
      </c>
      <c r="AI241" s="41" t="str">
        <f>IF(AI207&lt;&gt;"",IF(OR(COUNTIF(AI207,"L*"),COUNTIF(AI207, "X*")),SUBSTITUTE(SUBSTITUTE(SUBSTITUTE(SUBSTITUTE(AI207,"P",""),"I",""),"V",""),"B","") &amp; IF(COUNTIF(AI207, "*"&amp;'ARDT Cutter Entry'!$BN$3&amp;"*"),"",IF(COUNTIF(AI207, "*"&amp;'ARDT Cutter Entry'!$BN$4&amp;"*"),"",IF(COUNTIF(AI207,"*"&amp;'ARDT Cutter Entry'!$BN$5&amp;"*"),"",IF(COUNTIF(AI207,"*"&amp;'ARDT Cutter Entry'!$BN$6&amp;"*"),"",IF(COUNTIF(AI207,"*"&amp;'ARDT Cutter Entry'!$BN$7&amp;"*"),"",Data!CX52))))),SUBSTITUTE(SUBSTITUTE(SUBSTITUTE(SUBSTITUTE(SUBSTITUTE(SUBSTITUTE(SUBSTITUTE(SUBSTITUTE(SUBSTITUTE(AI207,'ARDT Cutter Entry'!$BN$3,""),'ARDT Cutter Entry'!$BN$4,""),'ARDT Cutter Entry'!$BN$5,""),'ARDT Cutter Entry'!$BN$6,""),'ARDT Cutter Entry'!$BN$7,""),"P",""),"I",""),"V",""),"B","")&amp;Data!CX52),IF(AND(Data!CX52&lt;&gt;0,Data!CX52&lt;&gt;""),IF(AI224&lt;&gt;"",AI224,"O"),""))</f>
        <v/>
      </c>
      <c r="AJ241" s="41" t="str">
        <f>IF(AJ207&lt;&gt;"",IF(OR(COUNTIF(AJ207,"L*"),COUNTIF(AJ207, "X*")),SUBSTITUTE(SUBSTITUTE(SUBSTITUTE(SUBSTITUTE(AJ207,"P",""),"I",""),"V",""),"B","") &amp; IF(COUNTIF(AJ207, "*"&amp;'ARDT Cutter Entry'!$BN$3&amp;"*"),"",IF(COUNTIF(AJ207, "*"&amp;'ARDT Cutter Entry'!$BN$4&amp;"*"),"",IF(COUNTIF(AJ207,"*"&amp;'ARDT Cutter Entry'!$BN$5&amp;"*"),"",IF(COUNTIF(AJ207,"*"&amp;'ARDT Cutter Entry'!$BN$6&amp;"*"),"",IF(COUNTIF(AJ207,"*"&amp;'ARDT Cutter Entry'!$BN$7&amp;"*"),"",Data!CY52))))),SUBSTITUTE(SUBSTITUTE(SUBSTITUTE(SUBSTITUTE(SUBSTITUTE(SUBSTITUTE(SUBSTITUTE(SUBSTITUTE(SUBSTITUTE(AJ207,'ARDT Cutter Entry'!$BN$3,""),'ARDT Cutter Entry'!$BN$4,""),'ARDT Cutter Entry'!$BN$5,""),'ARDT Cutter Entry'!$BN$6,""),'ARDT Cutter Entry'!$BN$7,""),"P",""),"I",""),"V",""),"B","")&amp;Data!CY52),IF(AND(Data!CY52&lt;&gt;0,Data!CY52&lt;&gt;""),IF(AJ224&lt;&gt;"",AJ224,"O"),""))</f>
        <v/>
      </c>
    </row>
    <row r="242" spans="1:63" ht="23.25" customHeight="1" x14ac:dyDescent="0.35">
      <c r="A242" s="1196"/>
      <c r="B242" s="22">
        <v>8</v>
      </c>
      <c r="C242" s="41" t="str">
        <f>IF(C208&lt;&gt;"",IF(OR(COUNTIF(C208,"L*"),COUNTIF(C208, "X*")),SUBSTITUTE(SUBSTITUTE(SUBSTITUTE(SUBSTITUTE(C208,"P",""),"I",""),"V",""),"B","") &amp; IF(COUNTIF(C208, "*"&amp;'ARDT Cutter Entry'!$BN$3&amp;"*"),"",IF(COUNTIF(C208, "*"&amp;'ARDT Cutter Entry'!$BN$4&amp;"*"),"",IF(COUNTIF(C208,"*"&amp;'ARDT Cutter Entry'!$BN$5&amp;"*"),"",IF(COUNTIF(C208,"*"&amp;'ARDT Cutter Entry'!$BN$6&amp;"*"),"",IF(COUNTIF(C208,"*"&amp;'ARDT Cutter Entry'!$BN$7&amp;"*"),"",Data!BR53))))),SUBSTITUTE(SUBSTITUTE(SUBSTITUTE(SUBSTITUTE(SUBSTITUTE(SUBSTITUTE(SUBSTITUTE(SUBSTITUTE(SUBSTITUTE(C208,'ARDT Cutter Entry'!$BN$3,""),'ARDT Cutter Entry'!$BN$4,""),'ARDT Cutter Entry'!$BN$5,""),'ARDT Cutter Entry'!$BN$6,""),'ARDT Cutter Entry'!$BN$7,""),"P",""),"I",""),"V",""),"B","")&amp;Data!BR53),IF(AND(Data!BR53&lt;&gt;0,Data!BR53&lt;&gt;""),IF(C225&lt;&gt;"",C225,"O"),""))</f>
        <v/>
      </c>
      <c r="D242" s="41" t="str">
        <f>IF(D208&lt;&gt;"",IF(OR(COUNTIF(D208,"L*"),COUNTIF(D208, "X*")),SUBSTITUTE(SUBSTITUTE(SUBSTITUTE(SUBSTITUTE(D208,"P",""),"I",""),"V",""),"B","") &amp; IF(COUNTIF(D208, "*"&amp;'ARDT Cutter Entry'!$BN$3&amp;"*"),"",IF(COUNTIF(D208, "*"&amp;'ARDT Cutter Entry'!$BN$4&amp;"*"),"",IF(COUNTIF(D208,"*"&amp;'ARDT Cutter Entry'!$BN$5&amp;"*"),"",IF(COUNTIF(D208,"*"&amp;'ARDT Cutter Entry'!$BN$6&amp;"*"),"",IF(COUNTIF(D208,"*"&amp;'ARDT Cutter Entry'!$BN$7&amp;"*"),"",Data!BS53))))),SUBSTITUTE(SUBSTITUTE(SUBSTITUTE(SUBSTITUTE(SUBSTITUTE(SUBSTITUTE(SUBSTITUTE(SUBSTITUTE(SUBSTITUTE(D208,'ARDT Cutter Entry'!$BN$3,""),'ARDT Cutter Entry'!$BN$4,""),'ARDT Cutter Entry'!$BN$5,""),'ARDT Cutter Entry'!$BN$6,""),'ARDT Cutter Entry'!$BN$7,""),"P",""),"I",""),"V",""),"B","")&amp;Data!BS53),IF(AND(Data!BS53&lt;&gt;0,Data!BS53&lt;&gt;""),IF(D225&lt;&gt;"",D225,"O"),""))</f>
        <v/>
      </c>
      <c r="E242" s="41" t="str">
        <f>IF(E208&lt;&gt;"",IF(OR(COUNTIF(E208,"L*"),COUNTIF(E208, "X*")),SUBSTITUTE(SUBSTITUTE(SUBSTITUTE(SUBSTITUTE(E208,"P",""),"I",""),"V",""),"B","") &amp; IF(COUNTIF(E208, "*"&amp;'ARDT Cutter Entry'!$BN$3&amp;"*"),"",IF(COUNTIF(E208, "*"&amp;'ARDT Cutter Entry'!$BN$4&amp;"*"),"",IF(COUNTIF(E208,"*"&amp;'ARDT Cutter Entry'!$BN$5&amp;"*"),"",IF(COUNTIF(E208,"*"&amp;'ARDT Cutter Entry'!$BN$6&amp;"*"),"",IF(COUNTIF(E208,"*"&amp;'ARDT Cutter Entry'!$BN$7&amp;"*"),"",Data!BT53))))),SUBSTITUTE(SUBSTITUTE(SUBSTITUTE(SUBSTITUTE(SUBSTITUTE(SUBSTITUTE(SUBSTITUTE(SUBSTITUTE(SUBSTITUTE(E208,'ARDT Cutter Entry'!$BN$3,""),'ARDT Cutter Entry'!$BN$4,""),'ARDT Cutter Entry'!$BN$5,""),'ARDT Cutter Entry'!$BN$6,""),'ARDT Cutter Entry'!$BN$7,""),"P",""),"I",""),"V",""),"B","")&amp;Data!BT53),IF(AND(Data!BT53&lt;&gt;0,Data!BT53&lt;&gt;""),IF(E225&lt;&gt;"",E225,"O"),""))</f>
        <v/>
      </c>
      <c r="F242" s="41" t="str">
        <f>IF(F208&lt;&gt;"",IF(OR(COUNTIF(F208,"L*"),COUNTIF(F208, "X*")),SUBSTITUTE(SUBSTITUTE(SUBSTITUTE(SUBSTITUTE(F208,"P",""),"I",""),"V",""),"B","") &amp; IF(COUNTIF(F208, "*"&amp;'ARDT Cutter Entry'!$BN$3&amp;"*"),"",IF(COUNTIF(F208, "*"&amp;'ARDT Cutter Entry'!$BN$4&amp;"*"),"",IF(COUNTIF(F208,"*"&amp;'ARDT Cutter Entry'!$BN$5&amp;"*"),"",IF(COUNTIF(F208,"*"&amp;'ARDT Cutter Entry'!$BN$6&amp;"*"),"",IF(COUNTIF(F208,"*"&amp;'ARDT Cutter Entry'!$BN$7&amp;"*"),"",Data!BU53))))),SUBSTITUTE(SUBSTITUTE(SUBSTITUTE(SUBSTITUTE(SUBSTITUTE(SUBSTITUTE(SUBSTITUTE(SUBSTITUTE(SUBSTITUTE(F208,'ARDT Cutter Entry'!$BN$3,""),'ARDT Cutter Entry'!$BN$4,""),'ARDT Cutter Entry'!$BN$5,""),'ARDT Cutter Entry'!$BN$6,""),'ARDT Cutter Entry'!$BN$7,""),"P",""),"I",""),"V",""),"B","")&amp;Data!BU53),IF(AND(Data!BU53&lt;&gt;0,Data!BU53&lt;&gt;""),IF(F225&lt;&gt;"",F225,"O"),""))</f>
        <v/>
      </c>
      <c r="G242" s="41" t="str">
        <f>IF(G208&lt;&gt;"",IF(OR(COUNTIF(G208,"L*"),COUNTIF(G208, "X*")),SUBSTITUTE(SUBSTITUTE(SUBSTITUTE(SUBSTITUTE(G208,"P",""),"I",""),"V",""),"B","") &amp; IF(COUNTIF(G208, "*"&amp;'ARDT Cutter Entry'!$BN$3&amp;"*"),"",IF(COUNTIF(G208, "*"&amp;'ARDT Cutter Entry'!$BN$4&amp;"*"),"",IF(COUNTIF(G208,"*"&amp;'ARDT Cutter Entry'!$BN$5&amp;"*"),"",IF(COUNTIF(G208,"*"&amp;'ARDT Cutter Entry'!$BN$6&amp;"*"),"",IF(COUNTIF(G208,"*"&amp;'ARDT Cutter Entry'!$BN$7&amp;"*"),"",Data!BV53))))),SUBSTITUTE(SUBSTITUTE(SUBSTITUTE(SUBSTITUTE(SUBSTITUTE(SUBSTITUTE(SUBSTITUTE(SUBSTITUTE(SUBSTITUTE(G208,'ARDT Cutter Entry'!$BN$3,""),'ARDT Cutter Entry'!$BN$4,""),'ARDT Cutter Entry'!$BN$5,""),'ARDT Cutter Entry'!$BN$6,""),'ARDT Cutter Entry'!$BN$7,""),"P",""),"I",""),"V",""),"B","")&amp;Data!BV53),IF(AND(Data!BV53&lt;&gt;0,Data!BV53&lt;&gt;""),IF(G225&lt;&gt;"",G225,"O"),""))</f>
        <v/>
      </c>
      <c r="H242" s="41" t="str">
        <f>IF(H208&lt;&gt;"",IF(OR(COUNTIF(H208,"L*"),COUNTIF(H208, "X*")),SUBSTITUTE(SUBSTITUTE(SUBSTITUTE(SUBSTITUTE(H208,"P",""),"I",""),"V",""),"B","") &amp; IF(COUNTIF(H208, "*"&amp;'ARDT Cutter Entry'!$BN$3&amp;"*"),"",IF(COUNTIF(H208, "*"&amp;'ARDT Cutter Entry'!$BN$4&amp;"*"),"",IF(COUNTIF(H208,"*"&amp;'ARDT Cutter Entry'!$BN$5&amp;"*"),"",IF(COUNTIF(H208,"*"&amp;'ARDT Cutter Entry'!$BN$6&amp;"*"),"",IF(COUNTIF(H208,"*"&amp;'ARDT Cutter Entry'!$BN$7&amp;"*"),"",Data!BW53))))),SUBSTITUTE(SUBSTITUTE(SUBSTITUTE(SUBSTITUTE(SUBSTITUTE(SUBSTITUTE(SUBSTITUTE(SUBSTITUTE(SUBSTITUTE(H208,'ARDT Cutter Entry'!$BN$3,""),'ARDT Cutter Entry'!$BN$4,""),'ARDT Cutter Entry'!$BN$5,""),'ARDT Cutter Entry'!$BN$6,""),'ARDT Cutter Entry'!$BN$7,""),"P",""),"I",""),"V",""),"B","")&amp;Data!BW53),IF(AND(Data!BW53&lt;&gt;0,Data!BW53&lt;&gt;""),IF(H225&lt;&gt;"",H225,"O"),""))</f>
        <v/>
      </c>
      <c r="I242" s="41" t="str">
        <f>IF(I208&lt;&gt;"",IF(OR(COUNTIF(I208,"L*"),COUNTIF(I208, "X*")),SUBSTITUTE(SUBSTITUTE(SUBSTITUTE(SUBSTITUTE(I208,"P",""),"I",""),"V",""),"B","") &amp; IF(COUNTIF(I208, "*"&amp;'ARDT Cutter Entry'!$BN$3&amp;"*"),"",IF(COUNTIF(I208, "*"&amp;'ARDT Cutter Entry'!$BN$4&amp;"*"),"",IF(COUNTIF(I208,"*"&amp;'ARDT Cutter Entry'!$BN$5&amp;"*"),"",IF(COUNTIF(I208,"*"&amp;'ARDT Cutter Entry'!$BN$6&amp;"*"),"",IF(COUNTIF(I208,"*"&amp;'ARDT Cutter Entry'!$BN$7&amp;"*"),"",Data!BX53))))),SUBSTITUTE(SUBSTITUTE(SUBSTITUTE(SUBSTITUTE(SUBSTITUTE(SUBSTITUTE(SUBSTITUTE(SUBSTITUTE(SUBSTITUTE(I208,'ARDT Cutter Entry'!$BN$3,""),'ARDT Cutter Entry'!$BN$4,""),'ARDT Cutter Entry'!$BN$5,""),'ARDT Cutter Entry'!$BN$6,""),'ARDT Cutter Entry'!$BN$7,""),"P",""),"I",""),"V",""),"B","")&amp;Data!BX53),IF(AND(Data!BX53&lt;&gt;0,Data!BX53&lt;&gt;""),IF(I225&lt;&gt;"",I225,"O"),""))</f>
        <v/>
      </c>
      <c r="J242" s="41" t="str">
        <f>IF(J208&lt;&gt;"",IF(OR(COUNTIF(J208,"L*"),COUNTIF(J208, "X*")),SUBSTITUTE(SUBSTITUTE(SUBSTITUTE(SUBSTITUTE(J208,"P",""),"I",""),"V",""),"B","") &amp; IF(COUNTIF(J208, "*"&amp;'ARDT Cutter Entry'!$BN$3&amp;"*"),"",IF(COUNTIF(J208, "*"&amp;'ARDT Cutter Entry'!$BN$4&amp;"*"),"",IF(COUNTIF(J208,"*"&amp;'ARDT Cutter Entry'!$BN$5&amp;"*"),"",IF(COUNTIF(J208,"*"&amp;'ARDT Cutter Entry'!$BN$6&amp;"*"),"",IF(COUNTIF(J208,"*"&amp;'ARDT Cutter Entry'!$BN$7&amp;"*"),"",Data!BY53))))),SUBSTITUTE(SUBSTITUTE(SUBSTITUTE(SUBSTITUTE(SUBSTITUTE(SUBSTITUTE(SUBSTITUTE(SUBSTITUTE(SUBSTITUTE(J208,'ARDT Cutter Entry'!$BN$3,""),'ARDT Cutter Entry'!$BN$4,""),'ARDT Cutter Entry'!$BN$5,""),'ARDT Cutter Entry'!$BN$6,""),'ARDT Cutter Entry'!$BN$7,""),"P",""),"I",""),"V",""),"B","")&amp;Data!BY53),IF(AND(Data!BY53&lt;&gt;0,Data!BY53&lt;&gt;""),IF(J225&lt;&gt;"",J225,"O"),""))</f>
        <v/>
      </c>
      <c r="K242" s="41" t="str">
        <f>IF(K208&lt;&gt;"",IF(OR(COUNTIF(K208,"L*"),COUNTIF(K208, "X*")),SUBSTITUTE(SUBSTITUTE(SUBSTITUTE(SUBSTITUTE(K208,"P",""),"I",""),"V",""),"B","") &amp; IF(COUNTIF(K208, "*"&amp;'ARDT Cutter Entry'!$BN$3&amp;"*"),"",IF(COUNTIF(K208, "*"&amp;'ARDT Cutter Entry'!$BN$4&amp;"*"),"",IF(COUNTIF(K208,"*"&amp;'ARDT Cutter Entry'!$BN$5&amp;"*"),"",IF(COUNTIF(K208,"*"&amp;'ARDT Cutter Entry'!$BN$6&amp;"*"),"",IF(COUNTIF(K208,"*"&amp;'ARDT Cutter Entry'!$BN$7&amp;"*"),"",Data!BZ53))))),SUBSTITUTE(SUBSTITUTE(SUBSTITUTE(SUBSTITUTE(SUBSTITUTE(SUBSTITUTE(SUBSTITUTE(SUBSTITUTE(SUBSTITUTE(K208,'ARDT Cutter Entry'!$BN$3,""),'ARDT Cutter Entry'!$BN$4,""),'ARDT Cutter Entry'!$BN$5,""),'ARDT Cutter Entry'!$BN$6,""),'ARDT Cutter Entry'!$BN$7,""),"P",""),"I",""),"V",""),"B","")&amp;Data!BZ53),IF(AND(Data!BZ53&lt;&gt;0,Data!BZ53&lt;&gt;""),IF(K225&lt;&gt;"",K225,"O"),""))</f>
        <v/>
      </c>
      <c r="L242" s="41" t="str">
        <f>IF(L208&lt;&gt;"",IF(OR(COUNTIF(L208,"L*"),COUNTIF(L208, "X*")),SUBSTITUTE(SUBSTITUTE(SUBSTITUTE(SUBSTITUTE(L208,"P",""),"I",""),"V",""),"B","") &amp; IF(COUNTIF(L208, "*"&amp;'ARDT Cutter Entry'!$BN$3&amp;"*"),"",IF(COUNTIF(L208, "*"&amp;'ARDT Cutter Entry'!$BN$4&amp;"*"),"",IF(COUNTIF(L208,"*"&amp;'ARDT Cutter Entry'!$BN$5&amp;"*"),"",IF(COUNTIF(L208,"*"&amp;'ARDT Cutter Entry'!$BN$6&amp;"*"),"",IF(COUNTIF(L208,"*"&amp;'ARDT Cutter Entry'!$BN$7&amp;"*"),"",Data!CA53))))),SUBSTITUTE(SUBSTITUTE(SUBSTITUTE(SUBSTITUTE(SUBSTITUTE(SUBSTITUTE(SUBSTITUTE(SUBSTITUTE(SUBSTITUTE(L208,'ARDT Cutter Entry'!$BN$3,""),'ARDT Cutter Entry'!$BN$4,""),'ARDT Cutter Entry'!$BN$5,""),'ARDT Cutter Entry'!$BN$6,""),'ARDT Cutter Entry'!$BN$7,""),"P",""),"I",""),"V",""),"B","")&amp;Data!CA53),IF(AND(Data!CA53&lt;&gt;0,Data!CA53&lt;&gt;""),IF(L225&lt;&gt;"",L225,"O"),""))</f>
        <v/>
      </c>
      <c r="M242" s="41" t="str">
        <f>IF(M208&lt;&gt;"",IF(OR(COUNTIF(M208,"L*"),COUNTIF(M208, "X*")),SUBSTITUTE(SUBSTITUTE(SUBSTITUTE(SUBSTITUTE(M208,"P",""),"I",""),"V",""),"B","") &amp; IF(COUNTIF(M208, "*"&amp;'ARDT Cutter Entry'!$BN$3&amp;"*"),"",IF(COUNTIF(M208, "*"&amp;'ARDT Cutter Entry'!$BN$4&amp;"*"),"",IF(COUNTIF(M208,"*"&amp;'ARDT Cutter Entry'!$BN$5&amp;"*"),"",IF(COUNTIF(M208,"*"&amp;'ARDT Cutter Entry'!$BN$6&amp;"*"),"",IF(COUNTIF(M208,"*"&amp;'ARDT Cutter Entry'!$BN$7&amp;"*"),"",Data!CB53))))),SUBSTITUTE(SUBSTITUTE(SUBSTITUTE(SUBSTITUTE(SUBSTITUTE(SUBSTITUTE(SUBSTITUTE(SUBSTITUTE(SUBSTITUTE(M208,'ARDT Cutter Entry'!$BN$3,""),'ARDT Cutter Entry'!$BN$4,""),'ARDT Cutter Entry'!$BN$5,""),'ARDT Cutter Entry'!$BN$6,""),'ARDT Cutter Entry'!$BN$7,""),"P",""),"I",""),"V",""),"B","")&amp;Data!CB53),IF(AND(Data!CB53&lt;&gt;0,Data!CB53&lt;&gt;""),IF(M225&lt;&gt;"",M225,"O"),""))</f>
        <v/>
      </c>
      <c r="N242" s="41" t="str">
        <f>IF(N208&lt;&gt;"",IF(OR(COUNTIF(N208,"L*"),COUNTIF(N208, "X*")),SUBSTITUTE(SUBSTITUTE(SUBSTITUTE(SUBSTITUTE(N208,"P",""),"I",""),"V",""),"B","") &amp; IF(COUNTIF(N208, "*"&amp;'ARDT Cutter Entry'!$BN$3&amp;"*"),"",IF(COUNTIF(N208, "*"&amp;'ARDT Cutter Entry'!$BN$4&amp;"*"),"",IF(COUNTIF(N208,"*"&amp;'ARDT Cutter Entry'!$BN$5&amp;"*"),"",IF(COUNTIF(N208,"*"&amp;'ARDT Cutter Entry'!$BN$6&amp;"*"),"",IF(COUNTIF(N208,"*"&amp;'ARDT Cutter Entry'!$BN$7&amp;"*"),"",Data!CC53))))),SUBSTITUTE(SUBSTITUTE(SUBSTITUTE(SUBSTITUTE(SUBSTITUTE(SUBSTITUTE(SUBSTITUTE(SUBSTITUTE(SUBSTITUTE(N208,'ARDT Cutter Entry'!$BN$3,""),'ARDT Cutter Entry'!$BN$4,""),'ARDT Cutter Entry'!$BN$5,""),'ARDT Cutter Entry'!$BN$6,""),'ARDT Cutter Entry'!$BN$7,""),"P",""),"I",""),"V",""),"B","")&amp;Data!CC53),IF(AND(Data!CC53&lt;&gt;0,Data!CC53&lt;&gt;""),IF(N225&lt;&gt;"",N225,"O"),""))</f>
        <v/>
      </c>
      <c r="O242" s="41" t="str">
        <f>IF(O208&lt;&gt;"",IF(OR(COUNTIF(O208,"L*"),COUNTIF(O208, "X*")),SUBSTITUTE(SUBSTITUTE(SUBSTITUTE(SUBSTITUTE(O208,"P",""),"I",""),"V",""),"B","") &amp; IF(COUNTIF(O208, "*"&amp;'ARDT Cutter Entry'!$BN$3&amp;"*"),"",IF(COUNTIF(O208, "*"&amp;'ARDT Cutter Entry'!$BN$4&amp;"*"),"",IF(COUNTIF(O208,"*"&amp;'ARDT Cutter Entry'!$BN$5&amp;"*"),"",IF(COUNTIF(O208,"*"&amp;'ARDT Cutter Entry'!$BN$6&amp;"*"),"",IF(COUNTIF(O208,"*"&amp;'ARDT Cutter Entry'!$BN$7&amp;"*"),"",Data!CD53))))),SUBSTITUTE(SUBSTITUTE(SUBSTITUTE(SUBSTITUTE(SUBSTITUTE(SUBSTITUTE(SUBSTITUTE(SUBSTITUTE(SUBSTITUTE(O208,'ARDT Cutter Entry'!$BN$3,""),'ARDT Cutter Entry'!$BN$4,""),'ARDT Cutter Entry'!$BN$5,""),'ARDT Cutter Entry'!$BN$6,""),'ARDT Cutter Entry'!$BN$7,""),"P",""),"I",""),"V",""),"B","")&amp;Data!CD53),IF(AND(Data!CD53&lt;&gt;0,Data!CD53&lt;&gt;""),IF(O225&lt;&gt;"",O225,"O"),""))</f>
        <v/>
      </c>
      <c r="P242" s="41" t="str">
        <f>IF(P208&lt;&gt;"",IF(OR(COUNTIF(P208,"L*"),COUNTIF(P208, "X*")),SUBSTITUTE(SUBSTITUTE(SUBSTITUTE(SUBSTITUTE(P208,"P",""),"I",""),"V",""),"B","") &amp; IF(COUNTIF(P208, "*"&amp;'ARDT Cutter Entry'!$BN$3&amp;"*"),"",IF(COUNTIF(P208, "*"&amp;'ARDT Cutter Entry'!$BN$4&amp;"*"),"",IF(COUNTIF(P208,"*"&amp;'ARDT Cutter Entry'!$BN$5&amp;"*"),"",IF(COUNTIF(P208,"*"&amp;'ARDT Cutter Entry'!$BN$6&amp;"*"),"",IF(COUNTIF(P208,"*"&amp;'ARDT Cutter Entry'!$BN$7&amp;"*"),"",Data!CE53))))),SUBSTITUTE(SUBSTITUTE(SUBSTITUTE(SUBSTITUTE(SUBSTITUTE(SUBSTITUTE(SUBSTITUTE(SUBSTITUTE(SUBSTITUTE(P208,'ARDT Cutter Entry'!$BN$3,""),'ARDT Cutter Entry'!$BN$4,""),'ARDT Cutter Entry'!$BN$5,""),'ARDT Cutter Entry'!$BN$6,""),'ARDT Cutter Entry'!$BN$7,""),"P",""),"I",""),"V",""),"B","")&amp;Data!CE53),IF(AND(Data!CE53&lt;&gt;0,Data!CE53&lt;&gt;""),IF(P225&lt;&gt;"",P225,"O"),""))</f>
        <v/>
      </c>
      <c r="Q242" s="41" t="str">
        <f>IF(Q208&lt;&gt;"",IF(OR(COUNTIF(Q208,"L*"),COUNTIF(Q208, "X*")),SUBSTITUTE(SUBSTITUTE(SUBSTITUTE(SUBSTITUTE(Q208,"P",""),"I",""),"V",""),"B","") &amp; IF(COUNTIF(Q208, "*"&amp;'ARDT Cutter Entry'!$BN$3&amp;"*"),"",IF(COUNTIF(Q208, "*"&amp;'ARDT Cutter Entry'!$BN$4&amp;"*"),"",IF(COUNTIF(Q208,"*"&amp;'ARDT Cutter Entry'!$BN$5&amp;"*"),"",IF(COUNTIF(Q208,"*"&amp;'ARDT Cutter Entry'!$BN$6&amp;"*"),"",IF(COUNTIF(Q208,"*"&amp;'ARDT Cutter Entry'!$BN$7&amp;"*"),"",Data!CF53))))),SUBSTITUTE(SUBSTITUTE(SUBSTITUTE(SUBSTITUTE(SUBSTITUTE(SUBSTITUTE(SUBSTITUTE(SUBSTITUTE(SUBSTITUTE(Q208,'ARDT Cutter Entry'!$BN$3,""),'ARDT Cutter Entry'!$BN$4,""),'ARDT Cutter Entry'!$BN$5,""),'ARDT Cutter Entry'!$BN$6,""),'ARDT Cutter Entry'!$BN$7,""),"P",""),"I",""),"V",""),"B","")&amp;Data!CF53),IF(AND(Data!CF53&lt;&gt;0,Data!CF53&lt;&gt;""),IF(Q225&lt;&gt;"",Q225,"O"),""))</f>
        <v/>
      </c>
      <c r="R242" s="41" t="str">
        <f>IF(R208&lt;&gt;"",IF(OR(COUNTIF(R208,"L*"),COUNTIF(R208, "X*")),SUBSTITUTE(SUBSTITUTE(SUBSTITUTE(SUBSTITUTE(R208,"P",""),"I",""),"V",""),"B","") &amp; IF(COUNTIF(R208, "*"&amp;'ARDT Cutter Entry'!$BN$3&amp;"*"),"",IF(COUNTIF(R208, "*"&amp;'ARDT Cutter Entry'!$BN$4&amp;"*"),"",IF(COUNTIF(R208,"*"&amp;'ARDT Cutter Entry'!$BN$5&amp;"*"),"",IF(COUNTIF(R208,"*"&amp;'ARDT Cutter Entry'!$BN$6&amp;"*"),"",IF(COUNTIF(R208,"*"&amp;'ARDT Cutter Entry'!$BN$7&amp;"*"),"",Data!CG53))))),SUBSTITUTE(SUBSTITUTE(SUBSTITUTE(SUBSTITUTE(SUBSTITUTE(SUBSTITUTE(SUBSTITUTE(SUBSTITUTE(SUBSTITUTE(R208,'ARDT Cutter Entry'!$BN$3,""),'ARDT Cutter Entry'!$BN$4,""),'ARDT Cutter Entry'!$BN$5,""),'ARDT Cutter Entry'!$BN$6,""),'ARDT Cutter Entry'!$BN$7,""),"P",""),"I",""),"V",""),"B","")&amp;Data!CG53),IF(AND(Data!CG53&lt;&gt;0,Data!CG53&lt;&gt;""),IF(R225&lt;&gt;"",R225,"O"),""))</f>
        <v/>
      </c>
      <c r="S242" s="41" t="str">
        <f>IF(S208&lt;&gt;"",IF(OR(COUNTIF(S208,"L*"),COUNTIF(S208, "X*")),SUBSTITUTE(SUBSTITUTE(SUBSTITUTE(SUBSTITUTE(S208,"P",""),"I",""),"V",""),"B","") &amp; IF(COUNTIF(S208, "*"&amp;'ARDT Cutter Entry'!$BN$3&amp;"*"),"",IF(COUNTIF(S208, "*"&amp;'ARDT Cutter Entry'!$BN$4&amp;"*"),"",IF(COUNTIF(S208,"*"&amp;'ARDT Cutter Entry'!$BN$5&amp;"*"),"",IF(COUNTIF(S208,"*"&amp;'ARDT Cutter Entry'!$BN$6&amp;"*"),"",IF(COUNTIF(S208,"*"&amp;'ARDT Cutter Entry'!$BN$7&amp;"*"),"",Data!CH53))))),SUBSTITUTE(SUBSTITUTE(SUBSTITUTE(SUBSTITUTE(SUBSTITUTE(SUBSTITUTE(SUBSTITUTE(SUBSTITUTE(SUBSTITUTE(S208,'ARDT Cutter Entry'!$BN$3,""),'ARDT Cutter Entry'!$BN$4,""),'ARDT Cutter Entry'!$BN$5,""),'ARDT Cutter Entry'!$BN$6,""),'ARDT Cutter Entry'!$BN$7,""),"P",""),"I",""),"V",""),"B","")&amp;Data!CH53),IF(AND(Data!CH53&lt;&gt;0,Data!CH53&lt;&gt;""),IF(S225&lt;&gt;"",S225,"O"),""))</f>
        <v/>
      </c>
      <c r="T242" s="41" t="str">
        <f>IF(T208&lt;&gt;"",IF(OR(COUNTIF(T208,"L*"),COUNTIF(T208, "X*")),SUBSTITUTE(SUBSTITUTE(SUBSTITUTE(SUBSTITUTE(T208,"P",""),"I",""),"V",""),"B","") &amp; IF(COUNTIF(T208, "*"&amp;'ARDT Cutter Entry'!$BN$3&amp;"*"),"",IF(COUNTIF(T208, "*"&amp;'ARDT Cutter Entry'!$BN$4&amp;"*"),"",IF(COUNTIF(T208,"*"&amp;'ARDT Cutter Entry'!$BN$5&amp;"*"),"",IF(COUNTIF(T208,"*"&amp;'ARDT Cutter Entry'!$BN$6&amp;"*"),"",IF(COUNTIF(T208,"*"&amp;'ARDT Cutter Entry'!$BN$7&amp;"*"),"",Data!CI53))))),SUBSTITUTE(SUBSTITUTE(SUBSTITUTE(SUBSTITUTE(SUBSTITUTE(SUBSTITUTE(SUBSTITUTE(SUBSTITUTE(SUBSTITUTE(T208,'ARDT Cutter Entry'!$BN$3,""),'ARDT Cutter Entry'!$BN$4,""),'ARDT Cutter Entry'!$BN$5,""),'ARDT Cutter Entry'!$BN$6,""),'ARDT Cutter Entry'!$BN$7,""),"P",""),"I",""),"V",""),"B","")&amp;Data!CI53),IF(AND(Data!CI53&lt;&gt;0,Data!CI53&lt;&gt;""),IF(T225&lt;&gt;"",T225,"O"),""))</f>
        <v/>
      </c>
      <c r="U242" s="41" t="str">
        <f>IF(U208&lt;&gt;"",IF(OR(COUNTIF(U208,"L*"),COUNTIF(U208, "X*")),SUBSTITUTE(SUBSTITUTE(SUBSTITUTE(SUBSTITUTE(U208,"P",""),"I",""),"V",""),"B","") &amp; IF(COUNTIF(U208, "*"&amp;'ARDT Cutter Entry'!$BN$3&amp;"*"),"",IF(COUNTIF(U208, "*"&amp;'ARDT Cutter Entry'!$BN$4&amp;"*"),"",IF(COUNTIF(U208,"*"&amp;'ARDT Cutter Entry'!$BN$5&amp;"*"),"",IF(COUNTIF(U208,"*"&amp;'ARDT Cutter Entry'!$BN$6&amp;"*"),"",IF(COUNTIF(U208,"*"&amp;'ARDT Cutter Entry'!$BN$7&amp;"*"),"",Data!CJ53))))),SUBSTITUTE(SUBSTITUTE(SUBSTITUTE(SUBSTITUTE(SUBSTITUTE(SUBSTITUTE(SUBSTITUTE(SUBSTITUTE(SUBSTITUTE(U208,'ARDT Cutter Entry'!$BN$3,""),'ARDT Cutter Entry'!$BN$4,""),'ARDT Cutter Entry'!$BN$5,""),'ARDT Cutter Entry'!$BN$6,""),'ARDT Cutter Entry'!$BN$7,""),"P",""),"I",""),"V",""),"B","")&amp;Data!CJ53),IF(AND(Data!CJ53&lt;&gt;0,Data!CJ53&lt;&gt;""),IF(U225&lt;&gt;"",U225,"O"),""))</f>
        <v/>
      </c>
      <c r="V242" s="41" t="str">
        <f>IF(V208&lt;&gt;"",IF(OR(COUNTIF(V208,"L*"),COUNTIF(V208, "X*")),SUBSTITUTE(SUBSTITUTE(SUBSTITUTE(SUBSTITUTE(V208,"P",""),"I",""),"V",""),"B","") &amp; IF(COUNTIF(V208, "*"&amp;'ARDT Cutter Entry'!$BN$3&amp;"*"),"",IF(COUNTIF(V208, "*"&amp;'ARDT Cutter Entry'!$BN$4&amp;"*"),"",IF(COUNTIF(V208,"*"&amp;'ARDT Cutter Entry'!$BN$5&amp;"*"),"",IF(COUNTIF(V208,"*"&amp;'ARDT Cutter Entry'!$BN$6&amp;"*"),"",IF(COUNTIF(V208,"*"&amp;'ARDT Cutter Entry'!$BN$7&amp;"*"),"",Data!CK53))))),SUBSTITUTE(SUBSTITUTE(SUBSTITUTE(SUBSTITUTE(SUBSTITUTE(SUBSTITUTE(SUBSTITUTE(SUBSTITUTE(SUBSTITUTE(V208,'ARDT Cutter Entry'!$BN$3,""),'ARDT Cutter Entry'!$BN$4,""),'ARDT Cutter Entry'!$BN$5,""),'ARDT Cutter Entry'!$BN$6,""),'ARDT Cutter Entry'!$BN$7,""),"P",""),"I",""),"V",""),"B","")&amp;Data!CK53),IF(AND(Data!CK53&lt;&gt;0,Data!CK53&lt;&gt;""),IF(V225&lt;&gt;"",V225,"O"),""))</f>
        <v/>
      </c>
      <c r="W242" s="41" t="str">
        <f>IF(W208&lt;&gt;"",IF(OR(COUNTIF(W208,"L*"),COUNTIF(W208, "X*")),SUBSTITUTE(SUBSTITUTE(SUBSTITUTE(SUBSTITUTE(W208,"P",""),"I",""),"V",""),"B","") &amp; IF(COUNTIF(W208, "*"&amp;'ARDT Cutter Entry'!$BN$3&amp;"*"),"",IF(COUNTIF(W208, "*"&amp;'ARDT Cutter Entry'!$BN$4&amp;"*"),"",IF(COUNTIF(W208,"*"&amp;'ARDT Cutter Entry'!$BN$5&amp;"*"),"",IF(COUNTIF(W208,"*"&amp;'ARDT Cutter Entry'!$BN$6&amp;"*"),"",IF(COUNTIF(W208,"*"&amp;'ARDT Cutter Entry'!$BN$7&amp;"*"),"",Data!CL53))))),SUBSTITUTE(SUBSTITUTE(SUBSTITUTE(SUBSTITUTE(SUBSTITUTE(SUBSTITUTE(SUBSTITUTE(SUBSTITUTE(SUBSTITUTE(W208,'ARDT Cutter Entry'!$BN$3,""),'ARDT Cutter Entry'!$BN$4,""),'ARDT Cutter Entry'!$BN$5,""),'ARDT Cutter Entry'!$BN$6,""),'ARDT Cutter Entry'!$BN$7,""),"P",""),"I",""),"V",""),"B","")&amp;Data!CL53),IF(AND(Data!CL53&lt;&gt;0,Data!CL53&lt;&gt;""),IF(W225&lt;&gt;"",W225,"O"),""))</f>
        <v/>
      </c>
      <c r="X242" s="41" t="str">
        <f>IF(X208&lt;&gt;"",IF(OR(COUNTIF(X208,"L*"),COUNTIF(X208, "X*")),SUBSTITUTE(SUBSTITUTE(SUBSTITUTE(SUBSTITUTE(X208,"P",""),"I",""),"V",""),"B","") &amp; IF(COUNTIF(X208, "*"&amp;'ARDT Cutter Entry'!$BN$3&amp;"*"),"",IF(COUNTIF(X208, "*"&amp;'ARDT Cutter Entry'!$BN$4&amp;"*"),"",IF(COUNTIF(X208,"*"&amp;'ARDT Cutter Entry'!$BN$5&amp;"*"),"",IF(COUNTIF(X208,"*"&amp;'ARDT Cutter Entry'!$BN$6&amp;"*"),"",IF(COUNTIF(X208,"*"&amp;'ARDT Cutter Entry'!$BN$7&amp;"*"),"",Data!CM53))))),SUBSTITUTE(SUBSTITUTE(SUBSTITUTE(SUBSTITUTE(SUBSTITUTE(SUBSTITUTE(SUBSTITUTE(SUBSTITUTE(SUBSTITUTE(X208,'ARDT Cutter Entry'!$BN$3,""),'ARDT Cutter Entry'!$BN$4,""),'ARDT Cutter Entry'!$BN$5,""),'ARDT Cutter Entry'!$BN$6,""),'ARDT Cutter Entry'!$BN$7,""),"P",""),"I",""),"V",""),"B","")&amp;Data!CM53),IF(AND(Data!CM53&lt;&gt;0,Data!CM53&lt;&gt;""),IF(X225&lt;&gt;"",X225,"O"),""))</f>
        <v/>
      </c>
      <c r="Y242" s="41" t="str">
        <f>IF(Y208&lt;&gt;"",IF(OR(COUNTIF(Y208,"L*"),COUNTIF(Y208, "X*")),SUBSTITUTE(SUBSTITUTE(SUBSTITUTE(SUBSTITUTE(Y208,"P",""),"I",""),"V",""),"B","") &amp; IF(COUNTIF(Y208, "*"&amp;'ARDT Cutter Entry'!$BN$3&amp;"*"),"",IF(COUNTIF(Y208, "*"&amp;'ARDT Cutter Entry'!$BN$4&amp;"*"),"",IF(COUNTIF(Y208,"*"&amp;'ARDT Cutter Entry'!$BN$5&amp;"*"),"",IF(COUNTIF(Y208,"*"&amp;'ARDT Cutter Entry'!$BN$6&amp;"*"),"",IF(COUNTIF(Y208,"*"&amp;'ARDT Cutter Entry'!$BN$7&amp;"*"),"",Data!CN53))))),SUBSTITUTE(SUBSTITUTE(SUBSTITUTE(SUBSTITUTE(SUBSTITUTE(SUBSTITUTE(SUBSTITUTE(SUBSTITUTE(SUBSTITUTE(Y208,'ARDT Cutter Entry'!$BN$3,""),'ARDT Cutter Entry'!$BN$4,""),'ARDT Cutter Entry'!$BN$5,""),'ARDT Cutter Entry'!$BN$6,""),'ARDT Cutter Entry'!$BN$7,""),"P",""),"I",""),"V",""),"B","")&amp;Data!CN53),IF(AND(Data!CN53&lt;&gt;0,Data!CN53&lt;&gt;""),IF(Y225&lt;&gt;"",Y225,"O"),""))</f>
        <v/>
      </c>
      <c r="Z242" s="41" t="str">
        <f>IF(Z208&lt;&gt;"",IF(OR(COUNTIF(Z208,"L*"),COUNTIF(Z208, "X*")),SUBSTITUTE(SUBSTITUTE(SUBSTITUTE(SUBSTITUTE(Z208,"P",""),"I",""),"V",""),"B","") &amp; IF(COUNTIF(Z208, "*"&amp;'ARDT Cutter Entry'!$BN$3&amp;"*"),"",IF(COUNTIF(Z208, "*"&amp;'ARDT Cutter Entry'!$BN$4&amp;"*"),"",IF(COUNTIF(Z208,"*"&amp;'ARDT Cutter Entry'!$BN$5&amp;"*"),"",IF(COUNTIF(Z208,"*"&amp;'ARDT Cutter Entry'!$BN$6&amp;"*"),"",IF(COUNTIF(Z208,"*"&amp;'ARDT Cutter Entry'!$BN$7&amp;"*"),"",Data!CO53))))),SUBSTITUTE(SUBSTITUTE(SUBSTITUTE(SUBSTITUTE(SUBSTITUTE(SUBSTITUTE(SUBSTITUTE(SUBSTITUTE(SUBSTITUTE(Z208,'ARDT Cutter Entry'!$BN$3,""),'ARDT Cutter Entry'!$BN$4,""),'ARDT Cutter Entry'!$BN$5,""),'ARDT Cutter Entry'!$BN$6,""),'ARDT Cutter Entry'!$BN$7,""),"P",""),"I",""),"V",""),"B","")&amp;Data!CO53),IF(AND(Data!CO53&lt;&gt;0,Data!CO53&lt;&gt;""),IF(Z225&lt;&gt;"",Z225,"O"),""))</f>
        <v/>
      </c>
      <c r="AA242" s="41" t="str">
        <f>IF(AA208&lt;&gt;"",IF(OR(COUNTIF(AA208,"L*"),COUNTIF(AA208, "X*")),SUBSTITUTE(SUBSTITUTE(SUBSTITUTE(SUBSTITUTE(AA208,"P",""),"I",""),"V",""),"B","") &amp; IF(COUNTIF(AA208, "*"&amp;'ARDT Cutter Entry'!$BN$3&amp;"*"),"",IF(COUNTIF(AA208, "*"&amp;'ARDT Cutter Entry'!$BN$4&amp;"*"),"",IF(COUNTIF(AA208,"*"&amp;'ARDT Cutter Entry'!$BN$5&amp;"*"),"",IF(COUNTIF(AA208,"*"&amp;'ARDT Cutter Entry'!$BN$6&amp;"*"),"",IF(COUNTIF(AA208,"*"&amp;'ARDT Cutter Entry'!$BN$7&amp;"*"),"",Data!CP53))))),SUBSTITUTE(SUBSTITUTE(SUBSTITUTE(SUBSTITUTE(SUBSTITUTE(SUBSTITUTE(SUBSTITUTE(SUBSTITUTE(SUBSTITUTE(AA208,'ARDT Cutter Entry'!$BN$3,""),'ARDT Cutter Entry'!$BN$4,""),'ARDT Cutter Entry'!$BN$5,""),'ARDT Cutter Entry'!$BN$6,""),'ARDT Cutter Entry'!$BN$7,""),"P",""),"I",""),"V",""),"B","")&amp;Data!CP53),IF(AND(Data!CP53&lt;&gt;0,Data!CP53&lt;&gt;""),IF(AA225&lt;&gt;"",AA225,"O"),""))</f>
        <v/>
      </c>
      <c r="AB242" s="41" t="str">
        <f>IF(AB208&lt;&gt;"",IF(OR(COUNTIF(AB208,"L*"),COUNTIF(AB208, "X*")),SUBSTITUTE(SUBSTITUTE(SUBSTITUTE(SUBSTITUTE(AB208,"P",""),"I",""),"V",""),"B","") &amp; IF(COUNTIF(AB208, "*"&amp;'ARDT Cutter Entry'!$BN$3&amp;"*"),"",IF(COUNTIF(AB208, "*"&amp;'ARDT Cutter Entry'!$BN$4&amp;"*"),"",IF(COUNTIF(AB208,"*"&amp;'ARDT Cutter Entry'!$BN$5&amp;"*"),"",IF(COUNTIF(AB208,"*"&amp;'ARDT Cutter Entry'!$BN$6&amp;"*"),"",IF(COUNTIF(AB208,"*"&amp;'ARDT Cutter Entry'!$BN$7&amp;"*"),"",Data!CQ53))))),SUBSTITUTE(SUBSTITUTE(SUBSTITUTE(SUBSTITUTE(SUBSTITUTE(SUBSTITUTE(SUBSTITUTE(SUBSTITUTE(SUBSTITUTE(AB208,'ARDT Cutter Entry'!$BN$3,""),'ARDT Cutter Entry'!$BN$4,""),'ARDT Cutter Entry'!$BN$5,""),'ARDT Cutter Entry'!$BN$6,""),'ARDT Cutter Entry'!$BN$7,""),"P",""),"I",""),"V",""),"B","")&amp;Data!CQ53),IF(AND(Data!CQ53&lt;&gt;0,Data!CQ53&lt;&gt;""),IF(AB225&lt;&gt;"",AB225,"O"),""))</f>
        <v/>
      </c>
      <c r="AC242" s="41" t="str">
        <f>IF(AC208&lt;&gt;"",IF(OR(COUNTIF(AC208,"L*"),COUNTIF(AC208, "X*")),SUBSTITUTE(SUBSTITUTE(SUBSTITUTE(SUBSTITUTE(AC208,"P",""),"I",""),"V",""),"B","") &amp; IF(COUNTIF(AC208, "*"&amp;'ARDT Cutter Entry'!$BN$3&amp;"*"),"",IF(COUNTIF(AC208, "*"&amp;'ARDT Cutter Entry'!$BN$4&amp;"*"),"",IF(COUNTIF(AC208,"*"&amp;'ARDT Cutter Entry'!$BN$5&amp;"*"),"",IF(COUNTIF(AC208,"*"&amp;'ARDT Cutter Entry'!$BN$6&amp;"*"),"",IF(COUNTIF(AC208,"*"&amp;'ARDT Cutter Entry'!$BN$7&amp;"*"),"",Data!CR53))))),SUBSTITUTE(SUBSTITUTE(SUBSTITUTE(SUBSTITUTE(SUBSTITUTE(SUBSTITUTE(SUBSTITUTE(SUBSTITUTE(SUBSTITUTE(AC208,'ARDT Cutter Entry'!$BN$3,""),'ARDT Cutter Entry'!$BN$4,""),'ARDT Cutter Entry'!$BN$5,""),'ARDT Cutter Entry'!$BN$6,""),'ARDT Cutter Entry'!$BN$7,""),"P",""),"I",""),"V",""),"B","")&amp;Data!CR53),IF(AND(Data!CR53&lt;&gt;0,Data!CR53&lt;&gt;""),IF(AC225&lt;&gt;"",AC225,"O"),""))</f>
        <v/>
      </c>
      <c r="AD242" s="41" t="str">
        <f>IF(AD208&lt;&gt;"",IF(OR(COUNTIF(AD208,"L*"),COUNTIF(AD208, "X*")),SUBSTITUTE(SUBSTITUTE(SUBSTITUTE(SUBSTITUTE(AD208,"P",""),"I",""),"V",""),"B","") &amp; IF(COUNTIF(AD208, "*"&amp;'ARDT Cutter Entry'!$BN$3&amp;"*"),"",IF(COUNTIF(AD208, "*"&amp;'ARDT Cutter Entry'!$BN$4&amp;"*"),"",IF(COUNTIF(AD208,"*"&amp;'ARDT Cutter Entry'!$BN$5&amp;"*"),"",IF(COUNTIF(AD208,"*"&amp;'ARDT Cutter Entry'!$BN$6&amp;"*"),"",IF(COUNTIF(AD208,"*"&amp;'ARDT Cutter Entry'!$BN$7&amp;"*"),"",Data!CS53))))),SUBSTITUTE(SUBSTITUTE(SUBSTITUTE(SUBSTITUTE(SUBSTITUTE(SUBSTITUTE(SUBSTITUTE(SUBSTITUTE(SUBSTITUTE(AD208,'ARDT Cutter Entry'!$BN$3,""),'ARDT Cutter Entry'!$BN$4,""),'ARDT Cutter Entry'!$BN$5,""),'ARDT Cutter Entry'!$BN$6,""),'ARDT Cutter Entry'!$BN$7,""),"P",""),"I",""),"V",""),"B","")&amp;Data!CS53),IF(AND(Data!CS53&lt;&gt;0,Data!CS53&lt;&gt;""),IF(AD225&lt;&gt;"",AD225,"O"),""))</f>
        <v/>
      </c>
      <c r="AE242" s="41" t="str">
        <f>IF(AE208&lt;&gt;"",IF(OR(COUNTIF(AE208,"L*"),COUNTIF(AE208, "X*")),SUBSTITUTE(SUBSTITUTE(SUBSTITUTE(SUBSTITUTE(AE208,"P",""),"I",""),"V",""),"B","") &amp; IF(COUNTIF(AE208, "*"&amp;'ARDT Cutter Entry'!$BN$3&amp;"*"),"",IF(COUNTIF(AE208, "*"&amp;'ARDT Cutter Entry'!$BN$4&amp;"*"),"",IF(COUNTIF(AE208,"*"&amp;'ARDT Cutter Entry'!$BN$5&amp;"*"),"",IF(COUNTIF(AE208,"*"&amp;'ARDT Cutter Entry'!$BN$6&amp;"*"),"",IF(COUNTIF(AE208,"*"&amp;'ARDT Cutter Entry'!$BN$7&amp;"*"),"",Data!CT53))))),SUBSTITUTE(SUBSTITUTE(SUBSTITUTE(SUBSTITUTE(SUBSTITUTE(SUBSTITUTE(SUBSTITUTE(SUBSTITUTE(SUBSTITUTE(AE208,'ARDT Cutter Entry'!$BN$3,""),'ARDT Cutter Entry'!$BN$4,""),'ARDT Cutter Entry'!$BN$5,""),'ARDT Cutter Entry'!$BN$6,""),'ARDT Cutter Entry'!$BN$7,""),"P",""),"I",""),"V",""),"B","")&amp;Data!CT53),IF(AND(Data!CT53&lt;&gt;0,Data!CT53&lt;&gt;""),IF(AE225&lt;&gt;"",AE225,"O"),""))</f>
        <v/>
      </c>
      <c r="AF242" s="41" t="str">
        <f>IF(AF208&lt;&gt;"",IF(OR(COUNTIF(AF208,"L*"),COUNTIF(AF208, "X*")),SUBSTITUTE(SUBSTITUTE(SUBSTITUTE(SUBSTITUTE(AF208,"P",""),"I",""),"V",""),"B","") &amp; IF(COUNTIF(AF208, "*"&amp;'ARDT Cutter Entry'!$BN$3&amp;"*"),"",IF(COUNTIF(AF208, "*"&amp;'ARDT Cutter Entry'!$BN$4&amp;"*"),"",IF(COUNTIF(AF208,"*"&amp;'ARDT Cutter Entry'!$BN$5&amp;"*"),"",IF(COUNTIF(AF208,"*"&amp;'ARDT Cutter Entry'!$BN$6&amp;"*"),"",IF(COUNTIF(AF208,"*"&amp;'ARDT Cutter Entry'!$BN$7&amp;"*"),"",Data!CU53))))),SUBSTITUTE(SUBSTITUTE(SUBSTITUTE(SUBSTITUTE(SUBSTITUTE(SUBSTITUTE(SUBSTITUTE(SUBSTITUTE(SUBSTITUTE(AF208,'ARDT Cutter Entry'!$BN$3,""),'ARDT Cutter Entry'!$BN$4,""),'ARDT Cutter Entry'!$BN$5,""),'ARDT Cutter Entry'!$BN$6,""),'ARDT Cutter Entry'!$BN$7,""),"P",""),"I",""),"V",""),"B","")&amp;Data!CU53),IF(AND(Data!CU53&lt;&gt;0,Data!CU53&lt;&gt;""),IF(AF225&lt;&gt;"",AF225,"O"),""))</f>
        <v/>
      </c>
      <c r="AG242" s="41" t="str">
        <f>IF(AG208&lt;&gt;"",IF(OR(COUNTIF(AG208,"L*"),COUNTIF(AG208, "X*")),SUBSTITUTE(SUBSTITUTE(SUBSTITUTE(SUBSTITUTE(AG208,"P",""),"I",""),"V",""),"B","") &amp; IF(COUNTIF(AG208, "*"&amp;'ARDT Cutter Entry'!$BN$3&amp;"*"),"",IF(COUNTIF(AG208, "*"&amp;'ARDT Cutter Entry'!$BN$4&amp;"*"),"",IF(COUNTIF(AG208,"*"&amp;'ARDT Cutter Entry'!$BN$5&amp;"*"),"",IF(COUNTIF(AG208,"*"&amp;'ARDT Cutter Entry'!$BN$6&amp;"*"),"",IF(COUNTIF(AG208,"*"&amp;'ARDT Cutter Entry'!$BN$7&amp;"*"),"",Data!CV53))))),SUBSTITUTE(SUBSTITUTE(SUBSTITUTE(SUBSTITUTE(SUBSTITUTE(SUBSTITUTE(SUBSTITUTE(SUBSTITUTE(SUBSTITUTE(AG208,'ARDT Cutter Entry'!$BN$3,""),'ARDT Cutter Entry'!$BN$4,""),'ARDT Cutter Entry'!$BN$5,""),'ARDT Cutter Entry'!$BN$6,""),'ARDT Cutter Entry'!$BN$7,""),"P",""),"I",""),"V",""),"B","")&amp;Data!CV53),IF(AND(Data!CV53&lt;&gt;0,Data!CV53&lt;&gt;""),IF(AG225&lt;&gt;"",AG225,"O"),""))</f>
        <v/>
      </c>
      <c r="AH242" s="41" t="str">
        <f>IF(AH208&lt;&gt;"",IF(OR(COUNTIF(AH208,"L*"),COUNTIF(AH208, "X*")),SUBSTITUTE(SUBSTITUTE(SUBSTITUTE(SUBSTITUTE(AH208,"P",""),"I",""),"V",""),"B","") &amp; IF(COUNTIF(AH208, "*"&amp;'ARDT Cutter Entry'!$BN$3&amp;"*"),"",IF(COUNTIF(AH208, "*"&amp;'ARDT Cutter Entry'!$BN$4&amp;"*"),"",IF(COUNTIF(AH208,"*"&amp;'ARDT Cutter Entry'!$BN$5&amp;"*"),"",IF(COUNTIF(AH208,"*"&amp;'ARDT Cutter Entry'!$BN$6&amp;"*"),"",IF(COUNTIF(AH208,"*"&amp;'ARDT Cutter Entry'!$BN$7&amp;"*"),"",Data!CW53))))),SUBSTITUTE(SUBSTITUTE(SUBSTITUTE(SUBSTITUTE(SUBSTITUTE(SUBSTITUTE(SUBSTITUTE(SUBSTITUTE(SUBSTITUTE(AH208,'ARDT Cutter Entry'!$BN$3,""),'ARDT Cutter Entry'!$BN$4,""),'ARDT Cutter Entry'!$BN$5,""),'ARDT Cutter Entry'!$BN$6,""),'ARDT Cutter Entry'!$BN$7,""),"P",""),"I",""),"V",""),"B","")&amp;Data!CW53),IF(AND(Data!CW53&lt;&gt;0,Data!CW53&lt;&gt;""),IF(AH225&lt;&gt;"",AH225,"O"),""))</f>
        <v/>
      </c>
      <c r="AI242" s="41" t="str">
        <f>IF(AI208&lt;&gt;"",IF(OR(COUNTIF(AI208,"L*"),COUNTIF(AI208, "X*")),SUBSTITUTE(SUBSTITUTE(SUBSTITUTE(SUBSTITUTE(AI208,"P",""),"I",""),"V",""),"B","") &amp; IF(COUNTIF(AI208, "*"&amp;'ARDT Cutter Entry'!$BN$3&amp;"*"),"",IF(COUNTIF(AI208, "*"&amp;'ARDT Cutter Entry'!$BN$4&amp;"*"),"",IF(COUNTIF(AI208,"*"&amp;'ARDT Cutter Entry'!$BN$5&amp;"*"),"",IF(COUNTIF(AI208,"*"&amp;'ARDT Cutter Entry'!$BN$6&amp;"*"),"",IF(COUNTIF(AI208,"*"&amp;'ARDT Cutter Entry'!$BN$7&amp;"*"),"",Data!CX53))))),SUBSTITUTE(SUBSTITUTE(SUBSTITUTE(SUBSTITUTE(SUBSTITUTE(SUBSTITUTE(SUBSTITUTE(SUBSTITUTE(SUBSTITUTE(AI208,'ARDT Cutter Entry'!$BN$3,""),'ARDT Cutter Entry'!$BN$4,""),'ARDT Cutter Entry'!$BN$5,""),'ARDT Cutter Entry'!$BN$6,""),'ARDT Cutter Entry'!$BN$7,""),"P",""),"I",""),"V",""),"B","")&amp;Data!CX53),IF(AND(Data!CX53&lt;&gt;0,Data!CX53&lt;&gt;""),IF(AI225&lt;&gt;"",AI225,"O"),""))</f>
        <v/>
      </c>
      <c r="AJ242" s="41" t="str">
        <f>IF(AJ208&lt;&gt;"",IF(OR(COUNTIF(AJ208,"L*"),COUNTIF(AJ208, "X*")),SUBSTITUTE(SUBSTITUTE(SUBSTITUTE(SUBSTITUTE(AJ208,"P",""),"I",""),"V",""),"B","") &amp; IF(COUNTIF(AJ208, "*"&amp;'ARDT Cutter Entry'!$BN$3&amp;"*"),"",IF(COUNTIF(AJ208, "*"&amp;'ARDT Cutter Entry'!$BN$4&amp;"*"),"",IF(COUNTIF(AJ208,"*"&amp;'ARDT Cutter Entry'!$BN$5&amp;"*"),"",IF(COUNTIF(AJ208,"*"&amp;'ARDT Cutter Entry'!$BN$6&amp;"*"),"",IF(COUNTIF(AJ208,"*"&amp;'ARDT Cutter Entry'!$BN$7&amp;"*"),"",Data!CY53))))),SUBSTITUTE(SUBSTITUTE(SUBSTITUTE(SUBSTITUTE(SUBSTITUTE(SUBSTITUTE(SUBSTITUTE(SUBSTITUTE(SUBSTITUTE(AJ208,'ARDT Cutter Entry'!$BN$3,""),'ARDT Cutter Entry'!$BN$4,""),'ARDT Cutter Entry'!$BN$5,""),'ARDT Cutter Entry'!$BN$6,""),'ARDT Cutter Entry'!$BN$7,""),"P",""),"I",""),"V",""),"B","")&amp;Data!CY53),IF(AND(Data!CY53&lt;&gt;0,Data!CY53&lt;&gt;""),IF(AJ225&lt;&gt;"",AJ225,"O"),""))</f>
        <v/>
      </c>
    </row>
    <row r="243" spans="1:63" ht="23.25" customHeight="1" x14ac:dyDescent="0.35">
      <c r="A243" s="1196"/>
      <c r="B243" s="22">
        <v>9</v>
      </c>
      <c r="C243" s="41" t="str">
        <f>IF(C209&lt;&gt;"",IF(OR(COUNTIF(C209,"L*"),COUNTIF(C209, "X*")),SUBSTITUTE(SUBSTITUTE(SUBSTITUTE(SUBSTITUTE(C209,"P",""),"I",""),"V",""),"B","") &amp; IF(COUNTIF(C209, "*"&amp;'ARDT Cutter Entry'!$BN$3&amp;"*"),"",IF(COUNTIF(C209, "*"&amp;'ARDT Cutter Entry'!$BN$4&amp;"*"),"",IF(COUNTIF(C209,"*"&amp;'ARDT Cutter Entry'!$BN$5&amp;"*"),"",IF(COUNTIF(C209,"*"&amp;'ARDT Cutter Entry'!$BN$6&amp;"*"),"",IF(COUNTIF(C209,"*"&amp;'ARDT Cutter Entry'!$BN$7&amp;"*"),"",Data!BR54))))),SUBSTITUTE(SUBSTITUTE(SUBSTITUTE(SUBSTITUTE(SUBSTITUTE(SUBSTITUTE(SUBSTITUTE(SUBSTITUTE(SUBSTITUTE(C209,'ARDT Cutter Entry'!$BN$3,""),'ARDT Cutter Entry'!$BN$4,""),'ARDT Cutter Entry'!$BN$5,""),'ARDT Cutter Entry'!$BN$6,""),'ARDT Cutter Entry'!$BN$7,""),"P",""),"I",""),"V",""),"B","")&amp;Data!BR54),IF(AND(Data!BR54&lt;&gt;0,Data!BR54&lt;&gt;""),IF(C226&lt;&gt;"",C226,"O"),""))</f>
        <v/>
      </c>
      <c r="D243" s="41" t="str">
        <f>IF(D209&lt;&gt;"",IF(OR(COUNTIF(D209,"L*"),COUNTIF(D209, "X*")),SUBSTITUTE(SUBSTITUTE(SUBSTITUTE(SUBSTITUTE(D209,"P",""),"I",""),"V",""),"B","") &amp; IF(COUNTIF(D209, "*"&amp;'ARDT Cutter Entry'!$BN$3&amp;"*"),"",IF(COUNTIF(D209, "*"&amp;'ARDT Cutter Entry'!$BN$4&amp;"*"),"",IF(COUNTIF(D209,"*"&amp;'ARDT Cutter Entry'!$BN$5&amp;"*"),"",IF(COUNTIF(D209,"*"&amp;'ARDT Cutter Entry'!$BN$6&amp;"*"),"",IF(COUNTIF(D209,"*"&amp;'ARDT Cutter Entry'!$BN$7&amp;"*"),"",Data!BS54))))),SUBSTITUTE(SUBSTITUTE(SUBSTITUTE(SUBSTITUTE(SUBSTITUTE(SUBSTITUTE(SUBSTITUTE(SUBSTITUTE(SUBSTITUTE(D209,'ARDT Cutter Entry'!$BN$3,""),'ARDT Cutter Entry'!$BN$4,""),'ARDT Cutter Entry'!$BN$5,""),'ARDT Cutter Entry'!$BN$6,""),'ARDT Cutter Entry'!$BN$7,""),"P",""),"I",""),"V",""),"B","")&amp;Data!BS54),IF(AND(Data!BS54&lt;&gt;0,Data!BS54&lt;&gt;""),IF(D226&lt;&gt;"",D226,"O"),""))</f>
        <v/>
      </c>
      <c r="E243" s="41" t="str">
        <f>IF(E209&lt;&gt;"",IF(OR(COUNTIF(E209,"L*"),COUNTIF(E209, "X*")),SUBSTITUTE(SUBSTITUTE(SUBSTITUTE(SUBSTITUTE(E209,"P",""),"I",""),"V",""),"B","") &amp; IF(COUNTIF(E209, "*"&amp;'ARDT Cutter Entry'!$BN$3&amp;"*"),"",IF(COUNTIF(E209, "*"&amp;'ARDT Cutter Entry'!$BN$4&amp;"*"),"",IF(COUNTIF(E209,"*"&amp;'ARDT Cutter Entry'!$BN$5&amp;"*"),"",IF(COUNTIF(E209,"*"&amp;'ARDT Cutter Entry'!$BN$6&amp;"*"),"",IF(COUNTIF(E209,"*"&amp;'ARDT Cutter Entry'!$BN$7&amp;"*"),"",Data!BT54))))),SUBSTITUTE(SUBSTITUTE(SUBSTITUTE(SUBSTITUTE(SUBSTITUTE(SUBSTITUTE(SUBSTITUTE(SUBSTITUTE(SUBSTITUTE(E209,'ARDT Cutter Entry'!$BN$3,""),'ARDT Cutter Entry'!$BN$4,""),'ARDT Cutter Entry'!$BN$5,""),'ARDT Cutter Entry'!$BN$6,""),'ARDT Cutter Entry'!$BN$7,""),"P",""),"I",""),"V",""),"B","")&amp;Data!BT54),IF(AND(Data!BT54&lt;&gt;0,Data!BT54&lt;&gt;""),IF(E226&lt;&gt;"",E226,"O"),""))</f>
        <v/>
      </c>
      <c r="F243" s="41" t="str">
        <f>IF(F209&lt;&gt;"",IF(OR(COUNTIF(F209,"L*"),COUNTIF(F209, "X*")),SUBSTITUTE(SUBSTITUTE(SUBSTITUTE(SUBSTITUTE(F209,"P",""),"I",""),"V",""),"B","") &amp; IF(COUNTIF(F209, "*"&amp;'ARDT Cutter Entry'!$BN$3&amp;"*"),"",IF(COUNTIF(F209, "*"&amp;'ARDT Cutter Entry'!$BN$4&amp;"*"),"",IF(COUNTIF(F209,"*"&amp;'ARDT Cutter Entry'!$BN$5&amp;"*"),"",IF(COUNTIF(F209,"*"&amp;'ARDT Cutter Entry'!$BN$6&amp;"*"),"",IF(COUNTIF(F209,"*"&amp;'ARDT Cutter Entry'!$BN$7&amp;"*"),"",Data!BU54))))),SUBSTITUTE(SUBSTITUTE(SUBSTITUTE(SUBSTITUTE(SUBSTITUTE(SUBSTITUTE(SUBSTITUTE(SUBSTITUTE(SUBSTITUTE(F209,'ARDT Cutter Entry'!$BN$3,""),'ARDT Cutter Entry'!$BN$4,""),'ARDT Cutter Entry'!$BN$5,""),'ARDT Cutter Entry'!$BN$6,""),'ARDT Cutter Entry'!$BN$7,""),"P",""),"I",""),"V",""),"B","")&amp;Data!BU54),IF(AND(Data!BU54&lt;&gt;0,Data!BU54&lt;&gt;""),IF(F226&lt;&gt;"",F226,"O"),""))</f>
        <v/>
      </c>
      <c r="G243" s="41" t="str">
        <f>IF(G209&lt;&gt;"",IF(OR(COUNTIF(G209,"L*"),COUNTIF(G209, "X*")),SUBSTITUTE(SUBSTITUTE(SUBSTITUTE(SUBSTITUTE(G209,"P",""),"I",""),"V",""),"B","") &amp; IF(COUNTIF(G209, "*"&amp;'ARDT Cutter Entry'!$BN$3&amp;"*"),"",IF(COUNTIF(G209, "*"&amp;'ARDT Cutter Entry'!$BN$4&amp;"*"),"",IF(COUNTIF(G209,"*"&amp;'ARDT Cutter Entry'!$BN$5&amp;"*"),"",IF(COUNTIF(G209,"*"&amp;'ARDT Cutter Entry'!$BN$6&amp;"*"),"",IF(COUNTIF(G209,"*"&amp;'ARDT Cutter Entry'!$BN$7&amp;"*"),"",Data!BV54))))),SUBSTITUTE(SUBSTITUTE(SUBSTITUTE(SUBSTITUTE(SUBSTITUTE(SUBSTITUTE(SUBSTITUTE(SUBSTITUTE(SUBSTITUTE(G209,'ARDT Cutter Entry'!$BN$3,""),'ARDT Cutter Entry'!$BN$4,""),'ARDT Cutter Entry'!$BN$5,""),'ARDT Cutter Entry'!$BN$6,""),'ARDT Cutter Entry'!$BN$7,""),"P",""),"I",""),"V",""),"B","")&amp;Data!BV54),IF(AND(Data!BV54&lt;&gt;0,Data!BV54&lt;&gt;""),IF(G226&lt;&gt;"",G226,"O"),""))</f>
        <v/>
      </c>
      <c r="H243" s="41" t="str">
        <f>IF(H209&lt;&gt;"",IF(OR(COUNTIF(H209,"L*"),COUNTIF(H209, "X*")),SUBSTITUTE(SUBSTITUTE(SUBSTITUTE(SUBSTITUTE(H209,"P",""),"I",""),"V",""),"B","") &amp; IF(COUNTIF(H209, "*"&amp;'ARDT Cutter Entry'!$BN$3&amp;"*"),"",IF(COUNTIF(H209, "*"&amp;'ARDT Cutter Entry'!$BN$4&amp;"*"),"",IF(COUNTIF(H209,"*"&amp;'ARDT Cutter Entry'!$BN$5&amp;"*"),"",IF(COUNTIF(H209,"*"&amp;'ARDT Cutter Entry'!$BN$6&amp;"*"),"",IF(COUNTIF(H209,"*"&amp;'ARDT Cutter Entry'!$BN$7&amp;"*"),"",Data!BW54))))),SUBSTITUTE(SUBSTITUTE(SUBSTITUTE(SUBSTITUTE(SUBSTITUTE(SUBSTITUTE(SUBSTITUTE(SUBSTITUTE(SUBSTITUTE(H209,'ARDT Cutter Entry'!$BN$3,""),'ARDT Cutter Entry'!$BN$4,""),'ARDT Cutter Entry'!$BN$5,""),'ARDT Cutter Entry'!$BN$6,""),'ARDT Cutter Entry'!$BN$7,""),"P",""),"I",""),"V",""),"B","")&amp;Data!BW54),IF(AND(Data!BW54&lt;&gt;0,Data!BW54&lt;&gt;""),IF(H226&lt;&gt;"",H226,"O"),""))</f>
        <v/>
      </c>
      <c r="I243" s="41" t="str">
        <f>IF(I209&lt;&gt;"",IF(OR(COUNTIF(I209,"L*"),COUNTIF(I209, "X*")),SUBSTITUTE(SUBSTITUTE(SUBSTITUTE(SUBSTITUTE(I209,"P",""),"I",""),"V",""),"B","") &amp; IF(COUNTIF(I209, "*"&amp;'ARDT Cutter Entry'!$BN$3&amp;"*"),"",IF(COUNTIF(I209, "*"&amp;'ARDT Cutter Entry'!$BN$4&amp;"*"),"",IF(COUNTIF(I209,"*"&amp;'ARDT Cutter Entry'!$BN$5&amp;"*"),"",IF(COUNTIF(I209,"*"&amp;'ARDT Cutter Entry'!$BN$6&amp;"*"),"",IF(COUNTIF(I209,"*"&amp;'ARDT Cutter Entry'!$BN$7&amp;"*"),"",Data!BX54))))),SUBSTITUTE(SUBSTITUTE(SUBSTITUTE(SUBSTITUTE(SUBSTITUTE(SUBSTITUTE(SUBSTITUTE(SUBSTITUTE(SUBSTITUTE(I209,'ARDT Cutter Entry'!$BN$3,""),'ARDT Cutter Entry'!$BN$4,""),'ARDT Cutter Entry'!$BN$5,""),'ARDT Cutter Entry'!$BN$6,""),'ARDT Cutter Entry'!$BN$7,""),"P",""),"I",""),"V",""),"B","")&amp;Data!BX54),IF(AND(Data!BX54&lt;&gt;0,Data!BX54&lt;&gt;""),IF(I226&lt;&gt;"",I226,"O"),""))</f>
        <v/>
      </c>
      <c r="J243" s="41" t="str">
        <f>IF(J209&lt;&gt;"",IF(OR(COUNTIF(J209,"L*"),COUNTIF(J209, "X*")),SUBSTITUTE(SUBSTITUTE(SUBSTITUTE(SUBSTITUTE(J209,"P",""),"I",""),"V",""),"B","") &amp; IF(COUNTIF(J209, "*"&amp;'ARDT Cutter Entry'!$BN$3&amp;"*"),"",IF(COUNTIF(J209, "*"&amp;'ARDT Cutter Entry'!$BN$4&amp;"*"),"",IF(COUNTIF(J209,"*"&amp;'ARDT Cutter Entry'!$BN$5&amp;"*"),"",IF(COUNTIF(J209,"*"&amp;'ARDT Cutter Entry'!$BN$6&amp;"*"),"",IF(COUNTIF(J209,"*"&amp;'ARDT Cutter Entry'!$BN$7&amp;"*"),"",Data!BY54))))),SUBSTITUTE(SUBSTITUTE(SUBSTITUTE(SUBSTITUTE(SUBSTITUTE(SUBSTITUTE(SUBSTITUTE(SUBSTITUTE(SUBSTITUTE(J209,'ARDT Cutter Entry'!$BN$3,""),'ARDT Cutter Entry'!$BN$4,""),'ARDT Cutter Entry'!$BN$5,""),'ARDT Cutter Entry'!$BN$6,""),'ARDT Cutter Entry'!$BN$7,""),"P",""),"I",""),"V",""),"B","")&amp;Data!BY54),IF(AND(Data!BY54&lt;&gt;0,Data!BY54&lt;&gt;""),IF(J226&lt;&gt;"",J226,"O"),""))</f>
        <v/>
      </c>
      <c r="K243" s="41" t="str">
        <f>IF(K209&lt;&gt;"",IF(OR(COUNTIF(K209,"L*"),COUNTIF(K209, "X*")),SUBSTITUTE(SUBSTITUTE(SUBSTITUTE(SUBSTITUTE(K209,"P",""),"I",""),"V",""),"B","") &amp; IF(COUNTIF(K209, "*"&amp;'ARDT Cutter Entry'!$BN$3&amp;"*"),"",IF(COUNTIF(K209, "*"&amp;'ARDT Cutter Entry'!$BN$4&amp;"*"),"",IF(COUNTIF(K209,"*"&amp;'ARDT Cutter Entry'!$BN$5&amp;"*"),"",IF(COUNTIF(K209,"*"&amp;'ARDT Cutter Entry'!$BN$6&amp;"*"),"",IF(COUNTIF(K209,"*"&amp;'ARDT Cutter Entry'!$BN$7&amp;"*"),"",Data!BZ54))))),SUBSTITUTE(SUBSTITUTE(SUBSTITUTE(SUBSTITUTE(SUBSTITUTE(SUBSTITUTE(SUBSTITUTE(SUBSTITUTE(SUBSTITUTE(K209,'ARDT Cutter Entry'!$BN$3,""),'ARDT Cutter Entry'!$BN$4,""),'ARDT Cutter Entry'!$BN$5,""),'ARDT Cutter Entry'!$BN$6,""),'ARDT Cutter Entry'!$BN$7,""),"P",""),"I",""),"V",""),"B","")&amp;Data!BZ54),IF(AND(Data!BZ54&lt;&gt;0,Data!BZ54&lt;&gt;""),IF(K226&lt;&gt;"",K226,"O"),""))</f>
        <v/>
      </c>
      <c r="L243" s="41" t="str">
        <f>IF(L209&lt;&gt;"",IF(OR(COUNTIF(L209,"L*"),COUNTIF(L209, "X*")),SUBSTITUTE(SUBSTITUTE(SUBSTITUTE(SUBSTITUTE(L209,"P",""),"I",""),"V",""),"B","") &amp; IF(COUNTIF(L209, "*"&amp;'ARDT Cutter Entry'!$BN$3&amp;"*"),"",IF(COUNTIF(L209, "*"&amp;'ARDT Cutter Entry'!$BN$4&amp;"*"),"",IF(COUNTIF(L209,"*"&amp;'ARDT Cutter Entry'!$BN$5&amp;"*"),"",IF(COUNTIF(L209,"*"&amp;'ARDT Cutter Entry'!$BN$6&amp;"*"),"",IF(COUNTIF(L209,"*"&amp;'ARDT Cutter Entry'!$BN$7&amp;"*"),"",Data!CA54))))),SUBSTITUTE(SUBSTITUTE(SUBSTITUTE(SUBSTITUTE(SUBSTITUTE(SUBSTITUTE(SUBSTITUTE(SUBSTITUTE(SUBSTITUTE(L209,'ARDT Cutter Entry'!$BN$3,""),'ARDT Cutter Entry'!$BN$4,""),'ARDT Cutter Entry'!$BN$5,""),'ARDT Cutter Entry'!$BN$6,""),'ARDT Cutter Entry'!$BN$7,""),"P",""),"I",""),"V",""),"B","")&amp;Data!CA54),IF(AND(Data!CA54&lt;&gt;0,Data!CA54&lt;&gt;""),IF(L226&lt;&gt;"",L226,"O"),""))</f>
        <v/>
      </c>
      <c r="M243" s="41" t="str">
        <f>IF(M209&lt;&gt;"",IF(OR(COUNTIF(M209,"L*"),COUNTIF(M209, "X*")),SUBSTITUTE(SUBSTITUTE(SUBSTITUTE(SUBSTITUTE(M209,"P",""),"I",""),"V",""),"B","") &amp; IF(COUNTIF(M209, "*"&amp;'ARDT Cutter Entry'!$BN$3&amp;"*"),"",IF(COUNTIF(M209, "*"&amp;'ARDT Cutter Entry'!$BN$4&amp;"*"),"",IF(COUNTIF(M209,"*"&amp;'ARDT Cutter Entry'!$BN$5&amp;"*"),"",IF(COUNTIF(M209,"*"&amp;'ARDT Cutter Entry'!$BN$6&amp;"*"),"",IF(COUNTIF(M209,"*"&amp;'ARDT Cutter Entry'!$BN$7&amp;"*"),"",Data!CB54))))),SUBSTITUTE(SUBSTITUTE(SUBSTITUTE(SUBSTITUTE(SUBSTITUTE(SUBSTITUTE(SUBSTITUTE(SUBSTITUTE(SUBSTITUTE(M209,'ARDT Cutter Entry'!$BN$3,""),'ARDT Cutter Entry'!$BN$4,""),'ARDT Cutter Entry'!$BN$5,""),'ARDT Cutter Entry'!$BN$6,""),'ARDT Cutter Entry'!$BN$7,""),"P",""),"I",""),"V",""),"B","")&amp;Data!CB54),IF(AND(Data!CB54&lt;&gt;0,Data!CB54&lt;&gt;""),IF(M226&lt;&gt;"",M226,"O"),""))</f>
        <v/>
      </c>
      <c r="N243" s="41" t="str">
        <f>IF(N209&lt;&gt;"",IF(OR(COUNTIF(N209,"L*"),COUNTIF(N209, "X*")),SUBSTITUTE(SUBSTITUTE(SUBSTITUTE(SUBSTITUTE(N209,"P",""),"I",""),"V",""),"B","") &amp; IF(COUNTIF(N209, "*"&amp;'ARDT Cutter Entry'!$BN$3&amp;"*"),"",IF(COUNTIF(N209, "*"&amp;'ARDT Cutter Entry'!$BN$4&amp;"*"),"",IF(COUNTIF(N209,"*"&amp;'ARDT Cutter Entry'!$BN$5&amp;"*"),"",IF(COUNTIF(N209,"*"&amp;'ARDT Cutter Entry'!$BN$6&amp;"*"),"",IF(COUNTIF(N209,"*"&amp;'ARDT Cutter Entry'!$BN$7&amp;"*"),"",Data!CC54))))),SUBSTITUTE(SUBSTITUTE(SUBSTITUTE(SUBSTITUTE(SUBSTITUTE(SUBSTITUTE(SUBSTITUTE(SUBSTITUTE(SUBSTITUTE(N209,'ARDT Cutter Entry'!$BN$3,""),'ARDT Cutter Entry'!$BN$4,""),'ARDT Cutter Entry'!$BN$5,""),'ARDT Cutter Entry'!$BN$6,""),'ARDT Cutter Entry'!$BN$7,""),"P",""),"I",""),"V",""),"B","")&amp;Data!CC54),IF(AND(Data!CC54&lt;&gt;0,Data!CC54&lt;&gt;""),IF(N226&lt;&gt;"",N226,"O"),""))</f>
        <v/>
      </c>
      <c r="O243" s="41" t="str">
        <f>IF(O209&lt;&gt;"",IF(OR(COUNTIF(O209,"L*"),COUNTIF(O209, "X*")),SUBSTITUTE(SUBSTITUTE(SUBSTITUTE(SUBSTITUTE(O209,"P",""),"I",""),"V",""),"B","") &amp; IF(COUNTIF(O209, "*"&amp;'ARDT Cutter Entry'!$BN$3&amp;"*"),"",IF(COUNTIF(O209, "*"&amp;'ARDT Cutter Entry'!$BN$4&amp;"*"),"",IF(COUNTIF(O209,"*"&amp;'ARDT Cutter Entry'!$BN$5&amp;"*"),"",IF(COUNTIF(O209,"*"&amp;'ARDT Cutter Entry'!$BN$6&amp;"*"),"",IF(COUNTIF(O209,"*"&amp;'ARDT Cutter Entry'!$BN$7&amp;"*"),"",Data!CD54))))),SUBSTITUTE(SUBSTITUTE(SUBSTITUTE(SUBSTITUTE(SUBSTITUTE(SUBSTITUTE(SUBSTITUTE(SUBSTITUTE(SUBSTITUTE(O209,'ARDT Cutter Entry'!$BN$3,""),'ARDT Cutter Entry'!$BN$4,""),'ARDT Cutter Entry'!$BN$5,""),'ARDT Cutter Entry'!$BN$6,""),'ARDT Cutter Entry'!$BN$7,""),"P",""),"I",""),"V",""),"B","")&amp;Data!CD54),IF(AND(Data!CD54&lt;&gt;0,Data!CD54&lt;&gt;""),IF(O226&lt;&gt;"",O226,"O"),""))</f>
        <v/>
      </c>
      <c r="P243" s="41" t="str">
        <f>IF(P209&lt;&gt;"",IF(OR(COUNTIF(P209,"L*"),COUNTIF(P209, "X*")),SUBSTITUTE(SUBSTITUTE(SUBSTITUTE(SUBSTITUTE(P209,"P",""),"I",""),"V",""),"B","") &amp; IF(COUNTIF(P209, "*"&amp;'ARDT Cutter Entry'!$BN$3&amp;"*"),"",IF(COUNTIF(P209, "*"&amp;'ARDT Cutter Entry'!$BN$4&amp;"*"),"",IF(COUNTIF(P209,"*"&amp;'ARDT Cutter Entry'!$BN$5&amp;"*"),"",IF(COUNTIF(P209,"*"&amp;'ARDT Cutter Entry'!$BN$6&amp;"*"),"",IF(COUNTIF(P209,"*"&amp;'ARDT Cutter Entry'!$BN$7&amp;"*"),"",Data!CE54))))),SUBSTITUTE(SUBSTITUTE(SUBSTITUTE(SUBSTITUTE(SUBSTITUTE(SUBSTITUTE(SUBSTITUTE(SUBSTITUTE(SUBSTITUTE(P209,'ARDT Cutter Entry'!$BN$3,""),'ARDT Cutter Entry'!$BN$4,""),'ARDT Cutter Entry'!$BN$5,""),'ARDT Cutter Entry'!$BN$6,""),'ARDT Cutter Entry'!$BN$7,""),"P",""),"I",""),"V",""),"B","")&amp;Data!CE54),IF(AND(Data!CE54&lt;&gt;0,Data!CE54&lt;&gt;""),IF(P226&lt;&gt;"",P226,"O"),""))</f>
        <v/>
      </c>
      <c r="Q243" s="41" t="str">
        <f>IF(Q209&lt;&gt;"",IF(OR(COUNTIF(Q209,"L*"),COUNTIF(Q209, "X*")),SUBSTITUTE(SUBSTITUTE(SUBSTITUTE(SUBSTITUTE(Q209,"P",""),"I",""),"V",""),"B","") &amp; IF(COUNTIF(Q209, "*"&amp;'ARDT Cutter Entry'!$BN$3&amp;"*"),"",IF(COUNTIF(Q209, "*"&amp;'ARDT Cutter Entry'!$BN$4&amp;"*"),"",IF(COUNTIF(Q209,"*"&amp;'ARDT Cutter Entry'!$BN$5&amp;"*"),"",IF(COUNTIF(Q209,"*"&amp;'ARDT Cutter Entry'!$BN$6&amp;"*"),"",IF(COUNTIF(Q209,"*"&amp;'ARDT Cutter Entry'!$BN$7&amp;"*"),"",Data!CF54))))),SUBSTITUTE(SUBSTITUTE(SUBSTITUTE(SUBSTITUTE(SUBSTITUTE(SUBSTITUTE(SUBSTITUTE(SUBSTITUTE(SUBSTITUTE(Q209,'ARDT Cutter Entry'!$BN$3,""),'ARDT Cutter Entry'!$BN$4,""),'ARDT Cutter Entry'!$BN$5,""),'ARDT Cutter Entry'!$BN$6,""),'ARDT Cutter Entry'!$BN$7,""),"P",""),"I",""),"V",""),"B","")&amp;Data!CF54),IF(AND(Data!CF54&lt;&gt;0,Data!CF54&lt;&gt;""),IF(Q226&lt;&gt;"",Q226,"O"),""))</f>
        <v/>
      </c>
      <c r="R243" s="41" t="str">
        <f>IF(R209&lt;&gt;"",IF(OR(COUNTIF(R209,"L*"),COUNTIF(R209, "X*")),SUBSTITUTE(SUBSTITUTE(SUBSTITUTE(SUBSTITUTE(R209,"P",""),"I",""),"V",""),"B","") &amp; IF(COUNTIF(R209, "*"&amp;'ARDT Cutter Entry'!$BN$3&amp;"*"),"",IF(COUNTIF(R209, "*"&amp;'ARDT Cutter Entry'!$BN$4&amp;"*"),"",IF(COUNTIF(R209,"*"&amp;'ARDT Cutter Entry'!$BN$5&amp;"*"),"",IF(COUNTIF(R209,"*"&amp;'ARDT Cutter Entry'!$BN$6&amp;"*"),"",IF(COUNTIF(R209,"*"&amp;'ARDT Cutter Entry'!$BN$7&amp;"*"),"",Data!CG54))))),SUBSTITUTE(SUBSTITUTE(SUBSTITUTE(SUBSTITUTE(SUBSTITUTE(SUBSTITUTE(SUBSTITUTE(SUBSTITUTE(SUBSTITUTE(R209,'ARDT Cutter Entry'!$BN$3,""),'ARDT Cutter Entry'!$BN$4,""),'ARDT Cutter Entry'!$BN$5,""),'ARDT Cutter Entry'!$BN$6,""),'ARDT Cutter Entry'!$BN$7,""),"P",""),"I",""),"V",""),"B","")&amp;Data!CG54),IF(AND(Data!CG54&lt;&gt;0,Data!CG54&lt;&gt;""),IF(R226&lt;&gt;"",R226,"O"),""))</f>
        <v/>
      </c>
      <c r="S243" s="41" t="str">
        <f>IF(S209&lt;&gt;"",IF(OR(COUNTIF(S209,"L*"),COUNTIF(S209, "X*")),SUBSTITUTE(SUBSTITUTE(SUBSTITUTE(SUBSTITUTE(S209,"P",""),"I",""),"V",""),"B","") &amp; IF(COUNTIF(S209, "*"&amp;'ARDT Cutter Entry'!$BN$3&amp;"*"),"",IF(COUNTIF(S209, "*"&amp;'ARDT Cutter Entry'!$BN$4&amp;"*"),"",IF(COUNTIF(S209,"*"&amp;'ARDT Cutter Entry'!$BN$5&amp;"*"),"",IF(COUNTIF(S209,"*"&amp;'ARDT Cutter Entry'!$BN$6&amp;"*"),"",IF(COUNTIF(S209,"*"&amp;'ARDT Cutter Entry'!$BN$7&amp;"*"),"",Data!CH54))))),SUBSTITUTE(SUBSTITUTE(SUBSTITUTE(SUBSTITUTE(SUBSTITUTE(SUBSTITUTE(SUBSTITUTE(SUBSTITUTE(SUBSTITUTE(S209,'ARDT Cutter Entry'!$BN$3,""),'ARDT Cutter Entry'!$BN$4,""),'ARDT Cutter Entry'!$BN$5,""),'ARDT Cutter Entry'!$BN$6,""),'ARDT Cutter Entry'!$BN$7,""),"P",""),"I",""),"V",""),"B","")&amp;Data!CH54),IF(AND(Data!CH54&lt;&gt;0,Data!CH54&lt;&gt;""),IF(S226&lt;&gt;"",S226,"O"),""))</f>
        <v/>
      </c>
      <c r="T243" s="41" t="str">
        <f>IF(T209&lt;&gt;"",IF(OR(COUNTIF(T209,"L*"),COUNTIF(T209, "X*")),SUBSTITUTE(SUBSTITUTE(SUBSTITUTE(SUBSTITUTE(T209,"P",""),"I",""),"V",""),"B","") &amp; IF(COUNTIF(T209, "*"&amp;'ARDT Cutter Entry'!$BN$3&amp;"*"),"",IF(COUNTIF(T209, "*"&amp;'ARDT Cutter Entry'!$BN$4&amp;"*"),"",IF(COUNTIF(T209,"*"&amp;'ARDT Cutter Entry'!$BN$5&amp;"*"),"",IF(COUNTIF(T209,"*"&amp;'ARDT Cutter Entry'!$BN$6&amp;"*"),"",IF(COUNTIF(T209,"*"&amp;'ARDT Cutter Entry'!$BN$7&amp;"*"),"",Data!CI54))))),SUBSTITUTE(SUBSTITUTE(SUBSTITUTE(SUBSTITUTE(SUBSTITUTE(SUBSTITUTE(SUBSTITUTE(SUBSTITUTE(SUBSTITUTE(T209,'ARDT Cutter Entry'!$BN$3,""),'ARDT Cutter Entry'!$BN$4,""),'ARDT Cutter Entry'!$BN$5,""),'ARDT Cutter Entry'!$BN$6,""),'ARDT Cutter Entry'!$BN$7,""),"P",""),"I",""),"V",""),"B","")&amp;Data!CI54),IF(AND(Data!CI54&lt;&gt;0,Data!CI54&lt;&gt;""),IF(T226&lt;&gt;"",T226,"O"),""))</f>
        <v/>
      </c>
      <c r="U243" s="41" t="str">
        <f>IF(U209&lt;&gt;"",IF(OR(COUNTIF(U209,"L*"),COUNTIF(U209, "X*")),SUBSTITUTE(SUBSTITUTE(SUBSTITUTE(SUBSTITUTE(U209,"P",""),"I",""),"V",""),"B","") &amp; IF(COUNTIF(U209, "*"&amp;'ARDT Cutter Entry'!$BN$3&amp;"*"),"",IF(COUNTIF(U209, "*"&amp;'ARDT Cutter Entry'!$BN$4&amp;"*"),"",IF(COUNTIF(U209,"*"&amp;'ARDT Cutter Entry'!$BN$5&amp;"*"),"",IF(COUNTIF(U209,"*"&amp;'ARDT Cutter Entry'!$BN$6&amp;"*"),"",IF(COUNTIF(U209,"*"&amp;'ARDT Cutter Entry'!$BN$7&amp;"*"),"",Data!CJ54))))),SUBSTITUTE(SUBSTITUTE(SUBSTITUTE(SUBSTITUTE(SUBSTITUTE(SUBSTITUTE(SUBSTITUTE(SUBSTITUTE(SUBSTITUTE(U209,'ARDT Cutter Entry'!$BN$3,""),'ARDT Cutter Entry'!$BN$4,""),'ARDT Cutter Entry'!$BN$5,""),'ARDT Cutter Entry'!$BN$6,""),'ARDT Cutter Entry'!$BN$7,""),"P",""),"I",""),"V",""),"B","")&amp;Data!CJ54),IF(AND(Data!CJ54&lt;&gt;0,Data!CJ54&lt;&gt;""),IF(U226&lt;&gt;"",U226,"O"),""))</f>
        <v/>
      </c>
      <c r="V243" s="41" t="str">
        <f>IF(V209&lt;&gt;"",IF(OR(COUNTIF(V209,"L*"),COUNTIF(V209, "X*")),SUBSTITUTE(SUBSTITUTE(SUBSTITUTE(SUBSTITUTE(V209,"P",""),"I",""),"V",""),"B","") &amp; IF(COUNTIF(V209, "*"&amp;'ARDT Cutter Entry'!$BN$3&amp;"*"),"",IF(COUNTIF(V209, "*"&amp;'ARDT Cutter Entry'!$BN$4&amp;"*"),"",IF(COUNTIF(V209,"*"&amp;'ARDT Cutter Entry'!$BN$5&amp;"*"),"",IF(COUNTIF(V209,"*"&amp;'ARDT Cutter Entry'!$BN$6&amp;"*"),"",IF(COUNTIF(V209,"*"&amp;'ARDT Cutter Entry'!$BN$7&amp;"*"),"",Data!CK54))))),SUBSTITUTE(SUBSTITUTE(SUBSTITUTE(SUBSTITUTE(SUBSTITUTE(SUBSTITUTE(SUBSTITUTE(SUBSTITUTE(SUBSTITUTE(V209,'ARDT Cutter Entry'!$BN$3,""),'ARDT Cutter Entry'!$BN$4,""),'ARDT Cutter Entry'!$BN$5,""),'ARDT Cutter Entry'!$BN$6,""),'ARDT Cutter Entry'!$BN$7,""),"P",""),"I",""),"V",""),"B","")&amp;Data!CK54),IF(AND(Data!CK54&lt;&gt;0,Data!CK54&lt;&gt;""),IF(V226&lt;&gt;"",V226,"O"),""))</f>
        <v/>
      </c>
      <c r="W243" s="41" t="str">
        <f>IF(W209&lt;&gt;"",IF(OR(COUNTIF(W209,"L*"),COUNTIF(W209, "X*")),SUBSTITUTE(SUBSTITUTE(SUBSTITUTE(SUBSTITUTE(W209,"P",""),"I",""),"V",""),"B","") &amp; IF(COUNTIF(W209, "*"&amp;'ARDT Cutter Entry'!$BN$3&amp;"*"),"",IF(COUNTIF(W209, "*"&amp;'ARDT Cutter Entry'!$BN$4&amp;"*"),"",IF(COUNTIF(W209,"*"&amp;'ARDT Cutter Entry'!$BN$5&amp;"*"),"",IF(COUNTIF(W209,"*"&amp;'ARDT Cutter Entry'!$BN$6&amp;"*"),"",IF(COUNTIF(W209,"*"&amp;'ARDT Cutter Entry'!$BN$7&amp;"*"),"",Data!CL54))))),SUBSTITUTE(SUBSTITUTE(SUBSTITUTE(SUBSTITUTE(SUBSTITUTE(SUBSTITUTE(SUBSTITUTE(SUBSTITUTE(SUBSTITUTE(W209,'ARDT Cutter Entry'!$BN$3,""),'ARDT Cutter Entry'!$BN$4,""),'ARDT Cutter Entry'!$BN$5,""),'ARDT Cutter Entry'!$BN$6,""),'ARDT Cutter Entry'!$BN$7,""),"P",""),"I",""),"V",""),"B","")&amp;Data!CL54),IF(AND(Data!CL54&lt;&gt;0,Data!CL54&lt;&gt;""),IF(W226&lt;&gt;"",W226,"O"),""))</f>
        <v/>
      </c>
      <c r="X243" s="41" t="str">
        <f>IF(X209&lt;&gt;"",IF(OR(COUNTIF(X209,"L*"),COUNTIF(X209, "X*")),SUBSTITUTE(SUBSTITUTE(SUBSTITUTE(SUBSTITUTE(X209,"P",""),"I",""),"V",""),"B","") &amp; IF(COUNTIF(X209, "*"&amp;'ARDT Cutter Entry'!$BN$3&amp;"*"),"",IF(COUNTIF(X209, "*"&amp;'ARDT Cutter Entry'!$BN$4&amp;"*"),"",IF(COUNTIF(X209,"*"&amp;'ARDT Cutter Entry'!$BN$5&amp;"*"),"",IF(COUNTIF(X209,"*"&amp;'ARDT Cutter Entry'!$BN$6&amp;"*"),"",IF(COUNTIF(X209,"*"&amp;'ARDT Cutter Entry'!$BN$7&amp;"*"),"",Data!CM54))))),SUBSTITUTE(SUBSTITUTE(SUBSTITUTE(SUBSTITUTE(SUBSTITUTE(SUBSTITUTE(SUBSTITUTE(SUBSTITUTE(SUBSTITUTE(X209,'ARDT Cutter Entry'!$BN$3,""),'ARDT Cutter Entry'!$BN$4,""),'ARDT Cutter Entry'!$BN$5,""),'ARDT Cutter Entry'!$BN$6,""),'ARDT Cutter Entry'!$BN$7,""),"P",""),"I",""),"V",""),"B","")&amp;Data!CM54),IF(AND(Data!CM54&lt;&gt;0,Data!CM54&lt;&gt;""),IF(X226&lt;&gt;"",X226,"O"),""))</f>
        <v/>
      </c>
      <c r="Y243" s="41" t="str">
        <f>IF(Y209&lt;&gt;"",IF(OR(COUNTIF(Y209,"L*"),COUNTIF(Y209, "X*")),SUBSTITUTE(SUBSTITUTE(SUBSTITUTE(SUBSTITUTE(Y209,"P",""),"I",""),"V",""),"B","") &amp; IF(COUNTIF(Y209, "*"&amp;'ARDT Cutter Entry'!$BN$3&amp;"*"),"",IF(COUNTIF(Y209, "*"&amp;'ARDT Cutter Entry'!$BN$4&amp;"*"),"",IF(COUNTIF(Y209,"*"&amp;'ARDT Cutter Entry'!$BN$5&amp;"*"),"",IF(COUNTIF(Y209,"*"&amp;'ARDT Cutter Entry'!$BN$6&amp;"*"),"",IF(COUNTIF(Y209,"*"&amp;'ARDT Cutter Entry'!$BN$7&amp;"*"),"",Data!CN54))))),SUBSTITUTE(SUBSTITUTE(SUBSTITUTE(SUBSTITUTE(SUBSTITUTE(SUBSTITUTE(SUBSTITUTE(SUBSTITUTE(SUBSTITUTE(Y209,'ARDT Cutter Entry'!$BN$3,""),'ARDT Cutter Entry'!$BN$4,""),'ARDT Cutter Entry'!$BN$5,""),'ARDT Cutter Entry'!$BN$6,""),'ARDT Cutter Entry'!$BN$7,""),"P",""),"I",""),"V",""),"B","")&amp;Data!CN54),IF(AND(Data!CN54&lt;&gt;0,Data!CN54&lt;&gt;""),IF(Y226&lt;&gt;"",Y226,"O"),""))</f>
        <v/>
      </c>
      <c r="Z243" s="41" t="str">
        <f>IF(Z209&lt;&gt;"",IF(OR(COUNTIF(Z209,"L*"),COUNTIF(Z209, "X*")),SUBSTITUTE(SUBSTITUTE(SUBSTITUTE(SUBSTITUTE(Z209,"P",""),"I",""),"V",""),"B","") &amp; IF(COUNTIF(Z209, "*"&amp;'ARDT Cutter Entry'!$BN$3&amp;"*"),"",IF(COUNTIF(Z209, "*"&amp;'ARDT Cutter Entry'!$BN$4&amp;"*"),"",IF(COUNTIF(Z209,"*"&amp;'ARDT Cutter Entry'!$BN$5&amp;"*"),"",IF(COUNTIF(Z209,"*"&amp;'ARDT Cutter Entry'!$BN$6&amp;"*"),"",IF(COUNTIF(Z209,"*"&amp;'ARDT Cutter Entry'!$BN$7&amp;"*"),"",Data!CO54))))),SUBSTITUTE(SUBSTITUTE(SUBSTITUTE(SUBSTITUTE(SUBSTITUTE(SUBSTITUTE(SUBSTITUTE(SUBSTITUTE(SUBSTITUTE(Z209,'ARDT Cutter Entry'!$BN$3,""),'ARDT Cutter Entry'!$BN$4,""),'ARDT Cutter Entry'!$BN$5,""),'ARDT Cutter Entry'!$BN$6,""),'ARDT Cutter Entry'!$BN$7,""),"P",""),"I",""),"V",""),"B","")&amp;Data!CO54),IF(AND(Data!CO54&lt;&gt;0,Data!CO54&lt;&gt;""),IF(Z226&lt;&gt;"",Z226,"O"),""))</f>
        <v/>
      </c>
      <c r="AA243" s="41" t="str">
        <f>IF(AA209&lt;&gt;"",IF(OR(COUNTIF(AA209,"L*"),COUNTIF(AA209, "X*")),SUBSTITUTE(SUBSTITUTE(SUBSTITUTE(SUBSTITUTE(AA209,"P",""),"I",""),"V",""),"B","") &amp; IF(COUNTIF(AA209, "*"&amp;'ARDT Cutter Entry'!$BN$3&amp;"*"),"",IF(COUNTIF(AA209, "*"&amp;'ARDT Cutter Entry'!$BN$4&amp;"*"),"",IF(COUNTIF(AA209,"*"&amp;'ARDT Cutter Entry'!$BN$5&amp;"*"),"",IF(COUNTIF(AA209,"*"&amp;'ARDT Cutter Entry'!$BN$6&amp;"*"),"",IF(COUNTIF(AA209,"*"&amp;'ARDT Cutter Entry'!$BN$7&amp;"*"),"",Data!CP54))))),SUBSTITUTE(SUBSTITUTE(SUBSTITUTE(SUBSTITUTE(SUBSTITUTE(SUBSTITUTE(SUBSTITUTE(SUBSTITUTE(SUBSTITUTE(AA209,'ARDT Cutter Entry'!$BN$3,""),'ARDT Cutter Entry'!$BN$4,""),'ARDT Cutter Entry'!$BN$5,""),'ARDT Cutter Entry'!$BN$6,""),'ARDT Cutter Entry'!$BN$7,""),"P",""),"I",""),"V",""),"B","")&amp;Data!CP54),IF(AND(Data!CP54&lt;&gt;0,Data!CP54&lt;&gt;""),IF(AA226&lt;&gt;"",AA226,"O"),""))</f>
        <v/>
      </c>
      <c r="AB243" s="41" t="str">
        <f>IF(AB209&lt;&gt;"",IF(OR(COUNTIF(AB209,"L*"),COUNTIF(AB209, "X*")),SUBSTITUTE(SUBSTITUTE(SUBSTITUTE(SUBSTITUTE(AB209,"P",""),"I",""),"V",""),"B","") &amp; IF(COUNTIF(AB209, "*"&amp;'ARDT Cutter Entry'!$BN$3&amp;"*"),"",IF(COUNTIF(AB209, "*"&amp;'ARDT Cutter Entry'!$BN$4&amp;"*"),"",IF(COUNTIF(AB209,"*"&amp;'ARDT Cutter Entry'!$BN$5&amp;"*"),"",IF(COUNTIF(AB209,"*"&amp;'ARDT Cutter Entry'!$BN$6&amp;"*"),"",IF(COUNTIF(AB209,"*"&amp;'ARDT Cutter Entry'!$BN$7&amp;"*"),"",Data!CQ54))))),SUBSTITUTE(SUBSTITUTE(SUBSTITUTE(SUBSTITUTE(SUBSTITUTE(SUBSTITUTE(SUBSTITUTE(SUBSTITUTE(SUBSTITUTE(AB209,'ARDT Cutter Entry'!$BN$3,""),'ARDT Cutter Entry'!$BN$4,""),'ARDT Cutter Entry'!$BN$5,""),'ARDT Cutter Entry'!$BN$6,""),'ARDT Cutter Entry'!$BN$7,""),"P",""),"I",""),"V",""),"B","")&amp;Data!CQ54),IF(AND(Data!CQ54&lt;&gt;0,Data!CQ54&lt;&gt;""),IF(AB226&lt;&gt;"",AB226,"O"),""))</f>
        <v/>
      </c>
      <c r="AC243" s="41" t="str">
        <f>IF(AC209&lt;&gt;"",IF(OR(COUNTIF(AC209,"L*"),COUNTIF(AC209, "X*")),SUBSTITUTE(SUBSTITUTE(SUBSTITUTE(SUBSTITUTE(AC209,"P",""),"I",""),"V",""),"B","") &amp; IF(COUNTIF(AC209, "*"&amp;'ARDT Cutter Entry'!$BN$3&amp;"*"),"",IF(COUNTIF(AC209, "*"&amp;'ARDT Cutter Entry'!$BN$4&amp;"*"),"",IF(COUNTIF(AC209,"*"&amp;'ARDT Cutter Entry'!$BN$5&amp;"*"),"",IF(COUNTIF(AC209,"*"&amp;'ARDT Cutter Entry'!$BN$6&amp;"*"),"",IF(COUNTIF(AC209,"*"&amp;'ARDT Cutter Entry'!$BN$7&amp;"*"),"",Data!CR54))))),SUBSTITUTE(SUBSTITUTE(SUBSTITUTE(SUBSTITUTE(SUBSTITUTE(SUBSTITUTE(SUBSTITUTE(SUBSTITUTE(SUBSTITUTE(AC209,'ARDT Cutter Entry'!$BN$3,""),'ARDT Cutter Entry'!$BN$4,""),'ARDT Cutter Entry'!$BN$5,""),'ARDT Cutter Entry'!$BN$6,""),'ARDT Cutter Entry'!$BN$7,""),"P",""),"I",""),"V",""),"B","")&amp;Data!CR54),IF(AND(Data!CR54&lt;&gt;0,Data!CR54&lt;&gt;""),IF(AC226&lt;&gt;"",AC226,"O"),""))</f>
        <v/>
      </c>
      <c r="AD243" s="41" t="str">
        <f>IF(AD209&lt;&gt;"",IF(OR(COUNTIF(AD209,"L*"),COUNTIF(AD209, "X*")),SUBSTITUTE(SUBSTITUTE(SUBSTITUTE(SUBSTITUTE(AD209,"P",""),"I",""),"V",""),"B","") &amp; IF(COUNTIF(AD209, "*"&amp;'ARDT Cutter Entry'!$BN$3&amp;"*"),"",IF(COUNTIF(AD209, "*"&amp;'ARDT Cutter Entry'!$BN$4&amp;"*"),"",IF(COUNTIF(AD209,"*"&amp;'ARDT Cutter Entry'!$BN$5&amp;"*"),"",IF(COUNTIF(AD209,"*"&amp;'ARDT Cutter Entry'!$BN$6&amp;"*"),"",IF(COUNTIF(AD209,"*"&amp;'ARDT Cutter Entry'!$BN$7&amp;"*"),"",Data!CS54))))),SUBSTITUTE(SUBSTITUTE(SUBSTITUTE(SUBSTITUTE(SUBSTITUTE(SUBSTITUTE(SUBSTITUTE(SUBSTITUTE(SUBSTITUTE(AD209,'ARDT Cutter Entry'!$BN$3,""),'ARDT Cutter Entry'!$BN$4,""),'ARDT Cutter Entry'!$BN$5,""),'ARDT Cutter Entry'!$BN$6,""),'ARDT Cutter Entry'!$BN$7,""),"P",""),"I",""),"V",""),"B","")&amp;Data!CS54),IF(AND(Data!CS54&lt;&gt;0,Data!CS54&lt;&gt;""),IF(AD226&lt;&gt;"",AD226,"O"),""))</f>
        <v/>
      </c>
      <c r="AE243" s="41" t="str">
        <f>IF(AE209&lt;&gt;"",IF(OR(COUNTIF(AE209,"L*"),COUNTIF(AE209, "X*")),SUBSTITUTE(SUBSTITUTE(SUBSTITUTE(SUBSTITUTE(AE209,"P",""),"I",""),"V",""),"B","") &amp; IF(COUNTIF(AE209, "*"&amp;'ARDT Cutter Entry'!$BN$3&amp;"*"),"",IF(COUNTIF(AE209, "*"&amp;'ARDT Cutter Entry'!$BN$4&amp;"*"),"",IF(COUNTIF(AE209,"*"&amp;'ARDT Cutter Entry'!$BN$5&amp;"*"),"",IF(COUNTIF(AE209,"*"&amp;'ARDT Cutter Entry'!$BN$6&amp;"*"),"",IF(COUNTIF(AE209,"*"&amp;'ARDT Cutter Entry'!$BN$7&amp;"*"),"",Data!CT54))))),SUBSTITUTE(SUBSTITUTE(SUBSTITUTE(SUBSTITUTE(SUBSTITUTE(SUBSTITUTE(SUBSTITUTE(SUBSTITUTE(SUBSTITUTE(AE209,'ARDT Cutter Entry'!$BN$3,""),'ARDT Cutter Entry'!$BN$4,""),'ARDT Cutter Entry'!$BN$5,""),'ARDT Cutter Entry'!$BN$6,""),'ARDT Cutter Entry'!$BN$7,""),"P",""),"I",""),"V",""),"B","")&amp;Data!CT54),IF(AND(Data!CT54&lt;&gt;0,Data!CT54&lt;&gt;""),IF(AE226&lt;&gt;"",AE226,"O"),""))</f>
        <v/>
      </c>
      <c r="AF243" s="41" t="str">
        <f>IF(AF209&lt;&gt;"",IF(OR(COUNTIF(AF209,"L*"),COUNTIF(AF209, "X*")),SUBSTITUTE(SUBSTITUTE(SUBSTITUTE(SUBSTITUTE(AF209,"P",""),"I",""),"V",""),"B","") &amp; IF(COUNTIF(AF209, "*"&amp;'ARDT Cutter Entry'!$BN$3&amp;"*"),"",IF(COUNTIF(AF209, "*"&amp;'ARDT Cutter Entry'!$BN$4&amp;"*"),"",IF(COUNTIF(AF209,"*"&amp;'ARDT Cutter Entry'!$BN$5&amp;"*"),"",IF(COUNTIF(AF209,"*"&amp;'ARDT Cutter Entry'!$BN$6&amp;"*"),"",IF(COUNTIF(AF209,"*"&amp;'ARDT Cutter Entry'!$BN$7&amp;"*"),"",Data!CU54))))),SUBSTITUTE(SUBSTITUTE(SUBSTITUTE(SUBSTITUTE(SUBSTITUTE(SUBSTITUTE(SUBSTITUTE(SUBSTITUTE(SUBSTITUTE(AF209,'ARDT Cutter Entry'!$BN$3,""),'ARDT Cutter Entry'!$BN$4,""),'ARDT Cutter Entry'!$BN$5,""),'ARDT Cutter Entry'!$BN$6,""),'ARDT Cutter Entry'!$BN$7,""),"P",""),"I",""),"V",""),"B","")&amp;Data!CU54),IF(AND(Data!CU54&lt;&gt;0,Data!CU54&lt;&gt;""),IF(AF226&lt;&gt;"",AF226,"O"),""))</f>
        <v/>
      </c>
      <c r="AG243" s="41" t="str">
        <f>IF(AG209&lt;&gt;"",IF(OR(COUNTIF(AG209,"L*"),COUNTIF(AG209, "X*")),SUBSTITUTE(SUBSTITUTE(SUBSTITUTE(SUBSTITUTE(AG209,"P",""),"I",""),"V",""),"B","") &amp; IF(COUNTIF(AG209, "*"&amp;'ARDT Cutter Entry'!$BN$3&amp;"*"),"",IF(COUNTIF(AG209, "*"&amp;'ARDT Cutter Entry'!$BN$4&amp;"*"),"",IF(COUNTIF(AG209,"*"&amp;'ARDT Cutter Entry'!$BN$5&amp;"*"),"",IF(COUNTIF(AG209,"*"&amp;'ARDT Cutter Entry'!$BN$6&amp;"*"),"",IF(COUNTIF(AG209,"*"&amp;'ARDT Cutter Entry'!$BN$7&amp;"*"),"",Data!CV54))))),SUBSTITUTE(SUBSTITUTE(SUBSTITUTE(SUBSTITUTE(SUBSTITUTE(SUBSTITUTE(SUBSTITUTE(SUBSTITUTE(SUBSTITUTE(AG209,'ARDT Cutter Entry'!$BN$3,""),'ARDT Cutter Entry'!$BN$4,""),'ARDT Cutter Entry'!$BN$5,""),'ARDT Cutter Entry'!$BN$6,""),'ARDT Cutter Entry'!$BN$7,""),"P",""),"I",""),"V",""),"B","")&amp;Data!CV54),IF(AND(Data!CV54&lt;&gt;0,Data!CV54&lt;&gt;""),IF(AG226&lt;&gt;"",AG226,"O"),""))</f>
        <v/>
      </c>
      <c r="AH243" s="41" t="str">
        <f>IF(AH209&lt;&gt;"",IF(OR(COUNTIF(AH209,"L*"),COUNTIF(AH209, "X*")),SUBSTITUTE(SUBSTITUTE(SUBSTITUTE(SUBSTITUTE(AH209,"P",""),"I",""),"V",""),"B","") &amp; IF(COUNTIF(AH209, "*"&amp;'ARDT Cutter Entry'!$BN$3&amp;"*"),"",IF(COUNTIF(AH209, "*"&amp;'ARDT Cutter Entry'!$BN$4&amp;"*"),"",IF(COUNTIF(AH209,"*"&amp;'ARDT Cutter Entry'!$BN$5&amp;"*"),"",IF(COUNTIF(AH209,"*"&amp;'ARDT Cutter Entry'!$BN$6&amp;"*"),"",IF(COUNTIF(AH209,"*"&amp;'ARDT Cutter Entry'!$BN$7&amp;"*"),"",Data!CW54))))),SUBSTITUTE(SUBSTITUTE(SUBSTITUTE(SUBSTITUTE(SUBSTITUTE(SUBSTITUTE(SUBSTITUTE(SUBSTITUTE(SUBSTITUTE(AH209,'ARDT Cutter Entry'!$BN$3,""),'ARDT Cutter Entry'!$BN$4,""),'ARDT Cutter Entry'!$BN$5,""),'ARDT Cutter Entry'!$BN$6,""),'ARDT Cutter Entry'!$BN$7,""),"P",""),"I",""),"V",""),"B","")&amp;Data!CW54),IF(AND(Data!CW54&lt;&gt;0,Data!CW54&lt;&gt;""),IF(AH226&lt;&gt;"",AH226,"O"),""))</f>
        <v/>
      </c>
      <c r="AI243" s="41" t="str">
        <f>IF(AI209&lt;&gt;"",IF(OR(COUNTIF(AI209,"L*"),COUNTIF(AI209, "X*")),SUBSTITUTE(SUBSTITUTE(SUBSTITUTE(SUBSTITUTE(AI209,"P",""),"I",""),"V",""),"B","") &amp; IF(COUNTIF(AI209, "*"&amp;'ARDT Cutter Entry'!$BN$3&amp;"*"),"",IF(COUNTIF(AI209, "*"&amp;'ARDT Cutter Entry'!$BN$4&amp;"*"),"",IF(COUNTIF(AI209,"*"&amp;'ARDT Cutter Entry'!$BN$5&amp;"*"),"",IF(COUNTIF(AI209,"*"&amp;'ARDT Cutter Entry'!$BN$6&amp;"*"),"",IF(COUNTIF(AI209,"*"&amp;'ARDT Cutter Entry'!$BN$7&amp;"*"),"",Data!CX54))))),SUBSTITUTE(SUBSTITUTE(SUBSTITUTE(SUBSTITUTE(SUBSTITUTE(SUBSTITUTE(SUBSTITUTE(SUBSTITUTE(SUBSTITUTE(AI209,'ARDT Cutter Entry'!$BN$3,""),'ARDT Cutter Entry'!$BN$4,""),'ARDT Cutter Entry'!$BN$5,""),'ARDT Cutter Entry'!$BN$6,""),'ARDT Cutter Entry'!$BN$7,""),"P",""),"I",""),"V",""),"B","")&amp;Data!CX54),IF(AND(Data!CX54&lt;&gt;0,Data!CX54&lt;&gt;""),IF(AI226&lt;&gt;"",AI226,"O"),""))</f>
        <v/>
      </c>
    </row>
    <row r="244" spans="1:63" ht="23.25" customHeight="1" x14ac:dyDescent="0.35">
      <c r="A244" s="1196"/>
      <c r="B244" s="22">
        <v>10</v>
      </c>
      <c r="C244" s="41" t="str">
        <f>IF(C210&lt;&gt;"",IF(OR(COUNTIF(C210,"L*"),COUNTIF(C210, "X*")),SUBSTITUTE(SUBSTITUTE(SUBSTITUTE(SUBSTITUTE(C210,"P",""),"I",""),"V",""),"B","") &amp; IF(COUNTIF(C210, "*"&amp;'ARDT Cutter Entry'!$BN$3&amp;"*"),"",IF(COUNTIF(C210, "*"&amp;'ARDT Cutter Entry'!$BN$4&amp;"*"),"",IF(COUNTIF(C210,"*"&amp;'ARDT Cutter Entry'!$BN$5&amp;"*"),"",IF(COUNTIF(C210,"*"&amp;'ARDT Cutter Entry'!$BN$6&amp;"*"),"",IF(COUNTIF(C210,"*"&amp;'ARDT Cutter Entry'!$BN$7&amp;"*"),"",Data!BR55))))),SUBSTITUTE(SUBSTITUTE(SUBSTITUTE(SUBSTITUTE(SUBSTITUTE(SUBSTITUTE(SUBSTITUTE(SUBSTITUTE(SUBSTITUTE(C210,'ARDT Cutter Entry'!$BN$3,""),'ARDT Cutter Entry'!$BN$4,""),'ARDT Cutter Entry'!$BN$5,""),'ARDT Cutter Entry'!$BN$6,""),'ARDT Cutter Entry'!$BN$7,""),"P",""),"I",""),"V",""),"B","")&amp;Data!BR55),IF(AND(Data!BR55&lt;&gt;0,Data!BR55&lt;&gt;""),IF(C227&lt;&gt;"",C227,"O"),""))</f>
        <v/>
      </c>
      <c r="D244" s="41" t="str">
        <f>IF(D210&lt;&gt;"",IF(OR(COUNTIF(D210,"L*"),COUNTIF(D210, "X*")),SUBSTITUTE(SUBSTITUTE(SUBSTITUTE(SUBSTITUTE(D210,"P",""),"I",""),"V",""),"B","") &amp; IF(COUNTIF(D210, "*"&amp;'ARDT Cutter Entry'!$BN$3&amp;"*"),"",IF(COUNTIF(D210, "*"&amp;'ARDT Cutter Entry'!$BN$4&amp;"*"),"",IF(COUNTIF(D210,"*"&amp;'ARDT Cutter Entry'!$BN$5&amp;"*"),"",IF(COUNTIF(D210,"*"&amp;'ARDT Cutter Entry'!$BN$6&amp;"*"),"",IF(COUNTIF(D210,"*"&amp;'ARDT Cutter Entry'!$BN$7&amp;"*"),"",Data!BS55))))),SUBSTITUTE(SUBSTITUTE(SUBSTITUTE(SUBSTITUTE(SUBSTITUTE(SUBSTITUTE(SUBSTITUTE(SUBSTITUTE(SUBSTITUTE(D210,'ARDT Cutter Entry'!$BN$3,""),'ARDT Cutter Entry'!$BN$4,""),'ARDT Cutter Entry'!$BN$5,""),'ARDT Cutter Entry'!$BN$6,""),'ARDT Cutter Entry'!$BN$7,""),"P",""),"I",""),"V",""),"B","")&amp;Data!BS55),IF(AND(Data!BS55&lt;&gt;0,Data!BS55&lt;&gt;""),IF(D227&lt;&gt;"",D227,"O"),""))</f>
        <v/>
      </c>
      <c r="E244" s="41" t="str">
        <f>IF(E210&lt;&gt;"",IF(OR(COUNTIF(E210,"L*"),COUNTIF(E210, "X*")),SUBSTITUTE(SUBSTITUTE(SUBSTITUTE(SUBSTITUTE(E210,"P",""),"I",""),"V",""),"B","") &amp; IF(COUNTIF(E210, "*"&amp;'ARDT Cutter Entry'!$BN$3&amp;"*"),"",IF(COUNTIF(E210, "*"&amp;'ARDT Cutter Entry'!$BN$4&amp;"*"),"",IF(COUNTIF(E210,"*"&amp;'ARDT Cutter Entry'!$BN$5&amp;"*"),"",IF(COUNTIF(E210,"*"&amp;'ARDT Cutter Entry'!$BN$6&amp;"*"),"",IF(COUNTIF(E210,"*"&amp;'ARDT Cutter Entry'!$BN$7&amp;"*"),"",Data!BT55))))),SUBSTITUTE(SUBSTITUTE(SUBSTITUTE(SUBSTITUTE(SUBSTITUTE(SUBSTITUTE(SUBSTITUTE(SUBSTITUTE(SUBSTITUTE(E210,'ARDT Cutter Entry'!$BN$3,""),'ARDT Cutter Entry'!$BN$4,""),'ARDT Cutter Entry'!$BN$5,""),'ARDT Cutter Entry'!$BN$6,""),'ARDT Cutter Entry'!$BN$7,""),"P",""),"I",""),"V",""),"B","")&amp;Data!BT55),IF(AND(Data!BT55&lt;&gt;0,Data!BT55&lt;&gt;""),IF(E227&lt;&gt;"",E227,"O"),""))</f>
        <v/>
      </c>
      <c r="F244" s="41" t="str">
        <f>IF(F210&lt;&gt;"",IF(OR(COUNTIF(F210,"L*"),COUNTIF(F210, "X*")),SUBSTITUTE(SUBSTITUTE(SUBSTITUTE(SUBSTITUTE(F210,"P",""),"I",""),"V",""),"B","") &amp; IF(COUNTIF(F210, "*"&amp;'ARDT Cutter Entry'!$BN$3&amp;"*"),"",IF(COUNTIF(F210, "*"&amp;'ARDT Cutter Entry'!$BN$4&amp;"*"),"",IF(COUNTIF(F210,"*"&amp;'ARDT Cutter Entry'!$BN$5&amp;"*"),"",IF(COUNTIF(F210,"*"&amp;'ARDT Cutter Entry'!$BN$6&amp;"*"),"",IF(COUNTIF(F210,"*"&amp;'ARDT Cutter Entry'!$BN$7&amp;"*"),"",Data!BU55))))),SUBSTITUTE(SUBSTITUTE(SUBSTITUTE(SUBSTITUTE(SUBSTITUTE(SUBSTITUTE(SUBSTITUTE(SUBSTITUTE(SUBSTITUTE(F210,'ARDT Cutter Entry'!$BN$3,""),'ARDT Cutter Entry'!$BN$4,""),'ARDT Cutter Entry'!$BN$5,""),'ARDT Cutter Entry'!$BN$6,""),'ARDT Cutter Entry'!$BN$7,""),"P",""),"I",""),"V",""),"B","")&amp;Data!BU55),IF(AND(Data!BU55&lt;&gt;0,Data!BU55&lt;&gt;""),IF(F227&lt;&gt;"",F227,"O"),""))</f>
        <v/>
      </c>
      <c r="G244" s="41" t="str">
        <f>IF(G210&lt;&gt;"",IF(OR(COUNTIF(G210,"L*"),COUNTIF(G210, "X*")),SUBSTITUTE(SUBSTITUTE(SUBSTITUTE(SUBSTITUTE(G210,"P",""),"I",""),"V",""),"B","") &amp; IF(COUNTIF(G210, "*"&amp;'ARDT Cutter Entry'!$BN$3&amp;"*"),"",IF(COUNTIF(G210, "*"&amp;'ARDT Cutter Entry'!$BN$4&amp;"*"),"",IF(COUNTIF(G210,"*"&amp;'ARDT Cutter Entry'!$BN$5&amp;"*"),"",IF(COUNTIF(G210,"*"&amp;'ARDT Cutter Entry'!$BN$6&amp;"*"),"",IF(COUNTIF(G210,"*"&amp;'ARDT Cutter Entry'!$BN$7&amp;"*"),"",Data!BV55))))),SUBSTITUTE(SUBSTITUTE(SUBSTITUTE(SUBSTITUTE(SUBSTITUTE(SUBSTITUTE(SUBSTITUTE(SUBSTITUTE(SUBSTITUTE(G210,'ARDT Cutter Entry'!$BN$3,""),'ARDT Cutter Entry'!$BN$4,""),'ARDT Cutter Entry'!$BN$5,""),'ARDT Cutter Entry'!$BN$6,""),'ARDT Cutter Entry'!$BN$7,""),"P",""),"I",""),"V",""),"B","")&amp;Data!BV55),IF(AND(Data!BV55&lt;&gt;0,Data!BV55&lt;&gt;""),IF(G227&lt;&gt;"",G227,"O"),""))</f>
        <v/>
      </c>
      <c r="H244" s="41" t="str">
        <f>IF(H210&lt;&gt;"",IF(OR(COUNTIF(H210,"L*"),COUNTIF(H210, "X*")),SUBSTITUTE(SUBSTITUTE(SUBSTITUTE(SUBSTITUTE(H210,"P",""),"I",""),"V",""),"B","") &amp; IF(COUNTIF(H210, "*"&amp;'ARDT Cutter Entry'!$BN$3&amp;"*"),"",IF(COUNTIF(H210, "*"&amp;'ARDT Cutter Entry'!$BN$4&amp;"*"),"",IF(COUNTIF(H210,"*"&amp;'ARDT Cutter Entry'!$BN$5&amp;"*"),"",IF(COUNTIF(H210,"*"&amp;'ARDT Cutter Entry'!$BN$6&amp;"*"),"",IF(COUNTIF(H210,"*"&amp;'ARDT Cutter Entry'!$BN$7&amp;"*"),"",Data!BW55))))),SUBSTITUTE(SUBSTITUTE(SUBSTITUTE(SUBSTITUTE(SUBSTITUTE(SUBSTITUTE(SUBSTITUTE(SUBSTITUTE(SUBSTITUTE(H210,'ARDT Cutter Entry'!$BN$3,""),'ARDT Cutter Entry'!$BN$4,""),'ARDT Cutter Entry'!$BN$5,""),'ARDT Cutter Entry'!$BN$6,""),'ARDT Cutter Entry'!$BN$7,""),"P",""),"I",""),"V",""),"B","")&amp;Data!BW55),IF(AND(Data!BW55&lt;&gt;0,Data!BW55&lt;&gt;""),IF(H227&lt;&gt;"",H227,"O"),""))</f>
        <v/>
      </c>
      <c r="I244" s="41" t="str">
        <f>IF(I210&lt;&gt;"",IF(OR(COUNTIF(I210,"L*"),COUNTIF(I210, "X*")),SUBSTITUTE(SUBSTITUTE(SUBSTITUTE(SUBSTITUTE(I210,"P",""),"I",""),"V",""),"B","") &amp; IF(COUNTIF(I210, "*"&amp;'ARDT Cutter Entry'!$BN$3&amp;"*"),"",IF(COUNTIF(I210, "*"&amp;'ARDT Cutter Entry'!$BN$4&amp;"*"),"",IF(COUNTIF(I210,"*"&amp;'ARDT Cutter Entry'!$BN$5&amp;"*"),"",IF(COUNTIF(I210,"*"&amp;'ARDT Cutter Entry'!$BN$6&amp;"*"),"",IF(COUNTIF(I210,"*"&amp;'ARDT Cutter Entry'!$BN$7&amp;"*"),"",Data!BX55))))),SUBSTITUTE(SUBSTITUTE(SUBSTITUTE(SUBSTITUTE(SUBSTITUTE(SUBSTITUTE(SUBSTITUTE(SUBSTITUTE(SUBSTITUTE(I210,'ARDT Cutter Entry'!$BN$3,""),'ARDT Cutter Entry'!$BN$4,""),'ARDT Cutter Entry'!$BN$5,""),'ARDT Cutter Entry'!$BN$6,""),'ARDT Cutter Entry'!$BN$7,""),"P",""),"I",""),"V",""),"B","")&amp;Data!BX55),IF(AND(Data!BX55&lt;&gt;0,Data!BX55&lt;&gt;""),IF(I227&lt;&gt;"",I227,"O"),""))</f>
        <v/>
      </c>
      <c r="J244" s="41" t="str">
        <f>IF(J210&lt;&gt;"",IF(OR(COUNTIF(J210,"L*"),COUNTIF(J210, "X*")),SUBSTITUTE(SUBSTITUTE(SUBSTITUTE(SUBSTITUTE(J210,"P",""),"I",""),"V",""),"B","") &amp; IF(COUNTIF(J210, "*"&amp;'ARDT Cutter Entry'!$BN$3&amp;"*"),"",IF(COUNTIF(J210, "*"&amp;'ARDT Cutter Entry'!$BN$4&amp;"*"),"",IF(COUNTIF(J210,"*"&amp;'ARDT Cutter Entry'!$BN$5&amp;"*"),"",IF(COUNTIF(J210,"*"&amp;'ARDT Cutter Entry'!$BN$6&amp;"*"),"",IF(COUNTIF(J210,"*"&amp;'ARDT Cutter Entry'!$BN$7&amp;"*"),"",Data!BY55))))),SUBSTITUTE(SUBSTITUTE(SUBSTITUTE(SUBSTITUTE(SUBSTITUTE(SUBSTITUTE(SUBSTITUTE(SUBSTITUTE(SUBSTITUTE(J210,'ARDT Cutter Entry'!$BN$3,""),'ARDT Cutter Entry'!$BN$4,""),'ARDT Cutter Entry'!$BN$5,""),'ARDT Cutter Entry'!$BN$6,""),'ARDT Cutter Entry'!$BN$7,""),"P",""),"I",""),"V",""),"B","")&amp;Data!BY55),IF(AND(Data!BY55&lt;&gt;0,Data!BY55&lt;&gt;""),IF(J227&lt;&gt;"",J227,"O"),""))</f>
        <v/>
      </c>
      <c r="K244" s="41" t="str">
        <f>IF(K210&lt;&gt;"",IF(OR(COUNTIF(K210,"L*"),COUNTIF(K210, "X*")),SUBSTITUTE(SUBSTITUTE(SUBSTITUTE(SUBSTITUTE(K210,"P",""),"I",""),"V",""),"B","") &amp; IF(COUNTIF(K210, "*"&amp;'ARDT Cutter Entry'!$BN$3&amp;"*"),"",IF(COUNTIF(K210, "*"&amp;'ARDT Cutter Entry'!$BN$4&amp;"*"),"",IF(COUNTIF(K210,"*"&amp;'ARDT Cutter Entry'!$BN$5&amp;"*"),"",IF(COUNTIF(K210,"*"&amp;'ARDT Cutter Entry'!$BN$6&amp;"*"),"",IF(COUNTIF(K210,"*"&amp;'ARDT Cutter Entry'!$BN$7&amp;"*"),"",Data!BZ55))))),SUBSTITUTE(SUBSTITUTE(SUBSTITUTE(SUBSTITUTE(SUBSTITUTE(SUBSTITUTE(SUBSTITUTE(SUBSTITUTE(SUBSTITUTE(K210,'ARDT Cutter Entry'!$BN$3,""),'ARDT Cutter Entry'!$BN$4,""),'ARDT Cutter Entry'!$BN$5,""),'ARDT Cutter Entry'!$BN$6,""),'ARDT Cutter Entry'!$BN$7,""),"P",""),"I",""),"V",""),"B","")&amp;Data!BZ55),IF(AND(Data!BZ55&lt;&gt;0,Data!BZ55&lt;&gt;""),IF(K227&lt;&gt;"",K227,"O"),""))</f>
        <v/>
      </c>
      <c r="L244" s="41" t="str">
        <f>IF(L210&lt;&gt;"",IF(OR(COUNTIF(L210,"L*"),COUNTIF(L210, "X*")),SUBSTITUTE(SUBSTITUTE(SUBSTITUTE(SUBSTITUTE(L210,"P",""),"I",""),"V",""),"B","") &amp; IF(COUNTIF(L210, "*"&amp;'ARDT Cutter Entry'!$BN$3&amp;"*"),"",IF(COUNTIF(L210, "*"&amp;'ARDT Cutter Entry'!$BN$4&amp;"*"),"",IF(COUNTIF(L210,"*"&amp;'ARDT Cutter Entry'!$BN$5&amp;"*"),"",IF(COUNTIF(L210,"*"&amp;'ARDT Cutter Entry'!$BN$6&amp;"*"),"",IF(COUNTIF(L210,"*"&amp;'ARDT Cutter Entry'!$BN$7&amp;"*"),"",Data!CA55))))),SUBSTITUTE(SUBSTITUTE(SUBSTITUTE(SUBSTITUTE(SUBSTITUTE(SUBSTITUTE(SUBSTITUTE(SUBSTITUTE(SUBSTITUTE(L210,'ARDT Cutter Entry'!$BN$3,""),'ARDT Cutter Entry'!$BN$4,""),'ARDT Cutter Entry'!$BN$5,""),'ARDT Cutter Entry'!$BN$6,""),'ARDT Cutter Entry'!$BN$7,""),"P",""),"I",""),"V",""),"B","")&amp;Data!CA55),IF(AND(Data!CA55&lt;&gt;0,Data!CA55&lt;&gt;""),IF(L227&lt;&gt;"",L227,"O"),""))</f>
        <v/>
      </c>
      <c r="M244" s="41" t="str">
        <f>IF(M210&lt;&gt;"",IF(OR(COUNTIF(M210,"L*"),COUNTIF(M210, "X*")),SUBSTITUTE(SUBSTITUTE(SUBSTITUTE(SUBSTITUTE(M210,"P",""),"I",""),"V",""),"B","") &amp; IF(COUNTIF(M210, "*"&amp;'ARDT Cutter Entry'!$BN$3&amp;"*"),"",IF(COUNTIF(M210, "*"&amp;'ARDT Cutter Entry'!$BN$4&amp;"*"),"",IF(COUNTIF(M210,"*"&amp;'ARDT Cutter Entry'!$BN$5&amp;"*"),"",IF(COUNTIF(M210,"*"&amp;'ARDT Cutter Entry'!$BN$6&amp;"*"),"",IF(COUNTIF(M210,"*"&amp;'ARDT Cutter Entry'!$BN$7&amp;"*"),"",Data!CB55))))),SUBSTITUTE(SUBSTITUTE(SUBSTITUTE(SUBSTITUTE(SUBSTITUTE(SUBSTITUTE(SUBSTITUTE(SUBSTITUTE(SUBSTITUTE(M210,'ARDT Cutter Entry'!$BN$3,""),'ARDT Cutter Entry'!$BN$4,""),'ARDT Cutter Entry'!$BN$5,""),'ARDT Cutter Entry'!$BN$6,""),'ARDT Cutter Entry'!$BN$7,""),"P",""),"I",""),"V",""),"B","")&amp;Data!CB55),IF(AND(Data!CB55&lt;&gt;0,Data!CB55&lt;&gt;""),IF(M227&lt;&gt;"",M227,"O"),""))</f>
        <v/>
      </c>
      <c r="N244" s="41" t="str">
        <f>IF(N210&lt;&gt;"",IF(OR(COUNTIF(N210,"L*"),COUNTIF(N210, "X*")),SUBSTITUTE(SUBSTITUTE(SUBSTITUTE(SUBSTITUTE(N210,"P",""),"I",""),"V",""),"B","") &amp; IF(COUNTIF(N210, "*"&amp;'ARDT Cutter Entry'!$BN$3&amp;"*"),"",IF(COUNTIF(N210, "*"&amp;'ARDT Cutter Entry'!$BN$4&amp;"*"),"",IF(COUNTIF(N210,"*"&amp;'ARDT Cutter Entry'!$BN$5&amp;"*"),"",IF(COUNTIF(N210,"*"&amp;'ARDT Cutter Entry'!$BN$6&amp;"*"),"",IF(COUNTIF(N210,"*"&amp;'ARDT Cutter Entry'!$BN$7&amp;"*"),"",Data!CC55))))),SUBSTITUTE(SUBSTITUTE(SUBSTITUTE(SUBSTITUTE(SUBSTITUTE(SUBSTITUTE(SUBSTITUTE(SUBSTITUTE(SUBSTITUTE(N210,'ARDT Cutter Entry'!$BN$3,""),'ARDT Cutter Entry'!$BN$4,""),'ARDT Cutter Entry'!$BN$5,""),'ARDT Cutter Entry'!$BN$6,""),'ARDT Cutter Entry'!$BN$7,""),"P",""),"I",""),"V",""),"B","")&amp;Data!CC55),IF(AND(Data!CC55&lt;&gt;0,Data!CC55&lt;&gt;""),IF(N227&lt;&gt;"",N227,"O"),""))</f>
        <v/>
      </c>
      <c r="O244" s="41" t="str">
        <f>IF(O210&lt;&gt;"",IF(OR(COUNTIF(O210,"L*"),COUNTIF(O210, "X*")),SUBSTITUTE(SUBSTITUTE(SUBSTITUTE(SUBSTITUTE(O210,"P",""),"I",""),"V",""),"B","") &amp; IF(COUNTIF(O210, "*"&amp;'ARDT Cutter Entry'!$BN$3&amp;"*"),"",IF(COUNTIF(O210, "*"&amp;'ARDT Cutter Entry'!$BN$4&amp;"*"),"",IF(COUNTIF(O210,"*"&amp;'ARDT Cutter Entry'!$BN$5&amp;"*"),"",IF(COUNTIF(O210,"*"&amp;'ARDT Cutter Entry'!$BN$6&amp;"*"),"",IF(COUNTIF(O210,"*"&amp;'ARDT Cutter Entry'!$BN$7&amp;"*"),"",Data!CD55))))),SUBSTITUTE(SUBSTITUTE(SUBSTITUTE(SUBSTITUTE(SUBSTITUTE(SUBSTITUTE(SUBSTITUTE(SUBSTITUTE(SUBSTITUTE(O210,'ARDT Cutter Entry'!$BN$3,""),'ARDT Cutter Entry'!$BN$4,""),'ARDT Cutter Entry'!$BN$5,""),'ARDT Cutter Entry'!$BN$6,""),'ARDT Cutter Entry'!$BN$7,""),"P",""),"I",""),"V",""),"B","")&amp;Data!CD55),IF(AND(Data!CD55&lt;&gt;0,Data!CD55&lt;&gt;""),IF(O227&lt;&gt;"",O227,"O"),""))</f>
        <v/>
      </c>
      <c r="P244" s="41" t="str">
        <f>IF(P210&lt;&gt;"",IF(OR(COUNTIF(P210,"L*"),COUNTIF(P210, "X*")),SUBSTITUTE(SUBSTITUTE(SUBSTITUTE(SUBSTITUTE(P210,"P",""),"I",""),"V",""),"B","") &amp; IF(COUNTIF(P210, "*"&amp;'ARDT Cutter Entry'!$BN$3&amp;"*"),"",IF(COUNTIF(P210, "*"&amp;'ARDT Cutter Entry'!$BN$4&amp;"*"),"",IF(COUNTIF(P210,"*"&amp;'ARDT Cutter Entry'!$BN$5&amp;"*"),"",IF(COUNTIF(P210,"*"&amp;'ARDT Cutter Entry'!$BN$6&amp;"*"),"",IF(COUNTIF(P210,"*"&amp;'ARDT Cutter Entry'!$BN$7&amp;"*"),"",Data!CE55))))),SUBSTITUTE(SUBSTITUTE(SUBSTITUTE(SUBSTITUTE(SUBSTITUTE(SUBSTITUTE(SUBSTITUTE(SUBSTITUTE(SUBSTITUTE(P210,'ARDT Cutter Entry'!$BN$3,""),'ARDT Cutter Entry'!$BN$4,""),'ARDT Cutter Entry'!$BN$5,""),'ARDT Cutter Entry'!$BN$6,""),'ARDT Cutter Entry'!$BN$7,""),"P",""),"I",""),"V",""),"B","")&amp;Data!CE55),IF(AND(Data!CE55&lt;&gt;0,Data!CE55&lt;&gt;""),IF(P227&lt;&gt;"",P227,"O"),""))</f>
        <v/>
      </c>
      <c r="Q244" s="41" t="str">
        <f>IF(Q210&lt;&gt;"",IF(OR(COUNTIF(Q210,"L*"),COUNTIF(Q210, "X*")),SUBSTITUTE(SUBSTITUTE(SUBSTITUTE(SUBSTITUTE(Q210,"P",""),"I",""),"V",""),"B","") &amp; IF(COUNTIF(Q210, "*"&amp;'ARDT Cutter Entry'!$BN$3&amp;"*"),"",IF(COUNTIF(Q210, "*"&amp;'ARDT Cutter Entry'!$BN$4&amp;"*"),"",IF(COUNTIF(Q210,"*"&amp;'ARDT Cutter Entry'!$BN$5&amp;"*"),"",IF(COUNTIF(Q210,"*"&amp;'ARDT Cutter Entry'!$BN$6&amp;"*"),"",IF(COUNTIF(Q210,"*"&amp;'ARDT Cutter Entry'!$BN$7&amp;"*"),"",Data!CF55))))),SUBSTITUTE(SUBSTITUTE(SUBSTITUTE(SUBSTITUTE(SUBSTITUTE(SUBSTITUTE(SUBSTITUTE(SUBSTITUTE(SUBSTITUTE(Q210,'ARDT Cutter Entry'!$BN$3,""),'ARDT Cutter Entry'!$BN$4,""),'ARDT Cutter Entry'!$BN$5,""),'ARDT Cutter Entry'!$BN$6,""),'ARDT Cutter Entry'!$BN$7,""),"P",""),"I",""),"V",""),"B","")&amp;Data!CF55),IF(AND(Data!CF55&lt;&gt;0,Data!CF55&lt;&gt;""),IF(Q227&lt;&gt;"",Q227,"O"),""))</f>
        <v/>
      </c>
      <c r="R244" s="41" t="str">
        <f>IF(R210&lt;&gt;"",IF(OR(COUNTIF(R210,"L*"),COUNTIF(R210, "X*")),SUBSTITUTE(SUBSTITUTE(SUBSTITUTE(SUBSTITUTE(R210,"P",""),"I",""),"V",""),"B","") &amp; IF(COUNTIF(R210, "*"&amp;'ARDT Cutter Entry'!$BN$3&amp;"*"),"",IF(COUNTIF(R210, "*"&amp;'ARDT Cutter Entry'!$BN$4&amp;"*"),"",IF(COUNTIF(R210,"*"&amp;'ARDT Cutter Entry'!$BN$5&amp;"*"),"",IF(COUNTIF(R210,"*"&amp;'ARDT Cutter Entry'!$BN$6&amp;"*"),"",IF(COUNTIF(R210,"*"&amp;'ARDT Cutter Entry'!$BN$7&amp;"*"),"",Data!CG55))))),SUBSTITUTE(SUBSTITUTE(SUBSTITUTE(SUBSTITUTE(SUBSTITUTE(SUBSTITUTE(SUBSTITUTE(SUBSTITUTE(SUBSTITUTE(R210,'ARDT Cutter Entry'!$BN$3,""),'ARDT Cutter Entry'!$BN$4,""),'ARDT Cutter Entry'!$BN$5,""),'ARDT Cutter Entry'!$BN$6,""),'ARDT Cutter Entry'!$BN$7,""),"P",""),"I",""),"V",""),"B","")&amp;Data!CG55),IF(AND(Data!CG55&lt;&gt;0,Data!CG55&lt;&gt;""),IF(R227&lt;&gt;"",R227,"O"),""))</f>
        <v/>
      </c>
      <c r="S244" s="41" t="str">
        <f>IF(S210&lt;&gt;"",IF(OR(COUNTIF(S210,"L*"),COUNTIF(S210, "X*")),SUBSTITUTE(SUBSTITUTE(SUBSTITUTE(SUBSTITUTE(S210,"P",""),"I",""),"V",""),"B","") &amp; IF(COUNTIF(S210, "*"&amp;'ARDT Cutter Entry'!$BN$3&amp;"*"),"",IF(COUNTIF(S210, "*"&amp;'ARDT Cutter Entry'!$BN$4&amp;"*"),"",IF(COUNTIF(S210,"*"&amp;'ARDT Cutter Entry'!$BN$5&amp;"*"),"",IF(COUNTIF(S210,"*"&amp;'ARDT Cutter Entry'!$BN$6&amp;"*"),"",IF(COUNTIF(S210,"*"&amp;'ARDT Cutter Entry'!$BN$7&amp;"*"),"",Data!CH55))))),SUBSTITUTE(SUBSTITUTE(SUBSTITUTE(SUBSTITUTE(SUBSTITUTE(SUBSTITUTE(SUBSTITUTE(SUBSTITUTE(SUBSTITUTE(S210,'ARDT Cutter Entry'!$BN$3,""),'ARDT Cutter Entry'!$BN$4,""),'ARDT Cutter Entry'!$BN$5,""),'ARDT Cutter Entry'!$BN$6,""),'ARDT Cutter Entry'!$BN$7,""),"P",""),"I",""),"V",""),"B","")&amp;Data!CH55),IF(AND(Data!CH55&lt;&gt;0,Data!CH55&lt;&gt;""),IF(S227&lt;&gt;"",S227,"O"),""))</f>
        <v/>
      </c>
      <c r="T244" s="41" t="str">
        <f>IF(T210&lt;&gt;"",IF(OR(COUNTIF(T210,"L*"),COUNTIF(T210, "X*")),SUBSTITUTE(SUBSTITUTE(SUBSTITUTE(SUBSTITUTE(T210,"P",""),"I",""),"V",""),"B","") &amp; IF(COUNTIF(T210, "*"&amp;'ARDT Cutter Entry'!$BN$3&amp;"*"),"",IF(COUNTIF(T210, "*"&amp;'ARDT Cutter Entry'!$BN$4&amp;"*"),"",IF(COUNTIF(T210,"*"&amp;'ARDT Cutter Entry'!$BN$5&amp;"*"),"",IF(COUNTIF(T210,"*"&amp;'ARDT Cutter Entry'!$BN$6&amp;"*"),"",IF(COUNTIF(T210,"*"&amp;'ARDT Cutter Entry'!$BN$7&amp;"*"),"",Data!CI55))))),SUBSTITUTE(SUBSTITUTE(SUBSTITUTE(SUBSTITUTE(SUBSTITUTE(SUBSTITUTE(SUBSTITUTE(SUBSTITUTE(SUBSTITUTE(T210,'ARDT Cutter Entry'!$BN$3,""),'ARDT Cutter Entry'!$BN$4,""),'ARDT Cutter Entry'!$BN$5,""),'ARDT Cutter Entry'!$BN$6,""),'ARDT Cutter Entry'!$BN$7,""),"P",""),"I",""),"V",""),"B","")&amp;Data!CI55),IF(AND(Data!CI55&lt;&gt;0,Data!CI55&lt;&gt;""),IF(T227&lt;&gt;"",T227,"O"),""))</f>
        <v/>
      </c>
      <c r="U244" s="41" t="str">
        <f>IF(U210&lt;&gt;"",IF(OR(COUNTIF(U210,"L*"),COUNTIF(U210, "X*")),SUBSTITUTE(SUBSTITUTE(SUBSTITUTE(SUBSTITUTE(U210,"P",""),"I",""),"V",""),"B","") &amp; IF(COUNTIF(U210, "*"&amp;'ARDT Cutter Entry'!$BN$3&amp;"*"),"",IF(COUNTIF(U210, "*"&amp;'ARDT Cutter Entry'!$BN$4&amp;"*"),"",IF(COUNTIF(U210,"*"&amp;'ARDT Cutter Entry'!$BN$5&amp;"*"),"",IF(COUNTIF(U210,"*"&amp;'ARDT Cutter Entry'!$BN$6&amp;"*"),"",IF(COUNTIF(U210,"*"&amp;'ARDT Cutter Entry'!$BN$7&amp;"*"),"",Data!CJ55))))),SUBSTITUTE(SUBSTITUTE(SUBSTITUTE(SUBSTITUTE(SUBSTITUTE(SUBSTITUTE(SUBSTITUTE(SUBSTITUTE(SUBSTITUTE(U210,'ARDT Cutter Entry'!$BN$3,""),'ARDT Cutter Entry'!$BN$4,""),'ARDT Cutter Entry'!$BN$5,""),'ARDT Cutter Entry'!$BN$6,""),'ARDT Cutter Entry'!$BN$7,""),"P",""),"I",""),"V",""),"B","")&amp;Data!CJ55),IF(AND(Data!CJ55&lt;&gt;0,Data!CJ55&lt;&gt;""),IF(U227&lt;&gt;"",U227,"O"),""))</f>
        <v/>
      </c>
      <c r="V244" s="41" t="str">
        <f>IF(V210&lt;&gt;"",IF(OR(COUNTIF(V210,"L*"),COUNTIF(V210, "X*")),SUBSTITUTE(SUBSTITUTE(SUBSTITUTE(SUBSTITUTE(V210,"P",""),"I",""),"V",""),"B","") &amp; IF(COUNTIF(V210, "*"&amp;'ARDT Cutter Entry'!$BN$3&amp;"*"),"",IF(COUNTIF(V210, "*"&amp;'ARDT Cutter Entry'!$BN$4&amp;"*"),"",IF(COUNTIF(V210,"*"&amp;'ARDT Cutter Entry'!$BN$5&amp;"*"),"",IF(COUNTIF(V210,"*"&amp;'ARDT Cutter Entry'!$BN$6&amp;"*"),"",IF(COUNTIF(V210,"*"&amp;'ARDT Cutter Entry'!$BN$7&amp;"*"),"",Data!CK55))))),SUBSTITUTE(SUBSTITUTE(SUBSTITUTE(SUBSTITUTE(SUBSTITUTE(SUBSTITUTE(SUBSTITUTE(SUBSTITUTE(SUBSTITUTE(V210,'ARDT Cutter Entry'!$BN$3,""),'ARDT Cutter Entry'!$BN$4,""),'ARDT Cutter Entry'!$BN$5,""),'ARDT Cutter Entry'!$BN$6,""),'ARDT Cutter Entry'!$BN$7,""),"P",""),"I",""),"V",""),"B","")&amp;Data!CK55),IF(AND(Data!CK55&lt;&gt;0,Data!CK55&lt;&gt;""),IF(V227&lt;&gt;"",V227,"O"),""))</f>
        <v/>
      </c>
      <c r="W244" s="41" t="str">
        <f>IF(W210&lt;&gt;"",IF(OR(COUNTIF(W210,"L*"),COUNTIF(W210, "X*")),SUBSTITUTE(SUBSTITUTE(SUBSTITUTE(SUBSTITUTE(W210,"P",""),"I",""),"V",""),"B","") &amp; IF(COUNTIF(W210, "*"&amp;'ARDT Cutter Entry'!$BN$3&amp;"*"),"",IF(COUNTIF(W210, "*"&amp;'ARDT Cutter Entry'!$BN$4&amp;"*"),"",IF(COUNTIF(W210,"*"&amp;'ARDT Cutter Entry'!$BN$5&amp;"*"),"",IF(COUNTIF(W210,"*"&amp;'ARDT Cutter Entry'!$BN$6&amp;"*"),"",IF(COUNTIF(W210,"*"&amp;'ARDT Cutter Entry'!$BN$7&amp;"*"),"",Data!CL55))))),SUBSTITUTE(SUBSTITUTE(SUBSTITUTE(SUBSTITUTE(SUBSTITUTE(SUBSTITUTE(SUBSTITUTE(SUBSTITUTE(SUBSTITUTE(W210,'ARDT Cutter Entry'!$BN$3,""),'ARDT Cutter Entry'!$BN$4,""),'ARDT Cutter Entry'!$BN$5,""),'ARDT Cutter Entry'!$BN$6,""),'ARDT Cutter Entry'!$BN$7,""),"P",""),"I",""),"V",""),"B","")&amp;Data!CL55),IF(AND(Data!CL55&lt;&gt;0,Data!CL55&lt;&gt;""),IF(W227&lt;&gt;"",W227,"O"),""))</f>
        <v/>
      </c>
      <c r="X244" s="41" t="str">
        <f>IF(X210&lt;&gt;"",IF(OR(COUNTIF(X210,"L*"),COUNTIF(X210, "X*")),SUBSTITUTE(SUBSTITUTE(SUBSTITUTE(SUBSTITUTE(X210,"P",""),"I",""),"V",""),"B","") &amp; IF(COUNTIF(X210, "*"&amp;'ARDT Cutter Entry'!$BN$3&amp;"*"),"",IF(COUNTIF(X210, "*"&amp;'ARDT Cutter Entry'!$BN$4&amp;"*"),"",IF(COUNTIF(X210,"*"&amp;'ARDT Cutter Entry'!$BN$5&amp;"*"),"",IF(COUNTIF(X210,"*"&amp;'ARDT Cutter Entry'!$BN$6&amp;"*"),"",IF(COUNTIF(X210,"*"&amp;'ARDT Cutter Entry'!$BN$7&amp;"*"),"",Data!CM55))))),SUBSTITUTE(SUBSTITUTE(SUBSTITUTE(SUBSTITUTE(SUBSTITUTE(SUBSTITUTE(SUBSTITUTE(SUBSTITUTE(SUBSTITUTE(X210,'ARDT Cutter Entry'!$BN$3,""),'ARDT Cutter Entry'!$BN$4,""),'ARDT Cutter Entry'!$BN$5,""),'ARDT Cutter Entry'!$BN$6,""),'ARDT Cutter Entry'!$BN$7,""),"P",""),"I",""),"V",""),"B","")&amp;Data!CM55),IF(AND(Data!CM55&lt;&gt;0,Data!CM55&lt;&gt;""),IF(X227&lt;&gt;"",X227,"O"),""))</f>
        <v/>
      </c>
      <c r="Y244" s="41" t="str">
        <f>IF(Y210&lt;&gt;"",IF(OR(COUNTIF(Y210,"L*"),COUNTIF(Y210, "X*")),SUBSTITUTE(SUBSTITUTE(SUBSTITUTE(SUBSTITUTE(Y210,"P",""),"I",""),"V",""),"B","") &amp; IF(COUNTIF(Y210, "*"&amp;'ARDT Cutter Entry'!$BN$3&amp;"*"),"",IF(COUNTIF(Y210, "*"&amp;'ARDT Cutter Entry'!$BN$4&amp;"*"),"",IF(COUNTIF(Y210,"*"&amp;'ARDT Cutter Entry'!$BN$5&amp;"*"),"",IF(COUNTIF(Y210,"*"&amp;'ARDT Cutter Entry'!$BN$6&amp;"*"),"",IF(COUNTIF(Y210,"*"&amp;'ARDT Cutter Entry'!$BN$7&amp;"*"),"",Data!CN55))))),SUBSTITUTE(SUBSTITUTE(SUBSTITUTE(SUBSTITUTE(SUBSTITUTE(SUBSTITUTE(SUBSTITUTE(SUBSTITUTE(SUBSTITUTE(Y210,'ARDT Cutter Entry'!$BN$3,""),'ARDT Cutter Entry'!$BN$4,""),'ARDT Cutter Entry'!$BN$5,""),'ARDT Cutter Entry'!$BN$6,""),'ARDT Cutter Entry'!$BN$7,""),"P",""),"I",""),"V",""),"B","")&amp;Data!CN55),IF(AND(Data!CN55&lt;&gt;0,Data!CN55&lt;&gt;""),IF(Y227&lt;&gt;"",Y227,"O"),""))</f>
        <v/>
      </c>
      <c r="Z244" s="41" t="str">
        <f>IF(Z210&lt;&gt;"",IF(OR(COUNTIF(Z210,"L*"),COUNTIF(Z210, "X*")),SUBSTITUTE(SUBSTITUTE(SUBSTITUTE(SUBSTITUTE(Z210,"P",""),"I",""),"V",""),"B","") &amp; IF(COUNTIF(Z210, "*"&amp;'ARDT Cutter Entry'!$BN$3&amp;"*"),"",IF(COUNTIF(Z210, "*"&amp;'ARDT Cutter Entry'!$BN$4&amp;"*"),"",IF(COUNTIF(Z210,"*"&amp;'ARDT Cutter Entry'!$BN$5&amp;"*"),"",IF(COUNTIF(Z210,"*"&amp;'ARDT Cutter Entry'!$BN$6&amp;"*"),"",IF(COUNTIF(Z210,"*"&amp;'ARDT Cutter Entry'!$BN$7&amp;"*"),"",Data!CO55))))),SUBSTITUTE(SUBSTITUTE(SUBSTITUTE(SUBSTITUTE(SUBSTITUTE(SUBSTITUTE(SUBSTITUTE(SUBSTITUTE(SUBSTITUTE(Z210,'ARDT Cutter Entry'!$BN$3,""),'ARDT Cutter Entry'!$BN$4,""),'ARDT Cutter Entry'!$BN$5,""),'ARDT Cutter Entry'!$BN$6,""),'ARDT Cutter Entry'!$BN$7,""),"P",""),"I",""),"V",""),"B","")&amp;Data!CO55),IF(AND(Data!CO55&lt;&gt;0,Data!CO55&lt;&gt;""),IF(Z227&lt;&gt;"",Z227,"O"),""))</f>
        <v/>
      </c>
      <c r="AA244" s="41" t="str">
        <f>IF(AA210&lt;&gt;"",IF(OR(COUNTIF(AA210,"L*"),COUNTIF(AA210, "X*")),SUBSTITUTE(SUBSTITUTE(SUBSTITUTE(SUBSTITUTE(AA210,"P",""),"I",""),"V",""),"B","") &amp; IF(COUNTIF(AA210, "*"&amp;'ARDT Cutter Entry'!$BN$3&amp;"*"),"",IF(COUNTIF(AA210, "*"&amp;'ARDT Cutter Entry'!$BN$4&amp;"*"),"",IF(COUNTIF(AA210,"*"&amp;'ARDT Cutter Entry'!$BN$5&amp;"*"),"",IF(COUNTIF(AA210,"*"&amp;'ARDT Cutter Entry'!$BN$6&amp;"*"),"",IF(COUNTIF(AA210,"*"&amp;'ARDT Cutter Entry'!$BN$7&amp;"*"),"",Data!CP55))))),SUBSTITUTE(SUBSTITUTE(SUBSTITUTE(SUBSTITUTE(SUBSTITUTE(SUBSTITUTE(SUBSTITUTE(SUBSTITUTE(SUBSTITUTE(AA210,'ARDT Cutter Entry'!$BN$3,""),'ARDT Cutter Entry'!$BN$4,""),'ARDT Cutter Entry'!$BN$5,""),'ARDT Cutter Entry'!$BN$6,""),'ARDT Cutter Entry'!$BN$7,""),"P",""),"I",""),"V",""),"B","")&amp;Data!CP55),IF(AND(Data!CP55&lt;&gt;0,Data!CP55&lt;&gt;""),IF(AA227&lt;&gt;"",AA227,"O"),""))</f>
        <v/>
      </c>
      <c r="AB244" s="41" t="str">
        <f>IF(AB210&lt;&gt;"",IF(OR(COUNTIF(AB210,"L*"),COUNTIF(AB210, "X*")),SUBSTITUTE(SUBSTITUTE(SUBSTITUTE(SUBSTITUTE(AB210,"P",""),"I",""),"V",""),"B","") &amp; IF(COUNTIF(AB210, "*"&amp;'ARDT Cutter Entry'!$BN$3&amp;"*"),"",IF(COUNTIF(AB210, "*"&amp;'ARDT Cutter Entry'!$BN$4&amp;"*"),"",IF(COUNTIF(AB210,"*"&amp;'ARDT Cutter Entry'!$BN$5&amp;"*"),"",IF(COUNTIF(AB210,"*"&amp;'ARDT Cutter Entry'!$BN$6&amp;"*"),"",IF(COUNTIF(AB210,"*"&amp;'ARDT Cutter Entry'!$BN$7&amp;"*"),"",Data!CQ55))))),SUBSTITUTE(SUBSTITUTE(SUBSTITUTE(SUBSTITUTE(SUBSTITUTE(SUBSTITUTE(SUBSTITUTE(SUBSTITUTE(SUBSTITUTE(AB210,'ARDT Cutter Entry'!$BN$3,""),'ARDT Cutter Entry'!$BN$4,""),'ARDT Cutter Entry'!$BN$5,""),'ARDT Cutter Entry'!$BN$6,""),'ARDT Cutter Entry'!$BN$7,""),"P",""),"I",""),"V",""),"B","")&amp;Data!CQ55),IF(AND(Data!CQ55&lt;&gt;0,Data!CQ55&lt;&gt;""),IF(AB227&lt;&gt;"",AB227,"O"),""))</f>
        <v/>
      </c>
      <c r="AC244" s="41" t="str">
        <f>IF(AC210&lt;&gt;"",IF(OR(COUNTIF(AC210,"L*"),COUNTIF(AC210, "X*")),SUBSTITUTE(SUBSTITUTE(SUBSTITUTE(SUBSTITUTE(AC210,"P",""),"I",""),"V",""),"B","") &amp; IF(COUNTIF(AC210, "*"&amp;'ARDT Cutter Entry'!$BN$3&amp;"*"),"",IF(COUNTIF(AC210, "*"&amp;'ARDT Cutter Entry'!$BN$4&amp;"*"),"",IF(COUNTIF(AC210,"*"&amp;'ARDT Cutter Entry'!$BN$5&amp;"*"),"",IF(COUNTIF(AC210,"*"&amp;'ARDT Cutter Entry'!$BN$6&amp;"*"),"",IF(COUNTIF(AC210,"*"&amp;'ARDT Cutter Entry'!$BN$7&amp;"*"),"",Data!CR55))))),SUBSTITUTE(SUBSTITUTE(SUBSTITUTE(SUBSTITUTE(SUBSTITUTE(SUBSTITUTE(SUBSTITUTE(SUBSTITUTE(SUBSTITUTE(AC210,'ARDT Cutter Entry'!$BN$3,""),'ARDT Cutter Entry'!$BN$4,""),'ARDT Cutter Entry'!$BN$5,""),'ARDT Cutter Entry'!$BN$6,""),'ARDT Cutter Entry'!$BN$7,""),"P",""),"I",""),"V",""),"B","")&amp;Data!CR55),IF(AND(Data!CR55&lt;&gt;0,Data!CR55&lt;&gt;""),IF(AC227&lt;&gt;"",AC227,"O"),""))</f>
        <v/>
      </c>
      <c r="AD244" s="41" t="str">
        <f>IF(AD210&lt;&gt;"",IF(OR(COUNTIF(AD210,"L*"),COUNTIF(AD210, "X*")),SUBSTITUTE(SUBSTITUTE(SUBSTITUTE(SUBSTITUTE(AD210,"P",""),"I",""),"V",""),"B","") &amp; IF(COUNTIF(AD210, "*"&amp;'ARDT Cutter Entry'!$BN$3&amp;"*"),"",IF(COUNTIF(AD210, "*"&amp;'ARDT Cutter Entry'!$BN$4&amp;"*"),"",IF(COUNTIF(AD210,"*"&amp;'ARDT Cutter Entry'!$BN$5&amp;"*"),"",IF(COUNTIF(AD210,"*"&amp;'ARDT Cutter Entry'!$BN$6&amp;"*"),"",IF(COUNTIF(AD210,"*"&amp;'ARDT Cutter Entry'!$BN$7&amp;"*"),"",Data!CS55))))),SUBSTITUTE(SUBSTITUTE(SUBSTITUTE(SUBSTITUTE(SUBSTITUTE(SUBSTITUTE(SUBSTITUTE(SUBSTITUTE(SUBSTITUTE(AD210,'ARDT Cutter Entry'!$BN$3,""),'ARDT Cutter Entry'!$BN$4,""),'ARDT Cutter Entry'!$BN$5,""),'ARDT Cutter Entry'!$BN$6,""),'ARDT Cutter Entry'!$BN$7,""),"P",""),"I",""),"V",""),"B","")&amp;Data!CS55),IF(AND(Data!CS55&lt;&gt;0,Data!CS55&lt;&gt;""),IF(AD227&lt;&gt;"",AD227,"O"),""))</f>
        <v/>
      </c>
      <c r="AE244" s="41" t="str">
        <f>IF(AE210&lt;&gt;"",IF(OR(COUNTIF(AE210,"L*"),COUNTIF(AE210, "X*")),SUBSTITUTE(SUBSTITUTE(SUBSTITUTE(SUBSTITUTE(AE210,"P",""),"I",""),"V",""),"B","") &amp; IF(COUNTIF(AE210, "*"&amp;'ARDT Cutter Entry'!$BN$3&amp;"*"),"",IF(COUNTIF(AE210, "*"&amp;'ARDT Cutter Entry'!$BN$4&amp;"*"),"",IF(COUNTIF(AE210,"*"&amp;'ARDT Cutter Entry'!$BN$5&amp;"*"),"",IF(COUNTIF(AE210,"*"&amp;'ARDT Cutter Entry'!$BN$6&amp;"*"),"",IF(COUNTIF(AE210,"*"&amp;'ARDT Cutter Entry'!$BN$7&amp;"*"),"",Data!CT55))))),SUBSTITUTE(SUBSTITUTE(SUBSTITUTE(SUBSTITUTE(SUBSTITUTE(SUBSTITUTE(SUBSTITUTE(SUBSTITUTE(SUBSTITUTE(AE210,'ARDT Cutter Entry'!$BN$3,""),'ARDT Cutter Entry'!$BN$4,""),'ARDT Cutter Entry'!$BN$5,""),'ARDT Cutter Entry'!$BN$6,""),'ARDT Cutter Entry'!$BN$7,""),"P",""),"I",""),"V",""),"B","")&amp;Data!CT55),IF(AND(Data!CT55&lt;&gt;0,Data!CT55&lt;&gt;""),IF(AE227&lt;&gt;"",AE227,"O"),""))</f>
        <v/>
      </c>
      <c r="AF244" s="41" t="str">
        <f>IF(AF210&lt;&gt;"",IF(OR(COUNTIF(AF210,"L*"),COUNTIF(AF210, "X*")),SUBSTITUTE(SUBSTITUTE(SUBSTITUTE(SUBSTITUTE(AF210,"P",""),"I",""),"V",""),"B","") &amp; IF(COUNTIF(AF210, "*"&amp;'ARDT Cutter Entry'!$BN$3&amp;"*"),"",IF(COUNTIF(AF210, "*"&amp;'ARDT Cutter Entry'!$BN$4&amp;"*"),"",IF(COUNTIF(AF210,"*"&amp;'ARDT Cutter Entry'!$BN$5&amp;"*"),"",IF(COUNTIF(AF210,"*"&amp;'ARDT Cutter Entry'!$BN$6&amp;"*"),"",IF(COUNTIF(AF210,"*"&amp;'ARDT Cutter Entry'!$BN$7&amp;"*"),"",Data!CU55))))),SUBSTITUTE(SUBSTITUTE(SUBSTITUTE(SUBSTITUTE(SUBSTITUTE(SUBSTITUTE(SUBSTITUTE(SUBSTITUTE(SUBSTITUTE(AF210,'ARDT Cutter Entry'!$BN$3,""),'ARDT Cutter Entry'!$BN$4,""),'ARDT Cutter Entry'!$BN$5,""),'ARDT Cutter Entry'!$BN$6,""),'ARDT Cutter Entry'!$BN$7,""),"P",""),"I",""),"V",""),"B","")&amp;Data!CU55),IF(AND(Data!CU55&lt;&gt;0,Data!CU55&lt;&gt;""),IF(AF227&lt;&gt;"",AF227,"O"),""))</f>
        <v/>
      </c>
      <c r="AG244" s="41" t="str">
        <f>IF(AG210&lt;&gt;"",IF(OR(COUNTIF(AG210,"L*"),COUNTIF(AG210, "X*")),SUBSTITUTE(SUBSTITUTE(SUBSTITUTE(SUBSTITUTE(AG210,"P",""),"I",""),"V",""),"B","") &amp; IF(COUNTIF(AG210, "*"&amp;'ARDT Cutter Entry'!$BN$3&amp;"*"),"",IF(COUNTIF(AG210, "*"&amp;'ARDT Cutter Entry'!$BN$4&amp;"*"),"",IF(COUNTIF(AG210,"*"&amp;'ARDT Cutter Entry'!$BN$5&amp;"*"),"",IF(COUNTIF(AG210,"*"&amp;'ARDT Cutter Entry'!$BN$6&amp;"*"),"",IF(COUNTIF(AG210,"*"&amp;'ARDT Cutter Entry'!$BN$7&amp;"*"),"",Data!CV55))))),SUBSTITUTE(SUBSTITUTE(SUBSTITUTE(SUBSTITUTE(SUBSTITUTE(SUBSTITUTE(SUBSTITUTE(SUBSTITUTE(SUBSTITUTE(AG210,'ARDT Cutter Entry'!$BN$3,""),'ARDT Cutter Entry'!$BN$4,""),'ARDT Cutter Entry'!$BN$5,""),'ARDT Cutter Entry'!$BN$6,""),'ARDT Cutter Entry'!$BN$7,""),"P",""),"I",""),"V",""),"B","")&amp;Data!CV55),IF(AND(Data!CV55&lt;&gt;0,Data!CV55&lt;&gt;""),IF(AG227&lt;&gt;"",AG227,"O"),""))</f>
        <v/>
      </c>
      <c r="AH244" s="41" t="str">
        <f>IF(AH210&lt;&gt;"",IF(OR(COUNTIF(AH210,"L*"),COUNTIF(AH210, "X*")),SUBSTITUTE(SUBSTITUTE(SUBSTITUTE(SUBSTITUTE(AH210,"P",""),"I",""),"V",""),"B","") &amp; IF(COUNTIF(AH210, "*"&amp;'ARDT Cutter Entry'!$BN$3&amp;"*"),"",IF(COUNTIF(AH210, "*"&amp;'ARDT Cutter Entry'!$BN$4&amp;"*"),"",IF(COUNTIF(AH210,"*"&amp;'ARDT Cutter Entry'!$BN$5&amp;"*"),"",IF(COUNTIF(AH210,"*"&amp;'ARDT Cutter Entry'!$BN$6&amp;"*"),"",IF(COUNTIF(AH210,"*"&amp;'ARDT Cutter Entry'!$BN$7&amp;"*"),"",Data!CW55))))),SUBSTITUTE(SUBSTITUTE(SUBSTITUTE(SUBSTITUTE(SUBSTITUTE(SUBSTITUTE(SUBSTITUTE(SUBSTITUTE(SUBSTITUTE(AH210,'ARDT Cutter Entry'!$BN$3,""),'ARDT Cutter Entry'!$BN$4,""),'ARDT Cutter Entry'!$BN$5,""),'ARDT Cutter Entry'!$BN$6,""),'ARDT Cutter Entry'!$BN$7,""),"P",""),"I",""),"V",""),"B","")&amp;Data!CW55),IF(AND(Data!CW55&lt;&gt;0,Data!CW55&lt;&gt;""),IF(AH227&lt;&gt;"",AH227,"O"),""))</f>
        <v/>
      </c>
      <c r="AI244" s="41" t="str">
        <f>IF(AI210&lt;&gt;"",IF(OR(COUNTIF(AI210,"L*"),COUNTIF(AI210, "X*")),SUBSTITUTE(SUBSTITUTE(SUBSTITUTE(SUBSTITUTE(AI210,"P",""),"I",""),"V",""),"B","") &amp; IF(COUNTIF(AI210, "*"&amp;'ARDT Cutter Entry'!$BN$3&amp;"*"),"",IF(COUNTIF(AI210, "*"&amp;'ARDT Cutter Entry'!$BN$4&amp;"*"),"",IF(COUNTIF(AI210,"*"&amp;'ARDT Cutter Entry'!$BN$5&amp;"*"),"",IF(COUNTIF(AI210,"*"&amp;'ARDT Cutter Entry'!$BN$6&amp;"*"),"",IF(COUNTIF(AI210,"*"&amp;'ARDT Cutter Entry'!$BN$7&amp;"*"),"",Data!CX55))))),SUBSTITUTE(SUBSTITUTE(SUBSTITUTE(SUBSTITUTE(SUBSTITUTE(SUBSTITUTE(SUBSTITUTE(SUBSTITUTE(SUBSTITUTE(AI210,'ARDT Cutter Entry'!$BN$3,""),'ARDT Cutter Entry'!$BN$4,""),'ARDT Cutter Entry'!$BN$5,""),'ARDT Cutter Entry'!$BN$6,""),'ARDT Cutter Entry'!$BN$7,""),"P",""),"I",""),"V",""),"B","")&amp;Data!CX55),IF(AND(Data!CX55&lt;&gt;0,Data!CX55&lt;&gt;""),IF(AI227&lt;&gt;"",AI227,"O"),""))</f>
        <v/>
      </c>
    </row>
    <row r="245" spans="1:63" ht="23.25" customHeight="1" x14ac:dyDescent="0.35">
      <c r="A245" s="1196"/>
      <c r="B245" s="22">
        <v>11</v>
      </c>
      <c r="C245" s="41" t="str">
        <f>IF(C211&lt;&gt;"",IF(OR(COUNTIF(C211,"L*"),COUNTIF(C211, "X*")),SUBSTITUTE(SUBSTITUTE(SUBSTITUTE(SUBSTITUTE(C211,"P",""),"I",""),"V",""),"B","") &amp; IF(COUNTIF(C211, "*"&amp;'ARDT Cutter Entry'!$BN$3&amp;"*"),"",IF(COUNTIF(C211, "*"&amp;'ARDT Cutter Entry'!$BN$4&amp;"*"),"",IF(COUNTIF(C211,"*"&amp;'ARDT Cutter Entry'!$BN$5&amp;"*"),"",IF(COUNTIF(C211,"*"&amp;'ARDT Cutter Entry'!$BN$6&amp;"*"),"",IF(COUNTIF(C211,"*"&amp;'ARDT Cutter Entry'!$BN$7&amp;"*"),"",Data!BR56))))),SUBSTITUTE(SUBSTITUTE(SUBSTITUTE(SUBSTITUTE(SUBSTITUTE(SUBSTITUTE(SUBSTITUTE(SUBSTITUTE(SUBSTITUTE(C211,'ARDT Cutter Entry'!$BN$3,""),'ARDT Cutter Entry'!$BN$4,""),'ARDT Cutter Entry'!$BN$5,""),'ARDT Cutter Entry'!$BN$6,""),'ARDT Cutter Entry'!$BN$7,""),"P",""),"I",""),"V",""),"B","")&amp;Data!BR56),IF(AND(Data!BR56&lt;&gt;0,Data!BR56&lt;&gt;""),IF(C228&lt;&gt;"",C228,"O"),""))</f>
        <v/>
      </c>
      <c r="D245" s="41" t="str">
        <f>IF(D211&lt;&gt;"",IF(OR(COUNTIF(D211,"L*"),COUNTIF(D211, "X*")),SUBSTITUTE(SUBSTITUTE(SUBSTITUTE(SUBSTITUTE(D211,"P",""),"I",""),"V",""),"B","") &amp; IF(COUNTIF(D211, "*"&amp;'ARDT Cutter Entry'!$BN$3&amp;"*"),"",IF(COUNTIF(D211, "*"&amp;'ARDT Cutter Entry'!$BN$4&amp;"*"),"",IF(COUNTIF(D211,"*"&amp;'ARDT Cutter Entry'!$BN$5&amp;"*"),"",IF(COUNTIF(D211,"*"&amp;'ARDT Cutter Entry'!$BN$6&amp;"*"),"",IF(COUNTIF(D211,"*"&amp;'ARDT Cutter Entry'!$BN$7&amp;"*"),"",Data!BS56))))),SUBSTITUTE(SUBSTITUTE(SUBSTITUTE(SUBSTITUTE(SUBSTITUTE(SUBSTITUTE(SUBSTITUTE(SUBSTITUTE(SUBSTITUTE(D211,'ARDT Cutter Entry'!$BN$3,""),'ARDT Cutter Entry'!$BN$4,""),'ARDT Cutter Entry'!$BN$5,""),'ARDT Cutter Entry'!$BN$6,""),'ARDT Cutter Entry'!$BN$7,""),"P",""),"I",""),"V",""),"B","")&amp;Data!BS56),IF(AND(Data!BS56&lt;&gt;0,Data!BS56&lt;&gt;""),IF(D228&lt;&gt;"",D228,"O"),""))</f>
        <v/>
      </c>
      <c r="E245" s="41" t="str">
        <f>IF(E211&lt;&gt;"",IF(OR(COUNTIF(E211,"L*"),COUNTIF(E211, "X*")),SUBSTITUTE(SUBSTITUTE(SUBSTITUTE(SUBSTITUTE(E211,"P",""),"I",""),"V",""),"B","") &amp; IF(COUNTIF(E211, "*"&amp;'ARDT Cutter Entry'!$BN$3&amp;"*"),"",IF(COUNTIF(E211, "*"&amp;'ARDT Cutter Entry'!$BN$4&amp;"*"),"",IF(COUNTIF(E211,"*"&amp;'ARDT Cutter Entry'!$BN$5&amp;"*"),"",IF(COUNTIF(E211,"*"&amp;'ARDT Cutter Entry'!$BN$6&amp;"*"),"",IF(COUNTIF(E211,"*"&amp;'ARDT Cutter Entry'!$BN$7&amp;"*"),"",Data!BT56))))),SUBSTITUTE(SUBSTITUTE(SUBSTITUTE(SUBSTITUTE(SUBSTITUTE(SUBSTITUTE(SUBSTITUTE(SUBSTITUTE(SUBSTITUTE(E211,'ARDT Cutter Entry'!$BN$3,""),'ARDT Cutter Entry'!$BN$4,""),'ARDT Cutter Entry'!$BN$5,""),'ARDT Cutter Entry'!$BN$6,""),'ARDT Cutter Entry'!$BN$7,""),"P",""),"I",""),"V",""),"B","")&amp;Data!BT56),IF(AND(Data!BT56&lt;&gt;0,Data!BT56&lt;&gt;""),IF(E228&lt;&gt;"",E228,"O"),""))</f>
        <v/>
      </c>
      <c r="F245" s="41" t="str">
        <f>IF(F211&lt;&gt;"",IF(OR(COUNTIF(F211,"L*"),COUNTIF(F211, "X*")),SUBSTITUTE(SUBSTITUTE(SUBSTITUTE(SUBSTITUTE(F211,"P",""),"I",""),"V",""),"B","") &amp; IF(COUNTIF(F211, "*"&amp;'ARDT Cutter Entry'!$BN$3&amp;"*"),"",IF(COUNTIF(F211, "*"&amp;'ARDT Cutter Entry'!$BN$4&amp;"*"),"",IF(COUNTIF(F211,"*"&amp;'ARDT Cutter Entry'!$BN$5&amp;"*"),"",IF(COUNTIF(F211,"*"&amp;'ARDT Cutter Entry'!$BN$6&amp;"*"),"",IF(COUNTIF(F211,"*"&amp;'ARDT Cutter Entry'!$BN$7&amp;"*"),"",Data!BU56))))),SUBSTITUTE(SUBSTITUTE(SUBSTITUTE(SUBSTITUTE(SUBSTITUTE(SUBSTITUTE(SUBSTITUTE(SUBSTITUTE(SUBSTITUTE(F211,'ARDT Cutter Entry'!$BN$3,""),'ARDT Cutter Entry'!$BN$4,""),'ARDT Cutter Entry'!$BN$5,""),'ARDT Cutter Entry'!$BN$6,""),'ARDT Cutter Entry'!$BN$7,""),"P",""),"I",""),"V",""),"B","")&amp;Data!BU56),IF(AND(Data!BU56&lt;&gt;0,Data!BU56&lt;&gt;""),IF(F228&lt;&gt;"",F228,"O"),""))</f>
        <v/>
      </c>
      <c r="G245" s="41" t="str">
        <f>IF(G211&lt;&gt;"",IF(OR(COUNTIF(G211,"L*"),COUNTIF(G211, "X*")),SUBSTITUTE(SUBSTITUTE(SUBSTITUTE(SUBSTITUTE(G211,"P",""),"I",""),"V",""),"B","") &amp; IF(COUNTIF(G211, "*"&amp;'ARDT Cutter Entry'!$BN$3&amp;"*"),"",IF(COUNTIF(G211, "*"&amp;'ARDT Cutter Entry'!$BN$4&amp;"*"),"",IF(COUNTIF(G211,"*"&amp;'ARDT Cutter Entry'!$BN$5&amp;"*"),"",IF(COUNTIF(G211,"*"&amp;'ARDT Cutter Entry'!$BN$6&amp;"*"),"",IF(COUNTIF(G211,"*"&amp;'ARDT Cutter Entry'!$BN$7&amp;"*"),"",Data!BV56))))),SUBSTITUTE(SUBSTITUTE(SUBSTITUTE(SUBSTITUTE(SUBSTITUTE(SUBSTITUTE(SUBSTITUTE(SUBSTITUTE(SUBSTITUTE(G211,'ARDT Cutter Entry'!$BN$3,""),'ARDT Cutter Entry'!$BN$4,""),'ARDT Cutter Entry'!$BN$5,""),'ARDT Cutter Entry'!$BN$6,""),'ARDT Cutter Entry'!$BN$7,""),"P",""),"I",""),"V",""),"B","")&amp;Data!BV56),IF(AND(Data!BV56&lt;&gt;0,Data!BV56&lt;&gt;""),IF(G228&lt;&gt;"",G228,"O"),""))</f>
        <v/>
      </c>
      <c r="H245" s="41" t="str">
        <f>IF(H211&lt;&gt;"",IF(OR(COUNTIF(H211,"L*"),COUNTIF(H211, "X*")),SUBSTITUTE(SUBSTITUTE(SUBSTITUTE(SUBSTITUTE(H211,"P",""),"I",""),"V",""),"B","") &amp; IF(COUNTIF(H211, "*"&amp;'ARDT Cutter Entry'!$BN$3&amp;"*"),"",IF(COUNTIF(H211, "*"&amp;'ARDT Cutter Entry'!$BN$4&amp;"*"),"",IF(COUNTIF(H211,"*"&amp;'ARDT Cutter Entry'!$BN$5&amp;"*"),"",IF(COUNTIF(H211,"*"&amp;'ARDT Cutter Entry'!$BN$6&amp;"*"),"",IF(COUNTIF(H211,"*"&amp;'ARDT Cutter Entry'!$BN$7&amp;"*"),"",Data!BW56))))),SUBSTITUTE(SUBSTITUTE(SUBSTITUTE(SUBSTITUTE(SUBSTITUTE(SUBSTITUTE(SUBSTITUTE(SUBSTITUTE(SUBSTITUTE(H211,'ARDT Cutter Entry'!$BN$3,""),'ARDT Cutter Entry'!$BN$4,""),'ARDT Cutter Entry'!$BN$5,""),'ARDT Cutter Entry'!$BN$6,""),'ARDT Cutter Entry'!$BN$7,""),"P",""),"I",""),"V",""),"B","")&amp;Data!BW56),IF(AND(Data!BW56&lt;&gt;0,Data!BW56&lt;&gt;""),IF(H228&lt;&gt;"",H228,"O"),""))</f>
        <v/>
      </c>
      <c r="I245" s="41" t="str">
        <f>IF(I211&lt;&gt;"",IF(OR(COUNTIF(I211,"L*"),COUNTIF(I211, "X*")),SUBSTITUTE(SUBSTITUTE(SUBSTITUTE(SUBSTITUTE(I211,"P",""),"I",""),"V",""),"B","") &amp; IF(COUNTIF(I211, "*"&amp;'ARDT Cutter Entry'!$BN$3&amp;"*"),"",IF(COUNTIF(I211, "*"&amp;'ARDT Cutter Entry'!$BN$4&amp;"*"),"",IF(COUNTIF(I211,"*"&amp;'ARDT Cutter Entry'!$BN$5&amp;"*"),"",IF(COUNTIF(I211,"*"&amp;'ARDT Cutter Entry'!$BN$6&amp;"*"),"",IF(COUNTIF(I211,"*"&amp;'ARDT Cutter Entry'!$BN$7&amp;"*"),"",Data!BX56))))),SUBSTITUTE(SUBSTITUTE(SUBSTITUTE(SUBSTITUTE(SUBSTITUTE(SUBSTITUTE(SUBSTITUTE(SUBSTITUTE(SUBSTITUTE(I211,'ARDT Cutter Entry'!$BN$3,""),'ARDT Cutter Entry'!$BN$4,""),'ARDT Cutter Entry'!$BN$5,""),'ARDT Cutter Entry'!$BN$6,""),'ARDT Cutter Entry'!$BN$7,""),"P",""),"I",""),"V",""),"B","")&amp;Data!BX56),IF(AND(Data!BX56&lt;&gt;0,Data!BX56&lt;&gt;""),IF(I228&lt;&gt;"",I228,"O"),""))</f>
        <v/>
      </c>
      <c r="J245" s="41" t="str">
        <f>IF(J211&lt;&gt;"",IF(OR(COUNTIF(J211,"L*"),COUNTIF(J211, "X*")),SUBSTITUTE(SUBSTITUTE(SUBSTITUTE(SUBSTITUTE(J211,"P",""),"I",""),"V",""),"B","") &amp; IF(COUNTIF(J211, "*"&amp;'ARDT Cutter Entry'!$BN$3&amp;"*"),"",IF(COUNTIF(J211, "*"&amp;'ARDT Cutter Entry'!$BN$4&amp;"*"),"",IF(COUNTIF(J211,"*"&amp;'ARDT Cutter Entry'!$BN$5&amp;"*"),"",IF(COUNTIF(J211,"*"&amp;'ARDT Cutter Entry'!$BN$6&amp;"*"),"",IF(COUNTIF(J211,"*"&amp;'ARDT Cutter Entry'!$BN$7&amp;"*"),"",Data!BY56))))),SUBSTITUTE(SUBSTITUTE(SUBSTITUTE(SUBSTITUTE(SUBSTITUTE(SUBSTITUTE(SUBSTITUTE(SUBSTITUTE(SUBSTITUTE(J211,'ARDT Cutter Entry'!$BN$3,""),'ARDT Cutter Entry'!$BN$4,""),'ARDT Cutter Entry'!$BN$5,""),'ARDT Cutter Entry'!$BN$6,""),'ARDT Cutter Entry'!$BN$7,""),"P",""),"I",""),"V",""),"B","")&amp;Data!BY56),IF(AND(Data!BY56&lt;&gt;0,Data!BY56&lt;&gt;""),IF(J228&lt;&gt;"",J228,"O"),""))</f>
        <v/>
      </c>
      <c r="K245" s="41" t="str">
        <f>IF(K211&lt;&gt;"",IF(OR(COUNTIF(K211,"L*"),COUNTIF(K211, "X*")),SUBSTITUTE(SUBSTITUTE(SUBSTITUTE(SUBSTITUTE(K211,"P",""),"I",""),"V",""),"B","") &amp; IF(COUNTIF(K211, "*"&amp;'ARDT Cutter Entry'!$BN$3&amp;"*"),"",IF(COUNTIF(K211, "*"&amp;'ARDT Cutter Entry'!$BN$4&amp;"*"),"",IF(COUNTIF(K211,"*"&amp;'ARDT Cutter Entry'!$BN$5&amp;"*"),"",IF(COUNTIF(K211,"*"&amp;'ARDT Cutter Entry'!$BN$6&amp;"*"),"",IF(COUNTIF(K211,"*"&amp;'ARDT Cutter Entry'!$BN$7&amp;"*"),"",Data!BZ56))))),SUBSTITUTE(SUBSTITUTE(SUBSTITUTE(SUBSTITUTE(SUBSTITUTE(SUBSTITUTE(SUBSTITUTE(SUBSTITUTE(SUBSTITUTE(K211,'ARDT Cutter Entry'!$BN$3,""),'ARDT Cutter Entry'!$BN$4,""),'ARDT Cutter Entry'!$BN$5,""),'ARDT Cutter Entry'!$BN$6,""),'ARDT Cutter Entry'!$BN$7,""),"P",""),"I",""),"V",""),"B","")&amp;Data!BZ56),IF(AND(Data!BZ56&lt;&gt;0,Data!BZ56&lt;&gt;""),IF(K228&lt;&gt;"",K228,"O"),""))</f>
        <v/>
      </c>
      <c r="L245" s="41" t="str">
        <f>IF(L211&lt;&gt;"",IF(OR(COUNTIF(L211,"L*"),COUNTIF(L211, "X*")),SUBSTITUTE(SUBSTITUTE(SUBSTITUTE(SUBSTITUTE(L211,"P",""),"I",""),"V",""),"B","") &amp; IF(COUNTIF(L211, "*"&amp;'ARDT Cutter Entry'!$BN$3&amp;"*"),"",IF(COUNTIF(L211, "*"&amp;'ARDT Cutter Entry'!$BN$4&amp;"*"),"",IF(COUNTIF(L211,"*"&amp;'ARDT Cutter Entry'!$BN$5&amp;"*"),"",IF(COUNTIF(L211,"*"&amp;'ARDT Cutter Entry'!$BN$6&amp;"*"),"",IF(COUNTIF(L211,"*"&amp;'ARDT Cutter Entry'!$BN$7&amp;"*"),"",Data!CA56))))),SUBSTITUTE(SUBSTITUTE(SUBSTITUTE(SUBSTITUTE(SUBSTITUTE(SUBSTITUTE(SUBSTITUTE(SUBSTITUTE(SUBSTITUTE(L211,'ARDT Cutter Entry'!$BN$3,""),'ARDT Cutter Entry'!$BN$4,""),'ARDT Cutter Entry'!$BN$5,""),'ARDT Cutter Entry'!$BN$6,""),'ARDT Cutter Entry'!$BN$7,""),"P",""),"I",""),"V",""),"B","")&amp;Data!CA56),IF(AND(Data!CA56&lt;&gt;0,Data!CA56&lt;&gt;""),IF(L228&lt;&gt;"",L228,"O"),""))</f>
        <v/>
      </c>
      <c r="M245" s="41" t="str">
        <f>IF(M211&lt;&gt;"",IF(OR(COUNTIF(M211,"L*"),COUNTIF(M211, "X*")),SUBSTITUTE(SUBSTITUTE(SUBSTITUTE(SUBSTITUTE(M211,"P",""),"I",""),"V",""),"B","") &amp; IF(COUNTIF(M211, "*"&amp;'ARDT Cutter Entry'!$BN$3&amp;"*"),"",IF(COUNTIF(M211, "*"&amp;'ARDT Cutter Entry'!$BN$4&amp;"*"),"",IF(COUNTIF(M211,"*"&amp;'ARDT Cutter Entry'!$BN$5&amp;"*"),"",IF(COUNTIF(M211,"*"&amp;'ARDT Cutter Entry'!$BN$6&amp;"*"),"",IF(COUNTIF(M211,"*"&amp;'ARDT Cutter Entry'!$BN$7&amp;"*"),"",Data!CB56))))),SUBSTITUTE(SUBSTITUTE(SUBSTITUTE(SUBSTITUTE(SUBSTITUTE(SUBSTITUTE(SUBSTITUTE(SUBSTITUTE(SUBSTITUTE(M211,'ARDT Cutter Entry'!$BN$3,""),'ARDT Cutter Entry'!$BN$4,""),'ARDT Cutter Entry'!$BN$5,""),'ARDT Cutter Entry'!$BN$6,""),'ARDT Cutter Entry'!$BN$7,""),"P",""),"I",""),"V",""),"B","")&amp;Data!CB56),IF(AND(Data!CB56&lt;&gt;0,Data!CB56&lt;&gt;""),IF(M228&lt;&gt;"",M228,"O"),""))</f>
        <v/>
      </c>
      <c r="N245" s="41" t="str">
        <f>IF(N211&lt;&gt;"",IF(OR(COUNTIF(N211,"L*"),COUNTIF(N211, "X*")),SUBSTITUTE(SUBSTITUTE(SUBSTITUTE(SUBSTITUTE(N211,"P",""),"I",""),"V",""),"B","") &amp; IF(COUNTIF(N211, "*"&amp;'ARDT Cutter Entry'!$BN$3&amp;"*"),"",IF(COUNTIF(N211, "*"&amp;'ARDT Cutter Entry'!$BN$4&amp;"*"),"",IF(COUNTIF(N211,"*"&amp;'ARDT Cutter Entry'!$BN$5&amp;"*"),"",IF(COUNTIF(N211,"*"&amp;'ARDT Cutter Entry'!$BN$6&amp;"*"),"",IF(COUNTIF(N211,"*"&amp;'ARDT Cutter Entry'!$BN$7&amp;"*"),"",Data!CC56))))),SUBSTITUTE(SUBSTITUTE(SUBSTITUTE(SUBSTITUTE(SUBSTITUTE(SUBSTITUTE(SUBSTITUTE(SUBSTITUTE(SUBSTITUTE(N211,'ARDT Cutter Entry'!$BN$3,""),'ARDT Cutter Entry'!$BN$4,""),'ARDT Cutter Entry'!$BN$5,""),'ARDT Cutter Entry'!$BN$6,""),'ARDT Cutter Entry'!$BN$7,""),"P",""),"I",""),"V",""),"B","")&amp;Data!CC56),IF(AND(Data!CC56&lt;&gt;0,Data!CC56&lt;&gt;""),IF(N228&lt;&gt;"",N228,"O"),""))</f>
        <v/>
      </c>
      <c r="O245" s="41" t="str">
        <f>IF(O211&lt;&gt;"",IF(OR(COUNTIF(O211,"L*"),COUNTIF(O211, "X*")),SUBSTITUTE(SUBSTITUTE(SUBSTITUTE(SUBSTITUTE(O211,"P",""),"I",""),"V",""),"B","") &amp; IF(COUNTIF(O211, "*"&amp;'ARDT Cutter Entry'!$BN$3&amp;"*"),"",IF(COUNTIF(O211, "*"&amp;'ARDT Cutter Entry'!$BN$4&amp;"*"),"",IF(COUNTIF(O211,"*"&amp;'ARDT Cutter Entry'!$BN$5&amp;"*"),"",IF(COUNTIF(O211,"*"&amp;'ARDT Cutter Entry'!$BN$6&amp;"*"),"",IF(COUNTIF(O211,"*"&amp;'ARDT Cutter Entry'!$BN$7&amp;"*"),"",Data!CD56))))),SUBSTITUTE(SUBSTITUTE(SUBSTITUTE(SUBSTITUTE(SUBSTITUTE(SUBSTITUTE(SUBSTITUTE(SUBSTITUTE(SUBSTITUTE(O211,'ARDT Cutter Entry'!$BN$3,""),'ARDT Cutter Entry'!$BN$4,""),'ARDT Cutter Entry'!$BN$5,""),'ARDT Cutter Entry'!$BN$6,""),'ARDT Cutter Entry'!$BN$7,""),"P",""),"I",""),"V",""),"B","")&amp;Data!CD56),IF(AND(Data!CD56&lt;&gt;0,Data!CD56&lt;&gt;""),IF(O228&lt;&gt;"",O228,"O"),""))</f>
        <v/>
      </c>
      <c r="P245" s="41" t="str">
        <f>IF(P211&lt;&gt;"",IF(OR(COUNTIF(P211,"L*"),COUNTIF(P211, "X*")),SUBSTITUTE(SUBSTITUTE(SUBSTITUTE(SUBSTITUTE(P211,"P",""),"I",""),"V",""),"B","") &amp; IF(COUNTIF(P211, "*"&amp;'ARDT Cutter Entry'!$BN$3&amp;"*"),"",IF(COUNTIF(P211, "*"&amp;'ARDT Cutter Entry'!$BN$4&amp;"*"),"",IF(COUNTIF(P211,"*"&amp;'ARDT Cutter Entry'!$BN$5&amp;"*"),"",IF(COUNTIF(P211,"*"&amp;'ARDT Cutter Entry'!$BN$6&amp;"*"),"",IF(COUNTIF(P211,"*"&amp;'ARDT Cutter Entry'!$BN$7&amp;"*"),"",Data!CE56))))),SUBSTITUTE(SUBSTITUTE(SUBSTITUTE(SUBSTITUTE(SUBSTITUTE(SUBSTITUTE(SUBSTITUTE(SUBSTITUTE(SUBSTITUTE(P211,'ARDT Cutter Entry'!$BN$3,""),'ARDT Cutter Entry'!$BN$4,""),'ARDT Cutter Entry'!$BN$5,""),'ARDT Cutter Entry'!$BN$6,""),'ARDT Cutter Entry'!$BN$7,""),"P",""),"I",""),"V",""),"B","")&amp;Data!CE56),IF(AND(Data!CE56&lt;&gt;0,Data!CE56&lt;&gt;""),IF(P228&lt;&gt;"",P228,"O"),""))</f>
        <v/>
      </c>
      <c r="Q245" s="41" t="str">
        <f>IF(Q211&lt;&gt;"",IF(OR(COUNTIF(Q211,"L*"),COUNTIF(Q211, "X*")),SUBSTITUTE(SUBSTITUTE(SUBSTITUTE(SUBSTITUTE(Q211,"P",""),"I",""),"V",""),"B","") &amp; IF(COUNTIF(Q211, "*"&amp;'ARDT Cutter Entry'!$BN$3&amp;"*"),"",IF(COUNTIF(Q211, "*"&amp;'ARDT Cutter Entry'!$BN$4&amp;"*"),"",IF(COUNTIF(Q211,"*"&amp;'ARDT Cutter Entry'!$BN$5&amp;"*"),"",IF(COUNTIF(Q211,"*"&amp;'ARDT Cutter Entry'!$BN$6&amp;"*"),"",IF(COUNTIF(Q211,"*"&amp;'ARDT Cutter Entry'!$BN$7&amp;"*"),"",Data!CF56))))),SUBSTITUTE(SUBSTITUTE(SUBSTITUTE(SUBSTITUTE(SUBSTITUTE(SUBSTITUTE(SUBSTITUTE(SUBSTITUTE(SUBSTITUTE(Q211,'ARDT Cutter Entry'!$BN$3,""),'ARDT Cutter Entry'!$BN$4,""),'ARDT Cutter Entry'!$BN$5,""),'ARDT Cutter Entry'!$BN$6,""),'ARDT Cutter Entry'!$BN$7,""),"P",""),"I",""),"V",""),"B","")&amp;Data!CF56),IF(AND(Data!CF56&lt;&gt;0,Data!CF56&lt;&gt;""),IF(Q228&lt;&gt;"",Q228,"O"),""))</f>
        <v/>
      </c>
      <c r="R245" s="41" t="str">
        <f>IF(R211&lt;&gt;"",IF(OR(COUNTIF(R211,"L*"),COUNTIF(R211, "X*")),SUBSTITUTE(SUBSTITUTE(SUBSTITUTE(SUBSTITUTE(R211,"P",""),"I",""),"V",""),"B","") &amp; IF(COUNTIF(R211, "*"&amp;'ARDT Cutter Entry'!$BN$3&amp;"*"),"",IF(COUNTIF(R211, "*"&amp;'ARDT Cutter Entry'!$BN$4&amp;"*"),"",IF(COUNTIF(R211,"*"&amp;'ARDT Cutter Entry'!$BN$5&amp;"*"),"",IF(COUNTIF(R211,"*"&amp;'ARDT Cutter Entry'!$BN$6&amp;"*"),"",IF(COUNTIF(R211,"*"&amp;'ARDT Cutter Entry'!$BN$7&amp;"*"),"",Data!CG56))))),SUBSTITUTE(SUBSTITUTE(SUBSTITUTE(SUBSTITUTE(SUBSTITUTE(SUBSTITUTE(SUBSTITUTE(SUBSTITUTE(SUBSTITUTE(R211,'ARDT Cutter Entry'!$BN$3,""),'ARDT Cutter Entry'!$BN$4,""),'ARDT Cutter Entry'!$BN$5,""),'ARDT Cutter Entry'!$BN$6,""),'ARDT Cutter Entry'!$BN$7,""),"P",""),"I",""),"V",""),"B","")&amp;Data!CG56),IF(AND(Data!CG56&lt;&gt;0,Data!CG56&lt;&gt;""),IF(R228&lt;&gt;"",R228,"O"),""))</f>
        <v/>
      </c>
      <c r="S245" s="41" t="str">
        <f>IF(S211&lt;&gt;"",IF(OR(COUNTIF(S211,"L*"),COUNTIF(S211, "X*")),SUBSTITUTE(SUBSTITUTE(SUBSTITUTE(SUBSTITUTE(S211,"P",""),"I",""),"V",""),"B","") &amp; IF(COUNTIF(S211, "*"&amp;'ARDT Cutter Entry'!$BN$3&amp;"*"),"",IF(COUNTIF(S211, "*"&amp;'ARDT Cutter Entry'!$BN$4&amp;"*"),"",IF(COUNTIF(S211,"*"&amp;'ARDT Cutter Entry'!$BN$5&amp;"*"),"",IF(COUNTIF(S211,"*"&amp;'ARDT Cutter Entry'!$BN$6&amp;"*"),"",IF(COUNTIF(S211,"*"&amp;'ARDT Cutter Entry'!$BN$7&amp;"*"),"",Data!CH56))))),SUBSTITUTE(SUBSTITUTE(SUBSTITUTE(SUBSTITUTE(SUBSTITUTE(SUBSTITUTE(SUBSTITUTE(SUBSTITUTE(SUBSTITUTE(S211,'ARDT Cutter Entry'!$BN$3,""),'ARDT Cutter Entry'!$BN$4,""),'ARDT Cutter Entry'!$BN$5,""),'ARDT Cutter Entry'!$BN$6,""),'ARDT Cutter Entry'!$BN$7,""),"P",""),"I",""),"V",""),"B","")&amp;Data!CH56),IF(AND(Data!CH56&lt;&gt;0,Data!CH56&lt;&gt;""),IF(S228&lt;&gt;"",S228,"O"),""))</f>
        <v/>
      </c>
      <c r="T245" s="41" t="str">
        <f>IF(T211&lt;&gt;"",IF(OR(COUNTIF(T211,"L*"),COUNTIF(T211, "X*")),SUBSTITUTE(SUBSTITUTE(SUBSTITUTE(SUBSTITUTE(T211,"P",""),"I",""),"V",""),"B","") &amp; IF(COUNTIF(T211, "*"&amp;'ARDT Cutter Entry'!$BN$3&amp;"*"),"",IF(COUNTIF(T211, "*"&amp;'ARDT Cutter Entry'!$BN$4&amp;"*"),"",IF(COUNTIF(T211,"*"&amp;'ARDT Cutter Entry'!$BN$5&amp;"*"),"",IF(COUNTIF(T211,"*"&amp;'ARDT Cutter Entry'!$BN$6&amp;"*"),"",IF(COUNTIF(T211,"*"&amp;'ARDT Cutter Entry'!$BN$7&amp;"*"),"",Data!CI56))))),SUBSTITUTE(SUBSTITUTE(SUBSTITUTE(SUBSTITUTE(SUBSTITUTE(SUBSTITUTE(SUBSTITUTE(SUBSTITUTE(SUBSTITUTE(T211,'ARDT Cutter Entry'!$BN$3,""),'ARDT Cutter Entry'!$BN$4,""),'ARDT Cutter Entry'!$BN$5,""),'ARDT Cutter Entry'!$BN$6,""),'ARDT Cutter Entry'!$BN$7,""),"P",""),"I",""),"V",""),"B","")&amp;Data!CI56),IF(AND(Data!CI56&lt;&gt;0,Data!CI56&lt;&gt;""),IF(T228&lt;&gt;"",T228,"O"),""))</f>
        <v/>
      </c>
      <c r="U245" s="41" t="str">
        <f>IF(U211&lt;&gt;"",IF(OR(COUNTIF(U211,"L*"),COUNTIF(U211, "X*")),SUBSTITUTE(SUBSTITUTE(SUBSTITUTE(SUBSTITUTE(U211,"P",""),"I",""),"V",""),"B","") &amp; IF(COUNTIF(U211, "*"&amp;'ARDT Cutter Entry'!$BN$3&amp;"*"),"",IF(COUNTIF(U211, "*"&amp;'ARDT Cutter Entry'!$BN$4&amp;"*"),"",IF(COUNTIF(U211,"*"&amp;'ARDT Cutter Entry'!$BN$5&amp;"*"),"",IF(COUNTIF(U211,"*"&amp;'ARDT Cutter Entry'!$BN$6&amp;"*"),"",IF(COUNTIF(U211,"*"&amp;'ARDT Cutter Entry'!$BN$7&amp;"*"),"",Data!CJ56))))),SUBSTITUTE(SUBSTITUTE(SUBSTITUTE(SUBSTITUTE(SUBSTITUTE(SUBSTITUTE(SUBSTITUTE(SUBSTITUTE(SUBSTITUTE(U211,'ARDT Cutter Entry'!$BN$3,""),'ARDT Cutter Entry'!$BN$4,""),'ARDT Cutter Entry'!$BN$5,""),'ARDT Cutter Entry'!$BN$6,""),'ARDT Cutter Entry'!$BN$7,""),"P",""),"I",""),"V",""),"B","")&amp;Data!CJ56),IF(AND(Data!CJ56&lt;&gt;0,Data!CJ56&lt;&gt;""),IF(U228&lt;&gt;"",U228,"O"),""))</f>
        <v/>
      </c>
      <c r="V245" s="41" t="str">
        <f>IF(V211&lt;&gt;"",IF(OR(COUNTIF(V211,"L*"),COUNTIF(V211, "X*")),SUBSTITUTE(SUBSTITUTE(SUBSTITUTE(SUBSTITUTE(V211,"P",""),"I",""),"V",""),"B","") &amp; IF(COUNTIF(V211, "*"&amp;'ARDT Cutter Entry'!$BN$3&amp;"*"),"",IF(COUNTIF(V211, "*"&amp;'ARDT Cutter Entry'!$BN$4&amp;"*"),"",IF(COUNTIF(V211,"*"&amp;'ARDT Cutter Entry'!$BN$5&amp;"*"),"",IF(COUNTIF(V211,"*"&amp;'ARDT Cutter Entry'!$BN$6&amp;"*"),"",IF(COUNTIF(V211,"*"&amp;'ARDT Cutter Entry'!$BN$7&amp;"*"),"",Data!CK56))))),SUBSTITUTE(SUBSTITUTE(SUBSTITUTE(SUBSTITUTE(SUBSTITUTE(SUBSTITUTE(SUBSTITUTE(SUBSTITUTE(SUBSTITUTE(V211,'ARDT Cutter Entry'!$BN$3,""),'ARDT Cutter Entry'!$BN$4,""),'ARDT Cutter Entry'!$BN$5,""),'ARDT Cutter Entry'!$BN$6,""),'ARDT Cutter Entry'!$BN$7,""),"P",""),"I",""),"V",""),"B","")&amp;Data!CK56),IF(AND(Data!CK56&lt;&gt;0,Data!CK56&lt;&gt;""),IF(V228&lt;&gt;"",V228,"O"),""))</f>
        <v/>
      </c>
      <c r="W245" s="41" t="str">
        <f>IF(W211&lt;&gt;"",IF(OR(COUNTIF(W211,"L*"),COUNTIF(W211, "X*")),SUBSTITUTE(SUBSTITUTE(SUBSTITUTE(SUBSTITUTE(W211,"P",""),"I",""),"V",""),"B","") &amp; IF(COUNTIF(W211, "*"&amp;'ARDT Cutter Entry'!$BN$3&amp;"*"),"",IF(COUNTIF(W211, "*"&amp;'ARDT Cutter Entry'!$BN$4&amp;"*"),"",IF(COUNTIF(W211,"*"&amp;'ARDT Cutter Entry'!$BN$5&amp;"*"),"",IF(COUNTIF(W211,"*"&amp;'ARDT Cutter Entry'!$BN$6&amp;"*"),"",IF(COUNTIF(W211,"*"&amp;'ARDT Cutter Entry'!$BN$7&amp;"*"),"",Data!CL56))))),SUBSTITUTE(SUBSTITUTE(SUBSTITUTE(SUBSTITUTE(SUBSTITUTE(SUBSTITUTE(SUBSTITUTE(SUBSTITUTE(SUBSTITUTE(W211,'ARDT Cutter Entry'!$BN$3,""),'ARDT Cutter Entry'!$BN$4,""),'ARDT Cutter Entry'!$BN$5,""),'ARDT Cutter Entry'!$BN$6,""),'ARDT Cutter Entry'!$BN$7,""),"P",""),"I",""),"V",""),"B","")&amp;Data!CL56),IF(AND(Data!CL56&lt;&gt;0,Data!CL56&lt;&gt;""),IF(W228&lt;&gt;"",W228,"O"),""))</f>
        <v/>
      </c>
      <c r="X245" s="41" t="str">
        <f>IF(X211&lt;&gt;"",IF(OR(COUNTIF(X211,"L*"),COUNTIF(X211, "X*")),SUBSTITUTE(SUBSTITUTE(SUBSTITUTE(SUBSTITUTE(X211,"P",""),"I",""),"V",""),"B","") &amp; IF(COUNTIF(X211, "*"&amp;'ARDT Cutter Entry'!$BN$3&amp;"*"),"",IF(COUNTIF(X211, "*"&amp;'ARDT Cutter Entry'!$BN$4&amp;"*"),"",IF(COUNTIF(X211,"*"&amp;'ARDT Cutter Entry'!$BN$5&amp;"*"),"",IF(COUNTIF(X211,"*"&amp;'ARDT Cutter Entry'!$BN$6&amp;"*"),"",IF(COUNTIF(X211,"*"&amp;'ARDT Cutter Entry'!$BN$7&amp;"*"),"",Data!CM56))))),SUBSTITUTE(SUBSTITUTE(SUBSTITUTE(SUBSTITUTE(SUBSTITUTE(SUBSTITUTE(SUBSTITUTE(SUBSTITUTE(SUBSTITUTE(X211,'ARDT Cutter Entry'!$BN$3,""),'ARDT Cutter Entry'!$BN$4,""),'ARDT Cutter Entry'!$BN$5,""),'ARDT Cutter Entry'!$BN$6,""),'ARDT Cutter Entry'!$BN$7,""),"P",""),"I",""),"V",""),"B","")&amp;Data!CM56),IF(AND(Data!CM56&lt;&gt;0,Data!CM56&lt;&gt;""),IF(X228&lt;&gt;"",X228,"O"),""))</f>
        <v/>
      </c>
      <c r="Y245" s="41" t="str">
        <f>IF(Y211&lt;&gt;"",IF(OR(COUNTIF(Y211,"L*"),COUNTIF(Y211, "X*")),SUBSTITUTE(SUBSTITUTE(SUBSTITUTE(SUBSTITUTE(Y211,"P",""),"I",""),"V",""),"B","") &amp; IF(COUNTIF(Y211, "*"&amp;'ARDT Cutter Entry'!$BN$3&amp;"*"),"",IF(COUNTIF(Y211, "*"&amp;'ARDT Cutter Entry'!$BN$4&amp;"*"),"",IF(COUNTIF(Y211,"*"&amp;'ARDT Cutter Entry'!$BN$5&amp;"*"),"",IF(COUNTIF(Y211,"*"&amp;'ARDT Cutter Entry'!$BN$6&amp;"*"),"",IF(COUNTIF(Y211,"*"&amp;'ARDT Cutter Entry'!$BN$7&amp;"*"),"",Data!CN56))))),SUBSTITUTE(SUBSTITUTE(SUBSTITUTE(SUBSTITUTE(SUBSTITUTE(SUBSTITUTE(SUBSTITUTE(SUBSTITUTE(SUBSTITUTE(Y211,'ARDT Cutter Entry'!$BN$3,""),'ARDT Cutter Entry'!$BN$4,""),'ARDT Cutter Entry'!$BN$5,""),'ARDT Cutter Entry'!$BN$6,""),'ARDT Cutter Entry'!$BN$7,""),"P",""),"I",""),"V",""),"B","")&amp;Data!CN56),IF(AND(Data!CN56&lt;&gt;0,Data!CN56&lt;&gt;""),IF(Y228&lt;&gt;"",Y228,"O"),""))</f>
        <v/>
      </c>
      <c r="Z245" s="41" t="str">
        <f>IF(Z211&lt;&gt;"",IF(OR(COUNTIF(Z211,"L*"),COUNTIF(Z211, "X*")),SUBSTITUTE(SUBSTITUTE(SUBSTITUTE(SUBSTITUTE(Z211,"P",""),"I",""),"V",""),"B","") &amp; IF(COUNTIF(Z211, "*"&amp;'ARDT Cutter Entry'!$BN$3&amp;"*"),"",IF(COUNTIF(Z211, "*"&amp;'ARDT Cutter Entry'!$BN$4&amp;"*"),"",IF(COUNTIF(Z211,"*"&amp;'ARDT Cutter Entry'!$BN$5&amp;"*"),"",IF(COUNTIF(Z211,"*"&amp;'ARDT Cutter Entry'!$BN$6&amp;"*"),"",IF(COUNTIF(Z211,"*"&amp;'ARDT Cutter Entry'!$BN$7&amp;"*"),"",Data!CO56))))),SUBSTITUTE(SUBSTITUTE(SUBSTITUTE(SUBSTITUTE(SUBSTITUTE(SUBSTITUTE(SUBSTITUTE(SUBSTITUTE(SUBSTITUTE(Z211,'ARDT Cutter Entry'!$BN$3,""),'ARDT Cutter Entry'!$BN$4,""),'ARDT Cutter Entry'!$BN$5,""),'ARDT Cutter Entry'!$BN$6,""),'ARDT Cutter Entry'!$BN$7,""),"P",""),"I",""),"V",""),"B","")&amp;Data!CO56),IF(AND(Data!CO56&lt;&gt;0,Data!CO56&lt;&gt;""),IF(Z228&lt;&gt;"",Z228,"O"),""))</f>
        <v/>
      </c>
      <c r="AA245" s="41" t="str">
        <f>IF(AA211&lt;&gt;"",IF(OR(COUNTIF(AA211,"L*"),COUNTIF(AA211, "X*")),SUBSTITUTE(SUBSTITUTE(SUBSTITUTE(SUBSTITUTE(AA211,"P",""),"I",""),"V",""),"B","") &amp; IF(COUNTIF(AA211, "*"&amp;'ARDT Cutter Entry'!$BN$3&amp;"*"),"",IF(COUNTIF(AA211, "*"&amp;'ARDT Cutter Entry'!$BN$4&amp;"*"),"",IF(COUNTIF(AA211,"*"&amp;'ARDT Cutter Entry'!$BN$5&amp;"*"),"",IF(COUNTIF(AA211,"*"&amp;'ARDT Cutter Entry'!$BN$6&amp;"*"),"",IF(COUNTIF(AA211,"*"&amp;'ARDT Cutter Entry'!$BN$7&amp;"*"),"",Data!CP56))))),SUBSTITUTE(SUBSTITUTE(SUBSTITUTE(SUBSTITUTE(SUBSTITUTE(SUBSTITUTE(SUBSTITUTE(SUBSTITUTE(SUBSTITUTE(AA211,'ARDT Cutter Entry'!$BN$3,""),'ARDT Cutter Entry'!$BN$4,""),'ARDT Cutter Entry'!$BN$5,""),'ARDT Cutter Entry'!$BN$6,""),'ARDT Cutter Entry'!$BN$7,""),"P",""),"I",""),"V",""),"B","")&amp;Data!CP56),IF(AND(Data!CP56&lt;&gt;0,Data!CP56&lt;&gt;""),IF(AA228&lt;&gt;"",AA228,"O"),""))</f>
        <v/>
      </c>
      <c r="AB245" s="41" t="str">
        <f>IF(AB211&lt;&gt;"",IF(OR(COUNTIF(AB211,"L*"),COUNTIF(AB211, "X*")),SUBSTITUTE(SUBSTITUTE(SUBSTITUTE(SUBSTITUTE(AB211,"P",""),"I",""),"V",""),"B","") &amp; IF(COUNTIF(AB211, "*"&amp;'ARDT Cutter Entry'!$BN$3&amp;"*"),"",IF(COUNTIF(AB211, "*"&amp;'ARDT Cutter Entry'!$BN$4&amp;"*"),"",IF(COUNTIF(AB211,"*"&amp;'ARDT Cutter Entry'!$BN$5&amp;"*"),"",IF(COUNTIF(AB211,"*"&amp;'ARDT Cutter Entry'!$BN$6&amp;"*"),"",IF(COUNTIF(AB211,"*"&amp;'ARDT Cutter Entry'!$BN$7&amp;"*"),"",Data!CQ56))))),SUBSTITUTE(SUBSTITUTE(SUBSTITUTE(SUBSTITUTE(SUBSTITUTE(SUBSTITUTE(SUBSTITUTE(SUBSTITUTE(SUBSTITUTE(AB211,'ARDT Cutter Entry'!$BN$3,""),'ARDT Cutter Entry'!$BN$4,""),'ARDT Cutter Entry'!$BN$5,""),'ARDT Cutter Entry'!$BN$6,""),'ARDT Cutter Entry'!$BN$7,""),"P",""),"I",""),"V",""),"B","")&amp;Data!CQ56),IF(AND(Data!CQ56&lt;&gt;0,Data!CQ56&lt;&gt;""),IF(AB228&lt;&gt;"",AB228,"O"),""))</f>
        <v/>
      </c>
      <c r="AC245" s="41" t="str">
        <f>IF(AC211&lt;&gt;"",IF(OR(COUNTIF(AC211,"L*"),COUNTIF(AC211, "X*")),SUBSTITUTE(SUBSTITUTE(SUBSTITUTE(SUBSTITUTE(AC211,"P",""),"I",""),"V",""),"B","") &amp; IF(COUNTIF(AC211, "*"&amp;'ARDT Cutter Entry'!$BN$3&amp;"*"),"",IF(COUNTIF(AC211, "*"&amp;'ARDT Cutter Entry'!$BN$4&amp;"*"),"",IF(COUNTIF(AC211,"*"&amp;'ARDT Cutter Entry'!$BN$5&amp;"*"),"",IF(COUNTIF(AC211,"*"&amp;'ARDT Cutter Entry'!$BN$6&amp;"*"),"",IF(COUNTIF(AC211,"*"&amp;'ARDT Cutter Entry'!$BN$7&amp;"*"),"",Data!CR56))))),SUBSTITUTE(SUBSTITUTE(SUBSTITUTE(SUBSTITUTE(SUBSTITUTE(SUBSTITUTE(SUBSTITUTE(SUBSTITUTE(SUBSTITUTE(AC211,'ARDT Cutter Entry'!$BN$3,""),'ARDT Cutter Entry'!$BN$4,""),'ARDT Cutter Entry'!$BN$5,""),'ARDT Cutter Entry'!$BN$6,""),'ARDT Cutter Entry'!$BN$7,""),"P",""),"I",""),"V",""),"B","")&amp;Data!CR56),IF(AND(Data!CR56&lt;&gt;0,Data!CR56&lt;&gt;""),IF(AC228&lt;&gt;"",AC228,"O"),""))</f>
        <v/>
      </c>
      <c r="AD245" s="41" t="str">
        <f>IF(AD211&lt;&gt;"",IF(OR(COUNTIF(AD211,"L*"),COUNTIF(AD211, "X*")),SUBSTITUTE(SUBSTITUTE(SUBSTITUTE(SUBSTITUTE(AD211,"P",""),"I",""),"V",""),"B","") &amp; IF(COUNTIF(AD211, "*"&amp;'ARDT Cutter Entry'!$BN$3&amp;"*"),"",IF(COUNTIF(AD211, "*"&amp;'ARDT Cutter Entry'!$BN$4&amp;"*"),"",IF(COUNTIF(AD211,"*"&amp;'ARDT Cutter Entry'!$BN$5&amp;"*"),"",IF(COUNTIF(AD211,"*"&amp;'ARDT Cutter Entry'!$BN$6&amp;"*"),"",IF(COUNTIF(AD211,"*"&amp;'ARDT Cutter Entry'!$BN$7&amp;"*"),"",Data!CS56))))),SUBSTITUTE(SUBSTITUTE(SUBSTITUTE(SUBSTITUTE(SUBSTITUTE(SUBSTITUTE(SUBSTITUTE(SUBSTITUTE(SUBSTITUTE(AD211,'ARDT Cutter Entry'!$BN$3,""),'ARDT Cutter Entry'!$BN$4,""),'ARDT Cutter Entry'!$BN$5,""),'ARDT Cutter Entry'!$BN$6,""),'ARDT Cutter Entry'!$BN$7,""),"P",""),"I",""),"V",""),"B","")&amp;Data!CS56),IF(AND(Data!CS56&lt;&gt;0,Data!CS56&lt;&gt;""),IF(AD228&lt;&gt;"",AD228,"O"),""))</f>
        <v/>
      </c>
      <c r="AE245" s="41" t="str">
        <f>IF(AE211&lt;&gt;"",IF(OR(COUNTIF(AE211,"L*"),COUNTIF(AE211, "X*")),SUBSTITUTE(SUBSTITUTE(SUBSTITUTE(SUBSTITUTE(AE211,"P",""),"I",""),"V",""),"B","") &amp; IF(COUNTIF(AE211, "*"&amp;'ARDT Cutter Entry'!$BN$3&amp;"*"),"",IF(COUNTIF(AE211, "*"&amp;'ARDT Cutter Entry'!$BN$4&amp;"*"),"",IF(COUNTIF(AE211,"*"&amp;'ARDT Cutter Entry'!$BN$5&amp;"*"),"",IF(COUNTIF(AE211,"*"&amp;'ARDT Cutter Entry'!$BN$6&amp;"*"),"",IF(COUNTIF(AE211,"*"&amp;'ARDT Cutter Entry'!$BN$7&amp;"*"),"",Data!CT56))))),SUBSTITUTE(SUBSTITUTE(SUBSTITUTE(SUBSTITUTE(SUBSTITUTE(SUBSTITUTE(SUBSTITUTE(SUBSTITUTE(SUBSTITUTE(AE211,'ARDT Cutter Entry'!$BN$3,""),'ARDT Cutter Entry'!$BN$4,""),'ARDT Cutter Entry'!$BN$5,""),'ARDT Cutter Entry'!$BN$6,""),'ARDT Cutter Entry'!$BN$7,""),"P",""),"I",""),"V",""),"B","")&amp;Data!CT56),IF(AND(Data!CT56&lt;&gt;0,Data!CT56&lt;&gt;""),IF(AE228&lt;&gt;"",AE228,"O"),""))</f>
        <v/>
      </c>
      <c r="AF245" s="41" t="str">
        <f>IF(AF211&lt;&gt;"",IF(OR(COUNTIF(AF211,"L*"),COUNTIF(AF211, "X*")),SUBSTITUTE(SUBSTITUTE(SUBSTITUTE(SUBSTITUTE(AF211,"P",""),"I",""),"V",""),"B","") &amp; IF(COUNTIF(AF211, "*"&amp;'ARDT Cutter Entry'!$BN$3&amp;"*"),"",IF(COUNTIF(AF211, "*"&amp;'ARDT Cutter Entry'!$BN$4&amp;"*"),"",IF(COUNTIF(AF211,"*"&amp;'ARDT Cutter Entry'!$BN$5&amp;"*"),"",IF(COUNTIF(AF211,"*"&amp;'ARDT Cutter Entry'!$BN$6&amp;"*"),"",IF(COUNTIF(AF211,"*"&amp;'ARDT Cutter Entry'!$BN$7&amp;"*"),"",Data!CU56))))),SUBSTITUTE(SUBSTITUTE(SUBSTITUTE(SUBSTITUTE(SUBSTITUTE(SUBSTITUTE(SUBSTITUTE(SUBSTITUTE(SUBSTITUTE(AF211,'ARDT Cutter Entry'!$BN$3,""),'ARDT Cutter Entry'!$BN$4,""),'ARDT Cutter Entry'!$BN$5,""),'ARDT Cutter Entry'!$BN$6,""),'ARDT Cutter Entry'!$BN$7,""),"P",""),"I",""),"V",""),"B","")&amp;Data!CU56),IF(AND(Data!CU56&lt;&gt;0,Data!CU56&lt;&gt;""),IF(AF228&lt;&gt;"",AF228,"O"),""))</f>
        <v/>
      </c>
      <c r="AG245" s="41" t="str">
        <f>IF(AG211&lt;&gt;"",IF(OR(COUNTIF(AG211,"L*"),COUNTIF(AG211, "X*")),SUBSTITUTE(SUBSTITUTE(SUBSTITUTE(SUBSTITUTE(AG211,"P",""),"I",""),"V",""),"B","") &amp; IF(COUNTIF(AG211, "*"&amp;'ARDT Cutter Entry'!$BN$3&amp;"*"),"",IF(COUNTIF(AG211, "*"&amp;'ARDT Cutter Entry'!$BN$4&amp;"*"),"",IF(COUNTIF(AG211,"*"&amp;'ARDT Cutter Entry'!$BN$5&amp;"*"),"",IF(COUNTIF(AG211,"*"&amp;'ARDT Cutter Entry'!$BN$6&amp;"*"),"",IF(COUNTIF(AG211,"*"&amp;'ARDT Cutter Entry'!$BN$7&amp;"*"),"",Data!CV56))))),SUBSTITUTE(SUBSTITUTE(SUBSTITUTE(SUBSTITUTE(SUBSTITUTE(SUBSTITUTE(SUBSTITUTE(SUBSTITUTE(SUBSTITUTE(AG211,'ARDT Cutter Entry'!$BN$3,""),'ARDT Cutter Entry'!$BN$4,""),'ARDT Cutter Entry'!$BN$5,""),'ARDT Cutter Entry'!$BN$6,""),'ARDT Cutter Entry'!$BN$7,""),"P",""),"I",""),"V",""),"B","")&amp;Data!CV56),IF(AND(Data!CV56&lt;&gt;0,Data!CV56&lt;&gt;""),IF(AG228&lt;&gt;"",AG228,"O"),""))</f>
        <v/>
      </c>
      <c r="AH245" s="41" t="str">
        <f>IF(AH211&lt;&gt;"",IF(OR(COUNTIF(AH211,"L*"),COUNTIF(AH211, "X*")),SUBSTITUTE(SUBSTITUTE(SUBSTITUTE(SUBSTITUTE(AH211,"P",""),"I",""),"V",""),"B","") &amp; IF(COUNTIF(AH211, "*"&amp;'ARDT Cutter Entry'!$BN$3&amp;"*"),"",IF(COUNTIF(AH211, "*"&amp;'ARDT Cutter Entry'!$BN$4&amp;"*"),"",IF(COUNTIF(AH211,"*"&amp;'ARDT Cutter Entry'!$BN$5&amp;"*"),"",IF(COUNTIF(AH211,"*"&amp;'ARDT Cutter Entry'!$BN$6&amp;"*"),"",IF(COUNTIF(AH211,"*"&amp;'ARDT Cutter Entry'!$BN$7&amp;"*"),"",Data!CW56))))),SUBSTITUTE(SUBSTITUTE(SUBSTITUTE(SUBSTITUTE(SUBSTITUTE(SUBSTITUTE(SUBSTITUTE(SUBSTITUTE(SUBSTITUTE(AH211,'ARDT Cutter Entry'!$BN$3,""),'ARDT Cutter Entry'!$BN$4,""),'ARDT Cutter Entry'!$BN$5,""),'ARDT Cutter Entry'!$BN$6,""),'ARDT Cutter Entry'!$BN$7,""),"P",""),"I",""),"V",""),"B","")&amp;Data!CW56),IF(AND(Data!CW56&lt;&gt;0,Data!CW56&lt;&gt;""),IF(AH228&lt;&gt;"",AH228,"O"),""))</f>
        <v/>
      </c>
      <c r="AI245" s="41" t="str">
        <f>IF(AI211&lt;&gt;"",IF(OR(COUNTIF(AI211,"L*"),COUNTIF(AI211, "X*")),SUBSTITUTE(SUBSTITUTE(SUBSTITUTE(SUBSTITUTE(AI211,"P",""),"I",""),"V",""),"B","") &amp; IF(COUNTIF(AI211, "*"&amp;'ARDT Cutter Entry'!$BN$3&amp;"*"),"",IF(COUNTIF(AI211, "*"&amp;'ARDT Cutter Entry'!$BN$4&amp;"*"),"",IF(COUNTIF(AI211,"*"&amp;'ARDT Cutter Entry'!$BN$5&amp;"*"),"",IF(COUNTIF(AI211,"*"&amp;'ARDT Cutter Entry'!$BN$6&amp;"*"),"",IF(COUNTIF(AI211,"*"&amp;'ARDT Cutter Entry'!$BN$7&amp;"*"),"",Data!CX56))))),SUBSTITUTE(SUBSTITUTE(SUBSTITUTE(SUBSTITUTE(SUBSTITUTE(SUBSTITUTE(SUBSTITUTE(SUBSTITUTE(SUBSTITUTE(AI211,'ARDT Cutter Entry'!$BN$3,""),'ARDT Cutter Entry'!$BN$4,""),'ARDT Cutter Entry'!$BN$5,""),'ARDT Cutter Entry'!$BN$6,""),'ARDT Cutter Entry'!$BN$7,""),"P",""),"I",""),"V",""),"B","")&amp;Data!CX56),IF(AND(Data!CX56&lt;&gt;0,Data!CX56&lt;&gt;""),IF(AI228&lt;&gt;"",AI228,"O"),""))</f>
        <v/>
      </c>
    </row>
    <row r="246" spans="1:63" ht="24" customHeight="1" thickBot="1" x14ac:dyDescent="0.4">
      <c r="A246" s="1197"/>
      <c r="B246" s="23">
        <v>12</v>
      </c>
      <c r="C246" s="41" t="str">
        <f>IF(C212&lt;&gt;"",IF(OR(COUNTIF(C212,"L*"),COUNTIF(C212, "X*")),SUBSTITUTE(SUBSTITUTE(SUBSTITUTE(SUBSTITUTE(C212,"P",""),"I",""),"V",""),"B","") &amp; IF(COUNTIF(C212, "*"&amp;'ARDT Cutter Entry'!$BN$3&amp;"*"),"",IF(COUNTIF(C212, "*"&amp;'ARDT Cutter Entry'!$BN$4&amp;"*"),"",IF(COUNTIF(C212,"*"&amp;'ARDT Cutter Entry'!$BN$5&amp;"*"),"",IF(COUNTIF(C212,"*"&amp;'ARDT Cutter Entry'!$BN$6&amp;"*"),"",IF(COUNTIF(C212,"*"&amp;'ARDT Cutter Entry'!$BN$7&amp;"*"),"",Data!BR57))))),SUBSTITUTE(SUBSTITUTE(SUBSTITUTE(SUBSTITUTE(SUBSTITUTE(SUBSTITUTE(SUBSTITUTE(SUBSTITUTE(SUBSTITUTE(C212,'ARDT Cutter Entry'!$BN$3,""),'ARDT Cutter Entry'!$BN$4,""),'ARDT Cutter Entry'!$BN$5,""),'ARDT Cutter Entry'!$BN$6,""),'ARDT Cutter Entry'!$BN$7,""),"P",""),"I",""),"V",""),"B","")&amp;Data!BR57),IF(AND(Data!BR57&lt;&gt;0,Data!BR57&lt;&gt;""),IF(C229&lt;&gt;"",C229,"O"),""))</f>
        <v/>
      </c>
      <c r="D246" s="41" t="str">
        <f>IF(D212&lt;&gt;"",IF(OR(COUNTIF(D212,"L*"),COUNTIF(D212, "X*")),SUBSTITUTE(SUBSTITUTE(SUBSTITUTE(SUBSTITUTE(D212,"P",""),"I",""),"V",""),"B","") &amp; IF(COUNTIF(D212, "*"&amp;'ARDT Cutter Entry'!$BN$3&amp;"*"),"",IF(COUNTIF(D212, "*"&amp;'ARDT Cutter Entry'!$BN$4&amp;"*"),"",IF(COUNTIF(D212,"*"&amp;'ARDT Cutter Entry'!$BN$5&amp;"*"),"",IF(COUNTIF(D212,"*"&amp;'ARDT Cutter Entry'!$BN$6&amp;"*"),"",IF(COUNTIF(D212,"*"&amp;'ARDT Cutter Entry'!$BN$7&amp;"*"),"",Data!BS57))))),SUBSTITUTE(SUBSTITUTE(SUBSTITUTE(SUBSTITUTE(SUBSTITUTE(SUBSTITUTE(SUBSTITUTE(SUBSTITUTE(SUBSTITUTE(D212,'ARDT Cutter Entry'!$BN$3,""),'ARDT Cutter Entry'!$BN$4,""),'ARDT Cutter Entry'!$BN$5,""),'ARDT Cutter Entry'!$BN$6,""),'ARDT Cutter Entry'!$BN$7,""),"P",""),"I",""),"V",""),"B","")&amp;Data!BS57),IF(AND(Data!BS57&lt;&gt;0,Data!BS57&lt;&gt;""),IF(D229&lt;&gt;"",D229,"O"),""))</f>
        <v/>
      </c>
      <c r="E246" s="41" t="str">
        <f>IF(E212&lt;&gt;"",IF(OR(COUNTIF(E212,"L*"),COUNTIF(E212, "X*")),SUBSTITUTE(SUBSTITUTE(SUBSTITUTE(SUBSTITUTE(E212,"P",""),"I",""),"V",""),"B","") &amp; IF(COUNTIF(E212, "*"&amp;'ARDT Cutter Entry'!$BN$3&amp;"*"),"",IF(COUNTIF(E212, "*"&amp;'ARDT Cutter Entry'!$BN$4&amp;"*"),"",IF(COUNTIF(E212,"*"&amp;'ARDT Cutter Entry'!$BN$5&amp;"*"),"",IF(COUNTIF(E212,"*"&amp;'ARDT Cutter Entry'!$BN$6&amp;"*"),"",IF(COUNTIF(E212,"*"&amp;'ARDT Cutter Entry'!$BN$7&amp;"*"),"",Data!BT57))))),SUBSTITUTE(SUBSTITUTE(SUBSTITUTE(SUBSTITUTE(SUBSTITUTE(SUBSTITUTE(SUBSTITUTE(SUBSTITUTE(SUBSTITUTE(E212,'ARDT Cutter Entry'!$BN$3,""),'ARDT Cutter Entry'!$BN$4,""),'ARDT Cutter Entry'!$BN$5,""),'ARDT Cutter Entry'!$BN$6,""),'ARDT Cutter Entry'!$BN$7,""),"P",""),"I",""),"V",""),"B","")&amp;Data!BT57),IF(AND(Data!BT57&lt;&gt;0,Data!BT57&lt;&gt;""),IF(E229&lt;&gt;"",E229,"O"),""))</f>
        <v/>
      </c>
      <c r="F246" s="41" t="str">
        <f>IF(F212&lt;&gt;"",IF(OR(COUNTIF(F212,"L*"),COUNTIF(F212, "X*")),SUBSTITUTE(SUBSTITUTE(SUBSTITUTE(SUBSTITUTE(F212,"P",""),"I",""),"V",""),"B","") &amp; IF(COUNTIF(F212, "*"&amp;'ARDT Cutter Entry'!$BN$3&amp;"*"),"",IF(COUNTIF(F212, "*"&amp;'ARDT Cutter Entry'!$BN$4&amp;"*"),"",IF(COUNTIF(F212,"*"&amp;'ARDT Cutter Entry'!$BN$5&amp;"*"),"",IF(COUNTIF(F212,"*"&amp;'ARDT Cutter Entry'!$BN$6&amp;"*"),"",IF(COUNTIF(F212,"*"&amp;'ARDT Cutter Entry'!$BN$7&amp;"*"),"",Data!BU57))))),SUBSTITUTE(SUBSTITUTE(SUBSTITUTE(SUBSTITUTE(SUBSTITUTE(SUBSTITUTE(SUBSTITUTE(SUBSTITUTE(SUBSTITUTE(F212,'ARDT Cutter Entry'!$BN$3,""),'ARDT Cutter Entry'!$BN$4,""),'ARDT Cutter Entry'!$BN$5,""),'ARDT Cutter Entry'!$BN$6,""),'ARDT Cutter Entry'!$BN$7,""),"P",""),"I",""),"V",""),"B","")&amp;Data!BU57),IF(AND(Data!BU57&lt;&gt;0,Data!BU57&lt;&gt;""),IF(F229&lt;&gt;"",F229,"O"),""))</f>
        <v/>
      </c>
      <c r="G246" s="41" t="str">
        <f>IF(G212&lt;&gt;"",IF(OR(COUNTIF(G212,"L*"),COUNTIF(G212, "X*")),SUBSTITUTE(SUBSTITUTE(SUBSTITUTE(SUBSTITUTE(G212,"P",""),"I",""),"V",""),"B","") &amp; IF(COUNTIF(G212, "*"&amp;'ARDT Cutter Entry'!$BN$3&amp;"*"),"",IF(COUNTIF(G212, "*"&amp;'ARDT Cutter Entry'!$BN$4&amp;"*"),"",IF(COUNTIF(G212,"*"&amp;'ARDT Cutter Entry'!$BN$5&amp;"*"),"",IF(COUNTIF(G212,"*"&amp;'ARDT Cutter Entry'!$BN$6&amp;"*"),"",IF(COUNTIF(G212,"*"&amp;'ARDT Cutter Entry'!$BN$7&amp;"*"),"",Data!BV57))))),SUBSTITUTE(SUBSTITUTE(SUBSTITUTE(SUBSTITUTE(SUBSTITUTE(SUBSTITUTE(SUBSTITUTE(SUBSTITUTE(SUBSTITUTE(G212,'ARDT Cutter Entry'!$BN$3,""),'ARDT Cutter Entry'!$BN$4,""),'ARDT Cutter Entry'!$BN$5,""),'ARDT Cutter Entry'!$BN$6,""),'ARDT Cutter Entry'!$BN$7,""),"P",""),"I",""),"V",""),"B","")&amp;Data!BV57),IF(AND(Data!BV57&lt;&gt;0,Data!BV57&lt;&gt;""),IF(G229&lt;&gt;"",G229,"O"),""))</f>
        <v/>
      </c>
      <c r="H246" s="41" t="str">
        <f>IF(H212&lt;&gt;"",IF(OR(COUNTIF(H212,"L*"),COUNTIF(H212, "X*")),SUBSTITUTE(SUBSTITUTE(SUBSTITUTE(SUBSTITUTE(H212,"P",""),"I",""),"V",""),"B","") &amp; IF(COUNTIF(H212, "*"&amp;'ARDT Cutter Entry'!$BN$3&amp;"*"),"",IF(COUNTIF(H212, "*"&amp;'ARDT Cutter Entry'!$BN$4&amp;"*"),"",IF(COUNTIF(H212,"*"&amp;'ARDT Cutter Entry'!$BN$5&amp;"*"),"",IF(COUNTIF(H212,"*"&amp;'ARDT Cutter Entry'!$BN$6&amp;"*"),"",IF(COUNTIF(H212,"*"&amp;'ARDT Cutter Entry'!$BN$7&amp;"*"),"",Data!BW57))))),SUBSTITUTE(SUBSTITUTE(SUBSTITUTE(SUBSTITUTE(SUBSTITUTE(SUBSTITUTE(SUBSTITUTE(SUBSTITUTE(SUBSTITUTE(H212,'ARDT Cutter Entry'!$BN$3,""),'ARDT Cutter Entry'!$BN$4,""),'ARDT Cutter Entry'!$BN$5,""),'ARDT Cutter Entry'!$BN$6,""),'ARDT Cutter Entry'!$BN$7,""),"P",""),"I",""),"V",""),"B","")&amp;Data!BW57),IF(AND(Data!BW57&lt;&gt;0,Data!BW57&lt;&gt;""),IF(H229&lt;&gt;"",H229,"O"),""))</f>
        <v/>
      </c>
      <c r="I246" s="41" t="str">
        <f>IF(I212&lt;&gt;"",IF(OR(COUNTIF(I212,"L*"),COUNTIF(I212, "X*")),SUBSTITUTE(SUBSTITUTE(SUBSTITUTE(SUBSTITUTE(I212,"P",""),"I",""),"V",""),"B","") &amp; IF(COUNTIF(I212, "*"&amp;'ARDT Cutter Entry'!$BN$3&amp;"*"),"",IF(COUNTIF(I212, "*"&amp;'ARDT Cutter Entry'!$BN$4&amp;"*"),"",IF(COUNTIF(I212,"*"&amp;'ARDT Cutter Entry'!$BN$5&amp;"*"),"",IF(COUNTIF(I212,"*"&amp;'ARDT Cutter Entry'!$BN$6&amp;"*"),"",IF(COUNTIF(I212,"*"&amp;'ARDT Cutter Entry'!$BN$7&amp;"*"),"",Data!BX57))))),SUBSTITUTE(SUBSTITUTE(SUBSTITUTE(SUBSTITUTE(SUBSTITUTE(SUBSTITUTE(SUBSTITUTE(SUBSTITUTE(SUBSTITUTE(I212,'ARDT Cutter Entry'!$BN$3,""),'ARDT Cutter Entry'!$BN$4,""),'ARDT Cutter Entry'!$BN$5,""),'ARDT Cutter Entry'!$BN$6,""),'ARDT Cutter Entry'!$BN$7,""),"P",""),"I",""),"V",""),"B","")&amp;Data!BX57),IF(AND(Data!BX57&lt;&gt;0,Data!BX57&lt;&gt;""),IF(I229&lt;&gt;"",I229,"O"),""))</f>
        <v/>
      </c>
      <c r="J246" s="41" t="str">
        <f>IF(J212&lt;&gt;"",IF(OR(COUNTIF(J212,"L*"),COUNTIF(J212, "X*")),SUBSTITUTE(SUBSTITUTE(SUBSTITUTE(SUBSTITUTE(J212,"P",""),"I",""),"V",""),"B","") &amp; IF(COUNTIF(J212, "*"&amp;'ARDT Cutter Entry'!$BN$3&amp;"*"),"",IF(COUNTIF(J212, "*"&amp;'ARDT Cutter Entry'!$BN$4&amp;"*"),"",IF(COUNTIF(J212,"*"&amp;'ARDT Cutter Entry'!$BN$5&amp;"*"),"",IF(COUNTIF(J212,"*"&amp;'ARDT Cutter Entry'!$BN$6&amp;"*"),"",IF(COUNTIF(J212,"*"&amp;'ARDT Cutter Entry'!$BN$7&amp;"*"),"",Data!BY57))))),SUBSTITUTE(SUBSTITUTE(SUBSTITUTE(SUBSTITUTE(SUBSTITUTE(SUBSTITUTE(SUBSTITUTE(SUBSTITUTE(SUBSTITUTE(J212,'ARDT Cutter Entry'!$BN$3,""),'ARDT Cutter Entry'!$BN$4,""),'ARDT Cutter Entry'!$BN$5,""),'ARDT Cutter Entry'!$BN$6,""),'ARDT Cutter Entry'!$BN$7,""),"P",""),"I",""),"V",""),"B","")&amp;Data!BY57),IF(AND(Data!BY57&lt;&gt;0,Data!BY57&lt;&gt;""),IF(J229&lt;&gt;"",J229,"O"),""))</f>
        <v/>
      </c>
      <c r="K246" s="41" t="str">
        <f>IF(K212&lt;&gt;"",IF(OR(COUNTIF(K212,"L*"),COUNTIF(K212, "X*")),SUBSTITUTE(SUBSTITUTE(SUBSTITUTE(SUBSTITUTE(K212,"P",""),"I",""),"V",""),"B","") &amp; IF(COUNTIF(K212, "*"&amp;'ARDT Cutter Entry'!$BN$3&amp;"*"),"",IF(COUNTIF(K212, "*"&amp;'ARDT Cutter Entry'!$BN$4&amp;"*"),"",IF(COUNTIF(K212,"*"&amp;'ARDT Cutter Entry'!$BN$5&amp;"*"),"",IF(COUNTIF(K212,"*"&amp;'ARDT Cutter Entry'!$BN$6&amp;"*"),"",IF(COUNTIF(K212,"*"&amp;'ARDT Cutter Entry'!$BN$7&amp;"*"),"",Data!BZ57))))),SUBSTITUTE(SUBSTITUTE(SUBSTITUTE(SUBSTITUTE(SUBSTITUTE(SUBSTITUTE(SUBSTITUTE(SUBSTITUTE(SUBSTITUTE(K212,'ARDT Cutter Entry'!$BN$3,""),'ARDT Cutter Entry'!$BN$4,""),'ARDT Cutter Entry'!$BN$5,""),'ARDT Cutter Entry'!$BN$6,""),'ARDT Cutter Entry'!$BN$7,""),"P",""),"I",""),"V",""),"B","")&amp;Data!BZ57),IF(AND(Data!BZ57&lt;&gt;0,Data!BZ57&lt;&gt;""),IF(K229&lt;&gt;"",K229,"O"),""))</f>
        <v/>
      </c>
      <c r="L246" s="41" t="str">
        <f>IF(L212&lt;&gt;"",IF(OR(COUNTIF(L212,"L*"),COUNTIF(L212, "X*")),SUBSTITUTE(SUBSTITUTE(SUBSTITUTE(SUBSTITUTE(L212,"P",""),"I",""),"V",""),"B","") &amp; IF(COUNTIF(L212, "*"&amp;'ARDT Cutter Entry'!$BN$3&amp;"*"),"",IF(COUNTIF(L212, "*"&amp;'ARDT Cutter Entry'!$BN$4&amp;"*"),"",IF(COUNTIF(L212,"*"&amp;'ARDT Cutter Entry'!$BN$5&amp;"*"),"",IF(COUNTIF(L212,"*"&amp;'ARDT Cutter Entry'!$BN$6&amp;"*"),"",IF(COUNTIF(L212,"*"&amp;'ARDT Cutter Entry'!$BN$7&amp;"*"),"",Data!CA57))))),SUBSTITUTE(SUBSTITUTE(SUBSTITUTE(SUBSTITUTE(SUBSTITUTE(SUBSTITUTE(SUBSTITUTE(SUBSTITUTE(SUBSTITUTE(L212,'ARDT Cutter Entry'!$BN$3,""),'ARDT Cutter Entry'!$BN$4,""),'ARDT Cutter Entry'!$BN$5,""),'ARDT Cutter Entry'!$BN$6,""),'ARDT Cutter Entry'!$BN$7,""),"P",""),"I",""),"V",""),"B","")&amp;Data!CA57),IF(AND(Data!CA57&lt;&gt;0,Data!CA57&lt;&gt;""),IF(L229&lt;&gt;"",L229,"O"),""))</f>
        <v/>
      </c>
      <c r="M246" s="41" t="str">
        <f>IF(M212&lt;&gt;"",IF(OR(COUNTIF(M212,"L*"),COUNTIF(M212, "X*")),SUBSTITUTE(SUBSTITUTE(SUBSTITUTE(SUBSTITUTE(M212,"P",""),"I",""),"V",""),"B","") &amp; IF(COUNTIF(M212, "*"&amp;'ARDT Cutter Entry'!$BN$3&amp;"*"),"",IF(COUNTIF(M212, "*"&amp;'ARDT Cutter Entry'!$BN$4&amp;"*"),"",IF(COUNTIF(M212,"*"&amp;'ARDT Cutter Entry'!$BN$5&amp;"*"),"",IF(COUNTIF(M212,"*"&amp;'ARDT Cutter Entry'!$BN$6&amp;"*"),"",IF(COUNTIF(M212,"*"&amp;'ARDT Cutter Entry'!$BN$7&amp;"*"),"",Data!CB57))))),SUBSTITUTE(SUBSTITUTE(SUBSTITUTE(SUBSTITUTE(SUBSTITUTE(SUBSTITUTE(SUBSTITUTE(SUBSTITUTE(SUBSTITUTE(M212,'ARDT Cutter Entry'!$BN$3,""),'ARDT Cutter Entry'!$BN$4,""),'ARDT Cutter Entry'!$BN$5,""),'ARDT Cutter Entry'!$BN$6,""),'ARDT Cutter Entry'!$BN$7,""),"P",""),"I",""),"V",""),"B","")&amp;Data!CB57),IF(AND(Data!CB57&lt;&gt;0,Data!CB57&lt;&gt;""),IF(M229&lt;&gt;"",M229,"O"),""))</f>
        <v/>
      </c>
      <c r="N246" s="41" t="str">
        <f>IF(N212&lt;&gt;"",IF(OR(COUNTIF(N212,"L*"),COUNTIF(N212, "X*")),SUBSTITUTE(SUBSTITUTE(SUBSTITUTE(SUBSTITUTE(N212,"P",""),"I",""),"V",""),"B","") &amp; IF(COUNTIF(N212, "*"&amp;'ARDT Cutter Entry'!$BN$3&amp;"*"),"",IF(COUNTIF(N212, "*"&amp;'ARDT Cutter Entry'!$BN$4&amp;"*"),"",IF(COUNTIF(N212,"*"&amp;'ARDT Cutter Entry'!$BN$5&amp;"*"),"",IF(COUNTIF(N212,"*"&amp;'ARDT Cutter Entry'!$BN$6&amp;"*"),"",IF(COUNTIF(N212,"*"&amp;'ARDT Cutter Entry'!$BN$7&amp;"*"),"",Data!CC57))))),SUBSTITUTE(SUBSTITUTE(SUBSTITUTE(SUBSTITUTE(SUBSTITUTE(SUBSTITUTE(SUBSTITUTE(SUBSTITUTE(SUBSTITUTE(N212,'ARDT Cutter Entry'!$BN$3,""),'ARDT Cutter Entry'!$BN$4,""),'ARDT Cutter Entry'!$BN$5,""),'ARDT Cutter Entry'!$BN$6,""),'ARDT Cutter Entry'!$BN$7,""),"P",""),"I",""),"V",""),"B","")&amp;Data!CC57),IF(AND(Data!CC57&lt;&gt;0,Data!CC57&lt;&gt;""),IF(N229&lt;&gt;"",N229,"O"),""))</f>
        <v/>
      </c>
      <c r="O246" s="41" t="str">
        <f>IF(O212&lt;&gt;"",IF(OR(COUNTIF(O212,"L*"),COUNTIF(O212, "X*")),SUBSTITUTE(SUBSTITUTE(SUBSTITUTE(SUBSTITUTE(O212,"P",""),"I",""),"V",""),"B","") &amp; IF(COUNTIF(O212, "*"&amp;'ARDT Cutter Entry'!$BN$3&amp;"*"),"",IF(COUNTIF(O212, "*"&amp;'ARDT Cutter Entry'!$BN$4&amp;"*"),"",IF(COUNTIF(O212,"*"&amp;'ARDT Cutter Entry'!$BN$5&amp;"*"),"",IF(COUNTIF(O212,"*"&amp;'ARDT Cutter Entry'!$BN$6&amp;"*"),"",IF(COUNTIF(O212,"*"&amp;'ARDT Cutter Entry'!$BN$7&amp;"*"),"",Data!CD57))))),SUBSTITUTE(SUBSTITUTE(SUBSTITUTE(SUBSTITUTE(SUBSTITUTE(SUBSTITUTE(SUBSTITUTE(SUBSTITUTE(SUBSTITUTE(O212,'ARDT Cutter Entry'!$BN$3,""),'ARDT Cutter Entry'!$BN$4,""),'ARDT Cutter Entry'!$BN$5,""),'ARDT Cutter Entry'!$BN$6,""),'ARDT Cutter Entry'!$BN$7,""),"P",""),"I",""),"V",""),"B","")&amp;Data!CD57),IF(AND(Data!CD57&lt;&gt;0,Data!CD57&lt;&gt;""),IF(O229&lt;&gt;"",O229,"O"),""))</f>
        <v/>
      </c>
      <c r="P246" s="41" t="str">
        <f>IF(P212&lt;&gt;"",IF(OR(COUNTIF(P212,"L*"),COUNTIF(P212, "X*")),SUBSTITUTE(SUBSTITUTE(SUBSTITUTE(SUBSTITUTE(P212,"P",""),"I",""),"V",""),"B","") &amp; IF(COUNTIF(P212, "*"&amp;'ARDT Cutter Entry'!$BN$3&amp;"*"),"",IF(COUNTIF(P212, "*"&amp;'ARDT Cutter Entry'!$BN$4&amp;"*"),"",IF(COUNTIF(P212,"*"&amp;'ARDT Cutter Entry'!$BN$5&amp;"*"),"",IF(COUNTIF(P212,"*"&amp;'ARDT Cutter Entry'!$BN$6&amp;"*"),"",IF(COUNTIF(P212,"*"&amp;'ARDT Cutter Entry'!$BN$7&amp;"*"),"",Data!CE57))))),SUBSTITUTE(SUBSTITUTE(SUBSTITUTE(SUBSTITUTE(SUBSTITUTE(SUBSTITUTE(SUBSTITUTE(SUBSTITUTE(SUBSTITUTE(P212,'ARDT Cutter Entry'!$BN$3,""),'ARDT Cutter Entry'!$BN$4,""),'ARDT Cutter Entry'!$BN$5,""),'ARDT Cutter Entry'!$BN$6,""),'ARDT Cutter Entry'!$BN$7,""),"P",""),"I",""),"V",""),"B","")&amp;Data!CE57),IF(AND(Data!CE57&lt;&gt;0,Data!CE57&lt;&gt;""),IF(P229&lt;&gt;"",P229,"O"),""))</f>
        <v/>
      </c>
      <c r="Q246" s="41" t="str">
        <f>IF(Q212&lt;&gt;"",IF(OR(COUNTIF(Q212,"L*"),COUNTIF(Q212, "X*")),SUBSTITUTE(SUBSTITUTE(SUBSTITUTE(SUBSTITUTE(Q212,"P",""),"I",""),"V",""),"B","") &amp; IF(COUNTIF(Q212, "*"&amp;'ARDT Cutter Entry'!$BN$3&amp;"*"),"",IF(COUNTIF(Q212, "*"&amp;'ARDT Cutter Entry'!$BN$4&amp;"*"),"",IF(COUNTIF(Q212,"*"&amp;'ARDT Cutter Entry'!$BN$5&amp;"*"),"",IF(COUNTIF(Q212,"*"&amp;'ARDT Cutter Entry'!$BN$6&amp;"*"),"",IF(COUNTIF(Q212,"*"&amp;'ARDT Cutter Entry'!$BN$7&amp;"*"),"",Data!CF57))))),SUBSTITUTE(SUBSTITUTE(SUBSTITUTE(SUBSTITUTE(SUBSTITUTE(SUBSTITUTE(SUBSTITUTE(SUBSTITUTE(SUBSTITUTE(Q212,'ARDT Cutter Entry'!$BN$3,""),'ARDT Cutter Entry'!$BN$4,""),'ARDT Cutter Entry'!$BN$5,""),'ARDT Cutter Entry'!$BN$6,""),'ARDT Cutter Entry'!$BN$7,""),"P",""),"I",""),"V",""),"B","")&amp;Data!CF57),IF(AND(Data!CF57&lt;&gt;0,Data!CF57&lt;&gt;""),IF(Q229&lt;&gt;"",Q229,"O"),""))</f>
        <v/>
      </c>
      <c r="R246" s="41" t="str">
        <f>IF(R212&lt;&gt;"",IF(OR(COUNTIF(R212,"L*"),COUNTIF(R212, "X*")),SUBSTITUTE(SUBSTITUTE(SUBSTITUTE(SUBSTITUTE(R212,"P",""),"I",""),"V",""),"B","") &amp; IF(COUNTIF(R212, "*"&amp;'ARDT Cutter Entry'!$BN$3&amp;"*"),"",IF(COUNTIF(R212, "*"&amp;'ARDT Cutter Entry'!$BN$4&amp;"*"),"",IF(COUNTIF(R212,"*"&amp;'ARDT Cutter Entry'!$BN$5&amp;"*"),"",IF(COUNTIF(R212,"*"&amp;'ARDT Cutter Entry'!$BN$6&amp;"*"),"",IF(COUNTIF(R212,"*"&amp;'ARDT Cutter Entry'!$BN$7&amp;"*"),"",Data!CG57))))),SUBSTITUTE(SUBSTITUTE(SUBSTITUTE(SUBSTITUTE(SUBSTITUTE(SUBSTITUTE(SUBSTITUTE(SUBSTITUTE(SUBSTITUTE(R212,'ARDT Cutter Entry'!$BN$3,""),'ARDT Cutter Entry'!$BN$4,""),'ARDT Cutter Entry'!$BN$5,""),'ARDT Cutter Entry'!$BN$6,""),'ARDT Cutter Entry'!$BN$7,""),"P",""),"I",""),"V",""),"B","")&amp;Data!CG57),IF(AND(Data!CG57&lt;&gt;0,Data!CG57&lt;&gt;""),IF(R229&lt;&gt;"",R229,"O"),""))</f>
        <v/>
      </c>
      <c r="S246" s="41" t="str">
        <f>IF(S212&lt;&gt;"",IF(OR(COUNTIF(S212,"L*"),COUNTIF(S212, "X*")),SUBSTITUTE(SUBSTITUTE(SUBSTITUTE(SUBSTITUTE(S212,"P",""),"I",""),"V",""),"B","") &amp; IF(COUNTIF(S212, "*"&amp;'ARDT Cutter Entry'!$BN$3&amp;"*"),"",IF(COUNTIF(S212, "*"&amp;'ARDT Cutter Entry'!$BN$4&amp;"*"),"",IF(COUNTIF(S212,"*"&amp;'ARDT Cutter Entry'!$BN$5&amp;"*"),"",IF(COUNTIF(S212,"*"&amp;'ARDT Cutter Entry'!$BN$6&amp;"*"),"",IF(COUNTIF(S212,"*"&amp;'ARDT Cutter Entry'!$BN$7&amp;"*"),"",Data!CH57))))),SUBSTITUTE(SUBSTITUTE(SUBSTITUTE(SUBSTITUTE(SUBSTITUTE(SUBSTITUTE(SUBSTITUTE(SUBSTITUTE(SUBSTITUTE(S212,'ARDT Cutter Entry'!$BN$3,""),'ARDT Cutter Entry'!$BN$4,""),'ARDT Cutter Entry'!$BN$5,""),'ARDT Cutter Entry'!$BN$6,""),'ARDT Cutter Entry'!$BN$7,""),"P",""),"I",""),"V",""),"B","")&amp;Data!CH57),IF(AND(Data!CH57&lt;&gt;0,Data!CH57&lt;&gt;""),IF(S229&lt;&gt;"",S229,"O"),""))</f>
        <v/>
      </c>
      <c r="T246" s="41" t="str">
        <f>IF(T212&lt;&gt;"",IF(OR(COUNTIF(T212,"L*"),COUNTIF(T212, "X*")),SUBSTITUTE(SUBSTITUTE(SUBSTITUTE(SUBSTITUTE(T212,"P",""),"I",""),"V",""),"B","") &amp; IF(COUNTIF(T212, "*"&amp;'ARDT Cutter Entry'!$BN$3&amp;"*"),"",IF(COUNTIF(T212, "*"&amp;'ARDT Cutter Entry'!$BN$4&amp;"*"),"",IF(COUNTIF(T212,"*"&amp;'ARDT Cutter Entry'!$BN$5&amp;"*"),"",IF(COUNTIF(T212,"*"&amp;'ARDT Cutter Entry'!$BN$6&amp;"*"),"",IF(COUNTIF(T212,"*"&amp;'ARDT Cutter Entry'!$BN$7&amp;"*"),"",Data!CI57))))),SUBSTITUTE(SUBSTITUTE(SUBSTITUTE(SUBSTITUTE(SUBSTITUTE(SUBSTITUTE(SUBSTITUTE(SUBSTITUTE(SUBSTITUTE(T212,'ARDT Cutter Entry'!$BN$3,""),'ARDT Cutter Entry'!$BN$4,""),'ARDT Cutter Entry'!$BN$5,""),'ARDT Cutter Entry'!$BN$6,""),'ARDT Cutter Entry'!$BN$7,""),"P",""),"I",""),"V",""),"B","")&amp;Data!CI57),IF(AND(Data!CI57&lt;&gt;0,Data!CI57&lt;&gt;""),IF(T229&lt;&gt;"",T229,"O"),""))</f>
        <v/>
      </c>
      <c r="U246" s="41" t="str">
        <f>IF(U212&lt;&gt;"",IF(OR(COUNTIF(U212,"L*"),COUNTIF(U212, "X*")),SUBSTITUTE(SUBSTITUTE(SUBSTITUTE(SUBSTITUTE(U212,"P",""),"I",""),"V",""),"B","") &amp; IF(COUNTIF(U212, "*"&amp;'ARDT Cutter Entry'!$BN$3&amp;"*"),"",IF(COUNTIF(U212, "*"&amp;'ARDT Cutter Entry'!$BN$4&amp;"*"),"",IF(COUNTIF(U212,"*"&amp;'ARDT Cutter Entry'!$BN$5&amp;"*"),"",IF(COUNTIF(U212,"*"&amp;'ARDT Cutter Entry'!$BN$6&amp;"*"),"",IF(COUNTIF(U212,"*"&amp;'ARDT Cutter Entry'!$BN$7&amp;"*"),"",Data!CJ57))))),SUBSTITUTE(SUBSTITUTE(SUBSTITUTE(SUBSTITUTE(SUBSTITUTE(SUBSTITUTE(SUBSTITUTE(SUBSTITUTE(SUBSTITUTE(U212,'ARDT Cutter Entry'!$BN$3,""),'ARDT Cutter Entry'!$BN$4,""),'ARDT Cutter Entry'!$BN$5,""),'ARDT Cutter Entry'!$BN$6,""),'ARDT Cutter Entry'!$BN$7,""),"P",""),"I",""),"V",""),"B","")&amp;Data!CJ57),IF(AND(Data!CJ57&lt;&gt;0,Data!CJ57&lt;&gt;""),IF(U229&lt;&gt;"",U229,"O"),""))</f>
        <v/>
      </c>
      <c r="V246" s="41" t="str">
        <f>IF(V212&lt;&gt;"",IF(OR(COUNTIF(V212,"L*"),COUNTIF(V212, "X*")),SUBSTITUTE(SUBSTITUTE(SUBSTITUTE(SUBSTITUTE(V212,"P",""),"I",""),"V",""),"B","") &amp; IF(COUNTIF(V212, "*"&amp;'ARDT Cutter Entry'!$BN$3&amp;"*"),"",IF(COUNTIF(V212, "*"&amp;'ARDT Cutter Entry'!$BN$4&amp;"*"),"",IF(COUNTIF(V212,"*"&amp;'ARDT Cutter Entry'!$BN$5&amp;"*"),"",IF(COUNTIF(V212,"*"&amp;'ARDT Cutter Entry'!$BN$6&amp;"*"),"",IF(COUNTIF(V212,"*"&amp;'ARDT Cutter Entry'!$BN$7&amp;"*"),"",Data!CK57))))),SUBSTITUTE(SUBSTITUTE(SUBSTITUTE(SUBSTITUTE(SUBSTITUTE(SUBSTITUTE(SUBSTITUTE(SUBSTITUTE(SUBSTITUTE(V212,'ARDT Cutter Entry'!$BN$3,""),'ARDT Cutter Entry'!$BN$4,""),'ARDT Cutter Entry'!$BN$5,""),'ARDT Cutter Entry'!$BN$6,""),'ARDT Cutter Entry'!$BN$7,""),"P",""),"I",""),"V",""),"B","")&amp;Data!CK57),IF(AND(Data!CK57&lt;&gt;0,Data!CK57&lt;&gt;""),IF(V229&lt;&gt;"",V229,"O"),""))</f>
        <v/>
      </c>
      <c r="W246" s="41" t="str">
        <f>IF(W212&lt;&gt;"",IF(OR(COUNTIF(W212,"L*"),COUNTIF(W212, "X*")),SUBSTITUTE(SUBSTITUTE(SUBSTITUTE(SUBSTITUTE(W212,"P",""),"I",""),"V",""),"B","") &amp; IF(COUNTIF(W212, "*"&amp;'ARDT Cutter Entry'!$BN$3&amp;"*"),"",IF(COUNTIF(W212, "*"&amp;'ARDT Cutter Entry'!$BN$4&amp;"*"),"",IF(COUNTIF(W212,"*"&amp;'ARDT Cutter Entry'!$BN$5&amp;"*"),"",IF(COUNTIF(W212,"*"&amp;'ARDT Cutter Entry'!$BN$6&amp;"*"),"",IF(COUNTIF(W212,"*"&amp;'ARDT Cutter Entry'!$BN$7&amp;"*"),"",Data!CL57))))),SUBSTITUTE(SUBSTITUTE(SUBSTITUTE(SUBSTITUTE(SUBSTITUTE(SUBSTITUTE(SUBSTITUTE(SUBSTITUTE(SUBSTITUTE(W212,'ARDT Cutter Entry'!$BN$3,""),'ARDT Cutter Entry'!$BN$4,""),'ARDT Cutter Entry'!$BN$5,""),'ARDT Cutter Entry'!$BN$6,""),'ARDT Cutter Entry'!$BN$7,""),"P",""),"I",""),"V",""),"B","")&amp;Data!CL57),IF(AND(Data!CL57&lt;&gt;0,Data!CL57&lt;&gt;""),IF(W229&lt;&gt;"",W229,"O"),""))</f>
        <v/>
      </c>
      <c r="X246" s="41" t="str">
        <f>IF(X212&lt;&gt;"",IF(OR(COUNTIF(X212,"L*"),COUNTIF(X212, "X*")),SUBSTITUTE(SUBSTITUTE(SUBSTITUTE(SUBSTITUTE(X212,"P",""),"I",""),"V",""),"B","") &amp; IF(COUNTIF(X212, "*"&amp;'ARDT Cutter Entry'!$BN$3&amp;"*"),"",IF(COUNTIF(X212, "*"&amp;'ARDT Cutter Entry'!$BN$4&amp;"*"),"",IF(COUNTIF(X212,"*"&amp;'ARDT Cutter Entry'!$BN$5&amp;"*"),"",IF(COUNTIF(X212,"*"&amp;'ARDT Cutter Entry'!$BN$6&amp;"*"),"",IF(COUNTIF(X212,"*"&amp;'ARDT Cutter Entry'!$BN$7&amp;"*"),"",Data!CM57))))),SUBSTITUTE(SUBSTITUTE(SUBSTITUTE(SUBSTITUTE(SUBSTITUTE(SUBSTITUTE(SUBSTITUTE(SUBSTITUTE(SUBSTITUTE(X212,'ARDT Cutter Entry'!$BN$3,""),'ARDT Cutter Entry'!$BN$4,""),'ARDT Cutter Entry'!$BN$5,""),'ARDT Cutter Entry'!$BN$6,""),'ARDT Cutter Entry'!$BN$7,""),"P",""),"I",""),"V",""),"B","")&amp;Data!CM57),IF(AND(Data!CM57&lt;&gt;0,Data!CM57&lt;&gt;""),IF(X229&lt;&gt;"",X229,"O"),""))</f>
        <v/>
      </c>
      <c r="Y246" s="41" t="str">
        <f>IF(Y212&lt;&gt;"",IF(OR(COUNTIF(Y212,"L*"),COUNTIF(Y212, "X*")),SUBSTITUTE(SUBSTITUTE(SUBSTITUTE(SUBSTITUTE(Y212,"P",""),"I",""),"V",""),"B","") &amp; IF(COUNTIF(Y212, "*"&amp;'ARDT Cutter Entry'!$BN$3&amp;"*"),"",IF(COUNTIF(Y212, "*"&amp;'ARDT Cutter Entry'!$BN$4&amp;"*"),"",IF(COUNTIF(Y212,"*"&amp;'ARDT Cutter Entry'!$BN$5&amp;"*"),"",IF(COUNTIF(Y212,"*"&amp;'ARDT Cutter Entry'!$BN$6&amp;"*"),"",IF(COUNTIF(Y212,"*"&amp;'ARDT Cutter Entry'!$BN$7&amp;"*"),"",Data!CN57))))),SUBSTITUTE(SUBSTITUTE(SUBSTITUTE(SUBSTITUTE(SUBSTITUTE(SUBSTITUTE(SUBSTITUTE(SUBSTITUTE(SUBSTITUTE(Y212,'ARDT Cutter Entry'!$BN$3,""),'ARDT Cutter Entry'!$BN$4,""),'ARDT Cutter Entry'!$BN$5,""),'ARDT Cutter Entry'!$BN$6,""),'ARDT Cutter Entry'!$BN$7,""),"P",""),"I",""),"V",""),"B","")&amp;Data!CN57),IF(AND(Data!CN57&lt;&gt;0,Data!CN57&lt;&gt;""),IF(Y229&lt;&gt;"",Y229,"O"),""))</f>
        <v/>
      </c>
      <c r="Z246" s="41" t="str">
        <f>IF(Z212&lt;&gt;"",IF(OR(COUNTIF(Z212,"L*"),COUNTIF(Z212, "X*")),SUBSTITUTE(SUBSTITUTE(SUBSTITUTE(SUBSTITUTE(Z212,"P",""),"I",""),"V",""),"B","") &amp; IF(COUNTIF(Z212, "*"&amp;'ARDT Cutter Entry'!$BN$3&amp;"*"),"",IF(COUNTIF(Z212, "*"&amp;'ARDT Cutter Entry'!$BN$4&amp;"*"),"",IF(COUNTIF(Z212,"*"&amp;'ARDT Cutter Entry'!$BN$5&amp;"*"),"",IF(COUNTIF(Z212,"*"&amp;'ARDT Cutter Entry'!$BN$6&amp;"*"),"",IF(COUNTIF(Z212,"*"&amp;'ARDT Cutter Entry'!$BN$7&amp;"*"),"",Data!CO57))))),SUBSTITUTE(SUBSTITUTE(SUBSTITUTE(SUBSTITUTE(SUBSTITUTE(SUBSTITUTE(SUBSTITUTE(SUBSTITUTE(SUBSTITUTE(Z212,'ARDT Cutter Entry'!$BN$3,""),'ARDT Cutter Entry'!$BN$4,""),'ARDT Cutter Entry'!$BN$5,""),'ARDT Cutter Entry'!$BN$6,""),'ARDT Cutter Entry'!$BN$7,""),"P",""),"I",""),"V",""),"B","")&amp;Data!CO57),IF(AND(Data!CO57&lt;&gt;0,Data!CO57&lt;&gt;""),IF(Z229&lt;&gt;"",Z229,"O"),""))</f>
        <v/>
      </c>
      <c r="AA246" s="41" t="str">
        <f>IF(AA212&lt;&gt;"",IF(OR(COUNTIF(AA212,"L*"),COUNTIF(AA212, "X*")),SUBSTITUTE(SUBSTITUTE(SUBSTITUTE(SUBSTITUTE(AA212,"P",""),"I",""),"V",""),"B","") &amp; IF(COUNTIF(AA212, "*"&amp;'ARDT Cutter Entry'!$BN$3&amp;"*"),"",IF(COUNTIF(AA212, "*"&amp;'ARDT Cutter Entry'!$BN$4&amp;"*"),"",IF(COUNTIF(AA212,"*"&amp;'ARDT Cutter Entry'!$BN$5&amp;"*"),"",IF(COUNTIF(AA212,"*"&amp;'ARDT Cutter Entry'!$BN$6&amp;"*"),"",IF(COUNTIF(AA212,"*"&amp;'ARDT Cutter Entry'!$BN$7&amp;"*"),"",Data!CP57))))),SUBSTITUTE(SUBSTITUTE(SUBSTITUTE(SUBSTITUTE(SUBSTITUTE(SUBSTITUTE(SUBSTITUTE(SUBSTITUTE(SUBSTITUTE(AA212,'ARDT Cutter Entry'!$BN$3,""),'ARDT Cutter Entry'!$BN$4,""),'ARDT Cutter Entry'!$BN$5,""),'ARDT Cutter Entry'!$BN$6,""),'ARDT Cutter Entry'!$BN$7,""),"P",""),"I",""),"V",""),"B","")&amp;Data!CP57),IF(AND(Data!CP57&lt;&gt;0,Data!CP57&lt;&gt;""),IF(AA229&lt;&gt;"",AA229,"O"),""))</f>
        <v/>
      </c>
      <c r="AB246" s="41" t="str">
        <f>IF(AB212&lt;&gt;"",IF(OR(COUNTIF(AB212,"L*"),COUNTIF(AB212, "X*")),SUBSTITUTE(SUBSTITUTE(SUBSTITUTE(SUBSTITUTE(AB212,"P",""),"I",""),"V",""),"B","") &amp; IF(COUNTIF(AB212, "*"&amp;'ARDT Cutter Entry'!$BN$3&amp;"*"),"",IF(COUNTIF(AB212, "*"&amp;'ARDT Cutter Entry'!$BN$4&amp;"*"),"",IF(COUNTIF(AB212,"*"&amp;'ARDT Cutter Entry'!$BN$5&amp;"*"),"",IF(COUNTIF(AB212,"*"&amp;'ARDT Cutter Entry'!$BN$6&amp;"*"),"",IF(COUNTIF(AB212,"*"&amp;'ARDT Cutter Entry'!$BN$7&amp;"*"),"",Data!CQ57))))),SUBSTITUTE(SUBSTITUTE(SUBSTITUTE(SUBSTITUTE(SUBSTITUTE(SUBSTITUTE(SUBSTITUTE(SUBSTITUTE(SUBSTITUTE(AB212,'ARDT Cutter Entry'!$BN$3,""),'ARDT Cutter Entry'!$BN$4,""),'ARDT Cutter Entry'!$BN$5,""),'ARDT Cutter Entry'!$BN$6,""),'ARDT Cutter Entry'!$BN$7,""),"P",""),"I",""),"V",""),"B","")&amp;Data!CQ57),IF(AND(Data!CQ57&lt;&gt;0,Data!CQ57&lt;&gt;""),IF(AB229&lt;&gt;"",AB229,"O"),""))</f>
        <v/>
      </c>
      <c r="AC246" s="41" t="str">
        <f>IF(AC212&lt;&gt;"",IF(OR(COUNTIF(AC212,"L*"),COUNTIF(AC212, "X*")),SUBSTITUTE(SUBSTITUTE(SUBSTITUTE(SUBSTITUTE(AC212,"P",""),"I",""),"V",""),"B","") &amp; IF(COUNTIF(AC212, "*"&amp;'ARDT Cutter Entry'!$BN$3&amp;"*"),"",IF(COUNTIF(AC212, "*"&amp;'ARDT Cutter Entry'!$BN$4&amp;"*"),"",IF(COUNTIF(AC212,"*"&amp;'ARDT Cutter Entry'!$BN$5&amp;"*"),"",IF(COUNTIF(AC212,"*"&amp;'ARDT Cutter Entry'!$BN$6&amp;"*"),"",IF(COUNTIF(AC212,"*"&amp;'ARDT Cutter Entry'!$BN$7&amp;"*"),"",Data!CR57))))),SUBSTITUTE(SUBSTITUTE(SUBSTITUTE(SUBSTITUTE(SUBSTITUTE(SUBSTITUTE(SUBSTITUTE(SUBSTITUTE(SUBSTITUTE(AC212,'ARDT Cutter Entry'!$BN$3,""),'ARDT Cutter Entry'!$BN$4,""),'ARDT Cutter Entry'!$BN$5,""),'ARDT Cutter Entry'!$BN$6,""),'ARDT Cutter Entry'!$BN$7,""),"P",""),"I",""),"V",""),"B","")&amp;Data!CR57),IF(AND(Data!CR57&lt;&gt;0,Data!CR57&lt;&gt;""),IF(AC229&lt;&gt;"",AC229,"O"),""))</f>
        <v/>
      </c>
      <c r="AD246" s="41" t="str">
        <f>IF(AD212&lt;&gt;"",IF(OR(COUNTIF(AD212,"L*"),COUNTIF(AD212, "X*")),SUBSTITUTE(SUBSTITUTE(SUBSTITUTE(SUBSTITUTE(AD212,"P",""),"I",""),"V",""),"B","") &amp; IF(COUNTIF(AD212, "*"&amp;'ARDT Cutter Entry'!$BN$3&amp;"*"),"",IF(COUNTIF(AD212, "*"&amp;'ARDT Cutter Entry'!$BN$4&amp;"*"),"",IF(COUNTIF(AD212,"*"&amp;'ARDT Cutter Entry'!$BN$5&amp;"*"),"",IF(COUNTIF(AD212,"*"&amp;'ARDT Cutter Entry'!$BN$6&amp;"*"),"",IF(COUNTIF(AD212,"*"&amp;'ARDT Cutter Entry'!$BN$7&amp;"*"),"",Data!CS57))))),SUBSTITUTE(SUBSTITUTE(SUBSTITUTE(SUBSTITUTE(SUBSTITUTE(SUBSTITUTE(SUBSTITUTE(SUBSTITUTE(SUBSTITUTE(AD212,'ARDT Cutter Entry'!$BN$3,""),'ARDT Cutter Entry'!$BN$4,""),'ARDT Cutter Entry'!$BN$5,""),'ARDT Cutter Entry'!$BN$6,""),'ARDT Cutter Entry'!$BN$7,""),"P",""),"I",""),"V",""),"B","")&amp;Data!CS57),IF(AND(Data!CS57&lt;&gt;0,Data!CS57&lt;&gt;""),IF(AD229&lt;&gt;"",AD229,"O"),""))</f>
        <v/>
      </c>
      <c r="AE246" s="41" t="str">
        <f>IF(AE212&lt;&gt;"",IF(OR(COUNTIF(AE212,"L*"),COUNTIF(AE212, "X*")),SUBSTITUTE(SUBSTITUTE(SUBSTITUTE(SUBSTITUTE(AE212,"P",""),"I",""),"V",""),"B","") &amp; IF(COUNTIF(AE212, "*"&amp;'ARDT Cutter Entry'!$BN$3&amp;"*"),"",IF(COUNTIF(AE212, "*"&amp;'ARDT Cutter Entry'!$BN$4&amp;"*"),"",IF(COUNTIF(AE212,"*"&amp;'ARDT Cutter Entry'!$BN$5&amp;"*"),"",IF(COUNTIF(AE212,"*"&amp;'ARDT Cutter Entry'!$BN$6&amp;"*"),"",IF(COUNTIF(AE212,"*"&amp;'ARDT Cutter Entry'!$BN$7&amp;"*"),"",Data!CT57))))),SUBSTITUTE(SUBSTITUTE(SUBSTITUTE(SUBSTITUTE(SUBSTITUTE(SUBSTITUTE(SUBSTITUTE(SUBSTITUTE(SUBSTITUTE(AE212,'ARDT Cutter Entry'!$BN$3,""),'ARDT Cutter Entry'!$BN$4,""),'ARDT Cutter Entry'!$BN$5,""),'ARDT Cutter Entry'!$BN$6,""),'ARDT Cutter Entry'!$BN$7,""),"P",""),"I",""),"V",""),"B","")&amp;Data!CT57),IF(AND(Data!CT57&lt;&gt;0,Data!CT57&lt;&gt;""),IF(AE229&lt;&gt;"",AE229,"O"),""))</f>
        <v/>
      </c>
      <c r="AF246" s="41" t="str">
        <f>IF(AF212&lt;&gt;"",IF(OR(COUNTIF(AF212,"L*"),COUNTIF(AF212, "X*")),SUBSTITUTE(SUBSTITUTE(SUBSTITUTE(SUBSTITUTE(AF212,"P",""),"I",""),"V",""),"B","") &amp; IF(COUNTIF(AF212, "*"&amp;'ARDT Cutter Entry'!$BN$3&amp;"*"),"",IF(COUNTIF(AF212, "*"&amp;'ARDT Cutter Entry'!$BN$4&amp;"*"),"",IF(COUNTIF(AF212,"*"&amp;'ARDT Cutter Entry'!$BN$5&amp;"*"),"",IF(COUNTIF(AF212,"*"&amp;'ARDT Cutter Entry'!$BN$6&amp;"*"),"",IF(COUNTIF(AF212,"*"&amp;'ARDT Cutter Entry'!$BN$7&amp;"*"),"",Data!CU57))))),SUBSTITUTE(SUBSTITUTE(SUBSTITUTE(SUBSTITUTE(SUBSTITUTE(SUBSTITUTE(SUBSTITUTE(SUBSTITUTE(SUBSTITUTE(AF212,'ARDT Cutter Entry'!$BN$3,""),'ARDT Cutter Entry'!$BN$4,""),'ARDT Cutter Entry'!$BN$5,""),'ARDT Cutter Entry'!$BN$6,""),'ARDT Cutter Entry'!$BN$7,""),"P",""),"I",""),"V",""),"B","")&amp;Data!CU57),IF(AND(Data!CU57&lt;&gt;0,Data!CU57&lt;&gt;""),IF(AF229&lt;&gt;"",AF229,"O"),""))</f>
        <v/>
      </c>
      <c r="AG246" s="41" t="str">
        <f>IF(AG212&lt;&gt;"",IF(OR(COUNTIF(AG212,"L*"),COUNTIF(AG212, "X*")),SUBSTITUTE(SUBSTITUTE(SUBSTITUTE(SUBSTITUTE(AG212,"P",""),"I",""),"V",""),"B","") &amp; IF(COUNTIF(AG212, "*"&amp;'ARDT Cutter Entry'!$BN$3&amp;"*"),"",IF(COUNTIF(AG212, "*"&amp;'ARDT Cutter Entry'!$BN$4&amp;"*"),"",IF(COUNTIF(AG212,"*"&amp;'ARDT Cutter Entry'!$BN$5&amp;"*"),"",IF(COUNTIF(AG212,"*"&amp;'ARDT Cutter Entry'!$BN$6&amp;"*"),"",IF(COUNTIF(AG212,"*"&amp;'ARDT Cutter Entry'!$BN$7&amp;"*"),"",Data!CV57))))),SUBSTITUTE(SUBSTITUTE(SUBSTITUTE(SUBSTITUTE(SUBSTITUTE(SUBSTITUTE(SUBSTITUTE(SUBSTITUTE(SUBSTITUTE(AG212,'ARDT Cutter Entry'!$BN$3,""),'ARDT Cutter Entry'!$BN$4,""),'ARDT Cutter Entry'!$BN$5,""),'ARDT Cutter Entry'!$BN$6,""),'ARDT Cutter Entry'!$BN$7,""),"P",""),"I",""),"V",""),"B","")&amp;Data!CV57),IF(AND(Data!CV57&lt;&gt;0,Data!CV57&lt;&gt;""),IF(AG229&lt;&gt;"",AG229,"O"),""))</f>
        <v/>
      </c>
      <c r="AH246" s="41" t="str">
        <f>IF(AH212&lt;&gt;"",IF(OR(COUNTIF(AH212,"L*"),COUNTIF(AH212, "X*")),SUBSTITUTE(SUBSTITUTE(SUBSTITUTE(SUBSTITUTE(AH212,"P",""),"I",""),"V",""),"B","") &amp; IF(COUNTIF(AH212, "*"&amp;'ARDT Cutter Entry'!$BN$3&amp;"*"),"",IF(COUNTIF(AH212, "*"&amp;'ARDT Cutter Entry'!$BN$4&amp;"*"),"",IF(COUNTIF(AH212,"*"&amp;'ARDT Cutter Entry'!$BN$5&amp;"*"),"",IF(COUNTIF(AH212,"*"&amp;'ARDT Cutter Entry'!$BN$6&amp;"*"),"",IF(COUNTIF(AH212,"*"&amp;'ARDT Cutter Entry'!$BN$7&amp;"*"),"",Data!CW57))))),SUBSTITUTE(SUBSTITUTE(SUBSTITUTE(SUBSTITUTE(SUBSTITUTE(SUBSTITUTE(SUBSTITUTE(SUBSTITUTE(SUBSTITUTE(AH212,'ARDT Cutter Entry'!$BN$3,""),'ARDT Cutter Entry'!$BN$4,""),'ARDT Cutter Entry'!$BN$5,""),'ARDT Cutter Entry'!$BN$6,""),'ARDT Cutter Entry'!$BN$7,""),"P",""),"I",""),"V",""),"B","")&amp;Data!CW57),IF(AND(Data!CW57&lt;&gt;0,Data!CW57&lt;&gt;""),IF(AH229&lt;&gt;"",AH229,"O"),""))</f>
        <v/>
      </c>
      <c r="AI246" s="41" t="str">
        <f>IF(AI212&lt;&gt;"",IF(OR(COUNTIF(AI212,"L*"),COUNTIF(AI212, "X*")),SUBSTITUTE(SUBSTITUTE(SUBSTITUTE(SUBSTITUTE(AI212,"P",""),"I",""),"V",""),"B","") &amp; IF(COUNTIF(AI212, "*"&amp;'ARDT Cutter Entry'!$BN$3&amp;"*"),"",IF(COUNTIF(AI212, "*"&amp;'ARDT Cutter Entry'!$BN$4&amp;"*"),"",IF(COUNTIF(AI212,"*"&amp;'ARDT Cutter Entry'!$BN$5&amp;"*"),"",IF(COUNTIF(AI212,"*"&amp;'ARDT Cutter Entry'!$BN$6&amp;"*"),"",IF(COUNTIF(AI212,"*"&amp;'ARDT Cutter Entry'!$BN$7&amp;"*"),"",Data!CX57))))),SUBSTITUTE(SUBSTITUTE(SUBSTITUTE(SUBSTITUTE(SUBSTITUTE(SUBSTITUTE(SUBSTITUTE(SUBSTITUTE(SUBSTITUTE(AI212,'ARDT Cutter Entry'!$BN$3,""),'ARDT Cutter Entry'!$BN$4,""),'ARDT Cutter Entry'!$BN$5,""),'ARDT Cutter Entry'!$BN$6,""),'ARDT Cutter Entry'!$BN$7,""),"P",""),"I",""),"V",""),"B","")&amp;Data!CX57),IF(AND(Data!CX57&lt;&gt;0,Data!CX57&lt;&gt;""),IF(AI229&lt;&gt;"",AI229,"O"),""))</f>
        <v/>
      </c>
    </row>
    <row r="247" spans="1:63" ht="15" customHeight="1" x14ac:dyDescent="0.35"/>
    <row r="250" spans="1:63" x14ac:dyDescent="0.35">
      <c r="BK250" s="14"/>
    </row>
  </sheetData>
  <sheetProtection formatCells="0" formatColumns="0" formatRows="0" insertColumns="0" insertRows="0" insertHyperlinks="0" deleteColumns="0" deleteRows="0" sort="0" autoFilter="0" pivotTables="0"/>
  <mergeCells count="67">
    <mergeCell ref="A1:AJ1"/>
    <mergeCell ref="AA2:AC2"/>
    <mergeCell ref="AA23:AC23"/>
    <mergeCell ref="AA44:AC44"/>
    <mergeCell ref="A126:B127"/>
    <mergeCell ref="C126:V126"/>
    <mergeCell ref="A84:B85"/>
    <mergeCell ref="C84:V84"/>
    <mergeCell ref="A86:A97"/>
    <mergeCell ref="C104:AI104"/>
    <mergeCell ref="A45:B45"/>
    <mergeCell ref="A68:B69"/>
    <mergeCell ref="A107:A118"/>
    <mergeCell ref="A5:A16"/>
    <mergeCell ref="A26:A37"/>
    <mergeCell ref="A40:C42"/>
    <mergeCell ref="A47:A58"/>
    <mergeCell ref="A128:A139"/>
    <mergeCell ref="D146:W146"/>
    <mergeCell ref="A171:A182"/>
    <mergeCell ref="A148:B149"/>
    <mergeCell ref="D148:W148"/>
    <mergeCell ref="A150:A161"/>
    <mergeCell ref="D168:W168"/>
    <mergeCell ref="A169:B170"/>
    <mergeCell ref="D169:W169"/>
    <mergeCell ref="R23:X23"/>
    <mergeCell ref="C68:V68"/>
    <mergeCell ref="A70:A81"/>
    <mergeCell ref="A24:B24"/>
    <mergeCell ref="A105:B106"/>
    <mergeCell ref="C105:V105"/>
    <mergeCell ref="L23:N23"/>
    <mergeCell ref="O23:Q23"/>
    <mergeCell ref="A23:K23"/>
    <mergeCell ref="L44:N44"/>
    <mergeCell ref="O44:Q44"/>
    <mergeCell ref="A44:K44"/>
    <mergeCell ref="D40:Z42"/>
    <mergeCell ref="A61:C63"/>
    <mergeCell ref="D61:Z63"/>
    <mergeCell ref="R44:X44"/>
    <mergeCell ref="R2:X2"/>
    <mergeCell ref="A19:C21"/>
    <mergeCell ref="D19:Z21"/>
    <mergeCell ref="O2:Q2"/>
    <mergeCell ref="L2:N2"/>
    <mergeCell ref="A2:K2"/>
    <mergeCell ref="C192:AC192"/>
    <mergeCell ref="C194:AC194"/>
    <mergeCell ref="C196:AC196"/>
    <mergeCell ref="C83:AI83"/>
    <mergeCell ref="C125:AI125"/>
    <mergeCell ref="C189:AC189"/>
    <mergeCell ref="D147:W147"/>
    <mergeCell ref="A233:B234"/>
    <mergeCell ref="C233:V233"/>
    <mergeCell ref="A235:A246"/>
    <mergeCell ref="A198:AI198"/>
    <mergeCell ref="A199:B200"/>
    <mergeCell ref="C199:V199"/>
    <mergeCell ref="A201:A212"/>
    <mergeCell ref="A215:AI215"/>
    <mergeCell ref="A216:B217"/>
    <mergeCell ref="C216:V216"/>
    <mergeCell ref="A218:A229"/>
    <mergeCell ref="A231:AI231"/>
  </mergeCells>
  <conditionalFormatting sqref="C3:AJ3">
    <cfRule type="expression" dxfId="191" priority="2705">
      <formula>COUNTIF(C3,"0a")</formula>
    </cfRule>
  </conditionalFormatting>
  <conditionalFormatting sqref="C5:AJ16">
    <cfRule type="expression" dxfId="190" priority="2">
      <formula>AND(COUNTIF(C5,"*V*"),AND(NOT(COUNTIF(B5,"*V*")),NOT(COUNTIF(D5,"*V*"))))</formula>
    </cfRule>
    <cfRule type="expression" dxfId="189" priority="3">
      <formula>COUNTIF(C5,"*7*")</formula>
    </cfRule>
    <cfRule type="expression" dxfId="188" priority="4">
      <formula>COUNTIF(C5,"*6*")</formula>
    </cfRule>
    <cfRule type="expression" dxfId="187" priority="5">
      <formula>COUNTIF(C5,"*5*")</formula>
    </cfRule>
    <cfRule type="expression" dxfId="186" priority="6">
      <formula>COUNTIF(C5,"*4*")</formula>
    </cfRule>
    <cfRule type="expression" dxfId="185" priority="7">
      <formula>COUNTIF(C5,"*3*")</formula>
    </cfRule>
    <cfRule type="expression" dxfId="184" priority="8">
      <formula>COUNTIF(C5,"*2*")</formula>
    </cfRule>
    <cfRule type="expression" dxfId="183" priority="9">
      <formula>COUNTIF(C5,"*1*")</formula>
    </cfRule>
  </conditionalFormatting>
  <conditionalFormatting sqref="C24:AJ24">
    <cfRule type="expression" dxfId="175" priority="34">
      <formula>COUNTIF(C24,"0a")</formula>
    </cfRule>
  </conditionalFormatting>
  <conditionalFormatting sqref="C45:AJ45">
    <cfRule type="expression" dxfId="174" priority="17">
      <formula>COUNTIF(C45,"0a")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674" id="{F1DCFAF8-2FFE-46F5-AC17-54A8691A469B}">
            <xm:f>SUM(Data!$BR46:$CV46)=0</xm:f>
            <x14:dxf>
              <font>
                <color theme="0"/>
              </font>
            </x14:dxf>
          </x14:cfRule>
          <xm:sqref>B5:B16</xm:sqref>
        </x14:conditionalFormatting>
        <x14:conditionalFormatting xmlns:xm="http://schemas.microsoft.com/office/excel/2006/main">
          <x14:cfRule type="expression" priority="10" id="{CBF2A720-40FF-41DD-9E17-67D8F51D91D3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1" id="{0622494D-28F5-48DD-A76A-83A83778850D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2" id="{3E83594A-F43A-489F-BBE4-C321C53336F3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3" id="{363119D7-D2BB-4DA4-8EE3-8C4262BF9A5B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14" id="{B03007C3-4D14-463B-B8F7-9FE2B95C2E68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15" id="{0CDB6CFB-C3F5-4E5A-BFDA-1F234BADB5FE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16" id="{944F73A9-974E-4B4A-9625-BF44E9B6BA1E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C5:AJ16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>
    <tabColor rgb="FF7030A0"/>
  </sheetPr>
  <dimension ref="A1:X74"/>
  <sheetViews>
    <sheetView view="pageBreakPreview" zoomScaleNormal="100" zoomScaleSheetLayoutView="100" workbookViewId="0">
      <selection activeCell="R17" sqref="R17"/>
    </sheetView>
  </sheetViews>
  <sheetFormatPr defaultColWidth="9.1796875" defaultRowHeight="14.5" x14ac:dyDescent="0.35"/>
  <cols>
    <col min="1" max="2" width="2.453125" customWidth="1"/>
    <col min="3" max="4" width="4.453125" customWidth="1"/>
    <col min="5" max="10" width="4.54296875" customWidth="1"/>
    <col min="11" max="24" width="4.1796875" customWidth="1"/>
    <col min="25" max="25" width="2.54296875" customWidth="1"/>
    <col min="26" max="26" width="3" customWidth="1"/>
    <col min="27" max="28" width="3.1796875" customWidth="1"/>
    <col min="128" max="128" width="9.1796875" customWidth="1"/>
  </cols>
  <sheetData>
    <row r="1" spans="1:24" ht="18.75" customHeight="1" x14ac:dyDescent="0.35">
      <c r="A1" s="1871"/>
      <c r="B1" s="1872"/>
      <c r="C1" s="2322" t="s">
        <v>977</v>
      </c>
      <c r="D1" s="2322"/>
      <c r="E1" s="2322"/>
      <c r="F1" s="2322"/>
      <c r="G1" s="2322"/>
      <c r="H1" s="2322"/>
      <c r="I1" s="2322"/>
      <c r="J1" s="2322"/>
      <c r="K1" s="2322"/>
      <c r="L1" s="2322"/>
      <c r="M1" s="2322"/>
      <c r="N1" s="2322"/>
      <c r="O1" s="2322"/>
      <c r="P1" s="2323"/>
      <c r="Q1" s="1835" t="s">
        <v>1058</v>
      </c>
      <c r="R1" s="1573"/>
      <c r="S1" s="1573"/>
      <c r="T1" s="1573"/>
      <c r="U1" s="1573"/>
      <c r="V1" s="1573"/>
      <c r="W1" s="1573"/>
      <c r="X1" s="1573"/>
    </row>
    <row r="2" spans="1:24" ht="18.75" customHeight="1" x14ac:dyDescent="0.35">
      <c r="A2" s="2320"/>
      <c r="B2" s="2321"/>
      <c r="C2" s="1582"/>
      <c r="D2" s="1582"/>
      <c r="E2" s="1582"/>
      <c r="F2" s="1582"/>
      <c r="G2" s="1582"/>
      <c r="H2" s="1582"/>
      <c r="I2" s="1582"/>
      <c r="J2" s="1582"/>
      <c r="K2" s="1582"/>
      <c r="L2" s="1582"/>
      <c r="M2" s="1582"/>
      <c r="N2" s="1582"/>
      <c r="O2" s="1582"/>
      <c r="P2" s="1583"/>
      <c r="Q2" s="1837" t="s">
        <v>1580</v>
      </c>
      <c r="R2" s="1567"/>
      <c r="S2" s="1567"/>
      <c r="T2" s="1567"/>
      <c r="U2" s="1567"/>
      <c r="V2" s="1567"/>
      <c r="W2" s="1567"/>
      <c r="X2" s="1567"/>
    </row>
    <row r="3" spans="1:24" ht="18.75" customHeight="1" x14ac:dyDescent="0.35">
      <c r="A3" s="2324" t="s">
        <v>1120</v>
      </c>
      <c r="B3" s="1877"/>
      <c r="C3" s="1877"/>
      <c r="D3" s="1877"/>
      <c r="E3" s="1877"/>
      <c r="F3" s="1877"/>
      <c r="G3" s="1877"/>
      <c r="H3" s="1877"/>
      <c r="I3" s="1877"/>
      <c r="J3" s="1877"/>
      <c r="K3" s="1877"/>
      <c r="L3" s="1877"/>
      <c r="M3" s="1877"/>
      <c r="N3" s="1877"/>
      <c r="O3" s="1877"/>
      <c r="P3" s="1877"/>
      <c r="Q3" s="1567" t="s">
        <v>1040</v>
      </c>
      <c r="R3" s="1567"/>
      <c r="S3" s="1567"/>
      <c r="T3" s="1567"/>
      <c r="U3" s="1567"/>
      <c r="V3" s="1567"/>
      <c r="W3" s="1567"/>
      <c r="X3" s="1567"/>
    </row>
    <row r="4" spans="1:24" ht="18.75" customHeight="1" thickBot="1" x14ac:dyDescent="0.4">
      <c r="A4" s="1808"/>
      <c r="B4" s="1805"/>
      <c r="C4" s="1805"/>
      <c r="D4" s="1805"/>
      <c r="E4" s="1805"/>
      <c r="F4" s="1805"/>
      <c r="G4" s="1805"/>
      <c r="H4" s="1805"/>
      <c r="I4" s="1805"/>
      <c r="J4" s="1805"/>
      <c r="K4" s="1805"/>
      <c r="L4" s="1805"/>
      <c r="M4" s="1805"/>
      <c r="N4" s="1805"/>
      <c r="O4" s="1805"/>
      <c r="P4" s="1805"/>
      <c r="Q4" s="1571" t="s">
        <v>1041</v>
      </c>
      <c r="R4" s="1571"/>
      <c r="S4" s="1571"/>
      <c r="T4" s="1571"/>
      <c r="U4" s="1571"/>
      <c r="V4" s="1571"/>
      <c r="W4" s="1571"/>
      <c r="X4" s="1571"/>
    </row>
    <row r="5" spans="1:24" ht="6" customHeight="1" thickBot="1" x14ac:dyDescent="0.4">
      <c r="A5" s="449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</row>
    <row r="6" spans="1:24" ht="18" customHeight="1" thickBot="1" x14ac:dyDescent="0.4">
      <c r="A6" s="1529" t="s">
        <v>27</v>
      </c>
      <c r="B6" s="1529"/>
      <c r="C6" s="1529"/>
      <c r="D6" s="1529"/>
      <c r="E6" s="1530"/>
      <c r="F6" s="2326" t="str">
        <f>IF(Data!B1&lt;&gt;"",Data!B1 &amp;" "&amp; 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Entry'!AA2,""))),"")</f>
        <v xml:space="preserve">2025-AR-105 </v>
      </c>
      <c r="G6" s="2327"/>
      <c r="H6" s="2327"/>
      <c r="I6" s="2328"/>
      <c r="J6" s="2316" t="s">
        <v>28</v>
      </c>
      <c r="K6" s="2317"/>
      <c r="L6" s="2317"/>
      <c r="M6" s="1578">
        <f>IF(Data!B2&lt;&gt;"", Data!B2, " ")</f>
        <v>13753277</v>
      </c>
      <c r="N6" s="1681"/>
      <c r="O6" s="1681"/>
      <c r="P6" s="1579"/>
      <c r="Q6" s="1533" t="s">
        <v>1043</v>
      </c>
      <c r="R6" s="1529"/>
      <c r="S6" s="1529"/>
      <c r="T6" s="1529"/>
      <c r="U6" s="1578"/>
      <c r="V6" s="1681"/>
      <c r="W6" s="1681"/>
      <c r="X6" s="1579"/>
    </row>
    <row r="7" spans="1:24" ht="6" customHeight="1" thickBot="1" x14ac:dyDescent="0.4">
      <c r="A7" s="449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774"/>
      <c r="P7" s="240"/>
      <c r="Q7" s="2325" t="s">
        <v>1044</v>
      </c>
      <c r="R7" s="2325"/>
      <c r="S7" s="2325"/>
      <c r="T7" s="2325"/>
      <c r="U7" s="449"/>
      <c r="V7" s="449"/>
      <c r="W7" s="449"/>
      <c r="X7" s="450"/>
    </row>
    <row r="8" spans="1:24" ht="18" customHeight="1" thickBot="1" x14ac:dyDescent="0.4">
      <c r="A8" s="1529" t="s">
        <v>29</v>
      </c>
      <c r="B8" s="1529"/>
      <c r="C8" s="1529"/>
      <c r="D8" s="1529"/>
      <c r="E8" s="1530"/>
      <c r="F8" s="1578" t="str">
        <f>IF(LEN(Data!B3)&gt;3,IF(AND(Data!B43&lt;&gt;"",Data!B43&lt;&gt;"0 0/1"""),Data!B43,""),IF(Data!B3&lt;&gt;"",Data!B3&amp;"""",""))</f>
        <v>8 3/8"</v>
      </c>
      <c r="G8" s="1681"/>
      <c r="H8" s="1681"/>
      <c r="I8" s="1579"/>
      <c r="J8" s="2316" t="s">
        <v>30</v>
      </c>
      <c r="K8" s="2317"/>
      <c r="L8" s="2317"/>
      <c r="M8" s="1578" t="str">
        <f>IF(Data!B5&lt;&gt;"",Data!B5," ")</f>
        <v>1061407M</v>
      </c>
      <c r="N8" s="1681"/>
      <c r="O8" s="1681"/>
      <c r="P8" s="1579"/>
      <c r="Q8" s="2325"/>
      <c r="R8" s="2325"/>
      <c r="S8" s="2325"/>
      <c r="T8" s="2325"/>
      <c r="U8" s="1654">
        <f>IF(Data!B6&lt;&gt;"",Data!B6," ")</f>
        <v>46002</v>
      </c>
      <c r="V8" s="1655"/>
      <c r="W8" s="1655"/>
      <c r="X8" s="1656"/>
    </row>
    <row r="9" spans="1:24" ht="6" customHeight="1" thickBot="1" x14ac:dyDescent="0.4">
      <c r="A9" s="449"/>
      <c r="B9" s="449"/>
      <c r="D9" s="449"/>
      <c r="F9" s="449"/>
      <c r="G9" s="449"/>
      <c r="H9" s="449"/>
      <c r="I9" s="449"/>
      <c r="K9" s="449"/>
      <c r="L9" s="449"/>
      <c r="M9" s="449"/>
      <c r="N9" s="449"/>
      <c r="O9" s="449"/>
      <c r="P9" s="449"/>
      <c r="Q9" s="2325"/>
      <c r="R9" s="2325"/>
      <c r="S9" s="2325"/>
      <c r="T9" s="2325"/>
      <c r="U9" s="449"/>
      <c r="V9" s="449"/>
      <c r="W9" s="449"/>
    </row>
    <row r="10" spans="1:24" ht="18" customHeight="1" thickBot="1" x14ac:dyDescent="0.4">
      <c r="A10" s="1529" t="s">
        <v>31</v>
      </c>
      <c r="B10" s="1529"/>
      <c r="C10" s="1529"/>
      <c r="D10" s="1529"/>
      <c r="E10" s="1530"/>
      <c r="F10" s="1578" t="str">
        <f>IF(Data!B4&lt;&gt;"",Data!B4," ")</f>
        <v>MM65DH</v>
      </c>
      <c r="G10" s="1681"/>
      <c r="H10" s="1681"/>
      <c r="I10" s="1579"/>
      <c r="J10" s="2316" t="s">
        <v>32</v>
      </c>
      <c r="K10" s="2317"/>
      <c r="L10" s="2317"/>
      <c r="M10" s="1578" t="str">
        <f>IF(Data!B7&lt;&gt;"",Data!B7, " ")</f>
        <v>SAUDI ARAMCO</v>
      </c>
      <c r="N10" s="1681"/>
      <c r="O10" s="1681"/>
      <c r="P10" s="1579"/>
      <c r="Q10" s="1529" t="s">
        <v>33</v>
      </c>
      <c r="R10" s="1529"/>
      <c r="S10" s="1529"/>
      <c r="T10" s="1529"/>
      <c r="U10" s="1578">
        <f>IF(Data!B24&lt;&gt;"",Data!B24,IFERROR(VLOOKUP(Data!$B$7,Data!F63:G70,2,FALSE),""))</f>
        <v>6600048646</v>
      </c>
      <c r="V10" s="1681"/>
      <c r="W10" s="1681"/>
      <c r="X10" s="1579"/>
    </row>
    <row r="11" spans="1:24" ht="6" customHeight="1" thickBot="1" x14ac:dyDescent="0.4">
      <c r="A11" s="439"/>
      <c r="B11" s="439"/>
      <c r="C11" s="439"/>
      <c r="D11" s="439"/>
      <c r="E11" s="10"/>
      <c r="F11" s="10"/>
      <c r="G11" s="10"/>
      <c r="H11" s="10"/>
      <c r="I11" s="10"/>
      <c r="J11" s="10"/>
      <c r="K11" s="10"/>
      <c r="L11" s="449"/>
      <c r="M11" s="451"/>
      <c r="N11" s="451"/>
      <c r="O11" s="451"/>
    </row>
    <row r="12" spans="1:24" ht="18" customHeight="1" thickBot="1" x14ac:dyDescent="0.4">
      <c r="A12" s="1529" t="s">
        <v>1034</v>
      </c>
      <c r="B12" s="1529"/>
      <c r="C12" s="1529"/>
      <c r="D12" s="1529"/>
      <c r="E12" s="1530"/>
      <c r="F12" s="1578" t="str">
        <f>IF(OR(COUNTBLANK('Rework Cutter Entry'!C47:AG58)&lt;372,'Rework Cutter Entry'!D61&lt;&gt;""),'Rework Cutter Entry'!O44,IF(OR(COUNTBLANK('Rework Cutter Entry'!C26:AG37)&lt;372,'Rework Cutter Entry'!D40&lt;&gt;""),'Rework Cutter Entry'!O23,IF(OR(COUNTBLANK('Rework Cutter Entry'!C5:AG16)&lt;372,'Rework Cutter Entry'!D19&lt;&gt;""),'Rework Cutter Entry'!O2,"")))</f>
        <v/>
      </c>
      <c r="G12" s="1681"/>
      <c r="H12" s="1681"/>
      <c r="I12" s="1579"/>
      <c r="J12" s="2316" t="s">
        <v>1042</v>
      </c>
      <c r="K12" s="2317"/>
      <c r="L12" s="2317"/>
      <c r="M12" s="1578" t="str">
        <f>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</f>
        <v/>
      </c>
      <c r="N12" s="1681"/>
      <c r="O12" s="1681"/>
      <c r="P12" s="1579"/>
      <c r="Q12" s="451"/>
      <c r="R12" s="451"/>
      <c r="S12" s="451"/>
      <c r="T12" s="451"/>
      <c r="U12" s="449"/>
      <c r="V12" s="449"/>
      <c r="W12" s="449"/>
    </row>
    <row r="13" spans="1:24" ht="6" customHeight="1" thickBot="1" x14ac:dyDescent="0.4">
      <c r="A13" s="452"/>
      <c r="B13" s="452"/>
      <c r="C13" s="452"/>
      <c r="D13" s="452"/>
      <c r="E13" s="452"/>
      <c r="F13" s="452"/>
      <c r="G13" s="452"/>
      <c r="H13" s="452"/>
      <c r="I13" s="452"/>
      <c r="J13" s="452"/>
      <c r="K13" s="452"/>
      <c r="L13" s="452"/>
      <c r="M13" s="452"/>
      <c r="N13" s="452"/>
      <c r="O13" s="452"/>
      <c r="P13" s="452"/>
      <c r="Q13" s="452"/>
      <c r="R13" s="452"/>
      <c r="S13" s="452"/>
      <c r="T13" s="452"/>
      <c r="U13" s="452"/>
      <c r="V13" s="452"/>
      <c r="W13" s="452"/>
      <c r="X13" s="452"/>
    </row>
    <row r="14" spans="1:24" ht="15" customHeight="1" x14ac:dyDescent="0.35">
      <c r="A14" s="1871" t="s">
        <v>17</v>
      </c>
      <c r="B14" s="1872"/>
      <c r="C14" s="1872"/>
      <c r="D14" s="1872"/>
      <c r="E14" s="1872"/>
      <c r="F14" s="1872"/>
      <c r="G14" s="1872"/>
      <c r="H14" s="1872"/>
      <c r="I14" s="1872"/>
      <c r="J14" s="1872"/>
      <c r="K14" s="1872"/>
      <c r="L14" s="1872"/>
      <c r="M14" s="1872"/>
      <c r="N14" s="1872"/>
      <c r="O14" s="1872"/>
      <c r="P14" s="1872"/>
      <c r="Q14" s="1872"/>
      <c r="R14" s="1872"/>
      <c r="S14" s="1872"/>
      <c r="T14" s="1872"/>
      <c r="U14" s="1872"/>
      <c r="V14" s="1872"/>
      <c r="W14" s="1872"/>
      <c r="X14" s="1873"/>
    </row>
    <row r="15" spans="1:24" ht="12.75" customHeight="1" thickBot="1" x14ac:dyDescent="0.4">
      <c r="A15" s="674"/>
      <c r="B15" s="58"/>
      <c r="C15" s="794" t="str">
        <f>IF(Data!BR42&lt;&gt;"",Data!BR42,"")</f>
        <v>1a</v>
      </c>
      <c r="D15" s="794" t="str">
        <f>IF(Data!BS42&lt;&gt;"",Data!BS42,"")</f>
        <v>2a</v>
      </c>
      <c r="E15" s="794" t="str">
        <f>IF(Data!BT42&lt;&gt;"",Data!BT42,"")</f>
        <v>3a</v>
      </c>
      <c r="F15" s="794" t="str">
        <f>IF(Data!BU42&lt;&gt;"",Data!BU42,"")</f>
        <v>4a</v>
      </c>
      <c r="G15" s="794" t="str">
        <f>IF(Data!BV42&lt;&gt;"",Data!BV42,"")</f>
        <v>5a</v>
      </c>
      <c r="H15" s="794" t="str">
        <f>IF(Data!BW42&lt;&gt;"",Data!BW42,"")</f>
        <v>6a</v>
      </c>
      <c r="I15" s="794" t="str">
        <f>IF(Data!BX42&lt;&gt;"",Data!BX42,"")</f>
        <v>7a</v>
      </c>
      <c r="J15" s="794" t="str">
        <f>IF(Data!BY42&lt;&gt;"",Data!BY42,"")</f>
        <v>8a</v>
      </c>
      <c r="K15" s="794" t="str">
        <f>IF(Data!BZ42&lt;&gt;"",Data!BZ42,"")</f>
        <v>0a</v>
      </c>
      <c r="L15" s="794" t="str">
        <f>IF(Data!CA42&lt;&gt;"",Data!CA42,"")</f>
        <v>1b</v>
      </c>
      <c r="M15" s="794" t="str">
        <f>IF(Data!CB42&lt;&gt;"",Data!CB42,"")</f>
        <v>2b</v>
      </c>
      <c r="N15" s="794" t="str">
        <f>IF(Data!CC42&lt;&gt;"",Data!CC42,"")</f>
        <v>3b</v>
      </c>
      <c r="O15" s="794" t="str">
        <f>IF(Data!CD42&lt;&gt;"",Data!CD42,"")</f>
        <v>4b</v>
      </c>
      <c r="P15" s="794" t="str">
        <f>IF(Data!CE42&lt;&gt;"",Data!CE42,"")</f>
        <v>0a</v>
      </c>
      <c r="Q15" s="794" t="str">
        <f>IF(Data!CF42&lt;&gt;"",Data!CF42,"")</f>
        <v>0a</v>
      </c>
      <c r="R15" s="794" t="str">
        <f>IF(Data!CG42&lt;&gt;"",Data!CG42,"")</f>
        <v>0a</v>
      </c>
      <c r="S15" s="794" t="str">
        <f>IF(Data!CH42&lt;&gt;"",Data!CH42,"")</f>
        <v>0a</v>
      </c>
      <c r="T15" s="794" t="str">
        <f>IF(Data!CI42&lt;&gt;"",Data!CI42,"")</f>
        <v>0a</v>
      </c>
      <c r="U15" s="794" t="str">
        <f>IF(Data!CJ42&lt;&gt;"",Data!CJ42,"")</f>
        <v>0a</v>
      </c>
      <c r="V15" s="794" t="str">
        <f>IF(Data!CK42&lt;&gt;"",Data!CK42,"")</f>
        <v>0a</v>
      </c>
      <c r="W15" s="794" t="str">
        <f>IF(Data!CL42&lt;&gt;"",Data!CL42,"")</f>
        <v>0a</v>
      </c>
      <c r="X15" s="795" t="str">
        <f>IF(Data!CM42&lt;&gt;"",Data!CM42,"")</f>
        <v>0a</v>
      </c>
    </row>
    <row r="16" spans="1:24" ht="16.5" customHeight="1" x14ac:dyDescent="0.35">
      <c r="A16" s="2318" t="s">
        <v>18</v>
      </c>
      <c r="B16" s="796">
        <v>1</v>
      </c>
      <c r="C16" s="788" t="str">
        <f>IF('Rework Cutter Entry'!C235&lt;&gt;"",'Rework Cutter Entry'!C235,"")</f>
        <v>O</v>
      </c>
      <c r="D16" s="789" t="str">
        <f>IF('Rework Cutter Entry'!D235&lt;&gt;"",'Rework Cutter Entry'!D235,"")</f>
        <v>O</v>
      </c>
      <c r="E16" s="789" t="str">
        <f>IF('Rework Cutter Entry'!E235&lt;&gt;"",'Rework Cutter Entry'!E235,"")</f>
        <v>O</v>
      </c>
      <c r="F16" s="789" t="str">
        <f>IF('Rework Cutter Entry'!F235&lt;&gt;"",'Rework Cutter Entry'!F235,"")</f>
        <v>O</v>
      </c>
      <c r="G16" s="789" t="str">
        <f>IF('Rework Cutter Entry'!G235&lt;&gt;"",'Rework Cutter Entry'!G235,"")</f>
        <v>O</v>
      </c>
      <c r="H16" s="789" t="str">
        <f>IF('Rework Cutter Entry'!H235&lt;&gt;"",'Rework Cutter Entry'!H235,"")</f>
        <v>O</v>
      </c>
      <c r="I16" s="789" t="str">
        <f>IF('Rework Cutter Entry'!I235&lt;&gt;"",'Rework Cutter Entry'!I235,"")</f>
        <v>O</v>
      </c>
      <c r="J16" s="789" t="str">
        <f>IF('Rework Cutter Entry'!J235&lt;&gt;"",'Rework Cutter Entry'!J235,"")</f>
        <v>O</v>
      </c>
      <c r="K16" s="789" t="str">
        <f>IF('Rework Cutter Entry'!K235&lt;&gt;"",'Rework Cutter Entry'!K235,"")</f>
        <v/>
      </c>
      <c r="L16" s="789" t="str">
        <f>IF('Rework Cutter Entry'!L235&lt;&gt;"",'Rework Cutter Entry'!L235,"")</f>
        <v>O</v>
      </c>
      <c r="M16" s="789" t="str">
        <f>IF('Rework Cutter Entry'!M235&lt;&gt;"",'Rework Cutter Entry'!M235,"")</f>
        <v>O</v>
      </c>
      <c r="N16" s="789" t="str">
        <f>IF('Rework Cutter Entry'!N235&lt;&gt;"",'Rework Cutter Entry'!N235,"")</f>
        <v>O</v>
      </c>
      <c r="O16" s="789" t="str">
        <f>IF('Rework Cutter Entry'!O235&lt;&gt;"",'Rework Cutter Entry'!O235,"")</f>
        <v>O</v>
      </c>
      <c r="P16" s="789" t="str">
        <f>IF('Rework Cutter Entry'!P235&lt;&gt;"",'Rework Cutter Entry'!P235,"")</f>
        <v/>
      </c>
      <c r="Q16" s="789" t="str">
        <f>IF('Rework Cutter Entry'!Q235&lt;&gt;"",'Rework Cutter Entry'!Q235,"")</f>
        <v/>
      </c>
      <c r="R16" s="789" t="str">
        <f>IF('Rework Cutter Entry'!R235&lt;&gt;"",'Rework Cutter Entry'!R235,"")</f>
        <v/>
      </c>
      <c r="S16" s="789" t="str">
        <f>IF('Rework Cutter Entry'!S235&lt;&gt;"",'Rework Cutter Entry'!S235,"")</f>
        <v/>
      </c>
      <c r="T16" s="789" t="str">
        <f>IF('Rework Cutter Entry'!T235&lt;&gt;"",'Rework Cutter Entry'!T235,"")</f>
        <v/>
      </c>
      <c r="U16" s="789" t="str">
        <f>IF('Rework Cutter Entry'!U235&lt;&gt;"",'Rework Cutter Entry'!U235,"")</f>
        <v/>
      </c>
      <c r="V16" s="789" t="str">
        <f>IF('Rework Cutter Entry'!V235&lt;&gt;"",'Rework Cutter Entry'!V235,"")</f>
        <v/>
      </c>
      <c r="W16" s="789" t="str">
        <f>IF('Rework Cutter Entry'!W235&lt;&gt;"",'Rework Cutter Entry'!W235,"")</f>
        <v/>
      </c>
      <c r="X16" s="790" t="str">
        <f>IF('Rework Cutter Entry'!X235&lt;&gt;"",'Rework Cutter Entry'!X235,"")</f>
        <v/>
      </c>
    </row>
    <row r="17" spans="1:24" ht="16.5" customHeight="1" x14ac:dyDescent="0.35">
      <c r="A17" s="2257"/>
      <c r="B17" s="755">
        <v>2</v>
      </c>
      <c r="C17" s="775" t="str">
        <f>IF('Rework Cutter Entry'!C236&lt;&gt;"",'Rework Cutter Entry'!C236,"")</f>
        <v>O</v>
      </c>
      <c r="D17" s="776" t="str">
        <f>IF('Rework Cutter Entry'!D236&lt;&gt;"",'Rework Cutter Entry'!D236,"")</f>
        <v>O</v>
      </c>
      <c r="E17" s="776" t="str">
        <f>IF('Rework Cutter Entry'!E236&lt;&gt;"",'Rework Cutter Entry'!E236,"")</f>
        <v>O</v>
      </c>
      <c r="F17" s="776" t="str">
        <f>IF('Rework Cutter Entry'!F236&lt;&gt;"",'Rework Cutter Entry'!F236,"")</f>
        <v>O</v>
      </c>
      <c r="G17" s="776" t="str">
        <f>IF('Rework Cutter Entry'!G236&lt;&gt;"",'Rework Cutter Entry'!G236,"")</f>
        <v>O</v>
      </c>
      <c r="H17" s="776" t="str">
        <f>IF('Rework Cutter Entry'!H236&lt;&gt;"",'Rework Cutter Entry'!H236,"")</f>
        <v/>
      </c>
      <c r="I17" s="776" t="str">
        <f>IF('Rework Cutter Entry'!I236&lt;&gt;"",'Rework Cutter Entry'!I236,"")</f>
        <v/>
      </c>
      <c r="J17" s="776" t="str">
        <f>IF('Rework Cutter Entry'!J236&lt;&gt;"",'Rework Cutter Entry'!J236,"")</f>
        <v/>
      </c>
      <c r="K17" s="776" t="str">
        <f>IF('Rework Cutter Entry'!K236&lt;&gt;"",'Rework Cutter Entry'!K236,"")</f>
        <v/>
      </c>
      <c r="L17" s="776" t="str">
        <f>IF('Rework Cutter Entry'!L236&lt;&gt;"",'Rework Cutter Entry'!L236,"")</f>
        <v>O</v>
      </c>
      <c r="M17" s="776" t="str">
        <f>IF('Rework Cutter Entry'!M236&lt;&gt;"",'Rework Cutter Entry'!M236,"")</f>
        <v>O</v>
      </c>
      <c r="N17" s="776" t="str">
        <f>IF('Rework Cutter Entry'!N236&lt;&gt;"",'Rework Cutter Entry'!N236,"")</f>
        <v>O</v>
      </c>
      <c r="O17" s="776" t="str">
        <f>IF('Rework Cutter Entry'!O236&lt;&gt;"",'Rework Cutter Entry'!O236,"")</f>
        <v>O</v>
      </c>
      <c r="P17" s="776" t="str">
        <f>IF('Rework Cutter Entry'!P236&lt;&gt;"",'Rework Cutter Entry'!P236,"")</f>
        <v/>
      </c>
      <c r="Q17" s="776" t="str">
        <f>IF('Rework Cutter Entry'!Q236&lt;&gt;"",'Rework Cutter Entry'!Q236,"")</f>
        <v/>
      </c>
      <c r="R17" s="776" t="str">
        <f>IF('Rework Cutter Entry'!R236&lt;&gt;"",'Rework Cutter Entry'!R236,"")</f>
        <v/>
      </c>
      <c r="S17" s="776" t="str">
        <f>IF('Rework Cutter Entry'!S236&lt;&gt;"",'Rework Cutter Entry'!S236,"")</f>
        <v/>
      </c>
      <c r="T17" s="776" t="str">
        <f>IF('Rework Cutter Entry'!T236&lt;&gt;"",'Rework Cutter Entry'!T236,"")</f>
        <v/>
      </c>
      <c r="U17" s="776" t="str">
        <f>IF('Rework Cutter Entry'!U236&lt;&gt;"",'Rework Cutter Entry'!U236,"")</f>
        <v/>
      </c>
      <c r="V17" s="776" t="str">
        <f>IF('Rework Cutter Entry'!V236&lt;&gt;"",'Rework Cutter Entry'!V236,"")</f>
        <v/>
      </c>
      <c r="W17" s="776" t="str">
        <f>IF('Rework Cutter Entry'!W236&lt;&gt;"",'Rework Cutter Entry'!W236,"")</f>
        <v/>
      </c>
      <c r="X17" s="777" t="str">
        <f>IF('Rework Cutter Entry'!X236&lt;&gt;"",'Rework Cutter Entry'!X236,"")</f>
        <v/>
      </c>
    </row>
    <row r="18" spans="1:24" ht="16.5" customHeight="1" x14ac:dyDescent="0.35">
      <c r="A18" s="2257"/>
      <c r="B18" s="755">
        <v>3</v>
      </c>
      <c r="C18" s="775" t="str">
        <f>IF('Rework Cutter Entry'!C237&lt;&gt;"",'Rework Cutter Entry'!C237,"")</f>
        <v>O</v>
      </c>
      <c r="D18" s="776" t="str">
        <f>IF('Rework Cutter Entry'!D237&lt;&gt;"",'Rework Cutter Entry'!D237,"")</f>
        <v>O</v>
      </c>
      <c r="E18" s="776" t="str">
        <f>IF('Rework Cutter Entry'!E237&lt;&gt;"",'Rework Cutter Entry'!E237,"")</f>
        <v>O</v>
      </c>
      <c r="F18" s="776" t="str">
        <f>IF('Rework Cutter Entry'!F237&lt;&gt;"",'Rework Cutter Entry'!F237,"")</f>
        <v>O</v>
      </c>
      <c r="G18" s="776" t="str">
        <f>IF('Rework Cutter Entry'!G237&lt;&gt;"",'Rework Cutter Entry'!G237,"")</f>
        <v>O</v>
      </c>
      <c r="H18" s="776" t="str">
        <f>IF('Rework Cutter Entry'!H237&lt;&gt;"",'Rework Cutter Entry'!H237,"")</f>
        <v>O</v>
      </c>
      <c r="I18" s="776" t="str">
        <f>IF('Rework Cutter Entry'!I237&lt;&gt;"",'Rework Cutter Entry'!I237,"")</f>
        <v>O</v>
      </c>
      <c r="J18" s="776" t="str">
        <f>IF('Rework Cutter Entry'!J237&lt;&gt;"",'Rework Cutter Entry'!J237,"")</f>
        <v/>
      </c>
      <c r="K18" s="776" t="str">
        <f>IF('Rework Cutter Entry'!K237&lt;&gt;"",'Rework Cutter Entry'!K237,"")</f>
        <v/>
      </c>
      <c r="L18" s="776" t="str">
        <f>IF('Rework Cutter Entry'!L237&lt;&gt;"",'Rework Cutter Entry'!L237,"")</f>
        <v>O</v>
      </c>
      <c r="M18" s="776" t="str">
        <f>IF('Rework Cutter Entry'!M237&lt;&gt;"",'Rework Cutter Entry'!M237,"")</f>
        <v>O</v>
      </c>
      <c r="N18" s="776" t="str">
        <f>IF('Rework Cutter Entry'!N237&lt;&gt;"",'Rework Cutter Entry'!N237,"")</f>
        <v>O</v>
      </c>
      <c r="O18" s="776" t="str">
        <f>IF('Rework Cutter Entry'!O237&lt;&gt;"",'Rework Cutter Entry'!O237,"")</f>
        <v/>
      </c>
      <c r="P18" s="776" t="str">
        <f>IF('Rework Cutter Entry'!P237&lt;&gt;"",'Rework Cutter Entry'!P237,"")</f>
        <v/>
      </c>
      <c r="Q18" s="776" t="str">
        <f>IF('Rework Cutter Entry'!Q237&lt;&gt;"",'Rework Cutter Entry'!Q237,"")</f>
        <v/>
      </c>
      <c r="R18" s="776" t="str">
        <f>IF('Rework Cutter Entry'!R237&lt;&gt;"",'Rework Cutter Entry'!R237,"")</f>
        <v/>
      </c>
      <c r="S18" s="776" t="str">
        <f>IF('Rework Cutter Entry'!S237&lt;&gt;"",'Rework Cutter Entry'!S237,"")</f>
        <v/>
      </c>
      <c r="T18" s="776" t="str">
        <f>IF('Rework Cutter Entry'!T237&lt;&gt;"",'Rework Cutter Entry'!T237,"")</f>
        <v/>
      </c>
      <c r="U18" s="776" t="str">
        <f>IF('Rework Cutter Entry'!U237&lt;&gt;"",'Rework Cutter Entry'!U237,"")</f>
        <v/>
      </c>
      <c r="V18" s="776" t="str">
        <f>IF('Rework Cutter Entry'!V237&lt;&gt;"",'Rework Cutter Entry'!V237,"")</f>
        <v/>
      </c>
      <c r="W18" s="776" t="str">
        <f>IF('Rework Cutter Entry'!W237&lt;&gt;"",'Rework Cutter Entry'!W237,"")</f>
        <v/>
      </c>
      <c r="X18" s="777" t="str">
        <f>IF('Rework Cutter Entry'!X237&lt;&gt;"",'Rework Cutter Entry'!X237,"")</f>
        <v/>
      </c>
    </row>
    <row r="19" spans="1:24" ht="16.5" customHeight="1" x14ac:dyDescent="0.35">
      <c r="A19" s="2257"/>
      <c r="B19" s="755">
        <v>4</v>
      </c>
      <c r="C19" s="775" t="str">
        <f>IF('Rework Cutter Entry'!C238&lt;&gt;"",'Rework Cutter Entry'!C238,"")</f>
        <v>O</v>
      </c>
      <c r="D19" s="776" t="str">
        <f>IF('Rework Cutter Entry'!D238&lt;&gt;"",'Rework Cutter Entry'!D238,"")</f>
        <v>O</v>
      </c>
      <c r="E19" s="776" t="str">
        <f>IF('Rework Cutter Entry'!E238&lt;&gt;"",'Rework Cutter Entry'!E238,"")</f>
        <v>O</v>
      </c>
      <c r="F19" s="776" t="str">
        <f>IF('Rework Cutter Entry'!F238&lt;&gt;"",'Rework Cutter Entry'!F238,"")</f>
        <v>O</v>
      </c>
      <c r="G19" s="776" t="str">
        <f>IF('Rework Cutter Entry'!G238&lt;&gt;"",'Rework Cutter Entry'!G238,"")</f>
        <v>O</v>
      </c>
      <c r="H19" s="776" t="str">
        <f>IF('Rework Cutter Entry'!H238&lt;&gt;"",'Rework Cutter Entry'!H238,"")</f>
        <v>O</v>
      </c>
      <c r="I19" s="776" t="str">
        <f>IF('Rework Cutter Entry'!I238&lt;&gt;"",'Rework Cutter Entry'!I238,"")</f>
        <v/>
      </c>
      <c r="J19" s="776" t="str">
        <f>IF('Rework Cutter Entry'!J238&lt;&gt;"",'Rework Cutter Entry'!J238,"")</f>
        <v/>
      </c>
      <c r="K19" s="776" t="str">
        <f>IF('Rework Cutter Entry'!K238&lt;&gt;"",'Rework Cutter Entry'!K238,"")</f>
        <v/>
      </c>
      <c r="L19" s="776" t="str">
        <f>IF('Rework Cutter Entry'!L238&lt;&gt;"",'Rework Cutter Entry'!L238,"")</f>
        <v>O</v>
      </c>
      <c r="M19" s="776" t="str">
        <f>IF('Rework Cutter Entry'!M238&lt;&gt;"",'Rework Cutter Entry'!M238,"")</f>
        <v>O</v>
      </c>
      <c r="N19" s="776" t="str">
        <f>IF('Rework Cutter Entry'!N238&lt;&gt;"",'Rework Cutter Entry'!N238,"")</f>
        <v>O</v>
      </c>
      <c r="O19" s="776" t="str">
        <f>IF('Rework Cutter Entry'!O238&lt;&gt;"",'Rework Cutter Entry'!O238,"")</f>
        <v>O</v>
      </c>
      <c r="P19" s="776" t="str">
        <f>IF('Rework Cutter Entry'!P238&lt;&gt;"",'Rework Cutter Entry'!P238,"")</f>
        <v/>
      </c>
      <c r="Q19" s="776" t="str">
        <f>IF('Rework Cutter Entry'!Q238&lt;&gt;"",'Rework Cutter Entry'!Q238,"")</f>
        <v/>
      </c>
      <c r="R19" s="776" t="str">
        <f>IF('Rework Cutter Entry'!R238&lt;&gt;"",'Rework Cutter Entry'!R238,"")</f>
        <v/>
      </c>
      <c r="S19" s="776" t="str">
        <f>IF('Rework Cutter Entry'!S238&lt;&gt;"",'Rework Cutter Entry'!S238,"")</f>
        <v/>
      </c>
      <c r="T19" s="776" t="str">
        <f>IF('Rework Cutter Entry'!T238&lt;&gt;"",'Rework Cutter Entry'!T238,"")</f>
        <v/>
      </c>
      <c r="U19" s="776" t="str">
        <f>IF('Rework Cutter Entry'!U238&lt;&gt;"",'Rework Cutter Entry'!U238,"")</f>
        <v/>
      </c>
      <c r="V19" s="776" t="str">
        <f>IF('Rework Cutter Entry'!V238&lt;&gt;"",'Rework Cutter Entry'!V238,"")</f>
        <v/>
      </c>
      <c r="W19" s="776" t="str">
        <f>IF('Rework Cutter Entry'!W238&lt;&gt;"",'Rework Cutter Entry'!W238,"")</f>
        <v/>
      </c>
      <c r="X19" s="777" t="str">
        <f>IF('Rework Cutter Entry'!X238&lt;&gt;"",'Rework Cutter Entry'!X238,"")</f>
        <v/>
      </c>
    </row>
    <row r="20" spans="1:24" ht="16.5" customHeight="1" x14ac:dyDescent="0.35">
      <c r="A20" s="2257"/>
      <c r="B20" s="755">
        <v>5</v>
      </c>
      <c r="C20" s="775" t="str">
        <f>IF('Rework Cutter Entry'!C239&lt;&gt;"",'Rework Cutter Entry'!C239,"")</f>
        <v>O</v>
      </c>
      <c r="D20" s="776" t="str">
        <f>IF('Rework Cutter Entry'!D239&lt;&gt;"",'Rework Cutter Entry'!D239,"")</f>
        <v>O</v>
      </c>
      <c r="E20" s="776" t="str">
        <f>IF('Rework Cutter Entry'!E239&lt;&gt;"",'Rework Cutter Entry'!E239,"")</f>
        <v>O</v>
      </c>
      <c r="F20" s="776" t="str">
        <f>IF('Rework Cutter Entry'!F239&lt;&gt;"",'Rework Cutter Entry'!F239,"")</f>
        <v>O</v>
      </c>
      <c r="G20" s="776" t="str">
        <f>IF('Rework Cutter Entry'!G239&lt;&gt;"",'Rework Cutter Entry'!G239,"")</f>
        <v>O</v>
      </c>
      <c r="H20" s="776" t="str">
        <f>IF('Rework Cutter Entry'!H239&lt;&gt;"",'Rework Cutter Entry'!H239,"")</f>
        <v>O</v>
      </c>
      <c r="I20" s="776" t="str">
        <f>IF('Rework Cutter Entry'!I239&lt;&gt;"",'Rework Cutter Entry'!I239,"")</f>
        <v>O</v>
      </c>
      <c r="J20" s="776" t="str">
        <f>IF('Rework Cutter Entry'!J239&lt;&gt;"",'Rework Cutter Entry'!J239,"")</f>
        <v>O</v>
      </c>
      <c r="K20" s="776" t="str">
        <f>IF('Rework Cutter Entry'!K239&lt;&gt;"",'Rework Cutter Entry'!K239,"")</f>
        <v/>
      </c>
      <c r="L20" s="776" t="str">
        <f>IF('Rework Cutter Entry'!L239&lt;&gt;"",'Rework Cutter Entry'!L239,"")</f>
        <v>O</v>
      </c>
      <c r="M20" s="776" t="str">
        <f>IF('Rework Cutter Entry'!M239&lt;&gt;"",'Rework Cutter Entry'!M239,"")</f>
        <v>O</v>
      </c>
      <c r="N20" s="776" t="str">
        <f>IF('Rework Cutter Entry'!N239&lt;&gt;"",'Rework Cutter Entry'!N239,"")</f>
        <v>O</v>
      </c>
      <c r="O20" s="776" t="str">
        <f>IF('Rework Cutter Entry'!O239&lt;&gt;"",'Rework Cutter Entry'!O239,"")</f>
        <v>O</v>
      </c>
      <c r="P20" s="776" t="str">
        <f>IF('Rework Cutter Entry'!P239&lt;&gt;"",'Rework Cutter Entry'!P239,"")</f>
        <v/>
      </c>
      <c r="Q20" s="776" t="str">
        <f>IF('Rework Cutter Entry'!Q239&lt;&gt;"",'Rework Cutter Entry'!Q239,"")</f>
        <v/>
      </c>
      <c r="R20" s="776" t="str">
        <f>IF('Rework Cutter Entry'!R239&lt;&gt;"",'Rework Cutter Entry'!R239,"")</f>
        <v/>
      </c>
      <c r="S20" s="776" t="str">
        <f>IF('Rework Cutter Entry'!S239&lt;&gt;"",'Rework Cutter Entry'!S239,"")</f>
        <v/>
      </c>
      <c r="T20" s="776" t="str">
        <f>IF('Rework Cutter Entry'!T239&lt;&gt;"",'Rework Cutter Entry'!T239,"")</f>
        <v/>
      </c>
      <c r="U20" s="776" t="str">
        <f>IF('Rework Cutter Entry'!U239&lt;&gt;"",'Rework Cutter Entry'!U239,"")</f>
        <v/>
      </c>
      <c r="V20" s="776" t="str">
        <f>IF('Rework Cutter Entry'!V239&lt;&gt;"",'Rework Cutter Entry'!V239,"")</f>
        <v/>
      </c>
      <c r="W20" s="776" t="str">
        <f>IF('Rework Cutter Entry'!W239&lt;&gt;"",'Rework Cutter Entry'!W239,"")</f>
        <v/>
      </c>
      <c r="X20" s="777" t="str">
        <f>IF('Rework Cutter Entry'!X239&lt;&gt;"",'Rework Cutter Entry'!X239,"")</f>
        <v/>
      </c>
    </row>
    <row r="21" spans="1:24" ht="16.5" customHeight="1" x14ac:dyDescent="0.35">
      <c r="A21" s="2257"/>
      <c r="B21" s="755">
        <v>6</v>
      </c>
      <c r="C21" s="775" t="str">
        <f>IF('Rework Cutter Entry'!C240&lt;&gt;"",'Rework Cutter Entry'!C240,"")</f>
        <v>O</v>
      </c>
      <c r="D21" s="776" t="str">
        <f>IF('Rework Cutter Entry'!D240&lt;&gt;"",'Rework Cutter Entry'!D240,"")</f>
        <v>O</v>
      </c>
      <c r="E21" s="776" t="str">
        <f>IF('Rework Cutter Entry'!E240&lt;&gt;"",'Rework Cutter Entry'!E240,"")</f>
        <v>O</v>
      </c>
      <c r="F21" s="776" t="str">
        <f>IF('Rework Cutter Entry'!F240&lt;&gt;"",'Rework Cutter Entry'!F240,"")</f>
        <v>O</v>
      </c>
      <c r="G21" s="776" t="str">
        <f>IF('Rework Cutter Entry'!G240&lt;&gt;"",'Rework Cutter Entry'!G240,"")</f>
        <v>O</v>
      </c>
      <c r="H21" s="776" t="str">
        <f>IF('Rework Cutter Entry'!H240&lt;&gt;"",'Rework Cutter Entry'!H240,"")</f>
        <v/>
      </c>
      <c r="I21" s="776" t="str">
        <f>IF('Rework Cutter Entry'!I240&lt;&gt;"",'Rework Cutter Entry'!I240,"")</f>
        <v/>
      </c>
      <c r="J21" s="776" t="str">
        <f>IF('Rework Cutter Entry'!J240&lt;&gt;"",'Rework Cutter Entry'!J240,"")</f>
        <v/>
      </c>
      <c r="K21" s="776" t="str">
        <f>IF('Rework Cutter Entry'!K240&lt;&gt;"",'Rework Cutter Entry'!K240,"")</f>
        <v/>
      </c>
      <c r="L21" s="776" t="str">
        <f>IF('Rework Cutter Entry'!L240&lt;&gt;"",'Rework Cutter Entry'!L240,"")</f>
        <v>O</v>
      </c>
      <c r="M21" s="776" t="str">
        <f>IF('Rework Cutter Entry'!M240&lt;&gt;"",'Rework Cutter Entry'!M240,"")</f>
        <v>O</v>
      </c>
      <c r="N21" s="776" t="str">
        <f>IF('Rework Cutter Entry'!N240&lt;&gt;"",'Rework Cutter Entry'!N240,"")</f>
        <v>O</v>
      </c>
      <c r="O21" s="776" t="str">
        <f>IF('Rework Cutter Entry'!O240&lt;&gt;"",'Rework Cutter Entry'!O240,"")</f>
        <v>O</v>
      </c>
      <c r="P21" s="776" t="str">
        <f>IF('Rework Cutter Entry'!P240&lt;&gt;"",'Rework Cutter Entry'!P240,"")</f>
        <v/>
      </c>
      <c r="Q21" s="776" t="str">
        <f>IF('Rework Cutter Entry'!Q240&lt;&gt;"",'Rework Cutter Entry'!Q240,"")</f>
        <v/>
      </c>
      <c r="R21" s="776" t="str">
        <f>IF('Rework Cutter Entry'!R240&lt;&gt;"",'Rework Cutter Entry'!R240,"")</f>
        <v/>
      </c>
      <c r="S21" s="776" t="str">
        <f>IF('Rework Cutter Entry'!S240&lt;&gt;"",'Rework Cutter Entry'!S240,"")</f>
        <v/>
      </c>
      <c r="T21" s="776" t="str">
        <f>IF('Rework Cutter Entry'!T240&lt;&gt;"",'Rework Cutter Entry'!T240,"")</f>
        <v/>
      </c>
      <c r="U21" s="776" t="str">
        <f>IF('Rework Cutter Entry'!U240&lt;&gt;"",'Rework Cutter Entry'!U240,"")</f>
        <v/>
      </c>
      <c r="V21" s="776" t="str">
        <f>IF('Rework Cutter Entry'!V240&lt;&gt;"",'Rework Cutter Entry'!V240,"")</f>
        <v/>
      </c>
      <c r="W21" s="776" t="str">
        <f>IF('Rework Cutter Entry'!W240&lt;&gt;"",'Rework Cutter Entry'!W240,"")</f>
        <v/>
      </c>
      <c r="X21" s="777" t="str">
        <f>IF('Rework Cutter Entry'!X240&lt;&gt;"",'Rework Cutter Entry'!X240,"")</f>
        <v/>
      </c>
    </row>
    <row r="22" spans="1:24" ht="16.5" customHeight="1" x14ac:dyDescent="0.35">
      <c r="A22" s="2257"/>
      <c r="B22" s="755">
        <v>7</v>
      </c>
      <c r="C22" s="775" t="str">
        <f>IF('Rework Cutter Entry'!C241&lt;&gt;"",'Rework Cutter Entry'!C241,"")</f>
        <v/>
      </c>
      <c r="D22" s="776" t="str">
        <f>IF('Rework Cutter Entry'!D241&lt;&gt;"",'Rework Cutter Entry'!D241,"")</f>
        <v/>
      </c>
      <c r="E22" s="776" t="str">
        <f>IF('Rework Cutter Entry'!E241&lt;&gt;"",'Rework Cutter Entry'!E241,"")</f>
        <v/>
      </c>
      <c r="F22" s="776" t="str">
        <f>IF('Rework Cutter Entry'!F241&lt;&gt;"",'Rework Cutter Entry'!F241,"")</f>
        <v/>
      </c>
      <c r="G22" s="776" t="str">
        <f>IF('Rework Cutter Entry'!G241&lt;&gt;"",'Rework Cutter Entry'!G241,"")</f>
        <v/>
      </c>
      <c r="H22" s="776" t="str">
        <f>IF('Rework Cutter Entry'!H241&lt;&gt;"",'Rework Cutter Entry'!H241,"")</f>
        <v/>
      </c>
      <c r="I22" s="776" t="str">
        <f>IF('Rework Cutter Entry'!I241&lt;&gt;"",'Rework Cutter Entry'!I241,"")</f>
        <v/>
      </c>
      <c r="J22" s="776" t="str">
        <f>IF('Rework Cutter Entry'!J241&lt;&gt;"",'Rework Cutter Entry'!J241,"")</f>
        <v/>
      </c>
      <c r="K22" s="776" t="str">
        <f>IF('Rework Cutter Entry'!K241&lt;&gt;"",'Rework Cutter Entry'!K241,"")</f>
        <v/>
      </c>
      <c r="L22" s="776" t="str">
        <f>IF('Rework Cutter Entry'!L241&lt;&gt;"",'Rework Cutter Entry'!L241,"")</f>
        <v/>
      </c>
      <c r="M22" s="776" t="str">
        <f>IF('Rework Cutter Entry'!M241&lt;&gt;"",'Rework Cutter Entry'!M241,"")</f>
        <v/>
      </c>
      <c r="N22" s="776" t="str">
        <f>IF('Rework Cutter Entry'!N241&lt;&gt;"",'Rework Cutter Entry'!N241,"")</f>
        <v/>
      </c>
      <c r="O22" s="776" t="str">
        <f>IF('Rework Cutter Entry'!O241&lt;&gt;"",'Rework Cutter Entry'!O241,"")</f>
        <v/>
      </c>
      <c r="P22" s="776" t="str">
        <f>IF('Rework Cutter Entry'!P241&lt;&gt;"",'Rework Cutter Entry'!P241,"")</f>
        <v/>
      </c>
      <c r="Q22" s="776" t="str">
        <f>IF('Rework Cutter Entry'!Q241&lt;&gt;"",'Rework Cutter Entry'!Q241,"")</f>
        <v/>
      </c>
      <c r="R22" s="776" t="str">
        <f>IF('Rework Cutter Entry'!R241&lt;&gt;"",'Rework Cutter Entry'!R241,"")</f>
        <v/>
      </c>
      <c r="S22" s="776" t="str">
        <f>IF('Rework Cutter Entry'!S241&lt;&gt;"",'Rework Cutter Entry'!S241,"")</f>
        <v/>
      </c>
      <c r="T22" s="776" t="str">
        <f>IF('Rework Cutter Entry'!T241&lt;&gt;"",'Rework Cutter Entry'!T241,"")</f>
        <v/>
      </c>
      <c r="U22" s="776" t="str">
        <f>IF('Rework Cutter Entry'!U241&lt;&gt;"",'Rework Cutter Entry'!U241,"")</f>
        <v/>
      </c>
      <c r="V22" s="776" t="str">
        <f>IF('Rework Cutter Entry'!V241&lt;&gt;"",'Rework Cutter Entry'!V241,"")</f>
        <v/>
      </c>
      <c r="W22" s="776" t="str">
        <f>IF('Rework Cutter Entry'!W241&lt;&gt;"",'Rework Cutter Entry'!W241,"")</f>
        <v/>
      </c>
      <c r="X22" s="777" t="str">
        <f>IF('Rework Cutter Entry'!X241&lt;&gt;"",'Rework Cutter Entry'!X241,"")</f>
        <v/>
      </c>
    </row>
    <row r="23" spans="1:24" ht="16.5" customHeight="1" x14ac:dyDescent="0.35">
      <c r="A23" s="2257"/>
      <c r="B23" s="755">
        <v>8</v>
      </c>
      <c r="C23" s="775" t="str">
        <f>IF('Rework Cutter Entry'!C242&lt;&gt;"",'Rework Cutter Entry'!C242,"")</f>
        <v/>
      </c>
      <c r="D23" s="776" t="str">
        <f>IF('Rework Cutter Entry'!D242&lt;&gt;"",'Rework Cutter Entry'!D242,"")</f>
        <v/>
      </c>
      <c r="E23" s="776" t="str">
        <f>IF('Rework Cutter Entry'!E242&lt;&gt;"",'Rework Cutter Entry'!E242,"")</f>
        <v/>
      </c>
      <c r="F23" s="776" t="str">
        <f>IF('Rework Cutter Entry'!F242&lt;&gt;"",'Rework Cutter Entry'!F242,"")</f>
        <v/>
      </c>
      <c r="G23" s="776" t="str">
        <f>IF('Rework Cutter Entry'!G242&lt;&gt;"",'Rework Cutter Entry'!G242,"")</f>
        <v/>
      </c>
      <c r="H23" s="776" t="str">
        <f>IF('Rework Cutter Entry'!H242&lt;&gt;"",'Rework Cutter Entry'!H242,"")</f>
        <v/>
      </c>
      <c r="I23" s="776" t="str">
        <f>IF('Rework Cutter Entry'!I242&lt;&gt;"",'Rework Cutter Entry'!I242,"")</f>
        <v/>
      </c>
      <c r="J23" s="776" t="str">
        <f>IF('Rework Cutter Entry'!J242&lt;&gt;"",'Rework Cutter Entry'!J242,"")</f>
        <v/>
      </c>
      <c r="K23" s="776" t="str">
        <f>IF('Rework Cutter Entry'!K242&lt;&gt;"",'Rework Cutter Entry'!K242,"")</f>
        <v/>
      </c>
      <c r="L23" s="776" t="str">
        <f>IF('Rework Cutter Entry'!L242&lt;&gt;"",'Rework Cutter Entry'!L242,"")</f>
        <v/>
      </c>
      <c r="M23" s="776" t="str">
        <f>IF('Rework Cutter Entry'!M242&lt;&gt;"",'Rework Cutter Entry'!M242,"")</f>
        <v/>
      </c>
      <c r="N23" s="776" t="str">
        <f>IF('Rework Cutter Entry'!N242&lt;&gt;"",'Rework Cutter Entry'!N242,"")</f>
        <v/>
      </c>
      <c r="O23" s="776" t="str">
        <f>IF('Rework Cutter Entry'!O242&lt;&gt;"",'Rework Cutter Entry'!O242,"")</f>
        <v/>
      </c>
      <c r="P23" s="776" t="str">
        <f>IF('Rework Cutter Entry'!P242&lt;&gt;"",'Rework Cutter Entry'!P242,"")</f>
        <v/>
      </c>
      <c r="Q23" s="776" t="str">
        <f>IF('Rework Cutter Entry'!Q242&lt;&gt;"",'Rework Cutter Entry'!Q242,"")</f>
        <v/>
      </c>
      <c r="R23" s="776" t="str">
        <f>IF('Rework Cutter Entry'!R242&lt;&gt;"",'Rework Cutter Entry'!R242,"")</f>
        <v/>
      </c>
      <c r="S23" s="776" t="str">
        <f>IF('Rework Cutter Entry'!S242&lt;&gt;"",'Rework Cutter Entry'!S242,"")</f>
        <v/>
      </c>
      <c r="T23" s="776" t="str">
        <f>IF('Rework Cutter Entry'!T242&lt;&gt;"",'Rework Cutter Entry'!T242,"")</f>
        <v/>
      </c>
      <c r="U23" s="776" t="str">
        <f>IF('Rework Cutter Entry'!U242&lt;&gt;"",'Rework Cutter Entry'!U242,"")</f>
        <v/>
      </c>
      <c r="V23" s="776" t="str">
        <f>IF('Rework Cutter Entry'!V242&lt;&gt;"",'Rework Cutter Entry'!V242,"")</f>
        <v/>
      </c>
      <c r="W23" s="776" t="str">
        <f>IF('Rework Cutter Entry'!W242&lt;&gt;"",'Rework Cutter Entry'!W242,"")</f>
        <v/>
      </c>
      <c r="X23" s="777" t="str">
        <f>IF('Rework Cutter Entry'!X242&lt;&gt;"",'Rework Cutter Entry'!X242,"")</f>
        <v/>
      </c>
    </row>
    <row r="24" spans="1:24" ht="16.5" customHeight="1" thickBot="1" x14ac:dyDescent="0.4">
      <c r="A24" s="2319"/>
      <c r="B24" s="795">
        <v>9</v>
      </c>
      <c r="C24" s="778" t="str">
        <f>IF('Rework Cutter Entry'!C243&lt;&gt;"",'Rework Cutter Entry'!C243,"")</f>
        <v/>
      </c>
      <c r="D24" s="779" t="str">
        <f>IF('Rework Cutter Entry'!D243&lt;&gt;"",'Rework Cutter Entry'!D243,"")</f>
        <v/>
      </c>
      <c r="E24" s="779" t="str">
        <f>IF('Rework Cutter Entry'!E243&lt;&gt;"",'Rework Cutter Entry'!E243,"")</f>
        <v/>
      </c>
      <c r="F24" s="779" t="str">
        <f>IF('Rework Cutter Entry'!F243&lt;&gt;"",'Rework Cutter Entry'!F243,"")</f>
        <v/>
      </c>
      <c r="G24" s="779" t="str">
        <f>IF('Rework Cutter Entry'!G243&lt;&gt;"",'Rework Cutter Entry'!G243,"")</f>
        <v/>
      </c>
      <c r="H24" s="779" t="str">
        <f>IF('Rework Cutter Entry'!H243&lt;&gt;"",'Rework Cutter Entry'!H243,"")</f>
        <v/>
      </c>
      <c r="I24" s="779" t="str">
        <f>IF('Rework Cutter Entry'!I243&lt;&gt;"",'Rework Cutter Entry'!I243,"")</f>
        <v/>
      </c>
      <c r="J24" s="779" t="str">
        <f>IF('Rework Cutter Entry'!J243&lt;&gt;"",'Rework Cutter Entry'!J243,"")</f>
        <v/>
      </c>
      <c r="K24" s="779" t="str">
        <f>IF('Rework Cutter Entry'!K243&lt;&gt;"",'Rework Cutter Entry'!K243,"")</f>
        <v/>
      </c>
      <c r="L24" s="779" t="str">
        <f>IF('Rework Cutter Entry'!L243&lt;&gt;"",'Rework Cutter Entry'!L243,"")</f>
        <v/>
      </c>
      <c r="M24" s="779" t="str">
        <f>IF('Rework Cutter Entry'!M243&lt;&gt;"",'Rework Cutter Entry'!M243,"")</f>
        <v/>
      </c>
      <c r="N24" s="779" t="str">
        <f>IF('Rework Cutter Entry'!N243&lt;&gt;"",'Rework Cutter Entry'!N243,"")</f>
        <v/>
      </c>
      <c r="O24" s="779" t="str">
        <f>IF('Rework Cutter Entry'!O243&lt;&gt;"",'Rework Cutter Entry'!O243,"")</f>
        <v/>
      </c>
      <c r="P24" s="779" t="str">
        <f>IF('Rework Cutter Entry'!P243&lt;&gt;"",'Rework Cutter Entry'!P243,"")</f>
        <v/>
      </c>
      <c r="Q24" s="779" t="str">
        <f>IF('Rework Cutter Entry'!Q243&lt;&gt;"",'Rework Cutter Entry'!Q243,"")</f>
        <v/>
      </c>
      <c r="R24" s="779" t="str">
        <f>IF('Rework Cutter Entry'!R243&lt;&gt;"",'Rework Cutter Entry'!R243,"")</f>
        <v/>
      </c>
      <c r="S24" s="779" t="str">
        <f>IF('Rework Cutter Entry'!S243&lt;&gt;"",'Rework Cutter Entry'!S243,"")</f>
        <v/>
      </c>
      <c r="T24" s="779" t="str">
        <f>IF('Rework Cutter Entry'!T243&lt;&gt;"",'Rework Cutter Entry'!T243,"")</f>
        <v/>
      </c>
      <c r="U24" s="779" t="str">
        <f>IF('Rework Cutter Entry'!U243&lt;&gt;"",'Rework Cutter Entry'!U243,"")</f>
        <v/>
      </c>
      <c r="V24" s="779" t="str">
        <f>IF('Rework Cutter Entry'!V243&lt;&gt;"",'Rework Cutter Entry'!V243,"")</f>
        <v/>
      </c>
      <c r="W24" s="779" t="str">
        <f>IF('Rework Cutter Entry'!W243&lt;&gt;"",'Rework Cutter Entry'!W243,"")</f>
        <v/>
      </c>
      <c r="X24" s="780" t="str">
        <f>IF('Rework Cutter Entry'!X243&lt;&gt;"",'Rework Cutter Entry'!X243,"")</f>
        <v/>
      </c>
    </row>
    <row r="25" spans="1:24" ht="5.15" customHeight="1" thickBot="1" x14ac:dyDescent="0.4">
      <c r="A25" s="781"/>
      <c r="B25" s="450"/>
      <c r="C25" s="450"/>
      <c r="D25" s="450"/>
      <c r="E25" s="449"/>
      <c r="F25" s="449"/>
      <c r="G25" s="449"/>
      <c r="H25" s="449"/>
      <c r="I25" s="449"/>
      <c r="J25" s="449"/>
      <c r="K25" s="451"/>
      <c r="L25" s="451"/>
      <c r="M25" s="453"/>
      <c r="N25" s="453"/>
      <c r="O25" s="453"/>
      <c r="P25" s="453"/>
      <c r="Q25" s="453"/>
      <c r="R25" s="453"/>
      <c r="S25" s="454"/>
      <c r="T25" s="451"/>
      <c r="U25" s="451"/>
      <c r="V25" s="449"/>
      <c r="W25" s="449"/>
      <c r="X25" s="449"/>
    </row>
    <row r="26" spans="1:24" ht="14.25" customHeight="1" x14ac:dyDescent="0.35">
      <c r="A26" s="1815" t="s">
        <v>1046</v>
      </c>
      <c r="B26" s="1813"/>
      <c r="C26" s="1813"/>
      <c r="D26" s="1813" t="s">
        <v>968</v>
      </c>
      <c r="E26" s="1813"/>
      <c r="F26" s="1813"/>
      <c r="G26" s="1813" t="s">
        <v>969</v>
      </c>
      <c r="H26" s="1813"/>
      <c r="I26" s="1813"/>
      <c r="J26" s="1813" t="s">
        <v>970</v>
      </c>
      <c r="K26" s="1813"/>
      <c r="L26" s="1813"/>
      <c r="M26" s="1813" t="s">
        <v>971</v>
      </c>
      <c r="N26" s="1813"/>
      <c r="O26" s="1813"/>
      <c r="P26" s="1813" t="s">
        <v>21</v>
      </c>
      <c r="Q26" s="1813"/>
      <c r="R26" s="1814"/>
      <c r="S26" s="449"/>
      <c r="T26" s="449"/>
      <c r="U26" s="449"/>
      <c r="V26" s="455"/>
      <c r="W26" s="452"/>
    </row>
    <row r="27" spans="1:24" ht="14.25" customHeight="1" thickBot="1" x14ac:dyDescent="0.4">
      <c r="A27" s="1816">
        <f>IF(COUNTIF($C$16:$X$24,"*R*"),COUNTIF($C$16:$X$24,"*R*"),0)</f>
        <v>0</v>
      </c>
      <c r="B27" s="1817"/>
      <c r="C27" s="1817"/>
      <c r="D27" s="1817">
        <f>IF(COUNTIF($C$16:$X$24,"*S*"),COUNTIF($C$16:$X$24,"*S*"),0)</f>
        <v>0</v>
      </c>
      <c r="E27" s="1817"/>
      <c r="F27" s="1817"/>
      <c r="G27" s="1817">
        <f>IF(COUNTIF($C$16:$X$24,"*O*"),COUNTIF($C$16:$X$24,"*O*"),0)</f>
        <v>62</v>
      </c>
      <c r="H27" s="1817"/>
      <c r="I27" s="1817"/>
      <c r="J27" s="1817">
        <f>IF(COUNTIF($C$16:$X$24,"*F*"),COUNTIF($C$16:$X$24,"*F*"),0)</f>
        <v>0</v>
      </c>
      <c r="K27" s="1817"/>
      <c r="L27" s="1817"/>
      <c r="M27" s="1817">
        <f>SUM(C34+C35+C36+C37+C38+C39+C40)</f>
        <v>0</v>
      </c>
      <c r="N27" s="1817"/>
      <c r="O27" s="1817"/>
      <c r="P27" s="1817">
        <f>SUM(A27+D27+G27+J27+M27)</f>
        <v>62</v>
      </c>
      <c r="Q27" s="1817"/>
      <c r="R27" s="1829"/>
      <c r="S27" s="455"/>
      <c r="T27" s="455"/>
      <c r="U27" s="455"/>
      <c r="V27" s="455"/>
      <c r="W27" s="455"/>
    </row>
    <row r="28" spans="1:24" ht="2.25" customHeight="1" x14ac:dyDescent="0.35">
      <c r="A28" s="782"/>
      <c r="B28" s="456"/>
      <c r="C28" s="456"/>
      <c r="D28" s="456"/>
      <c r="E28" s="456"/>
      <c r="F28" s="456"/>
      <c r="G28" s="456"/>
      <c r="H28" s="456"/>
      <c r="I28" s="456"/>
      <c r="J28" s="456"/>
      <c r="K28" s="456"/>
      <c r="L28" s="456"/>
      <c r="M28" s="456"/>
      <c r="N28" s="456"/>
      <c r="O28" s="456"/>
      <c r="S28" s="456"/>
      <c r="T28" s="456"/>
      <c r="U28" s="456"/>
      <c r="V28" s="456"/>
      <c r="W28" s="456"/>
      <c r="X28" s="456"/>
    </row>
    <row r="29" spans="1:24" ht="16.5" customHeight="1" x14ac:dyDescent="0.35">
      <c r="A29" s="2310" t="s">
        <v>19</v>
      </c>
      <c r="B29" s="2311"/>
      <c r="C29" s="2312"/>
      <c r="D29" s="2298" t="str">
        <f>IF(IF('Rework Cutter Entry'!$D$61&lt;&gt;"",'Rework Cutter Entry'!D61,IF('Rework Cutter Entry'!$D$40&lt;&gt;"",'Rework Cutter Entry'!D40,IF('Rework Cutter Entry'!$D$19&lt;&gt;"",'Rework Cutter Entry'!D19,"")))="","",IF('Rework Cutter Entry'!$D$61&lt;&gt;"",'Rework Cutter Entry'!D61,IF('Rework Cutter Entry'!$D$40&lt;&gt;"",'Rework Cutter Entry'!D40,IF('Rework Cutter Entry'!$D$19&lt;&gt;"",'Rework Cutter Entry'!D19,""))))</f>
        <v/>
      </c>
      <c r="E29" s="2259"/>
      <c r="F29" s="2259"/>
      <c r="G29" s="2259"/>
      <c r="H29" s="2259"/>
      <c r="I29" s="2259"/>
      <c r="J29" s="2259"/>
      <c r="K29" s="2259"/>
      <c r="L29" s="2259"/>
      <c r="M29" s="2259"/>
      <c r="N29" s="2259"/>
      <c r="O29" s="2259"/>
      <c r="P29" s="2259"/>
      <c r="Q29" s="2259"/>
      <c r="R29" s="2259"/>
      <c r="S29" s="2259"/>
      <c r="T29" s="2259"/>
      <c r="U29" s="2259"/>
      <c r="V29" s="2259"/>
      <c r="W29" s="2259"/>
      <c r="X29" s="2299"/>
    </row>
    <row r="30" spans="1:24" ht="16.5" customHeight="1" thickBot="1" x14ac:dyDescent="0.4">
      <c r="A30" s="2313" t="str">
        <f>IF(Instructions!$L$1&lt;&gt;"",Instructions!$L$1,"")</f>
        <v/>
      </c>
      <c r="B30" s="2314"/>
      <c r="C30" s="2315"/>
      <c r="D30" s="2300"/>
      <c r="E30" s="1898"/>
      <c r="F30" s="1898"/>
      <c r="G30" s="1898"/>
      <c r="H30" s="1898"/>
      <c r="I30" s="1898"/>
      <c r="J30" s="1898"/>
      <c r="K30" s="1898"/>
      <c r="L30" s="1898"/>
      <c r="M30" s="1898"/>
      <c r="N30" s="1898"/>
      <c r="O30" s="1898"/>
      <c r="P30" s="1898"/>
      <c r="Q30" s="1898"/>
      <c r="R30" s="1898"/>
      <c r="S30" s="1898"/>
      <c r="T30" s="1898"/>
      <c r="U30" s="1898"/>
      <c r="V30" s="1898"/>
      <c r="W30" s="1898"/>
      <c r="X30" s="2301"/>
    </row>
    <row r="31" spans="1:24" ht="12.75" customHeight="1" thickBot="1" x14ac:dyDescent="0.4">
      <c r="A31" s="1672" t="s">
        <v>39</v>
      </c>
      <c r="B31" s="1673"/>
      <c r="C31" s="1673"/>
      <c r="D31" s="1673"/>
      <c r="E31" s="1673"/>
      <c r="F31" s="1673"/>
      <c r="G31" s="1673"/>
      <c r="H31" s="1673"/>
      <c r="I31" s="1673"/>
      <c r="J31" s="1673"/>
      <c r="K31" s="1673"/>
      <c r="L31" s="1673"/>
      <c r="M31" s="1673"/>
      <c r="N31" s="1673"/>
      <c r="O31" s="1673"/>
      <c r="P31" s="1673"/>
      <c r="Q31" s="1673"/>
      <c r="R31" s="1673"/>
      <c r="S31" s="1673"/>
      <c r="T31" s="1673"/>
      <c r="U31" s="1673"/>
      <c r="V31" s="1673"/>
      <c r="W31" s="1673"/>
      <c r="X31" s="1673"/>
    </row>
    <row r="32" spans="1:24" ht="8.25" customHeight="1" x14ac:dyDescent="0.35">
      <c r="A32" s="1657" t="s">
        <v>108</v>
      </c>
      <c r="B32" s="1647"/>
      <c r="C32" s="1647" t="s">
        <v>40</v>
      </c>
      <c r="D32" s="1647"/>
      <c r="E32" s="1647" t="s">
        <v>41</v>
      </c>
      <c r="F32" s="1647"/>
      <c r="G32" s="1647"/>
      <c r="H32" s="1647" t="s">
        <v>730</v>
      </c>
      <c r="I32" s="1647"/>
      <c r="J32" s="1647"/>
      <c r="K32" s="1647" t="s">
        <v>43</v>
      </c>
      <c r="L32" s="1647"/>
      <c r="M32" s="1647"/>
      <c r="N32" s="2304"/>
      <c r="O32" s="2306" t="s">
        <v>44</v>
      </c>
      <c r="P32" s="1659"/>
      <c r="Q32" s="1659"/>
      <c r="R32" s="1659"/>
      <c r="S32" s="1659"/>
      <c r="T32" s="1659"/>
      <c r="U32" s="1659"/>
      <c r="V32" s="1659"/>
      <c r="W32" s="1659"/>
      <c r="X32" s="1660"/>
    </row>
    <row r="33" spans="1:24" ht="8.25" customHeight="1" thickBot="1" x14ac:dyDescent="0.4">
      <c r="A33" s="2302"/>
      <c r="B33" s="2303"/>
      <c r="C33" s="2303"/>
      <c r="D33" s="2303"/>
      <c r="E33" s="2303"/>
      <c r="F33" s="2303"/>
      <c r="G33" s="2303"/>
      <c r="H33" s="2303"/>
      <c r="I33" s="2303"/>
      <c r="J33" s="2303"/>
      <c r="K33" s="2303"/>
      <c r="L33" s="2303"/>
      <c r="M33" s="2303"/>
      <c r="N33" s="2305"/>
      <c r="O33" s="2307"/>
      <c r="P33" s="2308"/>
      <c r="Q33" s="2308"/>
      <c r="R33" s="2308"/>
      <c r="S33" s="2308"/>
      <c r="T33" s="2308"/>
      <c r="U33" s="2308"/>
      <c r="V33" s="2308"/>
      <c r="W33" s="2308"/>
      <c r="X33" s="2309"/>
    </row>
    <row r="34" spans="1:24" ht="14.25" customHeight="1" x14ac:dyDescent="0.35">
      <c r="A34" s="2294">
        <f>IF(TRIM(H34)="","",IF(Data!CX60&gt;0,IF(Data!CX60&lt;&gt;"", Data!CX60, " ")," "))</f>
        <v>1</v>
      </c>
      <c r="B34" s="2295"/>
      <c r="C34" s="2296">
        <f>IF(COUNTIF($C$16:$X$24,"*X*1*"),COUNTIF($C$16:$X$24,"*X*1*"),0)+IF(COUNTIF($C$16:$X$24,"*L*1*"),COUNTIF($C$16:$X$24,"*L*1*"),0)</f>
        <v>0</v>
      </c>
      <c r="D34" s="2296"/>
      <c r="E34" s="2296">
        <f>IF(Data!GK2&gt;0,IF(Data!GK2&lt;&gt;"",Data!GK2," ")," ")</f>
        <v>1613</v>
      </c>
      <c r="F34" s="2296"/>
      <c r="G34" s="2296"/>
      <c r="H34" s="2296">
        <f>IF(Data!GG2&gt;0,IF(Data!GG2&lt;&gt;"",IF(Data!GG2&lt;&gt;"Add the cutter in list",Data!GG2," ")," "),"")</f>
        <v>1039060</v>
      </c>
      <c r="I34" s="2296"/>
      <c r="J34" s="2296"/>
      <c r="K34" s="2296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CT138  0.018"</v>
      </c>
      <c r="L34" s="2296"/>
      <c r="M34" s="2296"/>
      <c r="N34" s="2296"/>
      <c r="O34" s="1877" t="str">
        <f>IF(IF(A34=Data!$D$4,Data!$G$4,IF('Rework (2)'!A28=Data!$D$5,Data!$G$5,IF('Rework (2)'!A28=Data!$D$6,Data!$G$6,IF(Data!BL46&lt;&gt;0,Data!BL46," "))))=0,"",IF(A34=Data!$D$4,"To Replace Cutter # "&amp;Data!$G$4,IF('Rework (2)'!A28=Data!$D$5,"To Replace Cutter # "&amp;Data!$G$5,IF('Rework (2)'!A28=Data!$D$6,"To Replace Cutter # "&amp;Data!$G$6,IF(Data!BL46&lt;&gt;0,Data!BL46," ")))))</f>
        <v xml:space="preserve"> </v>
      </c>
      <c r="P34" s="1877"/>
      <c r="Q34" s="1877"/>
      <c r="R34" s="1877"/>
      <c r="S34" s="1877"/>
      <c r="T34" s="1877"/>
      <c r="U34" s="1877"/>
      <c r="V34" s="1877"/>
      <c r="W34" s="1877"/>
      <c r="X34" s="2297"/>
    </row>
    <row r="35" spans="1:24" ht="15" customHeight="1" x14ac:dyDescent="0.35">
      <c r="A35" s="1419">
        <f>IF(TRIM(H35)="","",IF(Data!CX61&gt;0,IF(Data!CX61&lt;&gt;"", Data!CX61, " ")," "))</f>
        <v>2</v>
      </c>
      <c r="B35" s="1420"/>
      <c r="C35" s="1799">
        <f>IF(COUNTIF($C$16:$X$24,"*X*2*"),COUNTIF($C$16:$X$24,"*X*2*"),0)+IF(COUNTIF($C$16:$X$24,"*L*2*"),COUNTIF($C$16:$X$24,"*L*2*"),0)</f>
        <v>0</v>
      </c>
      <c r="D35" s="1799"/>
      <c r="E35" s="1799">
        <f>IF(Data!GK3&gt;0,IF(Data!GK3&lt;&gt;"",Data!GK3," ")," ")</f>
        <v>1608</v>
      </c>
      <c r="F35" s="1799"/>
      <c r="G35" s="1799"/>
      <c r="H35" s="1799">
        <f>IF(Data!GG3&gt;0,IF(Data!GG3&lt;&gt;"",IF(Data!GG3&lt;&gt;"Add the cutter in list",Data!GG3," ")," "),"")</f>
        <v>1130197</v>
      </c>
      <c r="I35" s="1799"/>
      <c r="J35" s="1799"/>
      <c r="K35" s="1799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CT182  0.018</v>
      </c>
      <c r="L35" s="1799"/>
      <c r="M35" s="1799"/>
      <c r="N35" s="1799"/>
      <c r="O35" s="1799" t="str">
        <f>IF(IF(A35=Data!$D$4,Data!$G$4,IF('Rework (2)'!A29=Data!$D$5,Data!$G$5,IF('Rework (2)'!A29=Data!$D$6,Data!$G$6,IF(Data!BL47&lt;&gt;0,Data!BL47," "))))=0,"",IF(A35=Data!$D$4,"To Replace Cutter # "&amp;Data!$G$4,IF('Rework (2)'!A29=Data!$D$5,"To Replace Cutter # "&amp;Data!$G$5,IF('Rework (2)'!A29=Data!$D$6,"To Replace Cutter # "&amp;Data!$G$6,IF(Data!BL47&lt;&gt;0,Data!BL47," ")))))</f>
        <v xml:space="preserve"> </v>
      </c>
      <c r="P35" s="1799"/>
      <c r="Q35" s="1799"/>
      <c r="R35" s="1799"/>
      <c r="S35" s="1799"/>
      <c r="T35" s="1799"/>
      <c r="U35" s="1799"/>
      <c r="V35" s="1799"/>
      <c r="W35" s="1799"/>
      <c r="X35" s="2293"/>
    </row>
    <row r="36" spans="1:24" ht="15" customHeight="1" x14ac:dyDescent="0.35">
      <c r="A36" s="1419">
        <f>IF(TRIM(H36)="","",IF(Data!CX62&gt;0,IF(Data!CX62&lt;&gt;"", Data!CX62, " ")," "))</f>
        <v>3</v>
      </c>
      <c r="B36" s="1420"/>
      <c r="C36" s="1799">
        <f>IF(COUNTIF($C$16:$X$24,"*X*3*"),COUNTIF($C$16:$X$24,"*X*3*"),0)+IF(COUNTIF($C$16:$X$24,"*L*3*"),COUNTIF($C$16:$X$24,"*L*3*"),0)</f>
        <v>0</v>
      </c>
      <c r="D36" s="1799"/>
      <c r="E36" s="1799">
        <f>IF(Data!GK4&gt;0,IF(Data!GK4&lt;&gt;"",Data!GK4," ")," ")</f>
        <v>1308</v>
      </c>
      <c r="F36" s="1799"/>
      <c r="G36" s="1799"/>
      <c r="H36" s="1799">
        <f>IF(Data!GG4&gt;0,IF(Data!GG4&lt;&gt;"",IF(Data!GG4&lt;&gt;"Add the cutter in list",Data!GG4," ")," "),"")</f>
        <v>418525</v>
      </c>
      <c r="I36" s="1799"/>
      <c r="J36" s="1799"/>
      <c r="K36" s="1799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L36" s="1799"/>
      <c r="M36" s="1799"/>
      <c r="N36" s="1799"/>
      <c r="O36" s="1799" t="str">
        <f>IF(IF(A36=Data!$D$4,Data!$G$4,IF('Rework (2)'!A30=Data!$D$5,Data!$G$5,IF('Rework (2)'!A30=Data!$D$6,Data!$G$6,IF(Data!BL48&lt;&gt;0,Data!BL48," "))))=0,"",IF(A36=Data!$D$4,"To Replace Cutter # "&amp;Data!$G$4,IF('Rework (2)'!A30=Data!$D$5,"To Replace Cutter # "&amp;Data!$G$5,IF('Rework (2)'!A30=Data!$D$6,"To Replace Cutter # "&amp;Data!$G$6,IF(Data!BL48&lt;&gt;0,Data!BL48," ")))))</f>
        <v xml:space="preserve"> </v>
      </c>
      <c r="P36" s="1799"/>
      <c r="Q36" s="1799"/>
      <c r="R36" s="1799"/>
      <c r="S36" s="1799"/>
      <c r="T36" s="1799"/>
      <c r="U36" s="1799"/>
      <c r="V36" s="1799"/>
      <c r="W36" s="1799"/>
      <c r="X36" s="2293"/>
    </row>
    <row r="37" spans="1:24" ht="15" customHeight="1" x14ac:dyDescent="0.35">
      <c r="A37" s="1419">
        <f>IF(TRIM(H37)="","",IF(Data!CX63&gt;0,IF(Data!CX63&lt;&gt;"", Data!CX63, " ")," "))</f>
        <v>4</v>
      </c>
      <c r="B37" s="1420"/>
      <c r="C37" s="1799">
        <f>IF(COUNTIF($C$16:$X$24,"*X*4*"),COUNTIF($C$16:$X$24,"*X*4*"),0)+IF(COUNTIF($C$16:$X$24,"*L*4*"),COUNTIF($C$16:$X$24,"*L*4*"),0)</f>
        <v>0</v>
      </c>
      <c r="D37" s="1799"/>
      <c r="E37" s="1799">
        <f>IF(Data!GK5&gt;0,IF(Data!GK5&lt;&gt;"",Data!GK5," ")," ")</f>
        <v>1608</v>
      </c>
      <c r="F37" s="1799"/>
      <c r="G37" s="1799"/>
      <c r="H37" s="1799">
        <f>IF(Data!GG5&gt;0,IF(Data!GG5&lt;&gt;"",IF(Data!GG5&lt;&gt;"Add the cutter in list",Data!GG5," ")," "),"")</f>
        <v>643738</v>
      </c>
      <c r="I37" s="1799"/>
      <c r="J37" s="1799"/>
      <c r="K37" s="1799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CT70  0.018"</v>
      </c>
      <c r="L37" s="1799"/>
      <c r="M37" s="1799"/>
      <c r="N37" s="1799"/>
      <c r="O37" s="1799" t="str">
        <f>IF(IF(A37=Data!$D$4,Data!$G$4,IF('Rework (2)'!A31=Data!$D$5,Data!$G$5,IF('Rework (2)'!A31=Data!$D$6,Data!$G$6,IF(Data!BL49&lt;&gt;0,Data!BL49," "))))=0,"",IF(A37=Data!$D$4,"To Replace Cutter # "&amp;Data!$G$4,IF('Rework (2)'!A31=Data!$D$5,"To Replace Cutter # "&amp;Data!$G$5,IF('Rework (2)'!A31=Data!$D$6,"To Replace Cutter # "&amp;Data!$G$6,IF(Data!BL49&lt;&gt;0,Data!BL49," ")))))</f>
        <v>To Replace Cutter # 2</v>
      </c>
      <c r="P37" s="1799"/>
      <c r="Q37" s="1799"/>
      <c r="R37" s="1799"/>
      <c r="S37" s="1799"/>
      <c r="T37" s="1799"/>
      <c r="U37" s="1799"/>
      <c r="V37" s="1799"/>
      <c r="W37" s="1799"/>
      <c r="X37" s="2293"/>
    </row>
    <row r="38" spans="1:24" ht="15" customHeight="1" x14ac:dyDescent="0.35">
      <c r="A38" s="1419">
        <f>IF(TRIM(H38)="","",IF(Data!CX64&gt;0,IF(Data!CX64&lt;&gt;"", Data!CX64, " ")," "))</f>
        <v>5</v>
      </c>
      <c r="B38" s="1420"/>
      <c r="C38" s="1799">
        <f>IF(COUNTIF($C$16:$X$24,"*X*5*"),COUNTIF($C$16:$X$24,"*X*5*"),0)+IF(COUNTIF($C$16:$X$24,"*L*5*"),COUNTIF($C$16:$X$24,"*L*5*"),0)</f>
        <v>0</v>
      </c>
      <c r="D38" s="1799"/>
      <c r="E38" s="1799">
        <f>IF(Data!GK6&gt;0,IF(Data!GK6&lt;&gt;"",Data!GK6," ")," ")</f>
        <v>1613</v>
      </c>
      <c r="F38" s="1799"/>
      <c r="G38" s="1799"/>
      <c r="H38" s="1799">
        <f>IF(Data!GG6&gt;0,IF(Data!GG6&lt;&gt;"",IF(Data!GG6&lt;&gt;"Add the cutter in list",Data!GG6," ")," "),"")</f>
        <v>1126402</v>
      </c>
      <c r="I38" s="1799"/>
      <c r="J38" s="1799"/>
      <c r="K38" s="1799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>CT421  18-60</v>
      </c>
      <c r="L38" s="1799"/>
      <c r="M38" s="1799"/>
      <c r="N38" s="1799"/>
      <c r="O38" s="1799" t="str">
        <f>IF(IF(A38=Data!$D$4,Data!$G$4,IF('Rework (2)'!A32=Data!$D$5,Data!$G$5,IF('Rework (2)'!A32=Data!$D$6,Data!$G$6,IF(Data!BL50&lt;&gt;0,Data!BL50," "))))=0,"",IF(A38=Data!$D$4,"To Replace Cutter # "&amp;Data!$G$4,IF('Rework (2)'!A32=Data!$D$5,"To Replace Cutter # "&amp;Data!$G$5,IF('Rework (2)'!A32=Data!$D$6,"To Replace Cutter # "&amp;Data!$G$6,IF(Data!BL50&lt;&gt;0,Data!BL50," ")))))</f>
        <v>To Replace Cutter # 1</v>
      </c>
      <c r="P38" s="1799"/>
      <c r="Q38" s="1799"/>
      <c r="R38" s="1799"/>
      <c r="S38" s="1799"/>
      <c r="T38" s="1799"/>
      <c r="U38" s="1799"/>
      <c r="V38" s="1799"/>
      <c r="W38" s="1799"/>
      <c r="X38" s="2293"/>
    </row>
    <row r="39" spans="1:24" ht="15" customHeight="1" x14ac:dyDescent="0.35">
      <c r="A39" s="1419" t="str">
        <f>IF(TRIM(H39)="","",IF(Data!CX65&gt;0,IF(Data!CX65&lt;&gt;"", Data!CX65, " ")," "))</f>
        <v/>
      </c>
      <c r="B39" s="1420"/>
      <c r="C39" s="1799">
        <f>IF(COUNTIF($C$16:$X$24,"*X*6*"),COUNTIF($C$16:$X$24,"*X*6*"),0)+IF(COUNTIF($C$16:$X$24,"*L*6*"),COUNTIF($C$16:$X$24,"*L*6*"),0)</f>
        <v>0</v>
      </c>
      <c r="D39" s="1799"/>
      <c r="E39" s="1799" t="str">
        <f>IF(Data!GK7&gt;0,IF(Data!GK7&lt;&gt;"",Data!GK7," ")," ")</f>
        <v xml:space="preserve"> </v>
      </c>
      <c r="F39" s="1799"/>
      <c r="G39" s="1799"/>
      <c r="H39" s="1799" t="str">
        <f>IF(Data!GG7&gt;0,IF(Data!GG7&lt;&gt;"",IF(Data!GG7&lt;&gt;"Add the cutter in list",Data!GG7," ")," "),"")</f>
        <v xml:space="preserve"> </v>
      </c>
      <c r="I39" s="1799"/>
      <c r="J39" s="1799"/>
      <c r="K39" s="1799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L39" s="1799"/>
      <c r="M39" s="1799"/>
      <c r="N39" s="1799"/>
      <c r="O39" s="1799" t="str">
        <f>IF(IF(A39=Data!$D$4,Data!$G$4,IF('Rework (2)'!A33=Data!$D$5,Data!$G$5,IF('Rework (2)'!A33=Data!$D$6,Data!$G$6,IF(Data!BL51&lt;&gt;0,Data!BL51," "))))=0,"",IF(A39=Data!$D$4,"To Replace Cutter # "&amp;Data!$G$4,IF('Rework (2)'!A33=Data!$D$5,"To Replace Cutter # "&amp;Data!$G$5,IF('Rework (2)'!A33=Data!$D$6,"To Replace Cutter # "&amp;Data!$G$6,IF(Data!BL51&lt;&gt;0,Data!BL51," ")))))</f>
        <v/>
      </c>
      <c r="P39" s="1799"/>
      <c r="Q39" s="1799"/>
      <c r="R39" s="1799"/>
      <c r="S39" s="1799"/>
      <c r="T39" s="1799"/>
      <c r="U39" s="1799"/>
      <c r="V39" s="1799"/>
      <c r="W39" s="1799"/>
      <c r="X39" s="2293"/>
    </row>
    <row r="40" spans="1:24" ht="15" customHeight="1" x14ac:dyDescent="0.35">
      <c r="A40" s="1419" t="str">
        <f>IF(TRIM(H40)="","",IF(Data!CX66&gt;0,IF(Data!CX66&lt;&gt;"", Data!CX66, " ")," "))</f>
        <v/>
      </c>
      <c r="B40" s="1420"/>
      <c r="C40" s="1799">
        <f>IF(COUNTIF($C$16:$X$24,"*X*7*"),COUNTIF($C$16:$X$24,"*X*7*"),0)+IF(COUNTIF($C$16:$X$24,"*L*7*"),COUNTIF($C$16:$X$24,"*L*7*"),0)</f>
        <v>0</v>
      </c>
      <c r="D40" s="1799"/>
      <c r="E40" s="1799" t="str">
        <f>IF(Data!GK8&gt;0,IF(Data!GK8&lt;&gt;"",Data!GK8," ")," ")</f>
        <v xml:space="preserve"> </v>
      </c>
      <c r="F40" s="1799"/>
      <c r="G40" s="1799"/>
      <c r="H40" s="1799" t="str">
        <f>IF(Data!GG8&gt;0,IF(Data!GG8&lt;&gt;"",IF(Data!GG8&lt;&gt;"Add the cutter in list",Data!GG8," ")," "),"")</f>
        <v xml:space="preserve"> </v>
      </c>
      <c r="I40" s="1799"/>
      <c r="J40" s="1799"/>
      <c r="K40" s="1799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L40" s="1799"/>
      <c r="M40" s="1799"/>
      <c r="N40" s="1799"/>
      <c r="O40" s="1799" t="str">
        <f>IF(IF(A40=Data!$D$4,Data!$G$4,IF('Rework (2)'!A34=Data!$D$5,Data!$G$5,IF('Rework (2)'!A34=Data!$D$6,Data!$G$6,IF(Data!BL52&lt;&gt;0,Data!BL52," "))))=0,"",IF(A40=Data!$D$4,"To Replace Cutter # "&amp;Data!$G$4,IF('Rework (2)'!A34=Data!$D$5,"To Replace Cutter # "&amp;Data!$G$5,IF('Rework (2)'!A34=Data!$D$6,"To Replace Cutter # "&amp;Data!$G$6,IF(Data!BL52&lt;&gt;0,Data!BL52," ")))))</f>
        <v/>
      </c>
      <c r="P40" s="1799"/>
      <c r="Q40" s="1799"/>
      <c r="R40" s="1799"/>
      <c r="S40" s="1799"/>
      <c r="T40" s="1799"/>
      <c r="U40" s="1799"/>
      <c r="V40" s="1799"/>
      <c r="W40" s="1799"/>
      <c r="X40" s="2293"/>
    </row>
    <row r="41" spans="1:24" ht="15" customHeight="1" x14ac:dyDescent="0.35">
      <c r="A41" s="1419" t="str">
        <f>IF(TRIM(H41)="","",IF(Data!CX67&gt;0,IF(Data!CX67&lt;&gt;"", Data!CX67, " ")," "))</f>
        <v/>
      </c>
      <c r="B41" s="1420"/>
      <c r="C41" s="1799">
        <f>IF(COUNTIF($C$16:$X$24,"*X*8*"),COUNTIF($C$16:$X$24,"*X*8*"),0)+IF(COUNTIF($C$16:$X$24,"*L*8*"),COUNTIF($C$16:$X$24,"*L*8*"),0)</f>
        <v>0</v>
      </c>
      <c r="D41" s="1799"/>
      <c r="E41" s="1799" t="str">
        <f>IF(Data!GK9&gt;0,IF(Data!GK9&lt;&gt;"",Data!GK9," ")," ")</f>
        <v xml:space="preserve"> </v>
      </c>
      <c r="F41" s="1799"/>
      <c r="G41" s="1799"/>
      <c r="H41" s="1799" t="str">
        <f>IF(Data!GG9&gt;0,IF(Data!GG9&lt;&gt;"",IF(Data!GG9&lt;&gt;"Add the cutter in list",Data!GG9," ")," "),"")</f>
        <v xml:space="preserve"> </v>
      </c>
      <c r="I41" s="1799"/>
      <c r="J41" s="1799"/>
      <c r="K41" s="1799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L41" s="1799"/>
      <c r="M41" s="1799"/>
      <c r="N41" s="1799"/>
      <c r="O41" s="1799" t="str">
        <f>IF(IF(A41=Data!$D$4,Data!$G$4,IF('Rework (2)'!A35=Data!$D$5,Data!$G$5,IF('Rework (2)'!A35=Data!$D$6,Data!$G$6,IF(Data!BL53&lt;&gt;0,Data!BL53," "))))=0,"",IF(A41=Data!$D$4,"To Replace Cutter # "&amp;Data!$G$4,IF('Rework (2)'!A35=Data!$D$5,"To Replace Cutter # "&amp;Data!$G$5,IF('Rework (2)'!A35=Data!$D$6,"To Replace Cutter # "&amp;Data!$G$6,IF(Data!BL53&lt;&gt;0,Data!BL53," ")))))</f>
        <v/>
      </c>
      <c r="P41" s="1799"/>
      <c r="Q41" s="1799"/>
      <c r="R41" s="1799"/>
      <c r="S41" s="1799"/>
      <c r="T41" s="1799"/>
      <c r="U41" s="1799"/>
      <c r="V41" s="1799"/>
      <c r="W41" s="1799"/>
      <c r="X41" s="2293"/>
    </row>
    <row r="42" spans="1:24" ht="15" customHeight="1" x14ac:dyDescent="0.35">
      <c r="A42" s="1419" t="str">
        <f>IF(TRIM(H42)="","",IF(Data!CX68&gt;0,IF(Data!CX68&lt;&gt;"", Data!CX68, " ")," "))</f>
        <v/>
      </c>
      <c r="B42" s="1420"/>
      <c r="C42" s="1799">
        <f>IF(COUNTIF($C$16:$X$24,"*X*9*"),COUNTIF($C$16:$X$24,"*X*9*"),0)+IF(COUNTIF($C$16:$X$24,"*L*9*"),COUNTIF($C$16:$X$24,"*L*9*"),0)</f>
        <v>0</v>
      </c>
      <c r="D42" s="1799"/>
      <c r="E42" s="1799" t="str">
        <f>IF(Data!GK10&gt;0,IF(Data!GK10&lt;&gt;"",Data!GK10," ")," ")</f>
        <v xml:space="preserve"> </v>
      </c>
      <c r="F42" s="1799"/>
      <c r="G42" s="1799"/>
      <c r="H42" s="1799" t="str">
        <f>IF(Data!GG10&gt;0,IF(Data!GG10&lt;&gt;"",IF(Data!GG10&lt;&gt;"Add the cutter in list",Data!GG10," ")," "),"")</f>
        <v xml:space="preserve"> </v>
      </c>
      <c r="I42" s="1799"/>
      <c r="J42" s="1799"/>
      <c r="K42" s="1799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L42" s="1799"/>
      <c r="M42" s="1799"/>
      <c r="N42" s="1799"/>
      <c r="O42" s="1799" t="str">
        <f>IF(IF(A42=Data!$D$4,Data!$G$4,IF('Rework (2)'!A36=Data!$D$5,Data!$G$5,IF('Rework (2)'!A36=Data!$D$6,Data!$G$6,IF(Data!BL54&lt;&gt;0,Data!BL54," "))))=0,"",IF(A42=Data!$D$4,"To Replace Cutter # "&amp;Data!$G$4,IF('Rework (2)'!A36=Data!$D$5,"To Replace Cutter # "&amp;Data!$G$5,IF('Rework (2)'!A36=Data!$D$6,"To Replace Cutter # "&amp;Data!$G$6,IF(Data!BL54&lt;&gt;0,Data!BL54," ")))))</f>
        <v/>
      </c>
      <c r="P42" s="1799"/>
      <c r="Q42" s="1799"/>
      <c r="R42" s="1799"/>
      <c r="S42" s="1799"/>
      <c r="T42" s="1799"/>
      <c r="U42" s="1799"/>
      <c r="V42" s="1799"/>
      <c r="W42" s="1799"/>
      <c r="X42" s="2293"/>
    </row>
    <row r="43" spans="1:24" ht="15" customHeight="1" thickBot="1" x14ac:dyDescent="0.4">
      <c r="A43" s="1504" t="str">
        <f>IF(TRIM(H43)="","",IF(Data!CX69&gt;0,IF(Data!CX69&lt;&gt;"", Data!CX69, " ")," "))</f>
        <v/>
      </c>
      <c r="B43" s="1505"/>
      <c r="C43" s="1805">
        <f>IF(COUNTIF($C$16:$X$24,"*X*10*"),COUNTIF($C$16:$X$24,"*X*10*"),0)+IF(COUNTIF($C$16:$X$24,"*L*10*"),COUNTIF($C$16:$X$24,"*L*10*"),0)</f>
        <v>0</v>
      </c>
      <c r="D43" s="1805"/>
      <c r="E43" s="1805" t="str">
        <f>IF(Data!GK11&gt;0,IF(Data!GK11&lt;&gt;"",Data!GK11," ")," ")</f>
        <v xml:space="preserve"> </v>
      </c>
      <c r="F43" s="1805"/>
      <c r="G43" s="1805"/>
      <c r="H43" s="1805" t="str">
        <f>IF(Data!GG11&gt;0,IF(Data!GG11&lt;&gt;"",IF(Data!GG11&lt;&gt;"Add the cutter in list",Data!GG11," ")," "),"")</f>
        <v xml:space="preserve"> </v>
      </c>
      <c r="I43" s="1805"/>
      <c r="J43" s="1805"/>
      <c r="K43" s="1805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L43" s="1805"/>
      <c r="M43" s="1805"/>
      <c r="N43" s="1805"/>
      <c r="O43" s="1805" t="str">
        <f>IF(IF(A43=Data!$D$4,Data!$G$4,IF('Rework (2)'!A37=Data!$D$5,Data!$G$5,IF('Rework (2)'!A37=Data!$D$6,Data!$G$6,IF(Data!BL55&lt;&gt;0,Data!BL55," "))))=0,"",IF(A43=Data!$D$4,"To Replace Cutter # "&amp;Data!$G$4,IF('Rework (2)'!A37=Data!$D$5,"To Replace Cutter # "&amp;Data!$G$5,IF('Rework (2)'!A37=Data!$D$6,"To Replace Cutter # "&amp;Data!$G$6,IF(Data!BL55&lt;&gt;0,Data!BL55," ")))))</f>
        <v/>
      </c>
      <c r="P43" s="1805"/>
      <c r="Q43" s="1805"/>
      <c r="R43" s="1805"/>
      <c r="S43" s="1805"/>
      <c r="T43" s="1805"/>
      <c r="U43" s="1805"/>
      <c r="V43" s="1805"/>
      <c r="W43" s="1805"/>
      <c r="X43" s="2292"/>
    </row>
    <row r="44" spans="1:24" ht="3.75" customHeight="1" thickBot="1" x14ac:dyDescent="0.4"/>
    <row r="45" spans="1:24" s="439" customFormat="1" ht="16.5" customHeight="1" thickBot="1" x14ac:dyDescent="0.4">
      <c r="A45" s="2287" t="s">
        <v>1121</v>
      </c>
      <c r="B45" s="2288"/>
      <c r="C45" s="2288"/>
      <c r="D45" s="2288"/>
      <c r="E45" s="2288"/>
      <c r="F45" s="2288"/>
      <c r="G45" s="2288"/>
      <c r="H45" s="2288"/>
      <c r="I45" s="2288"/>
      <c r="J45" s="2288"/>
      <c r="K45" s="2288"/>
      <c r="L45" s="2288"/>
      <c r="M45" s="2288"/>
      <c r="N45" s="2288"/>
      <c r="O45" s="2288"/>
      <c r="P45" s="2288"/>
      <c r="Q45" s="2288"/>
      <c r="R45" s="2288"/>
      <c r="S45" s="2288"/>
      <c r="T45" s="2288"/>
      <c r="U45" s="2288"/>
      <c r="V45" s="2288"/>
      <c r="W45" s="2288"/>
      <c r="X45" s="2288"/>
    </row>
    <row r="46" spans="1:24" s="439" customFormat="1" ht="19.5" customHeight="1" x14ac:dyDescent="0.35">
      <c r="A46" s="2289" t="s">
        <v>1036</v>
      </c>
      <c r="B46" s="2290"/>
      <c r="C46" s="2290"/>
      <c r="D46" s="2290"/>
      <c r="E46" s="2290"/>
      <c r="F46" s="2290"/>
      <c r="G46" s="2290"/>
      <c r="H46" s="1878" t="s">
        <v>54</v>
      </c>
      <c r="I46" s="1878"/>
      <c r="J46" s="1878"/>
      <c r="K46" s="1878"/>
      <c r="L46" s="1878"/>
      <c r="M46" s="1878"/>
      <c r="N46" s="1878" t="s">
        <v>1035</v>
      </c>
      <c r="O46" s="1878"/>
      <c r="P46" s="1878"/>
      <c r="Q46" s="1878"/>
      <c r="R46" s="1878"/>
      <c r="S46" s="1878"/>
      <c r="T46" s="2291" t="s">
        <v>56</v>
      </c>
      <c r="U46" s="2291"/>
      <c r="V46" s="2291"/>
      <c r="W46" s="2291"/>
      <c r="X46" s="2291"/>
    </row>
    <row r="47" spans="1:24" s="439" customFormat="1" ht="19.5" customHeight="1" x14ac:dyDescent="0.35">
      <c r="A47" s="2284" t="s">
        <v>1029</v>
      </c>
      <c r="B47" s="2285"/>
      <c r="C47" s="2285"/>
      <c r="D47" s="2285"/>
      <c r="E47" s="2285"/>
      <c r="F47" s="2285"/>
      <c r="G47" s="2285"/>
      <c r="H47" s="1800" t="s">
        <v>57</v>
      </c>
      <c r="I47" s="1800"/>
      <c r="J47" s="1800"/>
      <c r="K47" s="1800"/>
      <c r="L47" s="1800"/>
      <c r="M47" s="1800"/>
      <c r="N47" s="1800" t="s">
        <v>58</v>
      </c>
      <c r="O47" s="1800"/>
      <c r="P47" s="1800"/>
      <c r="Q47" s="1800"/>
      <c r="R47" s="1800"/>
      <c r="S47" s="1800"/>
      <c r="T47" s="1800" t="s">
        <v>58</v>
      </c>
      <c r="U47" s="1800"/>
      <c r="V47" s="1800"/>
      <c r="W47" s="1800"/>
      <c r="X47" s="1800"/>
    </row>
    <row r="48" spans="1:24" s="439" customFormat="1" ht="19.5" customHeight="1" x14ac:dyDescent="0.35">
      <c r="A48" s="2284" t="s">
        <v>1030</v>
      </c>
      <c r="B48" s="2285"/>
      <c r="C48" s="2285"/>
      <c r="D48" s="2285"/>
      <c r="E48" s="2285"/>
      <c r="F48" s="2285"/>
      <c r="G48" s="2285"/>
      <c r="H48" s="1800"/>
      <c r="I48" s="1800"/>
      <c r="J48" s="1800"/>
      <c r="K48" s="1800"/>
      <c r="L48" s="1800"/>
      <c r="M48" s="1800"/>
      <c r="N48" s="1800"/>
      <c r="O48" s="1800"/>
      <c r="P48" s="1800"/>
      <c r="Q48" s="1800"/>
      <c r="R48" s="1800"/>
      <c r="S48" s="1800"/>
      <c r="T48" s="1800"/>
      <c r="U48" s="1800"/>
      <c r="V48" s="1800"/>
      <c r="W48" s="1800"/>
      <c r="X48" s="1800"/>
    </row>
    <row r="49" spans="1:24" s="439" customFormat="1" ht="19.5" customHeight="1" thickBot="1" x14ac:dyDescent="0.4">
      <c r="A49" s="2286" t="s">
        <v>1031</v>
      </c>
      <c r="B49" s="2282"/>
      <c r="C49" s="2282"/>
      <c r="D49" s="2282"/>
      <c r="E49" s="2282"/>
      <c r="F49" s="2282"/>
      <c r="G49" s="2282"/>
      <c r="H49" s="2283"/>
      <c r="I49" s="2283"/>
      <c r="J49" s="2283"/>
      <c r="K49" s="2283"/>
      <c r="L49" s="2283"/>
      <c r="M49" s="2283"/>
      <c r="N49" s="2283"/>
      <c r="O49" s="2283"/>
      <c r="P49" s="2283"/>
      <c r="Q49" s="2283"/>
      <c r="R49" s="2283"/>
      <c r="S49" s="2283"/>
      <c r="T49" s="2283"/>
      <c r="U49" s="2283"/>
      <c r="V49" s="2283"/>
      <c r="W49" s="2283"/>
      <c r="X49" s="2283"/>
    </row>
    <row r="50" spans="1:24" s="439" customFormat="1" ht="19.5" customHeight="1" x14ac:dyDescent="0.35">
      <c r="A50" s="2278" t="s">
        <v>59</v>
      </c>
      <c r="B50" s="2279"/>
      <c r="C50" s="2279"/>
      <c r="D50" s="2279"/>
      <c r="E50" s="2279"/>
      <c r="F50" s="2279"/>
      <c r="G50" s="2279"/>
      <c r="H50" s="1813"/>
      <c r="I50" s="1813"/>
      <c r="J50" s="1813"/>
      <c r="K50" s="1813"/>
      <c r="L50" s="1813"/>
      <c r="M50" s="1813"/>
      <c r="N50" s="2279" t="s">
        <v>60</v>
      </c>
      <c r="O50" s="2279"/>
      <c r="P50" s="2279"/>
      <c r="Q50" s="2279"/>
      <c r="R50" s="2279"/>
      <c r="S50" s="2279"/>
      <c r="T50" s="1813"/>
      <c r="U50" s="1813"/>
      <c r="V50" s="1813"/>
      <c r="W50" s="1813"/>
      <c r="X50" s="1813"/>
    </row>
    <row r="51" spans="1:24" s="439" customFormat="1" ht="19.5" customHeight="1" thickBot="1" x14ac:dyDescent="0.4">
      <c r="A51" s="2280" t="s">
        <v>61</v>
      </c>
      <c r="B51" s="2281"/>
      <c r="C51" s="2281"/>
      <c r="D51" s="2281"/>
      <c r="E51" s="2282"/>
      <c r="F51" s="2282"/>
      <c r="G51" s="2282"/>
      <c r="H51" s="2283"/>
      <c r="I51" s="2283"/>
      <c r="J51" s="2283"/>
      <c r="K51" s="2283"/>
      <c r="L51" s="2283"/>
      <c r="M51" s="2283"/>
      <c r="N51" s="2282" t="s">
        <v>62</v>
      </c>
      <c r="O51" s="2282"/>
      <c r="P51" s="2282"/>
      <c r="Q51" s="2282"/>
      <c r="R51" s="2282"/>
      <c r="S51" s="2282"/>
      <c r="T51" s="2283"/>
      <c r="U51" s="2283"/>
      <c r="V51" s="2283"/>
      <c r="W51" s="2283"/>
      <c r="X51" s="2283"/>
    </row>
    <row r="52" spans="1:24" s="439" customFormat="1" ht="19.5" customHeight="1" x14ac:dyDescent="0.35">
      <c r="A52" s="1880" t="s">
        <v>63</v>
      </c>
      <c r="B52" s="2276"/>
      <c r="C52" s="2276"/>
      <c r="D52" s="2277"/>
      <c r="E52" s="2278" t="s">
        <v>64</v>
      </c>
      <c r="F52" s="2279"/>
      <c r="G52" s="2279"/>
      <c r="H52" s="1813"/>
      <c r="I52" s="1813"/>
      <c r="J52" s="1813"/>
      <c r="K52" s="1813"/>
      <c r="L52" s="1813"/>
      <c r="M52" s="1813"/>
      <c r="N52" s="1813" t="s">
        <v>65</v>
      </c>
      <c r="O52" s="1813"/>
      <c r="P52" s="1813"/>
      <c r="Q52" s="1813"/>
      <c r="R52" s="1813"/>
      <c r="S52" s="1813"/>
      <c r="T52" s="2279" t="s">
        <v>36</v>
      </c>
      <c r="U52" s="2279"/>
      <c r="V52" s="1813"/>
      <c r="W52" s="1813"/>
      <c r="X52" s="1814"/>
    </row>
    <row r="53" spans="1:24" s="439" customFormat="1" ht="19.5" customHeight="1" x14ac:dyDescent="0.35">
      <c r="A53" s="2258" t="s">
        <v>952</v>
      </c>
      <c r="B53" s="2259"/>
      <c r="C53" s="2259"/>
      <c r="D53" s="2260"/>
      <c r="E53" s="2263" t="s">
        <v>67</v>
      </c>
      <c r="F53" s="2264"/>
      <c r="G53" s="2264"/>
      <c r="H53" s="2264"/>
      <c r="I53" s="2264"/>
      <c r="J53" s="2264"/>
      <c r="K53" s="2264"/>
      <c r="L53" s="2264"/>
      <c r="M53" s="2264"/>
      <c r="N53" s="2264"/>
      <c r="O53" s="2264"/>
      <c r="P53" s="2264"/>
      <c r="Q53" s="2264"/>
      <c r="R53" s="2264"/>
      <c r="S53" s="2264"/>
      <c r="T53" s="2264"/>
      <c r="U53" s="2264"/>
      <c r="V53" s="2264"/>
      <c r="W53" s="2264"/>
      <c r="X53" s="2265"/>
    </row>
    <row r="54" spans="1:24" s="439" customFormat="1" ht="19.5" customHeight="1" x14ac:dyDescent="0.35">
      <c r="A54" s="2261"/>
      <c r="B54" s="1687"/>
      <c r="C54" s="1687"/>
      <c r="D54" s="2262"/>
      <c r="E54" s="2266"/>
      <c r="F54" s="2267"/>
      <c r="G54" s="2267"/>
      <c r="H54" s="2267"/>
      <c r="I54" s="2267"/>
      <c r="J54" s="2267"/>
      <c r="K54" s="2267"/>
      <c r="L54" s="2267"/>
      <c r="M54" s="2267"/>
      <c r="N54" s="2267"/>
      <c r="O54" s="2267"/>
      <c r="P54" s="2267"/>
      <c r="Q54" s="2267"/>
      <c r="R54" s="2267"/>
      <c r="S54" s="2267"/>
      <c r="T54" s="2267"/>
      <c r="U54" s="2267"/>
      <c r="V54" s="2267"/>
      <c r="W54" s="2267"/>
      <c r="X54" s="2268"/>
    </row>
    <row r="55" spans="1:24" s="439" customFormat="1" ht="19.5" customHeight="1" thickBot="1" x14ac:dyDescent="0.4">
      <c r="A55" s="1897"/>
      <c r="B55" s="1898"/>
      <c r="C55" s="1898"/>
      <c r="D55" s="1899"/>
      <c r="E55" s="2269" t="s">
        <v>69</v>
      </c>
      <c r="F55" s="2270"/>
      <c r="G55" s="2270"/>
      <c r="H55" s="2270"/>
      <c r="I55" s="2270"/>
      <c r="J55" s="2270"/>
      <c r="K55" s="2271"/>
      <c r="L55" s="2272"/>
      <c r="M55" s="2273"/>
      <c r="N55" s="2273"/>
      <c r="O55" s="2273"/>
      <c r="P55" s="2273"/>
      <c r="Q55" s="2273"/>
      <c r="R55" s="2273"/>
      <c r="S55" s="2273"/>
      <c r="T55" s="2273"/>
      <c r="U55" s="2273"/>
      <c r="V55" s="2273"/>
      <c r="W55" s="2273"/>
      <c r="X55" s="2274"/>
    </row>
    <row r="56" spans="1:24" ht="5.25" customHeight="1" x14ac:dyDescent="0.35">
      <c r="A56" s="450"/>
      <c r="B56" s="450"/>
      <c r="C56" s="450"/>
      <c r="D56" s="450"/>
      <c r="E56" s="449"/>
      <c r="F56" s="449"/>
      <c r="G56" s="449"/>
      <c r="H56" s="449"/>
      <c r="I56" s="449"/>
      <c r="J56" s="449"/>
      <c r="K56" s="451"/>
      <c r="L56" s="451"/>
      <c r="M56" s="453"/>
      <c r="N56" s="453"/>
      <c r="O56" s="453"/>
      <c r="P56" s="453"/>
      <c r="Q56" s="453"/>
      <c r="R56" s="453"/>
      <c r="S56" s="454"/>
      <c r="T56" s="451"/>
      <c r="U56" s="451"/>
      <c r="V56" s="449"/>
      <c r="W56" s="449"/>
      <c r="X56" s="449"/>
    </row>
    <row r="57" spans="1:24" ht="20.149999999999999" customHeight="1" x14ac:dyDescent="0.35">
      <c r="O57" s="1679" t="s">
        <v>1045</v>
      </c>
      <c r="P57" s="1679"/>
      <c r="Q57" s="1679"/>
      <c r="R57" s="1679"/>
      <c r="S57" s="2275"/>
      <c r="T57" s="2275"/>
      <c r="U57" s="2275"/>
      <c r="V57" s="2275"/>
      <c r="W57" s="2275"/>
      <c r="X57" s="2275"/>
    </row>
    <row r="58" spans="1:24" ht="6" customHeight="1" x14ac:dyDescent="0.35"/>
    <row r="59" spans="1:24" hidden="1" x14ac:dyDescent="0.35"/>
    <row r="60" spans="1:24" hidden="1" x14ac:dyDescent="0.35"/>
    <row r="61" spans="1:24" ht="15.75" hidden="1" customHeight="1" x14ac:dyDescent="0.35">
      <c r="A61" s="2257" t="s">
        <v>18</v>
      </c>
      <c r="B61" s="449">
        <v>1</v>
      </c>
      <c r="C61" s="233" t="str">
        <f>IF(COUNTIF($M$12,"Rework #1"),IF(AND(COUNTIF(C16,"*X*"),COUNTIF('[1]ARDT Cutter Entry'!C4,"*X*")),IF(OR(COUNTIF('[1]Eng. Cutter Entry'!C4,"*O*"),COUNTIF('[1]Eng. Cutter Entry'!C4,"*R*"),COUNTIF('[1]Eng. Cutter Entry'!C4,"*F*"),COUNTIF('[1]Eng. Cutter Entry'!C4,"*S*")),C16,""),""),"")</f>
        <v/>
      </c>
      <c r="D61" s="233" t="str">
        <f>IF(COUNTIF($M$12,"Rework #1"),IF(AND(COUNTIF(D16,"*X*"),COUNTIF('[1]ARDT Cutter Entry'!D4,"*X*")),IF(OR(COUNTIF('[1]Eng. Cutter Entry'!D4,"*O*"),COUNTIF('[1]Eng. Cutter Entry'!D4,"*R*"),COUNTIF('[1]Eng. Cutter Entry'!D4,"*F*"),COUNTIF('[1]Eng. Cutter Entry'!D4,"*S*")),D16,""),""),"")</f>
        <v/>
      </c>
      <c r="E61" s="233" t="str">
        <f>IF(COUNTIF($M$12,"Rework #1"),IF(AND(COUNTIF(E16,"*X*"),COUNTIF('[1]ARDT Cutter Entry'!E4,"*X*")),IF(OR(COUNTIF('[1]Eng. Cutter Entry'!E4,"*O*"),COUNTIF('[1]Eng. Cutter Entry'!E4,"*R*"),COUNTIF('[1]Eng. Cutter Entry'!E4,"*F*"),COUNTIF('[1]Eng. Cutter Entry'!E4,"*S*")),E16,""),""),"")</f>
        <v/>
      </c>
      <c r="F61" s="233" t="str">
        <f>IF(COUNTIF($M$12,"Rework #1"),IF(AND(COUNTIF(F16,"*X*"),COUNTIF('[1]ARDT Cutter Entry'!F4,"*X*")),IF(OR(COUNTIF('[1]Eng. Cutter Entry'!F4,"*O*"),COUNTIF('[1]Eng. Cutter Entry'!F4,"*R*"),COUNTIF('[1]Eng. Cutter Entry'!F4,"*F*"),COUNTIF('[1]Eng. Cutter Entry'!F4,"*S*")),F16,""),""),"")</f>
        <v/>
      </c>
      <c r="G61" s="233" t="str">
        <f>IF(COUNTIF($M$12,"Rework #1"),IF(AND(COUNTIF(G16,"*X*"),COUNTIF('[1]ARDT Cutter Entry'!G4,"*X*")),IF(OR(COUNTIF('[1]Eng. Cutter Entry'!G4,"*O*"),COUNTIF('[1]Eng. Cutter Entry'!G4,"*R*"),COUNTIF('[1]Eng. Cutter Entry'!G4,"*F*"),COUNTIF('[1]Eng. Cutter Entry'!G4,"*S*")),G16,""),""),"")</f>
        <v/>
      </c>
      <c r="H61" s="233" t="str">
        <f>IF(COUNTIF($M$12,"Rework #1"),IF(AND(COUNTIF(H16,"*X*"),COUNTIF('[1]ARDT Cutter Entry'!H4,"*X*")),IF(OR(COUNTIF('[1]Eng. Cutter Entry'!H4,"*O*"),COUNTIF('[1]Eng. Cutter Entry'!H4,"*R*"),COUNTIF('[1]Eng. Cutter Entry'!H4,"*F*"),COUNTIF('[1]Eng. Cutter Entry'!H4,"*S*")),H16,""),""),"")</f>
        <v/>
      </c>
      <c r="I61" s="233" t="str">
        <f>IF(COUNTIF($M$12,"Rework #1"),IF(AND(COUNTIF(I16,"*X*"),COUNTIF('[1]ARDT Cutter Entry'!I4,"*X*")),IF(OR(COUNTIF('[1]Eng. Cutter Entry'!I4,"*O*"),COUNTIF('[1]Eng. Cutter Entry'!I4,"*R*"),COUNTIF('[1]Eng. Cutter Entry'!I4,"*F*"),COUNTIF('[1]Eng. Cutter Entry'!I4,"*S*")),I16,""),""),"")</f>
        <v/>
      </c>
      <c r="J61" s="233" t="str">
        <f>IF(COUNTIF($M$12,"Rework #1"),IF(AND(COUNTIF(J16,"*X*"),COUNTIF('[1]ARDT Cutter Entry'!J4,"*X*")),IF(OR(COUNTIF('[1]Eng. Cutter Entry'!J4,"*O*"),COUNTIF('[1]Eng. Cutter Entry'!J4,"*R*"),COUNTIF('[1]Eng. Cutter Entry'!J4,"*F*"),COUNTIF('[1]Eng. Cutter Entry'!J4,"*S*")),J16,""),""),"")</f>
        <v/>
      </c>
      <c r="K61" s="233" t="str">
        <f>IF(COUNTIF($M$12,"Rework #1"),IF(AND(COUNTIF(K16,"*X*"),COUNTIF('[1]ARDT Cutter Entry'!K4,"*X*")),IF(OR(COUNTIF('[1]Eng. Cutter Entry'!K4,"*O*"),COUNTIF('[1]Eng. Cutter Entry'!K4,"*R*"),COUNTIF('[1]Eng. Cutter Entry'!K4,"*F*"),COUNTIF('[1]Eng. Cutter Entry'!K4,"*S*")),K16,""),""),"")</f>
        <v/>
      </c>
      <c r="L61" s="233" t="str">
        <f>IF(COUNTIF($M$12,"Rework #1"),IF(AND(COUNTIF(L16,"*X*"),COUNTIF('[1]ARDT Cutter Entry'!L4,"*X*")),IF(OR(COUNTIF('[1]Eng. Cutter Entry'!L4,"*O*"),COUNTIF('[1]Eng. Cutter Entry'!L4,"*R*"),COUNTIF('[1]Eng. Cutter Entry'!L4,"*F*"),COUNTIF('[1]Eng. Cutter Entry'!L4,"*S*")),L16,""),""),"")</f>
        <v/>
      </c>
      <c r="M61" s="233" t="str">
        <f>IF(COUNTIF($M$12,"Rework #1"),IF(AND(COUNTIF(M16,"*X*"),COUNTIF('[1]ARDT Cutter Entry'!M4,"*X*")),IF(OR(COUNTIF('[1]Eng. Cutter Entry'!M4,"*O*"),COUNTIF('[1]Eng. Cutter Entry'!M4,"*R*"),COUNTIF('[1]Eng. Cutter Entry'!M4,"*F*"),COUNTIF('[1]Eng. Cutter Entry'!M4,"*S*")),M16,""),""),"")</f>
        <v/>
      </c>
      <c r="N61" s="233" t="str">
        <f>IF(COUNTIF($M$12,"Rework #1"),IF(AND(COUNTIF(N16,"*X*"),COUNTIF('[1]ARDT Cutter Entry'!N4,"*X*")),IF(OR(COUNTIF('[1]Eng. Cutter Entry'!N4,"*O*"),COUNTIF('[1]Eng. Cutter Entry'!N4,"*R*"),COUNTIF('[1]Eng. Cutter Entry'!N4,"*F*"),COUNTIF('[1]Eng. Cutter Entry'!N4,"*S*")),N16,""),""),"")</f>
        <v/>
      </c>
      <c r="O61" s="233" t="str">
        <f>IF(COUNTIF($M$12,"Rework #1"),IF(AND(COUNTIF(O16,"*X*"),COUNTIF('[1]ARDT Cutter Entry'!O4,"*X*")),IF(OR(COUNTIF('[1]Eng. Cutter Entry'!O4,"*O*"),COUNTIF('[1]Eng. Cutter Entry'!O4,"*R*"),COUNTIF('[1]Eng. Cutter Entry'!O4,"*F*"),COUNTIF('[1]Eng. Cutter Entry'!O4,"*S*")),O16,""),""),"")</f>
        <v/>
      </c>
      <c r="P61" s="233" t="str">
        <f>IF(COUNTIF($M$12,"Rework #1"),IF(AND(COUNTIF(P16,"*X*"),COUNTIF('[1]ARDT Cutter Entry'!P4,"*X*")),IF(OR(COUNTIF('[1]Eng. Cutter Entry'!P4,"*O*"),COUNTIF('[1]Eng. Cutter Entry'!P4,"*R*"),COUNTIF('[1]Eng. Cutter Entry'!P4,"*F*"),COUNTIF('[1]Eng. Cutter Entry'!P4,"*S*")),P16,""),""),"")</f>
        <v/>
      </c>
      <c r="Q61" s="233" t="str">
        <f>IF(COUNTIF($M$12,"Rework #1"),IF(AND(COUNTIF(Q16,"*X*"),COUNTIF('[1]ARDT Cutter Entry'!Q4,"*X*")),IF(OR(COUNTIF('[1]Eng. Cutter Entry'!Q4,"*O*"),COUNTIF('[1]Eng. Cutter Entry'!Q4,"*R*"),COUNTIF('[1]Eng. Cutter Entry'!Q4,"*F*"),COUNTIF('[1]Eng. Cutter Entry'!Q4,"*S*")),Q16,""),""),"")</f>
        <v/>
      </c>
      <c r="R61" s="233" t="str">
        <f>IF(COUNTIF($M$12,"Rework #1"),IF(AND(COUNTIF(R16,"*X*"),COUNTIF('[1]ARDT Cutter Entry'!R4,"*X*")),IF(OR(COUNTIF('[1]Eng. Cutter Entry'!R4,"*O*"),COUNTIF('[1]Eng. Cutter Entry'!R4,"*R*"),COUNTIF('[1]Eng. Cutter Entry'!R4,"*F*"),COUNTIF('[1]Eng. Cutter Entry'!R4,"*S*")),R16,""),""),"")</f>
        <v/>
      </c>
      <c r="S61" s="233" t="str">
        <f>IF(COUNTIF($M$12,"Rework #1"),IF(AND(COUNTIF(S16,"*X*"),COUNTIF('[1]ARDT Cutter Entry'!S4,"*X*")),IF(OR(COUNTIF('[1]Eng. Cutter Entry'!S4,"*O*"),COUNTIF('[1]Eng. Cutter Entry'!S4,"*R*"),COUNTIF('[1]Eng. Cutter Entry'!S4,"*F*"),COUNTIF('[1]Eng. Cutter Entry'!S4,"*S*")),S16,""),""),"")</f>
        <v/>
      </c>
      <c r="T61" s="233" t="str">
        <f>IF(COUNTIF($M$12,"Rework #1"),IF(AND(COUNTIF(T16,"*X*"),COUNTIF('[1]ARDT Cutter Entry'!T4,"*X*")),IF(OR(COUNTIF('[1]Eng. Cutter Entry'!T4,"*O*"),COUNTIF('[1]Eng. Cutter Entry'!T4,"*R*"),COUNTIF('[1]Eng. Cutter Entry'!T4,"*F*"),COUNTIF('[1]Eng. Cutter Entry'!T4,"*S*")),T16,""),""),"")</f>
        <v/>
      </c>
      <c r="U61" s="233" t="str">
        <f>IF(COUNTIF($M$12,"Rework #1"),IF(AND(COUNTIF(U16,"*X*"),COUNTIF('[1]ARDT Cutter Entry'!U4,"*X*")),IF(OR(COUNTIF('[1]Eng. Cutter Entry'!U4,"*O*"),COUNTIF('[1]Eng. Cutter Entry'!U4,"*R*"),COUNTIF('[1]Eng. Cutter Entry'!U4,"*F*"),COUNTIF('[1]Eng. Cutter Entry'!U4,"*S*")),U16,""),""),"")</f>
        <v/>
      </c>
      <c r="V61" s="233" t="str">
        <f>IF(COUNTIF($M$12,"Rework #1"),IF(AND(COUNTIF(V16,"*X*"),COUNTIF('[1]ARDT Cutter Entry'!V4,"*X*")),IF(OR(COUNTIF('[1]Eng. Cutter Entry'!V4,"*O*"),COUNTIF('[1]Eng. Cutter Entry'!V4,"*R*"),COUNTIF('[1]Eng. Cutter Entry'!V4,"*F*"),COUNTIF('[1]Eng. Cutter Entry'!V4,"*S*")),V16,""),""),"")</f>
        <v/>
      </c>
      <c r="W61" s="233" t="str">
        <f>IF(COUNTIF($M$12,"Rework #1"),IF(AND(COUNTIF(W16,"*X*"),COUNTIF('[1]ARDT Cutter Entry'!W4,"*X*")),IF(OR(COUNTIF('[1]Eng. Cutter Entry'!W4,"*O*"),COUNTIF('[1]Eng. Cutter Entry'!W4,"*R*"),COUNTIF('[1]Eng. Cutter Entry'!W4,"*F*"),COUNTIF('[1]Eng. Cutter Entry'!W4,"*S*")),W16,""),""),"")</f>
        <v/>
      </c>
      <c r="X61" s="233" t="str">
        <f>IF(COUNTIF($M$12,"Rework #1"),IF(AND(COUNTIF(X16,"*X*"),COUNTIF('[1]ARDT Cutter Entry'!X4,"*X*")),IF(OR(COUNTIF('[1]Eng. Cutter Entry'!X4,"*O*"),COUNTIF('[1]Eng. Cutter Entry'!X4,"*R*"),COUNTIF('[1]Eng. Cutter Entry'!X4,"*F*"),COUNTIF('[1]Eng. Cutter Entry'!X4,"*S*")),X16,""),""),"")</f>
        <v/>
      </c>
    </row>
    <row r="62" spans="1:24" ht="15.75" hidden="1" customHeight="1" x14ac:dyDescent="0.35">
      <c r="A62" s="2257"/>
      <c r="B62" s="449">
        <v>2</v>
      </c>
      <c r="C62" s="233" t="str">
        <f>IF(COUNTIF($M$12,"Rework #1"),IF(AND(COUNTIF(C17,"*X*"),COUNTIF('[1]ARDT Cutter Entry'!C5,"*X*")),IF(OR(COUNTIF('[1]Eng. Cutter Entry'!C5,"*O*"),COUNTIF('[1]Eng. Cutter Entry'!C5,"*R*"),COUNTIF('[1]Eng. Cutter Entry'!C5,"*F*"),COUNTIF('[1]Eng. Cutter Entry'!C5,"*S*")),C17,""),""),"")</f>
        <v/>
      </c>
      <c r="D62" s="233" t="str">
        <f>IF(COUNTIF($M$12,"Rework #1"),IF(AND(COUNTIF(D17,"*X*"),COUNTIF('[1]ARDT Cutter Entry'!D5,"*X*")),IF(OR(COUNTIF('[1]Eng. Cutter Entry'!D5,"*O*"),COUNTIF('[1]Eng. Cutter Entry'!D5,"*R*"),COUNTIF('[1]Eng. Cutter Entry'!D5,"*F*"),COUNTIF('[1]Eng. Cutter Entry'!D5,"*S*")),D17,""),""),"")</f>
        <v/>
      </c>
      <c r="E62" s="233" t="str">
        <f>IF(COUNTIF($M$12,"Rework #1"),IF(AND(COUNTIF(E17,"*X*"),COUNTIF('[1]ARDT Cutter Entry'!E5,"*X*")),IF(OR(COUNTIF('[1]Eng. Cutter Entry'!E5,"*O*"),COUNTIF('[1]Eng. Cutter Entry'!E5,"*R*"),COUNTIF('[1]Eng. Cutter Entry'!E5,"*F*"),COUNTIF('[1]Eng. Cutter Entry'!E5,"*S*")),E17,""),""),"")</f>
        <v/>
      </c>
      <c r="F62" s="233" t="str">
        <f>IF(COUNTIF($M$12,"Rework #1"),IF(AND(COUNTIF(F17,"*X*"),COUNTIF('[1]ARDT Cutter Entry'!F5,"*X*")),IF(OR(COUNTIF('[1]Eng. Cutter Entry'!F5,"*O*"),COUNTIF('[1]Eng. Cutter Entry'!F5,"*R*"),COUNTIF('[1]Eng. Cutter Entry'!F5,"*F*"),COUNTIF('[1]Eng. Cutter Entry'!F5,"*S*")),F17,""),""),"")</f>
        <v/>
      </c>
      <c r="G62" s="233" t="str">
        <f>IF(COUNTIF($M$12,"Rework #1"),IF(AND(COUNTIF(G17,"*X*"),COUNTIF('[1]ARDT Cutter Entry'!G5,"*X*")),IF(OR(COUNTIF('[1]Eng. Cutter Entry'!G5,"*O*"),COUNTIF('[1]Eng. Cutter Entry'!G5,"*R*"),COUNTIF('[1]Eng. Cutter Entry'!G5,"*F*"),COUNTIF('[1]Eng. Cutter Entry'!G5,"*S*")),G17,""),""),"")</f>
        <v/>
      </c>
      <c r="H62" s="233" t="str">
        <f>IF(COUNTIF($M$12,"Rework #1"),IF(AND(COUNTIF(H17,"*X*"),COUNTIF('[1]ARDT Cutter Entry'!H5,"*X*")),IF(OR(COUNTIF('[1]Eng. Cutter Entry'!H5,"*O*"),COUNTIF('[1]Eng. Cutter Entry'!H5,"*R*"),COUNTIF('[1]Eng. Cutter Entry'!H5,"*F*"),COUNTIF('[1]Eng. Cutter Entry'!H5,"*S*")),H17,""),""),"")</f>
        <v/>
      </c>
      <c r="I62" s="233" t="str">
        <f>IF(COUNTIF($M$12,"Rework #1"),IF(AND(COUNTIF(I17,"*X*"),COUNTIF('[1]ARDT Cutter Entry'!I5,"*X*")),IF(OR(COUNTIF('[1]Eng. Cutter Entry'!I5,"*O*"),COUNTIF('[1]Eng. Cutter Entry'!I5,"*R*"),COUNTIF('[1]Eng. Cutter Entry'!I5,"*F*"),COUNTIF('[1]Eng. Cutter Entry'!I5,"*S*")),I17,""),""),"")</f>
        <v/>
      </c>
      <c r="J62" s="233" t="str">
        <f>IF(COUNTIF($M$12,"Rework #1"),IF(AND(COUNTIF(J17,"*X*"),COUNTIF('[1]ARDT Cutter Entry'!J5,"*X*")),IF(OR(COUNTIF('[1]Eng. Cutter Entry'!J5,"*O*"),COUNTIF('[1]Eng. Cutter Entry'!J5,"*R*"),COUNTIF('[1]Eng. Cutter Entry'!J5,"*F*"),COUNTIF('[1]Eng. Cutter Entry'!J5,"*S*")),J17,""),""),"")</f>
        <v/>
      </c>
      <c r="K62" s="233" t="str">
        <f>IF(COUNTIF($M$12,"Rework #1"),IF(AND(COUNTIF(K17,"*X*"),COUNTIF('[1]ARDT Cutter Entry'!K5,"*X*")),IF(OR(COUNTIF('[1]Eng. Cutter Entry'!K5,"*O*"),COUNTIF('[1]Eng. Cutter Entry'!K5,"*R*"),COUNTIF('[1]Eng. Cutter Entry'!K5,"*F*"),COUNTIF('[1]Eng. Cutter Entry'!K5,"*S*")),K17,""),""),"")</f>
        <v/>
      </c>
      <c r="L62" s="233" t="str">
        <f>IF(COUNTIF($M$12,"Rework #1"),IF(AND(COUNTIF(L17,"*X*"),COUNTIF('[1]ARDT Cutter Entry'!L5,"*X*")),IF(OR(COUNTIF('[1]Eng. Cutter Entry'!L5,"*O*"),COUNTIF('[1]Eng. Cutter Entry'!L5,"*R*"),COUNTIF('[1]Eng. Cutter Entry'!L5,"*F*"),COUNTIF('[1]Eng. Cutter Entry'!L5,"*S*")),L17,""),""),"")</f>
        <v/>
      </c>
      <c r="M62" s="233" t="str">
        <f>IF(COUNTIF($M$12,"Rework #1"),IF(AND(COUNTIF(M17,"*X*"),COUNTIF('[1]ARDT Cutter Entry'!M5,"*X*")),IF(OR(COUNTIF('[1]Eng. Cutter Entry'!M5,"*O*"),COUNTIF('[1]Eng. Cutter Entry'!M5,"*R*"),COUNTIF('[1]Eng. Cutter Entry'!M5,"*F*"),COUNTIF('[1]Eng. Cutter Entry'!M5,"*S*")),M17,""),""),"")</f>
        <v/>
      </c>
      <c r="N62" s="233" t="str">
        <f>IF(COUNTIF($M$12,"Rework #1"),IF(AND(COUNTIF(N17,"*X*"),COUNTIF('[1]ARDT Cutter Entry'!N5,"*X*")),IF(OR(COUNTIF('[1]Eng. Cutter Entry'!N5,"*O*"),COUNTIF('[1]Eng. Cutter Entry'!N5,"*R*"),COUNTIF('[1]Eng. Cutter Entry'!N5,"*F*"),COUNTIF('[1]Eng. Cutter Entry'!N5,"*S*")),N17,""),""),"")</f>
        <v/>
      </c>
      <c r="O62" s="233" t="str">
        <f>IF(COUNTIF($M$12,"Rework #1"),IF(AND(COUNTIF(O17,"*X*"),COUNTIF('[1]ARDT Cutter Entry'!O5,"*X*")),IF(OR(COUNTIF('[1]Eng. Cutter Entry'!O5,"*O*"),COUNTIF('[1]Eng. Cutter Entry'!O5,"*R*"),COUNTIF('[1]Eng. Cutter Entry'!O5,"*F*"),COUNTIF('[1]Eng. Cutter Entry'!O5,"*S*")),O17,""),""),"")</f>
        <v/>
      </c>
      <c r="P62" s="233" t="str">
        <f>IF(COUNTIF($M$12,"Rework #1"),IF(AND(COUNTIF(P17,"*X*"),COUNTIF('[1]ARDT Cutter Entry'!P5,"*X*")),IF(OR(COUNTIF('[1]Eng. Cutter Entry'!P5,"*O*"),COUNTIF('[1]Eng. Cutter Entry'!P5,"*R*"),COUNTIF('[1]Eng. Cutter Entry'!P5,"*F*"),COUNTIF('[1]Eng. Cutter Entry'!P5,"*S*")),P17,""),""),"")</f>
        <v/>
      </c>
      <c r="Q62" s="233" t="str">
        <f>IF(COUNTIF($M$12,"Rework #1"),IF(AND(COUNTIF(Q17,"*X*"),COUNTIF('[1]ARDT Cutter Entry'!Q5,"*X*")),IF(OR(COUNTIF('[1]Eng. Cutter Entry'!Q5,"*O*"),COUNTIF('[1]Eng. Cutter Entry'!Q5,"*R*"),COUNTIF('[1]Eng. Cutter Entry'!Q5,"*F*"),COUNTIF('[1]Eng. Cutter Entry'!Q5,"*S*")),Q17,""),""),"")</f>
        <v/>
      </c>
      <c r="R62" s="233" t="str">
        <f>IF(COUNTIF($M$12,"Rework #1"),IF(AND(COUNTIF(R17,"*X*"),COUNTIF('[1]ARDT Cutter Entry'!R5,"*X*")),IF(OR(COUNTIF('[1]Eng. Cutter Entry'!R5,"*O*"),COUNTIF('[1]Eng. Cutter Entry'!R5,"*R*"),COUNTIF('[1]Eng. Cutter Entry'!R5,"*F*"),COUNTIF('[1]Eng. Cutter Entry'!R5,"*S*")),R17,""),""),"")</f>
        <v/>
      </c>
      <c r="S62" s="233" t="str">
        <f>IF(COUNTIF($M$12,"Rework #1"),IF(AND(COUNTIF(S17,"*X*"),COUNTIF('[1]ARDT Cutter Entry'!S5,"*X*")),IF(OR(COUNTIF('[1]Eng. Cutter Entry'!S5,"*O*"),COUNTIF('[1]Eng. Cutter Entry'!S5,"*R*"),COUNTIF('[1]Eng. Cutter Entry'!S5,"*F*"),COUNTIF('[1]Eng. Cutter Entry'!S5,"*S*")),S17,""),""),"")</f>
        <v/>
      </c>
      <c r="T62" s="233" t="str">
        <f>IF(COUNTIF($M$12,"Rework #1"),IF(AND(COUNTIF(T17,"*X*"),COUNTIF('[1]ARDT Cutter Entry'!T5,"*X*")),IF(OR(COUNTIF('[1]Eng. Cutter Entry'!T5,"*O*"),COUNTIF('[1]Eng. Cutter Entry'!T5,"*R*"),COUNTIF('[1]Eng. Cutter Entry'!T5,"*F*"),COUNTIF('[1]Eng. Cutter Entry'!T5,"*S*")),T17,""),""),"")</f>
        <v/>
      </c>
      <c r="U62" s="233" t="str">
        <f>IF(COUNTIF($M$12,"Rework #1"),IF(AND(COUNTIF(U17,"*X*"),COUNTIF('[1]ARDT Cutter Entry'!U5,"*X*")),IF(OR(COUNTIF('[1]Eng. Cutter Entry'!U5,"*O*"),COUNTIF('[1]Eng. Cutter Entry'!U5,"*R*"),COUNTIF('[1]Eng. Cutter Entry'!U5,"*F*"),COUNTIF('[1]Eng. Cutter Entry'!U5,"*S*")),U17,""),""),"")</f>
        <v/>
      </c>
      <c r="V62" s="233" t="str">
        <f>IF(COUNTIF($M$12,"Rework #1"),IF(AND(COUNTIF(V17,"*X*"),COUNTIF('[1]ARDT Cutter Entry'!V5,"*X*")),IF(OR(COUNTIF('[1]Eng. Cutter Entry'!V5,"*O*"),COUNTIF('[1]Eng. Cutter Entry'!V5,"*R*"),COUNTIF('[1]Eng. Cutter Entry'!V5,"*F*"),COUNTIF('[1]Eng. Cutter Entry'!V5,"*S*")),V17,""),""),"")</f>
        <v/>
      </c>
      <c r="W62" s="233" t="str">
        <f>IF(COUNTIF($M$12,"Rework #1"),IF(AND(COUNTIF(W17,"*X*"),COUNTIF('[1]ARDT Cutter Entry'!W5,"*X*")),IF(OR(COUNTIF('[1]Eng. Cutter Entry'!W5,"*O*"),COUNTIF('[1]Eng. Cutter Entry'!W5,"*R*"),COUNTIF('[1]Eng. Cutter Entry'!W5,"*F*"),COUNTIF('[1]Eng. Cutter Entry'!W5,"*S*")),W17,""),""),"")</f>
        <v/>
      </c>
      <c r="X62" s="233" t="str">
        <f>IF(COUNTIF($M$12,"Rework #1"),IF(AND(COUNTIF(X17,"*X*"),COUNTIF('[1]ARDT Cutter Entry'!X5,"*X*")),IF(OR(COUNTIF('[1]Eng. Cutter Entry'!X5,"*O*"),COUNTIF('[1]Eng. Cutter Entry'!X5,"*R*"),COUNTIF('[1]Eng. Cutter Entry'!X5,"*F*"),COUNTIF('[1]Eng. Cutter Entry'!X5,"*S*")),X17,""),""),"")</f>
        <v/>
      </c>
    </row>
    <row r="63" spans="1:24" ht="15.75" hidden="1" customHeight="1" x14ac:dyDescent="0.35">
      <c r="A63" s="2257"/>
      <c r="B63" s="449">
        <v>3</v>
      </c>
      <c r="C63" s="233" t="str">
        <f>IF(COUNTIF($M$12,"Rework #1"),IF(AND(COUNTIF(C18,"*X*"),COUNTIF('[1]ARDT Cutter Entry'!C6,"*X*")),IF(OR(COUNTIF('[1]Eng. Cutter Entry'!C6,"*O*"),COUNTIF('[1]Eng. Cutter Entry'!C6,"*R*"),COUNTIF('[1]Eng. Cutter Entry'!C6,"*F*"),COUNTIF('[1]Eng. Cutter Entry'!C6,"*S*")),C18,""),""),"")</f>
        <v/>
      </c>
      <c r="D63" s="233" t="str">
        <f>IF(COUNTIF($M$12,"Rework #1"),IF(AND(COUNTIF(D18,"*X*"),COUNTIF('[1]ARDT Cutter Entry'!D6,"*X*")),IF(OR(COUNTIF('[1]Eng. Cutter Entry'!D6,"*O*"),COUNTIF('[1]Eng. Cutter Entry'!D6,"*R*"),COUNTIF('[1]Eng. Cutter Entry'!D6,"*F*"),COUNTIF('[1]Eng. Cutter Entry'!D6,"*S*")),D18,""),""),"")</f>
        <v/>
      </c>
      <c r="E63" s="233" t="str">
        <f>IF(COUNTIF($M$12,"Rework #1"),IF(AND(COUNTIF(E18,"*X*"),COUNTIF('[1]ARDT Cutter Entry'!E6,"*X*")),IF(OR(COUNTIF('[1]Eng. Cutter Entry'!E6,"*O*"),COUNTIF('[1]Eng. Cutter Entry'!E6,"*R*"),COUNTIF('[1]Eng. Cutter Entry'!E6,"*F*"),COUNTIF('[1]Eng. Cutter Entry'!E6,"*S*")),E18,""),""),"")</f>
        <v/>
      </c>
      <c r="F63" s="233" t="str">
        <f>IF(COUNTIF($M$12,"Rework #1"),IF(AND(COUNTIF(F18,"*X*"),COUNTIF('[1]ARDT Cutter Entry'!F6,"*X*")),IF(OR(COUNTIF('[1]Eng. Cutter Entry'!F6,"*O*"),COUNTIF('[1]Eng. Cutter Entry'!F6,"*R*"),COUNTIF('[1]Eng. Cutter Entry'!F6,"*F*"),COUNTIF('[1]Eng. Cutter Entry'!F6,"*S*")),F18,""),""),"")</f>
        <v/>
      </c>
      <c r="G63" s="233" t="str">
        <f>IF(COUNTIF($M$12,"Rework #1"),IF(AND(COUNTIF(G18,"*X*"),COUNTIF('[1]ARDT Cutter Entry'!G6,"*X*")),IF(OR(COUNTIF('[1]Eng. Cutter Entry'!G6,"*O*"),COUNTIF('[1]Eng. Cutter Entry'!G6,"*R*"),COUNTIF('[1]Eng. Cutter Entry'!G6,"*F*"),COUNTIF('[1]Eng. Cutter Entry'!G6,"*S*")),G18,""),""),"")</f>
        <v/>
      </c>
      <c r="H63" s="233" t="str">
        <f>IF(COUNTIF($M$12,"Rework #1"),IF(AND(COUNTIF(H18,"*X*"),COUNTIF('[1]ARDT Cutter Entry'!H6,"*X*")),IF(OR(COUNTIF('[1]Eng. Cutter Entry'!H6,"*O*"),COUNTIF('[1]Eng. Cutter Entry'!H6,"*R*"),COUNTIF('[1]Eng. Cutter Entry'!H6,"*F*"),COUNTIF('[1]Eng. Cutter Entry'!H6,"*S*")),H18,""),""),"")</f>
        <v/>
      </c>
      <c r="I63" s="233" t="str">
        <f>IF(COUNTIF($M$12,"Rework #1"),IF(AND(COUNTIF(I18,"*X*"),COUNTIF('[1]ARDT Cutter Entry'!I6,"*X*")),IF(OR(COUNTIF('[1]Eng. Cutter Entry'!I6,"*O*"),COUNTIF('[1]Eng. Cutter Entry'!I6,"*R*"),COUNTIF('[1]Eng. Cutter Entry'!I6,"*F*"),COUNTIF('[1]Eng. Cutter Entry'!I6,"*S*")),I18,""),""),"")</f>
        <v/>
      </c>
      <c r="J63" s="233" t="str">
        <f>IF(COUNTIF($M$12,"Rework #1"),IF(AND(COUNTIF(J18,"*X*"),COUNTIF('[1]ARDT Cutter Entry'!J6,"*X*")),IF(OR(COUNTIF('[1]Eng. Cutter Entry'!J6,"*O*"),COUNTIF('[1]Eng. Cutter Entry'!J6,"*R*"),COUNTIF('[1]Eng. Cutter Entry'!J6,"*F*"),COUNTIF('[1]Eng. Cutter Entry'!J6,"*S*")),J18,""),""),"")</f>
        <v/>
      </c>
      <c r="K63" s="233" t="str">
        <f>IF(COUNTIF($M$12,"Rework #1"),IF(AND(COUNTIF(K18,"*X*"),COUNTIF('[1]ARDT Cutter Entry'!K6,"*X*")),IF(OR(COUNTIF('[1]Eng. Cutter Entry'!K6,"*O*"),COUNTIF('[1]Eng. Cutter Entry'!K6,"*R*"),COUNTIF('[1]Eng. Cutter Entry'!K6,"*F*"),COUNTIF('[1]Eng. Cutter Entry'!K6,"*S*")),K18,""),""),"")</f>
        <v/>
      </c>
      <c r="L63" s="233" t="str">
        <f>IF(COUNTIF($M$12,"Rework #1"),IF(AND(COUNTIF(L18,"*X*"),COUNTIF('[1]ARDT Cutter Entry'!L6,"*X*")),IF(OR(COUNTIF('[1]Eng. Cutter Entry'!L6,"*O*"),COUNTIF('[1]Eng. Cutter Entry'!L6,"*R*"),COUNTIF('[1]Eng. Cutter Entry'!L6,"*F*"),COUNTIF('[1]Eng. Cutter Entry'!L6,"*S*")),L18,""),""),"")</f>
        <v/>
      </c>
      <c r="M63" s="233" t="str">
        <f>IF(COUNTIF($M$12,"Rework #1"),IF(AND(COUNTIF(M18,"*X*"),COUNTIF('[1]ARDT Cutter Entry'!M6,"*X*")),IF(OR(COUNTIF('[1]Eng. Cutter Entry'!M6,"*O*"),COUNTIF('[1]Eng. Cutter Entry'!M6,"*R*"),COUNTIF('[1]Eng. Cutter Entry'!M6,"*F*"),COUNTIF('[1]Eng. Cutter Entry'!M6,"*S*")),M18,""),""),"")</f>
        <v/>
      </c>
      <c r="N63" s="233" t="str">
        <f>IF(COUNTIF($M$12,"Rework #1"),IF(AND(COUNTIF(N18,"*X*"),COUNTIF('[1]ARDT Cutter Entry'!N6,"*X*")),IF(OR(COUNTIF('[1]Eng. Cutter Entry'!N6,"*O*"),COUNTIF('[1]Eng. Cutter Entry'!N6,"*R*"),COUNTIF('[1]Eng. Cutter Entry'!N6,"*F*"),COUNTIF('[1]Eng. Cutter Entry'!N6,"*S*")),N18,""),""),"")</f>
        <v/>
      </c>
      <c r="O63" s="233" t="str">
        <f>IF(COUNTIF($M$12,"Rework #1"),IF(AND(COUNTIF(O18,"*X*"),COUNTIF('[1]ARDT Cutter Entry'!O6,"*X*")),IF(OR(COUNTIF('[1]Eng. Cutter Entry'!O6,"*O*"),COUNTIF('[1]Eng. Cutter Entry'!O6,"*R*"),COUNTIF('[1]Eng. Cutter Entry'!O6,"*F*"),COUNTIF('[1]Eng. Cutter Entry'!O6,"*S*")),O18,""),""),"")</f>
        <v/>
      </c>
      <c r="P63" s="233" t="str">
        <f>IF(COUNTIF($M$12,"Rework #1"),IF(AND(COUNTIF(P18,"*X*"),COUNTIF('[1]ARDT Cutter Entry'!P6,"*X*")),IF(OR(COUNTIF('[1]Eng. Cutter Entry'!P6,"*O*"),COUNTIF('[1]Eng. Cutter Entry'!P6,"*R*"),COUNTIF('[1]Eng. Cutter Entry'!P6,"*F*"),COUNTIF('[1]Eng. Cutter Entry'!P6,"*S*")),P18,""),""),"")</f>
        <v/>
      </c>
      <c r="Q63" s="233" t="str">
        <f>IF(COUNTIF($M$12,"Rework #1"),IF(AND(COUNTIF(Q18,"*X*"),COUNTIF('[1]ARDT Cutter Entry'!Q6,"*X*")),IF(OR(COUNTIF('[1]Eng. Cutter Entry'!Q6,"*O*"),COUNTIF('[1]Eng. Cutter Entry'!Q6,"*R*"),COUNTIF('[1]Eng. Cutter Entry'!Q6,"*F*"),COUNTIF('[1]Eng. Cutter Entry'!Q6,"*S*")),Q18,""),""),"")</f>
        <v/>
      </c>
      <c r="R63" s="233" t="str">
        <f>IF(COUNTIF($M$12,"Rework #1"),IF(AND(COUNTIF(R18,"*X*"),COUNTIF('[1]ARDT Cutter Entry'!R6,"*X*")),IF(OR(COUNTIF('[1]Eng. Cutter Entry'!R6,"*O*"),COUNTIF('[1]Eng. Cutter Entry'!R6,"*R*"),COUNTIF('[1]Eng. Cutter Entry'!R6,"*F*"),COUNTIF('[1]Eng. Cutter Entry'!R6,"*S*")),R18,""),""),"")</f>
        <v/>
      </c>
      <c r="S63" s="233" t="str">
        <f>IF(COUNTIF($M$12,"Rework #1"),IF(AND(COUNTIF(S18,"*X*"),COUNTIF('[1]ARDT Cutter Entry'!S6,"*X*")),IF(OR(COUNTIF('[1]Eng. Cutter Entry'!S6,"*O*"),COUNTIF('[1]Eng. Cutter Entry'!S6,"*R*"),COUNTIF('[1]Eng. Cutter Entry'!S6,"*F*"),COUNTIF('[1]Eng. Cutter Entry'!S6,"*S*")),S18,""),""),"")</f>
        <v/>
      </c>
      <c r="T63" s="233" t="str">
        <f>IF(COUNTIF($M$12,"Rework #1"),IF(AND(COUNTIF(T18,"*X*"),COUNTIF('[1]ARDT Cutter Entry'!T6,"*X*")),IF(OR(COUNTIF('[1]Eng. Cutter Entry'!T6,"*O*"),COUNTIF('[1]Eng. Cutter Entry'!T6,"*R*"),COUNTIF('[1]Eng. Cutter Entry'!T6,"*F*"),COUNTIF('[1]Eng. Cutter Entry'!T6,"*S*")),T18,""),""),"")</f>
        <v/>
      </c>
      <c r="U63" s="233" t="str">
        <f>IF(COUNTIF($M$12,"Rework #1"),IF(AND(COUNTIF(U18,"*X*"),COUNTIF('[1]ARDT Cutter Entry'!U6,"*X*")),IF(OR(COUNTIF('[1]Eng. Cutter Entry'!U6,"*O*"),COUNTIF('[1]Eng. Cutter Entry'!U6,"*R*"),COUNTIF('[1]Eng. Cutter Entry'!U6,"*F*"),COUNTIF('[1]Eng. Cutter Entry'!U6,"*S*")),U18,""),""),"")</f>
        <v/>
      </c>
      <c r="V63" s="233" t="str">
        <f>IF(COUNTIF($M$12,"Rework #1"),IF(AND(COUNTIF(V18,"*X*"),COUNTIF('[1]ARDT Cutter Entry'!V6,"*X*")),IF(OR(COUNTIF('[1]Eng. Cutter Entry'!V6,"*O*"),COUNTIF('[1]Eng. Cutter Entry'!V6,"*R*"),COUNTIF('[1]Eng. Cutter Entry'!V6,"*F*"),COUNTIF('[1]Eng. Cutter Entry'!V6,"*S*")),V18,""),""),"")</f>
        <v/>
      </c>
      <c r="W63" s="233" t="str">
        <f>IF(COUNTIF($M$12,"Rework #1"),IF(AND(COUNTIF(W18,"*X*"),COUNTIF('[1]ARDT Cutter Entry'!W6,"*X*")),IF(OR(COUNTIF('[1]Eng. Cutter Entry'!W6,"*O*"),COUNTIF('[1]Eng. Cutter Entry'!W6,"*R*"),COUNTIF('[1]Eng. Cutter Entry'!W6,"*F*"),COUNTIF('[1]Eng. Cutter Entry'!W6,"*S*")),W18,""),""),"")</f>
        <v/>
      </c>
      <c r="X63" s="233" t="str">
        <f>IF(COUNTIF($M$12,"Rework #1"),IF(AND(COUNTIF(X18,"*X*"),COUNTIF('[1]ARDT Cutter Entry'!X6,"*X*")),IF(OR(COUNTIF('[1]Eng. Cutter Entry'!X6,"*O*"),COUNTIF('[1]Eng. Cutter Entry'!X6,"*R*"),COUNTIF('[1]Eng. Cutter Entry'!X6,"*F*"),COUNTIF('[1]Eng. Cutter Entry'!X6,"*S*")),X18,""),""),"")</f>
        <v/>
      </c>
    </row>
    <row r="64" spans="1:24" ht="15.75" hidden="1" customHeight="1" x14ac:dyDescent="0.35">
      <c r="A64" s="2257"/>
      <c r="B64" s="449">
        <v>4</v>
      </c>
      <c r="C64" s="233" t="str">
        <f>IF(COUNTIF($M$12,"Rework #1"),IF(AND(COUNTIF(C19,"*X*"),COUNTIF('[1]ARDT Cutter Entry'!C7,"*X*")),IF(OR(COUNTIF('[1]Eng. Cutter Entry'!C7,"*O*"),COUNTIF('[1]Eng. Cutter Entry'!C7,"*R*"),COUNTIF('[1]Eng. Cutter Entry'!C7,"*F*"),COUNTIF('[1]Eng. Cutter Entry'!C7,"*S*")),C19,""),""),"")</f>
        <v/>
      </c>
      <c r="D64" s="233" t="str">
        <f>IF(COUNTIF($M$12,"Rework #1"),IF(AND(COUNTIF(D19,"*X*"),COUNTIF('[1]ARDT Cutter Entry'!D7,"*X*")),IF(OR(COUNTIF('[1]Eng. Cutter Entry'!D7,"*O*"),COUNTIF('[1]Eng. Cutter Entry'!D7,"*R*"),COUNTIF('[1]Eng. Cutter Entry'!D7,"*F*"),COUNTIF('[1]Eng. Cutter Entry'!D7,"*S*")),D19,""),""),"")</f>
        <v/>
      </c>
      <c r="E64" s="233" t="str">
        <f>IF(COUNTIF($M$12,"Rework #1"),IF(AND(COUNTIF(E19,"*X*"),COUNTIF('[1]ARDT Cutter Entry'!E7,"*X*")),IF(OR(COUNTIF('[1]Eng. Cutter Entry'!E7,"*O*"),COUNTIF('[1]Eng. Cutter Entry'!E7,"*R*"),COUNTIF('[1]Eng. Cutter Entry'!E7,"*F*"),COUNTIF('[1]Eng. Cutter Entry'!E7,"*S*")),E19,""),""),"")</f>
        <v/>
      </c>
      <c r="F64" s="233" t="str">
        <f>IF(COUNTIF($M$12,"Rework #1"),IF(AND(COUNTIF(F19,"*X*"),COUNTIF('[1]ARDT Cutter Entry'!F7,"*X*")),IF(OR(COUNTIF('[1]Eng. Cutter Entry'!F7,"*O*"),COUNTIF('[1]Eng. Cutter Entry'!F7,"*R*"),COUNTIF('[1]Eng. Cutter Entry'!F7,"*F*"),COUNTIF('[1]Eng. Cutter Entry'!F7,"*S*")),F19,""),""),"")</f>
        <v/>
      </c>
      <c r="G64" s="233" t="str">
        <f>IF(COUNTIF($M$12,"Rework #1"),IF(AND(COUNTIF(G19,"*X*"),COUNTIF('[1]ARDT Cutter Entry'!G7,"*X*")),IF(OR(COUNTIF('[1]Eng. Cutter Entry'!G7,"*O*"),COUNTIF('[1]Eng. Cutter Entry'!G7,"*R*"),COUNTIF('[1]Eng. Cutter Entry'!G7,"*F*"),COUNTIF('[1]Eng. Cutter Entry'!G7,"*S*")),G19,""),""),"")</f>
        <v/>
      </c>
      <c r="H64" s="233" t="str">
        <f>IF(COUNTIF($M$12,"Rework #1"),IF(AND(COUNTIF(H19,"*X*"),COUNTIF('[1]ARDT Cutter Entry'!H7,"*X*")),IF(OR(COUNTIF('[1]Eng. Cutter Entry'!H7,"*O*"),COUNTIF('[1]Eng. Cutter Entry'!H7,"*R*"),COUNTIF('[1]Eng. Cutter Entry'!H7,"*F*"),COUNTIF('[1]Eng. Cutter Entry'!H7,"*S*")),H19,""),""),"")</f>
        <v/>
      </c>
      <c r="I64" s="233" t="str">
        <f>IF(COUNTIF($M$12,"Rework #1"),IF(AND(COUNTIF(I19,"*X*"),COUNTIF('[1]ARDT Cutter Entry'!I7,"*X*")),IF(OR(COUNTIF('[1]Eng. Cutter Entry'!I7,"*O*"),COUNTIF('[1]Eng. Cutter Entry'!I7,"*R*"),COUNTIF('[1]Eng. Cutter Entry'!I7,"*F*"),COUNTIF('[1]Eng. Cutter Entry'!I7,"*S*")),I19,""),""),"")</f>
        <v/>
      </c>
      <c r="J64" s="233" t="str">
        <f>IF(COUNTIF($M$12,"Rework #1"),IF(AND(COUNTIF(J19,"*X*"),COUNTIF('[1]ARDT Cutter Entry'!J7,"*X*")),IF(OR(COUNTIF('[1]Eng. Cutter Entry'!J7,"*O*"),COUNTIF('[1]Eng. Cutter Entry'!J7,"*R*"),COUNTIF('[1]Eng. Cutter Entry'!J7,"*F*"),COUNTIF('[1]Eng. Cutter Entry'!J7,"*S*")),J19,""),""),"")</f>
        <v/>
      </c>
      <c r="K64" s="233" t="str">
        <f>IF(COUNTIF($M$12,"Rework #1"),IF(AND(COUNTIF(K19,"*X*"),COUNTIF('[1]ARDT Cutter Entry'!K7,"*X*")),IF(OR(COUNTIF('[1]Eng. Cutter Entry'!K7,"*O*"),COUNTIF('[1]Eng. Cutter Entry'!K7,"*R*"),COUNTIF('[1]Eng. Cutter Entry'!K7,"*F*"),COUNTIF('[1]Eng. Cutter Entry'!K7,"*S*")),K19,""),""),"")</f>
        <v/>
      </c>
      <c r="L64" s="233" t="str">
        <f>IF(COUNTIF($M$12,"Rework #1"),IF(AND(COUNTIF(L19,"*X*"),COUNTIF('[1]ARDT Cutter Entry'!L7,"*X*")),IF(OR(COUNTIF('[1]Eng. Cutter Entry'!L7,"*O*"),COUNTIF('[1]Eng. Cutter Entry'!L7,"*R*"),COUNTIF('[1]Eng. Cutter Entry'!L7,"*F*"),COUNTIF('[1]Eng. Cutter Entry'!L7,"*S*")),L19,""),""),"")</f>
        <v/>
      </c>
      <c r="M64" s="233" t="str">
        <f>IF(COUNTIF($M$12,"Rework #1"),IF(AND(COUNTIF(M19,"*X*"),COUNTIF('[1]ARDT Cutter Entry'!M7,"*X*")),IF(OR(COUNTIF('[1]Eng. Cutter Entry'!M7,"*O*"),COUNTIF('[1]Eng. Cutter Entry'!M7,"*R*"),COUNTIF('[1]Eng. Cutter Entry'!M7,"*F*"),COUNTIF('[1]Eng. Cutter Entry'!M7,"*S*")),M19,""),""),"")</f>
        <v/>
      </c>
      <c r="N64" s="233" t="str">
        <f>IF(COUNTIF($M$12,"Rework #1"),IF(AND(COUNTIF(N19,"*X*"),COUNTIF('[1]ARDT Cutter Entry'!N7,"*X*")),IF(OR(COUNTIF('[1]Eng. Cutter Entry'!N7,"*O*"),COUNTIF('[1]Eng. Cutter Entry'!N7,"*R*"),COUNTIF('[1]Eng. Cutter Entry'!N7,"*F*"),COUNTIF('[1]Eng. Cutter Entry'!N7,"*S*")),N19,""),""),"")</f>
        <v/>
      </c>
      <c r="O64" s="233" t="str">
        <f>IF(COUNTIF($M$12,"Rework #1"),IF(AND(COUNTIF(O19,"*X*"),COUNTIF('[1]ARDT Cutter Entry'!O7,"*X*")),IF(OR(COUNTIF('[1]Eng. Cutter Entry'!O7,"*O*"),COUNTIF('[1]Eng. Cutter Entry'!O7,"*R*"),COUNTIF('[1]Eng. Cutter Entry'!O7,"*F*"),COUNTIF('[1]Eng. Cutter Entry'!O7,"*S*")),O19,""),""),"")</f>
        <v/>
      </c>
      <c r="P64" s="233" t="str">
        <f>IF(COUNTIF($M$12,"Rework #1"),IF(AND(COUNTIF(P19,"*X*"),COUNTIF('[1]ARDT Cutter Entry'!P7,"*X*")),IF(OR(COUNTIF('[1]Eng. Cutter Entry'!P7,"*O*"),COUNTIF('[1]Eng. Cutter Entry'!P7,"*R*"),COUNTIF('[1]Eng. Cutter Entry'!P7,"*F*"),COUNTIF('[1]Eng. Cutter Entry'!P7,"*S*")),P19,""),""),"")</f>
        <v/>
      </c>
      <c r="Q64" s="233" t="str">
        <f>IF(COUNTIF($M$12,"Rework #1"),IF(AND(COUNTIF(Q19,"*X*"),COUNTIF('[1]ARDT Cutter Entry'!Q7,"*X*")),IF(OR(COUNTIF('[1]Eng. Cutter Entry'!Q7,"*O*"),COUNTIF('[1]Eng. Cutter Entry'!Q7,"*R*"),COUNTIF('[1]Eng. Cutter Entry'!Q7,"*F*"),COUNTIF('[1]Eng. Cutter Entry'!Q7,"*S*")),Q19,""),""),"")</f>
        <v/>
      </c>
      <c r="R64" s="233" t="str">
        <f>IF(COUNTIF($M$12,"Rework #1"),IF(AND(COUNTIF(R19,"*X*"),COUNTIF('[1]ARDT Cutter Entry'!R7,"*X*")),IF(OR(COUNTIF('[1]Eng. Cutter Entry'!R7,"*O*"),COUNTIF('[1]Eng. Cutter Entry'!R7,"*R*"),COUNTIF('[1]Eng. Cutter Entry'!R7,"*F*"),COUNTIF('[1]Eng. Cutter Entry'!R7,"*S*")),R19,""),""),"")</f>
        <v/>
      </c>
      <c r="S64" s="233" t="str">
        <f>IF(COUNTIF($M$12,"Rework #1"),IF(AND(COUNTIF(S19,"*X*"),COUNTIF('[1]ARDT Cutter Entry'!S7,"*X*")),IF(OR(COUNTIF('[1]Eng. Cutter Entry'!S7,"*O*"),COUNTIF('[1]Eng. Cutter Entry'!S7,"*R*"),COUNTIF('[1]Eng. Cutter Entry'!S7,"*F*"),COUNTIF('[1]Eng. Cutter Entry'!S7,"*S*")),S19,""),""),"")</f>
        <v/>
      </c>
      <c r="T64" s="233" t="str">
        <f>IF(COUNTIF($M$12,"Rework #1"),IF(AND(COUNTIF(T19,"*X*"),COUNTIF('[1]ARDT Cutter Entry'!T7,"*X*")),IF(OR(COUNTIF('[1]Eng. Cutter Entry'!T7,"*O*"),COUNTIF('[1]Eng. Cutter Entry'!T7,"*R*"),COUNTIF('[1]Eng. Cutter Entry'!T7,"*F*"),COUNTIF('[1]Eng. Cutter Entry'!T7,"*S*")),T19,""),""),"")</f>
        <v/>
      </c>
      <c r="U64" s="233" t="str">
        <f>IF(COUNTIF($M$12,"Rework #1"),IF(AND(COUNTIF(U19,"*X*"),COUNTIF('[1]ARDT Cutter Entry'!U7,"*X*")),IF(OR(COUNTIF('[1]Eng. Cutter Entry'!U7,"*O*"),COUNTIF('[1]Eng. Cutter Entry'!U7,"*R*"),COUNTIF('[1]Eng. Cutter Entry'!U7,"*F*"),COUNTIF('[1]Eng. Cutter Entry'!U7,"*S*")),U19,""),""),"")</f>
        <v/>
      </c>
      <c r="V64" s="233" t="str">
        <f>IF(COUNTIF($M$12,"Rework #1"),IF(AND(COUNTIF(V19,"*X*"),COUNTIF('[1]ARDT Cutter Entry'!V7,"*X*")),IF(OR(COUNTIF('[1]Eng. Cutter Entry'!V7,"*O*"),COUNTIF('[1]Eng. Cutter Entry'!V7,"*R*"),COUNTIF('[1]Eng. Cutter Entry'!V7,"*F*"),COUNTIF('[1]Eng. Cutter Entry'!V7,"*S*")),V19,""),""),"")</f>
        <v/>
      </c>
      <c r="W64" s="233" t="str">
        <f>IF(COUNTIF($M$12,"Rework #1"),IF(AND(COUNTIF(W19,"*X*"),COUNTIF('[1]ARDT Cutter Entry'!W7,"*X*")),IF(OR(COUNTIF('[1]Eng. Cutter Entry'!W7,"*O*"),COUNTIF('[1]Eng. Cutter Entry'!W7,"*R*"),COUNTIF('[1]Eng. Cutter Entry'!W7,"*F*"),COUNTIF('[1]Eng. Cutter Entry'!W7,"*S*")),W19,""),""),"")</f>
        <v/>
      </c>
      <c r="X64" s="233" t="str">
        <f>IF(COUNTIF($M$12,"Rework #1"),IF(AND(COUNTIF(X19,"*X*"),COUNTIF('[1]ARDT Cutter Entry'!X7,"*X*")),IF(OR(COUNTIF('[1]Eng. Cutter Entry'!X7,"*O*"),COUNTIF('[1]Eng. Cutter Entry'!X7,"*R*"),COUNTIF('[1]Eng. Cutter Entry'!X7,"*F*"),COUNTIF('[1]Eng. Cutter Entry'!X7,"*S*")),X19,""),""),"")</f>
        <v/>
      </c>
    </row>
    <row r="65" spans="1:24" ht="15.75" hidden="1" customHeight="1" x14ac:dyDescent="0.35">
      <c r="A65" s="2257"/>
      <c r="B65" s="449">
        <v>5</v>
      </c>
      <c r="C65" s="233" t="str">
        <f>IF(COUNTIF($M$12,"Rework #1"),IF(AND(COUNTIF(C20,"*X*"),COUNTIF('[1]ARDT Cutter Entry'!C8,"*X*")),IF(OR(COUNTIF('[1]Eng. Cutter Entry'!C8,"*O*"),COUNTIF('[1]Eng. Cutter Entry'!C8,"*R*"),COUNTIF('[1]Eng. Cutter Entry'!C8,"*F*"),COUNTIF('[1]Eng. Cutter Entry'!C8,"*S*")),C20,""),""),"")</f>
        <v/>
      </c>
      <c r="D65" s="233" t="str">
        <f>IF(COUNTIF($M$12,"Rework #1"),IF(AND(COUNTIF(D20,"*X*"),COUNTIF('[1]ARDT Cutter Entry'!D8,"*X*")),IF(OR(COUNTIF('[1]Eng. Cutter Entry'!D8,"*O*"),COUNTIF('[1]Eng. Cutter Entry'!D8,"*R*"),COUNTIF('[1]Eng. Cutter Entry'!D8,"*F*"),COUNTIF('[1]Eng. Cutter Entry'!D8,"*S*")),D20,""),""),"")</f>
        <v/>
      </c>
      <c r="E65" s="233" t="str">
        <f>IF(COUNTIF($M$12,"Rework #1"),IF(AND(COUNTIF(E20,"*X*"),COUNTIF('[1]ARDT Cutter Entry'!E8,"*X*")),IF(OR(COUNTIF('[1]Eng. Cutter Entry'!E8,"*O*"),COUNTIF('[1]Eng. Cutter Entry'!E8,"*R*"),COUNTIF('[1]Eng. Cutter Entry'!E8,"*F*"),COUNTIF('[1]Eng. Cutter Entry'!E8,"*S*")),E20,""),""),"")</f>
        <v/>
      </c>
      <c r="F65" s="233" t="str">
        <f>IF(COUNTIF($M$12,"Rework #1"),IF(AND(COUNTIF(F20,"*X*"),COUNTIF('[1]ARDT Cutter Entry'!F8,"*X*")),IF(OR(COUNTIF('[1]Eng. Cutter Entry'!F8,"*O*"),COUNTIF('[1]Eng. Cutter Entry'!F8,"*R*"),COUNTIF('[1]Eng. Cutter Entry'!F8,"*F*"),COUNTIF('[1]Eng. Cutter Entry'!F8,"*S*")),F20,""),""),"")</f>
        <v/>
      </c>
      <c r="G65" s="233" t="str">
        <f>IF(COUNTIF($M$12,"Rework #1"),IF(AND(COUNTIF(G20,"*X*"),COUNTIF('[1]ARDT Cutter Entry'!G8,"*X*")),IF(OR(COUNTIF('[1]Eng. Cutter Entry'!G8,"*O*"),COUNTIF('[1]Eng. Cutter Entry'!G8,"*R*"),COUNTIF('[1]Eng. Cutter Entry'!G8,"*F*"),COUNTIF('[1]Eng. Cutter Entry'!G8,"*S*")),G20,""),""),"")</f>
        <v/>
      </c>
      <c r="H65" s="233" t="str">
        <f>IF(COUNTIF($M$12,"Rework #1"),IF(AND(COUNTIF(H20,"*X*"),COUNTIF('[1]ARDT Cutter Entry'!H8,"*X*")),IF(OR(COUNTIF('[1]Eng. Cutter Entry'!H8,"*O*"),COUNTIF('[1]Eng. Cutter Entry'!H8,"*R*"),COUNTIF('[1]Eng. Cutter Entry'!H8,"*F*"),COUNTIF('[1]Eng. Cutter Entry'!H8,"*S*")),H20,""),""),"")</f>
        <v/>
      </c>
      <c r="I65" s="233" t="str">
        <f>IF(COUNTIF($M$12,"Rework #1"),IF(AND(COUNTIF(I20,"*X*"),COUNTIF('[1]ARDT Cutter Entry'!I8,"*X*")),IF(OR(COUNTIF('[1]Eng. Cutter Entry'!I8,"*O*"),COUNTIF('[1]Eng. Cutter Entry'!I8,"*R*"),COUNTIF('[1]Eng. Cutter Entry'!I8,"*F*"),COUNTIF('[1]Eng. Cutter Entry'!I8,"*S*")),I20,""),""),"")</f>
        <v/>
      </c>
      <c r="J65" s="233" t="str">
        <f>IF(COUNTIF($M$12,"Rework #1"),IF(AND(COUNTIF(J20,"*X*"),COUNTIF('[1]ARDT Cutter Entry'!J8,"*X*")),IF(OR(COUNTIF('[1]Eng. Cutter Entry'!J8,"*O*"),COUNTIF('[1]Eng. Cutter Entry'!J8,"*R*"),COUNTIF('[1]Eng. Cutter Entry'!J8,"*F*"),COUNTIF('[1]Eng. Cutter Entry'!J8,"*S*")),J20,""),""),"")</f>
        <v/>
      </c>
      <c r="K65" s="233" t="str">
        <f>IF(COUNTIF($M$12,"Rework #1"),IF(AND(COUNTIF(K20,"*X*"),COUNTIF('[1]ARDT Cutter Entry'!K8,"*X*")),IF(OR(COUNTIF('[1]Eng. Cutter Entry'!K8,"*O*"),COUNTIF('[1]Eng. Cutter Entry'!K8,"*R*"),COUNTIF('[1]Eng. Cutter Entry'!K8,"*F*"),COUNTIF('[1]Eng. Cutter Entry'!K8,"*S*")),K20,""),""),"")</f>
        <v/>
      </c>
      <c r="L65" s="233" t="str">
        <f>IF(COUNTIF($M$12,"Rework #1"),IF(AND(COUNTIF(L20,"*X*"),COUNTIF('[1]ARDT Cutter Entry'!L8,"*X*")),IF(OR(COUNTIF('[1]Eng. Cutter Entry'!L8,"*O*"),COUNTIF('[1]Eng. Cutter Entry'!L8,"*R*"),COUNTIF('[1]Eng. Cutter Entry'!L8,"*F*"),COUNTIF('[1]Eng. Cutter Entry'!L8,"*S*")),L20,""),""),"")</f>
        <v/>
      </c>
      <c r="M65" s="233" t="str">
        <f>IF(COUNTIF($M$12,"Rework #1"),IF(AND(COUNTIF(M20,"*X*"),COUNTIF('[1]ARDT Cutter Entry'!M8,"*X*")),IF(OR(COUNTIF('[1]Eng. Cutter Entry'!M8,"*O*"),COUNTIF('[1]Eng. Cutter Entry'!M8,"*R*"),COUNTIF('[1]Eng. Cutter Entry'!M8,"*F*"),COUNTIF('[1]Eng. Cutter Entry'!M8,"*S*")),M20,""),""),"")</f>
        <v/>
      </c>
      <c r="N65" s="233" t="str">
        <f>IF(COUNTIF($M$12,"Rework #1"),IF(AND(COUNTIF(N20,"*X*"),COUNTIF('[1]ARDT Cutter Entry'!N8,"*X*")),IF(OR(COUNTIF('[1]Eng. Cutter Entry'!N8,"*O*"),COUNTIF('[1]Eng. Cutter Entry'!N8,"*R*"),COUNTIF('[1]Eng. Cutter Entry'!N8,"*F*"),COUNTIF('[1]Eng. Cutter Entry'!N8,"*S*")),N20,""),""),"")</f>
        <v/>
      </c>
      <c r="O65" s="233" t="str">
        <f>IF(COUNTIF($M$12,"Rework #1"),IF(AND(COUNTIF(O20,"*X*"),COUNTIF('[1]ARDT Cutter Entry'!O8,"*X*")),IF(OR(COUNTIF('[1]Eng. Cutter Entry'!O8,"*O*"),COUNTIF('[1]Eng. Cutter Entry'!O8,"*R*"),COUNTIF('[1]Eng. Cutter Entry'!O8,"*F*"),COUNTIF('[1]Eng. Cutter Entry'!O8,"*S*")),O20,""),""),"")</f>
        <v/>
      </c>
      <c r="P65" s="233" t="str">
        <f>IF(COUNTIF($M$12,"Rework #1"),IF(AND(COUNTIF(P20,"*X*"),COUNTIF('[1]ARDT Cutter Entry'!P8,"*X*")),IF(OR(COUNTIF('[1]Eng. Cutter Entry'!P8,"*O*"),COUNTIF('[1]Eng. Cutter Entry'!P8,"*R*"),COUNTIF('[1]Eng. Cutter Entry'!P8,"*F*"),COUNTIF('[1]Eng. Cutter Entry'!P8,"*S*")),P20,""),""),"")</f>
        <v/>
      </c>
      <c r="Q65" s="233" t="str">
        <f>IF(COUNTIF($M$12,"Rework #1"),IF(AND(COUNTIF(Q20,"*X*"),COUNTIF('[1]ARDT Cutter Entry'!Q8,"*X*")),IF(OR(COUNTIF('[1]Eng. Cutter Entry'!Q8,"*O*"),COUNTIF('[1]Eng. Cutter Entry'!Q8,"*R*"),COUNTIF('[1]Eng. Cutter Entry'!Q8,"*F*"),COUNTIF('[1]Eng. Cutter Entry'!Q8,"*S*")),Q20,""),""),"")</f>
        <v/>
      </c>
      <c r="R65" s="233" t="str">
        <f>IF(COUNTIF($M$12,"Rework #1"),IF(AND(COUNTIF(R20,"*X*"),COUNTIF('[1]ARDT Cutter Entry'!R8,"*X*")),IF(OR(COUNTIF('[1]Eng. Cutter Entry'!R8,"*O*"),COUNTIF('[1]Eng. Cutter Entry'!R8,"*R*"),COUNTIF('[1]Eng. Cutter Entry'!R8,"*F*"),COUNTIF('[1]Eng. Cutter Entry'!R8,"*S*")),R20,""),""),"")</f>
        <v/>
      </c>
      <c r="S65" s="233" t="str">
        <f>IF(COUNTIF($M$12,"Rework #1"),IF(AND(COUNTIF(S20,"*X*"),COUNTIF('[1]ARDT Cutter Entry'!S8,"*X*")),IF(OR(COUNTIF('[1]Eng. Cutter Entry'!S8,"*O*"),COUNTIF('[1]Eng. Cutter Entry'!S8,"*R*"),COUNTIF('[1]Eng. Cutter Entry'!S8,"*F*"),COUNTIF('[1]Eng. Cutter Entry'!S8,"*S*")),S20,""),""),"")</f>
        <v/>
      </c>
      <c r="T65" s="233" t="str">
        <f>IF(COUNTIF($M$12,"Rework #1"),IF(AND(COUNTIF(T20,"*X*"),COUNTIF('[1]ARDT Cutter Entry'!T8,"*X*")),IF(OR(COUNTIF('[1]Eng. Cutter Entry'!T8,"*O*"),COUNTIF('[1]Eng. Cutter Entry'!T8,"*R*"),COUNTIF('[1]Eng. Cutter Entry'!T8,"*F*"),COUNTIF('[1]Eng. Cutter Entry'!T8,"*S*")),T20,""),""),"")</f>
        <v/>
      </c>
      <c r="U65" s="233" t="str">
        <f>IF(COUNTIF($M$12,"Rework #1"),IF(AND(COUNTIF(U20,"*X*"),COUNTIF('[1]ARDT Cutter Entry'!U8,"*X*")),IF(OR(COUNTIF('[1]Eng. Cutter Entry'!U8,"*O*"),COUNTIF('[1]Eng. Cutter Entry'!U8,"*R*"),COUNTIF('[1]Eng. Cutter Entry'!U8,"*F*"),COUNTIF('[1]Eng. Cutter Entry'!U8,"*S*")),U20,""),""),"")</f>
        <v/>
      </c>
      <c r="V65" s="233" t="str">
        <f>IF(COUNTIF($M$12,"Rework #1"),IF(AND(COUNTIF(V20,"*X*"),COUNTIF('[1]ARDT Cutter Entry'!V8,"*X*")),IF(OR(COUNTIF('[1]Eng. Cutter Entry'!V8,"*O*"),COUNTIF('[1]Eng. Cutter Entry'!V8,"*R*"),COUNTIF('[1]Eng. Cutter Entry'!V8,"*F*"),COUNTIF('[1]Eng. Cutter Entry'!V8,"*S*")),V20,""),""),"")</f>
        <v/>
      </c>
      <c r="W65" s="233" t="str">
        <f>IF(COUNTIF($M$12,"Rework #1"),IF(AND(COUNTIF(W20,"*X*"),COUNTIF('[1]ARDT Cutter Entry'!W8,"*X*")),IF(OR(COUNTIF('[1]Eng. Cutter Entry'!W8,"*O*"),COUNTIF('[1]Eng. Cutter Entry'!W8,"*R*"),COUNTIF('[1]Eng. Cutter Entry'!W8,"*F*"),COUNTIF('[1]Eng. Cutter Entry'!W8,"*S*")),W20,""),""),"")</f>
        <v/>
      </c>
      <c r="X65" s="233" t="str">
        <f>IF(COUNTIF($M$12,"Rework #1"),IF(AND(COUNTIF(X20,"*X*"),COUNTIF('[1]ARDT Cutter Entry'!X8,"*X*")),IF(OR(COUNTIF('[1]Eng. Cutter Entry'!X8,"*O*"),COUNTIF('[1]Eng. Cutter Entry'!X8,"*R*"),COUNTIF('[1]Eng. Cutter Entry'!X8,"*F*"),COUNTIF('[1]Eng. Cutter Entry'!X8,"*S*")),X20,""),""),"")</f>
        <v/>
      </c>
    </row>
    <row r="66" spans="1:24" ht="15.75" hidden="1" customHeight="1" x14ac:dyDescent="0.35">
      <c r="A66" s="2257"/>
      <c r="B66" s="449">
        <v>6</v>
      </c>
      <c r="C66" s="233" t="str">
        <f>IF(COUNTIF($M$12,"Rework #1"),IF(AND(COUNTIF(C21,"*X*"),COUNTIF('[1]ARDT Cutter Entry'!C9,"*X*")),IF(OR(COUNTIF('[1]Eng. Cutter Entry'!C9,"*O*"),COUNTIF('[1]Eng. Cutter Entry'!C9,"*R*"),COUNTIF('[1]Eng. Cutter Entry'!C9,"*F*"),COUNTIF('[1]Eng. Cutter Entry'!C9,"*S*")),C21,""),""),"")</f>
        <v/>
      </c>
      <c r="D66" s="233" t="str">
        <f>IF(COUNTIF($M$12,"Rework #1"),IF(AND(COUNTIF(D21,"*X*"),COUNTIF('[1]ARDT Cutter Entry'!D9,"*X*")),IF(OR(COUNTIF('[1]Eng. Cutter Entry'!D9,"*O*"),COUNTIF('[1]Eng. Cutter Entry'!D9,"*R*"),COUNTIF('[1]Eng. Cutter Entry'!D9,"*F*"),COUNTIF('[1]Eng. Cutter Entry'!D9,"*S*")),D21,""),""),"")</f>
        <v/>
      </c>
      <c r="E66" s="233" t="str">
        <f>IF(COUNTIF($M$12,"Rework #1"),IF(AND(COUNTIF(E21,"*X*"),COUNTIF('[1]ARDT Cutter Entry'!E9,"*X*")),IF(OR(COUNTIF('[1]Eng. Cutter Entry'!E9,"*O*"),COUNTIF('[1]Eng. Cutter Entry'!E9,"*R*"),COUNTIF('[1]Eng. Cutter Entry'!E9,"*F*"),COUNTIF('[1]Eng. Cutter Entry'!E9,"*S*")),E21,""),""),"")</f>
        <v/>
      </c>
      <c r="F66" s="233" t="str">
        <f>IF(COUNTIF($M$12,"Rework #1"),IF(AND(COUNTIF(F21,"*X*"),COUNTIF('[1]ARDT Cutter Entry'!F9,"*X*")),IF(OR(COUNTIF('[1]Eng. Cutter Entry'!F9,"*O*"),COUNTIF('[1]Eng. Cutter Entry'!F9,"*R*"),COUNTIF('[1]Eng. Cutter Entry'!F9,"*F*"),COUNTIF('[1]Eng. Cutter Entry'!F9,"*S*")),F21,""),""),"")</f>
        <v/>
      </c>
      <c r="G66" s="233" t="str">
        <f>IF(COUNTIF($M$12,"Rework #1"),IF(AND(COUNTIF(G21,"*X*"),COUNTIF('[1]ARDT Cutter Entry'!G9,"*X*")),IF(OR(COUNTIF('[1]Eng. Cutter Entry'!G9,"*O*"),COUNTIF('[1]Eng. Cutter Entry'!G9,"*R*"),COUNTIF('[1]Eng. Cutter Entry'!G9,"*F*"),COUNTIF('[1]Eng. Cutter Entry'!G9,"*S*")),G21,""),""),"")</f>
        <v/>
      </c>
      <c r="H66" s="233" t="str">
        <f>IF(COUNTIF($M$12,"Rework #1"),IF(AND(COUNTIF(H21,"*X*"),COUNTIF('[1]ARDT Cutter Entry'!H9,"*X*")),IF(OR(COUNTIF('[1]Eng. Cutter Entry'!H9,"*O*"),COUNTIF('[1]Eng. Cutter Entry'!H9,"*R*"),COUNTIF('[1]Eng. Cutter Entry'!H9,"*F*"),COUNTIF('[1]Eng. Cutter Entry'!H9,"*S*")),H21,""),""),"")</f>
        <v/>
      </c>
      <c r="I66" s="233" t="str">
        <f>IF(COUNTIF($M$12,"Rework #1"),IF(AND(COUNTIF(I21,"*X*"),COUNTIF('[1]ARDT Cutter Entry'!I9,"*X*")),IF(OR(COUNTIF('[1]Eng. Cutter Entry'!I9,"*O*"),COUNTIF('[1]Eng. Cutter Entry'!I9,"*R*"),COUNTIF('[1]Eng. Cutter Entry'!I9,"*F*"),COUNTIF('[1]Eng. Cutter Entry'!I9,"*S*")),I21,""),""),"")</f>
        <v/>
      </c>
      <c r="J66" s="233" t="str">
        <f>IF(COUNTIF($M$12,"Rework #1"),IF(AND(COUNTIF(J21,"*X*"),COUNTIF('[1]ARDT Cutter Entry'!J9,"*X*")),IF(OR(COUNTIF('[1]Eng. Cutter Entry'!J9,"*O*"),COUNTIF('[1]Eng. Cutter Entry'!J9,"*R*"),COUNTIF('[1]Eng. Cutter Entry'!J9,"*F*"),COUNTIF('[1]Eng. Cutter Entry'!J9,"*S*")),J21,""),""),"")</f>
        <v/>
      </c>
      <c r="K66" s="233" t="str">
        <f>IF(COUNTIF($M$12,"Rework #1"),IF(AND(COUNTIF(K21,"*X*"),COUNTIF('[1]ARDT Cutter Entry'!K9,"*X*")),IF(OR(COUNTIF('[1]Eng. Cutter Entry'!K9,"*O*"),COUNTIF('[1]Eng. Cutter Entry'!K9,"*R*"),COUNTIF('[1]Eng. Cutter Entry'!K9,"*F*"),COUNTIF('[1]Eng. Cutter Entry'!K9,"*S*")),K21,""),""),"")</f>
        <v/>
      </c>
      <c r="L66" s="233" t="str">
        <f>IF(COUNTIF($M$12,"Rework #1"),IF(AND(COUNTIF(L21,"*X*"),COUNTIF('[1]ARDT Cutter Entry'!L9,"*X*")),IF(OR(COUNTIF('[1]Eng. Cutter Entry'!L9,"*O*"),COUNTIF('[1]Eng. Cutter Entry'!L9,"*R*"),COUNTIF('[1]Eng. Cutter Entry'!L9,"*F*"),COUNTIF('[1]Eng. Cutter Entry'!L9,"*S*")),L21,""),""),"")</f>
        <v/>
      </c>
      <c r="M66" s="233" t="str">
        <f>IF(COUNTIF($M$12,"Rework #1"),IF(AND(COUNTIF(M21,"*X*"),COUNTIF('[1]ARDT Cutter Entry'!M9,"*X*")),IF(OR(COUNTIF('[1]Eng. Cutter Entry'!M9,"*O*"),COUNTIF('[1]Eng. Cutter Entry'!M9,"*R*"),COUNTIF('[1]Eng. Cutter Entry'!M9,"*F*"),COUNTIF('[1]Eng. Cutter Entry'!M9,"*S*")),M21,""),""),"")</f>
        <v/>
      </c>
      <c r="N66" s="233" t="str">
        <f>IF(COUNTIF($M$12,"Rework #1"),IF(AND(COUNTIF(N21,"*X*"),COUNTIF('[1]ARDT Cutter Entry'!N9,"*X*")),IF(OR(COUNTIF('[1]Eng. Cutter Entry'!N9,"*O*"),COUNTIF('[1]Eng. Cutter Entry'!N9,"*R*"),COUNTIF('[1]Eng. Cutter Entry'!N9,"*F*"),COUNTIF('[1]Eng. Cutter Entry'!N9,"*S*")),N21,""),""),"")</f>
        <v/>
      </c>
      <c r="O66" s="233" t="str">
        <f>IF(COUNTIF($M$12,"Rework #1"),IF(AND(COUNTIF(O21,"*X*"),COUNTIF('[1]ARDT Cutter Entry'!O9,"*X*")),IF(OR(COUNTIF('[1]Eng. Cutter Entry'!O9,"*O*"),COUNTIF('[1]Eng. Cutter Entry'!O9,"*R*"),COUNTIF('[1]Eng. Cutter Entry'!O9,"*F*"),COUNTIF('[1]Eng. Cutter Entry'!O9,"*S*")),O21,""),""),"")</f>
        <v/>
      </c>
      <c r="P66" s="233" t="str">
        <f>IF(COUNTIF($M$12,"Rework #1"),IF(AND(COUNTIF(P21,"*X*"),COUNTIF('[1]ARDT Cutter Entry'!P9,"*X*")),IF(OR(COUNTIF('[1]Eng. Cutter Entry'!P9,"*O*"),COUNTIF('[1]Eng. Cutter Entry'!P9,"*R*"),COUNTIF('[1]Eng. Cutter Entry'!P9,"*F*"),COUNTIF('[1]Eng. Cutter Entry'!P9,"*S*")),P21,""),""),"")</f>
        <v/>
      </c>
      <c r="Q66" s="233" t="str">
        <f>IF(COUNTIF($M$12,"Rework #1"),IF(AND(COUNTIF(Q21,"*X*"),COUNTIF('[1]ARDT Cutter Entry'!Q9,"*X*")),IF(OR(COUNTIF('[1]Eng. Cutter Entry'!Q9,"*O*"),COUNTIF('[1]Eng. Cutter Entry'!Q9,"*R*"),COUNTIF('[1]Eng. Cutter Entry'!Q9,"*F*"),COUNTIF('[1]Eng. Cutter Entry'!Q9,"*S*")),Q21,""),""),"")</f>
        <v/>
      </c>
      <c r="R66" s="233" t="str">
        <f>IF(COUNTIF($M$12,"Rework #1"),IF(AND(COUNTIF(R21,"*X*"),COUNTIF('[1]ARDT Cutter Entry'!R9,"*X*")),IF(OR(COUNTIF('[1]Eng. Cutter Entry'!R9,"*O*"),COUNTIF('[1]Eng. Cutter Entry'!R9,"*R*"),COUNTIF('[1]Eng. Cutter Entry'!R9,"*F*"),COUNTIF('[1]Eng. Cutter Entry'!R9,"*S*")),R21,""),""),"")</f>
        <v/>
      </c>
      <c r="S66" s="233" t="str">
        <f>IF(COUNTIF($M$12,"Rework #1"),IF(AND(COUNTIF(S21,"*X*"),COUNTIF('[1]ARDT Cutter Entry'!S9,"*X*")),IF(OR(COUNTIF('[1]Eng. Cutter Entry'!S9,"*O*"),COUNTIF('[1]Eng. Cutter Entry'!S9,"*R*"),COUNTIF('[1]Eng. Cutter Entry'!S9,"*F*"),COUNTIF('[1]Eng. Cutter Entry'!S9,"*S*")),S21,""),""),"")</f>
        <v/>
      </c>
      <c r="T66" s="233" t="str">
        <f>IF(COUNTIF($M$12,"Rework #1"),IF(AND(COUNTIF(T21,"*X*"),COUNTIF('[1]ARDT Cutter Entry'!T9,"*X*")),IF(OR(COUNTIF('[1]Eng. Cutter Entry'!T9,"*O*"),COUNTIF('[1]Eng. Cutter Entry'!T9,"*R*"),COUNTIF('[1]Eng. Cutter Entry'!T9,"*F*"),COUNTIF('[1]Eng. Cutter Entry'!T9,"*S*")),T21,""),""),"")</f>
        <v/>
      </c>
      <c r="U66" s="233" t="str">
        <f>IF(COUNTIF($M$12,"Rework #1"),IF(AND(COUNTIF(U21,"*X*"),COUNTIF('[1]ARDT Cutter Entry'!U9,"*X*")),IF(OR(COUNTIF('[1]Eng. Cutter Entry'!U9,"*O*"),COUNTIF('[1]Eng. Cutter Entry'!U9,"*R*"),COUNTIF('[1]Eng. Cutter Entry'!U9,"*F*"),COUNTIF('[1]Eng. Cutter Entry'!U9,"*S*")),U21,""),""),"")</f>
        <v/>
      </c>
      <c r="V66" s="233" t="str">
        <f>IF(COUNTIF($M$12,"Rework #1"),IF(AND(COUNTIF(V21,"*X*"),COUNTIF('[1]ARDT Cutter Entry'!V9,"*X*")),IF(OR(COUNTIF('[1]Eng. Cutter Entry'!V9,"*O*"),COUNTIF('[1]Eng. Cutter Entry'!V9,"*R*"),COUNTIF('[1]Eng. Cutter Entry'!V9,"*F*"),COUNTIF('[1]Eng. Cutter Entry'!V9,"*S*")),V21,""),""),"")</f>
        <v/>
      </c>
      <c r="W66" s="233" t="str">
        <f>IF(COUNTIF($M$12,"Rework #1"),IF(AND(COUNTIF(W21,"*X*"),COUNTIF('[1]ARDT Cutter Entry'!W9,"*X*")),IF(OR(COUNTIF('[1]Eng. Cutter Entry'!W9,"*O*"),COUNTIF('[1]Eng. Cutter Entry'!W9,"*R*"),COUNTIF('[1]Eng. Cutter Entry'!W9,"*F*"),COUNTIF('[1]Eng. Cutter Entry'!W9,"*S*")),W21,""),""),"")</f>
        <v/>
      </c>
      <c r="X66" s="233" t="str">
        <f>IF(COUNTIF($M$12,"Rework #1"),IF(AND(COUNTIF(X21,"*X*"),COUNTIF('[1]ARDT Cutter Entry'!X9,"*X*")),IF(OR(COUNTIF('[1]Eng. Cutter Entry'!X9,"*O*"),COUNTIF('[1]Eng. Cutter Entry'!X9,"*R*"),COUNTIF('[1]Eng. Cutter Entry'!X9,"*F*"),COUNTIF('[1]Eng. Cutter Entry'!X9,"*S*")),X21,""),""),"")</f>
        <v/>
      </c>
    </row>
    <row r="67" spans="1:24" ht="15.75" hidden="1" customHeight="1" x14ac:dyDescent="0.35">
      <c r="A67" s="2257"/>
      <c r="B67" s="449">
        <v>7</v>
      </c>
      <c r="C67" s="233" t="str">
        <f>IF(COUNTIF($M$12,"Rework #1"),IF(AND(COUNTIF(C22,"*X*"),COUNTIF('[1]ARDT Cutter Entry'!C10,"*X*")),IF(OR(COUNTIF('[1]Eng. Cutter Entry'!C10,"*O*"),COUNTIF('[1]Eng. Cutter Entry'!C10,"*R*"),COUNTIF('[1]Eng. Cutter Entry'!C10,"*F*"),COUNTIF('[1]Eng. Cutter Entry'!C10,"*S*")),C22,""),""),"")</f>
        <v/>
      </c>
      <c r="D67" s="233" t="str">
        <f>IF(COUNTIF($M$12,"Rework #1"),IF(AND(COUNTIF(D22,"*X*"),COUNTIF('[1]ARDT Cutter Entry'!D10,"*X*")),IF(OR(COUNTIF('[1]Eng. Cutter Entry'!D10,"*O*"),COUNTIF('[1]Eng. Cutter Entry'!D10,"*R*"),COUNTIF('[1]Eng. Cutter Entry'!D10,"*F*"),COUNTIF('[1]Eng. Cutter Entry'!D10,"*S*")),D22,""),""),"")</f>
        <v/>
      </c>
      <c r="E67" s="233" t="str">
        <f>IF(COUNTIF($M$12,"Rework #1"),IF(AND(COUNTIF(E22,"*X*"),COUNTIF('[1]ARDT Cutter Entry'!E10,"*X*")),IF(OR(COUNTIF('[1]Eng. Cutter Entry'!E10,"*O*"),COUNTIF('[1]Eng. Cutter Entry'!E10,"*R*"),COUNTIF('[1]Eng. Cutter Entry'!E10,"*F*"),COUNTIF('[1]Eng. Cutter Entry'!E10,"*S*")),E22,""),""),"")</f>
        <v/>
      </c>
      <c r="F67" s="233" t="str">
        <f>IF(COUNTIF($M$12,"Rework #1"),IF(AND(COUNTIF(F22,"*X*"),COUNTIF('[1]ARDT Cutter Entry'!F10,"*X*")),IF(OR(COUNTIF('[1]Eng. Cutter Entry'!F10,"*O*"),COUNTIF('[1]Eng. Cutter Entry'!F10,"*R*"),COUNTIF('[1]Eng. Cutter Entry'!F10,"*F*"),COUNTIF('[1]Eng. Cutter Entry'!F10,"*S*")),F22,""),""),"")</f>
        <v/>
      </c>
      <c r="G67" s="233" t="str">
        <f>IF(COUNTIF($M$12,"Rework #1"),IF(AND(COUNTIF(G22,"*X*"),COUNTIF('[1]ARDT Cutter Entry'!G10,"*X*")),IF(OR(COUNTIF('[1]Eng. Cutter Entry'!G10,"*O*"),COUNTIF('[1]Eng. Cutter Entry'!G10,"*R*"),COUNTIF('[1]Eng. Cutter Entry'!G10,"*F*"),COUNTIF('[1]Eng. Cutter Entry'!G10,"*S*")),G22,""),""),"")</f>
        <v/>
      </c>
      <c r="H67" s="233" t="str">
        <f>IF(COUNTIF($M$12,"Rework #1"),IF(AND(COUNTIF(H22,"*X*"),COUNTIF('[1]ARDT Cutter Entry'!H10,"*X*")),IF(OR(COUNTIF('[1]Eng. Cutter Entry'!H10,"*O*"),COUNTIF('[1]Eng. Cutter Entry'!H10,"*R*"),COUNTIF('[1]Eng. Cutter Entry'!H10,"*F*"),COUNTIF('[1]Eng. Cutter Entry'!H10,"*S*")),H22,""),""),"")</f>
        <v/>
      </c>
      <c r="I67" s="233" t="str">
        <f>IF(COUNTIF($M$12,"Rework #1"),IF(AND(COUNTIF(I22,"*X*"),COUNTIF('[1]ARDT Cutter Entry'!I10,"*X*")),IF(OR(COUNTIF('[1]Eng. Cutter Entry'!I10,"*O*"),COUNTIF('[1]Eng. Cutter Entry'!I10,"*R*"),COUNTIF('[1]Eng. Cutter Entry'!I10,"*F*"),COUNTIF('[1]Eng. Cutter Entry'!I10,"*S*")),I22,""),""),"")</f>
        <v/>
      </c>
      <c r="J67" s="233" t="str">
        <f>IF(COUNTIF($M$12,"Rework #1"),IF(AND(COUNTIF(J22,"*X*"),COUNTIF('[1]ARDT Cutter Entry'!J10,"*X*")),IF(OR(COUNTIF('[1]Eng. Cutter Entry'!J10,"*O*"),COUNTIF('[1]Eng. Cutter Entry'!J10,"*R*"),COUNTIF('[1]Eng. Cutter Entry'!J10,"*F*"),COUNTIF('[1]Eng. Cutter Entry'!J10,"*S*")),J22,""),""),"")</f>
        <v/>
      </c>
      <c r="K67" s="233" t="str">
        <f>IF(COUNTIF($M$12,"Rework #1"),IF(AND(COUNTIF(K22,"*X*"),COUNTIF('[1]ARDT Cutter Entry'!K10,"*X*")),IF(OR(COUNTIF('[1]Eng. Cutter Entry'!K10,"*O*"),COUNTIF('[1]Eng. Cutter Entry'!K10,"*R*"),COUNTIF('[1]Eng. Cutter Entry'!K10,"*F*"),COUNTIF('[1]Eng. Cutter Entry'!K10,"*S*")),K22,""),""),"")</f>
        <v/>
      </c>
      <c r="L67" s="233" t="str">
        <f>IF(COUNTIF($M$12,"Rework #1"),IF(AND(COUNTIF(L22,"*X*"),COUNTIF('[1]ARDT Cutter Entry'!L10,"*X*")),IF(OR(COUNTIF('[1]Eng. Cutter Entry'!L10,"*O*"),COUNTIF('[1]Eng. Cutter Entry'!L10,"*R*"),COUNTIF('[1]Eng. Cutter Entry'!L10,"*F*"),COUNTIF('[1]Eng. Cutter Entry'!L10,"*S*")),L22,""),""),"")</f>
        <v/>
      </c>
      <c r="M67" s="233" t="str">
        <f>IF(COUNTIF($M$12,"Rework #1"),IF(AND(COUNTIF(M22,"*X*"),COUNTIF('[1]ARDT Cutter Entry'!M10,"*X*")),IF(OR(COUNTIF('[1]Eng. Cutter Entry'!M10,"*O*"),COUNTIF('[1]Eng. Cutter Entry'!M10,"*R*"),COUNTIF('[1]Eng. Cutter Entry'!M10,"*F*"),COUNTIF('[1]Eng. Cutter Entry'!M10,"*S*")),M22,""),""),"")</f>
        <v/>
      </c>
      <c r="N67" s="233" t="str">
        <f>IF(COUNTIF($M$12,"Rework #1"),IF(AND(COUNTIF(N22,"*X*"),COUNTIF('[1]ARDT Cutter Entry'!N10,"*X*")),IF(OR(COUNTIF('[1]Eng. Cutter Entry'!N10,"*O*"),COUNTIF('[1]Eng. Cutter Entry'!N10,"*R*"),COUNTIF('[1]Eng. Cutter Entry'!N10,"*F*"),COUNTIF('[1]Eng. Cutter Entry'!N10,"*S*")),N22,""),""),"")</f>
        <v/>
      </c>
      <c r="O67" s="233" t="str">
        <f>IF(COUNTIF($M$12,"Rework #1"),IF(AND(COUNTIF(O22,"*X*"),COUNTIF('[1]ARDT Cutter Entry'!O10,"*X*")),IF(OR(COUNTIF('[1]Eng. Cutter Entry'!O10,"*O*"),COUNTIF('[1]Eng. Cutter Entry'!O10,"*R*"),COUNTIF('[1]Eng. Cutter Entry'!O10,"*F*"),COUNTIF('[1]Eng. Cutter Entry'!O10,"*S*")),O22,""),""),"")</f>
        <v/>
      </c>
      <c r="P67" s="233" t="str">
        <f>IF(COUNTIF($M$12,"Rework #1"),IF(AND(COUNTIF(P22,"*X*"),COUNTIF('[1]ARDT Cutter Entry'!P10,"*X*")),IF(OR(COUNTIF('[1]Eng. Cutter Entry'!P10,"*O*"),COUNTIF('[1]Eng. Cutter Entry'!P10,"*R*"),COUNTIF('[1]Eng. Cutter Entry'!P10,"*F*"),COUNTIF('[1]Eng. Cutter Entry'!P10,"*S*")),P22,""),""),"")</f>
        <v/>
      </c>
      <c r="Q67" s="233" t="str">
        <f>IF(COUNTIF($M$12,"Rework #1"),IF(AND(COUNTIF(Q22,"*X*"),COUNTIF('[1]ARDT Cutter Entry'!Q10,"*X*")),IF(OR(COUNTIF('[1]Eng. Cutter Entry'!Q10,"*O*"),COUNTIF('[1]Eng. Cutter Entry'!Q10,"*R*"),COUNTIF('[1]Eng. Cutter Entry'!Q10,"*F*"),COUNTIF('[1]Eng. Cutter Entry'!Q10,"*S*")),Q22,""),""),"")</f>
        <v/>
      </c>
      <c r="R67" s="233" t="str">
        <f>IF(COUNTIF($M$12,"Rework #1"),IF(AND(COUNTIF(R22,"*X*"),COUNTIF('[1]ARDT Cutter Entry'!R10,"*X*")),IF(OR(COUNTIF('[1]Eng. Cutter Entry'!R10,"*O*"),COUNTIF('[1]Eng. Cutter Entry'!R10,"*R*"),COUNTIF('[1]Eng. Cutter Entry'!R10,"*F*"),COUNTIF('[1]Eng. Cutter Entry'!R10,"*S*")),R22,""),""),"")</f>
        <v/>
      </c>
      <c r="S67" s="233" t="str">
        <f>IF(COUNTIF($M$12,"Rework #1"),IF(AND(COUNTIF(S22,"*X*"),COUNTIF('[1]ARDT Cutter Entry'!S10,"*X*")),IF(OR(COUNTIF('[1]Eng. Cutter Entry'!S10,"*O*"),COUNTIF('[1]Eng. Cutter Entry'!S10,"*R*"),COUNTIF('[1]Eng. Cutter Entry'!S10,"*F*"),COUNTIF('[1]Eng. Cutter Entry'!S10,"*S*")),S22,""),""),"")</f>
        <v/>
      </c>
      <c r="T67" s="233" t="str">
        <f>IF(COUNTIF($M$12,"Rework #1"),IF(AND(COUNTIF(T22,"*X*"),COUNTIF('[1]ARDT Cutter Entry'!T10,"*X*")),IF(OR(COUNTIF('[1]Eng. Cutter Entry'!T10,"*O*"),COUNTIF('[1]Eng. Cutter Entry'!T10,"*R*"),COUNTIF('[1]Eng. Cutter Entry'!T10,"*F*"),COUNTIF('[1]Eng. Cutter Entry'!T10,"*S*")),T22,""),""),"")</f>
        <v/>
      </c>
      <c r="U67" s="233" t="str">
        <f>IF(COUNTIF($M$12,"Rework #1"),IF(AND(COUNTIF(U22,"*X*"),COUNTIF('[1]ARDT Cutter Entry'!U10,"*X*")),IF(OR(COUNTIF('[1]Eng. Cutter Entry'!U10,"*O*"),COUNTIF('[1]Eng. Cutter Entry'!U10,"*R*"),COUNTIF('[1]Eng. Cutter Entry'!U10,"*F*"),COUNTIF('[1]Eng. Cutter Entry'!U10,"*S*")),U22,""),""),"")</f>
        <v/>
      </c>
      <c r="V67" s="233" t="str">
        <f>IF(COUNTIF($M$12,"Rework #1"),IF(AND(COUNTIF(V22,"*X*"),COUNTIF('[1]ARDT Cutter Entry'!V10,"*X*")),IF(OR(COUNTIF('[1]Eng. Cutter Entry'!V10,"*O*"),COUNTIF('[1]Eng. Cutter Entry'!V10,"*R*"),COUNTIF('[1]Eng. Cutter Entry'!V10,"*F*"),COUNTIF('[1]Eng. Cutter Entry'!V10,"*S*")),V22,""),""),"")</f>
        <v/>
      </c>
      <c r="W67" s="233" t="str">
        <f>IF(COUNTIF($M$12,"Rework #1"),IF(AND(COUNTIF(W22,"*X*"),COUNTIF('[1]ARDT Cutter Entry'!W10,"*X*")),IF(OR(COUNTIF('[1]Eng. Cutter Entry'!W10,"*O*"),COUNTIF('[1]Eng. Cutter Entry'!W10,"*R*"),COUNTIF('[1]Eng. Cutter Entry'!W10,"*F*"),COUNTIF('[1]Eng. Cutter Entry'!W10,"*S*")),W22,""),""),"")</f>
        <v/>
      </c>
      <c r="X67" s="233" t="str">
        <f>IF(COUNTIF($M$12,"Rework #1"),IF(AND(COUNTIF(X22,"*X*"),COUNTIF('[1]ARDT Cutter Entry'!X10,"*X*")),IF(OR(COUNTIF('[1]Eng. Cutter Entry'!X10,"*O*"),COUNTIF('[1]Eng. Cutter Entry'!X10,"*R*"),COUNTIF('[1]Eng. Cutter Entry'!X10,"*F*"),COUNTIF('[1]Eng. Cutter Entry'!X10,"*S*")),X22,""),""),"")</f>
        <v/>
      </c>
    </row>
    <row r="68" spans="1:24" ht="15.75" hidden="1" customHeight="1" x14ac:dyDescent="0.35">
      <c r="A68" s="2257"/>
      <c r="B68" s="449">
        <v>8</v>
      </c>
      <c r="C68" s="233" t="str">
        <f>IF(COUNTIF($M$12,"Rework #1"),IF(AND(COUNTIF(C23,"*X*"),COUNTIF('[1]ARDT Cutter Entry'!C11,"*X*")),IF(OR(COUNTIF('[1]Eng. Cutter Entry'!C11,"*O*"),COUNTIF('[1]Eng. Cutter Entry'!C11,"*R*"),COUNTIF('[1]Eng. Cutter Entry'!C11,"*F*"),COUNTIF('[1]Eng. Cutter Entry'!C11,"*S*")),C23,""),""),"")</f>
        <v/>
      </c>
      <c r="D68" s="233" t="str">
        <f>IF(COUNTIF($M$12,"Rework #1"),IF(AND(COUNTIF(D23,"*X*"),COUNTIF('[1]ARDT Cutter Entry'!D11,"*X*")),IF(OR(COUNTIF('[1]Eng. Cutter Entry'!D11,"*O*"),COUNTIF('[1]Eng. Cutter Entry'!D11,"*R*"),COUNTIF('[1]Eng. Cutter Entry'!D11,"*F*"),COUNTIF('[1]Eng. Cutter Entry'!D11,"*S*")),D23,""),""),"")</f>
        <v/>
      </c>
      <c r="E68" s="233" t="str">
        <f>IF(COUNTIF($M$12,"Rework #1"),IF(AND(COUNTIF(E23,"*X*"),COUNTIF('[1]ARDT Cutter Entry'!E11,"*X*")),IF(OR(COUNTIF('[1]Eng. Cutter Entry'!E11,"*O*"),COUNTIF('[1]Eng. Cutter Entry'!E11,"*R*"),COUNTIF('[1]Eng. Cutter Entry'!E11,"*F*"),COUNTIF('[1]Eng. Cutter Entry'!E11,"*S*")),E23,""),""),"")</f>
        <v/>
      </c>
      <c r="F68" s="233" t="str">
        <f>IF(COUNTIF($M$12,"Rework #1"),IF(AND(COUNTIF(F23,"*X*"),COUNTIF('[1]ARDT Cutter Entry'!F11,"*X*")),IF(OR(COUNTIF('[1]Eng. Cutter Entry'!F11,"*O*"),COUNTIF('[1]Eng. Cutter Entry'!F11,"*R*"),COUNTIF('[1]Eng. Cutter Entry'!F11,"*F*"),COUNTIF('[1]Eng. Cutter Entry'!F11,"*S*")),F23,""),""),"")</f>
        <v/>
      </c>
      <c r="G68" s="233" t="str">
        <f>IF(COUNTIF($M$12,"Rework #1"),IF(AND(COUNTIF(G23,"*X*"),COUNTIF('[1]ARDT Cutter Entry'!G11,"*X*")),IF(OR(COUNTIF('[1]Eng. Cutter Entry'!G11,"*O*"),COUNTIF('[1]Eng. Cutter Entry'!G11,"*R*"),COUNTIF('[1]Eng. Cutter Entry'!G11,"*F*"),COUNTIF('[1]Eng. Cutter Entry'!G11,"*S*")),G23,""),""),"")</f>
        <v/>
      </c>
      <c r="H68" s="233" t="str">
        <f>IF(COUNTIF($M$12,"Rework #1"),IF(AND(COUNTIF(H23,"*X*"),COUNTIF('[1]ARDT Cutter Entry'!H11,"*X*")),IF(OR(COUNTIF('[1]Eng. Cutter Entry'!H11,"*O*"),COUNTIF('[1]Eng. Cutter Entry'!H11,"*R*"),COUNTIF('[1]Eng. Cutter Entry'!H11,"*F*"),COUNTIF('[1]Eng. Cutter Entry'!H11,"*S*")),H23,""),""),"")</f>
        <v/>
      </c>
      <c r="I68" s="233" t="str">
        <f>IF(COUNTIF($M$12,"Rework #1"),IF(AND(COUNTIF(I23,"*X*"),COUNTIF('[1]ARDT Cutter Entry'!I11,"*X*")),IF(OR(COUNTIF('[1]Eng. Cutter Entry'!I11,"*O*"),COUNTIF('[1]Eng. Cutter Entry'!I11,"*R*"),COUNTIF('[1]Eng. Cutter Entry'!I11,"*F*"),COUNTIF('[1]Eng. Cutter Entry'!I11,"*S*")),I23,""),""),"")</f>
        <v/>
      </c>
      <c r="J68" s="233" t="str">
        <f>IF(COUNTIF($M$12,"Rework #1"),IF(AND(COUNTIF(J23,"*X*"),COUNTIF('[1]ARDT Cutter Entry'!J11,"*X*")),IF(OR(COUNTIF('[1]Eng. Cutter Entry'!J11,"*O*"),COUNTIF('[1]Eng. Cutter Entry'!J11,"*R*"),COUNTIF('[1]Eng. Cutter Entry'!J11,"*F*"),COUNTIF('[1]Eng. Cutter Entry'!J11,"*S*")),J23,""),""),"")</f>
        <v/>
      </c>
      <c r="K68" s="233" t="str">
        <f>IF(COUNTIF($M$12,"Rework #1"),IF(AND(COUNTIF(K23,"*X*"),COUNTIF('[1]ARDT Cutter Entry'!K11,"*X*")),IF(OR(COUNTIF('[1]Eng. Cutter Entry'!K11,"*O*"),COUNTIF('[1]Eng. Cutter Entry'!K11,"*R*"),COUNTIF('[1]Eng. Cutter Entry'!K11,"*F*"),COUNTIF('[1]Eng. Cutter Entry'!K11,"*S*")),K23,""),""),"")</f>
        <v/>
      </c>
      <c r="L68" s="233" t="str">
        <f>IF(COUNTIF($M$12,"Rework #1"),IF(AND(COUNTIF(L23,"*X*"),COUNTIF('[1]ARDT Cutter Entry'!L11,"*X*")),IF(OR(COUNTIF('[1]Eng. Cutter Entry'!L11,"*O*"),COUNTIF('[1]Eng. Cutter Entry'!L11,"*R*"),COUNTIF('[1]Eng. Cutter Entry'!L11,"*F*"),COUNTIF('[1]Eng. Cutter Entry'!L11,"*S*")),L23,""),""),"")</f>
        <v/>
      </c>
      <c r="M68" s="233" t="str">
        <f>IF(COUNTIF($M$12,"Rework #1"),IF(AND(COUNTIF(M23,"*X*"),COUNTIF('[1]ARDT Cutter Entry'!M11,"*X*")),IF(OR(COUNTIF('[1]Eng. Cutter Entry'!M11,"*O*"),COUNTIF('[1]Eng. Cutter Entry'!M11,"*R*"),COUNTIF('[1]Eng. Cutter Entry'!M11,"*F*"),COUNTIF('[1]Eng. Cutter Entry'!M11,"*S*")),M23,""),""),"")</f>
        <v/>
      </c>
      <c r="N68" s="233" t="str">
        <f>IF(COUNTIF($M$12,"Rework #1"),IF(AND(COUNTIF(N23,"*X*"),COUNTIF('[1]ARDT Cutter Entry'!N11,"*X*")),IF(OR(COUNTIF('[1]Eng. Cutter Entry'!N11,"*O*"),COUNTIF('[1]Eng. Cutter Entry'!N11,"*R*"),COUNTIF('[1]Eng. Cutter Entry'!N11,"*F*"),COUNTIF('[1]Eng. Cutter Entry'!N11,"*S*")),N23,""),""),"")</f>
        <v/>
      </c>
      <c r="O68" s="233" t="str">
        <f>IF(COUNTIF($M$12,"Rework #1"),IF(AND(COUNTIF(O23,"*X*"),COUNTIF('[1]ARDT Cutter Entry'!O11,"*X*")),IF(OR(COUNTIF('[1]Eng. Cutter Entry'!O11,"*O*"),COUNTIF('[1]Eng. Cutter Entry'!O11,"*R*"),COUNTIF('[1]Eng. Cutter Entry'!O11,"*F*"),COUNTIF('[1]Eng. Cutter Entry'!O11,"*S*")),O23,""),""),"")</f>
        <v/>
      </c>
      <c r="P68" s="233" t="str">
        <f>IF(COUNTIF($M$12,"Rework #1"),IF(AND(COUNTIF(P23,"*X*"),COUNTIF('[1]ARDT Cutter Entry'!P11,"*X*")),IF(OR(COUNTIF('[1]Eng. Cutter Entry'!P11,"*O*"),COUNTIF('[1]Eng. Cutter Entry'!P11,"*R*"),COUNTIF('[1]Eng. Cutter Entry'!P11,"*F*"),COUNTIF('[1]Eng. Cutter Entry'!P11,"*S*")),P23,""),""),"")</f>
        <v/>
      </c>
      <c r="Q68" s="233" t="str">
        <f>IF(COUNTIF($M$12,"Rework #1"),IF(AND(COUNTIF(Q23,"*X*"),COUNTIF('[1]ARDT Cutter Entry'!Q11,"*X*")),IF(OR(COUNTIF('[1]Eng. Cutter Entry'!Q11,"*O*"),COUNTIF('[1]Eng. Cutter Entry'!Q11,"*R*"),COUNTIF('[1]Eng. Cutter Entry'!Q11,"*F*"),COUNTIF('[1]Eng. Cutter Entry'!Q11,"*S*")),Q23,""),""),"")</f>
        <v/>
      </c>
      <c r="R68" s="233" t="str">
        <f>IF(COUNTIF($M$12,"Rework #1"),IF(AND(COUNTIF(R23,"*X*"),COUNTIF('[1]ARDT Cutter Entry'!R11,"*X*")),IF(OR(COUNTIF('[1]Eng. Cutter Entry'!R11,"*O*"),COUNTIF('[1]Eng. Cutter Entry'!R11,"*R*"),COUNTIF('[1]Eng. Cutter Entry'!R11,"*F*"),COUNTIF('[1]Eng. Cutter Entry'!R11,"*S*")),R23,""),""),"")</f>
        <v/>
      </c>
      <c r="S68" s="233" t="str">
        <f>IF(COUNTIF($M$12,"Rework #1"),IF(AND(COUNTIF(S23,"*X*"),COUNTIF('[1]ARDT Cutter Entry'!S11,"*X*")),IF(OR(COUNTIF('[1]Eng. Cutter Entry'!S11,"*O*"),COUNTIF('[1]Eng. Cutter Entry'!S11,"*R*"),COUNTIF('[1]Eng. Cutter Entry'!S11,"*F*"),COUNTIF('[1]Eng. Cutter Entry'!S11,"*S*")),S23,""),""),"")</f>
        <v/>
      </c>
      <c r="T68" s="233" t="str">
        <f>IF(COUNTIF($M$12,"Rework #1"),IF(AND(COUNTIF(T23,"*X*"),COUNTIF('[1]ARDT Cutter Entry'!T11,"*X*")),IF(OR(COUNTIF('[1]Eng. Cutter Entry'!T11,"*O*"),COUNTIF('[1]Eng. Cutter Entry'!T11,"*R*"),COUNTIF('[1]Eng. Cutter Entry'!T11,"*F*"),COUNTIF('[1]Eng. Cutter Entry'!T11,"*S*")),T23,""),""),"")</f>
        <v/>
      </c>
      <c r="U68" s="233" t="str">
        <f>IF(COUNTIF($M$12,"Rework #1"),IF(AND(COUNTIF(U23,"*X*"),COUNTIF('[1]ARDT Cutter Entry'!U11,"*X*")),IF(OR(COUNTIF('[1]Eng. Cutter Entry'!U11,"*O*"),COUNTIF('[1]Eng. Cutter Entry'!U11,"*R*"),COUNTIF('[1]Eng. Cutter Entry'!U11,"*F*"),COUNTIF('[1]Eng. Cutter Entry'!U11,"*S*")),U23,""),""),"")</f>
        <v/>
      </c>
      <c r="V68" s="233" t="str">
        <f>IF(COUNTIF($M$12,"Rework #1"),IF(AND(COUNTIF(V23,"*X*"),COUNTIF('[1]ARDT Cutter Entry'!V11,"*X*")),IF(OR(COUNTIF('[1]Eng. Cutter Entry'!V11,"*O*"),COUNTIF('[1]Eng. Cutter Entry'!V11,"*R*"),COUNTIF('[1]Eng. Cutter Entry'!V11,"*F*"),COUNTIF('[1]Eng. Cutter Entry'!V11,"*S*")),V23,""),""),"")</f>
        <v/>
      </c>
      <c r="W68" s="233" t="str">
        <f>IF(COUNTIF($M$12,"Rework #1"),IF(AND(COUNTIF(W23,"*X*"),COUNTIF('[1]ARDT Cutter Entry'!W11,"*X*")),IF(OR(COUNTIF('[1]Eng. Cutter Entry'!W11,"*O*"),COUNTIF('[1]Eng. Cutter Entry'!W11,"*R*"),COUNTIF('[1]Eng. Cutter Entry'!W11,"*F*"),COUNTIF('[1]Eng. Cutter Entry'!W11,"*S*")),W23,""),""),"")</f>
        <v/>
      </c>
      <c r="X68" s="233" t="str">
        <f>IF(COUNTIF($M$12,"Rework #1"),IF(AND(COUNTIF(X23,"*X*"),COUNTIF('[1]ARDT Cutter Entry'!X11,"*X*")),IF(OR(COUNTIF('[1]Eng. Cutter Entry'!X11,"*O*"),COUNTIF('[1]Eng. Cutter Entry'!X11,"*R*"),COUNTIF('[1]Eng. Cutter Entry'!X11,"*F*"),COUNTIF('[1]Eng. Cutter Entry'!X11,"*S*")),X23,""),""),"")</f>
        <v/>
      </c>
    </row>
    <row r="69" spans="1:24" ht="15.75" hidden="1" customHeight="1" x14ac:dyDescent="0.35">
      <c r="A69" s="2257"/>
      <c r="B69" s="449">
        <v>9</v>
      </c>
      <c r="C69" s="233" t="str">
        <f>IF(COUNTIF($M$12,"Rework #1"),IF(AND(COUNTIF(C24,"*X*"),COUNTIF('[1]ARDT Cutter Entry'!C12,"*X*")),IF(OR(COUNTIF('[1]Eng. Cutter Entry'!C12,"*O*"),COUNTIF('[1]Eng. Cutter Entry'!C12,"*R*"),COUNTIF('[1]Eng. Cutter Entry'!C12,"*F*"),COUNTIF('[1]Eng. Cutter Entry'!C12,"*S*")),C24,""),""),"")</f>
        <v/>
      </c>
      <c r="D69" s="233" t="str">
        <f>IF(COUNTIF($M$12,"Rework #1"),IF(AND(COUNTIF(D24,"*X*"),COUNTIF('[1]ARDT Cutter Entry'!D12,"*X*")),IF(OR(COUNTIF('[1]Eng. Cutter Entry'!D12,"*O*"),COUNTIF('[1]Eng. Cutter Entry'!D12,"*R*"),COUNTIF('[1]Eng. Cutter Entry'!D12,"*F*"),COUNTIF('[1]Eng. Cutter Entry'!D12,"*S*")),D24,""),""),"")</f>
        <v/>
      </c>
      <c r="E69" s="233" t="str">
        <f>IF(COUNTIF($M$12,"Rework #1"),IF(AND(COUNTIF(E24,"*X*"),COUNTIF('[1]ARDT Cutter Entry'!E12,"*X*")),IF(OR(COUNTIF('[1]Eng. Cutter Entry'!E12,"*O*"),COUNTIF('[1]Eng. Cutter Entry'!E12,"*R*"),COUNTIF('[1]Eng. Cutter Entry'!E12,"*F*"),COUNTIF('[1]Eng. Cutter Entry'!E12,"*S*")),E24,""),""),"")</f>
        <v/>
      </c>
      <c r="F69" s="233" t="str">
        <f>IF(COUNTIF($M$12,"Rework #1"),IF(AND(COUNTIF(F24,"*X*"),COUNTIF('[1]ARDT Cutter Entry'!F12,"*X*")),IF(OR(COUNTIF('[1]Eng. Cutter Entry'!F12,"*O*"),COUNTIF('[1]Eng. Cutter Entry'!F12,"*R*"),COUNTIF('[1]Eng. Cutter Entry'!F12,"*F*"),COUNTIF('[1]Eng. Cutter Entry'!F12,"*S*")),F24,""),""),"")</f>
        <v/>
      </c>
      <c r="G69" s="233" t="str">
        <f>IF(COUNTIF($M$12,"Rework #1"),IF(AND(COUNTIF(G24,"*X*"),COUNTIF('[1]ARDT Cutter Entry'!G12,"*X*")),IF(OR(COUNTIF('[1]Eng. Cutter Entry'!G12,"*O*"),COUNTIF('[1]Eng. Cutter Entry'!G12,"*R*"),COUNTIF('[1]Eng. Cutter Entry'!G12,"*F*"),COUNTIF('[1]Eng. Cutter Entry'!G12,"*S*")),G24,""),""),"")</f>
        <v/>
      </c>
      <c r="H69" s="233" t="str">
        <f>IF(COUNTIF($M$12,"Rework #1"),IF(AND(COUNTIF(H24,"*X*"),COUNTIF('[1]ARDT Cutter Entry'!H12,"*X*")),IF(OR(COUNTIF('[1]Eng. Cutter Entry'!H12,"*O*"),COUNTIF('[1]Eng. Cutter Entry'!H12,"*R*"),COUNTIF('[1]Eng. Cutter Entry'!H12,"*F*"),COUNTIF('[1]Eng. Cutter Entry'!H12,"*S*")),H24,""),""),"")</f>
        <v/>
      </c>
      <c r="I69" s="233" t="str">
        <f>IF(COUNTIF($M$12,"Rework #1"),IF(AND(COUNTIF(I24,"*X*"),COUNTIF('[1]ARDT Cutter Entry'!I12,"*X*")),IF(OR(COUNTIF('[1]Eng. Cutter Entry'!I12,"*O*"),COUNTIF('[1]Eng. Cutter Entry'!I12,"*R*"),COUNTIF('[1]Eng. Cutter Entry'!I12,"*F*"),COUNTIF('[1]Eng. Cutter Entry'!I12,"*S*")),I24,""),""),"")</f>
        <v/>
      </c>
      <c r="J69" s="233" t="str">
        <f>IF(COUNTIF($M$12,"Rework #1"),IF(AND(COUNTIF(J24,"*X*"),COUNTIF('[1]ARDT Cutter Entry'!J12,"*X*")),IF(OR(COUNTIF('[1]Eng. Cutter Entry'!J12,"*O*"),COUNTIF('[1]Eng. Cutter Entry'!J12,"*R*"),COUNTIF('[1]Eng. Cutter Entry'!J12,"*F*"),COUNTIF('[1]Eng. Cutter Entry'!J12,"*S*")),J24,""),""),"")</f>
        <v/>
      </c>
      <c r="K69" s="233" t="str">
        <f>IF(COUNTIF($M$12,"Rework #1"),IF(AND(COUNTIF(K24,"*X*"),COUNTIF('[1]ARDT Cutter Entry'!K12,"*X*")),IF(OR(COUNTIF('[1]Eng. Cutter Entry'!K12,"*O*"),COUNTIF('[1]Eng. Cutter Entry'!K12,"*R*"),COUNTIF('[1]Eng. Cutter Entry'!K12,"*F*"),COUNTIF('[1]Eng. Cutter Entry'!K12,"*S*")),K24,""),""),"")</f>
        <v/>
      </c>
      <c r="L69" s="233" t="str">
        <f>IF(COUNTIF($M$12,"Rework #1"),IF(AND(COUNTIF(L24,"*X*"),COUNTIF('[1]ARDT Cutter Entry'!L12,"*X*")),IF(OR(COUNTIF('[1]Eng. Cutter Entry'!L12,"*O*"),COUNTIF('[1]Eng. Cutter Entry'!L12,"*R*"),COUNTIF('[1]Eng. Cutter Entry'!L12,"*F*"),COUNTIF('[1]Eng. Cutter Entry'!L12,"*S*")),L24,""),""),"")</f>
        <v/>
      </c>
      <c r="M69" s="233" t="str">
        <f>IF(COUNTIF($M$12,"Rework #1"),IF(AND(COUNTIF(M24,"*X*"),COUNTIF('[1]ARDT Cutter Entry'!M12,"*X*")),IF(OR(COUNTIF('[1]Eng. Cutter Entry'!M12,"*O*"),COUNTIF('[1]Eng. Cutter Entry'!M12,"*R*"),COUNTIF('[1]Eng. Cutter Entry'!M12,"*F*"),COUNTIF('[1]Eng. Cutter Entry'!M12,"*S*")),M24,""),""),"")</f>
        <v/>
      </c>
      <c r="N69" s="233" t="str">
        <f>IF(COUNTIF($M$12,"Rework #1"),IF(AND(COUNTIF(N24,"*X*"),COUNTIF('[1]ARDT Cutter Entry'!N12,"*X*")),IF(OR(COUNTIF('[1]Eng. Cutter Entry'!N12,"*O*"),COUNTIF('[1]Eng. Cutter Entry'!N12,"*R*"),COUNTIF('[1]Eng. Cutter Entry'!N12,"*F*"),COUNTIF('[1]Eng. Cutter Entry'!N12,"*S*")),N24,""),""),"")</f>
        <v/>
      </c>
      <c r="O69" s="233" t="str">
        <f>IF(COUNTIF($M$12,"Rework #1"),IF(AND(COUNTIF(O24,"*X*"),COUNTIF('[1]ARDT Cutter Entry'!O12,"*X*")),IF(OR(COUNTIF('[1]Eng. Cutter Entry'!O12,"*O*"),COUNTIF('[1]Eng. Cutter Entry'!O12,"*R*"),COUNTIF('[1]Eng. Cutter Entry'!O12,"*F*"),COUNTIF('[1]Eng. Cutter Entry'!O12,"*S*")),O24,""),""),"")</f>
        <v/>
      </c>
      <c r="P69" s="233" t="str">
        <f>IF(COUNTIF($M$12,"Rework #1"),IF(AND(COUNTIF(P24,"*X*"),COUNTIF('[1]ARDT Cutter Entry'!P12,"*X*")),IF(OR(COUNTIF('[1]Eng. Cutter Entry'!P12,"*O*"),COUNTIF('[1]Eng. Cutter Entry'!P12,"*R*"),COUNTIF('[1]Eng. Cutter Entry'!P12,"*F*"),COUNTIF('[1]Eng. Cutter Entry'!P12,"*S*")),P24,""),""),"")</f>
        <v/>
      </c>
      <c r="Q69" s="233" t="str">
        <f>IF(COUNTIF($M$12,"Rework #1"),IF(AND(COUNTIF(Q24,"*X*"),COUNTIF('[1]ARDT Cutter Entry'!Q12,"*X*")),IF(OR(COUNTIF('[1]Eng. Cutter Entry'!Q12,"*O*"),COUNTIF('[1]Eng. Cutter Entry'!Q12,"*R*"),COUNTIF('[1]Eng. Cutter Entry'!Q12,"*F*"),COUNTIF('[1]Eng. Cutter Entry'!Q12,"*S*")),Q24,""),""),"")</f>
        <v/>
      </c>
      <c r="R69" s="233" t="str">
        <f>IF(COUNTIF($M$12,"Rework #1"),IF(AND(COUNTIF(R24,"*X*"),COUNTIF('[1]ARDT Cutter Entry'!R12,"*X*")),IF(OR(COUNTIF('[1]Eng. Cutter Entry'!R12,"*O*"),COUNTIF('[1]Eng. Cutter Entry'!R12,"*R*"),COUNTIF('[1]Eng. Cutter Entry'!R12,"*F*"),COUNTIF('[1]Eng. Cutter Entry'!R12,"*S*")),R24,""),""),"")</f>
        <v/>
      </c>
      <c r="S69" s="233" t="str">
        <f>IF(COUNTIF($M$12,"Rework #1"),IF(AND(COUNTIF(S24,"*X*"),COUNTIF('[1]ARDT Cutter Entry'!S12,"*X*")),IF(OR(COUNTIF('[1]Eng. Cutter Entry'!S12,"*O*"),COUNTIF('[1]Eng. Cutter Entry'!S12,"*R*"),COUNTIF('[1]Eng. Cutter Entry'!S12,"*F*"),COUNTIF('[1]Eng. Cutter Entry'!S12,"*S*")),S24,""),""),"")</f>
        <v/>
      </c>
      <c r="T69" s="233" t="str">
        <f>IF(COUNTIF($M$12,"Rework #1"),IF(AND(COUNTIF(T24,"*X*"),COUNTIF('[1]ARDT Cutter Entry'!T12,"*X*")),IF(OR(COUNTIF('[1]Eng. Cutter Entry'!T12,"*O*"),COUNTIF('[1]Eng. Cutter Entry'!T12,"*R*"),COUNTIF('[1]Eng. Cutter Entry'!T12,"*F*"),COUNTIF('[1]Eng. Cutter Entry'!T12,"*S*")),T24,""),""),"")</f>
        <v/>
      </c>
      <c r="U69" s="233" t="str">
        <f>IF(COUNTIF($M$12,"Rework #1"),IF(AND(COUNTIF(U24,"*X*"),COUNTIF('[1]ARDT Cutter Entry'!U12,"*X*")),IF(OR(COUNTIF('[1]Eng. Cutter Entry'!U12,"*O*"),COUNTIF('[1]Eng. Cutter Entry'!U12,"*R*"),COUNTIF('[1]Eng. Cutter Entry'!U12,"*F*"),COUNTIF('[1]Eng. Cutter Entry'!U12,"*S*")),U24,""),""),"")</f>
        <v/>
      </c>
      <c r="V69" s="233" t="str">
        <f>IF(COUNTIF($M$12,"Rework #1"),IF(AND(COUNTIF(V24,"*X*"),COUNTIF('[1]ARDT Cutter Entry'!V12,"*X*")),IF(OR(COUNTIF('[1]Eng. Cutter Entry'!V12,"*O*"),COUNTIF('[1]Eng. Cutter Entry'!V12,"*R*"),COUNTIF('[1]Eng. Cutter Entry'!V12,"*F*"),COUNTIF('[1]Eng. Cutter Entry'!V12,"*S*")),V24,""),""),"")</f>
        <v/>
      </c>
      <c r="W69" s="233" t="str">
        <f>IF(COUNTIF($M$12,"Rework #1"),IF(AND(COUNTIF(W24,"*X*"),COUNTIF('[1]ARDT Cutter Entry'!W12,"*X*")),IF(OR(COUNTIF('[1]Eng. Cutter Entry'!W12,"*O*"),COUNTIF('[1]Eng. Cutter Entry'!W12,"*R*"),COUNTIF('[1]Eng. Cutter Entry'!W12,"*F*"),COUNTIF('[1]Eng. Cutter Entry'!W12,"*S*")),W24,""),""),"")</f>
        <v/>
      </c>
      <c r="X69" s="233" t="str">
        <f>IF(COUNTIF($M$12,"Rework #1"),IF(AND(COUNTIF(X24,"*X*"),COUNTIF('[1]ARDT Cutter Entry'!X12,"*X*")),IF(OR(COUNTIF('[1]Eng. Cutter Entry'!X12,"*O*"),COUNTIF('[1]Eng. Cutter Entry'!X12,"*R*"),COUNTIF('[1]Eng. Cutter Entry'!X12,"*F*"),COUNTIF('[1]Eng. Cutter Entry'!X12,"*S*")),X24,""),""),"")</f>
        <v/>
      </c>
    </row>
    <row r="70" spans="1:24" hidden="1" x14ac:dyDescent="0.35"/>
    <row r="71" spans="1:24" hidden="1" x14ac:dyDescent="0.35"/>
    <row r="72" spans="1:24" hidden="1" x14ac:dyDescent="0.35">
      <c r="C72" s="83" t="s">
        <v>136</v>
      </c>
      <c r="D72" s="83" t="s">
        <v>137</v>
      </c>
      <c r="E72" s="83" t="s">
        <v>138</v>
      </c>
      <c r="F72" s="83" t="s">
        <v>139</v>
      </c>
      <c r="G72" s="83" t="s">
        <v>140</v>
      </c>
      <c r="H72" s="83" t="s">
        <v>299</v>
      </c>
      <c r="I72" s="83" t="s">
        <v>300</v>
      </c>
      <c r="J72" s="83" t="s">
        <v>301</v>
      </c>
      <c r="K72" s="83" t="s">
        <v>302</v>
      </c>
      <c r="L72" s="83" t="s">
        <v>303</v>
      </c>
      <c r="M72" s="93"/>
      <c r="N72" s="83" t="s">
        <v>21</v>
      </c>
    </row>
    <row r="73" spans="1:24" hidden="1" x14ac:dyDescent="0.35">
      <c r="C73" s="93">
        <f>IF(COUNTIF($C$61:$X$69,"*X*1*"),COUNTIF($C$61:$X$69,"*X*1*"),0)</f>
        <v>0</v>
      </c>
      <c r="D73" s="93">
        <f>IF(COUNTIF($C$61:$X$69,"*X*2*"),COUNTIF($C$61:$X$69,"*X*2*"),0)</f>
        <v>0</v>
      </c>
      <c r="E73" s="93">
        <f>IF(COUNTIF($C$61:$X$69,"*X*3*"),COUNTIF($C$61:$X$69,"*X*3*"),0)</f>
        <v>0</v>
      </c>
      <c r="F73" s="93">
        <f>IF(COUNTIF($C$61:$X$69,"*X*4*"),COUNTIF($C$61:$X$69,"*X*4*"),0)</f>
        <v>0</v>
      </c>
      <c r="G73" s="93">
        <f>IF(COUNTIF($C$61:$X$69,"*X*5*"),COUNTIF($C$61:$X$69,"*X*5*"),0)</f>
        <v>0</v>
      </c>
      <c r="H73" s="93">
        <f>IF(COUNTIF($C$61:$X$69,"*X*6*"),COUNTIF($C$61:$X$69,"*X*6*"),0)</f>
        <v>0</v>
      </c>
      <c r="I73" s="93">
        <f>IF(COUNTIF($C$61:$X$69,"*X*7*"),COUNTIF($C$61:$X$69,"*X*7*"),0)</f>
        <v>0</v>
      </c>
      <c r="J73" s="93">
        <f>IF(COUNTIF($C$61:$X$69,"*X*8*"),COUNTIF($C$61:$X$69,"*X*8*"),0)</f>
        <v>0</v>
      </c>
      <c r="K73" s="93">
        <f>IF(COUNTIF($C$61:$X$69,"*X*9*"),COUNTIF($C$61:$X$69,"*X*9*"),0)</f>
        <v>0</v>
      </c>
      <c r="L73" s="93">
        <f>IF(COUNTIF($C$61:$X$69,"*X*10*"),COUNTIF($C$61:$X$69,"*X*10*"),0)</f>
        <v>0</v>
      </c>
      <c r="M73" s="93"/>
      <c r="N73" s="93">
        <f>SUM(A73:L73)</f>
        <v>0</v>
      </c>
    </row>
    <row r="74" spans="1:24" hidden="1" x14ac:dyDescent="0.35"/>
  </sheetData>
  <sheetProtection formatCells="0" formatColumns="0" formatRows="0" insertColumns="0" insertRows="0" insertHyperlinks="0" deleteColumns="0" deleteRows="0" sort="0" autoFilter="0" pivotTables="0"/>
  <mergeCells count="152">
    <mergeCell ref="A1:B2"/>
    <mergeCell ref="C1:P2"/>
    <mergeCell ref="Q1:X1"/>
    <mergeCell ref="Q2:X2"/>
    <mergeCell ref="A3:P4"/>
    <mergeCell ref="Q3:X3"/>
    <mergeCell ref="Q4:X4"/>
    <mergeCell ref="Q7:T9"/>
    <mergeCell ref="A8:E8"/>
    <mergeCell ref="F8:I8"/>
    <mergeCell ref="J8:L8"/>
    <mergeCell ref="M8:P8"/>
    <mergeCell ref="U8:X8"/>
    <mergeCell ref="A6:E6"/>
    <mergeCell ref="F6:I6"/>
    <mergeCell ref="J6:L6"/>
    <mergeCell ref="M6:P6"/>
    <mergeCell ref="Q6:T6"/>
    <mergeCell ref="U6:X6"/>
    <mergeCell ref="A12:E12"/>
    <mergeCell ref="F12:I12"/>
    <mergeCell ref="J12:L12"/>
    <mergeCell ref="M12:P12"/>
    <mergeCell ref="A14:X14"/>
    <mergeCell ref="A16:A24"/>
    <mergeCell ref="A10:E10"/>
    <mergeCell ref="F10:I10"/>
    <mergeCell ref="J10:L10"/>
    <mergeCell ref="M10:P10"/>
    <mergeCell ref="Q10:T10"/>
    <mergeCell ref="U10:X10"/>
    <mergeCell ref="A27:C27"/>
    <mergeCell ref="D27:F27"/>
    <mergeCell ref="G27:I27"/>
    <mergeCell ref="J27:L27"/>
    <mergeCell ref="M27:O27"/>
    <mergeCell ref="P27:R27"/>
    <mergeCell ref="A26:C26"/>
    <mergeCell ref="D26:F26"/>
    <mergeCell ref="G26:I26"/>
    <mergeCell ref="J26:L26"/>
    <mergeCell ref="M26:O26"/>
    <mergeCell ref="P26:R26"/>
    <mergeCell ref="D29:X30"/>
    <mergeCell ref="A31:X31"/>
    <mergeCell ref="A32:B33"/>
    <mergeCell ref="C32:D33"/>
    <mergeCell ref="E32:G33"/>
    <mergeCell ref="H32:J33"/>
    <mergeCell ref="K32:N33"/>
    <mergeCell ref="O32:X33"/>
    <mergeCell ref="A29:C29"/>
    <mergeCell ref="A30:C30"/>
    <mergeCell ref="A35:B35"/>
    <mergeCell ref="C35:D35"/>
    <mergeCell ref="E35:G35"/>
    <mergeCell ref="H35:J35"/>
    <mergeCell ref="K35:N35"/>
    <mergeCell ref="O35:X35"/>
    <mergeCell ref="A34:B34"/>
    <mergeCell ref="C34:D34"/>
    <mergeCell ref="E34:G34"/>
    <mergeCell ref="H34:J34"/>
    <mergeCell ref="K34:N34"/>
    <mergeCell ref="O34:X34"/>
    <mergeCell ref="A37:B37"/>
    <mergeCell ref="C37:D37"/>
    <mergeCell ref="E37:G37"/>
    <mergeCell ref="H37:J37"/>
    <mergeCell ref="K37:N37"/>
    <mergeCell ref="O37:X37"/>
    <mergeCell ref="A36:B36"/>
    <mergeCell ref="C36:D36"/>
    <mergeCell ref="E36:G36"/>
    <mergeCell ref="H36:J36"/>
    <mergeCell ref="K36:N36"/>
    <mergeCell ref="O36:X36"/>
    <mergeCell ref="A39:B39"/>
    <mergeCell ref="C39:D39"/>
    <mergeCell ref="E39:G39"/>
    <mergeCell ref="H39:J39"/>
    <mergeCell ref="K39:N39"/>
    <mergeCell ref="O39:X39"/>
    <mergeCell ref="A38:B38"/>
    <mergeCell ref="C38:D38"/>
    <mergeCell ref="E38:G38"/>
    <mergeCell ref="H38:J38"/>
    <mergeCell ref="K38:N38"/>
    <mergeCell ref="O38:X38"/>
    <mergeCell ref="A41:B41"/>
    <mergeCell ref="C41:D41"/>
    <mergeCell ref="E41:G41"/>
    <mergeCell ref="H41:J41"/>
    <mergeCell ref="K41:N41"/>
    <mergeCell ref="O41:X41"/>
    <mergeCell ref="A40:B40"/>
    <mergeCell ref="C40:D40"/>
    <mergeCell ref="E40:G40"/>
    <mergeCell ref="H40:J40"/>
    <mergeCell ref="K40:N40"/>
    <mergeCell ref="O40:X40"/>
    <mergeCell ref="A43:B43"/>
    <mergeCell ref="C43:D43"/>
    <mergeCell ref="E43:G43"/>
    <mergeCell ref="H43:J43"/>
    <mergeCell ref="K43:N43"/>
    <mergeCell ref="O43:X43"/>
    <mergeCell ref="A42:B42"/>
    <mergeCell ref="C42:D42"/>
    <mergeCell ref="E42:G42"/>
    <mergeCell ref="H42:J42"/>
    <mergeCell ref="K42:N42"/>
    <mergeCell ref="O42:X42"/>
    <mergeCell ref="A45:X45"/>
    <mergeCell ref="A46:G46"/>
    <mergeCell ref="H46:M46"/>
    <mergeCell ref="N46:S46"/>
    <mergeCell ref="T46:X46"/>
    <mergeCell ref="A47:G47"/>
    <mergeCell ref="H47:M47"/>
    <mergeCell ref="N47:S47"/>
    <mergeCell ref="T47:X47"/>
    <mergeCell ref="A50:G50"/>
    <mergeCell ref="H50:M50"/>
    <mergeCell ref="N50:S50"/>
    <mergeCell ref="T50:X50"/>
    <mergeCell ref="A51:G51"/>
    <mergeCell ref="H51:M51"/>
    <mergeCell ref="N51:S51"/>
    <mergeCell ref="T51:X51"/>
    <mergeCell ref="A48:G48"/>
    <mergeCell ref="H48:M48"/>
    <mergeCell ref="N48:S48"/>
    <mergeCell ref="T48:X48"/>
    <mergeCell ref="A49:G49"/>
    <mergeCell ref="H49:M49"/>
    <mergeCell ref="N49:S49"/>
    <mergeCell ref="T49:X49"/>
    <mergeCell ref="A61:A69"/>
    <mergeCell ref="V52:X52"/>
    <mergeCell ref="A53:D55"/>
    <mergeCell ref="E53:X54"/>
    <mergeCell ref="E55:K55"/>
    <mergeCell ref="L55:X55"/>
    <mergeCell ref="O57:R57"/>
    <mergeCell ref="S57:X57"/>
    <mergeCell ref="A52:D52"/>
    <mergeCell ref="E52:G52"/>
    <mergeCell ref="H52:M52"/>
    <mergeCell ref="N52:O52"/>
    <mergeCell ref="P52:S52"/>
    <mergeCell ref="T52:U52"/>
  </mergeCells>
  <conditionalFormatting sqref="A34:B43">
    <cfRule type="expression" dxfId="173" priority="6">
      <formula>COUNTIF($A34,"10")</formula>
    </cfRule>
    <cfRule type="expression" dxfId="172" priority="7">
      <formula>COUNTIF($A34,"9")</formula>
    </cfRule>
    <cfRule type="expression" dxfId="171" priority="8">
      <formula>COUNTIF($A34,"8")</formula>
    </cfRule>
    <cfRule type="expression" dxfId="170" priority="9">
      <formula>COUNTIF($A34,"7")</formula>
    </cfRule>
    <cfRule type="expression" dxfId="169" priority="10">
      <formula>COUNTIF($A34,"6")</formula>
    </cfRule>
    <cfRule type="expression" dxfId="168" priority="11">
      <formula>COUNTIF($A34,"5")</formula>
    </cfRule>
    <cfRule type="expression" dxfId="167" priority="12">
      <formula>COUNTIF($A34,"4")</formula>
    </cfRule>
    <cfRule type="expression" dxfId="166" priority="13">
      <formula>COUNTIF($A34,"3")</formula>
    </cfRule>
    <cfRule type="expression" dxfId="165" priority="14">
      <formula>COUNTIF($A34,"2")</formula>
    </cfRule>
    <cfRule type="expression" dxfId="164" priority="15">
      <formula>COUNTIF($A34,"1")</formula>
    </cfRule>
  </conditionalFormatting>
  <conditionalFormatting sqref="A30:C30">
    <cfRule type="expression" dxfId="163" priority="2">
      <formula>$A$30&lt;&gt;""</formula>
    </cfRule>
  </conditionalFormatting>
  <conditionalFormatting sqref="A27:R27">
    <cfRule type="cellIs" dxfId="162" priority="31" operator="equal">
      <formula>0</formula>
    </cfRule>
  </conditionalFormatting>
  <conditionalFormatting sqref="C34:D43">
    <cfRule type="cellIs" dxfId="160" priority="16" operator="equal">
      <formula>0</formula>
    </cfRule>
  </conditionalFormatting>
  <conditionalFormatting sqref="C15:X15">
    <cfRule type="beginsWith" dxfId="159" priority="27" operator="beginsWith" text="0a">
      <formula>LEFT(C15,LEN("0a"))="0a"</formula>
    </cfRule>
    <cfRule type="cellIs" dxfId="158" priority="28" operator="equal">
      <formula>0</formula>
    </cfRule>
  </conditionalFormatting>
  <conditionalFormatting sqref="C16:X24">
    <cfRule type="expression" dxfId="157" priority="1">
      <formula>COUNTIF(C16,"*11*")</formula>
    </cfRule>
    <cfRule type="expression" dxfId="156" priority="19">
      <formula>AND(COUNTIF(C16,"*V*"),AND(NOT(COUNTIF(B16,"*V*")),NOT(COUNTIF(D16,"*V*"))))</formula>
    </cfRule>
    <cfRule type="expression" dxfId="155" priority="20">
      <formula>COUNTIF(C16,"*7*")</formula>
    </cfRule>
    <cfRule type="expression" dxfId="154" priority="21">
      <formula>COUNTIF(C16,"*6*")</formula>
    </cfRule>
    <cfRule type="expression" dxfId="153" priority="22">
      <formula>COUNTIF(C16,"*5*")</formula>
    </cfRule>
    <cfRule type="expression" dxfId="152" priority="23">
      <formula>COUNTIF(C16,"*4*")</formula>
    </cfRule>
    <cfRule type="expression" dxfId="151" priority="24">
      <formula>COUNTIF(C16,"*3*")</formula>
    </cfRule>
    <cfRule type="expression" dxfId="150" priority="25">
      <formula>COUNTIF(C16,"*2*")</formula>
    </cfRule>
    <cfRule type="expression" dxfId="149" priority="26">
      <formula>COUNTIF(C16,"*1*")</formula>
    </cfRule>
  </conditionalFormatting>
  <conditionalFormatting sqref="F12">
    <cfRule type="cellIs" dxfId="148" priority="30" operator="equal">
      <formula>0</formula>
    </cfRule>
  </conditionalFormatting>
  <conditionalFormatting sqref="U10:X10">
    <cfRule type="cellIs" dxfId="147" priority="5" operator="equal">
      <formula>0</formula>
    </cfRule>
  </conditionalFormatting>
  <pageMargins left="0.25" right="0" top="0.2" bottom="0" header="0" footer="0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4E6B3260-C8F0-4BD4-B411-247CDBBF2568}">
            <xm:f>SUM(Data!$BR46:$CV46)=0</xm:f>
            <x14:dxf>
              <font>
                <color theme="0"/>
              </font>
            </x14:dxf>
          </x14:cfRule>
          <xm:sqref>B16:B24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>
    <tabColor rgb="FF7030A0"/>
  </sheetPr>
  <dimension ref="A1:AR68"/>
  <sheetViews>
    <sheetView view="pageBreakPreview" zoomScale="71" zoomScaleNormal="100" zoomScaleSheetLayoutView="71" workbookViewId="0">
      <selection activeCell="A24" sqref="A24:C24"/>
    </sheetView>
  </sheetViews>
  <sheetFormatPr defaultColWidth="9.1796875" defaultRowHeight="14.5" x14ac:dyDescent="0.35"/>
  <cols>
    <col min="1" max="1" width="3.7265625" customWidth="1"/>
    <col min="2" max="36" width="4" customWidth="1"/>
    <col min="37" max="37" width="2.54296875" customWidth="1"/>
    <col min="38" max="38" width="3" customWidth="1"/>
    <col min="39" max="40" width="3.1796875" customWidth="1"/>
    <col min="140" max="140" width="9.1796875" customWidth="1"/>
  </cols>
  <sheetData>
    <row r="1" spans="1:36" ht="17.25" customHeight="1" x14ac:dyDescent="0.35">
      <c r="A1" s="450"/>
      <c r="B1" s="450"/>
      <c r="D1" s="2351" t="s">
        <v>977</v>
      </c>
      <c r="E1" s="2352"/>
      <c r="F1" s="2352"/>
      <c r="G1" s="2352"/>
      <c r="H1" s="2352"/>
      <c r="I1" s="2352"/>
      <c r="J1" s="2352"/>
      <c r="K1" s="2352"/>
      <c r="L1" s="2352"/>
      <c r="M1" s="2352"/>
      <c r="N1" s="2352"/>
      <c r="O1" s="2352"/>
      <c r="P1" s="2352"/>
      <c r="Q1" s="2352"/>
      <c r="R1" s="2352"/>
      <c r="S1" s="2353"/>
      <c r="T1" s="1835" t="s">
        <v>1058</v>
      </c>
      <c r="U1" s="1573"/>
      <c r="V1" s="1573"/>
      <c r="W1" s="1573"/>
      <c r="X1" s="1573"/>
      <c r="Y1" s="1573"/>
      <c r="Z1" s="1573"/>
      <c r="AA1" s="1573"/>
      <c r="AB1" s="2357" t="s">
        <v>1040</v>
      </c>
      <c r="AC1" s="1841"/>
      <c r="AD1" s="1841"/>
      <c r="AE1" s="1841"/>
      <c r="AF1" s="1841"/>
      <c r="AG1" s="1841"/>
      <c r="AH1" s="1841"/>
      <c r="AI1" s="1841"/>
      <c r="AJ1" s="2358"/>
    </row>
    <row r="2" spans="1:36" ht="17.25" customHeight="1" thickBot="1" x14ac:dyDescent="0.4">
      <c r="A2" s="450"/>
      <c r="B2" s="450"/>
      <c r="C2" s="783"/>
      <c r="D2" s="2354"/>
      <c r="E2" s="2355"/>
      <c r="F2" s="2355"/>
      <c r="G2" s="2355"/>
      <c r="H2" s="2355"/>
      <c r="I2" s="2355"/>
      <c r="J2" s="2355"/>
      <c r="K2" s="2355"/>
      <c r="L2" s="2355"/>
      <c r="M2" s="2355"/>
      <c r="N2" s="2355"/>
      <c r="O2" s="2355"/>
      <c r="P2" s="2355"/>
      <c r="Q2" s="2355"/>
      <c r="R2" s="2355"/>
      <c r="S2" s="2356"/>
      <c r="T2" s="2359" t="s">
        <v>1580</v>
      </c>
      <c r="U2" s="1571"/>
      <c r="V2" s="1571"/>
      <c r="W2" s="1571"/>
      <c r="X2" s="1571"/>
      <c r="Y2" s="1571"/>
      <c r="Z2" s="1571"/>
      <c r="AA2" s="1571"/>
      <c r="AB2" s="2360" t="s">
        <v>1041</v>
      </c>
      <c r="AC2" s="1690"/>
      <c r="AD2" s="1690"/>
      <c r="AE2" s="1690"/>
      <c r="AF2" s="1690"/>
      <c r="AG2" s="1690"/>
      <c r="AH2" s="1690"/>
      <c r="AI2" s="1690"/>
      <c r="AJ2" s="1691"/>
    </row>
    <row r="3" spans="1:36" ht="15" customHeight="1" thickBot="1" x14ac:dyDescent="0.4">
      <c r="B3" s="456"/>
      <c r="C3" s="456"/>
      <c r="D3" s="1938" t="s">
        <v>1120</v>
      </c>
      <c r="E3" s="1938"/>
      <c r="F3" s="1938"/>
      <c r="G3" s="1938"/>
      <c r="H3" s="1938"/>
      <c r="I3" s="1938"/>
      <c r="J3" s="1938"/>
      <c r="K3" s="1938"/>
      <c r="L3" s="1938"/>
      <c r="M3" s="1938"/>
      <c r="N3" s="1938"/>
      <c r="O3" s="1938"/>
      <c r="P3" s="1938"/>
      <c r="Q3" s="1938"/>
      <c r="R3" s="1938"/>
      <c r="S3" s="1938"/>
      <c r="T3" s="1938"/>
      <c r="U3" s="1938"/>
      <c r="V3" s="1938"/>
      <c r="W3" s="1938"/>
      <c r="X3" s="1938"/>
      <c r="Y3" s="1938"/>
      <c r="Z3" s="1938"/>
      <c r="AA3" s="1938"/>
      <c r="AB3" s="1938"/>
      <c r="AC3" s="1938"/>
      <c r="AE3" s="2317" t="s">
        <v>33</v>
      </c>
      <c r="AF3" s="2317"/>
      <c r="AG3" s="2317"/>
      <c r="AH3" s="1578">
        <f>IF(Data!B24&lt;&gt;"",Data!B24,IFERROR(VLOOKUP(Data!$B$7,Data!F63:G70,2,FALSE),""))</f>
        <v>6600048646</v>
      </c>
      <c r="AI3" s="1681"/>
      <c r="AJ3" s="1579"/>
    </row>
    <row r="4" spans="1:36" ht="4.5" customHeight="1" thickBot="1" x14ac:dyDescent="0.4">
      <c r="A4" s="449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AD4" s="2325" t="s">
        <v>1044</v>
      </c>
      <c r="AE4" s="2325"/>
      <c r="AF4" s="2325"/>
      <c r="AG4" s="2325"/>
      <c r="AH4" s="449"/>
      <c r="AI4" s="449"/>
      <c r="AJ4" s="449"/>
    </row>
    <row r="5" spans="1:36" ht="15.75" customHeight="1" thickBot="1" x14ac:dyDescent="0.4">
      <c r="A5" s="2317" t="s">
        <v>27</v>
      </c>
      <c r="B5" s="2317"/>
      <c r="C5" s="2317"/>
      <c r="D5" s="2317"/>
      <c r="E5" s="2326" t="str">
        <f>IF(Data!B1&lt;&gt;"",Data!B1 &amp;" "&amp; 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Entry'!AA2,""))),"")</f>
        <v xml:space="preserve">2025-AR-105 </v>
      </c>
      <c r="F5" s="2327"/>
      <c r="G5" s="2327"/>
      <c r="H5" s="2328"/>
      <c r="I5" s="1533" t="s">
        <v>28</v>
      </c>
      <c r="J5" s="1529"/>
      <c r="K5" s="1529"/>
      <c r="L5" s="1530"/>
      <c r="M5" s="1578">
        <f>IF(Data!B2&lt;&gt;"", Data!B2, " ")</f>
        <v>13753277</v>
      </c>
      <c r="N5" s="1681"/>
      <c r="O5" s="1681"/>
      <c r="P5" s="1579"/>
      <c r="Q5" s="2317" t="s">
        <v>29</v>
      </c>
      <c r="R5" s="2317"/>
      <c r="S5" s="1578" t="str">
        <f>IF(LEN(Data!B3)&gt;3,IF(AND(Data!B43&lt;&gt;"",Data!B43&lt;&gt;"0 0/1"""),Data!B43,""),IF(Data!B3&lt;&gt;"",Data!B3&amp;"""",""))</f>
        <v>8 3/8"</v>
      </c>
      <c r="T5" s="1681"/>
      <c r="U5" s="1681"/>
      <c r="V5" s="1579"/>
      <c r="W5" s="2316" t="s">
        <v>30</v>
      </c>
      <c r="X5" s="2317"/>
      <c r="Y5" s="2317"/>
      <c r="Z5" s="1578" t="str">
        <f>IF(Data!B5&lt;&gt;"",Data!B5," ")</f>
        <v>1061407M</v>
      </c>
      <c r="AA5" s="1681"/>
      <c r="AB5" s="1681"/>
      <c r="AC5" s="1579"/>
      <c r="AD5" s="2325"/>
      <c r="AE5" s="2325"/>
      <c r="AF5" s="2325"/>
      <c r="AG5" s="2325"/>
      <c r="AH5" s="1654">
        <f>IF(Data!B6&lt;&gt;"",Data!B6," ")</f>
        <v>46002</v>
      </c>
      <c r="AI5" s="1655"/>
      <c r="AJ5" s="1656"/>
    </row>
    <row r="6" spans="1:36" ht="4.5" customHeight="1" thickBot="1" x14ac:dyDescent="0.4">
      <c r="A6" s="449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774"/>
      <c r="P6" s="240"/>
      <c r="X6" s="450"/>
      <c r="AD6" s="2325"/>
      <c r="AE6" s="2325"/>
      <c r="AF6" s="2325"/>
      <c r="AG6" s="2325"/>
      <c r="AH6" s="449"/>
      <c r="AI6" s="449"/>
      <c r="AJ6" s="449"/>
    </row>
    <row r="7" spans="1:36" ht="15.75" customHeight="1" thickBot="1" x14ac:dyDescent="0.4">
      <c r="A7" s="1529" t="s">
        <v>1034</v>
      </c>
      <c r="B7" s="1529"/>
      <c r="C7" s="1529"/>
      <c r="D7" s="1530"/>
      <c r="E7" s="1578" t="str">
        <f>IF(OR(COUNTBLANK('Rework Cutter Entry'!C47:AG58)&lt;372,'Rework Cutter Entry'!D61&lt;&gt;""),'Rework Cutter Entry'!O44,IF(OR(COUNTBLANK('Rework Cutter Entry'!C26:AG37)&lt;372,'Rework Cutter Entry'!D40&lt;&gt;""),'Rework Cutter Entry'!O23,IF(OR(COUNTBLANK('Rework Cutter Entry'!C5:AG16)&lt;372,'Rework Cutter Entry'!D19&lt;&gt;""),'Rework Cutter Entry'!O2,"")))</f>
        <v/>
      </c>
      <c r="F7" s="1681"/>
      <c r="G7" s="1681"/>
      <c r="H7" s="1579"/>
      <c r="I7" s="1533" t="s">
        <v>1042</v>
      </c>
      <c r="J7" s="1529"/>
      <c r="K7" s="1529"/>
      <c r="L7" s="1530"/>
      <c r="M7" s="1578" t="str">
        <f>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</f>
        <v/>
      </c>
      <c r="N7" s="1681"/>
      <c r="O7" s="1681"/>
      <c r="P7" s="1579"/>
      <c r="Q7" s="2317" t="s">
        <v>31</v>
      </c>
      <c r="R7" s="2317"/>
      <c r="S7" s="1578" t="str">
        <f>IF(Data!B4&lt;&gt;"",Data!B4," ")</f>
        <v>MM65DH</v>
      </c>
      <c r="T7" s="1681"/>
      <c r="U7" s="1681"/>
      <c r="V7" s="1579"/>
      <c r="X7" s="1529" t="s">
        <v>32</v>
      </c>
      <c r="Y7" s="1530"/>
      <c r="Z7" s="1578" t="str">
        <f>IF(Data!B7&lt;&gt;"",Data!B7, " ")</f>
        <v>SAUDI ARAMCO</v>
      </c>
      <c r="AA7" s="1681"/>
      <c r="AB7" s="1681"/>
      <c r="AC7" s="1579"/>
      <c r="AD7" s="1533" t="s">
        <v>1043</v>
      </c>
      <c r="AE7" s="1529"/>
      <c r="AF7" s="1529"/>
      <c r="AG7" s="1530"/>
      <c r="AH7" s="1578"/>
      <c r="AI7" s="1681"/>
      <c r="AJ7" s="1579"/>
    </row>
    <row r="8" spans="1:36" ht="4.5" customHeight="1" thickBot="1" x14ac:dyDescent="0.4">
      <c r="A8" s="449"/>
      <c r="B8" s="449"/>
      <c r="D8" s="449"/>
      <c r="E8" s="449"/>
      <c r="F8" s="449"/>
      <c r="G8" s="449"/>
      <c r="H8" s="449"/>
      <c r="J8" s="449"/>
      <c r="K8" s="449"/>
      <c r="L8" s="449"/>
      <c r="M8" s="449"/>
      <c r="N8" s="449"/>
      <c r="O8" s="449"/>
      <c r="P8" s="449"/>
    </row>
    <row r="9" spans="1:36" ht="13.5" customHeight="1" x14ac:dyDescent="0.35">
      <c r="A9" s="1171"/>
      <c r="B9" s="2349"/>
      <c r="C9" s="1872" t="s">
        <v>17</v>
      </c>
      <c r="D9" s="1872"/>
      <c r="E9" s="1872"/>
      <c r="F9" s="1872"/>
      <c r="G9" s="1872"/>
      <c r="H9" s="1872"/>
      <c r="I9" s="1872"/>
      <c r="J9" s="1872"/>
      <c r="K9" s="1872"/>
      <c r="L9" s="1872"/>
      <c r="M9" s="1872"/>
      <c r="N9" s="1872"/>
      <c r="O9" s="1872"/>
      <c r="P9" s="1872"/>
      <c r="Q9" s="1872"/>
      <c r="R9" s="1872"/>
      <c r="S9" s="1872"/>
      <c r="T9" s="1872"/>
      <c r="U9" s="1872"/>
      <c r="V9" s="1872"/>
      <c r="W9" s="1872"/>
      <c r="X9" s="1872"/>
      <c r="Y9" s="1872"/>
      <c r="Z9" s="1872"/>
      <c r="AA9" s="1872"/>
      <c r="AB9" s="1872"/>
      <c r="AC9" s="1872"/>
      <c r="AD9" s="1872"/>
      <c r="AE9" s="1872"/>
      <c r="AF9" s="1872"/>
      <c r="AG9" s="1872"/>
      <c r="AH9" s="1872"/>
      <c r="AI9" s="1872"/>
      <c r="AJ9" s="1873"/>
    </row>
    <row r="10" spans="1:36" ht="12.75" customHeight="1" thickBot="1" x14ac:dyDescent="0.4">
      <c r="A10" s="2350"/>
      <c r="B10" s="1132"/>
      <c r="C10" s="797" t="str">
        <f>IF(Data!BR42&lt;&gt;"",Data!BR42,"")</f>
        <v>1a</v>
      </c>
      <c r="D10" s="797" t="str">
        <f>IF(Data!BS42&lt;&gt;"",Data!BS42,"")</f>
        <v>2a</v>
      </c>
      <c r="E10" s="797" t="str">
        <f>IF(Data!BT42&lt;&gt;"",Data!BT42,"")</f>
        <v>3a</v>
      </c>
      <c r="F10" s="797" t="str">
        <f>IF(Data!BU42&lt;&gt;"",Data!BU42,"")</f>
        <v>4a</v>
      </c>
      <c r="G10" s="797" t="str">
        <f>IF(Data!BV42&lt;&gt;"",Data!BV42,"")</f>
        <v>5a</v>
      </c>
      <c r="H10" s="797" t="str">
        <f>IF(Data!BW42&lt;&gt;"",Data!BW42,"")</f>
        <v>6a</v>
      </c>
      <c r="I10" s="797" t="str">
        <f>IF(Data!BX42&lt;&gt;"",Data!BX42,"")</f>
        <v>7a</v>
      </c>
      <c r="J10" s="797" t="str">
        <f>IF(Data!BY42&lt;&gt;"",Data!BY42,"")</f>
        <v>8a</v>
      </c>
      <c r="K10" s="797" t="str">
        <f>IF(Data!BZ42&lt;&gt;"",Data!BZ42,"")</f>
        <v>0a</v>
      </c>
      <c r="L10" s="797" t="str">
        <f>IF(Data!CA42&lt;&gt;"",Data!CA42,"")</f>
        <v>1b</v>
      </c>
      <c r="M10" s="797" t="str">
        <f>IF(Data!CB42&lt;&gt;"",Data!CB42,"")</f>
        <v>2b</v>
      </c>
      <c r="N10" s="797" t="str">
        <f>IF(Data!CC42&lt;&gt;"",Data!CC42,"")</f>
        <v>3b</v>
      </c>
      <c r="O10" s="797" t="str">
        <f>IF(Data!CD42&lt;&gt;"",Data!CD42,"")</f>
        <v>4b</v>
      </c>
      <c r="P10" s="797" t="str">
        <f>IF(Data!CE42&lt;&gt;"",Data!CE42,"")</f>
        <v>0a</v>
      </c>
      <c r="Q10" s="797" t="str">
        <f>IF(Data!CF42&lt;&gt;"",Data!CF42,"")</f>
        <v>0a</v>
      </c>
      <c r="R10" s="797" t="str">
        <f>IF(Data!CG42&lt;&gt;"",Data!CG42,"")</f>
        <v>0a</v>
      </c>
      <c r="S10" s="797" t="str">
        <f>IF(Data!CH42&lt;&gt;"",Data!CH42,"")</f>
        <v>0a</v>
      </c>
      <c r="T10" s="797" t="str">
        <f>IF(Data!CI42&lt;&gt;"",Data!CI42,"")</f>
        <v>0a</v>
      </c>
      <c r="U10" s="797" t="str">
        <f>IF(Data!CJ42&lt;&gt;"",Data!CJ42,"")</f>
        <v>0a</v>
      </c>
      <c r="V10" s="797" t="str">
        <f>IF(Data!CK42&lt;&gt;"",Data!CK42,"")</f>
        <v>0a</v>
      </c>
      <c r="W10" s="797" t="str">
        <f>IF(Data!CL42&lt;&gt;"",Data!CL42,"")</f>
        <v>0a</v>
      </c>
      <c r="X10" s="797" t="str">
        <f>IF(Data!CM42&lt;&gt;"",Data!CM42,"")</f>
        <v>0a</v>
      </c>
      <c r="Y10" s="797" t="str">
        <f>IF(Data!CN42&lt;&gt;"",Data!CN42,"")</f>
        <v>0a</v>
      </c>
      <c r="Z10" s="797" t="str">
        <f>IF(Data!CO42&lt;&gt;"",Data!CO42,"")</f>
        <v>0a</v>
      </c>
      <c r="AA10" s="797" t="str">
        <f>IF(Data!CP42&lt;&gt;"",Data!CP42,"")</f>
        <v>0a</v>
      </c>
      <c r="AB10" s="797" t="str">
        <f>IF(Data!CQ42&lt;&gt;"",Data!CQ42,"")</f>
        <v>0a</v>
      </c>
      <c r="AC10" s="797" t="str">
        <f>IF(Data!CR42&lt;&gt;"",Data!CR42,"")</f>
        <v>0a</v>
      </c>
      <c r="AD10" s="797" t="str">
        <f>IF(Data!CS42&lt;&gt;"",Data!CS42,"")</f>
        <v>0a</v>
      </c>
      <c r="AE10" s="797" t="str">
        <f>IF(Data!CT42&lt;&gt;"",Data!CT42,"")</f>
        <v>0a</v>
      </c>
      <c r="AF10" s="797" t="str">
        <f>IF(Data!CU42&lt;&gt;"",Data!CU42,"")</f>
        <v>0a</v>
      </c>
      <c r="AG10" s="797" t="str">
        <f>IF(Data!CV42&lt;&gt;"",Data!CV42,"")</f>
        <v>0a</v>
      </c>
      <c r="AH10" s="797" t="str">
        <f>IF(Data!CW42&lt;&gt;"",Data!CW42,"")</f>
        <v>0a</v>
      </c>
      <c r="AI10" s="797" t="str">
        <f>IF(Data!CX42&lt;&gt;"",Data!CX42,"")</f>
        <v>0a</v>
      </c>
      <c r="AJ10" s="798" t="str">
        <f>IF(Data!CY42&lt;&gt;"",Data!CY42,"")</f>
        <v>0a</v>
      </c>
    </row>
    <row r="11" spans="1:36" ht="13.5" customHeight="1" x14ac:dyDescent="0.35">
      <c r="A11" s="2318" t="s">
        <v>18</v>
      </c>
      <c r="B11" s="799">
        <v>1</v>
      </c>
      <c r="C11" s="791" t="str">
        <f>IF('Rework Cutter Entry'!C235&lt;&gt;"",'Rework Cutter Entry'!C235,"")</f>
        <v>O</v>
      </c>
      <c r="D11" s="789" t="str">
        <f>IF('Rework Cutter Entry'!D235&lt;&gt;"",'Rework Cutter Entry'!D235,"")</f>
        <v>O</v>
      </c>
      <c r="E11" s="789" t="str">
        <f>IF('Rework Cutter Entry'!E235&lt;&gt;"",'Rework Cutter Entry'!E235,"")</f>
        <v>O</v>
      </c>
      <c r="F11" s="789" t="str">
        <f>IF('Rework Cutter Entry'!F235&lt;&gt;"",'Rework Cutter Entry'!F235,"")</f>
        <v>O</v>
      </c>
      <c r="G11" s="789" t="str">
        <f>IF('Rework Cutter Entry'!G235&lt;&gt;"",'Rework Cutter Entry'!G235,"")</f>
        <v>O</v>
      </c>
      <c r="H11" s="789" t="str">
        <f>IF('Rework Cutter Entry'!H235&lt;&gt;"",'Rework Cutter Entry'!H235,"")</f>
        <v>O</v>
      </c>
      <c r="I11" s="789" t="str">
        <f>IF('Rework Cutter Entry'!I235&lt;&gt;"",'Rework Cutter Entry'!I235,"")</f>
        <v>O</v>
      </c>
      <c r="J11" s="789" t="str">
        <f>IF('Rework Cutter Entry'!J235&lt;&gt;"",'Rework Cutter Entry'!J235,"")</f>
        <v>O</v>
      </c>
      <c r="K11" s="789" t="str">
        <f>IF('Rework Cutter Entry'!K235&lt;&gt;"",'Rework Cutter Entry'!K235,"")</f>
        <v/>
      </c>
      <c r="L11" s="789" t="str">
        <f>IF('Rework Cutter Entry'!L235&lt;&gt;"",'Rework Cutter Entry'!L235,"")</f>
        <v>O</v>
      </c>
      <c r="M11" s="789" t="str">
        <f>IF('Rework Cutter Entry'!M235&lt;&gt;"",'Rework Cutter Entry'!M235,"")</f>
        <v>O</v>
      </c>
      <c r="N11" s="789" t="str">
        <f>IF('Rework Cutter Entry'!N235&lt;&gt;"",'Rework Cutter Entry'!N235,"")</f>
        <v>O</v>
      </c>
      <c r="O11" s="789" t="str">
        <f>IF('Rework Cutter Entry'!O235&lt;&gt;"",'Rework Cutter Entry'!O235,"")</f>
        <v>O</v>
      </c>
      <c r="P11" s="789" t="str">
        <f>IF('Rework Cutter Entry'!P235&lt;&gt;"",'Rework Cutter Entry'!P235,"")</f>
        <v/>
      </c>
      <c r="Q11" s="789" t="str">
        <f>IF('Rework Cutter Entry'!Q235&lt;&gt;"",'Rework Cutter Entry'!Q235,"")</f>
        <v/>
      </c>
      <c r="R11" s="789" t="str">
        <f>IF('Rework Cutter Entry'!R235&lt;&gt;"",'Rework Cutter Entry'!R235,"")</f>
        <v/>
      </c>
      <c r="S11" s="789" t="str">
        <f>IF('Rework Cutter Entry'!S235&lt;&gt;"",'Rework Cutter Entry'!S235,"")</f>
        <v/>
      </c>
      <c r="T11" s="789" t="str">
        <f>IF('Rework Cutter Entry'!T235&lt;&gt;"",'Rework Cutter Entry'!T235,"")</f>
        <v/>
      </c>
      <c r="U11" s="789" t="str">
        <f>IF('Rework Cutter Entry'!U235&lt;&gt;"",'Rework Cutter Entry'!U235,"")</f>
        <v/>
      </c>
      <c r="V11" s="789" t="str">
        <f>IF('Rework Cutter Entry'!V235&lt;&gt;"",'Rework Cutter Entry'!V235,"")</f>
        <v/>
      </c>
      <c r="W11" s="789" t="str">
        <f>IF('Rework Cutter Entry'!W235&lt;&gt;"",'Rework Cutter Entry'!W235,"")</f>
        <v/>
      </c>
      <c r="X11" s="789" t="str">
        <f>IF('Rework Cutter Entry'!X235&lt;&gt;"",'Rework Cutter Entry'!X235,"")</f>
        <v/>
      </c>
      <c r="Y11" s="789" t="str">
        <f>IF('Rework Cutter Entry'!Y235&lt;&gt;"",'Rework Cutter Entry'!Y235,"")</f>
        <v/>
      </c>
      <c r="Z11" s="789" t="str">
        <f>IF('Rework Cutter Entry'!Z235&lt;&gt;"",'Rework Cutter Entry'!Z235,"")</f>
        <v/>
      </c>
      <c r="AA11" s="789" t="str">
        <f>IF('Rework Cutter Entry'!AA235&lt;&gt;"",'Rework Cutter Entry'!AA235,"")</f>
        <v/>
      </c>
      <c r="AB11" s="789" t="str">
        <f>IF('Rework Cutter Entry'!AB235&lt;&gt;"",'Rework Cutter Entry'!AB235,"")</f>
        <v/>
      </c>
      <c r="AC11" s="789" t="str">
        <f>IF('Rework Cutter Entry'!AC235&lt;&gt;"",'Rework Cutter Entry'!AC235,"")</f>
        <v/>
      </c>
      <c r="AD11" s="789" t="str">
        <f>IF('Rework Cutter Entry'!AD235&lt;&gt;"",'Rework Cutter Entry'!AD235,"")</f>
        <v/>
      </c>
      <c r="AE11" s="789" t="str">
        <f>IF('Rework Cutter Entry'!AE235&lt;&gt;"",'Rework Cutter Entry'!AE235,"")</f>
        <v/>
      </c>
      <c r="AF11" s="789" t="str">
        <f>IF('Rework Cutter Entry'!AF235&lt;&gt;"",'Rework Cutter Entry'!AF235,"")</f>
        <v/>
      </c>
      <c r="AG11" s="789" t="str">
        <f>IF('Rework Cutter Entry'!AG235&lt;&gt;"",'Rework Cutter Entry'!AG235,"")</f>
        <v/>
      </c>
      <c r="AH11" s="789" t="str">
        <f>IF('Rework Cutter Entry'!AH235&lt;&gt;"",'Rework Cutter Entry'!AH235,"")</f>
        <v/>
      </c>
      <c r="AI11" s="789" t="str">
        <f>IF('Rework Cutter Entry'!AI235&lt;&gt;"",'Rework Cutter Entry'!AI235,"")</f>
        <v/>
      </c>
      <c r="AJ11" s="790" t="str">
        <f>IF('Rework Cutter Entry'!AJ235&lt;&gt;"",'Rework Cutter Entry'!AJ235,"")</f>
        <v/>
      </c>
    </row>
    <row r="12" spans="1:36" ht="13.5" customHeight="1" x14ac:dyDescent="0.35">
      <c r="A12" s="2257"/>
      <c r="B12" s="800">
        <v>2</v>
      </c>
      <c r="C12" s="792" t="str">
        <f>IF('Rework Cutter Entry'!C236&lt;&gt;"",'Rework Cutter Entry'!C236,"")</f>
        <v>O</v>
      </c>
      <c r="D12" s="776" t="str">
        <f>IF('Rework Cutter Entry'!D236&lt;&gt;"",'Rework Cutter Entry'!D236,"")</f>
        <v>O</v>
      </c>
      <c r="E12" s="776" t="str">
        <f>IF('Rework Cutter Entry'!E236&lt;&gt;"",'Rework Cutter Entry'!E236,"")</f>
        <v>O</v>
      </c>
      <c r="F12" s="776" t="str">
        <f>IF('Rework Cutter Entry'!F236&lt;&gt;"",'Rework Cutter Entry'!F236,"")</f>
        <v>O</v>
      </c>
      <c r="G12" s="776" t="str">
        <f>IF('Rework Cutter Entry'!G236&lt;&gt;"",'Rework Cutter Entry'!G236,"")</f>
        <v>O</v>
      </c>
      <c r="H12" s="776" t="str">
        <f>IF('Rework Cutter Entry'!H236&lt;&gt;"",'Rework Cutter Entry'!H236,"")</f>
        <v/>
      </c>
      <c r="I12" s="776" t="str">
        <f>IF('Rework Cutter Entry'!I236&lt;&gt;"",'Rework Cutter Entry'!I236,"")</f>
        <v/>
      </c>
      <c r="J12" s="776" t="str">
        <f>IF('Rework Cutter Entry'!J236&lt;&gt;"",'Rework Cutter Entry'!J236,"")</f>
        <v/>
      </c>
      <c r="K12" s="776" t="str">
        <f>IF('Rework Cutter Entry'!K236&lt;&gt;"",'Rework Cutter Entry'!K236,"")</f>
        <v/>
      </c>
      <c r="L12" s="776" t="str">
        <f>IF('Rework Cutter Entry'!L236&lt;&gt;"",'Rework Cutter Entry'!L236,"")</f>
        <v>O</v>
      </c>
      <c r="M12" s="776" t="str">
        <f>IF('Rework Cutter Entry'!M236&lt;&gt;"",'Rework Cutter Entry'!M236,"")</f>
        <v>O</v>
      </c>
      <c r="N12" s="776" t="str">
        <f>IF('Rework Cutter Entry'!N236&lt;&gt;"",'Rework Cutter Entry'!N236,"")</f>
        <v>O</v>
      </c>
      <c r="O12" s="776" t="str">
        <f>IF('Rework Cutter Entry'!O236&lt;&gt;"",'Rework Cutter Entry'!O236,"")</f>
        <v>O</v>
      </c>
      <c r="P12" s="776" t="str">
        <f>IF('Rework Cutter Entry'!P236&lt;&gt;"",'Rework Cutter Entry'!P236,"")</f>
        <v/>
      </c>
      <c r="Q12" s="776" t="str">
        <f>IF('Rework Cutter Entry'!Q236&lt;&gt;"",'Rework Cutter Entry'!Q236,"")</f>
        <v/>
      </c>
      <c r="R12" s="776" t="str">
        <f>IF('Rework Cutter Entry'!R236&lt;&gt;"",'Rework Cutter Entry'!R236,"")</f>
        <v/>
      </c>
      <c r="S12" s="776" t="str">
        <f>IF('Rework Cutter Entry'!S236&lt;&gt;"",'Rework Cutter Entry'!S236,"")</f>
        <v/>
      </c>
      <c r="T12" s="776" t="str">
        <f>IF('Rework Cutter Entry'!T236&lt;&gt;"",'Rework Cutter Entry'!T236,"")</f>
        <v/>
      </c>
      <c r="U12" s="776" t="str">
        <f>IF('Rework Cutter Entry'!U236&lt;&gt;"",'Rework Cutter Entry'!U236,"")</f>
        <v/>
      </c>
      <c r="V12" s="776" t="str">
        <f>IF('Rework Cutter Entry'!V236&lt;&gt;"",'Rework Cutter Entry'!V236,"")</f>
        <v/>
      </c>
      <c r="W12" s="776" t="str">
        <f>IF('Rework Cutter Entry'!W236&lt;&gt;"",'Rework Cutter Entry'!W236,"")</f>
        <v/>
      </c>
      <c r="X12" s="776" t="str">
        <f>IF('Rework Cutter Entry'!X236&lt;&gt;"",'Rework Cutter Entry'!X236,"")</f>
        <v/>
      </c>
      <c r="Y12" s="776" t="str">
        <f>IF('Rework Cutter Entry'!Y236&lt;&gt;"",'Rework Cutter Entry'!Y236,"")</f>
        <v/>
      </c>
      <c r="Z12" s="776" t="str">
        <f>IF('Rework Cutter Entry'!Z236&lt;&gt;"",'Rework Cutter Entry'!Z236,"")</f>
        <v/>
      </c>
      <c r="AA12" s="776" t="str">
        <f>IF('Rework Cutter Entry'!AA236&lt;&gt;"",'Rework Cutter Entry'!AA236,"")</f>
        <v/>
      </c>
      <c r="AB12" s="776" t="str">
        <f>IF('Rework Cutter Entry'!AB236&lt;&gt;"",'Rework Cutter Entry'!AB236,"")</f>
        <v/>
      </c>
      <c r="AC12" s="776" t="str">
        <f>IF('Rework Cutter Entry'!AC236&lt;&gt;"",'Rework Cutter Entry'!AC236,"")</f>
        <v/>
      </c>
      <c r="AD12" s="776" t="str">
        <f>IF('Rework Cutter Entry'!AD236&lt;&gt;"",'Rework Cutter Entry'!AD236,"")</f>
        <v/>
      </c>
      <c r="AE12" s="776" t="str">
        <f>IF('Rework Cutter Entry'!AE236&lt;&gt;"",'Rework Cutter Entry'!AE236,"")</f>
        <v/>
      </c>
      <c r="AF12" s="776" t="str">
        <f>IF('Rework Cutter Entry'!AF236&lt;&gt;"",'Rework Cutter Entry'!AF236,"")</f>
        <v/>
      </c>
      <c r="AG12" s="776" t="str">
        <f>IF('Rework Cutter Entry'!AG236&lt;&gt;"",'Rework Cutter Entry'!AG236,"")</f>
        <v/>
      </c>
      <c r="AH12" s="776" t="str">
        <f>IF('Rework Cutter Entry'!AH236&lt;&gt;"",'Rework Cutter Entry'!AH236,"")</f>
        <v/>
      </c>
      <c r="AI12" s="776" t="str">
        <f>IF('Rework Cutter Entry'!AI236&lt;&gt;"",'Rework Cutter Entry'!AI236,"")</f>
        <v/>
      </c>
      <c r="AJ12" s="777" t="str">
        <f>IF('Rework Cutter Entry'!AJ236&lt;&gt;"",'Rework Cutter Entry'!AJ236,"")</f>
        <v/>
      </c>
    </row>
    <row r="13" spans="1:36" ht="13.5" customHeight="1" x14ac:dyDescent="0.35">
      <c r="A13" s="2257"/>
      <c r="B13" s="800">
        <v>3</v>
      </c>
      <c r="C13" s="792" t="str">
        <f>IF('Rework Cutter Entry'!C237&lt;&gt;"",'Rework Cutter Entry'!C237,"")</f>
        <v>O</v>
      </c>
      <c r="D13" s="776" t="str">
        <f>IF('Rework Cutter Entry'!D237&lt;&gt;"",'Rework Cutter Entry'!D237,"")</f>
        <v>O</v>
      </c>
      <c r="E13" s="776" t="str">
        <f>IF('Rework Cutter Entry'!E237&lt;&gt;"",'Rework Cutter Entry'!E237,"")</f>
        <v>O</v>
      </c>
      <c r="F13" s="776" t="str">
        <f>IF('Rework Cutter Entry'!F237&lt;&gt;"",'Rework Cutter Entry'!F237,"")</f>
        <v>O</v>
      </c>
      <c r="G13" s="776" t="str">
        <f>IF('Rework Cutter Entry'!G237&lt;&gt;"",'Rework Cutter Entry'!G237,"")</f>
        <v>O</v>
      </c>
      <c r="H13" s="776" t="str">
        <f>IF('Rework Cutter Entry'!H237&lt;&gt;"",'Rework Cutter Entry'!H237,"")</f>
        <v>O</v>
      </c>
      <c r="I13" s="776" t="str">
        <f>IF('Rework Cutter Entry'!I237&lt;&gt;"",'Rework Cutter Entry'!I237,"")</f>
        <v>O</v>
      </c>
      <c r="J13" s="776" t="str">
        <f>IF('Rework Cutter Entry'!J237&lt;&gt;"",'Rework Cutter Entry'!J237,"")</f>
        <v/>
      </c>
      <c r="K13" s="776" t="str">
        <f>IF('Rework Cutter Entry'!K237&lt;&gt;"",'Rework Cutter Entry'!K237,"")</f>
        <v/>
      </c>
      <c r="L13" s="776" t="str">
        <f>IF('Rework Cutter Entry'!L237&lt;&gt;"",'Rework Cutter Entry'!L237,"")</f>
        <v>O</v>
      </c>
      <c r="M13" s="776" t="str">
        <f>IF('Rework Cutter Entry'!M237&lt;&gt;"",'Rework Cutter Entry'!M237,"")</f>
        <v>O</v>
      </c>
      <c r="N13" s="776" t="str">
        <f>IF('Rework Cutter Entry'!N237&lt;&gt;"",'Rework Cutter Entry'!N237,"")</f>
        <v>O</v>
      </c>
      <c r="O13" s="776" t="str">
        <f>IF('Rework Cutter Entry'!O237&lt;&gt;"",'Rework Cutter Entry'!O237,"")</f>
        <v/>
      </c>
      <c r="P13" s="776" t="str">
        <f>IF('Rework Cutter Entry'!P237&lt;&gt;"",'Rework Cutter Entry'!P237,"")</f>
        <v/>
      </c>
      <c r="Q13" s="776" t="str">
        <f>IF('Rework Cutter Entry'!Q237&lt;&gt;"",'Rework Cutter Entry'!Q237,"")</f>
        <v/>
      </c>
      <c r="R13" s="776" t="str">
        <f>IF('Rework Cutter Entry'!R237&lt;&gt;"",'Rework Cutter Entry'!R237,"")</f>
        <v/>
      </c>
      <c r="S13" s="776" t="str">
        <f>IF('Rework Cutter Entry'!S237&lt;&gt;"",'Rework Cutter Entry'!S237,"")</f>
        <v/>
      </c>
      <c r="T13" s="776" t="str">
        <f>IF('Rework Cutter Entry'!T237&lt;&gt;"",'Rework Cutter Entry'!T237,"")</f>
        <v/>
      </c>
      <c r="U13" s="776" t="str">
        <f>IF('Rework Cutter Entry'!U237&lt;&gt;"",'Rework Cutter Entry'!U237,"")</f>
        <v/>
      </c>
      <c r="V13" s="776" t="str">
        <f>IF('Rework Cutter Entry'!V237&lt;&gt;"",'Rework Cutter Entry'!V237,"")</f>
        <v/>
      </c>
      <c r="W13" s="776" t="str">
        <f>IF('Rework Cutter Entry'!W237&lt;&gt;"",'Rework Cutter Entry'!W237,"")</f>
        <v/>
      </c>
      <c r="X13" s="776" t="str">
        <f>IF('Rework Cutter Entry'!X237&lt;&gt;"",'Rework Cutter Entry'!X237,"")</f>
        <v/>
      </c>
      <c r="Y13" s="776" t="str">
        <f>IF('Rework Cutter Entry'!Y237&lt;&gt;"",'Rework Cutter Entry'!Y237,"")</f>
        <v/>
      </c>
      <c r="Z13" s="776" t="str">
        <f>IF('Rework Cutter Entry'!Z237&lt;&gt;"",'Rework Cutter Entry'!Z237,"")</f>
        <v/>
      </c>
      <c r="AA13" s="776" t="str">
        <f>IF('Rework Cutter Entry'!AA237&lt;&gt;"",'Rework Cutter Entry'!AA237,"")</f>
        <v/>
      </c>
      <c r="AB13" s="776" t="str">
        <f>IF('Rework Cutter Entry'!AB237&lt;&gt;"",'Rework Cutter Entry'!AB237,"")</f>
        <v/>
      </c>
      <c r="AC13" s="776" t="str">
        <f>IF('Rework Cutter Entry'!AC237&lt;&gt;"",'Rework Cutter Entry'!AC237,"")</f>
        <v/>
      </c>
      <c r="AD13" s="776" t="str">
        <f>IF('Rework Cutter Entry'!AD237&lt;&gt;"",'Rework Cutter Entry'!AD237,"")</f>
        <v/>
      </c>
      <c r="AE13" s="776" t="str">
        <f>IF('Rework Cutter Entry'!AE237&lt;&gt;"",'Rework Cutter Entry'!AE237,"")</f>
        <v/>
      </c>
      <c r="AF13" s="776" t="str">
        <f>IF('Rework Cutter Entry'!AF237&lt;&gt;"",'Rework Cutter Entry'!AF237,"")</f>
        <v/>
      </c>
      <c r="AG13" s="776" t="str">
        <f>IF('Rework Cutter Entry'!AG237&lt;&gt;"",'Rework Cutter Entry'!AG237,"")</f>
        <v/>
      </c>
      <c r="AH13" s="776" t="str">
        <f>IF('Rework Cutter Entry'!AH237&lt;&gt;"",'Rework Cutter Entry'!AH237,"")</f>
        <v/>
      </c>
      <c r="AI13" s="776" t="str">
        <f>IF('Rework Cutter Entry'!AI237&lt;&gt;"",'Rework Cutter Entry'!AI237,"")</f>
        <v/>
      </c>
      <c r="AJ13" s="777" t="str">
        <f>IF('Rework Cutter Entry'!AJ237&lt;&gt;"",'Rework Cutter Entry'!AJ237,"")</f>
        <v/>
      </c>
    </row>
    <row r="14" spans="1:36" ht="13.5" customHeight="1" x14ac:dyDescent="0.35">
      <c r="A14" s="2257"/>
      <c r="B14" s="800">
        <v>4</v>
      </c>
      <c r="C14" s="792" t="str">
        <f>IF('Rework Cutter Entry'!C238&lt;&gt;"",'Rework Cutter Entry'!C238,"")</f>
        <v>O</v>
      </c>
      <c r="D14" s="776" t="str">
        <f>IF('Rework Cutter Entry'!D238&lt;&gt;"",'Rework Cutter Entry'!D238,"")</f>
        <v>O</v>
      </c>
      <c r="E14" s="776" t="str">
        <f>IF('Rework Cutter Entry'!E238&lt;&gt;"",'Rework Cutter Entry'!E238,"")</f>
        <v>O</v>
      </c>
      <c r="F14" s="776" t="str">
        <f>IF('Rework Cutter Entry'!F238&lt;&gt;"",'Rework Cutter Entry'!F238,"")</f>
        <v>O</v>
      </c>
      <c r="G14" s="776" t="str">
        <f>IF('Rework Cutter Entry'!G238&lt;&gt;"",'Rework Cutter Entry'!G238,"")</f>
        <v>O</v>
      </c>
      <c r="H14" s="776" t="str">
        <f>IF('Rework Cutter Entry'!H238&lt;&gt;"",'Rework Cutter Entry'!H238,"")</f>
        <v>O</v>
      </c>
      <c r="I14" s="776" t="str">
        <f>IF('Rework Cutter Entry'!I238&lt;&gt;"",'Rework Cutter Entry'!I238,"")</f>
        <v/>
      </c>
      <c r="J14" s="776" t="str">
        <f>IF('Rework Cutter Entry'!J238&lt;&gt;"",'Rework Cutter Entry'!J238,"")</f>
        <v/>
      </c>
      <c r="K14" s="776" t="str">
        <f>IF('Rework Cutter Entry'!K238&lt;&gt;"",'Rework Cutter Entry'!K238,"")</f>
        <v/>
      </c>
      <c r="L14" s="776" t="str">
        <f>IF('Rework Cutter Entry'!L238&lt;&gt;"",'Rework Cutter Entry'!L238,"")</f>
        <v>O</v>
      </c>
      <c r="M14" s="776" t="str">
        <f>IF('Rework Cutter Entry'!M238&lt;&gt;"",'Rework Cutter Entry'!M238,"")</f>
        <v>O</v>
      </c>
      <c r="N14" s="776" t="str">
        <f>IF('Rework Cutter Entry'!N238&lt;&gt;"",'Rework Cutter Entry'!N238,"")</f>
        <v>O</v>
      </c>
      <c r="O14" s="776" t="str">
        <f>IF('Rework Cutter Entry'!O238&lt;&gt;"",'Rework Cutter Entry'!O238,"")</f>
        <v>O</v>
      </c>
      <c r="P14" s="776" t="str">
        <f>IF('Rework Cutter Entry'!P238&lt;&gt;"",'Rework Cutter Entry'!P238,"")</f>
        <v/>
      </c>
      <c r="Q14" s="776" t="str">
        <f>IF('Rework Cutter Entry'!Q238&lt;&gt;"",'Rework Cutter Entry'!Q238,"")</f>
        <v/>
      </c>
      <c r="R14" s="776" t="str">
        <f>IF('Rework Cutter Entry'!R238&lt;&gt;"",'Rework Cutter Entry'!R238,"")</f>
        <v/>
      </c>
      <c r="S14" s="776" t="str">
        <f>IF('Rework Cutter Entry'!S238&lt;&gt;"",'Rework Cutter Entry'!S238,"")</f>
        <v/>
      </c>
      <c r="T14" s="776" t="str">
        <f>IF('Rework Cutter Entry'!T238&lt;&gt;"",'Rework Cutter Entry'!T238,"")</f>
        <v/>
      </c>
      <c r="U14" s="776" t="str">
        <f>IF('Rework Cutter Entry'!U238&lt;&gt;"",'Rework Cutter Entry'!U238,"")</f>
        <v/>
      </c>
      <c r="V14" s="776" t="str">
        <f>IF('Rework Cutter Entry'!V238&lt;&gt;"",'Rework Cutter Entry'!V238,"")</f>
        <v/>
      </c>
      <c r="W14" s="776" t="str">
        <f>IF('Rework Cutter Entry'!W238&lt;&gt;"",'Rework Cutter Entry'!W238,"")</f>
        <v/>
      </c>
      <c r="X14" s="776" t="str">
        <f>IF('Rework Cutter Entry'!X238&lt;&gt;"",'Rework Cutter Entry'!X238,"")</f>
        <v/>
      </c>
      <c r="Y14" s="776" t="str">
        <f>IF('Rework Cutter Entry'!Y238&lt;&gt;"",'Rework Cutter Entry'!Y238,"")</f>
        <v/>
      </c>
      <c r="Z14" s="776" t="str">
        <f>IF('Rework Cutter Entry'!Z238&lt;&gt;"",'Rework Cutter Entry'!Z238,"")</f>
        <v/>
      </c>
      <c r="AA14" s="776" t="str">
        <f>IF('Rework Cutter Entry'!AA238&lt;&gt;"",'Rework Cutter Entry'!AA238,"")</f>
        <v/>
      </c>
      <c r="AB14" s="776" t="str">
        <f>IF('Rework Cutter Entry'!AB238&lt;&gt;"",'Rework Cutter Entry'!AB238,"")</f>
        <v/>
      </c>
      <c r="AC14" s="776" t="str">
        <f>IF('Rework Cutter Entry'!AC238&lt;&gt;"",'Rework Cutter Entry'!AC238,"")</f>
        <v/>
      </c>
      <c r="AD14" s="776" t="str">
        <f>IF('Rework Cutter Entry'!AD238&lt;&gt;"",'Rework Cutter Entry'!AD238,"")</f>
        <v/>
      </c>
      <c r="AE14" s="776" t="str">
        <f>IF('Rework Cutter Entry'!AE238&lt;&gt;"",'Rework Cutter Entry'!AE238,"")</f>
        <v/>
      </c>
      <c r="AF14" s="776" t="str">
        <f>IF('Rework Cutter Entry'!AF238&lt;&gt;"",'Rework Cutter Entry'!AF238,"")</f>
        <v/>
      </c>
      <c r="AG14" s="776" t="str">
        <f>IF('Rework Cutter Entry'!AG238&lt;&gt;"",'Rework Cutter Entry'!AG238,"")</f>
        <v/>
      </c>
      <c r="AH14" s="776" t="str">
        <f>IF('Rework Cutter Entry'!AH238&lt;&gt;"",'Rework Cutter Entry'!AH238,"")</f>
        <v/>
      </c>
      <c r="AI14" s="776" t="str">
        <f>IF('Rework Cutter Entry'!AI238&lt;&gt;"",'Rework Cutter Entry'!AI238,"")</f>
        <v/>
      </c>
      <c r="AJ14" s="777" t="str">
        <f>IF('Rework Cutter Entry'!AJ238&lt;&gt;"",'Rework Cutter Entry'!AJ238,"")</f>
        <v/>
      </c>
    </row>
    <row r="15" spans="1:36" ht="13.5" customHeight="1" x14ac:dyDescent="0.35">
      <c r="A15" s="2257"/>
      <c r="B15" s="800">
        <v>5</v>
      </c>
      <c r="C15" s="792" t="str">
        <f>IF('Rework Cutter Entry'!C239&lt;&gt;"",'Rework Cutter Entry'!C239,"")</f>
        <v>O</v>
      </c>
      <c r="D15" s="776" t="str">
        <f>IF('Rework Cutter Entry'!D239&lt;&gt;"",'Rework Cutter Entry'!D239,"")</f>
        <v>O</v>
      </c>
      <c r="E15" s="776" t="str">
        <f>IF('Rework Cutter Entry'!E239&lt;&gt;"",'Rework Cutter Entry'!E239,"")</f>
        <v>O</v>
      </c>
      <c r="F15" s="776" t="str">
        <f>IF('Rework Cutter Entry'!F239&lt;&gt;"",'Rework Cutter Entry'!F239,"")</f>
        <v>O</v>
      </c>
      <c r="G15" s="776" t="str">
        <f>IF('Rework Cutter Entry'!G239&lt;&gt;"",'Rework Cutter Entry'!G239,"")</f>
        <v>O</v>
      </c>
      <c r="H15" s="776" t="str">
        <f>IF('Rework Cutter Entry'!H239&lt;&gt;"",'Rework Cutter Entry'!H239,"")</f>
        <v>O</v>
      </c>
      <c r="I15" s="776" t="str">
        <f>IF('Rework Cutter Entry'!I239&lt;&gt;"",'Rework Cutter Entry'!I239,"")</f>
        <v>O</v>
      </c>
      <c r="J15" s="776" t="str">
        <f>IF('Rework Cutter Entry'!J239&lt;&gt;"",'Rework Cutter Entry'!J239,"")</f>
        <v>O</v>
      </c>
      <c r="K15" s="776" t="str">
        <f>IF('Rework Cutter Entry'!K239&lt;&gt;"",'Rework Cutter Entry'!K239,"")</f>
        <v/>
      </c>
      <c r="L15" s="776" t="str">
        <f>IF('Rework Cutter Entry'!L239&lt;&gt;"",'Rework Cutter Entry'!L239,"")</f>
        <v>O</v>
      </c>
      <c r="M15" s="776" t="str">
        <f>IF('Rework Cutter Entry'!M239&lt;&gt;"",'Rework Cutter Entry'!M239,"")</f>
        <v>O</v>
      </c>
      <c r="N15" s="776" t="str">
        <f>IF('Rework Cutter Entry'!N239&lt;&gt;"",'Rework Cutter Entry'!N239,"")</f>
        <v>O</v>
      </c>
      <c r="O15" s="776" t="str">
        <f>IF('Rework Cutter Entry'!O239&lt;&gt;"",'Rework Cutter Entry'!O239,"")</f>
        <v>O</v>
      </c>
      <c r="P15" s="776" t="str">
        <f>IF('Rework Cutter Entry'!P239&lt;&gt;"",'Rework Cutter Entry'!P239,"")</f>
        <v/>
      </c>
      <c r="Q15" s="776" t="str">
        <f>IF('Rework Cutter Entry'!Q239&lt;&gt;"",'Rework Cutter Entry'!Q239,"")</f>
        <v/>
      </c>
      <c r="R15" s="776" t="str">
        <f>IF('Rework Cutter Entry'!R239&lt;&gt;"",'Rework Cutter Entry'!R239,"")</f>
        <v/>
      </c>
      <c r="S15" s="776" t="str">
        <f>IF('Rework Cutter Entry'!S239&lt;&gt;"",'Rework Cutter Entry'!S239,"")</f>
        <v/>
      </c>
      <c r="T15" s="776" t="str">
        <f>IF('Rework Cutter Entry'!T239&lt;&gt;"",'Rework Cutter Entry'!T239,"")</f>
        <v/>
      </c>
      <c r="U15" s="776" t="str">
        <f>IF('Rework Cutter Entry'!U239&lt;&gt;"",'Rework Cutter Entry'!U239,"")</f>
        <v/>
      </c>
      <c r="V15" s="776" t="str">
        <f>IF('Rework Cutter Entry'!V239&lt;&gt;"",'Rework Cutter Entry'!V239,"")</f>
        <v/>
      </c>
      <c r="W15" s="776" t="str">
        <f>IF('Rework Cutter Entry'!W239&lt;&gt;"",'Rework Cutter Entry'!W239,"")</f>
        <v/>
      </c>
      <c r="X15" s="776" t="str">
        <f>IF('Rework Cutter Entry'!X239&lt;&gt;"",'Rework Cutter Entry'!X239,"")</f>
        <v/>
      </c>
      <c r="Y15" s="776" t="str">
        <f>IF('Rework Cutter Entry'!Y239&lt;&gt;"",'Rework Cutter Entry'!Y239,"")</f>
        <v/>
      </c>
      <c r="Z15" s="776" t="str">
        <f>IF('Rework Cutter Entry'!Z239&lt;&gt;"",'Rework Cutter Entry'!Z239,"")</f>
        <v/>
      </c>
      <c r="AA15" s="776" t="str">
        <f>IF('Rework Cutter Entry'!AA239&lt;&gt;"",'Rework Cutter Entry'!AA239,"")</f>
        <v/>
      </c>
      <c r="AB15" s="776" t="str">
        <f>IF('Rework Cutter Entry'!AB239&lt;&gt;"",'Rework Cutter Entry'!AB239,"")</f>
        <v/>
      </c>
      <c r="AC15" s="776" t="str">
        <f>IF('Rework Cutter Entry'!AC239&lt;&gt;"",'Rework Cutter Entry'!AC239,"")</f>
        <v/>
      </c>
      <c r="AD15" s="776" t="str">
        <f>IF('Rework Cutter Entry'!AD239&lt;&gt;"",'Rework Cutter Entry'!AD239,"")</f>
        <v/>
      </c>
      <c r="AE15" s="776" t="str">
        <f>IF('Rework Cutter Entry'!AE239&lt;&gt;"",'Rework Cutter Entry'!AE239,"")</f>
        <v/>
      </c>
      <c r="AF15" s="776" t="str">
        <f>IF('Rework Cutter Entry'!AF239&lt;&gt;"",'Rework Cutter Entry'!AF239,"")</f>
        <v/>
      </c>
      <c r="AG15" s="776" t="str">
        <f>IF('Rework Cutter Entry'!AG239&lt;&gt;"",'Rework Cutter Entry'!AG239,"")</f>
        <v/>
      </c>
      <c r="AH15" s="776" t="str">
        <f>IF('Rework Cutter Entry'!AH239&lt;&gt;"",'Rework Cutter Entry'!AH239,"")</f>
        <v/>
      </c>
      <c r="AI15" s="776" t="str">
        <f>IF('Rework Cutter Entry'!AI239&lt;&gt;"",'Rework Cutter Entry'!AI239,"")</f>
        <v/>
      </c>
      <c r="AJ15" s="777" t="str">
        <f>IF('Rework Cutter Entry'!AJ239&lt;&gt;"",'Rework Cutter Entry'!AJ239,"")</f>
        <v/>
      </c>
    </row>
    <row r="16" spans="1:36" ht="13.5" customHeight="1" x14ac:dyDescent="0.35">
      <c r="A16" s="2257"/>
      <c r="B16" s="800">
        <v>6</v>
      </c>
      <c r="C16" s="792" t="str">
        <f>IF('Rework Cutter Entry'!C240&lt;&gt;"",'Rework Cutter Entry'!C240,"")</f>
        <v>O</v>
      </c>
      <c r="D16" s="776" t="str">
        <f>IF('Rework Cutter Entry'!D240&lt;&gt;"",'Rework Cutter Entry'!D240,"")</f>
        <v>O</v>
      </c>
      <c r="E16" s="776" t="str">
        <f>IF('Rework Cutter Entry'!E240&lt;&gt;"",'Rework Cutter Entry'!E240,"")</f>
        <v>O</v>
      </c>
      <c r="F16" s="776" t="str">
        <f>IF('Rework Cutter Entry'!F240&lt;&gt;"",'Rework Cutter Entry'!F240,"")</f>
        <v>O</v>
      </c>
      <c r="G16" s="776" t="str">
        <f>IF('Rework Cutter Entry'!G240&lt;&gt;"",'Rework Cutter Entry'!G240,"")</f>
        <v>O</v>
      </c>
      <c r="H16" s="776" t="str">
        <f>IF('Rework Cutter Entry'!H240&lt;&gt;"",'Rework Cutter Entry'!H240,"")</f>
        <v/>
      </c>
      <c r="I16" s="776" t="str">
        <f>IF('Rework Cutter Entry'!I240&lt;&gt;"",'Rework Cutter Entry'!I240,"")</f>
        <v/>
      </c>
      <c r="J16" s="776" t="str">
        <f>IF('Rework Cutter Entry'!J240&lt;&gt;"",'Rework Cutter Entry'!J240,"")</f>
        <v/>
      </c>
      <c r="K16" s="776" t="str">
        <f>IF('Rework Cutter Entry'!K240&lt;&gt;"",'Rework Cutter Entry'!K240,"")</f>
        <v/>
      </c>
      <c r="L16" s="776" t="str">
        <f>IF('Rework Cutter Entry'!L240&lt;&gt;"",'Rework Cutter Entry'!L240,"")</f>
        <v>O</v>
      </c>
      <c r="M16" s="776" t="str">
        <f>IF('Rework Cutter Entry'!M240&lt;&gt;"",'Rework Cutter Entry'!M240,"")</f>
        <v>O</v>
      </c>
      <c r="N16" s="776" t="str">
        <f>IF('Rework Cutter Entry'!N240&lt;&gt;"",'Rework Cutter Entry'!N240,"")</f>
        <v>O</v>
      </c>
      <c r="O16" s="776" t="str">
        <f>IF('Rework Cutter Entry'!O240&lt;&gt;"",'Rework Cutter Entry'!O240,"")</f>
        <v>O</v>
      </c>
      <c r="P16" s="776" t="str">
        <f>IF('Rework Cutter Entry'!P240&lt;&gt;"",'Rework Cutter Entry'!P240,"")</f>
        <v/>
      </c>
      <c r="Q16" s="776" t="str">
        <f>IF('Rework Cutter Entry'!Q240&lt;&gt;"",'Rework Cutter Entry'!Q240,"")</f>
        <v/>
      </c>
      <c r="R16" s="776" t="str">
        <f>IF('Rework Cutter Entry'!R240&lt;&gt;"",'Rework Cutter Entry'!R240,"")</f>
        <v/>
      </c>
      <c r="S16" s="776" t="str">
        <f>IF('Rework Cutter Entry'!S240&lt;&gt;"",'Rework Cutter Entry'!S240,"")</f>
        <v/>
      </c>
      <c r="T16" s="776" t="str">
        <f>IF('Rework Cutter Entry'!T240&lt;&gt;"",'Rework Cutter Entry'!T240,"")</f>
        <v/>
      </c>
      <c r="U16" s="776" t="str">
        <f>IF('Rework Cutter Entry'!U240&lt;&gt;"",'Rework Cutter Entry'!U240,"")</f>
        <v/>
      </c>
      <c r="V16" s="776" t="str">
        <f>IF('Rework Cutter Entry'!V240&lt;&gt;"",'Rework Cutter Entry'!V240,"")</f>
        <v/>
      </c>
      <c r="W16" s="776" t="str">
        <f>IF('Rework Cutter Entry'!W240&lt;&gt;"",'Rework Cutter Entry'!W240,"")</f>
        <v/>
      </c>
      <c r="X16" s="776" t="str">
        <f>IF('Rework Cutter Entry'!X240&lt;&gt;"",'Rework Cutter Entry'!X240,"")</f>
        <v/>
      </c>
      <c r="Y16" s="776" t="str">
        <f>IF('Rework Cutter Entry'!Y240&lt;&gt;"",'Rework Cutter Entry'!Y240,"")</f>
        <v/>
      </c>
      <c r="Z16" s="776" t="str">
        <f>IF('Rework Cutter Entry'!Z240&lt;&gt;"",'Rework Cutter Entry'!Z240,"")</f>
        <v/>
      </c>
      <c r="AA16" s="776" t="str">
        <f>IF('Rework Cutter Entry'!AA240&lt;&gt;"",'Rework Cutter Entry'!AA240,"")</f>
        <v/>
      </c>
      <c r="AB16" s="776" t="str">
        <f>IF('Rework Cutter Entry'!AB240&lt;&gt;"",'Rework Cutter Entry'!AB240,"")</f>
        <v/>
      </c>
      <c r="AC16" s="776" t="str">
        <f>IF('Rework Cutter Entry'!AC240&lt;&gt;"",'Rework Cutter Entry'!AC240,"")</f>
        <v/>
      </c>
      <c r="AD16" s="776" t="str">
        <f>IF('Rework Cutter Entry'!AD240&lt;&gt;"",'Rework Cutter Entry'!AD240,"")</f>
        <v/>
      </c>
      <c r="AE16" s="776" t="str">
        <f>IF('Rework Cutter Entry'!AE240&lt;&gt;"",'Rework Cutter Entry'!AE240,"")</f>
        <v/>
      </c>
      <c r="AF16" s="776" t="str">
        <f>IF('Rework Cutter Entry'!AF240&lt;&gt;"",'Rework Cutter Entry'!AF240,"")</f>
        <v/>
      </c>
      <c r="AG16" s="776" t="str">
        <f>IF('Rework Cutter Entry'!AG240&lt;&gt;"",'Rework Cutter Entry'!AG240,"")</f>
        <v/>
      </c>
      <c r="AH16" s="776" t="str">
        <f>IF('Rework Cutter Entry'!AH240&lt;&gt;"",'Rework Cutter Entry'!AH240,"")</f>
        <v/>
      </c>
      <c r="AI16" s="776" t="str">
        <f>IF('Rework Cutter Entry'!AI240&lt;&gt;"",'Rework Cutter Entry'!AI240,"")</f>
        <v/>
      </c>
      <c r="AJ16" s="777" t="str">
        <f>IF('Rework Cutter Entry'!AJ240&lt;&gt;"",'Rework Cutter Entry'!AJ240,"")</f>
        <v/>
      </c>
    </row>
    <row r="17" spans="1:36" ht="13.5" customHeight="1" x14ac:dyDescent="0.35">
      <c r="A17" s="2257"/>
      <c r="B17" s="800">
        <v>7</v>
      </c>
      <c r="C17" s="792" t="str">
        <f>IF('Rework Cutter Entry'!C241&lt;&gt;"",'Rework Cutter Entry'!C241,"")</f>
        <v/>
      </c>
      <c r="D17" s="776" t="str">
        <f>IF('Rework Cutter Entry'!D241&lt;&gt;"",'Rework Cutter Entry'!D241,"")</f>
        <v/>
      </c>
      <c r="E17" s="776" t="str">
        <f>IF('Rework Cutter Entry'!E241&lt;&gt;"",'Rework Cutter Entry'!E241,"")</f>
        <v/>
      </c>
      <c r="F17" s="776" t="str">
        <f>IF('Rework Cutter Entry'!F241&lt;&gt;"",'Rework Cutter Entry'!F241,"")</f>
        <v/>
      </c>
      <c r="G17" s="776" t="str">
        <f>IF('Rework Cutter Entry'!G241&lt;&gt;"",'Rework Cutter Entry'!G241,"")</f>
        <v/>
      </c>
      <c r="H17" s="776" t="str">
        <f>IF('Rework Cutter Entry'!H241&lt;&gt;"",'Rework Cutter Entry'!H241,"")</f>
        <v/>
      </c>
      <c r="I17" s="776" t="str">
        <f>IF('Rework Cutter Entry'!I241&lt;&gt;"",'Rework Cutter Entry'!I241,"")</f>
        <v/>
      </c>
      <c r="J17" s="776" t="str">
        <f>IF('Rework Cutter Entry'!J241&lt;&gt;"",'Rework Cutter Entry'!J241,"")</f>
        <v/>
      </c>
      <c r="K17" s="776" t="str">
        <f>IF('Rework Cutter Entry'!K241&lt;&gt;"",'Rework Cutter Entry'!K241,"")</f>
        <v/>
      </c>
      <c r="L17" s="776" t="str">
        <f>IF('Rework Cutter Entry'!L241&lt;&gt;"",'Rework Cutter Entry'!L241,"")</f>
        <v/>
      </c>
      <c r="M17" s="776" t="str">
        <f>IF('Rework Cutter Entry'!M241&lt;&gt;"",'Rework Cutter Entry'!M241,"")</f>
        <v/>
      </c>
      <c r="N17" s="776" t="str">
        <f>IF('Rework Cutter Entry'!N241&lt;&gt;"",'Rework Cutter Entry'!N241,"")</f>
        <v/>
      </c>
      <c r="O17" s="776" t="str">
        <f>IF('Rework Cutter Entry'!O241&lt;&gt;"",'Rework Cutter Entry'!O241,"")</f>
        <v/>
      </c>
      <c r="P17" s="776" t="str">
        <f>IF('Rework Cutter Entry'!P241&lt;&gt;"",'Rework Cutter Entry'!P241,"")</f>
        <v/>
      </c>
      <c r="Q17" s="776" t="str">
        <f>IF('Rework Cutter Entry'!Q241&lt;&gt;"",'Rework Cutter Entry'!Q241,"")</f>
        <v/>
      </c>
      <c r="R17" s="776" t="str">
        <f>IF('Rework Cutter Entry'!R241&lt;&gt;"",'Rework Cutter Entry'!R241,"")</f>
        <v/>
      </c>
      <c r="S17" s="776" t="str">
        <f>IF('Rework Cutter Entry'!S241&lt;&gt;"",'Rework Cutter Entry'!S241,"")</f>
        <v/>
      </c>
      <c r="T17" s="776" t="str">
        <f>IF('Rework Cutter Entry'!T241&lt;&gt;"",'Rework Cutter Entry'!T241,"")</f>
        <v/>
      </c>
      <c r="U17" s="776" t="str">
        <f>IF('Rework Cutter Entry'!U241&lt;&gt;"",'Rework Cutter Entry'!U241,"")</f>
        <v/>
      </c>
      <c r="V17" s="776" t="str">
        <f>IF('Rework Cutter Entry'!V241&lt;&gt;"",'Rework Cutter Entry'!V241,"")</f>
        <v/>
      </c>
      <c r="W17" s="776" t="str">
        <f>IF('Rework Cutter Entry'!W241&lt;&gt;"",'Rework Cutter Entry'!W241,"")</f>
        <v/>
      </c>
      <c r="X17" s="776" t="str">
        <f>IF('Rework Cutter Entry'!X241&lt;&gt;"",'Rework Cutter Entry'!X241,"")</f>
        <v/>
      </c>
      <c r="Y17" s="776" t="str">
        <f>IF('Rework Cutter Entry'!Y241&lt;&gt;"",'Rework Cutter Entry'!Y241,"")</f>
        <v/>
      </c>
      <c r="Z17" s="776" t="str">
        <f>IF('Rework Cutter Entry'!Z241&lt;&gt;"",'Rework Cutter Entry'!Z241,"")</f>
        <v/>
      </c>
      <c r="AA17" s="776" t="str">
        <f>IF('Rework Cutter Entry'!AA241&lt;&gt;"",'Rework Cutter Entry'!AA241,"")</f>
        <v/>
      </c>
      <c r="AB17" s="776" t="str">
        <f>IF('Rework Cutter Entry'!AB241&lt;&gt;"",'Rework Cutter Entry'!AB241,"")</f>
        <v/>
      </c>
      <c r="AC17" s="776" t="str">
        <f>IF('Rework Cutter Entry'!AC241&lt;&gt;"",'Rework Cutter Entry'!AC241,"")</f>
        <v/>
      </c>
      <c r="AD17" s="776" t="str">
        <f>IF('Rework Cutter Entry'!AD241&lt;&gt;"",'Rework Cutter Entry'!AD241,"")</f>
        <v/>
      </c>
      <c r="AE17" s="776" t="str">
        <f>IF('Rework Cutter Entry'!AE241&lt;&gt;"",'Rework Cutter Entry'!AE241,"")</f>
        <v/>
      </c>
      <c r="AF17" s="776" t="str">
        <f>IF('Rework Cutter Entry'!AF241&lt;&gt;"",'Rework Cutter Entry'!AF241,"")</f>
        <v/>
      </c>
      <c r="AG17" s="776" t="str">
        <f>IF('Rework Cutter Entry'!AG241&lt;&gt;"",'Rework Cutter Entry'!AG241,"")</f>
        <v/>
      </c>
      <c r="AH17" s="776" t="str">
        <f>IF('Rework Cutter Entry'!AH241&lt;&gt;"",'Rework Cutter Entry'!AH241,"")</f>
        <v/>
      </c>
      <c r="AI17" s="776" t="str">
        <f>IF('Rework Cutter Entry'!AI241&lt;&gt;"",'Rework Cutter Entry'!AI241,"")</f>
        <v/>
      </c>
      <c r="AJ17" s="777" t="str">
        <f>IF('Rework Cutter Entry'!AJ241&lt;&gt;"",'Rework Cutter Entry'!AJ241,"")</f>
        <v/>
      </c>
    </row>
    <row r="18" spans="1:36" ht="13.5" customHeight="1" x14ac:dyDescent="0.35">
      <c r="A18" s="2257"/>
      <c r="B18" s="800">
        <v>8</v>
      </c>
      <c r="C18" s="792" t="str">
        <f>IF('Rework Cutter Entry'!C242&lt;&gt;"",'Rework Cutter Entry'!C242,"")</f>
        <v/>
      </c>
      <c r="D18" s="776" t="str">
        <f>IF('Rework Cutter Entry'!D242&lt;&gt;"",'Rework Cutter Entry'!D242,"")</f>
        <v/>
      </c>
      <c r="E18" s="776" t="str">
        <f>IF('Rework Cutter Entry'!E242&lt;&gt;"",'Rework Cutter Entry'!E242,"")</f>
        <v/>
      </c>
      <c r="F18" s="776" t="str">
        <f>IF('Rework Cutter Entry'!F242&lt;&gt;"",'Rework Cutter Entry'!F242,"")</f>
        <v/>
      </c>
      <c r="G18" s="776" t="str">
        <f>IF('Rework Cutter Entry'!G242&lt;&gt;"",'Rework Cutter Entry'!G242,"")</f>
        <v/>
      </c>
      <c r="H18" s="776" t="str">
        <f>IF('Rework Cutter Entry'!H242&lt;&gt;"",'Rework Cutter Entry'!H242,"")</f>
        <v/>
      </c>
      <c r="I18" s="776" t="str">
        <f>IF('Rework Cutter Entry'!I242&lt;&gt;"",'Rework Cutter Entry'!I242,"")</f>
        <v/>
      </c>
      <c r="J18" s="776" t="str">
        <f>IF('Rework Cutter Entry'!J242&lt;&gt;"",'Rework Cutter Entry'!J242,"")</f>
        <v/>
      </c>
      <c r="K18" s="776" t="str">
        <f>IF('Rework Cutter Entry'!K242&lt;&gt;"",'Rework Cutter Entry'!K242,"")</f>
        <v/>
      </c>
      <c r="L18" s="776" t="str">
        <f>IF('Rework Cutter Entry'!L242&lt;&gt;"",'Rework Cutter Entry'!L242,"")</f>
        <v/>
      </c>
      <c r="M18" s="776" t="str">
        <f>IF('Rework Cutter Entry'!M242&lt;&gt;"",'Rework Cutter Entry'!M242,"")</f>
        <v/>
      </c>
      <c r="N18" s="776" t="str">
        <f>IF('Rework Cutter Entry'!N242&lt;&gt;"",'Rework Cutter Entry'!N242,"")</f>
        <v/>
      </c>
      <c r="O18" s="776" t="str">
        <f>IF('Rework Cutter Entry'!O242&lt;&gt;"",'Rework Cutter Entry'!O242,"")</f>
        <v/>
      </c>
      <c r="P18" s="776" t="str">
        <f>IF('Rework Cutter Entry'!P242&lt;&gt;"",'Rework Cutter Entry'!P242,"")</f>
        <v/>
      </c>
      <c r="Q18" s="776" t="str">
        <f>IF('Rework Cutter Entry'!Q242&lt;&gt;"",'Rework Cutter Entry'!Q242,"")</f>
        <v/>
      </c>
      <c r="R18" s="776" t="str">
        <f>IF('Rework Cutter Entry'!R242&lt;&gt;"",'Rework Cutter Entry'!R242,"")</f>
        <v/>
      </c>
      <c r="S18" s="776" t="str">
        <f>IF('Rework Cutter Entry'!S242&lt;&gt;"",'Rework Cutter Entry'!S242,"")</f>
        <v/>
      </c>
      <c r="T18" s="776" t="str">
        <f>IF('Rework Cutter Entry'!T242&lt;&gt;"",'Rework Cutter Entry'!T242,"")</f>
        <v/>
      </c>
      <c r="U18" s="776" t="str">
        <f>IF('Rework Cutter Entry'!U242&lt;&gt;"",'Rework Cutter Entry'!U242,"")</f>
        <v/>
      </c>
      <c r="V18" s="776" t="str">
        <f>IF('Rework Cutter Entry'!V242&lt;&gt;"",'Rework Cutter Entry'!V242,"")</f>
        <v/>
      </c>
      <c r="W18" s="776" t="str">
        <f>IF('Rework Cutter Entry'!W242&lt;&gt;"",'Rework Cutter Entry'!W242,"")</f>
        <v/>
      </c>
      <c r="X18" s="776" t="str">
        <f>IF('Rework Cutter Entry'!X242&lt;&gt;"",'Rework Cutter Entry'!X242,"")</f>
        <v/>
      </c>
      <c r="Y18" s="776" t="str">
        <f>IF('Rework Cutter Entry'!Y242&lt;&gt;"",'Rework Cutter Entry'!Y242,"")</f>
        <v/>
      </c>
      <c r="Z18" s="776" t="str">
        <f>IF('Rework Cutter Entry'!Z242&lt;&gt;"",'Rework Cutter Entry'!Z242,"")</f>
        <v/>
      </c>
      <c r="AA18" s="776" t="str">
        <f>IF('Rework Cutter Entry'!AA242&lt;&gt;"",'Rework Cutter Entry'!AA242,"")</f>
        <v/>
      </c>
      <c r="AB18" s="776" t="str">
        <f>IF('Rework Cutter Entry'!AB242&lt;&gt;"",'Rework Cutter Entry'!AB242,"")</f>
        <v/>
      </c>
      <c r="AC18" s="776" t="str">
        <f>IF('Rework Cutter Entry'!AC242&lt;&gt;"",'Rework Cutter Entry'!AC242,"")</f>
        <v/>
      </c>
      <c r="AD18" s="776" t="str">
        <f>IF('Rework Cutter Entry'!AD242&lt;&gt;"",'Rework Cutter Entry'!AD242,"")</f>
        <v/>
      </c>
      <c r="AE18" s="776" t="str">
        <f>IF('Rework Cutter Entry'!AE242&lt;&gt;"",'Rework Cutter Entry'!AE242,"")</f>
        <v/>
      </c>
      <c r="AF18" s="776" t="str">
        <f>IF('Rework Cutter Entry'!AF242&lt;&gt;"",'Rework Cutter Entry'!AF242,"")</f>
        <v/>
      </c>
      <c r="AG18" s="776" t="str">
        <f>IF('Rework Cutter Entry'!AG242&lt;&gt;"",'Rework Cutter Entry'!AG242,"")</f>
        <v/>
      </c>
      <c r="AH18" s="776" t="str">
        <f>IF('Rework Cutter Entry'!AH242&lt;&gt;"",'Rework Cutter Entry'!AH242,"")</f>
        <v/>
      </c>
      <c r="AI18" s="776" t="str">
        <f>IF('Rework Cutter Entry'!AI242&lt;&gt;"",'Rework Cutter Entry'!AI242,"")</f>
        <v/>
      </c>
      <c r="AJ18" s="777" t="str">
        <f>IF('Rework Cutter Entry'!AJ242&lt;&gt;"",'Rework Cutter Entry'!AJ242,"")</f>
        <v/>
      </c>
    </row>
    <row r="19" spans="1:36" ht="13.5" customHeight="1" thickBot="1" x14ac:dyDescent="0.4">
      <c r="A19" s="2319"/>
      <c r="B19" s="798">
        <v>9</v>
      </c>
      <c r="C19" s="793" t="str">
        <f>IF('Rework Cutter Entry'!C243&lt;&gt;"",'Rework Cutter Entry'!C243,"")</f>
        <v/>
      </c>
      <c r="D19" s="779" t="str">
        <f>IF('Rework Cutter Entry'!D243&lt;&gt;"",'Rework Cutter Entry'!D243,"")</f>
        <v/>
      </c>
      <c r="E19" s="779" t="str">
        <f>IF('Rework Cutter Entry'!E243&lt;&gt;"",'Rework Cutter Entry'!E243,"")</f>
        <v/>
      </c>
      <c r="F19" s="779" t="str">
        <f>IF('Rework Cutter Entry'!F243&lt;&gt;"",'Rework Cutter Entry'!F243,"")</f>
        <v/>
      </c>
      <c r="G19" s="779" t="str">
        <f>IF('Rework Cutter Entry'!G243&lt;&gt;"",'Rework Cutter Entry'!G243,"")</f>
        <v/>
      </c>
      <c r="H19" s="779" t="str">
        <f>IF('Rework Cutter Entry'!H243&lt;&gt;"",'Rework Cutter Entry'!H243,"")</f>
        <v/>
      </c>
      <c r="I19" s="779" t="str">
        <f>IF('Rework Cutter Entry'!I243&lt;&gt;"",'Rework Cutter Entry'!I243,"")</f>
        <v/>
      </c>
      <c r="J19" s="779" t="str">
        <f>IF('Rework Cutter Entry'!J243&lt;&gt;"",'Rework Cutter Entry'!J243,"")</f>
        <v/>
      </c>
      <c r="K19" s="779" t="str">
        <f>IF('Rework Cutter Entry'!K243&lt;&gt;"",'Rework Cutter Entry'!K243,"")</f>
        <v/>
      </c>
      <c r="L19" s="779" t="str">
        <f>IF('Rework Cutter Entry'!L243&lt;&gt;"",'Rework Cutter Entry'!L243,"")</f>
        <v/>
      </c>
      <c r="M19" s="779" t="str">
        <f>IF('Rework Cutter Entry'!M243&lt;&gt;"",'Rework Cutter Entry'!M243,"")</f>
        <v/>
      </c>
      <c r="N19" s="779" t="str">
        <f>IF('Rework Cutter Entry'!N243&lt;&gt;"",'Rework Cutter Entry'!N243,"")</f>
        <v/>
      </c>
      <c r="O19" s="779" t="str">
        <f>IF('Rework Cutter Entry'!O243&lt;&gt;"",'Rework Cutter Entry'!O243,"")</f>
        <v/>
      </c>
      <c r="P19" s="779" t="str">
        <f>IF('Rework Cutter Entry'!P243&lt;&gt;"",'Rework Cutter Entry'!P243,"")</f>
        <v/>
      </c>
      <c r="Q19" s="779" t="str">
        <f>IF('Rework Cutter Entry'!Q243&lt;&gt;"",'Rework Cutter Entry'!Q243,"")</f>
        <v/>
      </c>
      <c r="R19" s="779" t="str">
        <f>IF('Rework Cutter Entry'!R243&lt;&gt;"",'Rework Cutter Entry'!R243,"")</f>
        <v/>
      </c>
      <c r="S19" s="779" t="str">
        <f>IF('Rework Cutter Entry'!S243&lt;&gt;"",'Rework Cutter Entry'!S243,"")</f>
        <v/>
      </c>
      <c r="T19" s="779" t="str">
        <f>IF('Rework Cutter Entry'!T243&lt;&gt;"",'Rework Cutter Entry'!T243,"")</f>
        <v/>
      </c>
      <c r="U19" s="779" t="str">
        <f>IF('Rework Cutter Entry'!U243&lt;&gt;"",'Rework Cutter Entry'!U243,"")</f>
        <v/>
      </c>
      <c r="V19" s="779" t="str">
        <f>IF('Rework Cutter Entry'!V243&lt;&gt;"",'Rework Cutter Entry'!V243,"")</f>
        <v/>
      </c>
      <c r="W19" s="779" t="str">
        <f>IF('Rework Cutter Entry'!W243&lt;&gt;"",'Rework Cutter Entry'!W243,"")</f>
        <v/>
      </c>
      <c r="X19" s="779" t="str">
        <f>IF('Rework Cutter Entry'!X243&lt;&gt;"",'Rework Cutter Entry'!X243,"")</f>
        <v/>
      </c>
      <c r="Y19" s="779" t="str">
        <f>IF('Rework Cutter Entry'!Y243&lt;&gt;"",'Rework Cutter Entry'!Y243,"")</f>
        <v/>
      </c>
      <c r="Z19" s="779" t="str">
        <f>IF('Rework Cutter Entry'!Z243&lt;&gt;"",'Rework Cutter Entry'!Z243,"")</f>
        <v/>
      </c>
      <c r="AA19" s="779" t="str">
        <f>IF('Rework Cutter Entry'!AA243&lt;&gt;"",'Rework Cutter Entry'!AA243,"")</f>
        <v/>
      </c>
      <c r="AB19" s="779" t="str">
        <f>IF('Rework Cutter Entry'!AB243&lt;&gt;"",'Rework Cutter Entry'!AB243,"")</f>
        <v/>
      </c>
      <c r="AC19" s="779" t="str">
        <f>IF('Rework Cutter Entry'!AC243&lt;&gt;"",'Rework Cutter Entry'!AC243,"")</f>
        <v/>
      </c>
      <c r="AD19" s="779" t="str">
        <f>IF('Rework Cutter Entry'!AD243&lt;&gt;"",'Rework Cutter Entry'!AD243,"")</f>
        <v/>
      </c>
      <c r="AE19" s="779" t="str">
        <f>IF('Rework Cutter Entry'!AE243&lt;&gt;"",'Rework Cutter Entry'!AE243,"")</f>
        <v/>
      </c>
      <c r="AF19" s="779" t="str">
        <f>IF('Rework Cutter Entry'!AF243&lt;&gt;"",'Rework Cutter Entry'!AF243,"")</f>
        <v/>
      </c>
      <c r="AG19" s="779" t="str">
        <f>IF('Rework Cutter Entry'!AG243&lt;&gt;"",'Rework Cutter Entry'!AG243,"")</f>
        <v/>
      </c>
      <c r="AH19" s="779" t="str">
        <f>IF('Rework Cutter Entry'!AH243&lt;&gt;"",'Rework Cutter Entry'!AH243,"")</f>
        <v/>
      </c>
      <c r="AI19" s="779" t="str">
        <f>IF('Rework Cutter Entry'!AI243&lt;&gt;"",'Rework Cutter Entry'!AI243,"")</f>
        <v/>
      </c>
      <c r="AJ19" s="780" t="str">
        <f>IF('Rework Cutter Entry'!AJ243&lt;&gt;"",'Rework Cutter Entry'!AJ243,"")</f>
        <v/>
      </c>
    </row>
    <row r="20" spans="1:36" ht="4.5" customHeight="1" thickBot="1" x14ac:dyDescent="0.4">
      <c r="A20" s="450"/>
      <c r="B20" s="450"/>
      <c r="C20" s="450"/>
      <c r="D20" s="450"/>
      <c r="E20" s="449"/>
      <c r="F20" s="449"/>
      <c r="G20" s="449"/>
      <c r="H20" s="449"/>
      <c r="I20" s="449"/>
      <c r="J20" s="449"/>
      <c r="K20" s="451"/>
      <c r="L20" s="451"/>
      <c r="M20" s="453"/>
      <c r="N20" s="453"/>
      <c r="O20" s="453"/>
      <c r="P20" s="453"/>
      <c r="Q20" s="453"/>
      <c r="R20" s="453"/>
      <c r="S20" s="454"/>
      <c r="T20" s="451"/>
      <c r="U20" s="451"/>
      <c r="V20" s="449"/>
      <c r="W20" s="449"/>
      <c r="X20" s="449"/>
      <c r="Y20" s="453"/>
      <c r="Z20" s="453"/>
      <c r="AA20" s="453"/>
      <c r="AB20" s="453"/>
      <c r="AC20" s="453"/>
      <c r="AD20" s="453"/>
      <c r="AE20" s="454"/>
      <c r="AF20" s="451"/>
      <c r="AG20" s="451"/>
      <c r="AH20" s="449"/>
      <c r="AI20" s="449"/>
      <c r="AJ20" s="449"/>
    </row>
    <row r="21" spans="1:36" ht="18" customHeight="1" thickBot="1" x14ac:dyDescent="0.4">
      <c r="A21" s="1679" t="s">
        <v>20</v>
      </c>
      <c r="B21" s="1679"/>
      <c r="C21" s="1679"/>
      <c r="D21" s="2346">
        <f>IF(COUNTIF($C$11:$AJ$19,"*R*"),COUNTIF($C$11:$AJ$19,"*R*"),0)</f>
        <v>0</v>
      </c>
      <c r="E21" s="2347"/>
      <c r="F21" s="1679" t="s">
        <v>968</v>
      </c>
      <c r="G21" s="1679"/>
      <c r="H21" s="1679"/>
      <c r="I21" s="1864">
        <f>IF(COUNTIF($C$11:$AJ$19,"*S*"),COUNTIF($C$11:$AJ$19,"*S*"),0)</f>
        <v>0</v>
      </c>
      <c r="J21" s="1866"/>
      <c r="K21" s="1679" t="s">
        <v>969</v>
      </c>
      <c r="L21" s="1679"/>
      <c r="M21" s="1679"/>
      <c r="N21" s="2346">
        <f>IF(COUNTIF($C$11:$AJ$19,"*O*"),COUNTIF($C$11:$AJ$19,"*O*"),0)</f>
        <v>62</v>
      </c>
      <c r="O21" s="2347"/>
      <c r="P21" s="1679" t="s">
        <v>970</v>
      </c>
      <c r="Q21" s="1679"/>
      <c r="R21" s="1679"/>
      <c r="S21" s="1864">
        <f>IF(COUNTIF($C$11:$AJ$19,"*F*"),COUNTIF($C$11:$AJ$19,"*F*"),0)</f>
        <v>0</v>
      </c>
      <c r="T21" s="1866"/>
      <c r="U21" s="1679" t="s">
        <v>971</v>
      </c>
      <c r="V21" s="1679"/>
      <c r="W21" s="1679"/>
      <c r="X21" s="1679"/>
      <c r="Y21" s="2346">
        <f>SUM(D28+D29+D30+D31+D32+D33+D34)</f>
        <v>0</v>
      </c>
      <c r="Z21" s="2347"/>
      <c r="AB21" s="2348" t="s">
        <v>21</v>
      </c>
      <c r="AC21" s="2348"/>
      <c r="AD21" s="1864">
        <f>SUM(D21+I21+N21+S21+Y21)</f>
        <v>62</v>
      </c>
      <c r="AE21" s="1866"/>
    </row>
    <row r="22" spans="1:36" ht="4.5" customHeight="1" thickBot="1" x14ac:dyDescent="0.4">
      <c r="A22" s="456"/>
      <c r="B22" s="456"/>
      <c r="C22" s="456"/>
      <c r="D22" s="456"/>
      <c r="E22" s="456"/>
      <c r="F22" s="456"/>
      <c r="G22" s="456"/>
      <c r="H22" s="456"/>
      <c r="I22" s="456"/>
      <c r="J22" s="456"/>
      <c r="K22" s="456"/>
      <c r="L22" s="456"/>
      <c r="M22" s="456"/>
      <c r="N22" s="456"/>
      <c r="O22" s="456"/>
      <c r="S22" s="456"/>
      <c r="T22" s="456"/>
      <c r="U22" s="456"/>
      <c r="V22" s="456"/>
      <c r="W22" s="456"/>
      <c r="X22" s="456"/>
      <c r="Y22" s="456"/>
      <c r="Z22" s="456"/>
      <c r="AA22" s="456"/>
      <c r="AE22" s="456"/>
      <c r="AF22" s="456"/>
      <c r="AG22" s="456"/>
      <c r="AH22" s="456"/>
      <c r="AI22" s="456"/>
      <c r="AJ22" s="456"/>
    </row>
    <row r="23" spans="1:36" ht="14.25" customHeight="1" x14ac:dyDescent="0.35">
      <c r="A23" s="1860" t="s">
        <v>19</v>
      </c>
      <c r="B23" s="1831"/>
      <c r="C23" s="1831"/>
      <c r="D23" s="1895" t="str">
        <f>IF(IF('[1]Rework Cutter Entry'!$D$61&lt;&gt;"",'[1]Rework Cutter Entry'!D61,IF('[1]Rework Cutter Entry'!$D$40&lt;&gt;"",'[1]Rework Cutter Entry'!D40,IF('[1]Rework Cutter Entry'!$D$19&lt;&gt;"",'[1]Rework Cutter Entry'!D19,"")))="","",IF('[1]Rework Cutter Entry'!$D$61&lt;&gt;"",'[1]Rework Cutter Entry'!D61,IF('[1]Rework Cutter Entry'!$D$40&lt;&gt;"",'[1]Rework Cutter Entry'!D40,IF('[1]Rework Cutter Entry'!$D$19&lt;&gt;"",'[1]Rework Cutter Entry'!D19,""))))</f>
        <v/>
      </c>
      <c r="E23" s="1895"/>
      <c r="F23" s="1895"/>
      <c r="G23" s="1895"/>
      <c r="H23" s="1895"/>
      <c r="I23" s="1895"/>
      <c r="J23" s="1895"/>
      <c r="K23" s="1895"/>
      <c r="L23" s="1895"/>
      <c r="M23" s="1895"/>
      <c r="N23" s="1895"/>
      <c r="O23" s="1895"/>
      <c r="P23" s="1895"/>
      <c r="Q23" s="1895"/>
      <c r="R23" s="1895"/>
      <c r="S23" s="1895"/>
      <c r="T23" s="1895"/>
      <c r="U23" s="1895"/>
      <c r="V23" s="1895"/>
      <c r="W23" s="1895"/>
      <c r="X23" s="1895"/>
      <c r="Y23" s="1895"/>
      <c r="Z23" s="1895"/>
      <c r="AA23" s="1895"/>
      <c r="AB23" s="1895"/>
      <c r="AC23" s="1895"/>
      <c r="AD23" s="1895"/>
      <c r="AE23" s="1895"/>
      <c r="AF23" s="1895"/>
      <c r="AG23" s="1895"/>
      <c r="AH23" s="1895"/>
      <c r="AI23" s="1895"/>
      <c r="AJ23" s="1896"/>
    </row>
    <row r="24" spans="1:36" ht="14.25" customHeight="1" thickBot="1" x14ac:dyDescent="0.4">
      <c r="A24" s="1456" t="str">
        <f>IF(Instructions!$L$1&lt;&gt;"",Instructions!$L$1,"")</f>
        <v/>
      </c>
      <c r="B24" s="1457"/>
      <c r="C24" s="1457"/>
      <c r="D24" s="1898"/>
      <c r="E24" s="1898"/>
      <c r="F24" s="1898"/>
      <c r="G24" s="1898"/>
      <c r="H24" s="1898"/>
      <c r="I24" s="1898"/>
      <c r="J24" s="1898"/>
      <c r="K24" s="1898"/>
      <c r="L24" s="1898"/>
      <c r="M24" s="1898"/>
      <c r="N24" s="1898"/>
      <c r="O24" s="1898"/>
      <c r="P24" s="1898"/>
      <c r="Q24" s="1898"/>
      <c r="R24" s="1898"/>
      <c r="S24" s="1898"/>
      <c r="T24" s="1898"/>
      <c r="U24" s="1898"/>
      <c r="V24" s="1898"/>
      <c r="W24" s="1898"/>
      <c r="X24" s="1898"/>
      <c r="Y24" s="1898"/>
      <c r="Z24" s="1898"/>
      <c r="AA24" s="1898"/>
      <c r="AB24" s="1898"/>
      <c r="AC24" s="1898"/>
      <c r="AD24" s="1898"/>
      <c r="AE24" s="1898"/>
      <c r="AF24" s="1898"/>
      <c r="AG24" s="1898"/>
      <c r="AH24" s="1898"/>
      <c r="AI24" s="1898"/>
      <c r="AJ24" s="1899"/>
    </row>
    <row r="25" spans="1:36" ht="14.25" customHeight="1" thickBot="1" x14ac:dyDescent="0.4">
      <c r="A25" s="2343" t="s">
        <v>39</v>
      </c>
      <c r="B25" s="2344"/>
      <c r="C25" s="2344"/>
      <c r="D25" s="2344"/>
      <c r="E25" s="2344"/>
      <c r="F25" s="2344"/>
      <c r="G25" s="2344"/>
      <c r="H25" s="2344"/>
      <c r="I25" s="2344"/>
      <c r="J25" s="2344"/>
      <c r="K25" s="2344"/>
      <c r="L25" s="2344"/>
      <c r="M25" s="2344"/>
      <c r="N25" s="2344"/>
      <c r="O25" s="2344"/>
      <c r="P25" s="2344"/>
      <c r="Q25" s="2344"/>
      <c r="R25" s="2344"/>
      <c r="S25" s="2344"/>
      <c r="T25" s="2344"/>
      <c r="U25" s="2344"/>
      <c r="V25" s="2344"/>
      <c r="W25" s="2344"/>
      <c r="X25" s="2344"/>
      <c r="Y25" s="2344"/>
      <c r="Z25" s="2344"/>
      <c r="AA25" s="2344"/>
      <c r="AB25" s="2344"/>
      <c r="AC25" s="2344"/>
      <c r="AD25" s="2344"/>
      <c r="AE25" s="2344"/>
      <c r="AF25" s="2344"/>
      <c r="AG25" s="2344"/>
      <c r="AH25" s="2344"/>
      <c r="AI25" s="2344"/>
      <c r="AJ25" s="2345"/>
    </row>
    <row r="26" spans="1:36" ht="7.5" customHeight="1" x14ac:dyDescent="0.35">
      <c r="A26" s="1657" t="s">
        <v>108</v>
      </c>
      <c r="B26" s="1647"/>
      <c r="C26" s="1647"/>
      <c r="D26" s="1647" t="s">
        <v>40</v>
      </c>
      <c r="E26" s="1647"/>
      <c r="F26" s="1647"/>
      <c r="G26" s="1647"/>
      <c r="H26" s="1647" t="s">
        <v>41</v>
      </c>
      <c r="I26" s="1647"/>
      <c r="J26" s="1647"/>
      <c r="K26" s="1647"/>
      <c r="L26" s="1647"/>
      <c r="M26" s="1647" t="s">
        <v>730</v>
      </c>
      <c r="N26" s="1647"/>
      <c r="O26" s="1647"/>
      <c r="P26" s="1647"/>
      <c r="Q26" s="1647"/>
      <c r="R26" s="1647" t="s">
        <v>43</v>
      </c>
      <c r="S26" s="1647"/>
      <c r="T26" s="1647"/>
      <c r="U26" s="1647"/>
      <c r="V26" s="1647"/>
      <c r="W26" s="1647"/>
      <c r="X26" s="1647"/>
      <c r="Y26" s="1659" t="s">
        <v>44</v>
      </c>
      <c r="Z26" s="1659"/>
      <c r="AA26" s="1659"/>
      <c r="AB26" s="1659"/>
      <c r="AC26" s="1659"/>
      <c r="AD26" s="1659"/>
      <c r="AE26" s="1659"/>
      <c r="AF26" s="1659"/>
      <c r="AG26" s="1659"/>
      <c r="AH26" s="1659"/>
      <c r="AI26" s="1659"/>
      <c r="AJ26" s="1660"/>
    </row>
    <row r="27" spans="1:36" ht="7.5" customHeight="1" x14ac:dyDescent="0.35">
      <c r="A27" s="1658"/>
      <c r="B27" s="1648"/>
      <c r="C27" s="1648"/>
      <c r="D27" s="1648"/>
      <c r="E27" s="1648"/>
      <c r="F27" s="1648"/>
      <c r="G27" s="1648"/>
      <c r="H27" s="1648"/>
      <c r="I27" s="1648"/>
      <c r="J27" s="1648"/>
      <c r="K27" s="1648"/>
      <c r="L27" s="1648"/>
      <c r="M27" s="1648"/>
      <c r="N27" s="1648"/>
      <c r="O27" s="1648"/>
      <c r="P27" s="1648"/>
      <c r="Q27" s="1648"/>
      <c r="R27" s="1648"/>
      <c r="S27" s="1648"/>
      <c r="T27" s="1648"/>
      <c r="U27" s="1648"/>
      <c r="V27" s="1648"/>
      <c r="W27" s="1648"/>
      <c r="X27" s="1648"/>
      <c r="Y27" s="1434"/>
      <c r="Z27" s="1434"/>
      <c r="AA27" s="1434"/>
      <c r="AB27" s="1434"/>
      <c r="AC27" s="1434"/>
      <c r="AD27" s="1434"/>
      <c r="AE27" s="1434"/>
      <c r="AF27" s="1434"/>
      <c r="AG27" s="1434"/>
      <c r="AH27" s="1434"/>
      <c r="AI27" s="1434"/>
      <c r="AJ27" s="1661"/>
    </row>
    <row r="28" spans="1:36" ht="12.75" customHeight="1" x14ac:dyDescent="0.35">
      <c r="A28" s="1419">
        <f>IF(TRIM(M28)="","",IF(Data!CX60&gt;0,IF(Data!CX60&lt;&gt;"", Data!CX60, " ")," "))</f>
        <v>1</v>
      </c>
      <c r="B28" s="1420"/>
      <c r="C28" s="1420"/>
      <c r="D28" s="1799">
        <f>IF(COUNTIF($C$11:$AJ$19,"*X*1*"),COUNTIF($C$11:$AJ$19,"*X*1*"),0)+IF(COUNTIF($C$11:$AJ$19,"*L*1*"),COUNTIF($C$11:$AJ$19,"*L*1*"),0)</f>
        <v>0</v>
      </c>
      <c r="E28" s="1799"/>
      <c r="F28" s="1799"/>
      <c r="G28" s="1799"/>
      <c r="H28" s="1799">
        <f>IF(Data!GK2&gt;0,IF(Data!GK2&lt;&gt;"",Data!GK2," ")," ")</f>
        <v>1613</v>
      </c>
      <c r="I28" s="1799"/>
      <c r="J28" s="1799"/>
      <c r="K28" s="1799"/>
      <c r="L28" s="1799"/>
      <c r="M28" s="1799">
        <f>IF(Data!GG2&gt;0,IF(Data!GG2&lt;&gt;"",IF(Data!GG2&lt;&gt;"Add the cutter in list",Data!GG2," ")," "),"")</f>
        <v>1039060</v>
      </c>
      <c r="N28" s="1799"/>
      <c r="O28" s="1799"/>
      <c r="P28" s="1799"/>
      <c r="Q28" s="1799"/>
      <c r="R28" s="1799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CT138  0.018"</v>
      </c>
      <c r="S28" s="1799"/>
      <c r="T28" s="1799"/>
      <c r="U28" s="1799"/>
      <c r="V28" s="1799"/>
      <c r="W28" s="1799"/>
      <c r="X28" s="1799"/>
      <c r="Y28" s="1799" t="str">
        <f>IF(IF(A28=Data!$D$4,Data!$G$4,IF('Rework (2)'!A28=Data!$D$5,Data!$G$5,IF('Rework (2)'!A28=Data!$D$6,Data!$G$6,IF(Data!BL46&lt;&gt;0,Data!BL46," "))))=0,"",IF(A28=Data!$D$4,"To Replace Cutter # "&amp;Data!$G$4,IF('Rework (2)'!A28=Data!$D$5,"To Replace Cutter # "&amp;Data!$G$5,IF('Rework (2)'!A28=Data!$D$6,"To Replace Cutter # "&amp;Data!$G$6,IF(Data!BL46&lt;&gt;0,Data!BL46," ")))))</f>
        <v xml:space="preserve"> </v>
      </c>
      <c r="Z28" s="1799"/>
      <c r="AA28" s="1799"/>
      <c r="AB28" s="1799"/>
      <c r="AC28" s="1799"/>
      <c r="AD28" s="1799"/>
      <c r="AE28" s="1799"/>
      <c r="AF28" s="1799"/>
      <c r="AG28" s="1799"/>
      <c r="AH28" s="1799"/>
      <c r="AI28" s="1799"/>
      <c r="AJ28" s="2293"/>
    </row>
    <row r="29" spans="1:36" ht="12.75" customHeight="1" x14ac:dyDescent="0.35">
      <c r="A29" s="1419">
        <f>IF(TRIM(M29)="","",IF(Data!CX61&gt;0,IF(Data!CX61&lt;&gt;"", Data!CX61, " ")," "))</f>
        <v>2</v>
      </c>
      <c r="B29" s="1420"/>
      <c r="C29" s="1420"/>
      <c r="D29" s="1799">
        <f>IF(COUNTIF($C$11:$AJ$19,"*X*2*"),COUNTIF($C$11:$AJ$19,"*X*2*"),0)+IF(COUNTIF($C$11:$AJ$19,"*L*2*"),COUNTIF($C$11:$AJ$19,"*L*2*"),0)</f>
        <v>0</v>
      </c>
      <c r="E29" s="1799"/>
      <c r="F29" s="1799"/>
      <c r="G29" s="1799"/>
      <c r="H29" s="1799">
        <f>IF(Data!GK3&gt;0,IF(Data!GK3&lt;&gt;"",Data!GK3," ")," ")</f>
        <v>1608</v>
      </c>
      <c r="I29" s="1799"/>
      <c r="J29" s="1799"/>
      <c r="K29" s="1799"/>
      <c r="L29" s="1799"/>
      <c r="M29" s="1799">
        <f>IF(Data!GG3&gt;0,IF(Data!GG3&lt;&gt;"",IF(Data!GG3&lt;&gt;"Add the cutter in list",Data!GG3," ")," "),"")</f>
        <v>1130197</v>
      </c>
      <c r="N29" s="1799"/>
      <c r="O29" s="1799"/>
      <c r="P29" s="1799"/>
      <c r="Q29" s="1799"/>
      <c r="R29" s="1799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CT182  0.018</v>
      </c>
      <c r="S29" s="1799"/>
      <c r="T29" s="1799"/>
      <c r="U29" s="1799"/>
      <c r="V29" s="1799"/>
      <c r="W29" s="1799"/>
      <c r="X29" s="1799"/>
      <c r="Y29" s="1799" t="str">
        <f>IF(IF(A29=Data!$D$4,Data!$G$4,IF('Rework (2)'!A29=Data!$D$5,Data!$G$5,IF('Rework (2)'!A29=Data!$D$6,Data!$G$6,IF(Data!BL47&lt;&gt;0,Data!BL47," "))))=0,"",IF(A29=Data!$D$4,"To Replace Cutter # "&amp;Data!$G$4,IF('Rework (2)'!A29=Data!$D$5,"To Replace Cutter # "&amp;Data!$G$5,IF('Rework (2)'!A29=Data!$D$6,"To Replace Cutter # "&amp;Data!$G$6,IF(Data!BL47&lt;&gt;0,Data!BL47," ")))))</f>
        <v xml:space="preserve"> </v>
      </c>
      <c r="Z29" s="1799"/>
      <c r="AA29" s="1799"/>
      <c r="AB29" s="1799"/>
      <c r="AC29" s="1799"/>
      <c r="AD29" s="1799"/>
      <c r="AE29" s="1799"/>
      <c r="AF29" s="1799"/>
      <c r="AG29" s="1799"/>
      <c r="AH29" s="1799"/>
      <c r="AI29" s="1799"/>
      <c r="AJ29" s="2293"/>
    </row>
    <row r="30" spans="1:36" ht="12.75" customHeight="1" x14ac:dyDescent="0.35">
      <c r="A30" s="1419">
        <f>IF(TRIM(M30)="","",IF(Data!CX62&gt;0,IF(Data!CX62&lt;&gt;"", Data!CX62, " ")," "))</f>
        <v>3</v>
      </c>
      <c r="B30" s="1420"/>
      <c r="C30" s="1420"/>
      <c r="D30" s="1799">
        <f>IF(COUNTIF($C$11:$AJ$19,"*X*3*"),COUNTIF($C$11:$AJ$19,"*X*3*"),0)+IF(COUNTIF($C$11:$AJ$19,"*L*3*"),COUNTIF($C$11:$AJ$19,"*L*3*"),0)</f>
        <v>0</v>
      </c>
      <c r="E30" s="1799"/>
      <c r="F30" s="1799"/>
      <c r="G30" s="1799"/>
      <c r="H30" s="1799">
        <f>IF(Data!GK4&gt;0,IF(Data!GK4&lt;&gt;"",Data!GK4," ")," ")</f>
        <v>1308</v>
      </c>
      <c r="I30" s="1799"/>
      <c r="J30" s="1799"/>
      <c r="K30" s="1799"/>
      <c r="L30" s="1799"/>
      <c r="M30" s="1799">
        <f>IF(Data!GG4&gt;0,IF(Data!GG4&lt;&gt;"",IF(Data!GG4&lt;&gt;"Add the cutter in list",Data!GG4," ")," "),"")</f>
        <v>418525</v>
      </c>
      <c r="N30" s="1799"/>
      <c r="O30" s="1799"/>
      <c r="P30" s="1799"/>
      <c r="Q30" s="1799"/>
      <c r="R30" s="1799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S30" s="1799"/>
      <c r="T30" s="1799"/>
      <c r="U30" s="1799"/>
      <c r="V30" s="1799"/>
      <c r="W30" s="1799"/>
      <c r="X30" s="1799"/>
      <c r="Y30" s="1799" t="str">
        <f>IF(IF(A30=Data!$D$4,Data!$G$4,IF('Rework (2)'!A30=Data!$D$5,Data!$G$5,IF('Rework (2)'!A30=Data!$D$6,Data!$G$6,IF(Data!BL48&lt;&gt;0,Data!BL48," "))))=0,"",IF(A30=Data!$D$4,"To Replace Cutter # "&amp;Data!$G$4,IF('Rework (2)'!A30=Data!$D$5,"To Replace Cutter # "&amp;Data!$G$5,IF('Rework (2)'!A30=Data!$D$6,"To Replace Cutter # "&amp;Data!$G$6,IF(Data!BL48&lt;&gt;0,Data!BL48," ")))))</f>
        <v xml:space="preserve"> </v>
      </c>
      <c r="Z30" s="1799"/>
      <c r="AA30" s="1799"/>
      <c r="AB30" s="1799"/>
      <c r="AC30" s="1799"/>
      <c r="AD30" s="1799"/>
      <c r="AE30" s="1799"/>
      <c r="AF30" s="1799"/>
      <c r="AG30" s="1799"/>
      <c r="AH30" s="1799"/>
      <c r="AI30" s="1799"/>
      <c r="AJ30" s="2293"/>
    </row>
    <row r="31" spans="1:36" ht="12.75" customHeight="1" x14ac:dyDescent="0.35">
      <c r="A31" s="1419">
        <f>IF(TRIM(M31)="","",IF(Data!CX63&gt;0,IF(Data!CX63&lt;&gt;"", Data!CX63, " ")," "))</f>
        <v>4</v>
      </c>
      <c r="B31" s="1420"/>
      <c r="C31" s="1420"/>
      <c r="D31" s="1799">
        <f>IF(COUNTIF($C$11:$AJ$19,"*X*4*"),COUNTIF($C$11:$AJ$19,"*X*4*"),0)+IF(COUNTIF($C$11:$AJ$19,"*L*4*"),COUNTIF($C$11:$AJ$19,"*L*4*"),0)</f>
        <v>0</v>
      </c>
      <c r="E31" s="1799"/>
      <c r="F31" s="1799"/>
      <c r="G31" s="1799"/>
      <c r="H31" s="1799">
        <f>IF(Data!GK5&gt;0,IF(Data!GK5&lt;&gt;"",Data!GK5," ")," ")</f>
        <v>1608</v>
      </c>
      <c r="I31" s="1799"/>
      <c r="J31" s="1799"/>
      <c r="K31" s="1799"/>
      <c r="L31" s="1799"/>
      <c r="M31" s="1799">
        <f>IF(Data!GG5&gt;0,IF(Data!GG5&lt;&gt;"",IF(Data!GG5&lt;&gt;"Add the cutter in list",Data!GG5," ")," "),"")</f>
        <v>643738</v>
      </c>
      <c r="N31" s="1799"/>
      <c r="O31" s="1799"/>
      <c r="P31" s="1799"/>
      <c r="Q31" s="1799"/>
      <c r="R31" s="1799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CT70  0.018"</v>
      </c>
      <c r="S31" s="1799"/>
      <c r="T31" s="1799"/>
      <c r="U31" s="1799"/>
      <c r="V31" s="1799"/>
      <c r="W31" s="1799"/>
      <c r="X31" s="1799"/>
      <c r="Y31" s="1799" t="str">
        <f>IF(IF(A31=Data!$D$4,Data!$G$4,IF('Rework (2)'!A31=Data!$D$5,Data!$G$5,IF('Rework (2)'!A31=Data!$D$6,Data!$G$6,IF(Data!BL49&lt;&gt;0,Data!BL49," "))))=0,"",IF(A31=Data!$D$4,"To Replace Cutter # "&amp;Data!$G$4,IF('Rework (2)'!A31=Data!$D$5,"To Replace Cutter # "&amp;Data!$G$5,IF('Rework (2)'!A31=Data!$D$6,"To Replace Cutter # "&amp;Data!$G$6,IF(Data!BL49&lt;&gt;0,Data!BL49," ")))))</f>
        <v>To Replace Cutter # 2</v>
      </c>
      <c r="Z31" s="1799"/>
      <c r="AA31" s="1799"/>
      <c r="AB31" s="1799"/>
      <c r="AC31" s="1799"/>
      <c r="AD31" s="1799"/>
      <c r="AE31" s="1799"/>
      <c r="AF31" s="1799"/>
      <c r="AG31" s="1799"/>
      <c r="AH31" s="1799"/>
      <c r="AI31" s="1799"/>
      <c r="AJ31" s="2293"/>
    </row>
    <row r="32" spans="1:36" ht="12.75" customHeight="1" x14ac:dyDescent="0.35">
      <c r="A32" s="1419">
        <f>IF(TRIM(M32)="","",IF(Data!CX64&gt;0,IF(Data!CX64&lt;&gt;"", Data!CX64, " ")," "))</f>
        <v>5</v>
      </c>
      <c r="B32" s="1420"/>
      <c r="C32" s="1420"/>
      <c r="D32" s="1799">
        <f>IF(COUNTIF($C$11:$AJ$19,"*X*5*"),COUNTIF($C$11:$AJ$19,"*X*5*"),0)+IF(COUNTIF($C$11:$AJ$19,"*L*5*"),COUNTIF($C$11:$AJ$19,"*L*5*"),0)</f>
        <v>0</v>
      </c>
      <c r="E32" s="1799"/>
      <c r="F32" s="1799"/>
      <c r="G32" s="1799"/>
      <c r="H32" s="1799">
        <f>IF(Data!GK6&gt;0,IF(Data!GK6&lt;&gt;"",Data!GK6," ")," ")</f>
        <v>1613</v>
      </c>
      <c r="I32" s="1799"/>
      <c r="J32" s="1799"/>
      <c r="K32" s="1799"/>
      <c r="L32" s="1799"/>
      <c r="M32" s="1799">
        <f>IF(Data!GG6&gt;0,IF(Data!GG6&lt;&gt;"",IF(Data!GG6&lt;&gt;"Add the cutter in list",Data!GG6," ")," "),"")</f>
        <v>1126402</v>
      </c>
      <c r="N32" s="1799"/>
      <c r="O32" s="1799"/>
      <c r="P32" s="1799"/>
      <c r="Q32" s="1799"/>
      <c r="R32" s="1799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>CT421  18-60</v>
      </c>
      <c r="S32" s="1799"/>
      <c r="T32" s="1799"/>
      <c r="U32" s="1799"/>
      <c r="V32" s="1799"/>
      <c r="W32" s="1799"/>
      <c r="X32" s="1799"/>
      <c r="Y32" s="1799" t="str">
        <f>IF(IF(A32=Data!$D$4,Data!$G$4,IF('Rework (2)'!A32=Data!$D$5,Data!$G$5,IF('Rework (2)'!A32=Data!$D$6,Data!$G$6,IF(Data!BL50&lt;&gt;0,Data!BL50," "))))=0,"",IF(A32=Data!$D$4,"To Replace Cutter # "&amp;Data!$G$4,IF('Rework (2)'!A32=Data!$D$5,"To Replace Cutter # "&amp;Data!$G$5,IF('Rework (2)'!A32=Data!$D$6,"To Replace Cutter # "&amp;Data!$G$6,IF(Data!BL50&lt;&gt;0,Data!BL50," ")))))</f>
        <v>To Replace Cutter # 1</v>
      </c>
      <c r="Z32" s="1799"/>
      <c r="AA32" s="1799"/>
      <c r="AB32" s="1799"/>
      <c r="AC32" s="1799"/>
      <c r="AD32" s="1799"/>
      <c r="AE32" s="1799"/>
      <c r="AF32" s="1799"/>
      <c r="AG32" s="1799"/>
      <c r="AH32" s="1799"/>
      <c r="AI32" s="1799"/>
      <c r="AJ32" s="2293"/>
    </row>
    <row r="33" spans="1:44" ht="12.75" customHeight="1" x14ac:dyDescent="0.35">
      <c r="A33" s="1419" t="str">
        <f>IF(TRIM(M33)="","",IF(Data!CX65&gt;0,IF(Data!CX65&lt;&gt;"", Data!CX65, " ")," "))</f>
        <v/>
      </c>
      <c r="B33" s="1420"/>
      <c r="C33" s="1420"/>
      <c r="D33" s="1799">
        <f>IF(COUNTIF($C$11:$AJ$19,"*X*6*"),COUNTIF($C$11:$AJ$19,"*X*6*"),0)+IF(COUNTIF($C$11:$AJ$19,"*L*6*"),COUNTIF($C$11:$AJ$19,"*L*6*"),0)</f>
        <v>0</v>
      </c>
      <c r="E33" s="1799"/>
      <c r="F33" s="1799"/>
      <c r="G33" s="1799"/>
      <c r="H33" s="1799" t="str">
        <f>IF(Data!GK7&gt;0,IF(Data!GK7&lt;&gt;"",Data!GK7," ")," ")</f>
        <v xml:space="preserve"> </v>
      </c>
      <c r="I33" s="1799"/>
      <c r="J33" s="1799"/>
      <c r="K33" s="1799"/>
      <c r="L33" s="1799"/>
      <c r="M33" s="1799" t="str">
        <f>IF(Data!GG7&gt;0,IF(Data!GG7&lt;&gt;"",IF(Data!GG7&lt;&gt;"Add the cutter in list",Data!GG7," ")," "),"")</f>
        <v xml:space="preserve"> </v>
      </c>
      <c r="N33" s="1799"/>
      <c r="O33" s="1799"/>
      <c r="P33" s="1799"/>
      <c r="Q33" s="1799"/>
      <c r="R33" s="1799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S33" s="1799"/>
      <c r="T33" s="1799"/>
      <c r="U33" s="1799"/>
      <c r="V33" s="1799"/>
      <c r="W33" s="1799"/>
      <c r="X33" s="1799"/>
      <c r="Y33" s="1799" t="str">
        <f>IF(IF(A33=Data!$D$4,Data!$G$4,IF('Rework (2)'!A33=Data!$D$5,Data!$G$5,IF('Rework (2)'!A33=Data!$D$6,Data!$G$6,IF(Data!BL51&lt;&gt;0,Data!BL51," "))))=0,"",IF(A33=Data!$D$4,"To Replace Cutter # "&amp;Data!$G$4,IF('Rework (2)'!A33=Data!$D$5,"To Replace Cutter # "&amp;Data!$G$5,IF('Rework (2)'!A33=Data!$D$6,"To Replace Cutter # "&amp;Data!$G$6,IF(Data!BL51&lt;&gt;0,Data!BL51," ")))))</f>
        <v/>
      </c>
      <c r="Z33" s="1799"/>
      <c r="AA33" s="1799"/>
      <c r="AB33" s="1799"/>
      <c r="AC33" s="1799"/>
      <c r="AD33" s="1799"/>
      <c r="AE33" s="1799"/>
      <c r="AF33" s="1799"/>
      <c r="AG33" s="1799"/>
      <c r="AH33" s="1799"/>
      <c r="AI33" s="1799"/>
      <c r="AJ33" s="2293"/>
    </row>
    <row r="34" spans="1:44" ht="12.75" customHeight="1" x14ac:dyDescent="0.35">
      <c r="A34" s="1419" t="str">
        <f>IF(TRIM(M34)="","",IF(Data!CX66&gt;0,IF(Data!CX66&lt;&gt;"", Data!CX66, " ")," "))</f>
        <v/>
      </c>
      <c r="B34" s="1420"/>
      <c r="C34" s="1420"/>
      <c r="D34" s="1799">
        <f>IF(COUNTIF($C$11:$AJ$19,"*X*7*"),COUNTIF($C$11:$AJ$19,"*X*7*"),0)+IF(COUNTIF($C$11:$AJ$19,"*L*7*"),COUNTIF($C$11:$AJ$19,"*L*7*"),0)</f>
        <v>0</v>
      </c>
      <c r="E34" s="1799"/>
      <c r="F34" s="1799"/>
      <c r="G34" s="1799"/>
      <c r="H34" s="1799" t="str">
        <f>IF(Data!GK8&gt;0,IF(Data!GK8&lt;&gt;"",Data!GK8," ")," ")</f>
        <v xml:space="preserve"> </v>
      </c>
      <c r="I34" s="1799"/>
      <c r="J34" s="1799"/>
      <c r="K34" s="1799"/>
      <c r="L34" s="1799"/>
      <c r="M34" s="1799" t="str">
        <f>IF(Data!GG8&gt;0,IF(Data!GG8&lt;&gt;"",IF(Data!GG8&lt;&gt;"Add the cutter in list",Data!GG8," ")," "),"")</f>
        <v xml:space="preserve"> </v>
      </c>
      <c r="N34" s="1799"/>
      <c r="O34" s="1799"/>
      <c r="P34" s="1799"/>
      <c r="Q34" s="1799"/>
      <c r="R34" s="1799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S34" s="1799"/>
      <c r="T34" s="1799"/>
      <c r="U34" s="1799"/>
      <c r="V34" s="1799"/>
      <c r="W34" s="1799"/>
      <c r="X34" s="1799"/>
      <c r="Y34" s="1799" t="str">
        <f>IF(IF(A34=Data!$D$4,Data!$G$4,IF('Rework (2)'!A34=Data!$D$5,Data!$G$5,IF('Rework (2)'!A34=Data!$D$6,Data!$G$6,IF(Data!BL52&lt;&gt;0,Data!BL52," "))))=0,"",IF(A34=Data!$D$4,"To Replace Cutter # "&amp;Data!$G$4,IF('Rework (2)'!A34=Data!$D$5,"To Replace Cutter # "&amp;Data!$G$5,IF('Rework (2)'!A34=Data!$D$6,"To Replace Cutter # "&amp;Data!$G$6,IF(Data!BL52&lt;&gt;0,Data!BL52," ")))))</f>
        <v/>
      </c>
      <c r="Z34" s="1799"/>
      <c r="AA34" s="1799"/>
      <c r="AB34" s="1799"/>
      <c r="AC34" s="1799"/>
      <c r="AD34" s="1799"/>
      <c r="AE34" s="1799"/>
      <c r="AF34" s="1799"/>
      <c r="AG34" s="1799"/>
      <c r="AH34" s="1799"/>
      <c r="AI34" s="1799"/>
      <c r="AJ34" s="2293"/>
    </row>
    <row r="35" spans="1:44" ht="12.75" customHeight="1" x14ac:dyDescent="0.35">
      <c r="A35" s="1419" t="str">
        <f>IF(TRIM(M35)="","",IF(Data!CX67&gt;0,IF(Data!CX67&lt;&gt;"", Data!CX67, " ")," "))</f>
        <v/>
      </c>
      <c r="B35" s="1420"/>
      <c r="C35" s="1420"/>
      <c r="D35" s="1799">
        <f>IF(COUNTIF($C$11:$AJ$19,"*X*8*"),COUNTIF($C$11:$AJ$19,"*X*8*"),0)+IF(COUNTIF($C$11:$AJ$19,"*L*8*"),COUNTIF($C$11:$AJ$19,"*L*8*"),0)</f>
        <v>0</v>
      </c>
      <c r="E35" s="1799"/>
      <c r="F35" s="1799"/>
      <c r="G35" s="1799"/>
      <c r="H35" s="1799" t="str">
        <f>IF(Data!GK9&gt;0,IF(Data!GK9&lt;&gt;"",Data!GK9," ")," ")</f>
        <v xml:space="preserve"> </v>
      </c>
      <c r="I35" s="1799"/>
      <c r="J35" s="1799"/>
      <c r="K35" s="1799"/>
      <c r="L35" s="1799"/>
      <c r="M35" s="1799" t="str">
        <f>IF(Data!GG9&gt;0,IF(Data!GG9&lt;&gt;"",IF(Data!GG9&lt;&gt;"Add the cutter in list",Data!GG9," ")," "),"")</f>
        <v xml:space="preserve"> </v>
      </c>
      <c r="N35" s="1799"/>
      <c r="O35" s="1799"/>
      <c r="P35" s="1799"/>
      <c r="Q35" s="1799"/>
      <c r="R35" s="1799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S35" s="1799"/>
      <c r="T35" s="1799"/>
      <c r="U35" s="1799"/>
      <c r="V35" s="1799"/>
      <c r="W35" s="1799"/>
      <c r="X35" s="1799"/>
      <c r="Y35" s="1799" t="str">
        <f>IF(IF(A35=Data!$D$4,Data!$G$4,IF('Rework (2)'!A35=Data!$D$5,Data!$G$5,IF('Rework (2)'!A35=Data!$D$6,Data!$G$6,IF(Data!BL53&lt;&gt;0,Data!BL53," "))))=0,"",IF(A35=Data!$D$4,"To Replace Cutter # "&amp;Data!$G$4,IF('Rework (2)'!A35=Data!$D$5,"To Replace Cutter # "&amp;Data!$G$5,IF('Rework (2)'!A35=Data!$D$6,"To Replace Cutter # "&amp;Data!$G$6,IF(Data!BL53&lt;&gt;0,Data!BL53," ")))))</f>
        <v/>
      </c>
      <c r="Z35" s="1799"/>
      <c r="AA35" s="1799"/>
      <c r="AB35" s="1799"/>
      <c r="AC35" s="1799"/>
      <c r="AD35" s="1799"/>
      <c r="AE35" s="1799"/>
      <c r="AF35" s="1799"/>
      <c r="AG35" s="1799"/>
      <c r="AH35" s="1799"/>
      <c r="AI35" s="1799"/>
      <c r="AJ35" s="2293"/>
    </row>
    <row r="36" spans="1:44" ht="12.75" customHeight="1" x14ac:dyDescent="0.35">
      <c r="A36" s="1419" t="str">
        <f>IF(TRIM(M36)="","",IF(Data!CX68&gt;0,IF(Data!CX68&lt;&gt;"", Data!CX68, " ")," "))</f>
        <v/>
      </c>
      <c r="B36" s="1420"/>
      <c r="C36" s="1420"/>
      <c r="D36" s="1799">
        <f>IF(COUNTIF($C$11:$AJ$19,"*X*9*"),COUNTIF($C$11:$AJ$19,"*X*9*"),0)+IF(COUNTIF($C$11:$AJ$19,"*L*9*"),COUNTIF($C$11:$AJ$19,"*L*9*"),0)</f>
        <v>0</v>
      </c>
      <c r="E36" s="1799"/>
      <c r="F36" s="1799"/>
      <c r="G36" s="1799"/>
      <c r="H36" s="1799" t="str">
        <f>IF(Data!GK10&gt;0,IF(Data!GK10&lt;&gt;"",Data!GK10," ")," ")</f>
        <v xml:space="preserve"> </v>
      </c>
      <c r="I36" s="1799"/>
      <c r="J36" s="1799"/>
      <c r="K36" s="1799"/>
      <c r="L36" s="1799"/>
      <c r="M36" s="1799" t="str">
        <f>IF(Data!GG10&gt;0,IF(Data!GG10&lt;&gt;"",IF(Data!GG10&lt;&gt;"Add the cutter in list",Data!GG10," ")," "),"")</f>
        <v xml:space="preserve"> </v>
      </c>
      <c r="N36" s="1799"/>
      <c r="O36" s="1799"/>
      <c r="P36" s="1799"/>
      <c r="Q36" s="1799"/>
      <c r="R36" s="1799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S36" s="1799"/>
      <c r="T36" s="1799"/>
      <c r="U36" s="1799"/>
      <c r="V36" s="1799"/>
      <c r="W36" s="1799"/>
      <c r="X36" s="1799"/>
      <c r="Y36" s="1799" t="str">
        <f>IF(IF(A36=Data!$D$4,Data!$G$4,IF('Rework (2)'!A36=Data!$D$5,Data!$G$5,IF('Rework (2)'!A36=Data!$D$6,Data!$G$6,IF(Data!BL54&lt;&gt;0,Data!BL54," "))))=0,"",IF(A36=Data!$D$4,"To Replace Cutter # "&amp;Data!$G$4,IF('Rework (2)'!A36=Data!$D$5,"To Replace Cutter # "&amp;Data!$G$5,IF('Rework (2)'!A36=Data!$D$6,"To Replace Cutter # "&amp;Data!$G$6,IF(Data!BL54&lt;&gt;0,Data!BL54," ")))))</f>
        <v/>
      </c>
      <c r="Z36" s="1799"/>
      <c r="AA36" s="1799"/>
      <c r="AB36" s="1799"/>
      <c r="AC36" s="1799"/>
      <c r="AD36" s="1799"/>
      <c r="AE36" s="1799"/>
      <c r="AF36" s="1799"/>
      <c r="AG36" s="1799"/>
      <c r="AH36" s="1799"/>
      <c r="AI36" s="1799"/>
      <c r="AJ36" s="2293"/>
    </row>
    <row r="37" spans="1:44" ht="12.75" customHeight="1" thickBot="1" x14ac:dyDescent="0.4">
      <c r="A37" s="1419" t="str">
        <f>IF(TRIM(M37)="","",IF(Data!CX69&gt;0,IF(Data!CX69&lt;&gt;"", Data!CX69, " ")," "))</f>
        <v/>
      </c>
      <c r="B37" s="1420"/>
      <c r="C37" s="1420"/>
      <c r="D37" s="1805">
        <f>IF(COUNTIF($C$11:$X$19,"*X*10*"),COUNTIF($C$11:$X$19,"*X*10*"),0)+IF(COUNTIF($C$11:$X$19,"*L*10*"),COUNTIF($C$11:$X$19,"*L*10*"),0)</f>
        <v>0</v>
      </c>
      <c r="E37" s="1805"/>
      <c r="F37" s="1805"/>
      <c r="G37" s="1805"/>
      <c r="H37" s="1799" t="str">
        <f>IF(Data!GK11&gt;0,IF(Data!GK11&lt;&gt;"",Data!GK11," ")," ")</f>
        <v xml:space="preserve"> </v>
      </c>
      <c r="I37" s="1799"/>
      <c r="J37" s="1799"/>
      <c r="K37" s="1799"/>
      <c r="L37" s="1799"/>
      <c r="M37" s="1799" t="str">
        <f>IF(Data!GG11&gt;0,IF(Data!GG11&lt;&gt;"",IF(Data!GG11&lt;&gt;"Add the cutter in list",Data!GG11," ")," "),"")</f>
        <v xml:space="preserve"> </v>
      </c>
      <c r="N37" s="1799"/>
      <c r="O37" s="1799"/>
      <c r="P37" s="1799"/>
      <c r="Q37" s="1799"/>
      <c r="R37" s="1799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S37" s="1799"/>
      <c r="T37" s="1799"/>
      <c r="U37" s="1799"/>
      <c r="V37" s="1799"/>
      <c r="W37" s="1799"/>
      <c r="X37" s="1799"/>
      <c r="Y37" s="1799" t="str">
        <f>IF(IF(A37=Data!$D$4,Data!$G$4,IF('Rework (2)'!A37=Data!$D$5,Data!$G$5,IF('Rework (2)'!A37=Data!$D$6,Data!$G$6,IF(Data!BL55&lt;&gt;0,Data!BL55," "))))=0,"",IF(A37=Data!$D$4,"To Replace Cutter # "&amp;Data!$G$4,IF('Rework (2)'!A37=Data!$D$5,"To Replace Cutter # "&amp;Data!$G$5,IF('Rework (2)'!A37=Data!$D$6,"To Replace Cutter # "&amp;Data!$G$6,IF(Data!BL55&lt;&gt;0,Data!BL55," ")))))</f>
        <v/>
      </c>
      <c r="Z37" s="1799"/>
      <c r="AA37" s="1799"/>
      <c r="AB37" s="1799"/>
      <c r="AC37" s="1799"/>
      <c r="AD37" s="1799"/>
      <c r="AE37" s="1799"/>
      <c r="AF37" s="1799"/>
      <c r="AG37" s="1799"/>
      <c r="AH37" s="1799"/>
      <c r="AI37" s="1799"/>
      <c r="AJ37" s="2293"/>
    </row>
    <row r="38" spans="1:44" ht="3" customHeight="1" x14ac:dyDescent="0.35">
      <c r="A38" s="784"/>
      <c r="B38" s="785"/>
      <c r="C38" s="785"/>
      <c r="D38" s="785"/>
      <c r="E38" s="785"/>
      <c r="F38" s="785"/>
      <c r="G38" s="996"/>
      <c r="H38" s="785"/>
      <c r="I38" s="785"/>
      <c r="J38" s="785"/>
      <c r="K38" s="785"/>
      <c r="L38" s="785"/>
      <c r="M38" s="785"/>
      <c r="N38" s="785"/>
      <c r="O38" s="785"/>
      <c r="P38" s="785"/>
      <c r="Q38" s="785"/>
      <c r="R38" s="785"/>
      <c r="S38" s="785"/>
      <c r="T38" s="785"/>
      <c r="U38" s="785"/>
      <c r="V38" s="785"/>
      <c r="W38" s="785"/>
      <c r="X38" s="785"/>
      <c r="Y38" s="785"/>
      <c r="Z38" s="785"/>
      <c r="AA38" s="785"/>
      <c r="AB38" s="785"/>
      <c r="AC38" s="785"/>
      <c r="AD38" s="785"/>
      <c r="AE38" s="785"/>
      <c r="AF38" s="785"/>
      <c r="AG38" s="785"/>
      <c r="AH38" s="785"/>
      <c r="AI38" s="785"/>
      <c r="AJ38" s="786"/>
    </row>
    <row r="39" spans="1:44" s="439" customFormat="1" ht="12" customHeight="1" thickBot="1" x14ac:dyDescent="0.4">
      <c r="A39" s="2338" t="s">
        <v>1121</v>
      </c>
      <c r="B39" s="2339"/>
      <c r="C39" s="2339"/>
      <c r="D39" s="2339"/>
      <c r="E39" s="2339"/>
      <c r="F39" s="2339"/>
      <c r="G39" s="2339"/>
      <c r="H39" s="2339"/>
      <c r="I39" s="2339"/>
      <c r="J39" s="2339"/>
      <c r="K39" s="2339"/>
      <c r="L39" s="2339"/>
      <c r="M39" s="2339"/>
      <c r="N39" s="2339"/>
      <c r="O39" s="2339"/>
      <c r="P39" s="2339"/>
      <c r="Q39" s="2339"/>
      <c r="R39" s="2339"/>
      <c r="S39" s="2339"/>
      <c r="T39" s="2339"/>
      <c r="U39" s="2339"/>
      <c r="V39" s="2339"/>
      <c r="W39" s="2339"/>
      <c r="X39" s="2339"/>
      <c r="Y39" s="2339"/>
      <c r="Z39" s="2339"/>
      <c r="AA39" s="2339"/>
      <c r="AB39" s="2339"/>
      <c r="AC39" s="2339"/>
      <c r="AD39" s="2339"/>
      <c r="AE39" s="2339"/>
      <c r="AF39" s="2339"/>
      <c r="AG39" s="2339"/>
      <c r="AH39" s="2339"/>
      <c r="AI39" s="2339"/>
      <c r="AJ39" s="2340"/>
    </row>
    <row r="40" spans="1:44" s="439" customFormat="1" ht="14.25" customHeight="1" x14ac:dyDescent="0.35">
      <c r="A40" s="2278" t="s">
        <v>1036</v>
      </c>
      <c r="B40" s="2279"/>
      <c r="C40" s="2279"/>
      <c r="D40" s="2279"/>
      <c r="E40" s="2279"/>
      <c r="F40" s="2279"/>
      <c r="G40" s="2279"/>
      <c r="H40" s="1813" t="s">
        <v>54</v>
      </c>
      <c r="I40" s="1813"/>
      <c r="J40" s="1813"/>
      <c r="K40" s="1813"/>
      <c r="L40" s="1813"/>
      <c r="M40" s="1813"/>
      <c r="N40" s="1813" t="s">
        <v>1035</v>
      </c>
      <c r="O40" s="1813"/>
      <c r="P40" s="1813"/>
      <c r="Q40" s="1813"/>
      <c r="R40" s="1813"/>
      <c r="S40" s="1813"/>
      <c r="T40" s="2341" t="s">
        <v>56</v>
      </c>
      <c r="U40" s="2341"/>
      <c r="V40" s="2341"/>
      <c r="W40" s="2341"/>
      <c r="X40" s="2342"/>
      <c r="Y40" s="1894" t="s">
        <v>952</v>
      </c>
      <c r="Z40" s="1895"/>
      <c r="AA40" s="1895"/>
      <c r="AB40" s="1895"/>
      <c r="AC40" s="1872"/>
      <c r="AD40" s="1872"/>
      <c r="AE40" s="1872"/>
      <c r="AF40" s="1872"/>
      <c r="AG40" s="1872"/>
      <c r="AH40" s="1872"/>
      <c r="AI40" s="1872"/>
      <c r="AJ40" s="1873"/>
      <c r="AR40"/>
    </row>
    <row r="41" spans="1:44" s="439" customFormat="1" ht="14.25" customHeight="1" x14ac:dyDescent="0.35">
      <c r="A41" s="2284" t="s">
        <v>1029</v>
      </c>
      <c r="B41" s="2285"/>
      <c r="C41" s="2285"/>
      <c r="D41" s="2285"/>
      <c r="E41" s="2285"/>
      <c r="F41" s="2285"/>
      <c r="G41" s="2285"/>
      <c r="H41" s="1800" t="s">
        <v>57</v>
      </c>
      <c r="I41" s="1800"/>
      <c r="J41" s="1800"/>
      <c r="K41" s="1800"/>
      <c r="L41" s="1800"/>
      <c r="M41" s="1800"/>
      <c r="N41" s="1800" t="s">
        <v>58</v>
      </c>
      <c r="O41" s="1800"/>
      <c r="P41" s="1800"/>
      <c r="Q41" s="1800"/>
      <c r="R41" s="1800"/>
      <c r="S41" s="1800"/>
      <c r="T41" s="1800" t="s">
        <v>58</v>
      </c>
      <c r="U41" s="1800"/>
      <c r="V41" s="1800"/>
      <c r="W41" s="1800"/>
      <c r="X41" s="1801"/>
      <c r="Y41" s="2335"/>
      <c r="Z41" s="2336"/>
      <c r="AA41" s="2336"/>
      <c r="AB41" s="2336"/>
      <c r="AC41" s="2321"/>
      <c r="AD41" s="2321"/>
      <c r="AE41" s="2321"/>
      <c r="AF41" s="2321"/>
      <c r="AG41" s="2321"/>
      <c r="AH41" s="2321"/>
      <c r="AI41" s="2321"/>
      <c r="AJ41" s="2337"/>
      <c r="AR41"/>
    </row>
    <row r="42" spans="1:44" s="439" customFormat="1" ht="14.25" customHeight="1" x14ac:dyDescent="0.35">
      <c r="A42" s="2284" t="s">
        <v>1030</v>
      </c>
      <c r="B42" s="2285"/>
      <c r="C42" s="2285"/>
      <c r="D42" s="2285"/>
      <c r="E42" s="2285"/>
      <c r="F42" s="2285"/>
      <c r="G42" s="2285"/>
      <c r="H42" s="1800"/>
      <c r="I42" s="1800"/>
      <c r="J42" s="1800"/>
      <c r="K42" s="1800"/>
      <c r="L42" s="1800"/>
      <c r="M42" s="1800"/>
      <c r="N42" s="1800"/>
      <c r="O42" s="1800"/>
      <c r="P42" s="1800"/>
      <c r="Q42" s="1800"/>
      <c r="R42" s="1800"/>
      <c r="S42" s="1800"/>
      <c r="T42" s="1800"/>
      <c r="U42" s="1800"/>
      <c r="V42" s="1800"/>
      <c r="W42" s="1800"/>
      <c r="X42" s="1801"/>
      <c r="Y42" s="2263" t="s">
        <v>67</v>
      </c>
      <c r="Z42" s="2264"/>
      <c r="AA42" s="2264"/>
      <c r="AB42" s="2264"/>
      <c r="AC42" s="2264"/>
      <c r="AD42" s="2264"/>
      <c r="AE42" s="2264"/>
      <c r="AF42" s="2264"/>
      <c r="AG42" s="2264"/>
      <c r="AH42" s="2264"/>
      <c r="AI42" s="2264"/>
      <c r="AJ42" s="2265"/>
      <c r="AR42"/>
    </row>
    <row r="43" spans="1:44" s="439" customFormat="1" ht="14.25" customHeight="1" x14ac:dyDescent="0.35">
      <c r="A43" s="2286" t="s">
        <v>1031</v>
      </c>
      <c r="B43" s="2282"/>
      <c r="C43" s="2282"/>
      <c r="D43" s="2282"/>
      <c r="E43" s="2282"/>
      <c r="F43" s="2282"/>
      <c r="G43" s="2282"/>
      <c r="H43" s="2283"/>
      <c r="I43" s="2283"/>
      <c r="J43" s="2283"/>
      <c r="K43" s="2283"/>
      <c r="L43" s="2283"/>
      <c r="M43" s="2283"/>
      <c r="N43" s="2283"/>
      <c r="O43" s="2283"/>
      <c r="P43" s="2283"/>
      <c r="Q43" s="2283"/>
      <c r="R43" s="2283"/>
      <c r="S43" s="2283"/>
      <c r="T43" s="2283"/>
      <c r="U43" s="2283"/>
      <c r="V43" s="2283"/>
      <c r="W43" s="2283"/>
      <c r="X43" s="2329"/>
      <c r="Y43" s="2332"/>
      <c r="Z43" s="2333"/>
      <c r="AA43" s="2333"/>
      <c r="AB43" s="2333"/>
      <c r="AC43" s="2333"/>
      <c r="AD43" s="2333"/>
      <c r="AE43" s="2333"/>
      <c r="AF43" s="2333"/>
      <c r="AG43" s="2333"/>
      <c r="AH43" s="2333"/>
      <c r="AI43" s="2333"/>
      <c r="AJ43" s="2334"/>
      <c r="AR43"/>
    </row>
    <row r="44" spans="1:44" s="439" customFormat="1" ht="14.25" customHeight="1" x14ac:dyDescent="0.35">
      <c r="A44" s="2284" t="s">
        <v>59</v>
      </c>
      <c r="B44" s="2285"/>
      <c r="C44" s="2285"/>
      <c r="D44" s="2285"/>
      <c r="E44" s="2285"/>
      <c r="F44" s="2285"/>
      <c r="G44" s="2285"/>
      <c r="H44" s="1800"/>
      <c r="I44" s="1800"/>
      <c r="J44" s="1800"/>
      <c r="K44" s="1800"/>
      <c r="L44" s="1800"/>
      <c r="M44" s="1800"/>
      <c r="N44" s="2285" t="s">
        <v>60</v>
      </c>
      <c r="O44" s="2285"/>
      <c r="P44" s="2285"/>
      <c r="Q44" s="2285"/>
      <c r="R44" s="2285"/>
      <c r="S44" s="2285"/>
      <c r="T44" s="1800"/>
      <c r="U44" s="1800"/>
      <c r="V44" s="1800"/>
      <c r="W44" s="1800"/>
      <c r="X44" s="1801"/>
      <c r="Y44" s="2266"/>
      <c r="Z44" s="2267"/>
      <c r="AA44" s="2267"/>
      <c r="AB44" s="2267"/>
      <c r="AC44" s="2267"/>
      <c r="AD44" s="2267"/>
      <c r="AE44" s="2267"/>
      <c r="AF44" s="2267"/>
      <c r="AG44" s="2267"/>
      <c r="AH44" s="2267"/>
      <c r="AI44" s="2267"/>
      <c r="AJ44" s="2268"/>
      <c r="AK44" s="787"/>
      <c r="AL44" s="787"/>
      <c r="AM44" s="787"/>
      <c r="AN44" s="787"/>
      <c r="AO44" s="787"/>
    </row>
    <row r="45" spans="1:44" s="439" customFormat="1" ht="14.25" customHeight="1" x14ac:dyDescent="0.35">
      <c r="A45" s="2286" t="s">
        <v>61</v>
      </c>
      <c r="B45" s="2282"/>
      <c r="C45" s="2282"/>
      <c r="D45" s="2282"/>
      <c r="E45" s="2282"/>
      <c r="F45" s="2282"/>
      <c r="G45" s="2282"/>
      <c r="H45" s="2283"/>
      <c r="I45" s="2283"/>
      <c r="J45" s="2283"/>
      <c r="K45" s="2283"/>
      <c r="L45" s="2283"/>
      <c r="M45" s="2283"/>
      <c r="N45" s="2282" t="s">
        <v>62</v>
      </c>
      <c r="O45" s="2282"/>
      <c r="P45" s="2282"/>
      <c r="Q45" s="2282"/>
      <c r="R45" s="2282"/>
      <c r="S45" s="2282"/>
      <c r="T45" s="2283"/>
      <c r="U45" s="2283"/>
      <c r="V45" s="2283"/>
      <c r="W45" s="2283"/>
      <c r="X45" s="2329"/>
      <c r="Y45" s="2258" t="s">
        <v>69</v>
      </c>
      <c r="Z45" s="2259"/>
      <c r="AA45" s="2259"/>
      <c r="AB45" s="2259"/>
      <c r="AC45" s="1800"/>
      <c r="AD45" s="1800"/>
      <c r="AE45" s="1800"/>
      <c r="AF45" s="1800"/>
      <c r="AG45" s="1800"/>
      <c r="AH45" s="1800"/>
      <c r="AI45" s="1800"/>
      <c r="AJ45" s="1801"/>
      <c r="AK45" s="787"/>
      <c r="AL45" s="787"/>
      <c r="AM45" s="787"/>
      <c r="AN45" s="787"/>
      <c r="AO45" s="787"/>
    </row>
    <row r="46" spans="1:44" s="439" customFormat="1" ht="14.25" customHeight="1" thickBot="1" x14ac:dyDescent="0.4">
      <c r="A46" s="1882" t="s">
        <v>63</v>
      </c>
      <c r="B46" s="1959"/>
      <c r="C46" s="1959"/>
      <c r="D46" s="1959"/>
      <c r="E46" s="2281" t="s">
        <v>64</v>
      </c>
      <c r="F46" s="2281"/>
      <c r="G46" s="2281"/>
      <c r="H46" s="1806"/>
      <c r="I46" s="1806"/>
      <c r="J46" s="1806"/>
      <c r="K46" s="1806"/>
      <c r="L46" s="1806"/>
      <c r="M46" s="1806"/>
      <c r="N46" s="1806" t="s">
        <v>65</v>
      </c>
      <c r="O46" s="1806"/>
      <c r="P46" s="1806"/>
      <c r="Q46" s="1806"/>
      <c r="R46" s="1806"/>
      <c r="S46" s="1806"/>
      <c r="T46" s="2281" t="s">
        <v>36</v>
      </c>
      <c r="U46" s="2281"/>
      <c r="V46" s="1806"/>
      <c r="W46" s="1806"/>
      <c r="X46" s="1807"/>
      <c r="Y46" s="1897"/>
      <c r="Z46" s="1898"/>
      <c r="AA46" s="1898"/>
      <c r="AB46" s="1898"/>
      <c r="AC46" s="1806"/>
      <c r="AD46" s="1806"/>
      <c r="AE46" s="1806"/>
      <c r="AF46" s="1806"/>
      <c r="AG46" s="1806"/>
      <c r="AH46" s="1806"/>
      <c r="AI46" s="1806"/>
      <c r="AJ46" s="1807"/>
    </row>
    <row r="47" spans="1:44" s="439" customFormat="1" ht="18.75" customHeight="1" x14ac:dyDescent="0.35">
      <c r="X47" s="2330" t="s">
        <v>1045</v>
      </c>
      <c r="Y47" s="2330"/>
      <c r="Z47" s="2330"/>
      <c r="AA47" s="2330"/>
      <c r="AB47" s="2330"/>
      <c r="AC47" s="2331"/>
      <c r="AD47" s="2331"/>
      <c r="AE47" s="2331"/>
      <c r="AF47" s="2331"/>
      <c r="AG47" s="2331"/>
      <c r="AH47" s="2331"/>
      <c r="AI47" s="2331"/>
      <c r="AJ47" s="2331"/>
    </row>
    <row r="48" spans="1:44" s="439" customFormat="1" ht="22" customHeight="1" x14ac:dyDescent="0.35"/>
    <row r="49" spans="1:24" s="439" customFormat="1" ht="22" customHeight="1" x14ac:dyDescent="0.35"/>
    <row r="50" spans="1:24" ht="6" customHeight="1" x14ac:dyDescent="0.35">
      <c r="A50" s="450"/>
      <c r="B50" s="450"/>
      <c r="C50" s="450"/>
      <c r="D50" s="450"/>
      <c r="E50" s="449"/>
      <c r="F50" s="449"/>
      <c r="G50" s="449"/>
      <c r="H50" s="449"/>
      <c r="I50" s="449"/>
      <c r="J50" s="449"/>
      <c r="K50" s="451"/>
      <c r="L50" s="451"/>
      <c r="M50" s="453"/>
      <c r="N50" s="453"/>
      <c r="O50" s="453"/>
      <c r="P50" s="453"/>
      <c r="Q50" s="453"/>
      <c r="R50" s="453"/>
      <c r="S50" s="454"/>
      <c r="T50" s="451"/>
      <c r="U50" s="451"/>
      <c r="V50" s="449"/>
      <c r="W50" s="449"/>
      <c r="X50" s="449"/>
    </row>
    <row r="51" spans="1:24" ht="20.149999999999999" customHeight="1" x14ac:dyDescent="0.35"/>
    <row r="52" spans="1:24" ht="6" customHeight="1" x14ac:dyDescent="0.35"/>
    <row r="54" spans="1:24" hidden="1" x14ac:dyDescent="0.35"/>
    <row r="55" spans="1:24" ht="15.75" hidden="1" customHeight="1" x14ac:dyDescent="0.35">
      <c r="A55" s="2257" t="s">
        <v>18</v>
      </c>
      <c r="B55" s="449">
        <v>1</v>
      </c>
      <c r="C55" s="233" t="str">
        <f>IF(COUNTIF($M$7,"Rework #1"),IF(AND(COUNTIF(C11,"*X*"),COUNTIF('[1]ARDT Cutter Entry'!C4,"*X*")),IF(OR(COUNTIF('[1]Eng. Cutter Entry'!C4,"*O*"),COUNTIF('[1]Eng. Cutter Entry'!C4,"*R*"),COUNTIF('[1]Eng. Cutter Entry'!C4,"*F*"),COUNTIF('[1]Eng. Cutter Entry'!C4,"*S*")),C11,""),""),"")</f>
        <v/>
      </c>
      <c r="D55" s="233" t="str">
        <f>IF(COUNTIF($M$7,"Rework #1"),IF(AND(COUNTIF(D11,"*X*"),COUNTIF('[1]ARDT Cutter Entry'!D4,"*X*")),IF(OR(COUNTIF('[1]Eng. Cutter Entry'!D4,"*O*"),COUNTIF('[1]Eng. Cutter Entry'!D4,"*R*"),COUNTIF('[1]Eng. Cutter Entry'!D4,"*F*"),COUNTIF('[1]Eng. Cutter Entry'!D4,"*S*")),D11,""),""),"")</f>
        <v/>
      </c>
      <c r="E55" s="233" t="str">
        <f>IF(COUNTIF($M$7,"Rework #1"),IF(AND(COUNTIF(E11,"*X*"),COUNTIF('[1]ARDT Cutter Entry'!E4,"*X*")),IF(OR(COUNTIF('[1]Eng. Cutter Entry'!E4,"*O*"),COUNTIF('[1]Eng. Cutter Entry'!E4,"*R*"),COUNTIF('[1]Eng. Cutter Entry'!E4,"*F*"),COUNTIF('[1]Eng. Cutter Entry'!E4,"*S*")),E11,""),""),"")</f>
        <v/>
      </c>
      <c r="F55" s="233" t="str">
        <f>IF(COUNTIF($M$7,"Rework #1"),IF(AND(COUNTIF(F11,"*X*"),COUNTIF('[1]ARDT Cutter Entry'!F4,"*X*")),IF(OR(COUNTIF('[1]Eng. Cutter Entry'!F4,"*O*"),COUNTIF('[1]Eng. Cutter Entry'!F4,"*R*"),COUNTIF('[1]Eng. Cutter Entry'!F4,"*F*"),COUNTIF('[1]Eng. Cutter Entry'!F4,"*S*")),F11,""),""),"")</f>
        <v/>
      </c>
      <c r="G55" s="233" t="str">
        <f>IF(COUNTIF($M$7,"Rework #1"),IF(AND(COUNTIF(G11,"*X*"),COUNTIF('[1]ARDT Cutter Entry'!G4,"*X*")),IF(OR(COUNTIF('[1]Eng. Cutter Entry'!G4,"*O*"),COUNTIF('[1]Eng. Cutter Entry'!G4,"*R*"),COUNTIF('[1]Eng. Cutter Entry'!G4,"*F*"),COUNTIF('[1]Eng. Cutter Entry'!G4,"*S*")),G11,""),""),"")</f>
        <v/>
      </c>
      <c r="H55" s="233" t="str">
        <f>IF(COUNTIF($M$7,"Rework #1"),IF(AND(COUNTIF(H11,"*X*"),COUNTIF('[1]ARDT Cutter Entry'!H4,"*X*")),IF(OR(COUNTIF('[1]Eng. Cutter Entry'!H4,"*O*"),COUNTIF('[1]Eng. Cutter Entry'!H4,"*R*"),COUNTIF('[1]Eng. Cutter Entry'!H4,"*F*"),COUNTIF('[1]Eng. Cutter Entry'!H4,"*S*")),H11,""),""),"")</f>
        <v/>
      </c>
      <c r="I55" s="233" t="str">
        <f>IF(COUNTIF($M$7,"Rework #1"),IF(AND(COUNTIF(I11,"*X*"),COUNTIF('[1]ARDT Cutter Entry'!I4,"*X*")),IF(OR(COUNTIF('[1]Eng. Cutter Entry'!I4,"*O*"),COUNTIF('[1]Eng. Cutter Entry'!I4,"*R*"),COUNTIF('[1]Eng. Cutter Entry'!I4,"*F*"),COUNTIF('[1]Eng. Cutter Entry'!I4,"*S*")),I11,""),""),"")</f>
        <v/>
      </c>
      <c r="J55" s="233" t="str">
        <f>IF(COUNTIF($M$7,"Rework #1"),IF(AND(COUNTIF(J11,"*X*"),COUNTIF('[1]ARDT Cutter Entry'!J4,"*X*")),IF(OR(COUNTIF('[1]Eng. Cutter Entry'!J4,"*O*"),COUNTIF('[1]Eng. Cutter Entry'!J4,"*R*"),COUNTIF('[1]Eng. Cutter Entry'!J4,"*F*"),COUNTIF('[1]Eng. Cutter Entry'!J4,"*S*")),J11,""),""),"")</f>
        <v/>
      </c>
      <c r="K55" s="233" t="str">
        <f>IF(COUNTIF($M$7,"Rework #1"),IF(AND(COUNTIF(K11,"*X*"),COUNTIF('[1]ARDT Cutter Entry'!K4,"*X*")),IF(OR(COUNTIF('[1]Eng. Cutter Entry'!K4,"*O*"),COUNTIF('[1]Eng. Cutter Entry'!K4,"*R*"),COUNTIF('[1]Eng. Cutter Entry'!K4,"*F*"),COUNTIF('[1]Eng. Cutter Entry'!K4,"*S*")),K11,""),""),"")</f>
        <v/>
      </c>
      <c r="L55" s="233" t="str">
        <f>IF(COUNTIF($M$7,"Rework #1"),IF(AND(COUNTIF(L11,"*X*"),COUNTIF('[1]ARDT Cutter Entry'!L4,"*X*")),IF(OR(COUNTIF('[1]Eng. Cutter Entry'!L4,"*O*"),COUNTIF('[1]Eng. Cutter Entry'!L4,"*R*"),COUNTIF('[1]Eng. Cutter Entry'!L4,"*F*"),COUNTIF('[1]Eng. Cutter Entry'!L4,"*S*")),L11,""),""),"")</f>
        <v/>
      </c>
      <c r="M55" s="233" t="str">
        <f>IF(COUNTIF($M$7,"Rework #1"),IF(AND(COUNTIF(M11,"*X*"),COUNTIF('[1]ARDT Cutter Entry'!M4,"*X*")),IF(OR(COUNTIF('[1]Eng. Cutter Entry'!M4,"*O*"),COUNTIF('[1]Eng. Cutter Entry'!M4,"*R*"),COUNTIF('[1]Eng. Cutter Entry'!M4,"*F*"),COUNTIF('[1]Eng. Cutter Entry'!M4,"*S*")),M11,""),""),"")</f>
        <v/>
      </c>
      <c r="N55" s="233" t="str">
        <f>IF(COUNTIF($M$7,"Rework #1"),IF(AND(COUNTIF(N11,"*X*"),COUNTIF('[1]ARDT Cutter Entry'!N4,"*X*")),IF(OR(COUNTIF('[1]Eng. Cutter Entry'!N4,"*O*"),COUNTIF('[1]Eng. Cutter Entry'!N4,"*R*"),COUNTIF('[1]Eng. Cutter Entry'!N4,"*F*"),COUNTIF('[1]Eng. Cutter Entry'!N4,"*S*")),N11,""),""),"")</f>
        <v/>
      </c>
      <c r="O55" s="233" t="str">
        <f>IF(COUNTIF($M$7,"Rework #1"),IF(AND(COUNTIF(O11,"*X*"),COUNTIF('[1]ARDT Cutter Entry'!O4,"*X*")),IF(OR(COUNTIF('[1]Eng. Cutter Entry'!O4,"*O*"),COUNTIF('[1]Eng. Cutter Entry'!O4,"*R*"),COUNTIF('[1]Eng. Cutter Entry'!O4,"*F*"),COUNTIF('[1]Eng. Cutter Entry'!O4,"*S*")),O11,""),""),"")</f>
        <v/>
      </c>
      <c r="P55" s="233" t="str">
        <f>IF(COUNTIF($M$7,"Rework #1"),IF(AND(COUNTIF(P11,"*X*"),COUNTIF('[1]ARDT Cutter Entry'!P4,"*X*")),IF(OR(COUNTIF('[1]Eng. Cutter Entry'!P4,"*O*"),COUNTIF('[1]Eng. Cutter Entry'!P4,"*R*"),COUNTIF('[1]Eng. Cutter Entry'!P4,"*F*"),COUNTIF('[1]Eng. Cutter Entry'!P4,"*S*")),P11,""),""),"")</f>
        <v/>
      </c>
      <c r="Q55" s="233" t="str">
        <f>IF(COUNTIF($M$7,"Rework #1"),IF(AND(COUNTIF(Q11,"*X*"),COUNTIF('[1]ARDT Cutter Entry'!Q4,"*X*")),IF(OR(COUNTIF('[1]Eng. Cutter Entry'!Q4,"*O*"),COUNTIF('[1]Eng. Cutter Entry'!Q4,"*R*"),COUNTIF('[1]Eng. Cutter Entry'!Q4,"*F*"),COUNTIF('[1]Eng. Cutter Entry'!Q4,"*S*")),Q11,""),""),"")</f>
        <v/>
      </c>
      <c r="R55" s="233" t="str">
        <f>IF(COUNTIF($M$7,"Rework #1"),IF(AND(COUNTIF(R11,"*X*"),COUNTIF('[1]ARDT Cutter Entry'!R4,"*X*")),IF(OR(COUNTIF('[1]Eng. Cutter Entry'!R4,"*O*"),COUNTIF('[1]Eng. Cutter Entry'!R4,"*R*"),COUNTIF('[1]Eng. Cutter Entry'!R4,"*F*"),COUNTIF('[1]Eng. Cutter Entry'!R4,"*S*")),R11,""),""),"")</f>
        <v/>
      </c>
      <c r="S55" s="233" t="str">
        <f>IF(COUNTIF($M$7,"Rework #1"),IF(AND(COUNTIF(S11,"*X*"),COUNTIF('[1]ARDT Cutter Entry'!S4,"*X*")),IF(OR(COUNTIF('[1]Eng. Cutter Entry'!S4,"*O*"),COUNTIF('[1]Eng. Cutter Entry'!S4,"*R*"),COUNTIF('[1]Eng. Cutter Entry'!S4,"*F*"),COUNTIF('[1]Eng. Cutter Entry'!S4,"*S*")),S11,""),""),"")</f>
        <v/>
      </c>
      <c r="T55" s="233" t="str">
        <f>IF(COUNTIF($M$7,"Rework #1"),IF(AND(COUNTIF(T11,"*X*"),COUNTIF('[1]ARDT Cutter Entry'!T4,"*X*")),IF(OR(COUNTIF('[1]Eng. Cutter Entry'!T4,"*O*"),COUNTIF('[1]Eng. Cutter Entry'!T4,"*R*"),COUNTIF('[1]Eng. Cutter Entry'!T4,"*F*"),COUNTIF('[1]Eng. Cutter Entry'!T4,"*S*")),T11,""),""),"")</f>
        <v/>
      </c>
      <c r="U55" s="233" t="str">
        <f>IF(COUNTIF($M$7,"Rework #1"),IF(AND(COUNTIF(U11,"*X*"),COUNTIF('[1]ARDT Cutter Entry'!U4,"*X*")),IF(OR(COUNTIF('[1]Eng. Cutter Entry'!U4,"*O*"),COUNTIF('[1]Eng. Cutter Entry'!U4,"*R*"),COUNTIF('[1]Eng. Cutter Entry'!U4,"*F*"),COUNTIF('[1]Eng. Cutter Entry'!U4,"*S*")),U11,""),""),"")</f>
        <v/>
      </c>
      <c r="V55" s="233" t="str">
        <f>IF(COUNTIF($M$7,"Rework #1"),IF(AND(COUNTIF(V11,"*X*"),COUNTIF('[1]ARDT Cutter Entry'!V4,"*X*")),IF(OR(COUNTIF('[1]Eng. Cutter Entry'!V4,"*O*"),COUNTIF('[1]Eng. Cutter Entry'!V4,"*R*"),COUNTIF('[1]Eng. Cutter Entry'!V4,"*F*"),COUNTIF('[1]Eng. Cutter Entry'!V4,"*S*")),V11,""),""),"")</f>
        <v/>
      </c>
      <c r="W55" s="233" t="str">
        <f>IF(COUNTIF($M$7,"Rework #1"),IF(AND(COUNTIF(W11,"*X*"),COUNTIF('[1]ARDT Cutter Entry'!W4,"*X*")),IF(OR(COUNTIF('[1]Eng. Cutter Entry'!W4,"*O*"),COUNTIF('[1]Eng. Cutter Entry'!W4,"*R*"),COUNTIF('[1]Eng. Cutter Entry'!W4,"*F*"),COUNTIF('[1]Eng. Cutter Entry'!W4,"*S*")),W11,""),""),"")</f>
        <v/>
      </c>
      <c r="X55" s="233" t="str">
        <f>IF(COUNTIF($M$7,"Rework #1"),IF(AND(COUNTIF(X11,"*X*"),COUNTIF('[1]ARDT Cutter Entry'!X4,"*X*")),IF(OR(COUNTIF('[1]Eng. Cutter Entry'!X4,"*O*"),COUNTIF('[1]Eng. Cutter Entry'!X4,"*R*"),COUNTIF('[1]Eng. Cutter Entry'!X4,"*F*"),COUNTIF('[1]Eng. Cutter Entry'!X4,"*S*")),X11,""),""),"")</f>
        <v/>
      </c>
    </row>
    <row r="56" spans="1:24" ht="15.75" hidden="1" customHeight="1" x14ac:dyDescent="0.35">
      <c r="A56" s="2257"/>
      <c r="B56" s="449">
        <v>2</v>
      </c>
      <c r="C56" s="233" t="str">
        <f>IF(COUNTIF($M$7,"Rework #1"),IF(AND(COUNTIF(C12,"*X*"),COUNTIF('[1]ARDT Cutter Entry'!C5,"*X*")),IF(OR(COUNTIF('[1]Eng. Cutter Entry'!C5,"*O*"),COUNTIF('[1]Eng. Cutter Entry'!C5,"*R*"),COUNTIF('[1]Eng. Cutter Entry'!C5,"*F*"),COUNTIF('[1]Eng. Cutter Entry'!C5,"*S*")),C12,""),""),"")</f>
        <v/>
      </c>
      <c r="D56" s="233" t="str">
        <f>IF(COUNTIF($M$7,"Rework #1"),IF(AND(COUNTIF(D12,"*X*"),COUNTIF('[1]ARDT Cutter Entry'!D5,"*X*")),IF(OR(COUNTIF('[1]Eng. Cutter Entry'!D5,"*O*"),COUNTIF('[1]Eng. Cutter Entry'!D5,"*R*"),COUNTIF('[1]Eng. Cutter Entry'!D5,"*F*"),COUNTIF('[1]Eng. Cutter Entry'!D5,"*S*")),D12,""),""),"")</f>
        <v/>
      </c>
      <c r="E56" s="233" t="str">
        <f>IF(COUNTIF($M$7,"Rework #1"),IF(AND(COUNTIF(E12,"*X*"),COUNTIF('[1]ARDT Cutter Entry'!E5,"*X*")),IF(OR(COUNTIF('[1]Eng. Cutter Entry'!E5,"*O*"),COUNTIF('[1]Eng. Cutter Entry'!E5,"*R*"),COUNTIF('[1]Eng. Cutter Entry'!E5,"*F*"),COUNTIF('[1]Eng. Cutter Entry'!E5,"*S*")),E12,""),""),"")</f>
        <v/>
      </c>
      <c r="F56" s="233" t="str">
        <f>IF(COUNTIF($M$7,"Rework #1"),IF(AND(COUNTIF(F12,"*X*"),COUNTIF('[1]ARDT Cutter Entry'!F5,"*X*")),IF(OR(COUNTIF('[1]Eng. Cutter Entry'!F5,"*O*"),COUNTIF('[1]Eng. Cutter Entry'!F5,"*R*"),COUNTIF('[1]Eng. Cutter Entry'!F5,"*F*"),COUNTIF('[1]Eng. Cutter Entry'!F5,"*S*")),F12,""),""),"")</f>
        <v/>
      </c>
      <c r="G56" s="233" t="str">
        <f>IF(COUNTIF($M$7,"Rework #1"),IF(AND(COUNTIF(G12,"*X*"),COUNTIF('[1]ARDT Cutter Entry'!G5,"*X*")),IF(OR(COUNTIF('[1]Eng. Cutter Entry'!G5,"*O*"),COUNTIF('[1]Eng. Cutter Entry'!G5,"*R*"),COUNTIF('[1]Eng. Cutter Entry'!G5,"*F*"),COUNTIF('[1]Eng. Cutter Entry'!G5,"*S*")),G12,""),""),"")</f>
        <v/>
      </c>
      <c r="H56" s="233" t="str">
        <f>IF(COUNTIF($M$7,"Rework #1"),IF(AND(COUNTIF(H12,"*X*"),COUNTIF('[1]ARDT Cutter Entry'!H5,"*X*")),IF(OR(COUNTIF('[1]Eng. Cutter Entry'!H5,"*O*"),COUNTIF('[1]Eng. Cutter Entry'!H5,"*R*"),COUNTIF('[1]Eng. Cutter Entry'!H5,"*F*"),COUNTIF('[1]Eng. Cutter Entry'!H5,"*S*")),H12,""),""),"")</f>
        <v/>
      </c>
      <c r="I56" s="233" t="str">
        <f>IF(COUNTIF($M$7,"Rework #1"),IF(AND(COUNTIF(I12,"*X*"),COUNTIF('[1]ARDT Cutter Entry'!I5,"*X*")),IF(OR(COUNTIF('[1]Eng. Cutter Entry'!I5,"*O*"),COUNTIF('[1]Eng. Cutter Entry'!I5,"*R*"),COUNTIF('[1]Eng. Cutter Entry'!I5,"*F*"),COUNTIF('[1]Eng. Cutter Entry'!I5,"*S*")),I12,""),""),"")</f>
        <v/>
      </c>
      <c r="J56" s="233" t="str">
        <f>IF(COUNTIF($M$7,"Rework #1"),IF(AND(COUNTIF(J12,"*X*"),COUNTIF('[1]ARDT Cutter Entry'!J5,"*X*")),IF(OR(COUNTIF('[1]Eng. Cutter Entry'!J5,"*O*"),COUNTIF('[1]Eng. Cutter Entry'!J5,"*R*"),COUNTIF('[1]Eng. Cutter Entry'!J5,"*F*"),COUNTIF('[1]Eng. Cutter Entry'!J5,"*S*")),J12,""),""),"")</f>
        <v/>
      </c>
      <c r="K56" s="233" t="str">
        <f>IF(COUNTIF($M$7,"Rework #1"),IF(AND(COUNTIF(K12,"*X*"),COUNTIF('[1]ARDT Cutter Entry'!K5,"*X*")),IF(OR(COUNTIF('[1]Eng. Cutter Entry'!K5,"*O*"),COUNTIF('[1]Eng. Cutter Entry'!K5,"*R*"),COUNTIF('[1]Eng. Cutter Entry'!K5,"*F*"),COUNTIF('[1]Eng. Cutter Entry'!K5,"*S*")),K12,""),""),"")</f>
        <v/>
      </c>
      <c r="L56" s="233" t="str">
        <f>IF(COUNTIF($M$7,"Rework #1"),IF(AND(COUNTIF(L12,"*X*"),COUNTIF('[1]ARDT Cutter Entry'!L5,"*X*")),IF(OR(COUNTIF('[1]Eng. Cutter Entry'!L5,"*O*"),COUNTIF('[1]Eng. Cutter Entry'!L5,"*R*"),COUNTIF('[1]Eng. Cutter Entry'!L5,"*F*"),COUNTIF('[1]Eng. Cutter Entry'!L5,"*S*")),L12,""),""),"")</f>
        <v/>
      </c>
      <c r="M56" s="233" t="str">
        <f>IF(COUNTIF($M$7,"Rework #1"),IF(AND(COUNTIF(M12,"*X*"),COUNTIF('[1]ARDT Cutter Entry'!M5,"*X*")),IF(OR(COUNTIF('[1]Eng. Cutter Entry'!M5,"*O*"),COUNTIF('[1]Eng. Cutter Entry'!M5,"*R*"),COUNTIF('[1]Eng. Cutter Entry'!M5,"*F*"),COUNTIF('[1]Eng. Cutter Entry'!M5,"*S*")),M12,""),""),"")</f>
        <v/>
      </c>
      <c r="N56" s="233" t="str">
        <f>IF(COUNTIF($M$7,"Rework #1"),IF(AND(COUNTIF(N12,"*X*"),COUNTIF('[1]ARDT Cutter Entry'!N5,"*X*")),IF(OR(COUNTIF('[1]Eng. Cutter Entry'!N5,"*O*"),COUNTIF('[1]Eng. Cutter Entry'!N5,"*R*"),COUNTIF('[1]Eng. Cutter Entry'!N5,"*F*"),COUNTIF('[1]Eng. Cutter Entry'!N5,"*S*")),N12,""),""),"")</f>
        <v/>
      </c>
      <c r="O56" s="233" t="str">
        <f>IF(COUNTIF($M$7,"Rework #1"),IF(AND(COUNTIF(O12,"*X*"),COUNTIF('[1]ARDT Cutter Entry'!O5,"*X*")),IF(OR(COUNTIF('[1]Eng. Cutter Entry'!O5,"*O*"),COUNTIF('[1]Eng. Cutter Entry'!O5,"*R*"),COUNTIF('[1]Eng. Cutter Entry'!O5,"*F*"),COUNTIF('[1]Eng. Cutter Entry'!O5,"*S*")),O12,""),""),"")</f>
        <v/>
      </c>
      <c r="P56" s="233" t="str">
        <f>IF(COUNTIF($M$7,"Rework #1"),IF(AND(COUNTIF(P12,"*X*"),COUNTIF('[1]ARDT Cutter Entry'!P5,"*X*")),IF(OR(COUNTIF('[1]Eng. Cutter Entry'!P5,"*O*"),COUNTIF('[1]Eng. Cutter Entry'!P5,"*R*"),COUNTIF('[1]Eng. Cutter Entry'!P5,"*F*"),COUNTIF('[1]Eng. Cutter Entry'!P5,"*S*")),P12,""),""),"")</f>
        <v/>
      </c>
      <c r="Q56" s="233" t="str">
        <f>IF(COUNTIF($M$7,"Rework #1"),IF(AND(COUNTIF(Q12,"*X*"),COUNTIF('[1]ARDT Cutter Entry'!Q5,"*X*")),IF(OR(COUNTIF('[1]Eng. Cutter Entry'!Q5,"*O*"),COUNTIF('[1]Eng. Cutter Entry'!Q5,"*R*"),COUNTIF('[1]Eng. Cutter Entry'!Q5,"*F*"),COUNTIF('[1]Eng. Cutter Entry'!Q5,"*S*")),Q12,""),""),"")</f>
        <v/>
      </c>
      <c r="R56" s="233" t="str">
        <f>IF(COUNTIF($M$7,"Rework #1"),IF(AND(COUNTIF(R12,"*X*"),COUNTIF('[1]ARDT Cutter Entry'!R5,"*X*")),IF(OR(COUNTIF('[1]Eng. Cutter Entry'!R5,"*O*"),COUNTIF('[1]Eng. Cutter Entry'!R5,"*R*"),COUNTIF('[1]Eng. Cutter Entry'!R5,"*F*"),COUNTIF('[1]Eng. Cutter Entry'!R5,"*S*")),R12,""),""),"")</f>
        <v/>
      </c>
      <c r="S56" s="233" t="str">
        <f>IF(COUNTIF($M$7,"Rework #1"),IF(AND(COUNTIF(S12,"*X*"),COUNTIF('[1]ARDT Cutter Entry'!S5,"*X*")),IF(OR(COUNTIF('[1]Eng. Cutter Entry'!S5,"*O*"),COUNTIF('[1]Eng. Cutter Entry'!S5,"*R*"),COUNTIF('[1]Eng. Cutter Entry'!S5,"*F*"),COUNTIF('[1]Eng. Cutter Entry'!S5,"*S*")),S12,""),""),"")</f>
        <v/>
      </c>
      <c r="T56" s="233" t="str">
        <f>IF(COUNTIF($M$7,"Rework #1"),IF(AND(COUNTIF(T12,"*X*"),COUNTIF('[1]ARDT Cutter Entry'!T5,"*X*")),IF(OR(COUNTIF('[1]Eng. Cutter Entry'!T5,"*O*"),COUNTIF('[1]Eng. Cutter Entry'!T5,"*R*"),COUNTIF('[1]Eng. Cutter Entry'!T5,"*F*"),COUNTIF('[1]Eng. Cutter Entry'!T5,"*S*")),T12,""),""),"")</f>
        <v/>
      </c>
      <c r="U56" s="233" t="str">
        <f>IF(COUNTIF($M$7,"Rework #1"),IF(AND(COUNTIF(U12,"*X*"),COUNTIF('[1]ARDT Cutter Entry'!U5,"*X*")),IF(OR(COUNTIF('[1]Eng. Cutter Entry'!U5,"*O*"),COUNTIF('[1]Eng. Cutter Entry'!U5,"*R*"),COUNTIF('[1]Eng. Cutter Entry'!U5,"*F*"),COUNTIF('[1]Eng. Cutter Entry'!U5,"*S*")),U12,""),""),"")</f>
        <v/>
      </c>
      <c r="V56" s="233" t="str">
        <f>IF(COUNTIF($M$7,"Rework #1"),IF(AND(COUNTIF(V12,"*X*"),COUNTIF('[1]ARDT Cutter Entry'!V5,"*X*")),IF(OR(COUNTIF('[1]Eng. Cutter Entry'!V5,"*O*"),COUNTIF('[1]Eng. Cutter Entry'!V5,"*R*"),COUNTIF('[1]Eng. Cutter Entry'!V5,"*F*"),COUNTIF('[1]Eng. Cutter Entry'!V5,"*S*")),V12,""),""),"")</f>
        <v/>
      </c>
      <c r="W56" s="233" t="str">
        <f>IF(COUNTIF($M$7,"Rework #1"),IF(AND(COUNTIF(W12,"*X*"),COUNTIF('[1]ARDT Cutter Entry'!W5,"*X*")),IF(OR(COUNTIF('[1]Eng. Cutter Entry'!W5,"*O*"),COUNTIF('[1]Eng. Cutter Entry'!W5,"*R*"),COUNTIF('[1]Eng. Cutter Entry'!W5,"*F*"),COUNTIF('[1]Eng. Cutter Entry'!W5,"*S*")),W12,""),""),"")</f>
        <v/>
      </c>
      <c r="X56" s="233" t="str">
        <f>IF(COUNTIF($M$7,"Rework #1"),IF(AND(COUNTIF(X12,"*X*"),COUNTIF('[1]ARDT Cutter Entry'!X5,"*X*")),IF(OR(COUNTIF('[1]Eng. Cutter Entry'!X5,"*O*"),COUNTIF('[1]Eng. Cutter Entry'!X5,"*R*"),COUNTIF('[1]Eng. Cutter Entry'!X5,"*F*"),COUNTIF('[1]Eng. Cutter Entry'!X5,"*S*")),X12,""),""),"")</f>
        <v/>
      </c>
    </row>
    <row r="57" spans="1:24" ht="15.75" hidden="1" customHeight="1" x14ac:dyDescent="0.35">
      <c r="A57" s="2257"/>
      <c r="B57" s="449">
        <v>3</v>
      </c>
      <c r="C57" s="233" t="str">
        <f>IF(COUNTIF($M$7,"Rework #1"),IF(AND(COUNTIF(C13,"*X*"),COUNTIF('[1]ARDT Cutter Entry'!C6,"*X*")),IF(OR(COUNTIF('[1]Eng. Cutter Entry'!C6,"*O*"),COUNTIF('[1]Eng. Cutter Entry'!C6,"*R*"),COUNTIF('[1]Eng. Cutter Entry'!C6,"*F*"),COUNTIF('[1]Eng. Cutter Entry'!C6,"*S*")),C13,""),""),"")</f>
        <v/>
      </c>
      <c r="D57" s="233" t="str">
        <f>IF(COUNTIF($M$7,"Rework #1"),IF(AND(COUNTIF(D13,"*X*"),COUNTIF('[1]ARDT Cutter Entry'!D6,"*X*")),IF(OR(COUNTIF('[1]Eng. Cutter Entry'!D6,"*O*"),COUNTIF('[1]Eng. Cutter Entry'!D6,"*R*"),COUNTIF('[1]Eng. Cutter Entry'!D6,"*F*"),COUNTIF('[1]Eng. Cutter Entry'!D6,"*S*")),D13,""),""),"")</f>
        <v/>
      </c>
      <c r="E57" s="233" t="str">
        <f>IF(COUNTIF($M$7,"Rework #1"),IF(AND(COUNTIF(E13,"*X*"),COUNTIF('[1]ARDT Cutter Entry'!E6,"*X*")),IF(OR(COUNTIF('[1]Eng. Cutter Entry'!E6,"*O*"),COUNTIF('[1]Eng. Cutter Entry'!E6,"*R*"),COUNTIF('[1]Eng. Cutter Entry'!E6,"*F*"),COUNTIF('[1]Eng. Cutter Entry'!E6,"*S*")),E13,""),""),"")</f>
        <v/>
      </c>
      <c r="F57" s="233" t="str">
        <f>IF(COUNTIF($M$7,"Rework #1"),IF(AND(COUNTIF(F13,"*X*"),COUNTIF('[1]ARDT Cutter Entry'!F6,"*X*")),IF(OR(COUNTIF('[1]Eng. Cutter Entry'!F6,"*O*"),COUNTIF('[1]Eng. Cutter Entry'!F6,"*R*"),COUNTIF('[1]Eng. Cutter Entry'!F6,"*F*"),COUNTIF('[1]Eng. Cutter Entry'!F6,"*S*")),F13,""),""),"")</f>
        <v/>
      </c>
      <c r="G57" s="233" t="str">
        <f>IF(COUNTIF($M$7,"Rework #1"),IF(AND(COUNTIF(G13,"*X*"),COUNTIF('[1]ARDT Cutter Entry'!G6,"*X*")),IF(OR(COUNTIF('[1]Eng. Cutter Entry'!G6,"*O*"),COUNTIF('[1]Eng. Cutter Entry'!G6,"*R*"),COUNTIF('[1]Eng. Cutter Entry'!G6,"*F*"),COUNTIF('[1]Eng. Cutter Entry'!G6,"*S*")),G13,""),""),"")</f>
        <v/>
      </c>
      <c r="H57" s="233" t="str">
        <f>IF(COUNTIF($M$7,"Rework #1"),IF(AND(COUNTIF(H13,"*X*"),COUNTIF('[1]ARDT Cutter Entry'!H6,"*X*")),IF(OR(COUNTIF('[1]Eng. Cutter Entry'!H6,"*O*"),COUNTIF('[1]Eng. Cutter Entry'!H6,"*R*"),COUNTIF('[1]Eng. Cutter Entry'!H6,"*F*"),COUNTIF('[1]Eng. Cutter Entry'!H6,"*S*")),H13,""),""),"")</f>
        <v/>
      </c>
      <c r="I57" s="233" t="str">
        <f>IF(COUNTIF($M$7,"Rework #1"),IF(AND(COUNTIF(I13,"*X*"),COUNTIF('[1]ARDT Cutter Entry'!I6,"*X*")),IF(OR(COUNTIF('[1]Eng. Cutter Entry'!I6,"*O*"),COUNTIF('[1]Eng. Cutter Entry'!I6,"*R*"),COUNTIF('[1]Eng. Cutter Entry'!I6,"*F*"),COUNTIF('[1]Eng. Cutter Entry'!I6,"*S*")),I13,""),""),"")</f>
        <v/>
      </c>
      <c r="J57" s="233" t="str">
        <f>IF(COUNTIF($M$7,"Rework #1"),IF(AND(COUNTIF(J13,"*X*"),COUNTIF('[1]ARDT Cutter Entry'!J6,"*X*")),IF(OR(COUNTIF('[1]Eng. Cutter Entry'!J6,"*O*"),COUNTIF('[1]Eng. Cutter Entry'!J6,"*R*"),COUNTIF('[1]Eng. Cutter Entry'!J6,"*F*"),COUNTIF('[1]Eng. Cutter Entry'!J6,"*S*")),J13,""),""),"")</f>
        <v/>
      </c>
      <c r="K57" s="233" t="str">
        <f>IF(COUNTIF($M$7,"Rework #1"),IF(AND(COUNTIF(K13,"*X*"),COUNTIF('[1]ARDT Cutter Entry'!K6,"*X*")),IF(OR(COUNTIF('[1]Eng. Cutter Entry'!K6,"*O*"),COUNTIF('[1]Eng. Cutter Entry'!K6,"*R*"),COUNTIF('[1]Eng. Cutter Entry'!K6,"*F*"),COUNTIF('[1]Eng. Cutter Entry'!K6,"*S*")),K13,""),""),"")</f>
        <v/>
      </c>
      <c r="L57" s="233" t="str">
        <f>IF(COUNTIF($M$7,"Rework #1"),IF(AND(COUNTIF(L13,"*X*"),COUNTIF('[1]ARDT Cutter Entry'!L6,"*X*")),IF(OR(COUNTIF('[1]Eng. Cutter Entry'!L6,"*O*"),COUNTIF('[1]Eng. Cutter Entry'!L6,"*R*"),COUNTIF('[1]Eng. Cutter Entry'!L6,"*F*"),COUNTIF('[1]Eng. Cutter Entry'!L6,"*S*")),L13,""),""),"")</f>
        <v/>
      </c>
      <c r="M57" s="233" t="str">
        <f>IF(COUNTIF($M$7,"Rework #1"),IF(AND(COUNTIF(M13,"*X*"),COUNTIF('[1]ARDT Cutter Entry'!M6,"*X*")),IF(OR(COUNTIF('[1]Eng. Cutter Entry'!M6,"*O*"),COUNTIF('[1]Eng. Cutter Entry'!M6,"*R*"),COUNTIF('[1]Eng. Cutter Entry'!M6,"*F*"),COUNTIF('[1]Eng. Cutter Entry'!M6,"*S*")),M13,""),""),"")</f>
        <v/>
      </c>
      <c r="N57" s="233" t="str">
        <f>IF(COUNTIF($M$7,"Rework #1"),IF(AND(COUNTIF(N13,"*X*"),COUNTIF('[1]ARDT Cutter Entry'!N6,"*X*")),IF(OR(COUNTIF('[1]Eng. Cutter Entry'!N6,"*O*"),COUNTIF('[1]Eng. Cutter Entry'!N6,"*R*"),COUNTIF('[1]Eng. Cutter Entry'!N6,"*F*"),COUNTIF('[1]Eng. Cutter Entry'!N6,"*S*")),N13,""),""),"")</f>
        <v/>
      </c>
      <c r="O57" s="233" t="str">
        <f>IF(COUNTIF($M$7,"Rework #1"),IF(AND(COUNTIF(O13,"*X*"),COUNTIF('[1]ARDT Cutter Entry'!O6,"*X*")),IF(OR(COUNTIF('[1]Eng. Cutter Entry'!O6,"*O*"),COUNTIF('[1]Eng. Cutter Entry'!O6,"*R*"),COUNTIF('[1]Eng. Cutter Entry'!O6,"*F*"),COUNTIF('[1]Eng. Cutter Entry'!O6,"*S*")),O13,""),""),"")</f>
        <v/>
      </c>
      <c r="P57" s="233" t="str">
        <f>IF(COUNTIF($M$7,"Rework #1"),IF(AND(COUNTIF(P13,"*X*"),COUNTIF('[1]ARDT Cutter Entry'!P6,"*X*")),IF(OR(COUNTIF('[1]Eng. Cutter Entry'!P6,"*O*"),COUNTIF('[1]Eng. Cutter Entry'!P6,"*R*"),COUNTIF('[1]Eng. Cutter Entry'!P6,"*F*"),COUNTIF('[1]Eng. Cutter Entry'!P6,"*S*")),P13,""),""),"")</f>
        <v/>
      </c>
      <c r="Q57" s="233" t="str">
        <f>IF(COUNTIF($M$7,"Rework #1"),IF(AND(COUNTIF(Q13,"*X*"),COUNTIF('[1]ARDT Cutter Entry'!Q6,"*X*")),IF(OR(COUNTIF('[1]Eng. Cutter Entry'!Q6,"*O*"),COUNTIF('[1]Eng. Cutter Entry'!Q6,"*R*"),COUNTIF('[1]Eng. Cutter Entry'!Q6,"*F*"),COUNTIF('[1]Eng. Cutter Entry'!Q6,"*S*")),Q13,""),""),"")</f>
        <v/>
      </c>
      <c r="R57" s="233" t="str">
        <f>IF(COUNTIF($M$7,"Rework #1"),IF(AND(COUNTIF(R13,"*X*"),COUNTIF('[1]ARDT Cutter Entry'!R6,"*X*")),IF(OR(COUNTIF('[1]Eng. Cutter Entry'!R6,"*O*"),COUNTIF('[1]Eng. Cutter Entry'!R6,"*R*"),COUNTIF('[1]Eng. Cutter Entry'!R6,"*F*"),COUNTIF('[1]Eng. Cutter Entry'!R6,"*S*")),R13,""),""),"")</f>
        <v/>
      </c>
      <c r="S57" s="233" t="str">
        <f>IF(COUNTIF($M$7,"Rework #1"),IF(AND(COUNTIF(S13,"*X*"),COUNTIF('[1]ARDT Cutter Entry'!S6,"*X*")),IF(OR(COUNTIF('[1]Eng. Cutter Entry'!S6,"*O*"),COUNTIF('[1]Eng. Cutter Entry'!S6,"*R*"),COUNTIF('[1]Eng. Cutter Entry'!S6,"*F*"),COUNTIF('[1]Eng. Cutter Entry'!S6,"*S*")),S13,""),""),"")</f>
        <v/>
      </c>
      <c r="T57" s="233" t="str">
        <f>IF(COUNTIF($M$7,"Rework #1"),IF(AND(COUNTIF(T13,"*X*"),COUNTIF('[1]ARDT Cutter Entry'!T6,"*X*")),IF(OR(COUNTIF('[1]Eng. Cutter Entry'!T6,"*O*"),COUNTIF('[1]Eng. Cutter Entry'!T6,"*R*"),COUNTIF('[1]Eng. Cutter Entry'!T6,"*F*"),COUNTIF('[1]Eng. Cutter Entry'!T6,"*S*")),T13,""),""),"")</f>
        <v/>
      </c>
      <c r="U57" s="233" t="str">
        <f>IF(COUNTIF($M$7,"Rework #1"),IF(AND(COUNTIF(U13,"*X*"),COUNTIF('[1]ARDT Cutter Entry'!U6,"*X*")),IF(OR(COUNTIF('[1]Eng. Cutter Entry'!U6,"*O*"),COUNTIF('[1]Eng. Cutter Entry'!U6,"*R*"),COUNTIF('[1]Eng. Cutter Entry'!U6,"*F*"),COUNTIF('[1]Eng. Cutter Entry'!U6,"*S*")),U13,""),""),"")</f>
        <v/>
      </c>
      <c r="V57" s="233" t="str">
        <f>IF(COUNTIF($M$7,"Rework #1"),IF(AND(COUNTIF(V13,"*X*"),COUNTIF('[1]ARDT Cutter Entry'!V6,"*X*")),IF(OR(COUNTIF('[1]Eng. Cutter Entry'!V6,"*O*"),COUNTIF('[1]Eng. Cutter Entry'!V6,"*R*"),COUNTIF('[1]Eng. Cutter Entry'!V6,"*F*"),COUNTIF('[1]Eng. Cutter Entry'!V6,"*S*")),V13,""),""),"")</f>
        <v/>
      </c>
      <c r="W57" s="233" t="str">
        <f>IF(COUNTIF($M$7,"Rework #1"),IF(AND(COUNTIF(W13,"*X*"),COUNTIF('[1]ARDT Cutter Entry'!W6,"*X*")),IF(OR(COUNTIF('[1]Eng. Cutter Entry'!W6,"*O*"),COUNTIF('[1]Eng. Cutter Entry'!W6,"*R*"),COUNTIF('[1]Eng. Cutter Entry'!W6,"*F*"),COUNTIF('[1]Eng. Cutter Entry'!W6,"*S*")),W13,""),""),"")</f>
        <v/>
      </c>
      <c r="X57" s="233" t="str">
        <f>IF(COUNTIF($M$7,"Rework #1"),IF(AND(COUNTIF(X13,"*X*"),COUNTIF('[1]ARDT Cutter Entry'!X6,"*X*")),IF(OR(COUNTIF('[1]Eng. Cutter Entry'!X6,"*O*"),COUNTIF('[1]Eng. Cutter Entry'!X6,"*R*"),COUNTIF('[1]Eng. Cutter Entry'!X6,"*F*"),COUNTIF('[1]Eng. Cutter Entry'!X6,"*S*")),X13,""),""),"")</f>
        <v/>
      </c>
    </row>
    <row r="58" spans="1:24" ht="15.75" hidden="1" customHeight="1" x14ac:dyDescent="0.35">
      <c r="A58" s="2257"/>
      <c r="B58" s="449">
        <v>4</v>
      </c>
      <c r="C58" s="233" t="str">
        <f>IF(COUNTIF($M$7,"Rework #1"),IF(AND(COUNTIF(C14,"*X*"),COUNTIF('[1]ARDT Cutter Entry'!C7,"*X*")),IF(OR(COUNTIF('[1]Eng. Cutter Entry'!C7,"*O*"),COUNTIF('[1]Eng. Cutter Entry'!C7,"*R*"),COUNTIF('[1]Eng. Cutter Entry'!C7,"*F*"),COUNTIF('[1]Eng. Cutter Entry'!C7,"*S*")),C14,""),""),"")</f>
        <v/>
      </c>
      <c r="D58" s="233" t="str">
        <f>IF(COUNTIF($M$7,"Rework #1"),IF(AND(COUNTIF(D14,"*X*"),COUNTIF('[1]ARDT Cutter Entry'!D7,"*X*")),IF(OR(COUNTIF('[1]Eng. Cutter Entry'!D7,"*O*"),COUNTIF('[1]Eng. Cutter Entry'!D7,"*R*"),COUNTIF('[1]Eng. Cutter Entry'!D7,"*F*"),COUNTIF('[1]Eng. Cutter Entry'!D7,"*S*")),D14,""),""),"")</f>
        <v/>
      </c>
      <c r="E58" s="233" t="str">
        <f>IF(COUNTIF($M$7,"Rework #1"),IF(AND(COUNTIF(E14,"*X*"),COUNTIF('[1]ARDT Cutter Entry'!E7,"*X*")),IF(OR(COUNTIF('[1]Eng. Cutter Entry'!E7,"*O*"),COUNTIF('[1]Eng. Cutter Entry'!E7,"*R*"),COUNTIF('[1]Eng. Cutter Entry'!E7,"*F*"),COUNTIF('[1]Eng. Cutter Entry'!E7,"*S*")),E14,""),""),"")</f>
        <v/>
      </c>
      <c r="F58" s="233" t="str">
        <f>IF(COUNTIF($M$7,"Rework #1"),IF(AND(COUNTIF(F14,"*X*"),COUNTIF('[1]ARDT Cutter Entry'!F7,"*X*")),IF(OR(COUNTIF('[1]Eng. Cutter Entry'!F7,"*O*"),COUNTIF('[1]Eng. Cutter Entry'!F7,"*R*"),COUNTIF('[1]Eng. Cutter Entry'!F7,"*F*"),COUNTIF('[1]Eng. Cutter Entry'!F7,"*S*")),F14,""),""),"")</f>
        <v/>
      </c>
      <c r="G58" s="233" t="str">
        <f>IF(COUNTIF($M$7,"Rework #1"),IF(AND(COUNTIF(G14,"*X*"),COUNTIF('[1]ARDT Cutter Entry'!G7,"*X*")),IF(OR(COUNTIF('[1]Eng. Cutter Entry'!G7,"*O*"),COUNTIF('[1]Eng. Cutter Entry'!G7,"*R*"),COUNTIF('[1]Eng. Cutter Entry'!G7,"*F*"),COUNTIF('[1]Eng. Cutter Entry'!G7,"*S*")),G14,""),""),"")</f>
        <v/>
      </c>
      <c r="H58" s="233" t="str">
        <f>IF(COUNTIF($M$7,"Rework #1"),IF(AND(COUNTIF(H14,"*X*"),COUNTIF('[1]ARDT Cutter Entry'!H7,"*X*")),IF(OR(COUNTIF('[1]Eng. Cutter Entry'!H7,"*O*"),COUNTIF('[1]Eng. Cutter Entry'!H7,"*R*"),COUNTIF('[1]Eng. Cutter Entry'!H7,"*F*"),COUNTIF('[1]Eng. Cutter Entry'!H7,"*S*")),H14,""),""),"")</f>
        <v/>
      </c>
      <c r="I58" s="233" t="str">
        <f>IF(COUNTIF($M$7,"Rework #1"),IF(AND(COUNTIF(I14,"*X*"),COUNTIF('[1]ARDT Cutter Entry'!I7,"*X*")),IF(OR(COUNTIF('[1]Eng. Cutter Entry'!I7,"*O*"),COUNTIF('[1]Eng. Cutter Entry'!I7,"*R*"),COUNTIF('[1]Eng. Cutter Entry'!I7,"*F*"),COUNTIF('[1]Eng. Cutter Entry'!I7,"*S*")),I14,""),""),"")</f>
        <v/>
      </c>
      <c r="J58" s="233" t="str">
        <f>IF(COUNTIF($M$7,"Rework #1"),IF(AND(COUNTIF(J14,"*X*"),COUNTIF('[1]ARDT Cutter Entry'!J7,"*X*")),IF(OR(COUNTIF('[1]Eng. Cutter Entry'!J7,"*O*"),COUNTIF('[1]Eng. Cutter Entry'!J7,"*R*"),COUNTIF('[1]Eng. Cutter Entry'!J7,"*F*"),COUNTIF('[1]Eng. Cutter Entry'!J7,"*S*")),J14,""),""),"")</f>
        <v/>
      </c>
      <c r="K58" s="233" t="str">
        <f>IF(COUNTIF($M$7,"Rework #1"),IF(AND(COUNTIF(K14,"*X*"),COUNTIF('[1]ARDT Cutter Entry'!K7,"*X*")),IF(OR(COUNTIF('[1]Eng. Cutter Entry'!K7,"*O*"),COUNTIF('[1]Eng. Cutter Entry'!K7,"*R*"),COUNTIF('[1]Eng. Cutter Entry'!K7,"*F*"),COUNTIF('[1]Eng. Cutter Entry'!K7,"*S*")),K14,""),""),"")</f>
        <v/>
      </c>
      <c r="L58" s="233" t="str">
        <f>IF(COUNTIF($M$7,"Rework #1"),IF(AND(COUNTIF(L14,"*X*"),COUNTIF('[1]ARDT Cutter Entry'!L7,"*X*")),IF(OR(COUNTIF('[1]Eng. Cutter Entry'!L7,"*O*"),COUNTIF('[1]Eng. Cutter Entry'!L7,"*R*"),COUNTIF('[1]Eng. Cutter Entry'!L7,"*F*"),COUNTIF('[1]Eng. Cutter Entry'!L7,"*S*")),L14,""),""),"")</f>
        <v/>
      </c>
      <c r="M58" s="233" t="str">
        <f>IF(COUNTIF($M$7,"Rework #1"),IF(AND(COUNTIF(M14,"*X*"),COUNTIF('[1]ARDT Cutter Entry'!M7,"*X*")),IF(OR(COUNTIF('[1]Eng. Cutter Entry'!M7,"*O*"),COUNTIF('[1]Eng. Cutter Entry'!M7,"*R*"),COUNTIF('[1]Eng. Cutter Entry'!M7,"*F*"),COUNTIF('[1]Eng. Cutter Entry'!M7,"*S*")),M14,""),""),"")</f>
        <v/>
      </c>
      <c r="N58" s="233" t="str">
        <f>IF(COUNTIF($M$7,"Rework #1"),IF(AND(COUNTIF(N14,"*X*"),COUNTIF('[1]ARDT Cutter Entry'!N7,"*X*")),IF(OR(COUNTIF('[1]Eng. Cutter Entry'!N7,"*O*"),COUNTIF('[1]Eng. Cutter Entry'!N7,"*R*"),COUNTIF('[1]Eng. Cutter Entry'!N7,"*F*"),COUNTIF('[1]Eng. Cutter Entry'!N7,"*S*")),N14,""),""),"")</f>
        <v/>
      </c>
      <c r="O58" s="233" t="str">
        <f>IF(COUNTIF($M$7,"Rework #1"),IF(AND(COUNTIF(O14,"*X*"),COUNTIF('[1]ARDT Cutter Entry'!O7,"*X*")),IF(OR(COUNTIF('[1]Eng. Cutter Entry'!O7,"*O*"),COUNTIF('[1]Eng. Cutter Entry'!O7,"*R*"),COUNTIF('[1]Eng. Cutter Entry'!O7,"*F*"),COUNTIF('[1]Eng. Cutter Entry'!O7,"*S*")),O14,""),""),"")</f>
        <v/>
      </c>
      <c r="P58" s="233" t="str">
        <f>IF(COUNTIF($M$7,"Rework #1"),IF(AND(COUNTIF(P14,"*X*"),COUNTIF('[1]ARDT Cutter Entry'!P7,"*X*")),IF(OR(COUNTIF('[1]Eng. Cutter Entry'!P7,"*O*"),COUNTIF('[1]Eng. Cutter Entry'!P7,"*R*"),COUNTIF('[1]Eng. Cutter Entry'!P7,"*F*"),COUNTIF('[1]Eng. Cutter Entry'!P7,"*S*")),P14,""),""),"")</f>
        <v/>
      </c>
      <c r="Q58" s="233" t="str">
        <f>IF(COUNTIF($M$7,"Rework #1"),IF(AND(COUNTIF(Q14,"*X*"),COUNTIF('[1]ARDT Cutter Entry'!Q7,"*X*")),IF(OR(COUNTIF('[1]Eng. Cutter Entry'!Q7,"*O*"),COUNTIF('[1]Eng. Cutter Entry'!Q7,"*R*"),COUNTIF('[1]Eng. Cutter Entry'!Q7,"*F*"),COUNTIF('[1]Eng. Cutter Entry'!Q7,"*S*")),Q14,""),""),"")</f>
        <v/>
      </c>
      <c r="R58" s="233" t="str">
        <f>IF(COUNTIF($M$7,"Rework #1"),IF(AND(COUNTIF(R14,"*X*"),COUNTIF('[1]ARDT Cutter Entry'!R7,"*X*")),IF(OR(COUNTIF('[1]Eng. Cutter Entry'!R7,"*O*"),COUNTIF('[1]Eng. Cutter Entry'!R7,"*R*"),COUNTIF('[1]Eng. Cutter Entry'!R7,"*F*"),COUNTIF('[1]Eng. Cutter Entry'!R7,"*S*")),R14,""),""),"")</f>
        <v/>
      </c>
      <c r="S58" s="233" t="str">
        <f>IF(COUNTIF($M$7,"Rework #1"),IF(AND(COUNTIF(S14,"*X*"),COUNTIF('[1]ARDT Cutter Entry'!S7,"*X*")),IF(OR(COUNTIF('[1]Eng. Cutter Entry'!S7,"*O*"),COUNTIF('[1]Eng. Cutter Entry'!S7,"*R*"),COUNTIF('[1]Eng. Cutter Entry'!S7,"*F*"),COUNTIF('[1]Eng. Cutter Entry'!S7,"*S*")),S14,""),""),"")</f>
        <v/>
      </c>
      <c r="T58" s="233" t="str">
        <f>IF(COUNTIF($M$7,"Rework #1"),IF(AND(COUNTIF(T14,"*X*"),COUNTIF('[1]ARDT Cutter Entry'!T7,"*X*")),IF(OR(COUNTIF('[1]Eng. Cutter Entry'!T7,"*O*"),COUNTIF('[1]Eng. Cutter Entry'!T7,"*R*"),COUNTIF('[1]Eng. Cutter Entry'!T7,"*F*"),COUNTIF('[1]Eng. Cutter Entry'!T7,"*S*")),T14,""),""),"")</f>
        <v/>
      </c>
      <c r="U58" s="233" t="str">
        <f>IF(COUNTIF($M$7,"Rework #1"),IF(AND(COUNTIF(U14,"*X*"),COUNTIF('[1]ARDT Cutter Entry'!U7,"*X*")),IF(OR(COUNTIF('[1]Eng. Cutter Entry'!U7,"*O*"),COUNTIF('[1]Eng. Cutter Entry'!U7,"*R*"),COUNTIF('[1]Eng. Cutter Entry'!U7,"*F*"),COUNTIF('[1]Eng. Cutter Entry'!U7,"*S*")),U14,""),""),"")</f>
        <v/>
      </c>
      <c r="V58" s="233" t="str">
        <f>IF(COUNTIF($M$7,"Rework #1"),IF(AND(COUNTIF(V14,"*X*"),COUNTIF('[1]ARDT Cutter Entry'!V7,"*X*")),IF(OR(COUNTIF('[1]Eng. Cutter Entry'!V7,"*O*"),COUNTIF('[1]Eng. Cutter Entry'!V7,"*R*"),COUNTIF('[1]Eng. Cutter Entry'!V7,"*F*"),COUNTIF('[1]Eng. Cutter Entry'!V7,"*S*")),V14,""),""),"")</f>
        <v/>
      </c>
      <c r="W58" s="233" t="str">
        <f>IF(COUNTIF($M$7,"Rework #1"),IF(AND(COUNTIF(W14,"*X*"),COUNTIF('[1]ARDT Cutter Entry'!W7,"*X*")),IF(OR(COUNTIF('[1]Eng. Cutter Entry'!W7,"*O*"),COUNTIF('[1]Eng. Cutter Entry'!W7,"*R*"),COUNTIF('[1]Eng. Cutter Entry'!W7,"*F*"),COUNTIF('[1]Eng. Cutter Entry'!W7,"*S*")),W14,""),""),"")</f>
        <v/>
      </c>
      <c r="X58" s="233" t="str">
        <f>IF(COUNTIF($M$7,"Rework #1"),IF(AND(COUNTIF(X14,"*X*"),COUNTIF('[1]ARDT Cutter Entry'!X7,"*X*")),IF(OR(COUNTIF('[1]Eng. Cutter Entry'!X7,"*O*"),COUNTIF('[1]Eng. Cutter Entry'!X7,"*R*"),COUNTIF('[1]Eng. Cutter Entry'!X7,"*F*"),COUNTIF('[1]Eng. Cutter Entry'!X7,"*S*")),X14,""),""),"")</f>
        <v/>
      </c>
    </row>
    <row r="59" spans="1:24" ht="15.75" hidden="1" customHeight="1" x14ac:dyDescent="0.35">
      <c r="A59" s="2257"/>
      <c r="B59" s="449">
        <v>5</v>
      </c>
      <c r="C59" s="233" t="str">
        <f>IF(COUNTIF($M$7,"Rework #1"),IF(AND(COUNTIF(C15,"*X*"),COUNTIF('[1]ARDT Cutter Entry'!C8,"*X*")),IF(OR(COUNTIF('[1]Eng. Cutter Entry'!C8,"*O*"),COUNTIF('[1]Eng. Cutter Entry'!C8,"*R*"),COUNTIF('[1]Eng. Cutter Entry'!C8,"*F*"),COUNTIF('[1]Eng. Cutter Entry'!C8,"*S*")),C15,""),""),"")</f>
        <v/>
      </c>
      <c r="D59" s="233" t="str">
        <f>IF(COUNTIF($M$7,"Rework #1"),IF(AND(COUNTIF(D15,"*X*"),COUNTIF('[1]ARDT Cutter Entry'!D8,"*X*")),IF(OR(COUNTIF('[1]Eng. Cutter Entry'!D8,"*O*"),COUNTIF('[1]Eng. Cutter Entry'!D8,"*R*"),COUNTIF('[1]Eng. Cutter Entry'!D8,"*F*"),COUNTIF('[1]Eng. Cutter Entry'!D8,"*S*")),D15,""),""),"")</f>
        <v/>
      </c>
      <c r="E59" s="233" t="str">
        <f>IF(COUNTIF($M$7,"Rework #1"),IF(AND(COUNTIF(E15,"*X*"),COUNTIF('[1]ARDT Cutter Entry'!E8,"*X*")),IF(OR(COUNTIF('[1]Eng. Cutter Entry'!E8,"*O*"),COUNTIF('[1]Eng. Cutter Entry'!E8,"*R*"),COUNTIF('[1]Eng. Cutter Entry'!E8,"*F*"),COUNTIF('[1]Eng. Cutter Entry'!E8,"*S*")),E15,""),""),"")</f>
        <v/>
      </c>
      <c r="F59" s="233" t="str">
        <f>IF(COUNTIF($M$7,"Rework #1"),IF(AND(COUNTIF(F15,"*X*"),COUNTIF('[1]ARDT Cutter Entry'!F8,"*X*")),IF(OR(COUNTIF('[1]Eng. Cutter Entry'!F8,"*O*"),COUNTIF('[1]Eng. Cutter Entry'!F8,"*R*"),COUNTIF('[1]Eng. Cutter Entry'!F8,"*F*"),COUNTIF('[1]Eng. Cutter Entry'!F8,"*S*")),F15,""),""),"")</f>
        <v/>
      </c>
      <c r="G59" s="233" t="str">
        <f>IF(COUNTIF($M$7,"Rework #1"),IF(AND(COUNTIF(G15,"*X*"),COUNTIF('[1]ARDT Cutter Entry'!G8,"*X*")),IF(OR(COUNTIF('[1]Eng. Cutter Entry'!G8,"*O*"),COUNTIF('[1]Eng. Cutter Entry'!G8,"*R*"),COUNTIF('[1]Eng. Cutter Entry'!G8,"*F*"),COUNTIF('[1]Eng. Cutter Entry'!G8,"*S*")),G15,""),""),"")</f>
        <v/>
      </c>
      <c r="H59" s="233" t="str">
        <f>IF(COUNTIF($M$7,"Rework #1"),IF(AND(COUNTIF(H15,"*X*"),COUNTIF('[1]ARDT Cutter Entry'!H8,"*X*")),IF(OR(COUNTIF('[1]Eng. Cutter Entry'!H8,"*O*"),COUNTIF('[1]Eng. Cutter Entry'!H8,"*R*"),COUNTIF('[1]Eng. Cutter Entry'!H8,"*F*"),COUNTIF('[1]Eng. Cutter Entry'!H8,"*S*")),H15,""),""),"")</f>
        <v/>
      </c>
      <c r="I59" s="233" t="str">
        <f>IF(COUNTIF($M$7,"Rework #1"),IF(AND(COUNTIF(I15,"*X*"),COUNTIF('[1]ARDT Cutter Entry'!I8,"*X*")),IF(OR(COUNTIF('[1]Eng. Cutter Entry'!I8,"*O*"),COUNTIF('[1]Eng. Cutter Entry'!I8,"*R*"),COUNTIF('[1]Eng. Cutter Entry'!I8,"*F*"),COUNTIF('[1]Eng. Cutter Entry'!I8,"*S*")),I15,""),""),"")</f>
        <v/>
      </c>
      <c r="J59" s="233" t="str">
        <f>IF(COUNTIF($M$7,"Rework #1"),IF(AND(COUNTIF(J15,"*X*"),COUNTIF('[1]ARDT Cutter Entry'!J8,"*X*")),IF(OR(COUNTIF('[1]Eng. Cutter Entry'!J8,"*O*"),COUNTIF('[1]Eng. Cutter Entry'!J8,"*R*"),COUNTIF('[1]Eng. Cutter Entry'!J8,"*F*"),COUNTIF('[1]Eng. Cutter Entry'!J8,"*S*")),J15,""),""),"")</f>
        <v/>
      </c>
      <c r="K59" s="233" t="str">
        <f>IF(COUNTIF($M$7,"Rework #1"),IF(AND(COUNTIF(K15,"*X*"),COUNTIF('[1]ARDT Cutter Entry'!K8,"*X*")),IF(OR(COUNTIF('[1]Eng. Cutter Entry'!K8,"*O*"),COUNTIF('[1]Eng. Cutter Entry'!K8,"*R*"),COUNTIF('[1]Eng. Cutter Entry'!K8,"*F*"),COUNTIF('[1]Eng. Cutter Entry'!K8,"*S*")),K15,""),""),"")</f>
        <v/>
      </c>
      <c r="L59" s="233" t="str">
        <f>IF(COUNTIF($M$7,"Rework #1"),IF(AND(COUNTIF(L15,"*X*"),COUNTIF('[1]ARDT Cutter Entry'!L8,"*X*")),IF(OR(COUNTIF('[1]Eng. Cutter Entry'!L8,"*O*"),COUNTIF('[1]Eng. Cutter Entry'!L8,"*R*"),COUNTIF('[1]Eng. Cutter Entry'!L8,"*F*"),COUNTIF('[1]Eng. Cutter Entry'!L8,"*S*")),L15,""),""),"")</f>
        <v/>
      </c>
      <c r="M59" s="233" t="str">
        <f>IF(COUNTIF($M$7,"Rework #1"),IF(AND(COUNTIF(M15,"*X*"),COUNTIF('[1]ARDT Cutter Entry'!M8,"*X*")),IF(OR(COUNTIF('[1]Eng. Cutter Entry'!M8,"*O*"),COUNTIF('[1]Eng. Cutter Entry'!M8,"*R*"),COUNTIF('[1]Eng. Cutter Entry'!M8,"*F*"),COUNTIF('[1]Eng. Cutter Entry'!M8,"*S*")),M15,""),""),"")</f>
        <v/>
      </c>
      <c r="N59" s="233" t="str">
        <f>IF(COUNTIF($M$7,"Rework #1"),IF(AND(COUNTIF(N15,"*X*"),COUNTIF('[1]ARDT Cutter Entry'!N8,"*X*")),IF(OR(COUNTIF('[1]Eng. Cutter Entry'!N8,"*O*"),COUNTIF('[1]Eng. Cutter Entry'!N8,"*R*"),COUNTIF('[1]Eng. Cutter Entry'!N8,"*F*"),COUNTIF('[1]Eng. Cutter Entry'!N8,"*S*")),N15,""),""),"")</f>
        <v/>
      </c>
      <c r="O59" s="233" t="str">
        <f>IF(COUNTIF($M$7,"Rework #1"),IF(AND(COUNTIF(O15,"*X*"),COUNTIF('[1]ARDT Cutter Entry'!O8,"*X*")),IF(OR(COUNTIF('[1]Eng. Cutter Entry'!O8,"*O*"),COUNTIF('[1]Eng. Cutter Entry'!O8,"*R*"),COUNTIF('[1]Eng. Cutter Entry'!O8,"*F*"),COUNTIF('[1]Eng. Cutter Entry'!O8,"*S*")),O15,""),""),"")</f>
        <v/>
      </c>
      <c r="P59" s="233" t="str">
        <f>IF(COUNTIF($M$7,"Rework #1"),IF(AND(COUNTIF(P15,"*X*"),COUNTIF('[1]ARDT Cutter Entry'!P8,"*X*")),IF(OR(COUNTIF('[1]Eng. Cutter Entry'!P8,"*O*"),COUNTIF('[1]Eng. Cutter Entry'!P8,"*R*"),COUNTIF('[1]Eng. Cutter Entry'!P8,"*F*"),COUNTIF('[1]Eng. Cutter Entry'!P8,"*S*")),P15,""),""),"")</f>
        <v/>
      </c>
      <c r="Q59" s="233" t="str">
        <f>IF(COUNTIF($M$7,"Rework #1"),IF(AND(COUNTIF(Q15,"*X*"),COUNTIF('[1]ARDT Cutter Entry'!Q8,"*X*")),IF(OR(COUNTIF('[1]Eng. Cutter Entry'!Q8,"*O*"),COUNTIF('[1]Eng. Cutter Entry'!Q8,"*R*"),COUNTIF('[1]Eng. Cutter Entry'!Q8,"*F*"),COUNTIF('[1]Eng. Cutter Entry'!Q8,"*S*")),Q15,""),""),"")</f>
        <v/>
      </c>
      <c r="R59" s="233" t="str">
        <f>IF(COUNTIF($M$7,"Rework #1"),IF(AND(COUNTIF(R15,"*X*"),COUNTIF('[1]ARDT Cutter Entry'!R8,"*X*")),IF(OR(COUNTIF('[1]Eng. Cutter Entry'!R8,"*O*"),COUNTIF('[1]Eng. Cutter Entry'!R8,"*R*"),COUNTIF('[1]Eng. Cutter Entry'!R8,"*F*"),COUNTIF('[1]Eng. Cutter Entry'!R8,"*S*")),R15,""),""),"")</f>
        <v/>
      </c>
      <c r="S59" s="233" t="str">
        <f>IF(COUNTIF($M$7,"Rework #1"),IF(AND(COUNTIF(S15,"*X*"),COUNTIF('[1]ARDT Cutter Entry'!S8,"*X*")),IF(OR(COUNTIF('[1]Eng. Cutter Entry'!S8,"*O*"),COUNTIF('[1]Eng. Cutter Entry'!S8,"*R*"),COUNTIF('[1]Eng. Cutter Entry'!S8,"*F*"),COUNTIF('[1]Eng. Cutter Entry'!S8,"*S*")),S15,""),""),"")</f>
        <v/>
      </c>
      <c r="T59" s="233" t="str">
        <f>IF(COUNTIF($M$7,"Rework #1"),IF(AND(COUNTIF(T15,"*X*"),COUNTIF('[1]ARDT Cutter Entry'!T8,"*X*")),IF(OR(COUNTIF('[1]Eng. Cutter Entry'!T8,"*O*"),COUNTIF('[1]Eng. Cutter Entry'!T8,"*R*"),COUNTIF('[1]Eng. Cutter Entry'!T8,"*F*"),COUNTIF('[1]Eng. Cutter Entry'!T8,"*S*")),T15,""),""),"")</f>
        <v/>
      </c>
      <c r="U59" s="233" t="str">
        <f>IF(COUNTIF($M$7,"Rework #1"),IF(AND(COUNTIF(U15,"*X*"),COUNTIF('[1]ARDT Cutter Entry'!U8,"*X*")),IF(OR(COUNTIF('[1]Eng. Cutter Entry'!U8,"*O*"),COUNTIF('[1]Eng. Cutter Entry'!U8,"*R*"),COUNTIF('[1]Eng. Cutter Entry'!U8,"*F*"),COUNTIF('[1]Eng. Cutter Entry'!U8,"*S*")),U15,""),""),"")</f>
        <v/>
      </c>
      <c r="V59" s="233" t="str">
        <f>IF(COUNTIF($M$7,"Rework #1"),IF(AND(COUNTIF(V15,"*X*"),COUNTIF('[1]ARDT Cutter Entry'!V8,"*X*")),IF(OR(COUNTIF('[1]Eng. Cutter Entry'!V8,"*O*"),COUNTIF('[1]Eng. Cutter Entry'!V8,"*R*"),COUNTIF('[1]Eng. Cutter Entry'!V8,"*F*"),COUNTIF('[1]Eng. Cutter Entry'!V8,"*S*")),V15,""),""),"")</f>
        <v/>
      </c>
      <c r="W59" s="233" t="str">
        <f>IF(COUNTIF($M$7,"Rework #1"),IF(AND(COUNTIF(W15,"*X*"),COUNTIF('[1]ARDT Cutter Entry'!W8,"*X*")),IF(OR(COUNTIF('[1]Eng. Cutter Entry'!W8,"*O*"),COUNTIF('[1]Eng. Cutter Entry'!W8,"*R*"),COUNTIF('[1]Eng. Cutter Entry'!W8,"*F*"),COUNTIF('[1]Eng. Cutter Entry'!W8,"*S*")),W15,""),""),"")</f>
        <v/>
      </c>
      <c r="X59" s="233" t="str">
        <f>IF(COUNTIF($M$7,"Rework #1"),IF(AND(COUNTIF(X15,"*X*"),COUNTIF('[1]ARDT Cutter Entry'!X8,"*X*")),IF(OR(COUNTIF('[1]Eng. Cutter Entry'!X8,"*O*"),COUNTIF('[1]Eng. Cutter Entry'!X8,"*R*"),COUNTIF('[1]Eng. Cutter Entry'!X8,"*F*"),COUNTIF('[1]Eng. Cutter Entry'!X8,"*S*")),X15,""),""),"")</f>
        <v/>
      </c>
    </row>
    <row r="60" spans="1:24" ht="15.75" hidden="1" customHeight="1" x14ac:dyDescent="0.35">
      <c r="A60" s="2257"/>
      <c r="B60" s="449">
        <v>6</v>
      </c>
      <c r="C60" s="233" t="str">
        <f>IF(COUNTIF($M$7,"Rework #1"),IF(AND(COUNTIF(C16,"*X*"),COUNTIF('[1]ARDT Cutter Entry'!C9,"*X*")),IF(OR(COUNTIF('[1]Eng. Cutter Entry'!C9,"*O*"),COUNTIF('[1]Eng. Cutter Entry'!C9,"*R*"),COUNTIF('[1]Eng. Cutter Entry'!C9,"*F*"),COUNTIF('[1]Eng. Cutter Entry'!C9,"*S*")),C16,""),""),"")</f>
        <v/>
      </c>
      <c r="D60" s="233" t="str">
        <f>IF(COUNTIF($M$7,"Rework #1"),IF(AND(COUNTIF(D16,"*X*"),COUNTIF('[1]ARDT Cutter Entry'!D9,"*X*")),IF(OR(COUNTIF('[1]Eng. Cutter Entry'!D9,"*O*"),COUNTIF('[1]Eng. Cutter Entry'!D9,"*R*"),COUNTIF('[1]Eng. Cutter Entry'!D9,"*F*"),COUNTIF('[1]Eng. Cutter Entry'!D9,"*S*")),D16,""),""),"")</f>
        <v/>
      </c>
      <c r="E60" s="233" t="str">
        <f>IF(COUNTIF($M$7,"Rework #1"),IF(AND(COUNTIF(E16,"*X*"),COUNTIF('[1]ARDT Cutter Entry'!E9,"*X*")),IF(OR(COUNTIF('[1]Eng. Cutter Entry'!E9,"*O*"),COUNTIF('[1]Eng. Cutter Entry'!E9,"*R*"),COUNTIF('[1]Eng. Cutter Entry'!E9,"*F*"),COUNTIF('[1]Eng. Cutter Entry'!E9,"*S*")),E16,""),""),"")</f>
        <v/>
      </c>
      <c r="F60" s="233" t="str">
        <f>IF(COUNTIF($M$7,"Rework #1"),IF(AND(COUNTIF(F16,"*X*"),COUNTIF('[1]ARDT Cutter Entry'!F9,"*X*")),IF(OR(COUNTIF('[1]Eng. Cutter Entry'!F9,"*O*"),COUNTIF('[1]Eng. Cutter Entry'!F9,"*R*"),COUNTIF('[1]Eng. Cutter Entry'!F9,"*F*"),COUNTIF('[1]Eng. Cutter Entry'!F9,"*S*")),F16,""),""),"")</f>
        <v/>
      </c>
      <c r="G60" s="233" t="str">
        <f>IF(COUNTIF($M$7,"Rework #1"),IF(AND(COUNTIF(G16,"*X*"),COUNTIF('[1]ARDT Cutter Entry'!G9,"*X*")),IF(OR(COUNTIF('[1]Eng. Cutter Entry'!G9,"*O*"),COUNTIF('[1]Eng. Cutter Entry'!G9,"*R*"),COUNTIF('[1]Eng. Cutter Entry'!G9,"*F*"),COUNTIF('[1]Eng. Cutter Entry'!G9,"*S*")),G16,""),""),"")</f>
        <v/>
      </c>
      <c r="H60" s="233" t="str">
        <f>IF(COUNTIF($M$7,"Rework #1"),IF(AND(COUNTIF(H16,"*X*"),COUNTIF('[1]ARDT Cutter Entry'!H9,"*X*")),IF(OR(COUNTIF('[1]Eng. Cutter Entry'!H9,"*O*"),COUNTIF('[1]Eng. Cutter Entry'!H9,"*R*"),COUNTIF('[1]Eng. Cutter Entry'!H9,"*F*"),COUNTIF('[1]Eng. Cutter Entry'!H9,"*S*")),H16,""),""),"")</f>
        <v/>
      </c>
      <c r="I60" s="233" t="str">
        <f>IF(COUNTIF($M$7,"Rework #1"),IF(AND(COUNTIF(I16,"*X*"),COUNTIF('[1]ARDT Cutter Entry'!I9,"*X*")),IF(OR(COUNTIF('[1]Eng. Cutter Entry'!I9,"*O*"),COUNTIF('[1]Eng. Cutter Entry'!I9,"*R*"),COUNTIF('[1]Eng. Cutter Entry'!I9,"*F*"),COUNTIF('[1]Eng. Cutter Entry'!I9,"*S*")),I16,""),""),"")</f>
        <v/>
      </c>
      <c r="J60" s="233" t="str">
        <f>IF(COUNTIF($M$7,"Rework #1"),IF(AND(COUNTIF(J16,"*X*"),COUNTIF('[1]ARDT Cutter Entry'!J9,"*X*")),IF(OR(COUNTIF('[1]Eng. Cutter Entry'!J9,"*O*"),COUNTIF('[1]Eng. Cutter Entry'!J9,"*R*"),COUNTIF('[1]Eng. Cutter Entry'!J9,"*F*"),COUNTIF('[1]Eng. Cutter Entry'!J9,"*S*")),J16,""),""),"")</f>
        <v/>
      </c>
      <c r="K60" s="233" t="str">
        <f>IF(COUNTIF($M$7,"Rework #1"),IF(AND(COUNTIF(K16,"*X*"),COUNTIF('[1]ARDT Cutter Entry'!K9,"*X*")),IF(OR(COUNTIF('[1]Eng. Cutter Entry'!K9,"*O*"),COUNTIF('[1]Eng. Cutter Entry'!K9,"*R*"),COUNTIF('[1]Eng. Cutter Entry'!K9,"*F*"),COUNTIF('[1]Eng. Cutter Entry'!K9,"*S*")),K16,""),""),"")</f>
        <v/>
      </c>
      <c r="L60" s="233" t="str">
        <f>IF(COUNTIF($M$7,"Rework #1"),IF(AND(COUNTIF(L16,"*X*"),COUNTIF('[1]ARDT Cutter Entry'!L9,"*X*")),IF(OR(COUNTIF('[1]Eng. Cutter Entry'!L9,"*O*"),COUNTIF('[1]Eng. Cutter Entry'!L9,"*R*"),COUNTIF('[1]Eng. Cutter Entry'!L9,"*F*"),COUNTIF('[1]Eng. Cutter Entry'!L9,"*S*")),L16,""),""),"")</f>
        <v/>
      </c>
      <c r="M60" s="233" t="str">
        <f>IF(COUNTIF($M$7,"Rework #1"),IF(AND(COUNTIF(M16,"*X*"),COUNTIF('[1]ARDT Cutter Entry'!M9,"*X*")),IF(OR(COUNTIF('[1]Eng. Cutter Entry'!M9,"*O*"),COUNTIF('[1]Eng. Cutter Entry'!M9,"*R*"),COUNTIF('[1]Eng. Cutter Entry'!M9,"*F*"),COUNTIF('[1]Eng. Cutter Entry'!M9,"*S*")),M16,""),""),"")</f>
        <v/>
      </c>
      <c r="N60" s="233" t="str">
        <f>IF(COUNTIF($M$7,"Rework #1"),IF(AND(COUNTIF(N16,"*X*"),COUNTIF('[1]ARDT Cutter Entry'!N9,"*X*")),IF(OR(COUNTIF('[1]Eng. Cutter Entry'!N9,"*O*"),COUNTIF('[1]Eng. Cutter Entry'!N9,"*R*"),COUNTIF('[1]Eng. Cutter Entry'!N9,"*F*"),COUNTIF('[1]Eng. Cutter Entry'!N9,"*S*")),N16,""),""),"")</f>
        <v/>
      </c>
      <c r="O60" s="233" t="str">
        <f>IF(COUNTIF($M$7,"Rework #1"),IF(AND(COUNTIF(O16,"*X*"),COUNTIF('[1]ARDT Cutter Entry'!O9,"*X*")),IF(OR(COUNTIF('[1]Eng. Cutter Entry'!O9,"*O*"),COUNTIF('[1]Eng. Cutter Entry'!O9,"*R*"),COUNTIF('[1]Eng. Cutter Entry'!O9,"*F*"),COUNTIF('[1]Eng. Cutter Entry'!O9,"*S*")),O16,""),""),"")</f>
        <v/>
      </c>
      <c r="P60" s="233" t="str">
        <f>IF(COUNTIF($M$7,"Rework #1"),IF(AND(COUNTIF(P16,"*X*"),COUNTIF('[1]ARDT Cutter Entry'!P9,"*X*")),IF(OR(COUNTIF('[1]Eng. Cutter Entry'!P9,"*O*"),COUNTIF('[1]Eng. Cutter Entry'!P9,"*R*"),COUNTIF('[1]Eng. Cutter Entry'!P9,"*F*"),COUNTIF('[1]Eng. Cutter Entry'!P9,"*S*")),P16,""),""),"")</f>
        <v/>
      </c>
      <c r="Q60" s="233" t="str">
        <f>IF(COUNTIF($M$7,"Rework #1"),IF(AND(COUNTIF(Q16,"*X*"),COUNTIF('[1]ARDT Cutter Entry'!Q9,"*X*")),IF(OR(COUNTIF('[1]Eng. Cutter Entry'!Q9,"*O*"),COUNTIF('[1]Eng. Cutter Entry'!Q9,"*R*"),COUNTIF('[1]Eng. Cutter Entry'!Q9,"*F*"),COUNTIF('[1]Eng. Cutter Entry'!Q9,"*S*")),Q16,""),""),"")</f>
        <v/>
      </c>
      <c r="R60" s="233" t="str">
        <f>IF(COUNTIF($M$7,"Rework #1"),IF(AND(COUNTIF(R16,"*X*"),COUNTIF('[1]ARDT Cutter Entry'!R9,"*X*")),IF(OR(COUNTIF('[1]Eng. Cutter Entry'!R9,"*O*"),COUNTIF('[1]Eng. Cutter Entry'!R9,"*R*"),COUNTIF('[1]Eng. Cutter Entry'!R9,"*F*"),COUNTIF('[1]Eng. Cutter Entry'!R9,"*S*")),R16,""),""),"")</f>
        <v/>
      </c>
      <c r="S60" s="233" t="str">
        <f>IF(COUNTIF($M$7,"Rework #1"),IF(AND(COUNTIF(S16,"*X*"),COUNTIF('[1]ARDT Cutter Entry'!S9,"*X*")),IF(OR(COUNTIF('[1]Eng. Cutter Entry'!S9,"*O*"),COUNTIF('[1]Eng. Cutter Entry'!S9,"*R*"),COUNTIF('[1]Eng. Cutter Entry'!S9,"*F*"),COUNTIF('[1]Eng. Cutter Entry'!S9,"*S*")),S16,""),""),"")</f>
        <v/>
      </c>
      <c r="T60" s="233" t="str">
        <f>IF(COUNTIF($M$7,"Rework #1"),IF(AND(COUNTIF(T16,"*X*"),COUNTIF('[1]ARDT Cutter Entry'!T9,"*X*")),IF(OR(COUNTIF('[1]Eng. Cutter Entry'!T9,"*O*"),COUNTIF('[1]Eng. Cutter Entry'!T9,"*R*"),COUNTIF('[1]Eng. Cutter Entry'!T9,"*F*"),COUNTIF('[1]Eng. Cutter Entry'!T9,"*S*")),T16,""),""),"")</f>
        <v/>
      </c>
      <c r="U60" s="233" t="str">
        <f>IF(COUNTIF($M$7,"Rework #1"),IF(AND(COUNTIF(U16,"*X*"),COUNTIF('[1]ARDT Cutter Entry'!U9,"*X*")),IF(OR(COUNTIF('[1]Eng. Cutter Entry'!U9,"*O*"),COUNTIF('[1]Eng. Cutter Entry'!U9,"*R*"),COUNTIF('[1]Eng. Cutter Entry'!U9,"*F*"),COUNTIF('[1]Eng. Cutter Entry'!U9,"*S*")),U16,""),""),"")</f>
        <v/>
      </c>
      <c r="V60" s="233" t="str">
        <f>IF(COUNTIF($M$7,"Rework #1"),IF(AND(COUNTIF(V16,"*X*"),COUNTIF('[1]ARDT Cutter Entry'!V9,"*X*")),IF(OR(COUNTIF('[1]Eng. Cutter Entry'!V9,"*O*"),COUNTIF('[1]Eng. Cutter Entry'!V9,"*R*"),COUNTIF('[1]Eng. Cutter Entry'!V9,"*F*"),COUNTIF('[1]Eng. Cutter Entry'!V9,"*S*")),V16,""),""),"")</f>
        <v/>
      </c>
      <c r="W60" s="233" t="str">
        <f>IF(COUNTIF($M$7,"Rework #1"),IF(AND(COUNTIF(W16,"*X*"),COUNTIF('[1]ARDT Cutter Entry'!W9,"*X*")),IF(OR(COUNTIF('[1]Eng. Cutter Entry'!W9,"*O*"),COUNTIF('[1]Eng. Cutter Entry'!W9,"*R*"),COUNTIF('[1]Eng. Cutter Entry'!W9,"*F*"),COUNTIF('[1]Eng. Cutter Entry'!W9,"*S*")),W16,""),""),"")</f>
        <v/>
      </c>
      <c r="X60" s="233" t="str">
        <f>IF(COUNTIF($M$7,"Rework #1"),IF(AND(COUNTIF(X16,"*X*"),COUNTIF('[1]ARDT Cutter Entry'!X9,"*X*")),IF(OR(COUNTIF('[1]Eng. Cutter Entry'!X9,"*O*"),COUNTIF('[1]Eng. Cutter Entry'!X9,"*R*"),COUNTIF('[1]Eng. Cutter Entry'!X9,"*F*"),COUNTIF('[1]Eng. Cutter Entry'!X9,"*S*")),X16,""),""),"")</f>
        <v/>
      </c>
    </row>
    <row r="61" spans="1:24" ht="15.75" hidden="1" customHeight="1" x14ac:dyDescent="0.35">
      <c r="A61" s="2257"/>
      <c r="B61" s="449">
        <v>7</v>
      </c>
      <c r="C61" s="233" t="str">
        <f>IF(COUNTIF($M$7,"Rework #1"),IF(AND(COUNTIF(C17,"*X*"),COUNTIF('[1]ARDT Cutter Entry'!C10,"*X*")),IF(OR(COUNTIF('[1]Eng. Cutter Entry'!C10,"*O*"),COUNTIF('[1]Eng. Cutter Entry'!C10,"*R*"),COUNTIF('[1]Eng. Cutter Entry'!C10,"*F*"),COUNTIF('[1]Eng. Cutter Entry'!C10,"*S*")),C17,""),""),"")</f>
        <v/>
      </c>
      <c r="D61" s="233" t="str">
        <f>IF(COUNTIF($M$7,"Rework #1"),IF(AND(COUNTIF(D17,"*X*"),COUNTIF('[1]ARDT Cutter Entry'!D10,"*X*")),IF(OR(COUNTIF('[1]Eng. Cutter Entry'!D10,"*O*"),COUNTIF('[1]Eng. Cutter Entry'!D10,"*R*"),COUNTIF('[1]Eng. Cutter Entry'!D10,"*F*"),COUNTIF('[1]Eng. Cutter Entry'!D10,"*S*")),D17,""),""),"")</f>
        <v/>
      </c>
      <c r="E61" s="233" t="str">
        <f>IF(COUNTIF($M$7,"Rework #1"),IF(AND(COUNTIF(E17,"*X*"),COUNTIF('[1]ARDT Cutter Entry'!E10,"*X*")),IF(OR(COUNTIF('[1]Eng. Cutter Entry'!E10,"*O*"),COUNTIF('[1]Eng. Cutter Entry'!E10,"*R*"),COUNTIF('[1]Eng. Cutter Entry'!E10,"*F*"),COUNTIF('[1]Eng. Cutter Entry'!E10,"*S*")),E17,""),""),"")</f>
        <v/>
      </c>
      <c r="F61" s="233" t="str">
        <f>IF(COUNTIF($M$7,"Rework #1"),IF(AND(COUNTIF(F17,"*X*"),COUNTIF('[1]ARDT Cutter Entry'!F10,"*X*")),IF(OR(COUNTIF('[1]Eng. Cutter Entry'!F10,"*O*"),COUNTIF('[1]Eng. Cutter Entry'!F10,"*R*"),COUNTIF('[1]Eng. Cutter Entry'!F10,"*F*"),COUNTIF('[1]Eng. Cutter Entry'!F10,"*S*")),F17,""),""),"")</f>
        <v/>
      </c>
      <c r="G61" s="233" t="str">
        <f>IF(COUNTIF($M$7,"Rework #1"),IF(AND(COUNTIF(G17,"*X*"),COUNTIF('[1]ARDT Cutter Entry'!G10,"*X*")),IF(OR(COUNTIF('[1]Eng. Cutter Entry'!G10,"*O*"),COUNTIF('[1]Eng. Cutter Entry'!G10,"*R*"),COUNTIF('[1]Eng. Cutter Entry'!G10,"*F*"),COUNTIF('[1]Eng. Cutter Entry'!G10,"*S*")),G17,""),""),"")</f>
        <v/>
      </c>
      <c r="H61" s="233" t="str">
        <f>IF(COUNTIF($M$7,"Rework #1"),IF(AND(COUNTIF(H17,"*X*"),COUNTIF('[1]ARDT Cutter Entry'!H10,"*X*")),IF(OR(COUNTIF('[1]Eng. Cutter Entry'!H10,"*O*"),COUNTIF('[1]Eng. Cutter Entry'!H10,"*R*"),COUNTIF('[1]Eng. Cutter Entry'!H10,"*F*"),COUNTIF('[1]Eng. Cutter Entry'!H10,"*S*")),H17,""),""),"")</f>
        <v/>
      </c>
      <c r="I61" s="233" t="str">
        <f>IF(COUNTIF($M$7,"Rework #1"),IF(AND(COUNTIF(I17,"*X*"),COUNTIF('[1]ARDT Cutter Entry'!I10,"*X*")),IF(OR(COUNTIF('[1]Eng. Cutter Entry'!I10,"*O*"),COUNTIF('[1]Eng. Cutter Entry'!I10,"*R*"),COUNTIF('[1]Eng. Cutter Entry'!I10,"*F*"),COUNTIF('[1]Eng. Cutter Entry'!I10,"*S*")),I17,""),""),"")</f>
        <v/>
      </c>
      <c r="J61" s="233" t="str">
        <f>IF(COUNTIF($M$7,"Rework #1"),IF(AND(COUNTIF(J17,"*X*"),COUNTIF('[1]ARDT Cutter Entry'!J10,"*X*")),IF(OR(COUNTIF('[1]Eng. Cutter Entry'!J10,"*O*"),COUNTIF('[1]Eng. Cutter Entry'!J10,"*R*"),COUNTIF('[1]Eng. Cutter Entry'!J10,"*F*"),COUNTIF('[1]Eng. Cutter Entry'!J10,"*S*")),J17,""),""),"")</f>
        <v/>
      </c>
      <c r="K61" s="233" t="str">
        <f>IF(COUNTIF($M$7,"Rework #1"),IF(AND(COUNTIF(K17,"*X*"),COUNTIF('[1]ARDT Cutter Entry'!K10,"*X*")),IF(OR(COUNTIF('[1]Eng. Cutter Entry'!K10,"*O*"),COUNTIF('[1]Eng. Cutter Entry'!K10,"*R*"),COUNTIF('[1]Eng. Cutter Entry'!K10,"*F*"),COUNTIF('[1]Eng. Cutter Entry'!K10,"*S*")),K17,""),""),"")</f>
        <v/>
      </c>
      <c r="L61" s="233" t="str">
        <f>IF(COUNTIF($M$7,"Rework #1"),IF(AND(COUNTIF(L17,"*X*"),COUNTIF('[1]ARDT Cutter Entry'!L10,"*X*")),IF(OR(COUNTIF('[1]Eng. Cutter Entry'!L10,"*O*"),COUNTIF('[1]Eng. Cutter Entry'!L10,"*R*"),COUNTIF('[1]Eng. Cutter Entry'!L10,"*F*"),COUNTIF('[1]Eng. Cutter Entry'!L10,"*S*")),L17,""),""),"")</f>
        <v/>
      </c>
      <c r="M61" s="233" t="str">
        <f>IF(COUNTIF($M$7,"Rework #1"),IF(AND(COUNTIF(M17,"*X*"),COUNTIF('[1]ARDT Cutter Entry'!M10,"*X*")),IF(OR(COUNTIF('[1]Eng. Cutter Entry'!M10,"*O*"),COUNTIF('[1]Eng. Cutter Entry'!M10,"*R*"),COUNTIF('[1]Eng. Cutter Entry'!M10,"*F*"),COUNTIF('[1]Eng. Cutter Entry'!M10,"*S*")),M17,""),""),"")</f>
        <v/>
      </c>
      <c r="N61" s="233" t="str">
        <f>IF(COUNTIF($M$7,"Rework #1"),IF(AND(COUNTIF(N17,"*X*"),COUNTIF('[1]ARDT Cutter Entry'!N10,"*X*")),IF(OR(COUNTIF('[1]Eng. Cutter Entry'!N10,"*O*"),COUNTIF('[1]Eng. Cutter Entry'!N10,"*R*"),COUNTIF('[1]Eng. Cutter Entry'!N10,"*F*"),COUNTIF('[1]Eng. Cutter Entry'!N10,"*S*")),N17,""),""),"")</f>
        <v/>
      </c>
      <c r="O61" s="233" t="str">
        <f>IF(COUNTIF($M$7,"Rework #1"),IF(AND(COUNTIF(O17,"*X*"),COUNTIF('[1]ARDT Cutter Entry'!O10,"*X*")),IF(OR(COUNTIF('[1]Eng. Cutter Entry'!O10,"*O*"),COUNTIF('[1]Eng. Cutter Entry'!O10,"*R*"),COUNTIF('[1]Eng. Cutter Entry'!O10,"*F*"),COUNTIF('[1]Eng. Cutter Entry'!O10,"*S*")),O17,""),""),"")</f>
        <v/>
      </c>
      <c r="P61" s="233" t="str">
        <f>IF(COUNTIF($M$7,"Rework #1"),IF(AND(COUNTIF(P17,"*X*"),COUNTIF('[1]ARDT Cutter Entry'!P10,"*X*")),IF(OR(COUNTIF('[1]Eng. Cutter Entry'!P10,"*O*"),COUNTIF('[1]Eng. Cutter Entry'!P10,"*R*"),COUNTIF('[1]Eng. Cutter Entry'!P10,"*F*"),COUNTIF('[1]Eng. Cutter Entry'!P10,"*S*")),P17,""),""),"")</f>
        <v/>
      </c>
      <c r="Q61" s="233" t="str">
        <f>IF(COUNTIF($M$7,"Rework #1"),IF(AND(COUNTIF(Q17,"*X*"),COUNTIF('[1]ARDT Cutter Entry'!Q10,"*X*")),IF(OR(COUNTIF('[1]Eng. Cutter Entry'!Q10,"*O*"),COUNTIF('[1]Eng. Cutter Entry'!Q10,"*R*"),COUNTIF('[1]Eng. Cutter Entry'!Q10,"*F*"),COUNTIF('[1]Eng. Cutter Entry'!Q10,"*S*")),Q17,""),""),"")</f>
        <v/>
      </c>
      <c r="R61" s="233" t="str">
        <f>IF(COUNTIF($M$7,"Rework #1"),IF(AND(COUNTIF(R17,"*X*"),COUNTIF('[1]ARDT Cutter Entry'!R10,"*X*")),IF(OR(COUNTIF('[1]Eng. Cutter Entry'!R10,"*O*"),COUNTIF('[1]Eng. Cutter Entry'!R10,"*R*"),COUNTIF('[1]Eng. Cutter Entry'!R10,"*F*"),COUNTIF('[1]Eng. Cutter Entry'!R10,"*S*")),R17,""),""),"")</f>
        <v/>
      </c>
      <c r="S61" s="233" t="str">
        <f>IF(COUNTIF($M$7,"Rework #1"),IF(AND(COUNTIF(S17,"*X*"),COUNTIF('[1]ARDT Cutter Entry'!S10,"*X*")),IF(OR(COUNTIF('[1]Eng. Cutter Entry'!S10,"*O*"),COUNTIF('[1]Eng. Cutter Entry'!S10,"*R*"),COUNTIF('[1]Eng. Cutter Entry'!S10,"*F*"),COUNTIF('[1]Eng. Cutter Entry'!S10,"*S*")),S17,""),""),"")</f>
        <v/>
      </c>
      <c r="T61" s="233" t="str">
        <f>IF(COUNTIF($M$7,"Rework #1"),IF(AND(COUNTIF(T17,"*X*"),COUNTIF('[1]ARDT Cutter Entry'!T10,"*X*")),IF(OR(COUNTIF('[1]Eng. Cutter Entry'!T10,"*O*"),COUNTIF('[1]Eng. Cutter Entry'!T10,"*R*"),COUNTIF('[1]Eng. Cutter Entry'!T10,"*F*"),COUNTIF('[1]Eng. Cutter Entry'!T10,"*S*")),T17,""),""),"")</f>
        <v/>
      </c>
      <c r="U61" s="233" t="str">
        <f>IF(COUNTIF($M$7,"Rework #1"),IF(AND(COUNTIF(U17,"*X*"),COUNTIF('[1]ARDT Cutter Entry'!U10,"*X*")),IF(OR(COUNTIF('[1]Eng. Cutter Entry'!U10,"*O*"),COUNTIF('[1]Eng. Cutter Entry'!U10,"*R*"),COUNTIF('[1]Eng. Cutter Entry'!U10,"*F*"),COUNTIF('[1]Eng. Cutter Entry'!U10,"*S*")),U17,""),""),"")</f>
        <v/>
      </c>
      <c r="V61" s="233" t="str">
        <f>IF(COUNTIF($M$7,"Rework #1"),IF(AND(COUNTIF(V17,"*X*"),COUNTIF('[1]ARDT Cutter Entry'!V10,"*X*")),IF(OR(COUNTIF('[1]Eng. Cutter Entry'!V10,"*O*"),COUNTIF('[1]Eng. Cutter Entry'!V10,"*R*"),COUNTIF('[1]Eng. Cutter Entry'!V10,"*F*"),COUNTIF('[1]Eng. Cutter Entry'!V10,"*S*")),V17,""),""),"")</f>
        <v/>
      </c>
      <c r="W61" s="233" t="str">
        <f>IF(COUNTIF($M$7,"Rework #1"),IF(AND(COUNTIF(W17,"*X*"),COUNTIF('[1]ARDT Cutter Entry'!W10,"*X*")),IF(OR(COUNTIF('[1]Eng. Cutter Entry'!W10,"*O*"),COUNTIF('[1]Eng. Cutter Entry'!W10,"*R*"),COUNTIF('[1]Eng. Cutter Entry'!W10,"*F*"),COUNTIF('[1]Eng. Cutter Entry'!W10,"*S*")),W17,""),""),"")</f>
        <v/>
      </c>
      <c r="X61" s="233" t="str">
        <f>IF(COUNTIF($M$7,"Rework #1"),IF(AND(COUNTIF(X17,"*X*"),COUNTIF('[1]ARDT Cutter Entry'!X10,"*X*")),IF(OR(COUNTIF('[1]Eng. Cutter Entry'!X10,"*O*"),COUNTIF('[1]Eng. Cutter Entry'!X10,"*R*"),COUNTIF('[1]Eng. Cutter Entry'!X10,"*F*"),COUNTIF('[1]Eng. Cutter Entry'!X10,"*S*")),X17,""),""),"")</f>
        <v/>
      </c>
    </row>
    <row r="62" spans="1:24" ht="15.75" hidden="1" customHeight="1" x14ac:dyDescent="0.35">
      <c r="A62" s="2257"/>
      <c r="B62" s="449">
        <v>8</v>
      </c>
      <c r="C62" s="233" t="str">
        <f>IF(COUNTIF($M$7,"Rework #1"),IF(AND(COUNTIF(C18,"*X*"),COUNTIF('[1]ARDT Cutter Entry'!C11,"*X*")),IF(OR(COUNTIF('[1]Eng. Cutter Entry'!C11,"*O*"),COUNTIF('[1]Eng. Cutter Entry'!C11,"*R*"),COUNTIF('[1]Eng. Cutter Entry'!C11,"*F*"),COUNTIF('[1]Eng. Cutter Entry'!C11,"*S*")),C18,""),""),"")</f>
        <v/>
      </c>
      <c r="D62" s="233" t="str">
        <f>IF(COUNTIF($M$7,"Rework #1"),IF(AND(COUNTIF(D18,"*X*"),COUNTIF('[1]ARDT Cutter Entry'!D11,"*X*")),IF(OR(COUNTIF('[1]Eng. Cutter Entry'!D11,"*O*"),COUNTIF('[1]Eng. Cutter Entry'!D11,"*R*"),COUNTIF('[1]Eng. Cutter Entry'!D11,"*F*"),COUNTIF('[1]Eng. Cutter Entry'!D11,"*S*")),D18,""),""),"")</f>
        <v/>
      </c>
      <c r="E62" s="233" t="str">
        <f>IF(COUNTIF($M$7,"Rework #1"),IF(AND(COUNTIF(E18,"*X*"),COUNTIF('[1]ARDT Cutter Entry'!E11,"*X*")),IF(OR(COUNTIF('[1]Eng. Cutter Entry'!E11,"*O*"),COUNTIF('[1]Eng. Cutter Entry'!E11,"*R*"),COUNTIF('[1]Eng. Cutter Entry'!E11,"*F*"),COUNTIF('[1]Eng. Cutter Entry'!E11,"*S*")),E18,""),""),"")</f>
        <v/>
      </c>
      <c r="F62" s="233" t="str">
        <f>IF(COUNTIF($M$7,"Rework #1"),IF(AND(COUNTIF(F18,"*X*"),COUNTIF('[1]ARDT Cutter Entry'!F11,"*X*")),IF(OR(COUNTIF('[1]Eng. Cutter Entry'!F11,"*O*"),COUNTIF('[1]Eng. Cutter Entry'!F11,"*R*"),COUNTIF('[1]Eng. Cutter Entry'!F11,"*F*"),COUNTIF('[1]Eng. Cutter Entry'!F11,"*S*")),F18,""),""),"")</f>
        <v/>
      </c>
      <c r="G62" s="233" t="str">
        <f>IF(COUNTIF($M$7,"Rework #1"),IF(AND(COUNTIF(G18,"*X*"),COUNTIF('[1]ARDT Cutter Entry'!G11,"*X*")),IF(OR(COUNTIF('[1]Eng. Cutter Entry'!G11,"*O*"),COUNTIF('[1]Eng. Cutter Entry'!G11,"*R*"),COUNTIF('[1]Eng. Cutter Entry'!G11,"*F*"),COUNTIF('[1]Eng. Cutter Entry'!G11,"*S*")),G18,""),""),"")</f>
        <v/>
      </c>
      <c r="H62" s="233" t="str">
        <f>IF(COUNTIF($M$7,"Rework #1"),IF(AND(COUNTIF(H18,"*X*"),COUNTIF('[1]ARDT Cutter Entry'!H11,"*X*")),IF(OR(COUNTIF('[1]Eng. Cutter Entry'!H11,"*O*"),COUNTIF('[1]Eng. Cutter Entry'!H11,"*R*"),COUNTIF('[1]Eng. Cutter Entry'!H11,"*F*"),COUNTIF('[1]Eng. Cutter Entry'!H11,"*S*")),H18,""),""),"")</f>
        <v/>
      </c>
      <c r="I62" s="233" t="str">
        <f>IF(COUNTIF($M$7,"Rework #1"),IF(AND(COUNTIF(I18,"*X*"),COUNTIF('[1]ARDT Cutter Entry'!I11,"*X*")),IF(OR(COUNTIF('[1]Eng. Cutter Entry'!I11,"*O*"),COUNTIF('[1]Eng. Cutter Entry'!I11,"*R*"),COUNTIF('[1]Eng. Cutter Entry'!I11,"*F*"),COUNTIF('[1]Eng. Cutter Entry'!I11,"*S*")),I18,""),""),"")</f>
        <v/>
      </c>
      <c r="J62" s="233" t="str">
        <f>IF(COUNTIF($M$7,"Rework #1"),IF(AND(COUNTIF(J18,"*X*"),COUNTIF('[1]ARDT Cutter Entry'!J11,"*X*")),IF(OR(COUNTIF('[1]Eng. Cutter Entry'!J11,"*O*"),COUNTIF('[1]Eng. Cutter Entry'!J11,"*R*"),COUNTIF('[1]Eng. Cutter Entry'!J11,"*F*"),COUNTIF('[1]Eng. Cutter Entry'!J11,"*S*")),J18,""),""),"")</f>
        <v/>
      </c>
      <c r="K62" s="233" t="str">
        <f>IF(COUNTIF($M$7,"Rework #1"),IF(AND(COUNTIF(K18,"*X*"),COUNTIF('[1]ARDT Cutter Entry'!K11,"*X*")),IF(OR(COUNTIF('[1]Eng. Cutter Entry'!K11,"*O*"),COUNTIF('[1]Eng. Cutter Entry'!K11,"*R*"),COUNTIF('[1]Eng. Cutter Entry'!K11,"*F*"),COUNTIF('[1]Eng. Cutter Entry'!K11,"*S*")),K18,""),""),"")</f>
        <v/>
      </c>
      <c r="L62" s="233" t="str">
        <f>IF(COUNTIF($M$7,"Rework #1"),IF(AND(COUNTIF(L18,"*X*"),COUNTIF('[1]ARDT Cutter Entry'!L11,"*X*")),IF(OR(COUNTIF('[1]Eng. Cutter Entry'!L11,"*O*"),COUNTIF('[1]Eng. Cutter Entry'!L11,"*R*"),COUNTIF('[1]Eng. Cutter Entry'!L11,"*F*"),COUNTIF('[1]Eng. Cutter Entry'!L11,"*S*")),L18,""),""),"")</f>
        <v/>
      </c>
      <c r="M62" s="233" t="str">
        <f>IF(COUNTIF($M$7,"Rework #1"),IF(AND(COUNTIF(M18,"*X*"),COUNTIF('[1]ARDT Cutter Entry'!M11,"*X*")),IF(OR(COUNTIF('[1]Eng. Cutter Entry'!M11,"*O*"),COUNTIF('[1]Eng. Cutter Entry'!M11,"*R*"),COUNTIF('[1]Eng. Cutter Entry'!M11,"*F*"),COUNTIF('[1]Eng. Cutter Entry'!M11,"*S*")),M18,""),""),"")</f>
        <v/>
      </c>
      <c r="N62" s="233" t="str">
        <f>IF(COUNTIF($M$7,"Rework #1"),IF(AND(COUNTIF(N18,"*X*"),COUNTIF('[1]ARDT Cutter Entry'!N11,"*X*")),IF(OR(COUNTIF('[1]Eng. Cutter Entry'!N11,"*O*"),COUNTIF('[1]Eng. Cutter Entry'!N11,"*R*"),COUNTIF('[1]Eng. Cutter Entry'!N11,"*F*"),COUNTIF('[1]Eng. Cutter Entry'!N11,"*S*")),N18,""),""),"")</f>
        <v/>
      </c>
      <c r="O62" s="233" t="str">
        <f>IF(COUNTIF($M$7,"Rework #1"),IF(AND(COUNTIF(O18,"*X*"),COUNTIF('[1]ARDT Cutter Entry'!O11,"*X*")),IF(OR(COUNTIF('[1]Eng. Cutter Entry'!O11,"*O*"),COUNTIF('[1]Eng. Cutter Entry'!O11,"*R*"),COUNTIF('[1]Eng. Cutter Entry'!O11,"*F*"),COUNTIF('[1]Eng. Cutter Entry'!O11,"*S*")),O18,""),""),"")</f>
        <v/>
      </c>
      <c r="P62" s="233" t="str">
        <f>IF(COUNTIF($M$7,"Rework #1"),IF(AND(COUNTIF(P18,"*X*"),COUNTIF('[1]ARDT Cutter Entry'!P11,"*X*")),IF(OR(COUNTIF('[1]Eng. Cutter Entry'!P11,"*O*"),COUNTIF('[1]Eng. Cutter Entry'!P11,"*R*"),COUNTIF('[1]Eng. Cutter Entry'!P11,"*F*"),COUNTIF('[1]Eng. Cutter Entry'!P11,"*S*")),P18,""),""),"")</f>
        <v/>
      </c>
      <c r="Q62" s="233" t="str">
        <f>IF(COUNTIF($M$7,"Rework #1"),IF(AND(COUNTIF(Q18,"*X*"),COUNTIF('[1]ARDT Cutter Entry'!Q11,"*X*")),IF(OR(COUNTIF('[1]Eng. Cutter Entry'!Q11,"*O*"),COUNTIF('[1]Eng. Cutter Entry'!Q11,"*R*"),COUNTIF('[1]Eng. Cutter Entry'!Q11,"*F*"),COUNTIF('[1]Eng. Cutter Entry'!Q11,"*S*")),Q18,""),""),"")</f>
        <v/>
      </c>
      <c r="R62" s="233" t="str">
        <f>IF(COUNTIF($M$7,"Rework #1"),IF(AND(COUNTIF(R18,"*X*"),COUNTIF('[1]ARDT Cutter Entry'!R11,"*X*")),IF(OR(COUNTIF('[1]Eng. Cutter Entry'!R11,"*O*"),COUNTIF('[1]Eng. Cutter Entry'!R11,"*R*"),COUNTIF('[1]Eng. Cutter Entry'!R11,"*F*"),COUNTIF('[1]Eng. Cutter Entry'!R11,"*S*")),R18,""),""),"")</f>
        <v/>
      </c>
      <c r="S62" s="233" t="str">
        <f>IF(COUNTIF($M$7,"Rework #1"),IF(AND(COUNTIF(S18,"*X*"),COUNTIF('[1]ARDT Cutter Entry'!S11,"*X*")),IF(OR(COUNTIF('[1]Eng. Cutter Entry'!S11,"*O*"),COUNTIF('[1]Eng. Cutter Entry'!S11,"*R*"),COUNTIF('[1]Eng. Cutter Entry'!S11,"*F*"),COUNTIF('[1]Eng. Cutter Entry'!S11,"*S*")),S18,""),""),"")</f>
        <v/>
      </c>
      <c r="T62" s="233" t="str">
        <f>IF(COUNTIF($M$7,"Rework #1"),IF(AND(COUNTIF(T18,"*X*"),COUNTIF('[1]ARDT Cutter Entry'!T11,"*X*")),IF(OR(COUNTIF('[1]Eng. Cutter Entry'!T11,"*O*"),COUNTIF('[1]Eng. Cutter Entry'!T11,"*R*"),COUNTIF('[1]Eng. Cutter Entry'!T11,"*F*"),COUNTIF('[1]Eng. Cutter Entry'!T11,"*S*")),T18,""),""),"")</f>
        <v/>
      </c>
      <c r="U62" s="233" t="str">
        <f>IF(COUNTIF($M$7,"Rework #1"),IF(AND(COUNTIF(U18,"*X*"),COUNTIF('[1]ARDT Cutter Entry'!U11,"*X*")),IF(OR(COUNTIF('[1]Eng. Cutter Entry'!U11,"*O*"),COUNTIF('[1]Eng. Cutter Entry'!U11,"*R*"),COUNTIF('[1]Eng. Cutter Entry'!U11,"*F*"),COUNTIF('[1]Eng. Cutter Entry'!U11,"*S*")),U18,""),""),"")</f>
        <v/>
      </c>
      <c r="V62" s="233" t="str">
        <f>IF(COUNTIF($M$7,"Rework #1"),IF(AND(COUNTIF(V18,"*X*"),COUNTIF('[1]ARDT Cutter Entry'!V11,"*X*")),IF(OR(COUNTIF('[1]Eng. Cutter Entry'!V11,"*O*"),COUNTIF('[1]Eng. Cutter Entry'!V11,"*R*"),COUNTIF('[1]Eng. Cutter Entry'!V11,"*F*"),COUNTIF('[1]Eng. Cutter Entry'!V11,"*S*")),V18,""),""),"")</f>
        <v/>
      </c>
      <c r="W62" s="233" t="str">
        <f>IF(COUNTIF($M$7,"Rework #1"),IF(AND(COUNTIF(W18,"*X*"),COUNTIF('[1]ARDT Cutter Entry'!W11,"*X*")),IF(OR(COUNTIF('[1]Eng. Cutter Entry'!W11,"*O*"),COUNTIF('[1]Eng. Cutter Entry'!W11,"*R*"),COUNTIF('[1]Eng. Cutter Entry'!W11,"*F*"),COUNTIF('[1]Eng. Cutter Entry'!W11,"*S*")),W18,""),""),"")</f>
        <v/>
      </c>
      <c r="X62" s="233" t="str">
        <f>IF(COUNTIF($M$7,"Rework #1"),IF(AND(COUNTIF(X18,"*X*"),COUNTIF('[1]ARDT Cutter Entry'!X11,"*X*")),IF(OR(COUNTIF('[1]Eng. Cutter Entry'!X11,"*O*"),COUNTIF('[1]Eng. Cutter Entry'!X11,"*R*"),COUNTIF('[1]Eng. Cutter Entry'!X11,"*F*"),COUNTIF('[1]Eng. Cutter Entry'!X11,"*S*")),X18,""),""),"")</f>
        <v/>
      </c>
    </row>
    <row r="63" spans="1:24" ht="15.75" hidden="1" customHeight="1" x14ac:dyDescent="0.35">
      <c r="A63" s="2257"/>
      <c r="B63" s="449">
        <v>9</v>
      </c>
      <c r="C63" s="233" t="str">
        <f>IF(COUNTIF($M$7,"Rework #1"),IF(AND(COUNTIF(C19,"*X*"),COUNTIF('[1]ARDT Cutter Entry'!C12,"*X*")),IF(OR(COUNTIF('[1]Eng. Cutter Entry'!C12,"*O*"),COUNTIF('[1]Eng. Cutter Entry'!C12,"*R*"),COUNTIF('[1]Eng. Cutter Entry'!C12,"*F*"),COUNTIF('[1]Eng. Cutter Entry'!C12,"*S*")),C19,""),""),"")</f>
        <v/>
      </c>
      <c r="D63" s="233" t="str">
        <f>IF(COUNTIF($M$7,"Rework #1"),IF(AND(COUNTIF(D19,"*X*"),COUNTIF('[1]ARDT Cutter Entry'!D12,"*X*")),IF(OR(COUNTIF('[1]Eng. Cutter Entry'!D12,"*O*"),COUNTIF('[1]Eng. Cutter Entry'!D12,"*R*"),COUNTIF('[1]Eng. Cutter Entry'!D12,"*F*"),COUNTIF('[1]Eng. Cutter Entry'!D12,"*S*")),D19,""),""),"")</f>
        <v/>
      </c>
      <c r="E63" s="233" t="str">
        <f>IF(COUNTIF($M$7,"Rework #1"),IF(AND(COUNTIF(E19,"*X*"),COUNTIF('[1]ARDT Cutter Entry'!E12,"*X*")),IF(OR(COUNTIF('[1]Eng. Cutter Entry'!E12,"*O*"),COUNTIF('[1]Eng. Cutter Entry'!E12,"*R*"),COUNTIF('[1]Eng. Cutter Entry'!E12,"*F*"),COUNTIF('[1]Eng. Cutter Entry'!E12,"*S*")),E19,""),""),"")</f>
        <v/>
      </c>
      <c r="F63" s="233" t="str">
        <f>IF(COUNTIF($M$7,"Rework #1"),IF(AND(COUNTIF(F19,"*X*"),COUNTIF('[1]ARDT Cutter Entry'!F12,"*X*")),IF(OR(COUNTIF('[1]Eng. Cutter Entry'!F12,"*O*"),COUNTIF('[1]Eng. Cutter Entry'!F12,"*R*"),COUNTIF('[1]Eng. Cutter Entry'!F12,"*F*"),COUNTIF('[1]Eng. Cutter Entry'!F12,"*S*")),F19,""),""),"")</f>
        <v/>
      </c>
      <c r="G63" s="233" t="str">
        <f>IF(COUNTIF($M$7,"Rework #1"),IF(AND(COUNTIF(G19,"*X*"),COUNTIF('[1]ARDT Cutter Entry'!G12,"*X*")),IF(OR(COUNTIF('[1]Eng. Cutter Entry'!G12,"*O*"),COUNTIF('[1]Eng. Cutter Entry'!G12,"*R*"),COUNTIF('[1]Eng. Cutter Entry'!G12,"*F*"),COUNTIF('[1]Eng. Cutter Entry'!G12,"*S*")),G19,""),""),"")</f>
        <v/>
      </c>
      <c r="H63" s="233" t="str">
        <f>IF(COUNTIF($M$7,"Rework #1"),IF(AND(COUNTIF(H19,"*X*"),COUNTIF('[1]ARDT Cutter Entry'!H12,"*X*")),IF(OR(COUNTIF('[1]Eng. Cutter Entry'!H12,"*O*"),COUNTIF('[1]Eng. Cutter Entry'!H12,"*R*"),COUNTIF('[1]Eng. Cutter Entry'!H12,"*F*"),COUNTIF('[1]Eng. Cutter Entry'!H12,"*S*")),H19,""),""),"")</f>
        <v/>
      </c>
      <c r="I63" s="233" t="str">
        <f>IF(COUNTIF($M$7,"Rework #1"),IF(AND(COUNTIF(I19,"*X*"),COUNTIF('[1]ARDT Cutter Entry'!I12,"*X*")),IF(OR(COUNTIF('[1]Eng. Cutter Entry'!I12,"*O*"),COUNTIF('[1]Eng. Cutter Entry'!I12,"*R*"),COUNTIF('[1]Eng. Cutter Entry'!I12,"*F*"),COUNTIF('[1]Eng. Cutter Entry'!I12,"*S*")),I19,""),""),"")</f>
        <v/>
      </c>
      <c r="J63" s="233" t="str">
        <f>IF(COUNTIF($M$7,"Rework #1"),IF(AND(COUNTIF(J19,"*X*"),COUNTIF('[1]ARDT Cutter Entry'!J12,"*X*")),IF(OR(COUNTIF('[1]Eng. Cutter Entry'!J12,"*O*"),COUNTIF('[1]Eng. Cutter Entry'!J12,"*R*"),COUNTIF('[1]Eng. Cutter Entry'!J12,"*F*"),COUNTIF('[1]Eng. Cutter Entry'!J12,"*S*")),J19,""),""),"")</f>
        <v/>
      </c>
      <c r="K63" s="233" t="str">
        <f>IF(COUNTIF($M$7,"Rework #1"),IF(AND(COUNTIF(K19,"*X*"),COUNTIF('[1]ARDT Cutter Entry'!K12,"*X*")),IF(OR(COUNTIF('[1]Eng. Cutter Entry'!K12,"*O*"),COUNTIF('[1]Eng. Cutter Entry'!K12,"*R*"),COUNTIF('[1]Eng. Cutter Entry'!K12,"*F*"),COUNTIF('[1]Eng. Cutter Entry'!K12,"*S*")),K19,""),""),"")</f>
        <v/>
      </c>
      <c r="L63" s="233" t="str">
        <f>IF(COUNTIF($M$7,"Rework #1"),IF(AND(COUNTIF(L19,"*X*"),COUNTIF('[1]ARDT Cutter Entry'!L12,"*X*")),IF(OR(COUNTIF('[1]Eng. Cutter Entry'!L12,"*O*"),COUNTIF('[1]Eng. Cutter Entry'!L12,"*R*"),COUNTIF('[1]Eng. Cutter Entry'!L12,"*F*"),COUNTIF('[1]Eng. Cutter Entry'!L12,"*S*")),L19,""),""),"")</f>
        <v/>
      </c>
      <c r="M63" s="233" t="str">
        <f>IF(COUNTIF($M$7,"Rework #1"),IF(AND(COUNTIF(M19,"*X*"),COUNTIF('[1]ARDT Cutter Entry'!M12,"*X*")),IF(OR(COUNTIF('[1]Eng. Cutter Entry'!M12,"*O*"),COUNTIF('[1]Eng. Cutter Entry'!M12,"*R*"),COUNTIF('[1]Eng. Cutter Entry'!M12,"*F*"),COUNTIF('[1]Eng. Cutter Entry'!M12,"*S*")),M19,""),""),"")</f>
        <v/>
      </c>
      <c r="N63" s="233" t="str">
        <f>IF(COUNTIF($M$7,"Rework #1"),IF(AND(COUNTIF(N19,"*X*"),COUNTIF('[1]ARDT Cutter Entry'!N12,"*X*")),IF(OR(COUNTIF('[1]Eng. Cutter Entry'!N12,"*O*"),COUNTIF('[1]Eng. Cutter Entry'!N12,"*R*"),COUNTIF('[1]Eng. Cutter Entry'!N12,"*F*"),COUNTIF('[1]Eng. Cutter Entry'!N12,"*S*")),N19,""),""),"")</f>
        <v/>
      </c>
      <c r="O63" s="233" t="str">
        <f>IF(COUNTIF($M$7,"Rework #1"),IF(AND(COUNTIF(O19,"*X*"),COUNTIF('[1]ARDT Cutter Entry'!O12,"*X*")),IF(OR(COUNTIF('[1]Eng. Cutter Entry'!O12,"*O*"),COUNTIF('[1]Eng. Cutter Entry'!O12,"*R*"),COUNTIF('[1]Eng. Cutter Entry'!O12,"*F*"),COUNTIF('[1]Eng. Cutter Entry'!O12,"*S*")),O19,""),""),"")</f>
        <v/>
      </c>
      <c r="P63" s="233" t="str">
        <f>IF(COUNTIF($M$7,"Rework #1"),IF(AND(COUNTIF(P19,"*X*"),COUNTIF('[1]ARDT Cutter Entry'!P12,"*X*")),IF(OR(COUNTIF('[1]Eng. Cutter Entry'!P12,"*O*"),COUNTIF('[1]Eng. Cutter Entry'!P12,"*R*"),COUNTIF('[1]Eng. Cutter Entry'!P12,"*F*"),COUNTIF('[1]Eng. Cutter Entry'!P12,"*S*")),P19,""),""),"")</f>
        <v/>
      </c>
      <c r="Q63" s="233" t="str">
        <f>IF(COUNTIF($M$7,"Rework #1"),IF(AND(COUNTIF(Q19,"*X*"),COUNTIF('[1]ARDT Cutter Entry'!Q12,"*X*")),IF(OR(COUNTIF('[1]Eng. Cutter Entry'!Q12,"*O*"),COUNTIF('[1]Eng. Cutter Entry'!Q12,"*R*"),COUNTIF('[1]Eng. Cutter Entry'!Q12,"*F*"),COUNTIF('[1]Eng. Cutter Entry'!Q12,"*S*")),Q19,""),""),"")</f>
        <v/>
      </c>
      <c r="R63" s="233" t="str">
        <f>IF(COUNTIF($M$7,"Rework #1"),IF(AND(COUNTIF(R19,"*X*"),COUNTIF('[1]ARDT Cutter Entry'!R12,"*X*")),IF(OR(COUNTIF('[1]Eng. Cutter Entry'!R12,"*O*"),COUNTIF('[1]Eng. Cutter Entry'!R12,"*R*"),COUNTIF('[1]Eng. Cutter Entry'!R12,"*F*"),COUNTIF('[1]Eng. Cutter Entry'!R12,"*S*")),R19,""),""),"")</f>
        <v/>
      </c>
      <c r="S63" s="233" t="str">
        <f>IF(COUNTIF($M$7,"Rework #1"),IF(AND(COUNTIF(S19,"*X*"),COUNTIF('[1]ARDT Cutter Entry'!S12,"*X*")),IF(OR(COUNTIF('[1]Eng. Cutter Entry'!S12,"*O*"),COUNTIF('[1]Eng. Cutter Entry'!S12,"*R*"),COUNTIF('[1]Eng. Cutter Entry'!S12,"*F*"),COUNTIF('[1]Eng. Cutter Entry'!S12,"*S*")),S19,""),""),"")</f>
        <v/>
      </c>
      <c r="T63" s="233" t="str">
        <f>IF(COUNTIF($M$7,"Rework #1"),IF(AND(COUNTIF(T19,"*X*"),COUNTIF('[1]ARDT Cutter Entry'!T12,"*X*")),IF(OR(COUNTIF('[1]Eng. Cutter Entry'!T12,"*O*"),COUNTIF('[1]Eng. Cutter Entry'!T12,"*R*"),COUNTIF('[1]Eng. Cutter Entry'!T12,"*F*"),COUNTIF('[1]Eng. Cutter Entry'!T12,"*S*")),T19,""),""),"")</f>
        <v/>
      </c>
      <c r="U63" s="233" t="str">
        <f>IF(COUNTIF($M$7,"Rework #1"),IF(AND(COUNTIF(U19,"*X*"),COUNTIF('[1]ARDT Cutter Entry'!U12,"*X*")),IF(OR(COUNTIF('[1]Eng. Cutter Entry'!U12,"*O*"),COUNTIF('[1]Eng. Cutter Entry'!U12,"*R*"),COUNTIF('[1]Eng. Cutter Entry'!U12,"*F*"),COUNTIF('[1]Eng. Cutter Entry'!U12,"*S*")),U19,""),""),"")</f>
        <v/>
      </c>
      <c r="V63" s="233" t="str">
        <f>IF(COUNTIF($M$7,"Rework #1"),IF(AND(COUNTIF(V19,"*X*"),COUNTIF('[1]ARDT Cutter Entry'!V12,"*X*")),IF(OR(COUNTIF('[1]Eng. Cutter Entry'!V12,"*O*"),COUNTIF('[1]Eng. Cutter Entry'!V12,"*R*"),COUNTIF('[1]Eng. Cutter Entry'!V12,"*F*"),COUNTIF('[1]Eng. Cutter Entry'!V12,"*S*")),V19,""),""),"")</f>
        <v/>
      </c>
      <c r="W63" s="233" t="str">
        <f>IF(COUNTIF($M$7,"Rework #1"),IF(AND(COUNTIF(W19,"*X*"),COUNTIF('[1]ARDT Cutter Entry'!W12,"*X*")),IF(OR(COUNTIF('[1]Eng. Cutter Entry'!W12,"*O*"),COUNTIF('[1]Eng. Cutter Entry'!W12,"*R*"),COUNTIF('[1]Eng. Cutter Entry'!W12,"*F*"),COUNTIF('[1]Eng. Cutter Entry'!W12,"*S*")),W19,""),""),"")</f>
        <v/>
      </c>
      <c r="X63" s="233" t="str">
        <f>IF(COUNTIF($M$7,"Rework #1"),IF(AND(COUNTIF(X19,"*X*"),COUNTIF('[1]ARDT Cutter Entry'!X12,"*X*")),IF(OR(COUNTIF('[1]Eng. Cutter Entry'!X12,"*O*"),COUNTIF('[1]Eng. Cutter Entry'!X12,"*R*"),COUNTIF('[1]Eng. Cutter Entry'!X12,"*F*"),COUNTIF('[1]Eng. Cutter Entry'!X12,"*S*")),X19,""),""),"")</f>
        <v/>
      </c>
    </row>
    <row r="64" spans="1:24" hidden="1" x14ac:dyDescent="0.35"/>
    <row r="65" spans="3:14" hidden="1" x14ac:dyDescent="0.35"/>
    <row r="66" spans="3:14" hidden="1" x14ac:dyDescent="0.35">
      <c r="C66" s="83" t="s">
        <v>136</v>
      </c>
      <c r="D66" s="83" t="s">
        <v>137</v>
      </c>
      <c r="E66" s="83" t="s">
        <v>138</v>
      </c>
      <c r="F66" s="83" t="s">
        <v>139</v>
      </c>
      <c r="G66" s="83" t="s">
        <v>140</v>
      </c>
      <c r="H66" s="83" t="s">
        <v>299</v>
      </c>
      <c r="I66" s="83" t="s">
        <v>300</v>
      </c>
      <c r="J66" s="83" t="s">
        <v>301</v>
      </c>
      <c r="K66" s="83" t="s">
        <v>302</v>
      </c>
      <c r="L66" s="83" t="s">
        <v>303</v>
      </c>
      <c r="M66" s="93"/>
      <c r="N66" s="83" t="s">
        <v>21</v>
      </c>
    </row>
    <row r="67" spans="3:14" hidden="1" x14ac:dyDescent="0.35">
      <c r="C67" s="93">
        <f>IF(COUNTIF($C$55:$X$63,"*X*1*"),COUNTIF($C$55:$X$63,"*X*1*"),0)</f>
        <v>0</v>
      </c>
      <c r="D67" s="93">
        <f>IF(COUNTIF($C$55:$X$63,"*X*2*"),COUNTIF($C$55:$X$63,"*X*2*"),0)</f>
        <v>0</v>
      </c>
      <c r="E67" s="93">
        <f>IF(COUNTIF($C$55:$X$63,"*X*3*"),COUNTIF($C$55:$X$63,"*X*3*"),0)</f>
        <v>0</v>
      </c>
      <c r="F67" s="93">
        <f>IF(COUNTIF($C$55:$X$63,"*X*4*"),COUNTIF($C$55:$X$63,"*X*4*"),0)</f>
        <v>0</v>
      </c>
      <c r="G67" s="93">
        <f>IF(COUNTIF($C$55:$X$63,"*X*5*"),COUNTIF($C$55:$X$63,"*X*5*"),0)</f>
        <v>0</v>
      </c>
      <c r="H67" s="93">
        <f>IF(COUNTIF($C$55:$X$63,"*X*6*"),COUNTIF($C$55:$X$63,"*X*6*"),0)</f>
        <v>0</v>
      </c>
      <c r="I67" s="93">
        <f>IF(COUNTIF($C$55:$X$63,"*X*7*"),COUNTIF($C$55:$X$63,"*X*7*"),0)</f>
        <v>0</v>
      </c>
      <c r="J67" s="93">
        <f>IF(COUNTIF($C$55:$X$63,"*X*8*"),COUNTIF($C$55:$X$63,"*X*8*"),0)</f>
        <v>0</v>
      </c>
      <c r="K67" s="93">
        <f>IF(COUNTIF($C$55:$X$63,"*X*9*"),COUNTIF($C$55:$X$63,"*X*9*"),0)</f>
        <v>0</v>
      </c>
      <c r="L67" s="93">
        <f>IF(COUNTIF($C$55:$X$63,"*X*10*"),COUNTIF($C$55:$X$63,"*X*10*"),0)</f>
        <v>0</v>
      </c>
      <c r="M67" s="93"/>
      <c r="N67" s="93">
        <f>SUM(A67:L67)</f>
        <v>0</v>
      </c>
    </row>
    <row r="68" spans="3:14" hidden="1" x14ac:dyDescent="0.35"/>
  </sheetData>
  <sheetProtection formatCells="0" formatColumns="0" formatRows="0" insertColumns="0" insertRows="0" insertHyperlinks="0" deleteColumns="0" deleteRows="0" sort="0" autoFilter="0" pivotTables="0"/>
  <mergeCells count="153">
    <mergeCell ref="AD7:AG7"/>
    <mergeCell ref="D1:S2"/>
    <mergeCell ref="T1:AA1"/>
    <mergeCell ref="AB1:AJ1"/>
    <mergeCell ref="T2:AA2"/>
    <mergeCell ref="AB2:AJ2"/>
    <mergeCell ref="D3:AC3"/>
    <mergeCell ref="AE3:AG3"/>
    <mergeCell ref="AH3:AJ3"/>
    <mergeCell ref="AH5:AJ5"/>
    <mergeCell ref="AD4:AG6"/>
    <mergeCell ref="A5:D5"/>
    <mergeCell ref="E5:H5"/>
    <mergeCell ref="I5:L5"/>
    <mergeCell ref="M5:P5"/>
    <mergeCell ref="Q5:R5"/>
    <mergeCell ref="S5:V5"/>
    <mergeCell ref="W5:Y5"/>
    <mergeCell ref="Z5:AC5"/>
    <mergeCell ref="P21:R21"/>
    <mergeCell ref="S21:T21"/>
    <mergeCell ref="U21:X21"/>
    <mergeCell ref="Y21:Z21"/>
    <mergeCell ref="AB21:AC21"/>
    <mergeCell ref="AD21:AE21"/>
    <mergeCell ref="AH7:AJ7"/>
    <mergeCell ref="A9:B10"/>
    <mergeCell ref="C9:AJ9"/>
    <mergeCell ref="A11:A19"/>
    <mergeCell ref="A21:C21"/>
    <mergeCell ref="D21:E21"/>
    <mergeCell ref="F21:H21"/>
    <mergeCell ref="I21:J21"/>
    <mergeCell ref="K21:M21"/>
    <mergeCell ref="N21:O21"/>
    <mergeCell ref="A7:D7"/>
    <mergeCell ref="E7:H7"/>
    <mergeCell ref="I7:L7"/>
    <mergeCell ref="M7:P7"/>
    <mergeCell ref="Q7:R7"/>
    <mergeCell ref="S7:V7"/>
    <mergeCell ref="X7:Y7"/>
    <mergeCell ref="Z7:AC7"/>
    <mergeCell ref="A28:C28"/>
    <mergeCell ref="D28:G28"/>
    <mergeCell ref="H28:L28"/>
    <mergeCell ref="M28:Q28"/>
    <mergeCell ref="R28:X28"/>
    <mergeCell ref="Y28:AJ28"/>
    <mergeCell ref="D23:AJ24"/>
    <mergeCell ref="A25:AJ25"/>
    <mergeCell ref="A26:C27"/>
    <mergeCell ref="D26:G27"/>
    <mergeCell ref="H26:L27"/>
    <mergeCell ref="M26:Q27"/>
    <mergeCell ref="R26:X27"/>
    <mergeCell ref="Y26:AJ27"/>
    <mergeCell ref="A23:C23"/>
    <mergeCell ref="A24:C24"/>
    <mergeCell ref="A30:C30"/>
    <mergeCell ref="D30:G30"/>
    <mergeCell ref="H30:L30"/>
    <mergeCell ref="M30:Q30"/>
    <mergeCell ref="R30:X30"/>
    <mergeCell ref="Y30:AJ30"/>
    <mergeCell ref="A29:C29"/>
    <mergeCell ref="D29:G29"/>
    <mergeCell ref="H29:L29"/>
    <mergeCell ref="M29:Q29"/>
    <mergeCell ref="R29:X29"/>
    <mergeCell ref="Y29:AJ29"/>
    <mergeCell ref="A32:C32"/>
    <mergeCell ref="D32:G32"/>
    <mergeCell ref="H32:L32"/>
    <mergeCell ref="M32:Q32"/>
    <mergeCell ref="R32:X32"/>
    <mergeCell ref="Y32:AJ32"/>
    <mergeCell ref="A31:C31"/>
    <mergeCell ref="D31:G31"/>
    <mergeCell ref="H31:L31"/>
    <mergeCell ref="M31:Q31"/>
    <mergeCell ref="R31:X31"/>
    <mergeCell ref="Y31:AJ31"/>
    <mergeCell ref="A34:C34"/>
    <mergeCell ref="D34:G34"/>
    <mergeCell ref="H34:L34"/>
    <mergeCell ref="M34:Q34"/>
    <mergeCell ref="R34:X34"/>
    <mergeCell ref="Y34:AJ34"/>
    <mergeCell ref="A33:C33"/>
    <mergeCell ref="D33:G33"/>
    <mergeCell ref="H33:L33"/>
    <mergeCell ref="M33:Q33"/>
    <mergeCell ref="R33:X33"/>
    <mergeCell ref="Y33:AJ33"/>
    <mergeCell ref="A36:C36"/>
    <mergeCell ref="D36:G36"/>
    <mergeCell ref="H36:L36"/>
    <mergeCell ref="M36:Q36"/>
    <mergeCell ref="R36:X36"/>
    <mergeCell ref="Y36:AJ36"/>
    <mergeCell ref="A35:C35"/>
    <mergeCell ref="D35:G35"/>
    <mergeCell ref="H35:L35"/>
    <mergeCell ref="M35:Q35"/>
    <mergeCell ref="R35:X35"/>
    <mergeCell ref="Y35:AJ35"/>
    <mergeCell ref="A39:AJ39"/>
    <mergeCell ref="A40:G40"/>
    <mergeCell ref="H40:M40"/>
    <mergeCell ref="N40:S40"/>
    <mergeCell ref="T40:X40"/>
    <mergeCell ref="A37:C37"/>
    <mergeCell ref="D37:G37"/>
    <mergeCell ref="H37:L37"/>
    <mergeCell ref="M37:Q37"/>
    <mergeCell ref="R37:X37"/>
    <mergeCell ref="Y37:AJ37"/>
    <mergeCell ref="A42:G42"/>
    <mergeCell ref="H42:M42"/>
    <mergeCell ref="N42:S42"/>
    <mergeCell ref="T42:X42"/>
    <mergeCell ref="Y42:AJ44"/>
    <mergeCell ref="A43:G43"/>
    <mergeCell ref="H43:M43"/>
    <mergeCell ref="N43:S43"/>
    <mergeCell ref="A41:G41"/>
    <mergeCell ref="H41:M41"/>
    <mergeCell ref="N41:S41"/>
    <mergeCell ref="T41:X41"/>
    <mergeCell ref="T43:X43"/>
    <mergeCell ref="A44:G44"/>
    <mergeCell ref="H44:M44"/>
    <mergeCell ref="N44:S44"/>
    <mergeCell ref="T44:X44"/>
    <mergeCell ref="Y40:AB41"/>
    <mergeCell ref="AC40:AJ41"/>
    <mergeCell ref="A45:G45"/>
    <mergeCell ref="H45:M45"/>
    <mergeCell ref="N45:S45"/>
    <mergeCell ref="T45:X45"/>
    <mergeCell ref="X47:AB47"/>
    <mergeCell ref="AC47:AJ47"/>
    <mergeCell ref="A55:A63"/>
    <mergeCell ref="Y45:AB46"/>
    <mergeCell ref="AC45:AJ46"/>
    <mergeCell ref="A46:D46"/>
    <mergeCell ref="E46:G46"/>
    <mergeCell ref="H46:M46"/>
    <mergeCell ref="N46:O46"/>
    <mergeCell ref="P46:S46"/>
    <mergeCell ref="T46:U46"/>
    <mergeCell ref="V46:X46"/>
  </mergeCells>
  <conditionalFormatting sqref="A28:A37">
    <cfRule type="expression" dxfId="146" priority="36">
      <formula>COUNTIF(A28,"7")</formula>
    </cfRule>
    <cfRule type="expression" dxfId="145" priority="37">
      <formula>COUNTIF(A28,"6")</formula>
    </cfRule>
    <cfRule type="expression" dxfId="144" priority="38">
      <formula>COUNTIF(A28,"5")</formula>
    </cfRule>
    <cfRule type="expression" dxfId="143" priority="39">
      <formula>COUNTIF(A28,"4")</formula>
    </cfRule>
    <cfRule type="expression" dxfId="142" priority="40">
      <formula>COUNTIF(A28,"3")</formula>
    </cfRule>
    <cfRule type="expression" dxfId="141" priority="41">
      <formula>COUNTIF(A28,"2")</formula>
    </cfRule>
    <cfRule type="expression" dxfId="140" priority="42">
      <formula>COUNTIF(A28,"1")</formula>
    </cfRule>
  </conditionalFormatting>
  <conditionalFormatting sqref="A24:C24">
    <cfRule type="expression" dxfId="139" priority="1">
      <formula>$A$24&lt;&gt;""</formula>
    </cfRule>
  </conditionalFormatting>
  <conditionalFormatting sqref="C10:AJ10">
    <cfRule type="beginsWith" dxfId="137" priority="45" operator="beginsWith" text="0a">
      <formula>LEFT(C10,LEN("0a"))="0a"</formula>
    </cfRule>
    <cfRule type="cellIs" dxfId="136" priority="46" operator="equal">
      <formula>0</formula>
    </cfRule>
  </conditionalFormatting>
  <conditionalFormatting sqref="C11:AJ19">
    <cfRule type="expression" dxfId="135" priority="28">
      <formula>AND(COUNTIF(C11,"*V*"),AND(NOT(COUNTIF(B11,"*V*")),NOT(COUNTIF(D11,"*V*"))))</formula>
    </cfRule>
    <cfRule type="expression" dxfId="134" priority="29">
      <formula>COUNTIF(C11,"*7*")</formula>
    </cfRule>
    <cfRule type="expression" dxfId="133" priority="30">
      <formula>COUNTIF(C11,"*6*")</formula>
    </cfRule>
    <cfRule type="expression" dxfId="132" priority="31">
      <formula>COUNTIF(C11,"*5*")</formula>
    </cfRule>
    <cfRule type="expression" dxfId="131" priority="32">
      <formula>COUNTIF(C11,"*4*")</formula>
    </cfRule>
    <cfRule type="expression" dxfId="130" priority="33">
      <formula>COUNTIF(C11,"*3*")</formula>
    </cfRule>
    <cfRule type="expression" dxfId="129" priority="34">
      <formula>COUNTIF(C11,"*2*")</formula>
    </cfRule>
    <cfRule type="expression" dxfId="128" priority="35">
      <formula>COUNTIF(C11,"*1*")</formula>
    </cfRule>
  </conditionalFormatting>
  <conditionalFormatting sqref="D28:D37">
    <cfRule type="cellIs" dxfId="127" priority="11" operator="equal">
      <formula>0</formula>
    </cfRule>
  </conditionalFormatting>
  <conditionalFormatting sqref="D21:E21 I21:J21 N21:O21 S21:T21 Y21:Z21 AD21:AE21">
    <cfRule type="cellIs" dxfId="126" priority="43" operator="equal">
      <formula>0</formula>
    </cfRule>
  </conditionalFormatting>
  <conditionalFormatting sqref="E7">
    <cfRule type="cellIs" dxfId="125" priority="48" operator="equal">
      <formula>0</formula>
    </cfRule>
  </conditionalFormatting>
  <conditionalFormatting sqref="AH3:AJ3">
    <cfRule type="cellIs" dxfId="124" priority="3" operator="equal">
      <formula>0</formula>
    </cfRule>
  </conditionalFormatting>
  <pageMargins left="0" right="0" top="0" bottom="0" header="0.25" footer="0"/>
  <pageSetup paperSize="9" orientation="landscape" r:id="rId1"/>
  <colBreaks count="1" manualBreakCount="1">
    <brk id="36" max="61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B6B482A2-608A-4E51-BA48-75DCD59DF1AD}">
            <xm:f>SUM(Data!$BR46:$CV46)=0</xm:f>
            <x14:dxf>
              <font>
                <color theme="0"/>
              </font>
            </x14:dxf>
          </x14:cfRule>
          <xm:sqref>B11:B19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E941-1A07-48A4-BED1-0E33BBE1A094}">
  <sheetPr codeName="Sheet6"/>
  <dimension ref="A1:AJ38"/>
  <sheetViews>
    <sheetView zoomScale="60" zoomScaleNormal="60" workbookViewId="0">
      <selection activeCell="W22" sqref="W22:Z22"/>
    </sheetView>
  </sheetViews>
  <sheetFormatPr defaultRowHeight="14.5" x14ac:dyDescent="0.35"/>
  <cols>
    <col min="1" max="36" width="6" customWidth="1"/>
  </cols>
  <sheetData>
    <row r="1" spans="1:36" ht="24" thickBot="1" x14ac:dyDescent="0.4">
      <c r="A1" s="1190" t="s">
        <v>1915</v>
      </c>
      <c r="B1" s="1190"/>
      <c r="C1" s="1190"/>
      <c r="D1" s="1190"/>
      <c r="E1" s="1190"/>
      <c r="F1" s="1190"/>
      <c r="G1" s="1190"/>
      <c r="H1" s="1190"/>
      <c r="I1" s="1190"/>
      <c r="J1" s="1190"/>
      <c r="K1" s="1190"/>
      <c r="L1" s="1190"/>
      <c r="M1" s="1190"/>
      <c r="N1" s="1190"/>
      <c r="O1" s="1190"/>
      <c r="P1" s="1190"/>
      <c r="Q1" s="1190"/>
      <c r="R1" s="1190"/>
      <c r="S1" s="1190"/>
      <c r="T1" s="1190"/>
      <c r="U1" s="1190"/>
      <c r="V1" s="1190"/>
      <c r="W1" s="2361">
        <v>1</v>
      </c>
      <c r="X1" s="2361"/>
      <c r="Y1" s="2361"/>
      <c r="Z1" s="2361"/>
      <c r="AA1" s="839"/>
      <c r="AB1" s="839"/>
      <c r="AC1" s="839"/>
      <c r="AD1" s="839"/>
      <c r="AE1" s="839"/>
      <c r="AF1" s="839"/>
      <c r="AG1" s="839"/>
      <c r="AH1" s="839"/>
      <c r="AI1" s="839"/>
      <c r="AJ1" s="930"/>
    </row>
    <row r="2" spans="1:36" x14ac:dyDescent="0.35">
      <c r="A2" s="1219"/>
      <c r="B2" s="1220"/>
      <c r="C2" s="1223" t="s">
        <v>17</v>
      </c>
      <c r="D2" s="1223"/>
      <c r="E2" s="1223"/>
      <c r="F2" s="1223"/>
      <c r="G2" s="1223"/>
      <c r="H2" s="1223"/>
      <c r="I2" s="1223"/>
      <c r="J2" s="1223"/>
      <c r="K2" s="1223"/>
      <c r="L2" s="1223"/>
      <c r="M2" s="1223"/>
      <c r="N2" s="1223"/>
      <c r="O2" s="1223"/>
      <c r="P2" s="1223"/>
      <c r="Q2" s="1223"/>
      <c r="R2" s="1223"/>
      <c r="S2" s="1223"/>
      <c r="T2" s="1223"/>
      <c r="U2" s="1223"/>
      <c r="V2" s="1224"/>
      <c r="W2" s="824"/>
      <c r="X2" s="825"/>
      <c r="Y2" s="825"/>
      <c r="Z2" s="825"/>
      <c r="AA2" s="825"/>
      <c r="AB2" s="825"/>
      <c r="AC2" s="825"/>
      <c r="AD2" s="825"/>
      <c r="AE2" s="825"/>
      <c r="AF2" s="825"/>
      <c r="AG2" s="825"/>
      <c r="AH2" s="825"/>
      <c r="AI2" s="825"/>
      <c r="AJ2" s="826"/>
    </row>
    <row r="3" spans="1:36" ht="15" thickBot="1" x14ac:dyDescent="0.4">
      <c r="A3" s="1221"/>
      <c r="B3" s="1222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6a</v>
      </c>
      <c r="I3" s="35" t="str">
        <f>IF(Data!BX42&lt;&gt;"",Data!BX42,"")</f>
        <v>7a</v>
      </c>
      <c r="J3" s="35" t="str">
        <f>IF(Data!BY42&lt;&gt;"",Data!BY42,"")</f>
        <v>8a</v>
      </c>
      <c r="K3" s="35" t="str">
        <f>IF(Data!BZ42&lt;&gt;"",Data!BZ42,"")</f>
        <v>0a</v>
      </c>
      <c r="L3" s="35" t="str">
        <f>IF(Data!CA42&lt;&gt;"",Data!CA42,"")</f>
        <v>1b</v>
      </c>
      <c r="M3" s="35" t="str">
        <f>IF(Data!CB42&lt;&gt;"",Data!CB42,"")</f>
        <v>2b</v>
      </c>
      <c r="N3" s="35" t="str">
        <f>IF(Data!CC42&lt;&gt;"",Data!CC42,"")</f>
        <v>3b</v>
      </c>
      <c r="O3" s="35" t="str">
        <f>IF(Data!CD42&lt;&gt;"",Data!CD42,"")</f>
        <v>4b</v>
      </c>
      <c r="P3" s="35" t="str">
        <f>IF(Data!CE42&lt;&gt;"",Data!CE42,"")</f>
        <v>0a</v>
      </c>
      <c r="Q3" s="35" t="str">
        <f>IF(Data!CF42&lt;&gt;"",Data!CF42,"")</f>
        <v>0a</v>
      </c>
      <c r="R3" s="35" t="str">
        <f>IF(Data!CG42&lt;&gt;"",Data!CG42,"")</f>
        <v>0a</v>
      </c>
      <c r="S3" s="35" t="str">
        <f>IF(Data!CH42&lt;&gt;"",Data!CH42,"")</f>
        <v>0a</v>
      </c>
      <c r="T3" s="35" t="str">
        <f>IF(Data!CI42&lt;&gt;"",Data!CI42,"")</f>
        <v>0a</v>
      </c>
      <c r="U3" s="35" t="str">
        <f>IF(Data!CJ42&lt;&gt;"",Data!CJ42,"")</f>
        <v>0a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</row>
    <row r="4" spans="1:36" ht="20" x14ac:dyDescent="0.35">
      <c r="A4" s="1225" t="s">
        <v>18</v>
      </c>
      <c r="B4" s="6">
        <v>1</v>
      </c>
      <c r="C4" s="344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6"/>
    </row>
    <row r="5" spans="1:36" ht="20" x14ac:dyDescent="0.35">
      <c r="A5" s="1226"/>
      <c r="B5" s="35">
        <v>2</v>
      </c>
      <c r="C5" s="347"/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8"/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8"/>
      <c r="AJ5" s="349"/>
    </row>
    <row r="6" spans="1:36" ht="20" x14ac:dyDescent="0.35">
      <c r="A6" s="1226"/>
      <c r="B6" s="35">
        <v>3</v>
      </c>
      <c r="C6" s="347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</row>
    <row r="7" spans="1:36" ht="20" x14ac:dyDescent="0.35">
      <c r="A7" s="1226"/>
      <c r="B7" s="35">
        <v>4</v>
      </c>
      <c r="C7" s="347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</row>
    <row r="8" spans="1:36" ht="20" x14ac:dyDescent="0.35">
      <c r="A8" s="1226"/>
      <c r="B8" s="35">
        <v>5</v>
      </c>
      <c r="C8" s="347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</row>
    <row r="9" spans="1:36" ht="20" x14ac:dyDescent="0.35">
      <c r="A9" s="1226"/>
      <c r="B9" s="35">
        <v>6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</row>
    <row r="10" spans="1:36" ht="20" x14ac:dyDescent="0.35">
      <c r="A10" s="1226"/>
      <c r="B10" s="35">
        <v>7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</row>
    <row r="11" spans="1:36" ht="20" x14ac:dyDescent="0.35">
      <c r="A11" s="1226"/>
      <c r="B11" s="35">
        <v>8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</row>
    <row r="12" spans="1:36" ht="20" x14ac:dyDescent="0.35">
      <c r="A12" s="1226"/>
      <c r="B12" s="35">
        <v>9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</row>
    <row r="13" spans="1:36" ht="20" x14ac:dyDescent="0.35">
      <c r="A13" s="1226"/>
      <c r="B13" s="35">
        <v>10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</row>
    <row r="14" spans="1:36" ht="20" x14ac:dyDescent="0.35">
      <c r="A14" s="1226"/>
      <c r="B14" s="35">
        <v>11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</row>
    <row r="15" spans="1:36" ht="20.5" thickBot="1" x14ac:dyDescent="0.4">
      <c r="A15" s="1227"/>
      <c r="B15" s="355">
        <v>12</v>
      </c>
      <c r="C15" s="350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2"/>
    </row>
    <row r="16" spans="1:36" ht="15" thickBot="1" x14ac:dyDescent="0.4">
      <c r="A16" s="1196"/>
      <c r="B16" s="1234"/>
      <c r="C16" s="1234"/>
      <c r="D16" s="1234"/>
      <c r="E16" s="1234"/>
      <c r="F16" s="1234"/>
      <c r="G16" s="1234"/>
      <c r="H16" s="1234"/>
      <c r="I16" s="1234"/>
      <c r="J16" s="1234"/>
      <c r="K16" s="1234"/>
      <c r="L16" s="1234"/>
      <c r="M16" s="1234"/>
      <c r="N16" s="1234"/>
      <c r="O16" s="1234"/>
      <c r="P16" s="1234"/>
      <c r="Q16" s="1234"/>
      <c r="R16" s="1234"/>
      <c r="S16" s="1234"/>
      <c r="T16" s="1234"/>
      <c r="U16" s="1234"/>
      <c r="V16" s="1234"/>
      <c r="W16" s="1234"/>
      <c r="X16" s="1234"/>
      <c r="Y16" s="1234"/>
      <c r="Z16" s="1234"/>
      <c r="AA16" s="1234"/>
      <c r="AB16" s="1234"/>
      <c r="AC16" s="1234"/>
      <c r="AD16" s="1234"/>
      <c r="AE16" s="1234"/>
      <c r="AF16" s="1234"/>
      <c r="AG16" s="1234"/>
      <c r="AH16" s="1234"/>
      <c r="AI16" s="1234"/>
    </row>
    <row r="17" spans="1:36" ht="20.5" thickBot="1" x14ac:dyDescent="0.4">
      <c r="A17" s="1231" t="s">
        <v>797</v>
      </c>
      <c r="B17" s="1232"/>
      <c r="C17" s="1233"/>
      <c r="D17" s="1228"/>
      <c r="E17" s="1229"/>
      <c r="F17" s="1229"/>
      <c r="G17" s="1229"/>
      <c r="H17" s="1229"/>
      <c r="I17" s="1229"/>
      <c r="J17" s="1229"/>
      <c r="K17" s="1229"/>
      <c r="L17" s="1229"/>
      <c r="M17" s="1229"/>
      <c r="N17" s="1229"/>
      <c r="O17" s="1229"/>
      <c r="P17" s="1229"/>
      <c r="Q17" s="1229"/>
      <c r="R17" s="1229"/>
      <c r="S17" s="1229"/>
      <c r="T17" s="1229"/>
      <c r="U17" s="1229"/>
      <c r="V17" s="1229"/>
      <c r="W17" s="1229"/>
      <c r="X17" s="1229"/>
      <c r="Y17" s="1229"/>
      <c r="Z17" s="1229"/>
      <c r="AA17" s="1229"/>
      <c r="AB17" s="1229"/>
      <c r="AC17" s="1229"/>
      <c r="AD17" s="1229"/>
      <c r="AE17" s="1229"/>
      <c r="AF17" s="1229"/>
      <c r="AG17" s="1229"/>
      <c r="AH17" s="1229"/>
      <c r="AI17" s="1230"/>
    </row>
    <row r="22" spans="1:36" ht="24" thickBot="1" x14ac:dyDescent="0.4">
      <c r="A22" s="1190" t="s">
        <v>1916</v>
      </c>
      <c r="B22" s="1190"/>
      <c r="C22" s="1190"/>
      <c r="D22" s="1190"/>
      <c r="E22" s="1190"/>
      <c r="F22" s="1190"/>
      <c r="G22" s="1190"/>
      <c r="H22" s="1190"/>
      <c r="I22" s="1190"/>
      <c r="J22" s="1190"/>
      <c r="K22" s="1190"/>
      <c r="L22" s="1190"/>
      <c r="M22" s="1190"/>
      <c r="N22" s="1190"/>
      <c r="O22" s="1190"/>
      <c r="P22" s="1190"/>
      <c r="Q22" s="1190"/>
      <c r="R22" s="1190"/>
      <c r="S22" s="1190"/>
      <c r="T22" s="1190"/>
      <c r="U22" s="1190"/>
      <c r="V22" s="1190"/>
      <c r="W22" s="2361"/>
      <c r="X22" s="2361"/>
      <c r="Y22" s="2361"/>
      <c r="Z22" s="2361"/>
      <c r="AA22" s="839"/>
      <c r="AB22" s="839"/>
      <c r="AC22" s="839"/>
      <c r="AD22" s="839"/>
      <c r="AE22" s="839"/>
      <c r="AF22" s="839"/>
      <c r="AG22" s="839"/>
      <c r="AH22" s="839"/>
      <c r="AI22" s="839"/>
      <c r="AJ22" s="930"/>
    </row>
    <row r="23" spans="1:36" x14ac:dyDescent="0.35">
      <c r="A23" s="1219"/>
      <c r="B23" s="1220"/>
      <c r="C23" s="1223" t="s">
        <v>17</v>
      </c>
      <c r="D23" s="1223"/>
      <c r="E23" s="1223"/>
      <c r="F23" s="1223"/>
      <c r="G23" s="1223"/>
      <c r="H23" s="1223"/>
      <c r="I23" s="1223"/>
      <c r="J23" s="1223"/>
      <c r="K23" s="1223"/>
      <c r="L23" s="1223"/>
      <c r="M23" s="1223"/>
      <c r="N23" s="1223"/>
      <c r="O23" s="1223"/>
      <c r="P23" s="1223"/>
      <c r="Q23" s="1223"/>
      <c r="R23" s="1223"/>
      <c r="S23" s="1223"/>
      <c r="T23" s="1223"/>
      <c r="U23" s="1223"/>
      <c r="V23" s="1224"/>
      <c r="W23" s="824"/>
      <c r="X23" s="825"/>
      <c r="Y23" s="825"/>
      <c r="Z23" s="825"/>
      <c r="AA23" s="825"/>
      <c r="AB23" s="825"/>
      <c r="AC23" s="825"/>
      <c r="AD23" s="825"/>
      <c r="AE23" s="825"/>
      <c r="AF23" s="825"/>
      <c r="AG23" s="825"/>
      <c r="AH23" s="825"/>
      <c r="AI23" s="825"/>
      <c r="AJ23" s="826"/>
    </row>
    <row r="24" spans="1:36" ht="15" thickBot="1" x14ac:dyDescent="0.4">
      <c r="A24" s="1221"/>
      <c r="B24" s="1222"/>
      <c r="C24" s="35" t="str">
        <f>IF(Data!BR42&lt;&gt;"",Data!BR42,"")</f>
        <v>1a</v>
      </c>
      <c r="D24" s="35" t="str">
        <f>IF(Data!BS42&lt;&gt;"",Data!BS42,"")</f>
        <v>2a</v>
      </c>
      <c r="E24" s="35" t="str">
        <f>IF(Data!BT42&lt;&gt;"",Data!BT42,"")</f>
        <v>3a</v>
      </c>
      <c r="F24" s="35" t="str">
        <f>IF(Data!BU42&lt;&gt;"",Data!BU42,"")</f>
        <v>4a</v>
      </c>
      <c r="G24" s="35" t="str">
        <f>IF(Data!BV42&lt;&gt;"",Data!BV42,"")</f>
        <v>5a</v>
      </c>
      <c r="H24" s="35" t="str">
        <f>IF(Data!BW42&lt;&gt;"",Data!BW42,"")</f>
        <v>6a</v>
      </c>
      <c r="I24" s="35" t="str">
        <f>IF(Data!BX42&lt;&gt;"",Data!BX42,"")</f>
        <v>7a</v>
      </c>
      <c r="J24" s="35" t="str">
        <f>IF(Data!BY42&lt;&gt;"",Data!BY42,"")</f>
        <v>8a</v>
      </c>
      <c r="K24" s="35" t="str">
        <f>IF(Data!BZ42&lt;&gt;"",Data!BZ42,"")</f>
        <v>0a</v>
      </c>
      <c r="L24" s="35" t="str">
        <f>IF(Data!CA42&lt;&gt;"",Data!CA42,"")</f>
        <v>1b</v>
      </c>
      <c r="M24" s="35" t="str">
        <f>IF(Data!CB42&lt;&gt;"",Data!CB42,"")</f>
        <v>2b</v>
      </c>
      <c r="N24" s="35" t="str">
        <f>IF(Data!CC42&lt;&gt;"",Data!CC42,"")</f>
        <v>3b</v>
      </c>
      <c r="O24" s="35" t="str">
        <f>IF(Data!CD42&lt;&gt;"",Data!CD42,"")</f>
        <v>4b</v>
      </c>
      <c r="P24" s="35" t="str">
        <f>IF(Data!CE42&lt;&gt;"",Data!CE42,"")</f>
        <v>0a</v>
      </c>
      <c r="Q24" s="35" t="str">
        <f>IF(Data!CF42&lt;&gt;"",Data!CF42,"")</f>
        <v>0a</v>
      </c>
      <c r="R24" s="35" t="str">
        <f>IF(Data!CG42&lt;&gt;"",Data!CG42,"")</f>
        <v>0a</v>
      </c>
      <c r="S24" s="35" t="str">
        <f>IF(Data!CH42&lt;&gt;"",Data!CH42,"")</f>
        <v>0a</v>
      </c>
      <c r="T24" s="35" t="str">
        <f>IF(Data!CI42&lt;&gt;"",Data!CI42,"")</f>
        <v>0a</v>
      </c>
      <c r="U24" s="35" t="str">
        <f>IF(Data!CJ42&lt;&gt;"",Data!CJ42,"")</f>
        <v>0a</v>
      </c>
      <c r="V24" s="35" t="str">
        <f>IF(Data!CK42&lt;&gt;"",Data!CK42,"")</f>
        <v>0a</v>
      </c>
      <c r="W24" s="35" t="str">
        <f>IF(Data!CL42&lt;&gt;"",Data!CL42,"")</f>
        <v>0a</v>
      </c>
      <c r="X24" s="35" t="str">
        <f>IF(Data!CM42&lt;&gt;"",Data!CM42,"")</f>
        <v>0a</v>
      </c>
      <c r="Y24" s="35" t="str">
        <f>IF(Data!CN42&lt;&gt;"",Data!CN42,"")</f>
        <v>0a</v>
      </c>
      <c r="Z24" s="35" t="str">
        <f>IF(Data!CO42&lt;&gt;"",Data!CO42,"")</f>
        <v>0a</v>
      </c>
      <c r="AA24" s="35" t="str">
        <f>IF(Data!CP42&lt;&gt;"",Data!CP42,"")</f>
        <v>0a</v>
      </c>
      <c r="AB24" s="35" t="str">
        <f>IF(Data!CQ42&lt;&gt;"",Data!CQ42,"")</f>
        <v>0a</v>
      </c>
      <c r="AC24" s="35" t="str">
        <f>IF(Data!CR42&lt;&gt;"",Data!CR42,"")</f>
        <v>0a</v>
      </c>
      <c r="AD24" s="35" t="str">
        <f>IF(Data!CS42&lt;&gt;"",Data!CS42,"")</f>
        <v>0a</v>
      </c>
      <c r="AE24" s="35" t="str">
        <f>IF(Data!CT42&lt;&gt;"",Data!CT42,"")</f>
        <v>0a</v>
      </c>
      <c r="AF24" s="35" t="str">
        <f>IF(Data!CU42&lt;&gt;"",Data!CU42,"")</f>
        <v>0a</v>
      </c>
      <c r="AG24" s="35" t="str">
        <f>IF(Data!CV42&lt;&gt;"",Data!CV42,"")</f>
        <v>0a</v>
      </c>
      <c r="AH24" s="35" t="str">
        <f>IF(Data!CW42&lt;&gt;"",Data!CW42,"")</f>
        <v>0a</v>
      </c>
      <c r="AI24" s="35" t="str">
        <f>IF(Data!CX42&lt;&gt;"",Data!CX42,"")</f>
        <v>0a</v>
      </c>
      <c r="AJ24" s="35" t="str">
        <f>IF(Data!CY42&lt;&gt;"",Data!CY42,"")</f>
        <v>0a</v>
      </c>
    </row>
    <row r="25" spans="1:36" ht="20" x14ac:dyDescent="0.35">
      <c r="A25" s="1225" t="s">
        <v>18</v>
      </c>
      <c r="B25" s="6">
        <v>1</v>
      </c>
      <c r="C25" s="344"/>
      <c r="D25" s="345"/>
      <c r="E25" s="345"/>
      <c r="F25" s="345"/>
      <c r="G25" s="345"/>
      <c r="H25" s="345"/>
      <c r="I25" s="345"/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  <c r="Z25" s="345"/>
      <c r="AA25" s="345"/>
      <c r="AB25" s="345"/>
      <c r="AC25" s="345"/>
      <c r="AD25" s="345"/>
      <c r="AE25" s="345"/>
      <c r="AF25" s="345"/>
      <c r="AG25" s="345"/>
      <c r="AH25" s="345"/>
      <c r="AI25" s="345"/>
      <c r="AJ25" s="346"/>
    </row>
    <row r="26" spans="1:36" ht="20" x14ac:dyDescent="0.35">
      <c r="A26" s="1226"/>
      <c r="B26" s="35">
        <v>2</v>
      </c>
      <c r="C26" s="347"/>
      <c r="D26" s="348"/>
      <c r="E26" s="348"/>
      <c r="F26" s="348"/>
      <c r="G26" s="348"/>
      <c r="H26" s="348"/>
      <c r="I26" s="348"/>
      <c r="J26" s="348"/>
      <c r="K26" s="348"/>
      <c r="L26" s="348"/>
      <c r="M26" s="348"/>
      <c r="N26" s="348"/>
      <c r="O26" s="348"/>
      <c r="P26" s="348"/>
      <c r="Q26" s="348"/>
      <c r="R26" s="348"/>
      <c r="S26" s="348"/>
      <c r="T26" s="348"/>
      <c r="U26" s="348"/>
      <c r="V26" s="348"/>
      <c r="W26" s="348"/>
      <c r="X26" s="348"/>
      <c r="Y26" s="348"/>
      <c r="Z26" s="348"/>
      <c r="AA26" s="348"/>
      <c r="AB26" s="348"/>
      <c r="AC26" s="348"/>
      <c r="AD26" s="348"/>
      <c r="AE26" s="348"/>
      <c r="AF26" s="348"/>
      <c r="AG26" s="348"/>
      <c r="AH26" s="348"/>
      <c r="AI26" s="348"/>
      <c r="AJ26" s="349"/>
    </row>
    <row r="27" spans="1:36" ht="20" x14ac:dyDescent="0.35">
      <c r="A27" s="1226"/>
      <c r="B27" s="35">
        <v>3</v>
      </c>
      <c r="C27" s="347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48"/>
      <c r="AB27" s="348"/>
      <c r="AC27" s="348"/>
      <c r="AD27" s="348"/>
      <c r="AE27" s="348"/>
      <c r="AF27" s="348"/>
      <c r="AG27" s="348"/>
      <c r="AH27" s="348"/>
      <c r="AI27" s="348"/>
      <c r="AJ27" s="349"/>
    </row>
    <row r="28" spans="1:36" ht="20" x14ac:dyDescent="0.35">
      <c r="A28" s="1226"/>
      <c r="B28" s="35">
        <v>4</v>
      </c>
      <c r="C28" s="347"/>
      <c r="D28" s="348"/>
      <c r="E28" s="348"/>
      <c r="F28" s="348"/>
      <c r="G28" s="348"/>
      <c r="H28" s="348"/>
      <c r="I28" s="348"/>
      <c r="J28" s="348"/>
      <c r="K28" s="348"/>
      <c r="L28" s="348"/>
      <c r="M28" s="348"/>
      <c r="N28" s="348"/>
      <c r="O28" s="348"/>
      <c r="P28" s="348"/>
      <c r="Q28" s="348"/>
      <c r="R28" s="348"/>
      <c r="S28" s="348"/>
      <c r="T28" s="348"/>
      <c r="U28" s="348"/>
      <c r="V28" s="348"/>
      <c r="W28" s="348"/>
      <c r="X28" s="348"/>
      <c r="Y28" s="348"/>
      <c r="Z28" s="348"/>
      <c r="AA28" s="348"/>
      <c r="AB28" s="348"/>
      <c r="AC28" s="348"/>
      <c r="AD28" s="348"/>
      <c r="AE28" s="348"/>
      <c r="AF28" s="348"/>
      <c r="AG28" s="348"/>
      <c r="AH28" s="348"/>
      <c r="AI28" s="348"/>
      <c r="AJ28" s="349"/>
    </row>
    <row r="29" spans="1:36" ht="20" x14ac:dyDescent="0.35">
      <c r="A29" s="1226"/>
      <c r="B29" s="35">
        <v>5</v>
      </c>
      <c r="C29" s="347"/>
      <c r="D29" s="348"/>
      <c r="E29" s="348"/>
      <c r="F29" s="348"/>
      <c r="G29" s="348"/>
      <c r="H29" s="348"/>
      <c r="I29" s="348"/>
      <c r="J29" s="348"/>
      <c r="K29" s="348"/>
      <c r="L29" s="348"/>
      <c r="M29" s="348"/>
      <c r="N29" s="348"/>
      <c r="O29" s="348"/>
      <c r="P29" s="348"/>
      <c r="Q29" s="348"/>
      <c r="R29" s="348"/>
      <c r="S29" s="348"/>
      <c r="T29" s="348"/>
      <c r="U29" s="348"/>
      <c r="V29" s="348"/>
      <c r="W29" s="348"/>
      <c r="X29" s="348"/>
      <c r="Y29" s="348"/>
      <c r="Z29" s="348"/>
      <c r="AA29" s="348"/>
      <c r="AB29" s="348"/>
      <c r="AC29" s="348"/>
      <c r="AD29" s="348"/>
      <c r="AE29" s="348"/>
      <c r="AF29" s="348"/>
      <c r="AG29" s="348"/>
      <c r="AH29" s="348"/>
      <c r="AI29" s="348"/>
      <c r="AJ29" s="349"/>
    </row>
    <row r="30" spans="1:36" ht="20" x14ac:dyDescent="0.35">
      <c r="A30" s="1226"/>
      <c r="B30" s="35">
        <v>6</v>
      </c>
      <c r="C30" s="347"/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348"/>
      <c r="AB30" s="348"/>
      <c r="AC30" s="348"/>
      <c r="AD30" s="348"/>
      <c r="AE30" s="348"/>
      <c r="AF30" s="348"/>
      <c r="AG30" s="348"/>
      <c r="AH30" s="348"/>
      <c r="AI30" s="348"/>
      <c r="AJ30" s="349"/>
    </row>
    <row r="31" spans="1:36" ht="20" x14ac:dyDescent="0.35">
      <c r="A31" s="1226"/>
      <c r="B31" s="35">
        <v>7</v>
      </c>
      <c r="C31" s="347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  <c r="AC31" s="348"/>
      <c r="AD31" s="348"/>
      <c r="AE31" s="348"/>
      <c r="AF31" s="348"/>
      <c r="AG31" s="348"/>
      <c r="AH31" s="348"/>
      <c r="AI31" s="348"/>
      <c r="AJ31" s="349"/>
    </row>
    <row r="32" spans="1:36" ht="20" x14ac:dyDescent="0.35">
      <c r="A32" s="1226"/>
      <c r="B32" s="35">
        <v>8</v>
      </c>
      <c r="C32" s="347"/>
      <c r="D32" s="348"/>
      <c r="E32" s="348"/>
      <c r="F32" s="348"/>
      <c r="G32" s="348"/>
      <c r="H32" s="348"/>
      <c r="I32" s="348"/>
      <c r="J32" s="348"/>
      <c r="K32" s="348"/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/>
      <c r="Z32" s="348"/>
      <c r="AA32" s="348"/>
      <c r="AB32" s="348"/>
      <c r="AC32" s="348"/>
      <c r="AD32" s="348"/>
      <c r="AE32" s="348"/>
      <c r="AF32" s="348"/>
      <c r="AG32" s="348"/>
      <c r="AH32" s="348"/>
      <c r="AI32" s="348"/>
      <c r="AJ32" s="349"/>
    </row>
    <row r="33" spans="1:36" ht="20" x14ac:dyDescent="0.35">
      <c r="A33" s="1226"/>
      <c r="B33" s="35">
        <v>9</v>
      </c>
      <c r="C33" s="347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348"/>
      <c r="AB33" s="348"/>
      <c r="AC33" s="348"/>
      <c r="AD33" s="348"/>
      <c r="AE33" s="348"/>
      <c r="AF33" s="348"/>
      <c r="AG33" s="348"/>
      <c r="AH33" s="348"/>
      <c r="AI33" s="348"/>
      <c r="AJ33" s="349"/>
    </row>
    <row r="34" spans="1:36" ht="20" x14ac:dyDescent="0.35">
      <c r="A34" s="1226"/>
      <c r="B34" s="35">
        <v>10</v>
      </c>
      <c r="C34" s="347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48"/>
      <c r="AB34" s="348"/>
      <c r="AC34" s="348"/>
      <c r="AD34" s="348"/>
      <c r="AE34" s="348"/>
      <c r="AF34" s="348"/>
      <c r="AG34" s="348"/>
      <c r="AH34" s="348"/>
      <c r="AI34" s="348"/>
      <c r="AJ34" s="349"/>
    </row>
    <row r="35" spans="1:36" ht="20" x14ac:dyDescent="0.35">
      <c r="A35" s="1226"/>
      <c r="B35" s="35">
        <v>11</v>
      </c>
      <c r="C35" s="347"/>
      <c r="D35" s="348"/>
      <c r="E35" s="348"/>
      <c r="F35" s="348"/>
      <c r="G35" s="348"/>
      <c r="H35" s="348"/>
      <c r="I35" s="348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  <c r="AA35" s="348"/>
      <c r="AB35" s="348"/>
      <c r="AC35" s="348"/>
      <c r="AD35" s="348"/>
      <c r="AE35" s="348"/>
      <c r="AF35" s="348"/>
      <c r="AG35" s="348"/>
      <c r="AH35" s="348"/>
      <c r="AI35" s="348"/>
      <c r="AJ35" s="349"/>
    </row>
    <row r="36" spans="1:36" ht="20.5" thickBot="1" x14ac:dyDescent="0.4">
      <c r="A36" s="1227"/>
      <c r="B36" s="355">
        <v>12</v>
      </c>
      <c r="C36" s="350"/>
      <c r="D36" s="351"/>
      <c r="E36" s="351"/>
      <c r="F36" s="351"/>
      <c r="G36" s="351"/>
      <c r="H36" s="351"/>
      <c r="I36" s="351"/>
      <c r="J36" s="351"/>
      <c r="K36" s="351"/>
      <c r="L36" s="351"/>
      <c r="M36" s="351"/>
      <c r="N36" s="351"/>
      <c r="O36" s="351"/>
      <c r="P36" s="351"/>
      <c r="Q36" s="351"/>
      <c r="R36" s="351"/>
      <c r="S36" s="351"/>
      <c r="T36" s="351"/>
      <c r="U36" s="351"/>
      <c r="V36" s="351"/>
      <c r="W36" s="351"/>
      <c r="X36" s="351"/>
      <c r="Y36" s="351"/>
      <c r="Z36" s="351"/>
      <c r="AA36" s="351"/>
      <c r="AB36" s="351"/>
      <c r="AC36" s="351"/>
      <c r="AD36" s="351"/>
      <c r="AE36" s="351"/>
      <c r="AF36" s="351"/>
      <c r="AG36" s="351"/>
      <c r="AH36" s="351"/>
      <c r="AI36" s="351"/>
      <c r="AJ36" s="352"/>
    </row>
    <row r="37" spans="1:36" ht="15" thickBot="1" x14ac:dyDescent="0.4">
      <c r="A37" s="1196"/>
      <c r="B37" s="1234"/>
      <c r="C37" s="1234"/>
      <c r="D37" s="1234"/>
      <c r="E37" s="1234"/>
      <c r="F37" s="1234"/>
      <c r="G37" s="1234"/>
      <c r="H37" s="1234"/>
      <c r="I37" s="1234"/>
      <c r="J37" s="1234"/>
      <c r="K37" s="1234"/>
      <c r="L37" s="1234"/>
      <c r="M37" s="1234"/>
      <c r="N37" s="1234"/>
      <c r="O37" s="1234"/>
      <c r="P37" s="1234"/>
      <c r="Q37" s="1234"/>
      <c r="R37" s="1234"/>
      <c r="S37" s="1234"/>
      <c r="T37" s="1234"/>
      <c r="U37" s="1234"/>
      <c r="V37" s="1234"/>
      <c r="W37" s="1234"/>
      <c r="X37" s="1234"/>
      <c r="Y37" s="1234"/>
      <c r="Z37" s="1234"/>
      <c r="AA37" s="1234"/>
      <c r="AB37" s="1234"/>
      <c r="AC37" s="1234"/>
      <c r="AD37" s="1234"/>
      <c r="AE37" s="1234"/>
      <c r="AF37" s="1234"/>
      <c r="AG37" s="1234"/>
      <c r="AH37" s="1234"/>
      <c r="AI37" s="1234"/>
    </row>
    <row r="38" spans="1:36" ht="20.5" thickBot="1" x14ac:dyDescent="0.4">
      <c r="A38" s="1231" t="s">
        <v>797</v>
      </c>
      <c r="B38" s="1232"/>
      <c r="C38" s="1233"/>
      <c r="D38" s="1228"/>
      <c r="E38" s="1229"/>
      <c r="F38" s="1229"/>
      <c r="G38" s="1229"/>
      <c r="H38" s="1229"/>
      <c r="I38" s="1229"/>
      <c r="J38" s="1229"/>
      <c r="K38" s="1229"/>
      <c r="L38" s="1229"/>
      <c r="M38" s="1229"/>
      <c r="N38" s="1229"/>
      <c r="O38" s="1229"/>
      <c r="P38" s="1229"/>
      <c r="Q38" s="1229"/>
      <c r="R38" s="1229"/>
      <c r="S38" s="1229"/>
      <c r="T38" s="1229"/>
      <c r="U38" s="1229"/>
      <c r="V38" s="1229"/>
      <c r="W38" s="1229"/>
      <c r="X38" s="1229"/>
      <c r="Y38" s="1229"/>
      <c r="Z38" s="1229"/>
      <c r="AA38" s="1229"/>
      <c r="AB38" s="1229"/>
      <c r="AC38" s="1229"/>
      <c r="AD38" s="1229"/>
      <c r="AE38" s="1229"/>
      <c r="AF38" s="1229"/>
      <c r="AG38" s="1229"/>
      <c r="AH38" s="1229"/>
      <c r="AI38" s="1230"/>
    </row>
  </sheetData>
  <mergeCells count="16">
    <mergeCell ref="A38:C38"/>
    <mergeCell ref="D38:AI38"/>
    <mergeCell ref="A1:V1"/>
    <mergeCell ref="W1:Z1"/>
    <mergeCell ref="A22:V22"/>
    <mergeCell ref="W22:Z22"/>
    <mergeCell ref="A23:B24"/>
    <mergeCell ref="C23:V23"/>
    <mergeCell ref="A25:A36"/>
    <mergeCell ref="A37:AI37"/>
    <mergeCell ref="A2:B3"/>
    <mergeCell ref="C2:V2"/>
    <mergeCell ref="A4:A15"/>
    <mergeCell ref="A16:AI16"/>
    <mergeCell ref="A17:C17"/>
    <mergeCell ref="D17:AI17"/>
  </mergeCells>
  <conditionalFormatting sqref="C3:AJ3">
    <cfRule type="expression" dxfId="121" priority="68">
      <formula>COUNTIF(C3,"0a")</formula>
    </cfRule>
  </conditionalFormatting>
  <conditionalFormatting sqref="C4:AJ15">
    <cfRule type="expression" dxfId="118" priority="50">
      <formula>COUNTIF(C4,"*10*")</formula>
    </cfRule>
    <cfRule type="expression" dxfId="117" priority="51">
      <formula>COUNTIF(C4,"*9*")</formula>
    </cfRule>
    <cfRule type="expression" dxfId="116" priority="53">
      <formula>AND(COUNTIF(C4,"*V*"),AND(NOT(COUNTIF(B4,"*V*")),NOT(COUNTIF(D4,"*V*"))))</formula>
    </cfRule>
    <cfRule type="expression" dxfId="115" priority="52">
      <formula>COUNTIF(C4,"*8*")</formula>
    </cfRule>
    <cfRule type="expression" dxfId="114" priority="54">
      <formula>COUNTIF(C4,"*7*")</formula>
    </cfRule>
    <cfRule type="expression" dxfId="113" priority="55">
      <formula>COUNTIF(C4,"*6*")</formula>
    </cfRule>
    <cfRule type="expression" dxfId="112" priority="56">
      <formula>COUNTIF(C4,"*5*")</formula>
    </cfRule>
    <cfRule type="expression" dxfId="111" priority="57">
      <formula>COUNTIF(C4,"*4*")</formula>
    </cfRule>
    <cfRule type="expression" dxfId="110" priority="58">
      <formula>COUNTIF(C4,"*3*")</formula>
    </cfRule>
    <cfRule type="expression" dxfId="109" priority="60">
      <formula>COUNTIF(C4,"*1*")</formula>
    </cfRule>
    <cfRule type="expression" dxfId="100" priority="59">
      <formula>COUNTIF(C4,"*2*")</formula>
    </cfRule>
  </conditionalFormatting>
  <conditionalFormatting sqref="C24:AJ24">
    <cfRule type="expression" dxfId="99" priority="23">
      <formula>COUNTIF(C3,"0a")</formula>
    </cfRule>
  </conditionalFormatting>
  <conditionalFormatting sqref="C25:AJ36">
    <cfRule type="expression" dxfId="95" priority="4">
      <formula>COUNTIF(C4,"*10*")</formula>
    </cfRule>
    <cfRule type="expression" dxfId="94" priority="5">
      <formula>COUNTIF(C4,"*9*")</formula>
    </cfRule>
    <cfRule type="expression" dxfId="93" priority="7">
      <formula>AND(COUNTIF(C4,"*V*"),AND(NOT(COUNTIF(B4,"*V*")),NOT(COUNTIF(D4,"*V*"))))</formula>
    </cfRule>
    <cfRule type="expression" dxfId="92" priority="8">
      <formula>COUNTIF(C4,"*7*")</formula>
    </cfRule>
    <cfRule type="expression" dxfId="91" priority="9">
      <formula>COUNTIF(C4,"*6*")</formula>
    </cfRule>
    <cfRule type="expression" dxfId="90" priority="10">
      <formula>COUNTIF(C4,"*5*")</formula>
    </cfRule>
    <cfRule type="expression" dxfId="89" priority="11">
      <formula>COUNTIF(C4,"*4*")</formula>
    </cfRule>
    <cfRule type="expression" dxfId="88" priority="12">
      <formula>COUNTIF(C4,"*3*")</formula>
    </cfRule>
    <cfRule type="expression" dxfId="87" priority="13">
      <formula>COUNTIF(C4,"*2*")</formula>
    </cfRule>
    <cfRule type="expression" dxfId="86" priority="14">
      <formula>COUNTIF(C4,"*1*")</formula>
    </cfRule>
    <cfRule type="expression" dxfId="80" priority="6">
      <formula>COUNTIF(C4,"*8*")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928B42D7-3A3E-4F8D-A5FC-0CA4E2F8F3DD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22" id="{92248E2F-BEB5-4278-A761-91C7907EC071}">
            <xm:f>SUM(Data!$BR46:$CV46)=0</xm:f>
            <x14:dxf>
              <font>
                <color theme="0"/>
              </font>
            </x14:dxf>
          </x14:cfRule>
          <xm:sqref>B25:B36</xm:sqref>
        </x14:conditionalFormatting>
        <x14:conditionalFormatting xmlns:xm="http://schemas.microsoft.com/office/excel/2006/main">
          <x14:cfRule type="expression" priority="48" id="{35A30049-4064-49BC-9D4E-E41DD90A1FE6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49" id="{E9FF5080-58ED-4E9E-A40D-E40954E4810E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61" id="{4DBE1A9E-174F-480A-BC89-219299441A6A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62" id="{09A96D7A-F913-404C-9CB6-DF14C7A85F0F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63" id="{CC06883F-322F-40A2-BB36-FFCDC3FBFBCF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65" id="{B1F35387-C2AE-44AA-8A54-D41F49CD4503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66" id="{B000E670-3A25-4023-BE18-C4FC22D2D56A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67" id="{4C26DB2D-C3A7-41CC-ABDD-D594F9BB1EF4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7" id="{812FA53D-41EE-4425-9000-7491ADCEA05E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64" id="{DE103EA5-0DBD-4289-8989-C0C8E6F29983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C4:AJ15</xm:sqref>
        </x14:conditionalFormatting>
        <x14:conditionalFormatting xmlns:xm="http://schemas.microsoft.com/office/excel/2006/main">
          <x14:cfRule type="expression" priority="1" id="{2E3FC36D-5382-47E9-94D7-9CB6B8F82180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2" id="{E98E5B35-D2A5-4B42-A18D-C14ED806EA9D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" id="{02C139F0-5F39-410F-9723-00000601A952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5" id="{C4EEEB18-12FE-46FF-B730-0E6A52BCD569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6" id="{FA7ECC27-5D49-4185-BA1F-FF72A9D01086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7" id="{063D9FA7-6630-4ACD-B35B-B5836159E01F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8" id="{65FDB1B9-37C4-4673-82B0-DE940295708B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20" id="{BB5D4436-47AA-444E-B56F-919A5D7BCA05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1" id="{8ACFC5B1-81AF-417C-9986-D26A909D630C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9" id="{4B9EEEE3-16B9-4371-9BC5-64568F3772D5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m:sqref>C25:AJ36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1">
    <tabColor rgb="FFFFFF00"/>
  </sheetPr>
  <dimension ref="A1:L31"/>
  <sheetViews>
    <sheetView view="pageBreakPreview" zoomScaleNormal="100" zoomScaleSheetLayoutView="100" workbookViewId="0">
      <selection activeCell="B21" sqref="B21"/>
    </sheetView>
  </sheetViews>
  <sheetFormatPr defaultColWidth="9.1796875" defaultRowHeight="12.5" x14ac:dyDescent="0.25"/>
  <cols>
    <col min="1" max="1" width="4.81640625" style="539" customWidth="1"/>
    <col min="2" max="2" width="11.7265625" style="539" customWidth="1"/>
    <col min="3" max="3" width="6.7265625" style="539" customWidth="1"/>
    <col min="4" max="4" width="7.81640625" style="539" customWidth="1"/>
    <col min="5" max="5" width="6.26953125" style="539" customWidth="1"/>
    <col min="6" max="7" width="7.81640625" style="539" customWidth="1"/>
    <col min="8" max="8" width="4.7265625" style="539" customWidth="1"/>
    <col min="9" max="9" width="8.1796875" style="539" customWidth="1"/>
    <col min="10" max="10" width="8.54296875" style="539" customWidth="1"/>
    <col min="11" max="11" width="18.453125" style="539" customWidth="1"/>
    <col min="12" max="16384" width="9.1796875" style="539"/>
  </cols>
  <sheetData>
    <row r="1" spans="1:12" ht="25" customHeight="1" x14ac:dyDescent="0.25"/>
    <row r="2" spans="1:12" ht="25" customHeight="1" x14ac:dyDescent="0.25">
      <c r="C2" s="2368" t="s">
        <v>22</v>
      </c>
      <c r="D2" s="2368"/>
      <c r="E2" s="2368"/>
      <c r="F2" s="2368"/>
      <c r="G2" s="2368"/>
      <c r="H2" s="2368"/>
      <c r="I2" s="2368"/>
      <c r="J2" s="2368"/>
      <c r="K2" s="2368"/>
      <c r="L2" s="2368"/>
    </row>
    <row r="3" spans="1:12" ht="18" customHeight="1" x14ac:dyDescent="0.25">
      <c r="C3" s="2369" t="s">
        <v>1146</v>
      </c>
      <c r="D3" s="2369"/>
      <c r="E3" s="2369"/>
      <c r="F3" s="2369"/>
      <c r="G3" s="2370" t="s">
        <v>1147</v>
      </c>
      <c r="H3" s="2370"/>
      <c r="I3" s="2370"/>
      <c r="J3" s="2370"/>
      <c r="K3" s="2370" t="s">
        <v>1148</v>
      </c>
      <c r="L3" s="2370"/>
    </row>
    <row r="4" spans="1:12" ht="18" customHeight="1" x14ac:dyDescent="0.25">
      <c r="C4" s="540" t="s">
        <v>1149</v>
      </c>
      <c r="D4" s="540"/>
      <c r="E4" s="540"/>
      <c r="F4" s="540"/>
      <c r="G4" s="540" t="s">
        <v>1150</v>
      </c>
      <c r="J4" s="540"/>
    </row>
    <row r="5" spans="1:12" ht="12" customHeight="1" x14ac:dyDescent="0.25">
      <c r="C5" s="541"/>
      <c r="D5" s="541"/>
      <c r="E5" s="541"/>
      <c r="F5" s="541"/>
      <c r="G5" s="541"/>
      <c r="H5" s="541"/>
      <c r="I5" s="541"/>
      <c r="J5" s="541"/>
      <c r="K5" s="541"/>
    </row>
    <row r="6" spans="1:12" ht="20.149999999999999" customHeight="1" x14ac:dyDescent="0.25"/>
    <row r="7" spans="1:12" ht="12" customHeight="1" x14ac:dyDescent="0.25"/>
    <row r="8" spans="1:12" s="542" customFormat="1" ht="20.149999999999999" customHeight="1" x14ac:dyDescent="0.35"/>
    <row r="9" spans="1:12" s="542" customFormat="1" ht="20.149999999999999" customHeight="1" x14ac:dyDescent="0.35">
      <c r="A9" s="2368" t="s">
        <v>1151</v>
      </c>
      <c r="B9" s="2368"/>
      <c r="C9" s="2368"/>
      <c r="D9" s="2368"/>
      <c r="E9" s="2368"/>
      <c r="F9" s="2368"/>
      <c r="G9" s="2368"/>
      <c r="H9" s="2368"/>
      <c r="I9" s="2368"/>
      <c r="J9" s="2368"/>
      <c r="K9" s="2368"/>
      <c r="L9" s="2368"/>
    </row>
    <row r="10" spans="1:12" s="542" customFormat="1" ht="20.149999999999999" customHeight="1" x14ac:dyDescent="0.25">
      <c r="A10" s="539"/>
      <c r="B10" s="539"/>
      <c r="C10" s="539"/>
      <c r="D10" s="539"/>
      <c r="E10" s="539"/>
      <c r="F10" s="539"/>
      <c r="G10" s="539"/>
      <c r="H10" s="539"/>
      <c r="I10" s="539"/>
      <c r="J10" s="539"/>
      <c r="K10" s="539"/>
      <c r="L10" s="539"/>
    </row>
    <row r="11" spans="1:12" s="542" customFormat="1" ht="20.149999999999999" customHeight="1" x14ac:dyDescent="0.35">
      <c r="A11" s="2362" t="s">
        <v>1152</v>
      </c>
      <c r="B11" s="2362"/>
      <c r="C11" s="2363" t="str">
        <f>IF(Data!B7="SAUDI ARAMCO","ARAMCO Warehouse","HDBS warehouse")</f>
        <v>ARAMCO Warehouse</v>
      </c>
      <c r="D11" s="2364"/>
      <c r="E11" s="2364"/>
      <c r="F11" s="543"/>
      <c r="G11" s="2365" t="s">
        <v>1153</v>
      </c>
      <c r="H11" s="2365"/>
      <c r="I11" s="2365"/>
      <c r="J11" s="2366"/>
      <c r="K11" s="2367" t="str">
        <f>IF(Data!B1&lt;&gt;"", Data!B1, " ")</f>
        <v>2025-AR-105</v>
      </c>
      <c r="L11" s="2367"/>
    </row>
    <row r="12" spans="1:12" s="542" customFormat="1" ht="20.149999999999999" customHeight="1" x14ac:dyDescent="0.35">
      <c r="A12" s="2362" t="s">
        <v>1154</v>
      </c>
      <c r="B12" s="2362"/>
      <c r="C12" s="2363"/>
      <c r="D12" s="2364"/>
      <c r="E12" s="2364"/>
      <c r="F12" s="543"/>
      <c r="G12" s="2365" t="s">
        <v>1155</v>
      </c>
      <c r="H12" s="2365"/>
      <c r="I12" s="2365"/>
      <c r="J12" s="2366"/>
      <c r="K12" s="2371"/>
      <c r="L12" s="2367"/>
    </row>
    <row r="13" spans="1:12" s="542" customFormat="1" ht="20.149999999999999" customHeight="1" x14ac:dyDescent="0.35">
      <c r="A13" s="2362" t="s">
        <v>1156</v>
      </c>
      <c r="B13" s="2362"/>
      <c r="C13" s="2363" t="str">
        <f>IF(Data!B7="AL KHOBAR","ARAMCO Warehouse","SAIHAT")</f>
        <v>SAIHAT</v>
      </c>
      <c r="D13" s="2364"/>
      <c r="E13" s="2364"/>
      <c r="F13" s="543"/>
      <c r="G13" s="2365" t="s">
        <v>1157</v>
      </c>
      <c r="H13" s="2365"/>
      <c r="I13" s="2365"/>
      <c r="J13" s="2366"/>
      <c r="K13" s="2372" t="str">
        <f>IF(Data!B23&lt;&gt;"",Data!B23, " ")</f>
        <v xml:space="preserve"> </v>
      </c>
      <c r="L13" s="2373"/>
    </row>
    <row r="14" spans="1:12" ht="15.5" x14ac:dyDescent="0.25">
      <c r="A14" s="2362" t="s">
        <v>1158</v>
      </c>
      <c r="B14" s="2362"/>
      <c r="C14" s="2363" t="s">
        <v>1148</v>
      </c>
      <c r="D14" s="2364"/>
      <c r="E14" s="2364"/>
      <c r="F14" s="543"/>
      <c r="G14" s="2365" t="s">
        <v>1159</v>
      </c>
      <c r="H14" s="2365"/>
      <c r="I14" s="2365"/>
      <c r="J14" s="2366"/>
      <c r="K14" s="2367"/>
      <c r="L14" s="2367"/>
    </row>
    <row r="15" spans="1:12" ht="25" customHeight="1" x14ac:dyDescent="0.25">
      <c r="A15" s="2362" t="s">
        <v>1160</v>
      </c>
      <c r="B15" s="2362"/>
      <c r="C15" s="2363" t="str">
        <f>IF(Data!B16&lt;&gt;"", Data!B16, " ")</f>
        <v>SAUDI ARAMCO</v>
      </c>
      <c r="D15" s="2364"/>
      <c r="E15" s="2364"/>
      <c r="F15" s="543"/>
      <c r="G15" s="2365" t="s">
        <v>1161</v>
      </c>
      <c r="H15" s="2365"/>
      <c r="I15" s="2365"/>
      <c r="J15" s="2366"/>
      <c r="K15" s="2367"/>
      <c r="L15" s="2367"/>
    </row>
    <row r="16" spans="1:12" ht="25" customHeight="1" x14ac:dyDescent="0.25">
      <c r="A16" s="2362" t="s">
        <v>1162</v>
      </c>
      <c r="B16" s="2362"/>
      <c r="C16" s="2363"/>
      <c r="D16" s="2364"/>
      <c r="E16" s="2364"/>
      <c r="F16" s="543"/>
      <c r="G16" s="2365" t="s">
        <v>1163</v>
      </c>
      <c r="H16" s="2365"/>
      <c r="I16" s="2365"/>
      <c r="J16" s="2366"/>
      <c r="K16" s="2371"/>
      <c r="L16" s="2367"/>
    </row>
    <row r="17" spans="1:12" ht="25" customHeight="1" x14ac:dyDescent="0.25"/>
    <row r="18" spans="1:12" ht="25" customHeight="1" x14ac:dyDescent="0.25">
      <c r="A18" s="544" t="s">
        <v>1164</v>
      </c>
      <c r="B18" s="544" t="s">
        <v>1165</v>
      </c>
      <c r="C18" s="2374" t="s">
        <v>1166</v>
      </c>
      <c r="D18" s="2374"/>
      <c r="E18" s="544" t="s">
        <v>1167</v>
      </c>
      <c r="F18" s="2374" t="s">
        <v>1168</v>
      </c>
      <c r="G18" s="2374"/>
      <c r="H18" s="2374" t="s">
        <v>1169</v>
      </c>
      <c r="I18" s="2374"/>
      <c r="J18" s="2374"/>
      <c r="K18" s="2374" t="s">
        <v>995</v>
      </c>
      <c r="L18" s="2374"/>
    </row>
    <row r="19" spans="1:12" ht="25" customHeight="1" x14ac:dyDescent="0.25">
      <c r="A19" s="544">
        <v>1</v>
      </c>
      <c r="B19" s="545" t="str">
        <f>IF(Data!B3&lt;&gt;"", Data!B3&amp;"""", " ")</f>
        <v>8 3/8""</v>
      </c>
      <c r="C19" s="2375" t="str">
        <f>IF(Data!B4&lt;&gt;"", Data!B4, " ")</f>
        <v>MM65DH</v>
      </c>
      <c r="D19" s="2376"/>
      <c r="E19" s="544">
        <v>1</v>
      </c>
      <c r="F19" s="2375">
        <f>IF(Data!B2&lt;&gt;"", Data!B2, " ")</f>
        <v>13753277</v>
      </c>
      <c r="G19" s="2376"/>
      <c r="H19" s="2375" t="str">
        <f>IF(Data!B1&lt;&gt;"", Data!B1, " ")</f>
        <v>2025-AR-105</v>
      </c>
      <c r="I19" s="2377"/>
      <c r="J19" s="2376"/>
      <c r="K19" s="2375" t="str">
        <f>IF(Data!L5&lt;&gt;"","Scrap",IF(Data!L2&lt;&gt;"","Rerun","Repaired"))</f>
        <v>Repaired</v>
      </c>
      <c r="L19" s="2376"/>
    </row>
    <row r="20" spans="1:12" ht="25" customHeight="1" x14ac:dyDescent="0.25">
      <c r="A20" s="544">
        <v>2</v>
      </c>
      <c r="B20" s="544"/>
      <c r="C20" s="2375"/>
      <c r="D20" s="2376"/>
      <c r="E20" s="544"/>
      <c r="F20" s="2375"/>
      <c r="G20" s="2376"/>
      <c r="H20" s="2375"/>
      <c r="I20" s="2377"/>
      <c r="J20" s="2376"/>
      <c r="K20" s="2375"/>
      <c r="L20" s="2376"/>
    </row>
    <row r="21" spans="1:12" ht="25" customHeight="1" x14ac:dyDescent="0.25">
      <c r="A21" s="544">
        <v>3</v>
      </c>
      <c r="B21" s="544"/>
      <c r="C21" s="2375"/>
      <c r="D21" s="2376"/>
      <c r="E21" s="544"/>
      <c r="F21" s="2375"/>
      <c r="G21" s="2376"/>
      <c r="H21" s="2375"/>
      <c r="I21" s="2377"/>
      <c r="J21" s="2376"/>
      <c r="K21" s="2375"/>
      <c r="L21" s="2376"/>
    </row>
    <row r="22" spans="1:12" ht="25" customHeight="1" x14ac:dyDescent="0.25">
      <c r="A22" s="544">
        <v>4</v>
      </c>
      <c r="B22" s="544"/>
      <c r="C22" s="2375"/>
      <c r="D22" s="2376"/>
      <c r="E22" s="544"/>
      <c r="F22" s="2375"/>
      <c r="G22" s="2376"/>
      <c r="H22" s="2375"/>
      <c r="I22" s="2377"/>
      <c r="J22" s="2376"/>
      <c r="K22" s="2375"/>
      <c r="L22" s="2376"/>
    </row>
    <row r="23" spans="1:12" ht="25" customHeight="1" x14ac:dyDescent="0.25">
      <c r="A23" s="544">
        <v>5</v>
      </c>
      <c r="B23" s="544"/>
      <c r="C23" s="2375"/>
      <c r="D23" s="2376"/>
      <c r="E23" s="544"/>
      <c r="F23" s="2375"/>
      <c r="G23" s="2376"/>
      <c r="H23" s="2375"/>
      <c r="I23" s="2377"/>
      <c r="J23" s="2376"/>
      <c r="K23" s="2375"/>
      <c r="L23" s="2376"/>
    </row>
    <row r="24" spans="1:12" ht="25" customHeight="1" x14ac:dyDescent="0.25">
      <c r="A24" s="544">
        <v>6</v>
      </c>
      <c r="B24" s="544"/>
      <c r="C24" s="2375"/>
      <c r="D24" s="2376"/>
      <c r="E24" s="544"/>
      <c r="F24" s="2375"/>
      <c r="G24" s="2376"/>
      <c r="H24" s="2375"/>
      <c r="I24" s="2377"/>
      <c r="J24" s="2376"/>
      <c r="K24" s="2375"/>
      <c r="L24" s="2376"/>
    </row>
    <row r="25" spans="1:12" ht="25" customHeight="1" x14ac:dyDescent="0.25">
      <c r="A25" s="544">
        <v>7</v>
      </c>
      <c r="B25" s="544"/>
      <c r="C25" s="2375"/>
      <c r="D25" s="2376"/>
      <c r="E25" s="544"/>
      <c r="F25" s="2375"/>
      <c r="G25" s="2376"/>
      <c r="H25" s="2375"/>
      <c r="I25" s="2377"/>
      <c r="J25" s="2376"/>
      <c r="K25" s="2375"/>
      <c r="L25" s="2376"/>
    </row>
    <row r="26" spans="1:12" ht="25" customHeight="1" x14ac:dyDescent="0.25">
      <c r="A26" s="544">
        <v>8</v>
      </c>
      <c r="B26" s="544"/>
      <c r="C26" s="2375"/>
      <c r="D26" s="2376"/>
      <c r="E26" s="544"/>
      <c r="F26" s="2375"/>
      <c r="G26" s="2376"/>
      <c r="H26" s="2375"/>
      <c r="I26" s="2377"/>
      <c r="J26" s="2376"/>
      <c r="K26" s="2375"/>
      <c r="L26" s="2376"/>
    </row>
    <row r="27" spans="1:12" s="542" customFormat="1" ht="25" customHeight="1" x14ac:dyDescent="0.35">
      <c r="A27" s="544">
        <v>9</v>
      </c>
      <c r="B27" s="544"/>
      <c r="C27" s="2375"/>
      <c r="D27" s="2376"/>
      <c r="E27" s="544"/>
      <c r="F27" s="2375"/>
      <c r="G27" s="2376"/>
      <c r="H27" s="2375"/>
      <c r="I27" s="2377"/>
      <c r="J27" s="2376"/>
      <c r="K27" s="2375"/>
      <c r="L27" s="2376"/>
    </row>
    <row r="28" spans="1:12" s="542" customFormat="1" ht="25" customHeight="1" x14ac:dyDescent="0.35">
      <c r="A28" s="544">
        <v>10</v>
      </c>
      <c r="B28" s="544"/>
      <c r="C28" s="2375"/>
      <c r="D28" s="2376"/>
      <c r="E28" s="544"/>
      <c r="F28" s="2375"/>
      <c r="G28" s="2376"/>
      <c r="H28" s="2375"/>
      <c r="I28" s="2377"/>
      <c r="J28" s="2376"/>
      <c r="K28" s="2375"/>
      <c r="L28" s="2376"/>
    </row>
    <row r="29" spans="1:12" ht="25" customHeight="1" x14ac:dyDescent="0.25"/>
    <row r="30" spans="1:12" ht="25" customHeight="1" x14ac:dyDescent="0.25">
      <c r="A30" s="2362" t="s">
        <v>1170</v>
      </c>
      <c r="B30" s="2362"/>
      <c r="C30" s="2362"/>
      <c r="D30" s="2374"/>
      <c r="E30" s="2374"/>
      <c r="F30" s="2374"/>
      <c r="G30" s="2374"/>
      <c r="H30" s="542"/>
      <c r="I30" s="2362" t="s">
        <v>1171</v>
      </c>
      <c r="J30" s="2362"/>
      <c r="K30" s="2378"/>
      <c r="L30" s="2378"/>
    </row>
    <row r="31" spans="1:12" ht="25" customHeight="1" x14ac:dyDescent="0.25">
      <c r="A31" s="2362" t="s">
        <v>1172</v>
      </c>
      <c r="B31" s="2362"/>
      <c r="C31" s="2362"/>
      <c r="D31" s="2374"/>
      <c r="E31" s="2374"/>
      <c r="F31" s="2374"/>
      <c r="G31" s="2374"/>
      <c r="H31" s="542"/>
      <c r="I31" s="2362" t="s">
        <v>1173</v>
      </c>
      <c r="J31" s="2362"/>
      <c r="K31" s="2374"/>
      <c r="L31" s="2374"/>
    </row>
  </sheetData>
  <mergeCells count="81">
    <mergeCell ref="A30:C30"/>
    <mergeCell ref="D30:G30"/>
    <mergeCell ref="I30:J30"/>
    <mergeCell ref="K30:L30"/>
    <mergeCell ref="A31:C31"/>
    <mergeCell ref="D31:G31"/>
    <mergeCell ref="I31:J31"/>
    <mergeCell ref="K31:L31"/>
    <mergeCell ref="C27:D27"/>
    <mergeCell ref="F27:G27"/>
    <mergeCell ref="H27:J27"/>
    <mergeCell ref="K27:L27"/>
    <mergeCell ref="C28:D28"/>
    <mergeCell ref="F28:G28"/>
    <mergeCell ref="H28:J28"/>
    <mergeCell ref="K28:L28"/>
    <mergeCell ref="C25:D25"/>
    <mergeCell ref="F25:G25"/>
    <mergeCell ref="H25:J25"/>
    <mergeCell ref="K25:L25"/>
    <mergeCell ref="C26:D26"/>
    <mergeCell ref="F26:G26"/>
    <mergeCell ref="H26:J26"/>
    <mergeCell ref="K26:L26"/>
    <mergeCell ref="C23:D23"/>
    <mergeCell ref="F23:G23"/>
    <mergeCell ref="H23:J23"/>
    <mergeCell ref="K23:L23"/>
    <mergeCell ref="C24:D24"/>
    <mergeCell ref="F24:G24"/>
    <mergeCell ref="H24:J24"/>
    <mergeCell ref="K24:L24"/>
    <mergeCell ref="C21:D21"/>
    <mergeCell ref="F21:G21"/>
    <mergeCell ref="H21:J21"/>
    <mergeCell ref="K21:L21"/>
    <mergeCell ref="C22:D22"/>
    <mergeCell ref="F22:G22"/>
    <mergeCell ref="H22:J22"/>
    <mergeCell ref="K22:L22"/>
    <mergeCell ref="C19:D19"/>
    <mergeCell ref="F19:G19"/>
    <mergeCell ref="H19:J19"/>
    <mergeCell ref="K19:L19"/>
    <mergeCell ref="C20:D20"/>
    <mergeCell ref="F20:G20"/>
    <mergeCell ref="H20:J20"/>
    <mergeCell ref="K20:L20"/>
    <mergeCell ref="A16:B16"/>
    <mergeCell ref="C16:E16"/>
    <mergeCell ref="G16:J16"/>
    <mergeCell ref="K16:L16"/>
    <mergeCell ref="C18:D18"/>
    <mergeCell ref="F18:G18"/>
    <mergeCell ref="H18:J18"/>
    <mergeCell ref="K18:L18"/>
    <mergeCell ref="A14:B14"/>
    <mergeCell ref="C14:E14"/>
    <mergeCell ref="G14:J14"/>
    <mergeCell ref="K14:L14"/>
    <mergeCell ref="A15:B15"/>
    <mergeCell ref="C15:E15"/>
    <mergeCell ref="G15:J15"/>
    <mergeCell ref="K15:L15"/>
    <mergeCell ref="A12:B12"/>
    <mergeCell ref="C12:E12"/>
    <mergeCell ref="G12:J12"/>
    <mergeCell ref="K12:L12"/>
    <mergeCell ref="A13:B13"/>
    <mergeCell ref="C13:E13"/>
    <mergeCell ref="G13:J13"/>
    <mergeCell ref="K13:L13"/>
    <mergeCell ref="A11:B11"/>
    <mergeCell ref="C11:E11"/>
    <mergeCell ref="G11:J11"/>
    <mergeCell ref="K11:L11"/>
    <mergeCell ref="C2:L2"/>
    <mergeCell ref="C3:F3"/>
    <mergeCell ref="G3:J3"/>
    <mergeCell ref="K3:L3"/>
    <mergeCell ref="A9:L9"/>
  </mergeCells>
  <pageMargins left="0.25" right="0" top="0.25" bottom="0.25" header="0.05" footer="0.05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1">
    <tabColor rgb="FFC00000"/>
  </sheetPr>
  <dimension ref="A1:IA36"/>
  <sheetViews>
    <sheetView view="pageBreakPreview" topLeftCell="A24" zoomScale="120" zoomScaleNormal="100" zoomScaleSheetLayoutView="120" workbookViewId="0">
      <selection activeCell="EP2" sqref="EP2:FE2"/>
    </sheetView>
  </sheetViews>
  <sheetFormatPr defaultRowHeight="14.5" x14ac:dyDescent="0.35"/>
  <cols>
    <col min="1" max="1" width="5.1796875" customWidth="1"/>
    <col min="2" max="189" width="0.7265625" customWidth="1"/>
    <col min="190" max="190" width="7.54296875" customWidth="1"/>
  </cols>
  <sheetData>
    <row r="1" spans="1:200" ht="30" customHeight="1" x14ac:dyDescent="0.35">
      <c r="B1" s="1132"/>
      <c r="C1" s="1132"/>
      <c r="D1" s="1132"/>
      <c r="E1" s="1132"/>
      <c r="F1" s="1132"/>
      <c r="G1" s="1132"/>
      <c r="H1" s="1132"/>
      <c r="I1" s="1132"/>
      <c r="J1" s="1132"/>
      <c r="K1" s="1132"/>
      <c r="L1" s="1132"/>
      <c r="M1" s="1132"/>
      <c r="N1" s="1132"/>
      <c r="O1" s="1132"/>
      <c r="P1" s="1132"/>
      <c r="Q1" s="1132"/>
      <c r="R1" s="2383" t="str">
        <f>IF(Data!$B$1&lt;&gt;"", Data!$B$1, " ")</f>
        <v>2025-AR-105</v>
      </c>
      <c r="S1" s="2383"/>
      <c r="T1" s="2383"/>
      <c r="U1" s="2383"/>
      <c r="V1" s="2383"/>
      <c r="W1" s="2383"/>
      <c r="X1" s="2383"/>
      <c r="Y1" s="2383"/>
      <c r="Z1" s="2383"/>
      <c r="AA1" s="2383"/>
      <c r="AB1" s="2383"/>
      <c r="AC1" s="2383"/>
      <c r="AD1" s="2383"/>
      <c r="AE1" s="2383"/>
      <c r="AF1" s="2383"/>
      <c r="AG1" s="2383"/>
      <c r="AH1" s="2383"/>
      <c r="AI1" s="2383"/>
      <c r="AJ1" s="2383"/>
      <c r="AK1" s="2383"/>
      <c r="AL1" s="2383"/>
      <c r="AM1" s="2383"/>
      <c r="AN1" s="2383"/>
      <c r="AO1" s="2383"/>
      <c r="AP1" s="2383"/>
      <c r="AQ1" s="2383"/>
      <c r="AR1" s="2383"/>
      <c r="AS1" s="2383"/>
      <c r="AT1" s="2383"/>
      <c r="AU1" s="2383"/>
      <c r="AV1" s="2383"/>
      <c r="AW1" s="2383"/>
      <c r="AX1" s="2383"/>
      <c r="AY1" s="2383"/>
      <c r="AZ1" s="2383"/>
      <c r="BA1" s="2383"/>
      <c r="BB1" s="2383"/>
      <c r="BC1" s="2383"/>
      <c r="BD1" s="2383"/>
      <c r="BE1" s="2383"/>
      <c r="BF1" s="2383"/>
      <c r="BG1" s="2383"/>
      <c r="BH1" s="2383"/>
      <c r="BI1" s="2383">
        <f>IF(Data!$B$2&lt;&gt;"", Data!$B$2, " ")</f>
        <v>13753277</v>
      </c>
      <c r="BJ1" s="2383"/>
      <c r="BK1" s="2383"/>
      <c r="BL1" s="2383"/>
      <c r="BM1" s="2383"/>
      <c r="BN1" s="2383"/>
      <c r="BO1" s="2383"/>
      <c r="BP1" s="2383"/>
      <c r="BQ1" s="2383"/>
      <c r="BR1" s="2383"/>
      <c r="BS1" s="2383"/>
      <c r="BT1" s="2383"/>
      <c r="BU1" s="2383"/>
      <c r="BV1" s="2383"/>
      <c r="BW1" s="2383"/>
      <c r="BX1" s="2383"/>
      <c r="BY1" s="2383"/>
      <c r="BZ1" s="2383"/>
      <c r="CA1" s="2383"/>
      <c r="CB1" s="2383"/>
      <c r="CC1" s="2383"/>
      <c r="CD1" s="2383"/>
      <c r="CE1" s="2383"/>
      <c r="CF1" s="2383"/>
      <c r="CG1" s="2383"/>
      <c r="CH1" s="2383"/>
      <c r="CI1" s="2383"/>
      <c r="CJ1" s="2383"/>
      <c r="CK1" s="2383"/>
      <c r="CL1" s="2383"/>
      <c r="CM1" s="2383"/>
      <c r="CN1" s="2383"/>
      <c r="CO1" s="2383"/>
      <c r="CP1" s="2383"/>
      <c r="CQ1" s="2383"/>
      <c r="CR1" s="2383"/>
      <c r="CS1" s="2383"/>
      <c r="CT1" s="2383"/>
      <c r="CU1" s="2383"/>
      <c r="CV1" s="2383"/>
      <c r="CW1" s="2383"/>
      <c r="CX1" s="2383"/>
      <c r="CY1" s="2383"/>
      <c r="CZ1" s="2383"/>
      <c r="DA1" s="2383"/>
      <c r="DB1" s="2383"/>
      <c r="DC1" s="2383"/>
      <c r="DD1" s="2383"/>
      <c r="DE1" s="2383"/>
      <c r="DF1" s="2383"/>
      <c r="DG1" s="2383"/>
      <c r="DH1" s="2383"/>
      <c r="DI1" s="2383"/>
      <c r="DJ1" s="2383" t="str">
        <f>IF(Data!$B$4&lt;&gt;"",Data!$B$4," ")</f>
        <v>MM65DH</v>
      </c>
      <c r="DK1" s="2383"/>
      <c r="DL1" s="2383"/>
      <c r="DM1" s="2383"/>
      <c r="DN1" s="2383"/>
      <c r="DO1" s="2383"/>
      <c r="DP1" s="2383"/>
      <c r="DQ1" s="2383"/>
      <c r="DR1" s="2383"/>
      <c r="DS1" s="2383"/>
      <c r="DT1" s="2383"/>
      <c r="DU1" s="2383"/>
      <c r="DV1" s="2383"/>
      <c r="DW1" s="2383"/>
      <c r="DX1" s="2383"/>
      <c r="DY1" s="2383"/>
      <c r="DZ1" s="2383"/>
      <c r="EA1" s="2383"/>
      <c r="EB1" s="2383"/>
      <c r="EC1" s="2383"/>
      <c r="ED1" s="2383"/>
      <c r="EE1" s="2383"/>
      <c r="EF1" s="2383"/>
      <c r="EG1" s="2383"/>
      <c r="EH1" s="2383"/>
      <c r="EI1" s="2383"/>
      <c r="EJ1" s="2383"/>
      <c r="EK1" s="2383"/>
      <c r="EL1" s="2383"/>
      <c r="EM1" s="2383"/>
      <c r="EN1" s="2383"/>
      <c r="EO1" s="2383"/>
      <c r="EP1" s="2383" t="str">
        <f>IF(LEN(Data!B3)&gt;3,IF(AND(Data!B43&lt;&gt;"",Data!B43&lt;&gt;"0 0/1"""),Data!B43,""),IF(Data!B3&lt;&gt;"",Data!B3&amp;"""",""))</f>
        <v>8 3/8"</v>
      </c>
      <c r="EQ1" s="2383"/>
      <c r="ER1" s="2383"/>
      <c r="ES1" s="2383"/>
      <c r="ET1" s="2383"/>
      <c r="EU1" s="2383"/>
      <c r="EV1" s="2383"/>
      <c r="EW1" s="2383"/>
      <c r="EX1" s="2383"/>
      <c r="EY1" s="2383"/>
      <c r="EZ1" s="2383"/>
      <c r="FA1" s="2383"/>
      <c r="FB1" s="2383"/>
      <c r="FC1" s="2383"/>
      <c r="FD1" s="2383"/>
      <c r="FE1" s="2383"/>
      <c r="FF1" s="2383"/>
      <c r="FG1" s="2383"/>
      <c r="FH1" s="2383"/>
      <c r="FI1" s="2383"/>
      <c r="FJ1" s="2383"/>
      <c r="FK1" s="2383"/>
      <c r="FL1" s="2383"/>
      <c r="FM1" s="2383"/>
      <c r="FN1" s="2383"/>
      <c r="FO1" s="2383"/>
      <c r="FP1" s="2383"/>
      <c r="FQ1" s="2383"/>
      <c r="FR1" s="2383"/>
      <c r="FS1" s="2383"/>
      <c r="FT1" s="2383"/>
      <c r="FU1" s="2383"/>
      <c r="FV1" s="1132"/>
      <c r="FW1" s="1132"/>
      <c r="FX1" s="1132"/>
      <c r="FY1" s="1132"/>
      <c r="FZ1" s="1132"/>
      <c r="GA1" s="1132"/>
      <c r="GB1" s="1132"/>
      <c r="GC1" s="1132"/>
      <c r="GD1" s="1132"/>
      <c r="GE1" s="1132"/>
      <c r="GF1" s="1132"/>
      <c r="GG1" s="1132"/>
    </row>
    <row r="2" spans="1:200" ht="31.5" customHeight="1" x14ac:dyDescent="0.35">
      <c r="B2" s="2381">
        <f>IF(Data!$BR$44&lt;&gt;"",Data!$BR$44, "")</f>
        <v>1</v>
      </c>
      <c r="C2" s="2381"/>
      <c r="D2" s="2381"/>
      <c r="E2" s="2381"/>
      <c r="F2" s="2381"/>
      <c r="G2" s="2381"/>
      <c r="H2" s="2381"/>
      <c r="I2" s="2381"/>
      <c r="J2" s="2381"/>
      <c r="K2" s="2381"/>
      <c r="L2" s="2381"/>
      <c r="M2" s="2381"/>
      <c r="N2" s="2381"/>
      <c r="O2" s="2381"/>
      <c r="P2" s="2381"/>
      <c r="Q2" s="2381"/>
      <c r="R2" s="2381">
        <f>IF(Data!$BS$44&lt;&gt;"",Data!$BS$44, "")</f>
        <v>2</v>
      </c>
      <c r="S2" s="2381"/>
      <c r="T2" s="2381"/>
      <c r="U2" s="2381"/>
      <c r="V2" s="2381"/>
      <c r="W2" s="2381"/>
      <c r="X2" s="2381"/>
      <c r="Y2" s="2381"/>
      <c r="Z2" s="2381"/>
      <c r="AA2" s="2381"/>
      <c r="AB2" s="2381"/>
      <c r="AC2" s="2381"/>
      <c r="AD2" s="2381"/>
      <c r="AE2" s="2381"/>
      <c r="AF2" s="2381"/>
      <c r="AG2" s="2381"/>
      <c r="AH2" s="2381">
        <f>IF(Data!$BT$44&lt;&gt;"", Data!$BT$44, "")</f>
        <v>3</v>
      </c>
      <c r="AI2" s="2381"/>
      <c r="AJ2" s="2381"/>
      <c r="AK2" s="2381"/>
      <c r="AL2" s="2381"/>
      <c r="AM2" s="2381"/>
      <c r="AN2" s="2381"/>
      <c r="AO2" s="2381"/>
      <c r="AP2" s="2381"/>
      <c r="AQ2" s="2381"/>
      <c r="AR2" s="2381"/>
      <c r="AS2" s="2381"/>
      <c r="AT2" s="2381"/>
      <c r="AU2" s="2381"/>
      <c r="AV2" s="2381"/>
      <c r="AW2" s="2381"/>
      <c r="AX2" s="2381">
        <f>IF(Data!$BU$44&lt;&gt;"", Data!$BU$44, "")</f>
        <v>4</v>
      </c>
      <c r="AY2" s="2381"/>
      <c r="AZ2" s="2381"/>
      <c r="BA2" s="2381"/>
      <c r="BB2" s="2381"/>
      <c r="BC2" s="2381"/>
      <c r="BD2" s="2381"/>
      <c r="BE2" s="2381"/>
      <c r="BF2" s="2381"/>
      <c r="BG2" s="2381"/>
      <c r="BH2" s="2381"/>
      <c r="BI2" s="2381"/>
      <c r="BJ2" s="2381"/>
      <c r="BK2" s="2381"/>
      <c r="BL2" s="2381"/>
      <c r="BM2" s="2381"/>
      <c r="BN2" s="2381">
        <f>IF(Data!$BV$44&lt;&gt;"",Data!$BV$44, "")</f>
        <v>5</v>
      </c>
      <c r="BO2" s="2381"/>
      <c r="BP2" s="2381"/>
      <c r="BQ2" s="2381"/>
      <c r="BR2" s="2381"/>
      <c r="BS2" s="2381"/>
      <c r="BT2" s="2381"/>
      <c r="BU2" s="2381"/>
      <c r="BV2" s="2381"/>
      <c r="BW2" s="2381"/>
      <c r="BX2" s="2381"/>
      <c r="BY2" s="2381"/>
      <c r="BZ2" s="2381"/>
      <c r="CA2" s="2381"/>
      <c r="CB2" s="2381"/>
      <c r="CC2" s="2381"/>
      <c r="CD2" s="2381">
        <f>IF(Data!$BW$44&lt;&gt;"",Data!$BW$44, "")</f>
        <v>6</v>
      </c>
      <c r="CE2" s="2381"/>
      <c r="CF2" s="2381"/>
      <c r="CG2" s="2381"/>
      <c r="CH2" s="2381"/>
      <c r="CI2" s="2381"/>
      <c r="CJ2" s="2381"/>
      <c r="CK2" s="2381"/>
      <c r="CL2" s="2381"/>
      <c r="CM2" s="2381"/>
      <c r="CN2" s="2381"/>
      <c r="CO2" s="2381"/>
      <c r="CP2" s="2381"/>
      <c r="CQ2" s="2381"/>
      <c r="CR2" s="2381"/>
      <c r="CS2" s="2381"/>
      <c r="CT2" s="2381">
        <f>IF(Data!$BX$44&lt;&gt;"", Data!$BX$44, "")</f>
        <v>7</v>
      </c>
      <c r="CU2" s="2381"/>
      <c r="CV2" s="2381"/>
      <c r="CW2" s="2381"/>
      <c r="CX2" s="2381"/>
      <c r="CY2" s="2381"/>
      <c r="CZ2" s="2381"/>
      <c r="DA2" s="2381"/>
      <c r="DB2" s="2381"/>
      <c r="DC2" s="2381"/>
      <c r="DD2" s="2381"/>
      <c r="DE2" s="2381"/>
      <c r="DF2" s="2381"/>
      <c r="DG2" s="2381"/>
      <c r="DH2" s="2381"/>
      <c r="DI2" s="2381"/>
      <c r="DJ2" s="2381">
        <f>IF(Data!$BY$44&lt;&gt;"", Data!$BY$44, "")</f>
        <v>8</v>
      </c>
      <c r="DK2" s="2381"/>
      <c r="DL2" s="2381"/>
      <c r="DM2" s="2381"/>
      <c r="DN2" s="2381"/>
      <c r="DO2" s="2381"/>
      <c r="DP2" s="2381"/>
      <c r="DQ2" s="2381"/>
      <c r="DR2" s="2381"/>
      <c r="DS2" s="2381"/>
      <c r="DT2" s="2381"/>
      <c r="DU2" s="2381"/>
      <c r="DV2" s="2381"/>
      <c r="DW2" s="2381"/>
      <c r="DX2" s="2381"/>
      <c r="DY2" s="2381"/>
      <c r="DZ2" s="2381">
        <f>IF(Data!$BZ$44&lt;&gt;"", Data!$BZ$44, "")</f>
        <v>0</v>
      </c>
      <c r="EA2" s="2381"/>
      <c r="EB2" s="2381"/>
      <c r="EC2" s="2381"/>
      <c r="ED2" s="2381"/>
      <c r="EE2" s="2381"/>
      <c r="EF2" s="2381"/>
      <c r="EG2" s="2381"/>
      <c r="EH2" s="2381"/>
      <c r="EI2" s="2381"/>
      <c r="EJ2" s="2381"/>
      <c r="EK2" s="2381"/>
      <c r="EL2" s="2381"/>
      <c r="EM2" s="2381"/>
      <c r="EN2" s="2381"/>
      <c r="EO2" s="2381"/>
      <c r="EP2" s="2381">
        <f>IF(Data!$CA$44&lt;&gt;"", Data!$CA$44, "")</f>
        <v>9</v>
      </c>
      <c r="EQ2" s="2381"/>
      <c r="ER2" s="2381"/>
      <c r="ES2" s="2381"/>
      <c r="ET2" s="2381"/>
      <c r="EU2" s="2381"/>
      <c r="EV2" s="2381"/>
      <c r="EW2" s="2381"/>
      <c r="EX2" s="2381"/>
      <c r="EY2" s="2381"/>
      <c r="EZ2" s="2381"/>
      <c r="FA2" s="2381"/>
      <c r="FB2" s="2381"/>
      <c r="FC2" s="2381"/>
      <c r="FD2" s="2381"/>
      <c r="FE2" s="2381"/>
      <c r="FF2" s="2381">
        <f>IF(Data!$CB$44&lt;&gt;"", Data!$CB$44, "")</f>
        <v>10</v>
      </c>
      <c r="FG2" s="2381"/>
      <c r="FH2" s="2381"/>
      <c r="FI2" s="2381"/>
      <c r="FJ2" s="2381"/>
      <c r="FK2" s="2381"/>
      <c r="FL2" s="2381"/>
      <c r="FM2" s="2381"/>
      <c r="FN2" s="2381"/>
      <c r="FO2" s="2381"/>
      <c r="FP2" s="2381"/>
      <c r="FQ2" s="2381"/>
      <c r="FR2" s="2381"/>
      <c r="FS2" s="2381"/>
      <c r="FT2" s="2381"/>
      <c r="FU2" s="2381"/>
      <c r="FV2" s="1132"/>
      <c r="FW2" s="1132"/>
      <c r="FX2" s="1132"/>
      <c r="FY2" s="1132"/>
      <c r="FZ2" s="1132"/>
      <c r="GA2" s="1132"/>
      <c r="GB2" s="1132"/>
      <c r="GC2" s="1132"/>
      <c r="GD2" s="1132"/>
      <c r="GE2" s="1132"/>
      <c r="GF2" s="1132"/>
      <c r="GG2" s="1132"/>
      <c r="GH2" s="139"/>
    </row>
    <row r="3" spans="1:200" ht="44.25" customHeight="1" x14ac:dyDescent="0.35">
      <c r="A3" s="338">
        <v>1</v>
      </c>
      <c r="B3" s="2382" t="str">
        <f>IFERROR(IF('ARDT Cutter Entry'!$C$111&lt;&gt;"",IF(OR(COUNTIF('ARDT Cutter Entry'!C111,"*X*"),COUNTIF('ARDT Cutter Entry'!C111,"*L*")), 'ARDT Cutter Entry'!C111,LEFT('ARDT Cutter Entry'!C111,LEN('ARDT Cutter Entry'!C111)-1)),IF(OR(COUNTIF('ARDT Cutter Entry'!C43,"*X*"),COUNTIF('ARDT Cutter Entry'!C43,"*L*")),'ARDT Cutter Entry'!C43,LEFT('ARDT Cutter Entry'!C43,LEN('ARDT Cutter Entry'!C43)-1))),"")</f>
        <v>R</v>
      </c>
      <c r="C3" s="2382"/>
      <c r="D3" s="2382"/>
      <c r="E3" s="2382"/>
      <c r="F3" s="2382"/>
      <c r="G3" s="2382"/>
      <c r="H3" s="2382"/>
      <c r="I3" s="2382"/>
      <c r="J3" s="2382"/>
      <c r="K3" s="2382"/>
      <c r="L3" s="2382"/>
      <c r="M3" s="2382"/>
      <c r="N3" s="2382"/>
      <c r="O3" s="2382"/>
      <c r="P3" s="2382"/>
      <c r="Q3" s="2382"/>
      <c r="R3" s="2382" t="str">
        <f>IFERROR(IF('ARDT Cutter Entry'!$C$111&lt;&gt;"",IF(OR(COUNTIF('ARDT Cutter Entry'!D111,"*X*"),COUNTIF('ARDT Cutter Entry'!D111,"*L*")), 'ARDT Cutter Entry'!D111,LEFT('ARDT Cutter Entry'!D111,LEN('ARDT Cutter Entry'!D111)-1)),IF(OR(COUNTIF('ARDT Cutter Entry'!D43,"*X*"),COUNTIF('ARDT Cutter Entry'!D43,"*L*")),'ARDT Cutter Entry'!D43,LEFT('ARDT Cutter Entry'!D43,LEN('ARDT Cutter Entry'!D43)-1))),"")</f>
        <v>R</v>
      </c>
      <c r="S3" s="2382"/>
      <c r="T3" s="2382"/>
      <c r="U3" s="2382"/>
      <c r="V3" s="2382"/>
      <c r="W3" s="2382"/>
      <c r="X3" s="2382"/>
      <c r="Y3" s="2382"/>
      <c r="Z3" s="2382"/>
      <c r="AA3" s="2382"/>
      <c r="AB3" s="2382"/>
      <c r="AC3" s="2382"/>
      <c r="AD3" s="2382"/>
      <c r="AE3" s="2382"/>
      <c r="AF3" s="2382"/>
      <c r="AG3" s="2382"/>
      <c r="AH3" s="2382" t="str">
        <f>IFERROR(IF('ARDT Cutter Entry'!$C$111&lt;&gt;"",IF(OR(COUNTIF('ARDT Cutter Entry'!E111,"*X*"),COUNTIF('ARDT Cutter Entry'!E111,"*L*")), 'ARDT Cutter Entry'!E111,LEFT('ARDT Cutter Entry'!E111,LEN('ARDT Cutter Entry'!E111)-1)),IF(OR(COUNTIF('ARDT Cutter Entry'!E43,"*X*"),COUNTIF('ARDT Cutter Entry'!E43,"*L*")),'ARDT Cutter Entry'!E43,LEFT('ARDT Cutter Entry'!E43,LEN('ARDT Cutter Entry'!E43)-1))),"")</f>
        <v>X5</v>
      </c>
      <c r="AI3" s="2382"/>
      <c r="AJ3" s="2382"/>
      <c r="AK3" s="2382"/>
      <c r="AL3" s="2382"/>
      <c r="AM3" s="2382"/>
      <c r="AN3" s="2382"/>
      <c r="AO3" s="2382"/>
      <c r="AP3" s="2382"/>
      <c r="AQ3" s="2382"/>
      <c r="AR3" s="2382"/>
      <c r="AS3" s="2382"/>
      <c r="AT3" s="2382"/>
      <c r="AU3" s="2382"/>
      <c r="AV3" s="2382"/>
      <c r="AW3" s="2382"/>
      <c r="AX3" s="2382" t="str">
        <f>IFERROR(IF('ARDT Cutter Entry'!$C$111&lt;&gt;"",IF(OR(COUNTIF('ARDT Cutter Entry'!F111,"*X*"),COUNTIF('ARDT Cutter Entry'!F111,"*L*")), 'ARDT Cutter Entry'!F111,LEFT('ARDT Cutter Entry'!F111,LEN('ARDT Cutter Entry'!F111)-1)),IF(OR(COUNTIF('ARDT Cutter Entry'!F43,"*X*"),COUNTIF('ARDT Cutter Entry'!F43,"*L*")),'ARDT Cutter Entry'!F43,LEFT('ARDT Cutter Entry'!F43,LEN('ARDT Cutter Entry'!F43)-1))),"")</f>
        <v>X5</v>
      </c>
      <c r="AY3" s="2382"/>
      <c r="AZ3" s="2382"/>
      <c r="BA3" s="2382"/>
      <c r="BB3" s="2382"/>
      <c r="BC3" s="2382"/>
      <c r="BD3" s="2382"/>
      <c r="BE3" s="2382"/>
      <c r="BF3" s="2382"/>
      <c r="BG3" s="2382"/>
      <c r="BH3" s="2382"/>
      <c r="BI3" s="2382"/>
      <c r="BJ3" s="2382"/>
      <c r="BK3" s="2382"/>
      <c r="BL3" s="2382"/>
      <c r="BM3" s="2382"/>
      <c r="BN3" s="2382" t="str">
        <f>IFERROR(IF('ARDT Cutter Entry'!$C$111&lt;&gt;"",IF(OR(COUNTIF('ARDT Cutter Entry'!G111,"*X*"),COUNTIF('ARDT Cutter Entry'!G111,"*L*")), 'ARDT Cutter Entry'!G111,LEFT('ARDT Cutter Entry'!G111,LEN('ARDT Cutter Entry'!G111)-1)),IF(OR(COUNTIF('ARDT Cutter Entry'!G43,"*X*"),COUNTIF('ARDT Cutter Entry'!G43,"*L*")),'ARDT Cutter Entry'!G43,LEFT('ARDT Cutter Entry'!G43,LEN('ARDT Cutter Entry'!G43)-1))),"")</f>
        <v>X5</v>
      </c>
      <c r="BO3" s="2382"/>
      <c r="BP3" s="2382"/>
      <c r="BQ3" s="2382"/>
      <c r="BR3" s="2382"/>
      <c r="BS3" s="2382"/>
      <c r="BT3" s="2382"/>
      <c r="BU3" s="2382"/>
      <c r="BV3" s="2382"/>
      <c r="BW3" s="2382"/>
      <c r="BX3" s="2382"/>
      <c r="BY3" s="2382"/>
      <c r="BZ3" s="2382"/>
      <c r="CA3" s="2382"/>
      <c r="CB3" s="2382"/>
      <c r="CC3" s="2382"/>
      <c r="CD3" s="2382" t="str">
        <f>IFERROR(IF('ARDT Cutter Entry'!$C$111&lt;&gt;"",IF(OR(COUNTIF('ARDT Cutter Entry'!H111,"*X*"),COUNTIF('ARDT Cutter Entry'!H111,"*L*")), 'ARDT Cutter Entry'!H111,LEFT('ARDT Cutter Entry'!H111,LEN('ARDT Cutter Entry'!H111)-1)),IF(OR(COUNTIF('ARDT Cutter Entry'!H43,"*X*"),COUNTIF('ARDT Cutter Entry'!H43,"*L*")),'ARDT Cutter Entry'!H43,LEFT('ARDT Cutter Entry'!H43,LEN('ARDT Cutter Entry'!H43)-1))),"")</f>
        <v>X5</v>
      </c>
      <c r="CE3" s="2382"/>
      <c r="CF3" s="2382"/>
      <c r="CG3" s="2382"/>
      <c r="CH3" s="2382"/>
      <c r="CI3" s="2382"/>
      <c r="CJ3" s="2382"/>
      <c r="CK3" s="2382"/>
      <c r="CL3" s="2382"/>
      <c r="CM3" s="2382"/>
      <c r="CN3" s="2382"/>
      <c r="CO3" s="2382"/>
      <c r="CP3" s="2382"/>
      <c r="CQ3" s="2382"/>
      <c r="CR3" s="2382"/>
      <c r="CS3" s="2382"/>
      <c r="CT3" s="2382" t="str">
        <f>IFERROR(IF('ARDT Cutter Entry'!$C$111&lt;&gt;"",IF(OR(COUNTIF('ARDT Cutter Entry'!I111,"*X*"),COUNTIF('ARDT Cutter Entry'!I111,"*L*")), 'ARDT Cutter Entry'!I111,LEFT('ARDT Cutter Entry'!I111,LEN('ARDT Cutter Entry'!I111)-1)),IF(OR(COUNTIF('ARDT Cutter Entry'!I43,"*X*"),COUNTIF('ARDT Cutter Entry'!I43,"*L*")),'ARDT Cutter Entry'!I43,LEFT('ARDT Cutter Entry'!I43,LEN('ARDT Cutter Entry'!I43)-1))),"")</f>
        <v>R</v>
      </c>
      <c r="CU3" s="2382"/>
      <c r="CV3" s="2382"/>
      <c r="CW3" s="2382"/>
      <c r="CX3" s="2382"/>
      <c r="CY3" s="2382"/>
      <c r="CZ3" s="2382"/>
      <c r="DA3" s="2382"/>
      <c r="DB3" s="2382"/>
      <c r="DC3" s="2382"/>
      <c r="DD3" s="2382"/>
      <c r="DE3" s="2382"/>
      <c r="DF3" s="2382"/>
      <c r="DG3" s="2382"/>
      <c r="DH3" s="2382"/>
      <c r="DI3" s="2382"/>
      <c r="DJ3" s="2382" t="str">
        <f>IFERROR(IF('ARDT Cutter Entry'!$C$111&lt;&gt;"",IF(OR(COUNTIF('ARDT Cutter Entry'!J111,"*X*"),COUNTIF('ARDT Cutter Entry'!J111,"*L*")), 'ARDT Cutter Entry'!J111,LEFT('ARDT Cutter Entry'!J111,LEN('ARDT Cutter Entry'!J111)-1)),IF(OR(COUNTIF('ARDT Cutter Entry'!J43,"*X*"),COUNTIF('ARDT Cutter Entry'!J43,"*L*")),'ARDT Cutter Entry'!J43,LEFT('ARDT Cutter Entry'!J43,LEN('ARDT Cutter Entry'!J43)-1))),"")</f>
        <v>X3</v>
      </c>
      <c r="DK3" s="2382"/>
      <c r="DL3" s="2382"/>
      <c r="DM3" s="2382"/>
      <c r="DN3" s="2382"/>
      <c r="DO3" s="2382"/>
      <c r="DP3" s="2382"/>
      <c r="DQ3" s="2382"/>
      <c r="DR3" s="2382"/>
      <c r="DS3" s="2382"/>
      <c r="DT3" s="2382"/>
      <c r="DU3" s="2382"/>
      <c r="DV3" s="2382"/>
      <c r="DW3" s="2382"/>
      <c r="DX3" s="2382"/>
      <c r="DY3" s="2382"/>
      <c r="DZ3" s="2382" t="str">
        <f>IFERROR(IF('ARDT Cutter Entry'!$C$111&lt;&gt;"",IF(OR(COUNTIF('ARDT Cutter Entry'!K111,"*X*"),COUNTIF('ARDT Cutter Entry'!K111,"*L*")), 'ARDT Cutter Entry'!K111,LEFT('ARDT Cutter Entry'!K111,LEN('ARDT Cutter Entry'!K111)-1)),IF(OR(COUNTIF('ARDT Cutter Entry'!K43,"*X*"),COUNTIF('ARDT Cutter Entry'!K43,"*L*")),'ARDT Cutter Entry'!K43,LEFT('ARDT Cutter Entry'!K43,LEN('ARDT Cutter Entry'!K43)-1))),"")</f>
        <v/>
      </c>
      <c r="EA3" s="2382"/>
      <c r="EB3" s="2382"/>
      <c r="EC3" s="2382"/>
      <c r="ED3" s="2382"/>
      <c r="EE3" s="2382"/>
      <c r="EF3" s="2382"/>
      <c r="EG3" s="2382"/>
      <c r="EH3" s="2382"/>
      <c r="EI3" s="2382"/>
      <c r="EJ3" s="2382"/>
      <c r="EK3" s="2382"/>
      <c r="EL3" s="2382"/>
      <c r="EM3" s="2382"/>
      <c r="EN3" s="2382"/>
      <c r="EO3" s="2382"/>
      <c r="EP3" s="2382" t="str">
        <f>IFERROR(IF('ARDT Cutter Entry'!$C$111&lt;&gt;"",IF(OR(COUNTIF('ARDT Cutter Entry'!L111,"*X*"),COUNTIF('ARDT Cutter Entry'!L111,"*L*")), 'ARDT Cutter Entry'!L111,LEFT('ARDT Cutter Entry'!L111,LEN('ARDT Cutter Entry'!L111)-1)),IF(OR(COUNTIF('ARDT Cutter Entry'!L43,"*X*"),COUNTIF('ARDT Cutter Entry'!L43,"*L*")),'ARDT Cutter Entry'!L43,LEFT('ARDT Cutter Entry'!L43,LEN('ARDT Cutter Entry'!L43)-1))),"")</f>
        <v>S</v>
      </c>
      <c r="EQ3" s="2382"/>
      <c r="ER3" s="2382"/>
      <c r="ES3" s="2382"/>
      <c r="ET3" s="2382"/>
      <c r="EU3" s="2382"/>
      <c r="EV3" s="2382"/>
      <c r="EW3" s="2382"/>
      <c r="EX3" s="2382"/>
      <c r="EY3" s="2382"/>
      <c r="EZ3" s="2382"/>
      <c r="FA3" s="2382"/>
      <c r="FB3" s="2382"/>
      <c r="FC3" s="2382"/>
      <c r="FD3" s="2382"/>
      <c r="FE3" s="2382"/>
      <c r="FF3" s="2382" t="str">
        <f>IFERROR(IF('ARDT Cutter Entry'!$C$111&lt;&gt;"",IF(OR(COUNTIF('ARDT Cutter Entry'!M111,"*X*"),COUNTIF('ARDT Cutter Entry'!M111,"*L*")), 'ARDT Cutter Entry'!M111,LEFT('ARDT Cutter Entry'!M111,LEN('ARDT Cutter Entry'!M111)-1)),IF(OR(COUNTIF('ARDT Cutter Entry'!M43,"*X*"),COUNTIF('ARDT Cutter Entry'!M43,"*L*")),'ARDT Cutter Entry'!M43,LEFT('ARDT Cutter Entry'!M43,LEN('ARDT Cutter Entry'!M43)-1))),"")</f>
        <v>X4</v>
      </c>
      <c r="FG3" s="2382"/>
      <c r="FH3" s="2382"/>
      <c r="FI3" s="2382"/>
      <c r="FJ3" s="2382"/>
      <c r="FK3" s="2382"/>
      <c r="FL3" s="2382"/>
      <c r="FM3" s="2382"/>
      <c r="FN3" s="2382"/>
      <c r="FO3" s="2382"/>
      <c r="FP3" s="2382"/>
      <c r="FQ3" s="2382"/>
      <c r="FR3" s="2382"/>
      <c r="FS3" s="2382"/>
      <c r="FT3" s="2382"/>
      <c r="FU3" s="2382"/>
      <c r="FV3" s="1132"/>
      <c r="FW3" s="1132"/>
      <c r="FX3" s="1132"/>
      <c r="FY3" s="1132"/>
      <c r="FZ3" s="1132"/>
      <c r="GA3" s="1132"/>
      <c r="GB3" s="1132"/>
      <c r="GC3" s="1132"/>
      <c r="GD3" s="1132"/>
      <c r="GE3" s="1132"/>
      <c r="GF3" s="1132"/>
      <c r="GG3" s="1132"/>
      <c r="GI3" t="str">
        <f>IFERROR(IF('ARDT Cutter Entry'!$C$111&lt;&gt;"",IF(OR(COUNTIF('ARDT Cutter Entry'!GJ111,"*X*"),COUNTIF('ARDT Cutter Entry'!GJ111,"*L*")), SUBSTITUTE('ARDT Cutter Entry'!GJ111,"*",""),LEFT('ARDT Cutter Entry'!GJ111,LEN(SUBSTITUTE('ARDT Cutter Entry'!GJ111,"*",""))-1)),IF(OR(COUNTIF('ARDT Cutter Entry'!GJ43,"*X*"),COUNTIF('ARDT Cutter Entry'!GJ43,"*L*")),'ARDT Cutter Entry'!GJ43,LEFT('ARDT Cutter Entry'!GJ43,LEN('ARDT Cutter Entry'!GJ43)-1))),"")</f>
        <v/>
      </c>
      <c r="GJ3" t="str">
        <f>IFERROR(IF('ARDT Cutter Entry'!$C$111&lt;&gt;"",IF(OR(COUNTIF('ARDT Cutter Entry'!GK111,"*X*"),COUNTIF('ARDT Cutter Entry'!GK111,"*L*")), SUBSTITUTE('ARDT Cutter Entry'!GK111,"*",""),LEFT('ARDT Cutter Entry'!GK111,LEN(SUBSTITUTE('ARDT Cutter Entry'!GK111,"*",""))-1)),IF(OR(COUNTIF('ARDT Cutter Entry'!GK43,"*X*"),COUNTIF('ARDT Cutter Entry'!GK43,"*L*")),'ARDT Cutter Entry'!GK43,LEFT('ARDT Cutter Entry'!GK43,LEN('ARDT Cutter Entry'!GK43)-1))),"")</f>
        <v/>
      </c>
      <c r="GK3" t="str">
        <f>IFERROR(IF('ARDT Cutter Entry'!$C$111&lt;&gt;"",IF(OR(COUNTIF('ARDT Cutter Entry'!GL111,"*X*"),COUNTIF('ARDT Cutter Entry'!GL111,"*L*")), SUBSTITUTE('ARDT Cutter Entry'!GL111,"*",""),LEFT('ARDT Cutter Entry'!GL111,LEN(SUBSTITUTE('ARDT Cutter Entry'!GL111,"*",""))-1)),IF(OR(COUNTIF('ARDT Cutter Entry'!GL43,"*X*"),COUNTIF('ARDT Cutter Entry'!GL43,"*L*")),'ARDT Cutter Entry'!GL43,LEFT('ARDT Cutter Entry'!GL43,LEN('ARDT Cutter Entry'!GL43)-1))),"")</f>
        <v/>
      </c>
      <c r="GL3" t="str">
        <f>IFERROR(IF('ARDT Cutter Entry'!$C$111&lt;&gt;"",IF(OR(COUNTIF('ARDT Cutter Entry'!GM111,"*X*"),COUNTIF('ARDT Cutter Entry'!GM111,"*L*")), SUBSTITUTE('ARDT Cutter Entry'!GM111,"*",""),LEFT('ARDT Cutter Entry'!GM111,LEN(SUBSTITUTE('ARDT Cutter Entry'!GM111,"*",""))-1)),IF(OR(COUNTIF('ARDT Cutter Entry'!GM43,"*X*"),COUNTIF('ARDT Cutter Entry'!GM43,"*L*")),'ARDT Cutter Entry'!GM43,LEFT('ARDT Cutter Entry'!GM43,LEN('ARDT Cutter Entry'!GM43)-1))),"")</f>
        <v/>
      </c>
      <c r="GM3" t="str">
        <f>IFERROR(IF('ARDT Cutter Entry'!$C$111&lt;&gt;"",IF(OR(COUNTIF('ARDT Cutter Entry'!GN111,"*X*"),COUNTIF('ARDT Cutter Entry'!GN111,"*L*")), SUBSTITUTE('ARDT Cutter Entry'!GN111,"*",""),LEFT('ARDT Cutter Entry'!GN111,LEN(SUBSTITUTE('ARDT Cutter Entry'!GN111,"*",""))-1)),IF(OR(COUNTIF('ARDT Cutter Entry'!GN43,"*X*"),COUNTIF('ARDT Cutter Entry'!GN43,"*L*")),'ARDT Cutter Entry'!GN43,LEFT('ARDT Cutter Entry'!GN43,LEN('ARDT Cutter Entry'!GN43)-1))),"")</f>
        <v/>
      </c>
      <c r="GN3" t="str">
        <f>IFERROR(IF('ARDT Cutter Entry'!$C$111&lt;&gt;"",IF(OR(COUNTIF('ARDT Cutter Entry'!GO111,"*X*"),COUNTIF('ARDT Cutter Entry'!GO111,"*L*")), SUBSTITUTE('ARDT Cutter Entry'!GO111,"*",""),LEFT('ARDT Cutter Entry'!GO111,LEN(SUBSTITUTE('ARDT Cutter Entry'!GO111,"*",""))-1)),IF(OR(COUNTIF('ARDT Cutter Entry'!GO43,"*X*"),COUNTIF('ARDT Cutter Entry'!GO43,"*L*")),'ARDT Cutter Entry'!GO43,LEFT('ARDT Cutter Entry'!GO43,LEN('ARDT Cutter Entry'!GO43)-1))),"")</f>
        <v/>
      </c>
      <c r="GO3" t="str">
        <f>IFERROR(IF('ARDT Cutter Entry'!$C$111&lt;&gt;"",IF(OR(COUNTIF('ARDT Cutter Entry'!GP111,"*X*"),COUNTIF('ARDT Cutter Entry'!GP111,"*L*")), SUBSTITUTE('ARDT Cutter Entry'!GP111,"*",""),LEFT('ARDT Cutter Entry'!GP111,LEN(SUBSTITUTE('ARDT Cutter Entry'!GP111,"*",""))-1)),IF(OR(COUNTIF('ARDT Cutter Entry'!GP43,"*X*"),COUNTIF('ARDT Cutter Entry'!GP43,"*L*")),'ARDT Cutter Entry'!GP43,LEFT('ARDT Cutter Entry'!GP43,LEN('ARDT Cutter Entry'!GP43)-1))),"")</f>
        <v/>
      </c>
      <c r="GP3" t="str">
        <f>IFERROR(IF('ARDT Cutter Entry'!$C$111&lt;&gt;"",IF(OR(COUNTIF('ARDT Cutter Entry'!GQ111,"*X*"),COUNTIF('ARDT Cutter Entry'!GQ111,"*L*")), SUBSTITUTE('ARDT Cutter Entry'!GQ111,"*",""),LEFT('ARDT Cutter Entry'!GQ111,LEN(SUBSTITUTE('ARDT Cutter Entry'!GQ111,"*",""))-1)),IF(OR(COUNTIF('ARDT Cutter Entry'!GQ43,"*X*"),COUNTIF('ARDT Cutter Entry'!GQ43,"*L*")),'ARDT Cutter Entry'!GQ43,LEFT('ARDT Cutter Entry'!GQ43,LEN('ARDT Cutter Entry'!GQ43)-1))),"")</f>
        <v/>
      </c>
      <c r="GQ3" t="str">
        <f>IFERROR(IF('ARDT Cutter Entry'!$C$111&lt;&gt;"",IF(OR(COUNTIF('ARDT Cutter Entry'!GR111,"*X*"),COUNTIF('ARDT Cutter Entry'!GR111,"*L*")), SUBSTITUTE('ARDT Cutter Entry'!GR111,"*",""),LEFT('ARDT Cutter Entry'!GR111,LEN(SUBSTITUTE('ARDT Cutter Entry'!GR111,"*",""))-1)),IF(OR(COUNTIF('ARDT Cutter Entry'!GR43,"*X*"),COUNTIF('ARDT Cutter Entry'!GR43,"*L*")),'ARDT Cutter Entry'!GR43,LEFT('ARDT Cutter Entry'!GR43,LEN('ARDT Cutter Entry'!GR43)-1))),"")</f>
        <v/>
      </c>
      <c r="GR3" t="str">
        <f>IFERROR(IF('ARDT Cutter Entry'!$C$111&lt;&gt;"",IF(OR(COUNTIF('ARDT Cutter Entry'!GS111,"*X*"),COUNTIF('ARDT Cutter Entry'!GS111,"*L*")), SUBSTITUTE('ARDT Cutter Entry'!GS111,"*",""),LEFT('ARDT Cutter Entry'!GS111,LEN(SUBSTITUTE('ARDT Cutter Entry'!GS111,"*",""))-1)),IF(OR(COUNTIF('ARDT Cutter Entry'!GS43,"*X*"),COUNTIF('ARDT Cutter Entry'!GS43,"*L*")),'ARDT Cutter Entry'!GS43,LEFT('ARDT Cutter Entry'!GS43,LEN('ARDT Cutter Entry'!GS43)-1))),"")</f>
        <v/>
      </c>
    </row>
    <row r="4" spans="1:200" ht="44.25" customHeight="1" x14ac:dyDescent="0.35">
      <c r="A4" s="338">
        <v>2</v>
      </c>
      <c r="B4" s="2382" t="str">
        <f>IFERROR(IF('ARDT Cutter Entry'!$C$111&lt;&gt;"",IF(OR(COUNTIF('ARDT Cutter Entry'!C112,"*X*"),COUNTIF('ARDT Cutter Entry'!C112,"*L*")), 'ARDT Cutter Entry'!C112,LEFT('ARDT Cutter Entry'!C112,LEN('ARDT Cutter Entry'!C112)-1)),IF(OR(COUNTIF('ARDT Cutter Entry'!C44,"*X*"),COUNTIF('ARDT Cutter Entry'!C44,"*L*")),'ARDT Cutter Entry'!C44,LEFT('ARDT Cutter Entry'!C44,LEN('ARDT Cutter Entry'!C44)-1))),"")</f>
        <v>X5</v>
      </c>
      <c r="C4" s="2382"/>
      <c r="D4" s="2382"/>
      <c r="E4" s="2382"/>
      <c r="F4" s="2382"/>
      <c r="G4" s="2382"/>
      <c r="H4" s="2382"/>
      <c r="I4" s="2382"/>
      <c r="J4" s="2382"/>
      <c r="K4" s="2382"/>
      <c r="L4" s="2382"/>
      <c r="M4" s="2382"/>
      <c r="N4" s="2382"/>
      <c r="O4" s="2382"/>
      <c r="P4" s="2382"/>
      <c r="Q4" s="2382"/>
      <c r="R4" s="2382" t="str">
        <f>IFERROR(IF('ARDT Cutter Entry'!$C$111&lt;&gt;"",IF(OR(COUNTIF('ARDT Cutter Entry'!D112,"*X*"),COUNTIF('ARDT Cutter Entry'!D112,"*L*")), 'ARDT Cutter Entry'!D112,LEFT('ARDT Cutter Entry'!D112,LEN('ARDT Cutter Entry'!D112)-1)),IF(OR(COUNTIF('ARDT Cutter Entry'!D44,"*X*"),COUNTIF('ARDT Cutter Entry'!D44,"*L*")),'ARDT Cutter Entry'!D44,LEFT('ARDT Cutter Entry'!D44,LEN('ARDT Cutter Entry'!D44)-1))),"")</f>
        <v>X5</v>
      </c>
      <c r="S4" s="2382"/>
      <c r="T4" s="2382"/>
      <c r="U4" s="2382"/>
      <c r="V4" s="2382"/>
      <c r="W4" s="2382"/>
      <c r="X4" s="2382"/>
      <c r="Y4" s="2382"/>
      <c r="Z4" s="2382"/>
      <c r="AA4" s="2382"/>
      <c r="AB4" s="2382"/>
      <c r="AC4" s="2382"/>
      <c r="AD4" s="2382"/>
      <c r="AE4" s="2382"/>
      <c r="AF4" s="2382"/>
      <c r="AG4" s="2382"/>
      <c r="AH4" s="2382" t="str">
        <f>IFERROR(IF('ARDT Cutter Entry'!$C$111&lt;&gt;"",IF(OR(COUNTIF('ARDT Cutter Entry'!E112,"*X*"),COUNTIF('ARDT Cutter Entry'!E112,"*L*")), 'ARDT Cutter Entry'!E112,LEFT('ARDT Cutter Entry'!E112,LEN('ARDT Cutter Entry'!E112)-1)),IF(OR(COUNTIF('ARDT Cutter Entry'!E44,"*X*"),COUNTIF('ARDT Cutter Entry'!E44,"*L*")),'ARDT Cutter Entry'!E44,LEFT('ARDT Cutter Entry'!E44,LEN('ARDT Cutter Entry'!E44)-1))),"")</f>
        <v>X5</v>
      </c>
      <c r="AI4" s="2382"/>
      <c r="AJ4" s="2382"/>
      <c r="AK4" s="2382"/>
      <c r="AL4" s="2382"/>
      <c r="AM4" s="2382"/>
      <c r="AN4" s="2382"/>
      <c r="AO4" s="2382"/>
      <c r="AP4" s="2382"/>
      <c r="AQ4" s="2382"/>
      <c r="AR4" s="2382"/>
      <c r="AS4" s="2382"/>
      <c r="AT4" s="2382"/>
      <c r="AU4" s="2382"/>
      <c r="AV4" s="2382"/>
      <c r="AW4" s="2382"/>
      <c r="AX4" s="2382" t="str">
        <f>IFERROR(IF('ARDT Cutter Entry'!$C$111&lt;&gt;"",IF(OR(COUNTIF('ARDT Cutter Entry'!F112,"*X*"),COUNTIF('ARDT Cutter Entry'!F112,"*L*")), 'ARDT Cutter Entry'!F112,LEFT('ARDT Cutter Entry'!F112,LEN('ARDT Cutter Entry'!F112)-1)),IF(OR(COUNTIF('ARDT Cutter Entry'!F44,"*X*"),COUNTIF('ARDT Cutter Entry'!F44,"*L*")),'ARDT Cutter Entry'!F44,LEFT('ARDT Cutter Entry'!F44,LEN('ARDT Cutter Entry'!F44)-1))),"")</f>
        <v>R</v>
      </c>
      <c r="AY4" s="2382"/>
      <c r="AZ4" s="2382"/>
      <c r="BA4" s="2382"/>
      <c r="BB4" s="2382"/>
      <c r="BC4" s="2382"/>
      <c r="BD4" s="2382"/>
      <c r="BE4" s="2382"/>
      <c r="BF4" s="2382"/>
      <c r="BG4" s="2382"/>
      <c r="BH4" s="2382"/>
      <c r="BI4" s="2382"/>
      <c r="BJ4" s="2382"/>
      <c r="BK4" s="2382"/>
      <c r="BL4" s="2382"/>
      <c r="BM4" s="2382"/>
      <c r="BN4" s="2382" t="str">
        <f>IFERROR(IF('ARDT Cutter Entry'!$C$111&lt;&gt;"",IF(OR(COUNTIF('ARDT Cutter Entry'!G112,"*X*"),COUNTIF('ARDT Cutter Entry'!G112,"*L*")), 'ARDT Cutter Entry'!G112,LEFT('ARDT Cutter Entry'!G112,LEN('ARDT Cutter Entry'!G112)-1)),IF(OR(COUNTIF('ARDT Cutter Entry'!G44,"*X*"),COUNTIF('ARDT Cutter Entry'!G44,"*L*")),'ARDT Cutter Entry'!G44,LEFT('ARDT Cutter Entry'!G44,LEN('ARDT Cutter Entry'!G44)-1))),"")</f>
        <v>X3</v>
      </c>
      <c r="BO4" s="2382"/>
      <c r="BP4" s="2382"/>
      <c r="BQ4" s="2382"/>
      <c r="BR4" s="2382"/>
      <c r="BS4" s="2382"/>
      <c r="BT4" s="2382"/>
      <c r="BU4" s="2382"/>
      <c r="BV4" s="2382"/>
      <c r="BW4" s="2382"/>
      <c r="BX4" s="2382"/>
      <c r="BY4" s="2382"/>
      <c r="BZ4" s="2382"/>
      <c r="CA4" s="2382"/>
      <c r="CB4" s="2382"/>
      <c r="CC4" s="2382"/>
      <c r="CD4" s="2382" t="str">
        <f>IFERROR(IF('ARDT Cutter Entry'!$C$111&lt;&gt;"",IF(OR(COUNTIF('ARDT Cutter Entry'!H112,"*X*"),COUNTIF('ARDT Cutter Entry'!H112,"*L*")), 'ARDT Cutter Entry'!H112,LEFT('ARDT Cutter Entry'!H112,LEN('ARDT Cutter Entry'!H112)-1)),IF(OR(COUNTIF('ARDT Cutter Entry'!H44,"*X*"),COUNTIF('ARDT Cutter Entry'!H44,"*L*")),'ARDT Cutter Entry'!H44,LEFT('ARDT Cutter Entry'!H44,LEN('ARDT Cutter Entry'!H44)-1))),"")</f>
        <v/>
      </c>
      <c r="CE4" s="2382"/>
      <c r="CF4" s="2382"/>
      <c r="CG4" s="2382"/>
      <c r="CH4" s="2382"/>
      <c r="CI4" s="2382"/>
      <c r="CJ4" s="2382"/>
      <c r="CK4" s="2382"/>
      <c r="CL4" s="2382"/>
      <c r="CM4" s="2382"/>
      <c r="CN4" s="2382"/>
      <c r="CO4" s="2382"/>
      <c r="CP4" s="2382"/>
      <c r="CQ4" s="2382"/>
      <c r="CR4" s="2382"/>
      <c r="CS4" s="2382"/>
      <c r="CT4" s="2382" t="str">
        <f>IFERROR(IF('ARDT Cutter Entry'!$C$111&lt;&gt;"",IF(OR(COUNTIF('ARDT Cutter Entry'!I112,"*X*"),COUNTIF('ARDT Cutter Entry'!I112,"*L*")), 'ARDT Cutter Entry'!I112,LEFT('ARDT Cutter Entry'!I112,LEN('ARDT Cutter Entry'!I112)-1)),IF(OR(COUNTIF('ARDT Cutter Entry'!I44,"*X*"),COUNTIF('ARDT Cutter Entry'!I44,"*L*")),'ARDT Cutter Entry'!I44,LEFT('ARDT Cutter Entry'!I44,LEN('ARDT Cutter Entry'!I44)-1))),"")</f>
        <v/>
      </c>
      <c r="CU4" s="2382"/>
      <c r="CV4" s="2382"/>
      <c r="CW4" s="2382"/>
      <c r="CX4" s="2382"/>
      <c r="CY4" s="2382"/>
      <c r="CZ4" s="2382"/>
      <c r="DA4" s="2382"/>
      <c r="DB4" s="2382"/>
      <c r="DC4" s="2382"/>
      <c r="DD4" s="2382"/>
      <c r="DE4" s="2382"/>
      <c r="DF4" s="2382"/>
      <c r="DG4" s="2382"/>
      <c r="DH4" s="2382"/>
      <c r="DI4" s="2382"/>
      <c r="DJ4" s="2382" t="str">
        <f>IFERROR(IF('ARDT Cutter Entry'!$C$111&lt;&gt;"",IF(OR(COUNTIF('ARDT Cutter Entry'!J112,"*X*"),COUNTIF('ARDT Cutter Entry'!J112,"*L*")), 'ARDT Cutter Entry'!J112,LEFT('ARDT Cutter Entry'!J112,LEN('ARDT Cutter Entry'!J112)-1)),IF(OR(COUNTIF('ARDT Cutter Entry'!J44,"*X*"),COUNTIF('ARDT Cutter Entry'!J44,"*L*")),'ARDT Cutter Entry'!J44,LEFT('ARDT Cutter Entry'!J44,LEN('ARDT Cutter Entry'!J44)-1))),"")</f>
        <v/>
      </c>
      <c r="DK4" s="2382"/>
      <c r="DL4" s="2382"/>
      <c r="DM4" s="2382"/>
      <c r="DN4" s="2382"/>
      <c r="DO4" s="2382"/>
      <c r="DP4" s="2382"/>
      <c r="DQ4" s="2382"/>
      <c r="DR4" s="2382"/>
      <c r="DS4" s="2382"/>
      <c r="DT4" s="2382"/>
      <c r="DU4" s="2382"/>
      <c r="DV4" s="2382"/>
      <c r="DW4" s="2382"/>
      <c r="DX4" s="2382"/>
      <c r="DY4" s="2382"/>
      <c r="DZ4" s="2382" t="str">
        <f>IFERROR(IF('ARDT Cutter Entry'!$C$111&lt;&gt;"",IF(OR(COUNTIF('ARDT Cutter Entry'!K112,"*X*"),COUNTIF('ARDT Cutter Entry'!K112,"*L*")), 'ARDT Cutter Entry'!K112,LEFT('ARDT Cutter Entry'!K112,LEN('ARDT Cutter Entry'!K112)-1)),IF(OR(COUNTIF('ARDT Cutter Entry'!K44,"*X*"),COUNTIF('ARDT Cutter Entry'!K44,"*L*")),'ARDT Cutter Entry'!K44,LEFT('ARDT Cutter Entry'!K44,LEN('ARDT Cutter Entry'!K44)-1))),"")</f>
        <v/>
      </c>
      <c r="EA4" s="2382"/>
      <c r="EB4" s="2382"/>
      <c r="EC4" s="2382"/>
      <c r="ED4" s="2382"/>
      <c r="EE4" s="2382"/>
      <c r="EF4" s="2382"/>
      <c r="EG4" s="2382"/>
      <c r="EH4" s="2382"/>
      <c r="EI4" s="2382"/>
      <c r="EJ4" s="2382"/>
      <c r="EK4" s="2382"/>
      <c r="EL4" s="2382"/>
      <c r="EM4" s="2382"/>
      <c r="EN4" s="2382"/>
      <c r="EO4" s="2382"/>
      <c r="EP4" s="2382" t="str">
        <f>IFERROR(IF('ARDT Cutter Entry'!$C$111&lt;&gt;"",IF(OR(COUNTIF('ARDT Cutter Entry'!L112,"*X*"),COUNTIF('ARDT Cutter Entry'!L112,"*L*")), 'ARDT Cutter Entry'!L112,LEFT('ARDT Cutter Entry'!L112,LEN('ARDT Cutter Entry'!L112)-1)),IF(OR(COUNTIF('ARDT Cutter Entry'!L44,"*X*"),COUNTIF('ARDT Cutter Entry'!L44,"*L*")),'ARDT Cutter Entry'!L44,LEFT('ARDT Cutter Entry'!L44,LEN('ARDT Cutter Entry'!L44)-1))),"")</f>
        <v>S</v>
      </c>
      <c r="EQ4" s="2382"/>
      <c r="ER4" s="2382"/>
      <c r="ES4" s="2382"/>
      <c r="ET4" s="2382"/>
      <c r="EU4" s="2382"/>
      <c r="EV4" s="2382"/>
      <c r="EW4" s="2382"/>
      <c r="EX4" s="2382"/>
      <c r="EY4" s="2382"/>
      <c r="EZ4" s="2382"/>
      <c r="FA4" s="2382"/>
      <c r="FB4" s="2382"/>
      <c r="FC4" s="2382"/>
      <c r="FD4" s="2382"/>
      <c r="FE4" s="2382"/>
      <c r="FF4" s="2382" t="str">
        <f>IFERROR(IF('ARDT Cutter Entry'!$C$111&lt;&gt;"",IF(OR(COUNTIF('ARDT Cutter Entry'!M112,"*X*"),COUNTIF('ARDT Cutter Entry'!M112,"*L*")), 'ARDT Cutter Entry'!M112,LEFT('ARDT Cutter Entry'!M112,LEN('ARDT Cutter Entry'!M112)-1)),IF(OR(COUNTIF('ARDT Cutter Entry'!M44,"*X*"),COUNTIF('ARDT Cutter Entry'!M44,"*L*")),'ARDT Cutter Entry'!M44,LEFT('ARDT Cutter Entry'!M44,LEN('ARDT Cutter Entry'!M44)-1))),"")</f>
        <v>R</v>
      </c>
      <c r="FG4" s="2382"/>
      <c r="FH4" s="2382"/>
      <c r="FI4" s="2382"/>
      <c r="FJ4" s="2382"/>
      <c r="FK4" s="2382"/>
      <c r="FL4" s="2382"/>
      <c r="FM4" s="2382"/>
      <c r="FN4" s="2382"/>
      <c r="FO4" s="2382"/>
      <c r="FP4" s="2382"/>
      <c r="FQ4" s="2382"/>
      <c r="FR4" s="2382"/>
      <c r="FS4" s="2382"/>
      <c r="FT4" s="2382"/>
      <c r="FU4" s="2382"/>
      <c r="FV4" s="1132"/>
      <c r="FW4" s="1132"/>
      <c r="FX4" s="1132"/>
      <c r="FY4" s="1132"/>
      <c r="FZ4" s="1132"/>
      <c r="GA4" s="1132"/>
      <c r="GB4" s="1132"/>
      <c r="GC4" s="1132"/>
      <c r="GD4" s="1132"/>
      <c r="GE4" s="1132"/>
      <c r="GF4" s="1132"/>
      <c r="GG4" s="1132"/>
      <c r="GI4" t="str">
        <f>IFERROR(IF('ARDT Cutter Entry'!$C$111&lt;&gt;"",IF(OR(COUNTIF('ARDT Cutter Entry'!GJ112,"*X*"),COUNTIF('ARDT Cutter Entry'!GJ112,"*L*")), SUBSTITUTE('ARDT Cutter Entry'!GJ112,"*",""),LEFT('ARDT Cutter Entry'!GJ112,LEN(SUBSTITUTE('ARDT Cutter Entry'!GJ112,"*",""))-1)),IF(OR(COUNTIF('ARDT Cutter Entry'!GJ44,"*X*"),COUNTIF('ARDT Cutter Entry'!GJ44,"*L*")),'ARDT Cutter Entry'!GJ44,LEFT('ARDT Cutter Entry'!GJ44,LEN('ARDT Cutter Entry'!GJ44)-1))),"")</f>
        <v/>
      </c>
    </row>
    <row r="5" spans="1:200" ht="44.25" customHeight="1" x14ac:dyDescent="0.35">
      <c r="A5" s="338">
        <v>3</v>
      </c>
      <c r="B5" s="2382" t="str">
        <f>IFERROR(IF('ARDT Cutter Entry'!$C$111&lt;&gt;"",IF(OR(COUNTIF('ARDT Cutter Entry'!C113,"*X*"),COUNTIF('ARDT Cutter Entry'!C113,"*L*")), 'ARDT Cutter Entry'!C113,LEFT('ARDT Cutter Entry'!C113,LEN('ARDT Cutter Entry'!C113)-1)),IF(OR(COUNTIF('ARDT Cutter Entry'!C45,"*X*"),COUNTIF('ARDT Cutter Entry'!C45,"*L*")),'ARDT Cutter Entry'!C45,LEFT('ARDT Cutter Entry'!C45,LEN('ARDT Cutter Entry'!C45)-1))),"")</f>
        <v>R</v>
      </c>
      <c r="C5" s="2382"/>
      <c r="D5" s="2382"/>
      <c r="E5" s="2382"/>
      <c r="F5" s="2382"/>
      <c r="G5" s="2382"/>
      <c r="H5" s="2382"/>
      <c r="I5" s="2382"/>
      <c r="J5" s="2382"/>
      <c r="K5" s="2382"/>
      <c r="L5" s="2382"/>
      <c r="M5" s="2382"/>
      <c r="N5" s="2382"/>
      <c r="O5" s="2382"/>
      <c r="P5" s="2382"/>
      <c r="Q5" s="2382"/>
      <c r="R5" s="2382" t="str">
        <f>IFERROR(IF('ARDT Cutter Entry'!$C$111&lt;&gt;"",IF(OR(COUNTIF('ARDT Cutter Entry'!D113,"*X*"),COUNTIF('ARDT Cutter Entry'!D113,"*L*")), 'ARDT Cutter Entry'!D113,LEFT('ARDT Cutter Entry'!D113,LEN('ARDT Cutter Entry'!D113)-1)),IF(OR(COUNTIF('ARDT Cutter Entry'!D45,"*X*"),COUNTIF('ARDT Cutter Entry'!D45,"*L*")),'ARDT Cutter Entry'!D45,LEFT('ARDT Cutter Entry'!D45,LEN('ARDT Cutter Entry'!D45)-1))),"")</f>
        <v>R</v>
      </c>
      <c r="S5" s="2382"/>
      <c r="T5" s="2382"/>
      <c r="U5" s="2382"/>
      <c r="V5" s="2382"/>
      <c r="W5" s="2382"/>
      <c r="X5" s="2382"/>
      <c r="Y5" s="2382"/>
      <c r="Z5" s="2382"/>
      <c r="AA5" s="2382"/>
      <c r="AB5" s="2382"/>
      <c r="AC5" s="2382"/>
      <c r="AD5" s="2382"/>
      <c r="AE5" s="2382"/>
      <c r="AF5" s="2382"/>
      <c r="AG5" s="2382"/>
      <c r="AH5" s="2382" t="str">
        <f>IFERROR(IF('ARDT Cutter Entry'!$C$111&lt;&gt;"",IF(OR(COUNTIF('ARDT Cutter Entry'!E113,"*X*"),COUNTIF('ARDT Cutter Entry'!E113,"*L*")), 'ARDT Cutter Entry'!E113,LEFT('ARDT Cutter Entry'!E113,LEN('ARDT Cutter Entry'!E113)-1)),IF(OR(COUNTIF('ARDT Cutter Entry'!E45,"*X*"),COUNTIF('ARDT Cutter Entry'!E45,"*L*")),'ARDT Cutter Entry'!E45,LEFT('ARDT Cutter Entry'!E45,LEN('ARDT Cutter Entry'!E45)-1))),"")</f>
        <v>R</v>
      </c>
      <c r="AI5" s="2382"/>
      <c r="AJ5" s="2382"/>
      <c r="AK5" s="2382"/>
      <c r="AL5" s="2382"/>
      <c r="AM5" s="2382"/>
      <c r="AN5" s="2382"/>
      <c r="AO5" s="2382"/>
      <c r="AP5" s="2382"/>
      <c r="AQ5" s="2382"/>
      <c r="AR5" s="2382"/>
      <c r="AS5" s="2382"/>
      <c r="AT5" s="2382"/>
      <c r="AU5" s="2382"/>
      <c r="AV5" s="2382"/>
      <c r="AW5" s="2382"/>
      <c r="AX5" s="2382" t="str">
        <f>IFERROR(IF('ARDT Cutter Entry'!$C$111&lt;&gt;"",IF(OR(COUNTIF('ARDT Cutter Entry'!F113,"*X*"),COUNTIF('ARDT Cutter Entry'!F113,"*L*")), 'ARDT Cutter Entry'!F113,LEFT('ARDT Cutter Entry'!F113,LEN('ARDT Cutter Entry'!F113)-1)),IF(OR(COUNTIF('ARDT Cutter Entry'!F45,"*X*"),COUNTIF('ARDT Cutter Entry'!F45,"*L*")),'ARDT Cutter Entry'!F45,LEFT('ARDT Cutter Entry'!F45,LEN('ARDT Cutter Entry'!F45)-1))),"")</f>
        <v>X5</v>
      </c>
      <c r="AY5" s="2382"/>
      <c r="AZ5" s="2382"/>
      <c r="BA5" s="2382"/>
      <c r="BB5" s="2382"/>
      <c r="BC5" s="2382"/>
      <c r="BD5" s="2382"/>
      <c r="BE5" s="2382"/>
      <c r="BF5" s="2382"/>
      <c r="BG5" s="2382"/>
      <c r="BH5" s="2382"/>
      <c r="BI5" s="2382"/>
      <c r="BJ5" s="2382"/>
      <c r="BK5" s="2382"/>
      <c r="BL5" s="2382"/>
      <c r="BM5" s="2382"/>
      <c r="BN5" s="2382" t="str">
        <f>IFERROR(IF('ARDT Cutter Entry'!$C$111&lt;&gt;"",IF(OR(COUNTIF('ARDT Cutter Entry'!G113,"*X*"),COUNTIF('ARDT Cutter Entry'!G113,"*L*")), 'ARDT Cutter Entry'!G113,LEFT('ARDT Cutter Entry'!G113,LEN('ARDT Cutter Entry'!G113)-1)),IF(OR(COUNTIF('ARDT Cutter Entry'!G45,"*X*"),COUNTIF('ARDT Cutter Entry'!G45,"*L*")),'ARDT Cutter Entry'!G45,LEFT('ARDT Cutter Entry'!G45,LEN('ARDT Cutter Entry'!G45)-1))),"")</f>
        <v>X5</v>
      </c>
      <c r="BO5" s="2382"/>
      <c r="BP5" s="2382"/>
      <c r="BQ5" s="2382"/>
      <c r="BR5" s="2382"/>
      <c r="BS5" s="2382"/>
      <c r="BT5" s="2382"/>
      <c r="BU5" s="2382"/>
      <c r="BV5" s="2382"/>
      <c r="BW5" s="2382"/>
      <c r="BX5" s="2382"/>
      <c r="BY5" s="2382"/>
      <c r="BZ5" s="2382"/>
      <c r="CA5" s="2382"/>
      <c r="CB5" s="2382"/>
      <c r="CC5" s="2382"/>
      <c r="CD5" s="2382" t="str">
        <f>IFERROR(IF('ARDT Cutter Entry'!$C$111&lt;&gt;"",IF(OR(COUNTIF('ARDT Cutter Entry'!H113,"*X*"),COUNTIF('ARDT Cutter Entry'!H113,"*L*")), 'ARDT Cutter Entry'!H113,LEFT('ARDT Cutter Entry'!H113,LEN('ARDT Cutter Entry'!H113)-1)),IF(OR(COUNTIF('ARDT Cutter Entry'!H45,"*X*"),COUNTIF('ARDT Cutter Entry'!H45,"*L*")),'ARDT Cutter Entry'!H45,LEFT('ARDT Cutter Entry'!H45,LEN('ARDT Cutter Entry'!H45)-1))),"")</f>
        <v>X5</v>
      </c>
      <c r="CE5" s="2382"/>
      <c r="CF5" s="2382"/>
      <c r="CG5" s="2382"/>
      <c r="CH5" s="2382"/>
      <c r="CI5" s="2382"/>
      <c r="CJ5" s="2382"/>
      <c r="CK5" s="2382"/>
      <c r="CL5" s="2382"/>
      <c r="CM5" s="2382"/>
      <c r="CN5" s="2382"/>
      <c r="CO5" s="2382"/>
      <c r="CP5" s="2382"/>
      <c r="CQ5" s="2382"/>
      <c r="CR5" s="2382"/>
      <c r="CS5" s="2382"/>
      <c r="CT5" s="2382" t="str">
        <f>IFERROR(IF('ARDT Cutter Entry'!$C$111&lt;&gt;"",IF(OR(COUNTIF('ARDT Cutter Entry'!I113,"*X*"),COUNTIF('ARDT Cutter Entry'!I113,"*L*")), 'ARDT Cutter Entry'!I113,LEFT('ARDT Cutter Entry'!I113,LEN('ARDT Cutter Entry'!I113)-1)),IF(OR(COUNTIF('ARDT Cutter Entry'!I45,"*X*"),COUNTIF('ARDT Cutter Entry'!I45,"*L*")),'ARDT Cutter Entry'!I45,LEFT('ARDT Cutter Entry'!I45,LEN('ARDT Cutter Entry'!I45)-1))),"")</f>
        <v>X3</v>
      </c>
      <c r="CU5" s="2382"/>
      <c r="CV5" s="2382"/>
      <c r="CW5" s="2382"/>
      <c r="CX5" s="2382"/>
      <c r="CY5" s="2382"/>
      <c r="CZ5" s="2382"/>
      <c r="DA5" s="2382"/>
      <c r="DB5" s="2382"/>
      <c r="DC5" s="2382"/>
      <c r="DD5" s="2382"/>
      <c r="DE5" s="2382"/>
      <c r="DF5" s="2382"/>
      <c r="DG5" s="2382"/>
      <c r="DH5" s="2382"/>
      <c r="DI5" s="2382"/>
      <c r="DJ5" s="2382" t="str">
        <f>IFERROR(IF('ARDT Cutter Entry'!$C$111&lt;&gt;"",IF(OR(COUNTIF('ARDT Cutter Entry'!J113,"*X*"),COUNTIF('ARDT Cutter Entry'!J113,"*L*")), 'ARDT Cutter Entry'!J113,LEFT('ARDT Cutter Entry'!J113,LEN('ARDT Cutter Entry'!J113)-1)),IF(OR(COUNTIF('ARDT Cutter Entry'!J45,"*X*"),COUNTIF('ARDT Cutter Entry'!J45,"*L*")),'ARDT Cutter Entry'!J45,LEFT('ARDT Cutter Entry'!J45,LEN('ARDT Cutter Entry'!J45)-1))),"")</f>
        <v/>
      </c>
      <c r="DK5" s="2382"/>
      <c r="DL5" s="2382"/>
      <c r="DM5" s="2382"/>
      <c r="DN5" s="2382"/>
      <c r="DO5" s="2382"/>
      <c r="DP5" s="2382"/>
      <c r="DQ5" s="2382"/>
      <c r="DR5" s="2382"/>
      <c r="DS5" s="2382"/>
      <c r="DT5" s="2382"/>
      <c r="DU5" s="2382"/>
      <c r="DV5" s="2382"/>
      <c r="DW5" s="2382"/>
      <c r="DX5" s="2382"/>
      <c r="DY5" s="2382"/>
      <c r="DZ5" s="2382" t="str">
        <f>IFERROR(IF('ARDT Cutter Entry'!$C$111&lt;&gt;"",IF(OR(COUNTIF('ARDT Cutter Entry'!K113,"*X*"),COUNTIF('ARDT Cutter Entry'!K113,"*L*")), 'ARDT Cutter Entry'!K113,LEFT('ARDT Cutter Entry'!K113,LEN('ARDT Cutter Entry'!K113)-1)),IF(OR(COUNTIF('ARDT Cutter Entry'!K45,"*X*"),COUNTIF('ARDT Cutter Entry'!K45,"*L*")),'ARDT Cutter Entry'!K45,LEFT('ARDT Cutter Entry'!K45,LEN('ARDT Cutter Entry'!K45)-1))),"")</f>
        <v/>
      </c>
      <c r="EA5" s="2382"/>
      <c r="EB5" s="2382"/>
      <c r="EC5" s="2382"/>
      <c r="ED5" s="2382"/>
      <c r="EE5" s="2382"/>
      <c r="EF5" s="2382"/>
      <c r="EG5" s="2382"/>
      <c r="EH5" s="2382"/>
      <c r="EI5" s="2382"/>
      <c r="EJ5" s="2382"/>
      <c r="EK5" s="2382"/>
      <c r="EL5" s="2382"/>
      <c r="EM5" s="2382"/>
      <c r="EN5" s="2382"/>
      <c r="EO5" s="2382"/>
      <c r="EP5" s="2382" t="str">
        <f>IFERROR(IF('ARDT Cutter Entry'!$C$111&lt;&gt;"",IF(OR(COUNTIF('ARDT Cutter Entry'!L113,"*X*"),COUNTIF('ARDT Cutter Entry'!L113,"*L*")), 'ARDT Cutter Entry'!L113,LEFT('ARDT Cutter Entry'!L113,LEN('ARDT Cutter Entry'!L113)-1)),IF(OR(COUNTIF('ARDT Cutter Entry'!L45,"*X*"),COUNTIF('ARDT Cutter Entry'!L45,"*L*")),'ARDT Cutter Entry'!L45,LEFT('ARDT Cutter Entry'!L45,LEN('ARDT Cutter Entry'!L45)-1))),"")</f>
        <v>R</v>
      </c>
      <c r="EQ5" s="2382"/>
      <c r="ER5" s="2382"/>
      <c r="ES5" s="2382"/>
      <c r="ET5" s="2382"/>
      <c r="EU5" s="2382"/>
      <c r="EV5" s="2382"/>
      <c r="EW5" s="2382"/>
      <c r="EX5" s="2382"/>
      <c r="EY5" s="2382"/>
      <c r="EZ5" s="2382"/>
      <c r="FA5" s="2382"/>
      <c r="FB5" s="2382"/>
      <c r="FC5" s="2382"/>
      <c r="FD5" s="2382"/>
      <c r="FE5" s="2382"/>
      <c r="FF5" s="2382" t="str">
        <f>IFERROR(IF('ARDT Cutter Entry'!$C$111&lt;&gt;"",IF(OR(COUNTIF('ARDT Cutter Entry'!M113,"*X*"),COUNTIF('ARDT Cutter Entry'!M113,"*L*")), 'ARDT Cutter Entry'!M113,LEFT('ARDT Cutter Entry'!M113,LEN('ARDT Cutter Entry'!M113)-1)),IF(OR(COUNTIF('ARDT Cutter Entry'!M45,"*X*"),COUNTIF('ARDT Cutter Entry'!M45,"*L*")),'ARDT Cutter Entry'!M45,LEFT('ARDT Cutter Entry'!M45,LEN('ARDT Cutter Entry'!M45)-1))),"")</f>
        <v>X4</v>
      </c>
      <c r="FG5" s="2382"/>
      <c r="FH5" s="2382"/>
      <c r="FI5" s="2382"/>
      <c r="FJ5" s="2382"/>
      <c r="FK5" s="2382"/>
      <c r="FL5" s="2382"/>
      <c r="FM5" s="2382"/>
      <c r="FN5" s="2382"/>
      <c r="FO5" s="2382"/>
      <c r="FP5" s="2382"/>
      <c r="FQ5" s="2382"/>
      <c r="FR5" s="2382"/>
      <c r="FS5" s="2382"/>
      <c r="FT5" s="2382"/>
      <c r="FU5" s="2382"/>
      <c r="FV5" s="1132"/>
      <c r="FW5" s="1132"/>
      <c r="FX5" s="1132"/>
      <c r="FY5" s="1132"/>
      <c r="FZ5" s="1132"/>
      <c r="GA5" s="1132"/>
      <c r="GB5" s="1132"/>
      <c r="GC5" s="1132"/>
      <c r="GD5" s="1132"/>
      <c r="GE5" s="1132"/>
      <c r="GF5" s="1132"/>
      <c r="GG5" s="1132"/>
      <c r="GI5" t="str">
        <f>IFERROR(IF('ARDT Cutter Entry'!$C$111&lt;&gt;"",IF(OR(COUNTIF('ARDT Cutter Entry'!GJ113,"*X*"),COUNTIF('ARDT Cutter Entry'!GJ113,"*L*")), SUBSTITUTE('ARDT Cutter Entry'!GJ113,"*",""),LEFT('ARDT Cutter Entry'!GJ113,LEN(SUBSTITUTE('ARDT Cutter Entry'!GJ113,"*",""))-1)),IF(OR(COUNTIF('ARDT Cutter Entry'!GJ45,"*X*"),COUNTIF('ARDT Cutter Entry'!GJ45,"*L*")),'ARDT Cutter Entry'!GJ45,LEFT('ARDT Cutter Entry'!GJ45,LEN('ARDT Cutter Entry'!GJ45)-1))),"")</f>
        <v/>
      </c>
    </row>
    <row r="6" spans="1:200" ht="44.25" customHeight="1" x14ac:dyDescent="0.35">
      <c r="A6" s="338">
        <v>4</v>
      </c>
      <c r="B6" s="2382" t="str">
        <f>IFERROR(IF('ARDT Cutter Entry'!$C$111&lt;&gt;"",IF(OR(COUNTIF('ARDT Cutter Entry'!C114,"*X*"),COUNTIF('ARDT Cutter Entry'!C114,"*L*")), 'ARDT Cutter Entry'!C114,LEFT('ARDT Cutter Entry'!C114,LEN('ARDT Cutter Entry'!C114)-1)),IF(OR(COUNTIF('ARDT Cutter Entry'!C46,"*X*"),COUNTIF('ARDT Cutter Entry'!C46,"*L*")),'ARDT Cutter Entry'!C46,LEFT('ARDT Cutter Entry'!C46,LEN('ARDT Cutter Entry'!C46)-1))),"")</f>
        <v>X5</v>
      </c>
      <c r="C6" s="2382"/>
      <c r="D6" s="2382"/>
      <c r="E6" s="2382"/>
      <c r="F6" s="2382"/>
      <c r="G6" s="2382"/>
      <c r="H6" s="2382"/>
      <c r="I6" s="2382"/>
      <c r="J6" s="2382"/>
      <c r="K6" s="2382"/>
      <c r="L6" s="2382"/>
      <c r="M6" s="2382"/>
      <c r="N6" s="2382"/>
      <c r="O6" s="2382"/>
      <c r="P6" s="2382"/>
      <c r="Q6" s="2382"/>
      <c r="R6" s="2382" t="str">
        <f>IFERROR(IF('ARDT Cutter Entry'!$C$111&lt;&gt;"",IF(OR(COUNTIF('ARDT Cutter Entry'!D114,"*X*"),COUNTIF('ARDT Cutter Entry'!D114,"*L*")), 'ARDT Cutter Entry'!D114,LEFT('ARDT Cutter Entry'!D114,LEN('ARDT Cutter Entry'!D114)-1)),IF(OR(COUNTIF('ARDT Cutter Entry'!D46,"*X*"),COUNTIF('ARDT Cutter Entry'!D46,"*L*")),'ARDT Cutter Entry'!D46,LEFT('ARDT Cutter Entry'!D46,LEN('ARDT Cutter Entry'!D46)-1))),"")</f>
        <v>X5</v>
      </c>
      <c r="S6" s="2382"/>
      <c r="T6" s="2382"/>
      <c r="U6" s="2382"/>
      <c r="V6" s="2382"/>
      <c r="W6" s="2382"/>
      <c r="X6" s="2382"/>
      <c r="Y6" s="2382"/>
      <c r="Z6" s="2382"/>
      <c r="AA6" s="2382"/>
      <c r="AB6" s="2382"/>
      <c r="AC6" s="2382"/>
      <c r="AD6" s="2382"/>
      <c r="AE6" s="2382"/>
      <c r="AF6" s="2382"/>
      <c r="AG6" s="2382"/>
      <c r="AH6" s="2382" t="str">
        <f>IFERROR(IF('ARDT Cutter Entry'!$C$111&lt;&gt;"",IF(OR(COUNTIF('ARDT Cutter Entry'!E114,"*X*"),COUNTIF('ARDT Cutter Entry'!E114,"*L*")), 'ARDT Cutter Entry'!E114,LEFT('ARDT Cutter Entry'!E114,LEN('ARDT Cutter Entry'!E114)-1)),IF(OR(COUNTIF('ARDT Cutter Entry'!E46,"*X*"),COUNTIF('ARDT Cutter Entry'!E46,"*L*")),'ARDT Cutter Entry'!E46,LEFT('ARDT Cutter Entry'!E46,LEN('ARDT Cutter Entry'!E46)-1))),"")</f>
        <v>X5</v>
      </c>
      <c r="AI6" s="2382"/>
      <c r="AJ6" s="2382"/>
      <c r="AK6" s="2382"/>
      <c r="AL6" s="2382"/>
      <c r="AM6" s="2382"/>
      <c r="AN6" s="2382"/>
      <c r="AO6" s="2382"/>
      <c r="AP6" s="2382"/>
      <c r="AQ6" s="2382"/>
      <c r="AR6" s="2382"/>
      <c r="AS6" s="2382"/>
      <c r="AT6" s="2382"/>
      <c r="AU6" s="2382"/>
      <c r="AV6" s="2382"/>
      <c r="AW6" s="2382"/>
      <c r="AX6" s="2382" t="str">
        <f>IFERROR(IF('ARDT Cutter Entry'!$C$111&lt;&gt;"",IF(OR(COUNTIF('ARDT Cutter Entry'!F114,"*X*"),COUNTIF('ARDT Cutter Entry'!F114,"*L*")), 'ARDT Cutter Entry'!F114,LEFT('ARDT Cutter Entry'!F114,LEN('ARDT Cutter Entry'!F114)-1)),IF(OR(COUNTIF('ARDT Cutter Entry'!F46,"*X*"),COUNTIF('ARDT Cutter Entry'!F46,"*L*")),'ARDT Cutter Entry'!F46,LEFT('ARDT Cutter Entry'!F46,LEN('ARDT Cutter Entry'!F46)-1))),"")</f>
        <v>X5</v>
      </c>
      <c r="AY6" s="2382"/>
      <c r="AZ6" s="2382"/>
      <c r="BA6" s="2382"/>
      <c r="BB6" s="2382"/>
      <c r="BC6" s="2382"/>
      <c r="BD6" s="2382"/>
      <c r="BE6" s="2382"/>
      <c r="BF6" s="2382"/>
      <c r="BG6" s="2382"/>
      <c r="BH6" s="2382"/>
      <c r="BI6" s="2382"/>
      <c r="BJ6" s="2382"/>
      <c r="BK6" s="2382"/>
      <c r="BL6" s="2382"/>
      <c r="BM6" s="2382"/>
      <c r="BN6" s="2382" t="str">
        <f>IFERROR(IF('ARDT Cutter Entry'!$C$111&lt;&gt;"",IF(OR(COUNTIF('ARDT Cutter Entry'!G114,"*X*"),COUNTIF('ARDT Cutter Entry'!G114,"*L*")), 'ARDT Cutter Entry'!G114,LEFT('ARDT Cutter Entry'!G114,LEN('ARDT Cutter Entry'!G114)-1)),IF(OR(COUNTIF('ARDT Cutter Entry'!G46,"*X*"),COUNTIF('ARDT Cutter Entry'!G46,"*L*")),'ARDT Cutter Entry'!G46,LEFT('ARDT Cutter Entry'!G46,LEN('ARDT Cutter Entry'!G46)-1))),"")</f>
        <v>R</v>
      </c>
      <c r="BO6" s="2382"/>
      <c r="BP6" s="2382"/>
      <c r="BQ6" s="2382"/>
      <c r="BR6" s="2382"/>
      <c r="BS6" s="2382"/>
      <c r="BT6" s="2382"/>
      <c r="BU6" s="2382"/>
      <c r="BV6" s="2382"/>
      <c r="BW6" s="2382"/>
      <c r="BX6" s="2382"/>
      <c r="BY6" s="2382"/>
      <c r="BZ6" s="2382"/>
      <c r="CA6" s="2382"/>
      <c r="CB6" s="2382"/>
      <c r="CC6" s="2382"/>
      <c r="CD6" s="2382" t="str">
        <f>IFERROR(IF('ARDT Cutter Entry'!$C$111&lt;&gt;"",IF(OR(COUNTIF('ARDT Cutter Entry'!H114,"*X*"),COUNTIF('ARDT Cutter Entry'!H114,"*L*")), 'ARDT Cutter Entry'!H114,LEFT('ARDT Cutter Entry'!H114,LEN('ARDT Cutter Entry'!H114)-1)),IF(OR(COUNTIF('ARDT Cutter Entry'!H46,"*X*"),COUNTIF('ARDT Cutter Entry'!H46,"*L*")),'ARDT Cutter Entry'!H46,LEFT('ARDT Cutter Entry'!H46,LEN('ARDT Cutter Entry'!H46)-1))),"")</f>
        <v>X3</v>
      </c>
      <c r="CE6" s="2382"/>
      <c r="CF6" s="2382"/>
      <c r="CG6" s="2382"/>
      <c r="CH6" s="2382"/>
      <c r="CI6" s="2382"/>
      <c r="CJ6" s="2382"/>
      <c r="CK6" s="2382"/>
      <c r="CL6" s="2382"/>
      <c r="CM6" s="2382"/>
      <c r="CN6" s="2382"/>
      <c r="CO6" s="2382"/>
      <c r="CP6" s="2382"/>
      <c r="CQ6" s="2382"/>
      <c r="CR6" s="2382"/>
      <c r="CS6" s="2382"/>
      <c r="CT6" s="2382" t="str">
        <f>IFERROR(IF('ARDT Cutter Entry'!$C$111&lt;&gt;"",IF(OR(COUNTIF('ARDT Cutter Entry'!I114,"*X*"),COUNTIF('ARDT Cutter Entry'!I114,"*L*")), 'ARDT Cutter Entry'!I114,LEFT('ARDT Cutter Entry'!I114,LEN('ARDT Cutter Entry'!I114)-1)),IF(OR(COUNTIF('ARDT Cutter Entry'!I46,"*X*"),COUNTIF('ARDT Cutter Entry'!I46,"*L*")),'ARDT Cutter Entry'!I46,LEFT('ARDT Cutter Entry'!I46,LEN('ARDT Cutter Entry'!I46)-1))),"")</f>
        <v/>
      </c>
      <c r="CU6" s="2382"/>
      <c r="CV6" s="2382"/>
      <c r="CW6" s="2382"/>
      <c r="CX6" s="2382"/>
      <c r="CY6" s="2382"/>
      <c r="CZ6" s="2382"/>
      <c r="DA6" s="2382"/>
      <c r="DB6" s="2382"/>
      <c r="DC6" s="2382"/>
      <c r="DD6" s="2382"/>
      <c r="DE6" s="2382"/>
      <c r="DF6" s="2382"/>
      <c r="DG6" s="2382"/>
      <c r="DH6" s="2382"/>
      <c r="DI6" s="2382"/>
      <c r="DJ6" s="2382" t="str">
        <f>IFERROR(IF('ARDT Cutter Entry'!$C$111&lt;&gt;"",IF(OR(COUNTIF('ARDT Cutter Entry'!J114,"*X*"),COUNTIF('ARDT Cutter Entry'!J114,"*L*")), 'ARDT Cutter Entry'!J114,LEFT('ARDT Cutter Entry'!J114,LEN('ARDT Cutter Entry'!J114)-1)),IF(OR(COUNTIF('ARDT Cutter Entry'!J46,"*X*"),COUNTIF('ARDT Cutter Entry'!J46,"*L*")),'ARDT Cutter Entry'!J46,LEFT('ARDT Cutter Entry'!J46,LEN('ARDT Cutter Entry'!J46)-1))),"")</f>
        <v/>
      </c>
      <c r="DK6" s="2382"/>
      <c r="DL6" s="2382"/>
      <c r="DM6" s="2382"/>
      <c r="DN6" s="2382"/>
      <c r="DO6" s="2382"/>
      <c r="DP6" s="2382"/>
      <c r="DQ6" s="2382"/>
      <c r="DR6" s="2382"/>
      <c r="DS6" s="2382"/>
      <c r="DT6" s="2382"/>
      <c r="DU6" s="2382"/>
      <c r="DV6" s="2382"/>
      <c r="DW6" s="2382"/>
      <c r="DX6" s="2382"/>
      <c r="DY6" s="2382"/>
      <c r="DZ6" s="2382" t="str">
        <f>IFERROR(IF('ARDT Cutter Entry'!$C$111&lt;&gt;"",IF(OR(COUNTIF('ARDT Cutter Entry'!K114,"*X*"),COUNTIF('ARDT Cutter Entry'!K114,"*L*")), 'ARDT Cutter Entry'!K114,LEFT('ARDT Cutter Entry'!K114,LEN('ARDT Cutter Entry'!K114)-1)),IF(OR(COUNTIF('ARDT Cutter Entry'!K46,"*X*"),COUNTIF('ARDT Cutter Entry'!K46,"*L*")),'ARDT Cutter Entry'!K46,LEFT('ARDT Cutter Entry'!K46,LEN('ARDT Cutter Entry'!K46)-1))),"")</f>
        <v/>
      </c>
      <c r="EA6" s="2382"/>
      <c r="EB6" s="2382"/>
      <c r="EC6" s="2382"/>
      <c r="ED6" s="2382"/>
      <c r="EE6" s="2382"/>
      <c r="EF6" s="2382"/>
      <c r="EG6" s="2382"/>
      <c r="EH6" s="2382"/>
      <c r="EI6" s="2382"/>
      <c r="EJ6" s="2382"/>
      <c r="EK6" s="2382"/>
      <c r="EL6" s="2382"/>
      <c r="EM6" s="2382"/>
      <c r="EN6" s="2382"/>
      <c r="EO6" s="2382"/>
      <c r="EP6" s="2382" t="str">
        <f>IFERROR(IF('ARDT Cutter Entry'!$C$111&lt;&gt;"",IF(OR(COUNTIF('ARDT Cutter Entry'!L114,"*X*"),COUNTIF('ARDT Cutter Entry'!L114,"*L*")), 'ARDT Cutter Entry'!L114,LEFT('ARDT Cutter Entry'!L114,LEN('ARDT Cutter Entry'!L114)-1)),IF(OR(COUNTIF('ARDT Cutter Entry'!L46,"*X*"),COUNTIF('ARDT Cutter Entry'!L46,"*L*")),'ARDT Cutter Entry'!L46,LEFT('ARDT Cutter Entry'!L46,LEN('ARDT Cutter Entry'!L46)-1))),"")</f>
        <v>R</v>
      </c>
      <c r="EQ6" s="2382"/>
      <c r="ER6" s="2382"/>
      <c r="ES6" s="2382"/>
      <c r="ET6" s="2382"/>
      <c r="EU6" s="2382"/>
      <c r="EV6" s="2382"/>
      <c r="EW6" s="2382"/>
      <c r="EX6" s="2382"/>
      <c r="EY6" s="2382"/>
      <c r="EZ6" s="2382"/>
      <c r="FA6" s="2382"/>
      <c r="FB6" s="2382"/>
      <c r="FC6" s="2382"/>
      <c r="FD6" s="2382"/>
      <c r="FE6" s="2382"/>
      <c r="FF6" s="2382" t="str">
        <f>IFERROR(IF('ARDT Cutter Entry'!$C$111&lt;&gt;"",IF(OR(COUNTIF('ARDT Cutter Entry'!M114,"*X*"),COUNTIF('ARDT Cutter Entry'!M114,"*L*")), 'ARDT Cutter Entry'!M114,LEFT('ARDT Cutter Entry'!M114,LEN('ARDT Cutter Entry'!M114)-1)),IF(OR(COUNTIF('ARDT Cutter Entry'!M46,"*X*"),COUNTIF('ARDT Cutter Entry'!M46,"*L*")),'ARDT Cutter Entry'!M46,LEFT('ARDT Cutter Entry'!M46,LEN('ARDT Cutter Entry'!M46)-1))),"")</f>
        <v>R</v>
      </c>
      <c r="FG6" s="2382"/>
      <c r="FH6" s="2382"/>
      <c r="FI6" s="2382"/>
      <c r="FJ6" s="2382"/>
      <c r="FK6" s="2382"/>
      <c r="FL6" s="2382"/>
      <c r="FM6" s="2382"/>
      <c r="FN6" s="2382"/>
      <c r="FO6" s="2382"/>
      <c r="FP6" s="2382"/>
      <c r="FQ6" s="2382"/>
      <c r="FR6" s="2382"/>
      <c r="FS6" s="2382"/>
      <c r="FT6" s="2382"/>
      <c r="FU6" s="2382"/>
      <c r="FV6" s="1132"/>
      <c r="FW6" s="1132"/>
      <c r="FX6" s="1132"/>
      <c r="FY6" s="1132"/>
      <c r="FZ6" s="1132"/>
      <c r="GA6" s="1132"/>
      <c r="GB6" s="1132"/>
      <c r="GC6" s="1132"/>
      <c r="GD6" s="1132"/>
      <c r="GE6" s="1132"/>
      <c r="GF6" s="1132"/>
      <c r="GG6" s="1132"/>
      <c r="GI6" t="str">
        <f>IFERROR(IF('ARDT Cutter Entry'!$C$111&lt;&gt;"",IF(OR(COUNTIF('ARDT Cutter Entry'!GJ114,"*X*"),COUNTIF('ARDT Cutter Entry'!GJ114,"*L*")), SUBSTITUTE('ARDT Cutter Entry'!GJ114,"*",""),LEFT('ARDT Cutter Entry'!GJ114,LEN(SUBSTITUTE('ARDT Cutter Entry'!GJ114,"*",""))-1)),IF(OR(COUNTIF('ARDT Cutter Entry'!GJ46,"*X*"),COUNTIF('ARDT Cutter Entry'!GJ46,"*L*")),'ARDT Cutter Entry'!GJ46,LEFT('ARDT Cutter Entry'!GJ46,LEN('ARDT Cutter Entry'!GJ46)-1))),"")</f>
        <v/>
      </c>
    </row>
    <row r="7" spans="1:200" ht="44.25" customHeight="1" x14ac:dyDescent="0.35">
      <c r="A7" s="338">
        <v>5</v>
      </c>
      <c r="B7" s="2382" t="str">
        <f>IFERROR(IF('ARDT Cutter Entry'!$C$111&lt;&gt;"",IF(OR(COUNTIF('ARDT Cutter Entry'!C115,"*X*"),COUNTIF('ARDT Cutter Entry'!C115,"*L*")), 'ARDT Cutter Entry'!C115,LEFT('ARDT Cutter Entry'!C115,LEN('ARDT Cutter Entry'!C115)-1)),IF(OR(COUNTIF('ARDT Cutter Entry'!C47,"*X*"),COUNTIF('ARDT Cutter Entry'!C47,"*L*")),'ARDT Cutter Entry'!C47,LEFT('ARDT Cutter Entry'!C47,LEN('ARDT Cutter Entry'!C47)-1))),"")</f>
        <v>R</v>
      </c>
      <c r="C7" s="2382"/>
      <c r="D7" s="2382"/>
      <c r="E7" s="2382"/>
      <c r="F7" s="2382"/>
      <c r="G7" s="2382"/>
      <c r="H7" s="2382"/>
      <c r="I7" s="2382"/>
      <c r="J7" s="2382"/>
      <c r="K7" s="2382"/>
      <c r="L7" s="2382"/>
      <c r="M7" s="2382"/>
      <c r="N7" s="2382"/>
      <c r="O7" s="2382"/>
      <c r="P7" s="2382"/>
      <c r="Q7" s="2382"/>
      <c r="R7" s="2382" t="str">
        <f>IFERROR(IF('ARDT Cutter Entry'!$C$111&lt;&gt;"",IF(OR(COUNTIF('ARDT Cutter Entry'!D115,"*X*"),COUNTIF('ARDT Cutter Entry'!D115,"*L*")), 'ARDT Cutter Entry'!D115,LEFT('ARDT Cutter Entry'!D115,LEN('ARDT Cutter Entry'!D115)-1)),IF(OR(COUNTIF('ARDT Cutter Entry'!D47,"*X*"),COUNTIF('ARDT Cutter Entry'!D47,"*L*")),'ARDT Cutter Entry'!D47,LEFT('ARDT Cutter Entry'!D47,LEN('ARDT Cutter Entry'!D47)-1))),"")</f>
        <v>R</v>
      </c>
      <c r="S7" s="2382"/>
      <c r="T7" s="2382"/>
      <c r="U7" s="2382"/>
      <c r="V7" s="2382"/>
      <c r="W7" s="2382"/>
      <c r="X7" s="2382"/>
      <c r="Y7" s="2382"/>
      <c r="Z7" s="2382"/>
      <c r="AA7" s="2382"/>
      <c r="AB7" s="2382"/>
      <c r="AC7" s="2382"/>
      <c r="AD7" s="2382"/>
      <c r="AE7" s="2382"/>
      <c r="AF7" s="2382"/>
      <c r="AG7" s="2382"/>
      <c r="AH7" s="2382" t="str">
        <f>IFERROR(IF('ARDT Cutter Entry'!$C$111&lt;&gt;"",IF(OR(COUNTIF('ARDT Cutter Entry'!E115,"*X*"),COUNTIF('ARDT Cutter Entry'!E115,"*L*")), 'ARDT Cutter Entry'!E115,LEFT('ARDT Cutter Entry'!E115,LEN('ARDT Cutter Entry'!E115)-1)),IF(OR(COUNTIF('ARDT Cutter Entry'!E47,"*X*"),COUNTIF('ARDT Cutter Entry'!E47,"*L*")),'ARDT Cutter Entry'!E47,LEFT('ARDT Cutter Entry'!E47,LEN('ARDT Cutter Entry'!E47)-1))),"")</f>
        <v>X5</v>
      </c>
      <c r="AI7" s="2382"/>
      <c r="AJ7" s="2382"/>
      <c r="AK7" s="2382"/>
      <c r="AL7" s="2382"/>
      <c r="AM7" s="2382"/>
      <c r="AN7" s="2382"/>
      <c r="AO7" s="2382"/>
      <c r="AP7" s="2382"/>
      <c r="AQ7" s="2382"/>
      <c r="AR7" s="2382"/>
      <c r="AS7" s="2382"/>
      <c r="AT7" s="2382"/>
      <c r="AU7" s="2382"/>
      <c r="AV7" s="2382"/>
      <c r="AW7" s="2382"/>
      <c r="AX7" s="2382" t="str">
        <f>IFERROR(IF('ARDT Cutter Entry'!$C$111&lt;&gt;"",IF(OR(COUNTIF('ARDT Cutter Entry'!F115,"*X*"),COUNTIF('ARDT Cutter Entry'!F115,"*L*")), 'ARDT Cutter Entry'!F115,LEFT('ARDT Cutter Entry'!F115,LEN('ARDT Cutter Entry'!F115)-1)),IF(OR(COUNTIF('ARDT Cutter Entry'!F47,"*X*"),COUNTIF('ARDT Cutter Entry'!F47,"*L*")),'ARDT Cutter Entry'!F47,LEFT('ARDT Cutter Entry'!F47,LEN('ARDT Cutter Entry'!F47)-1))),"")</f>
        <v>X5</v>
      </c>
      <c r="AY7" s="2382"/>
      <c r="AZ7" s="2382"/>
      <c r="BA7" s="2382"/>
      <c r="BB7" s="2382"/>
      <c r="BC7" s="2382"/>
      <c r="BD7" s="2382"/>
      <c r="BE7" s="2382"/>
      <c r="BF7" s="2382"/>
      <c r="BG7" s="2382"/>
      <c r="BH7" s="2382"/>
      <c r="BI7" s="2382"/>
      <c r="BJ7" s="2382"/>
      <c r="BK7" s="2382"/>
      <c r="BL7" s="2382"/>
      <c r="BM7" s="2382"/>
      <c r="BN7" s="2382" t="str">
        <f>IFERROR(IF('ARDT Cutter Entry'!$C$111&lt;&gt;"",IF(OR(COUNTIF('ARDT Cutter Entry'!G115,"*X*"),COUNTIF('ARDT Cutter Entry'!G115,"*L*")), 'ARDT Cutter Entry'!G115,LEFT('ARDT Cutter Entry'!G115,LEN('ARDT Cutter Entry'!G115)-1)),IF(OR(COUNTIF('ARDT Cutter Entry'!G47,"*X*"),COUNTIF('ARDT Cutter Entry'!G47,"*L*")),'ARDT Cutter Entry'!G47,LEFT('ARDT Cutter Entry'!G47,LEN('ARDT Cutter Entry'!G47)-1))),"")</f>
        <v>X5</v>
      </c>
      <c r="BO7" s="2382"/>
      <c r="BP7" s="2382"/>
      <c r="BQ7" s="2382"/>
      <c r="BR7" s="2382"/>
      <c r="BS7" s="2382"/>
      <c r="BT7" s="2382"/>
      <c r="BU7" s="2382"/>
      <c r="BV7" s="2382"/>
      <c r="BW7" s="2382"/>
      <c r="BX7" s="2382"/>
      <c r="BY7" s="2382"/>
      <c r="BZ7" s="2382"/>
      <c r="CA7" s="2382"/>
      <c r="CB7" s="2382"/>
      <c r="CC7" s="2382"/>
      <c r="CD7" s="2382" t="str">
        <f>IFERROR(IF('ARDT Cutter Entry'!$C$111&lt;&gt;"",IF(OR(COUNTIF('ARDT Cutter Entry'!H115,"*X*"),COUNTIF('ARDT Cutter Entry'!H115,"*L*")), 'ARDT Cutter Entry'!H115,LEFT('ARDT Cutter Entry'!H115,LEN('ARDT Cutter Entry'!H115)-1)),IF(OR(COUNTIF('ARDT Cutter Entry'!H47,"*X*"),COUNTIF('ARDT Cutter Entry'!H47,"*L*")),'ARDT Cutter Entry'!H47,LEFT('ARDT Cutter Entry'!H47,LEN('ARDT Cutter Entry'!H47)-1))),"")</f>
        <v>X5</v>
      </c>
      <c r="CE7" s="2382"/>
      <c r="CF7" s="2382"/>
      <c r="CG7" s="2382"/>
      <c r="CH7" s="2382"/>
      <c r="CI7" s="2382"/>
      <c r="CJ7" s="2382"/>
      <c r="CK7" s="2382"/>
      <c r="CL7" s="2382"/>
      <c r="CM7" s="2382"/>
      <c r="CN7" s="2382"/>
      <c r="CO7" s="2382"/>
      <c r="CP7" s="2382"/>
      <c r="CQ7" s="2382"/>
      <c r="CR7" s="2382"/>
      <c r="CS7" s="2382"/>
      <c r="CT7" s="2382" t="str">
        <f>IFERROR(IF('ARDT Cutter Entry'!$C$111&lt;&gt;"",IF(OR(COUNTIF('ARDT Cutter Entry'!I115,"*X*"),COUNTIF('ARDT Cutter Entry'!I115,"*L*")), 'ARDT Cutter Entry'!I115,LEFT('ARDT Cutter Entry'!I115,LEN('ARDT Cutter Entry'!I115)-1)),IF(OR(COUNTIF('ARDT Cutter Entry'!I47,"*X*"),COUNTIF('ARDT Cutter Entry'!I47,"*L*")),'ARDT Cutter Entry'!I47,LEFT('ARDT Cutter Entry'!I47,LEN('ARDT Cutter Entry'!I47)-1))),"")</f>
        <v>R</v>
      </c>
      <c r="CU7" s="2382"/>
      <c r="CV7" s="2382"/>
      <c r="CW7" s="2382"/>
      <c r="CX7" s="2382"/>
      <c r="CY7" s="2382"/>
      <c r="CZ7" s="2382"/>
      <c r="DA7" s="2382"/>
      <c r="DB7" s="2382"/>
      <c r="DC7" s="2382"/>
      <c r="DD7" s="2382"/>
      <c r="DE7" s="2382"/>
      <c r="DF7" s="2382"/>
      <c r="DG7" s="2382"/>
      <c r="DH7" s="2382"/>
      <c r="DI7" s="2382"/>
      <c r="DJ7" s="2382" t="str">
        <f>IFERROR(IF('ARDT Cutter Entry'!$C$111&lt;&gt;"",IF(OR(COUNTIF('ARDT Cutter Entry'!J115,"*X*"),COUNTIF('ARDT Cutter Entry'!J115,"*L*")), 'ARDT Cutter Entry'!J115,LEFT('ARDT Cutter Entry'!J115,LEN('ARDT Cutter Entry'!J115)-1)),IF(OR(COUNTIF('ARDT Cutter Entry'!J47,"*X*"),COUNTIF('ARDT Cutter Entry'!J47,"*L*")),'ARDT Cutter Entry'!J47,LEFT('ARDT Cutter Entry'!J47,LEN('ARDT Cutter Entry'!J47)-1))),"")</f>
        <v>X3</v>
      </c>
      <c r="DK7" s="2382"/>
      <c r="DL7" s="2382"/>
      <c r="DM7" s="2382"/>
      <c r="DN7" s="2382"/>
      <c r="DO7" s="2382"/>
      <c r="DP7" s="2382"/>
      <c r="DQ7" s="2382"/>
      <c r="DR7" s="2382"/>
      <c r="DS7" s="2382"/>
      <c r="DT7" s="2382"/>
      <c r="DU7" s="2382"/>
      <c r="DV7" s="2382"/>
      <c r="DW7" s="2382"/>
      <c r="DX7" s="2382"/>
      <c r="DY7" s="2382"/>
      <c r="DZ7" s="2382" t="str">
        <f>IFERROR(IF('ARDT Cutter Entry'!$C$111&lt;&gt;"",IF(OR(COUNTIF('ARDT Cutter Entry'!K115,"*X*"),COUNTIF('ARDT Cutter Entry'!K115,"*L*")), 'ARDT Cutter Entry'!K115,LEFT('ARDT Cutter Entry'!K115,LEN('ARDT Cutter Entry'!K115)-1)),IF(OR(COUNTIF('ARDT Cutter Entry'!K47,"*X*"),COUNTIF('ARDT Cutter Entry'!K47,"*L*")),'ARDT Cutter Entry'!K47,LEFT('ARDT Cutter Entry'!K47,LEN('ARDT Cutter Entry'!K47)-1))),"")</f>
        <v/>
      </c>
      <c r="EA7" s="2382"/>
      <c r="EB7" s="2382"/>
      <c r="EC7" s="2382"/>
      <c r="ED7" s="2382"/>
      <c r="EE7" s="2382"/>
      <c r="EF7" s="2382"/>
      <c r="EG7" s="2382"/>
      <c r="EH7" s="2382"/>
      <c r="EI7" s="2382"/>
      <c r="EJ7" s="2382"/>
      <c r="EK7" s="2382"/>
      <c r="EL7" s="2382"/>
      <c r="EM7" s="2382"/>
      <c r="EN7" s="2382"/>
      <c r="EO7" s="2382"/>
      <c r="EP7" s="2382" t="str">
        <f>IFERROR(IF('ARDT Cutter Entry'!$C$111&lt;&gt;"",IF(OR(COUNTIF('ARDT Cutter Entry'!L115,"*X*"),COUNTIF('ARDT Cutter Entry'!L115,"*L*")), 'ARDT Cutter Entry'!L115,LEFT('ARDT Cutter Entry'!L115,LEN('ARDT Cutter Entry'!L115)-1)),IF(OR(COUNTIF('ARDT Cutter Entry'!L47,"*X*"),COUNTIF('ARDT Cutter Entry'!L47,"*L*")),'ARDT Cutter Entry'!L47,LEFT('ARDT Cutter Entry'!L47,LEN('ARDT Cutter Entry'!L47)-1))),"")</f>
        <v>R</v>
      </c>
      <c r="EQ7" s="2382"/>
      <c r="ER7" s="2382"/>
      <c r="ES7" s="2382"/>
      <c r="ET7" s="2382"/>
      <c r="EU7" s="2382"/>
      <c r="EV7" s="2382"/>
      <c r="EW7" s="2382"/>
      <c r="EX7" s="2382"/>
      <c r="EY7" s="2382"/>
      <c r="EZ7" s="2382"/>
      <c r="FA7" s="2382"/>
      <c r="FB7" s="2382"/>
      <c r="FC7" s="2382"/>
      <c r="FD7" s="2382"/>
      <c r="FE7" s="2382"/>
      <c r="FF7" s="2382" t="str">
        <f>IFERROR(IF('ARDT Cutter Entry'!$C$111&lt;&gt;"",IF(OR(COUNTIF('ARDT Cutter Entry'!M115,"*X*"),COUNTIF('ARDT Cutter Entry'!M115,"*L*")), 'ARDT Cutter Entry'!M115,LEFT('ARDT Cutter Entry'!M115,LEN('ARDT Cutter Entry'!M115)-1)),IF(OR(COUNTIF('ARDT Cutter Entry'!M47,"*X*"),COUNTIF('ARDT Cutter Entry'!M47,"*L*")),'ARDT Cutter Entry'!M47,LEFT('ARDT Cutter Entry'!M47,LEN('ARDT Cutter Entry'!M47)-1))),"")</f>
        <v>X4</v>
      </c>
      <c r="FG7" s="2382"/>
      <c r="FH7" s="2382"/>
      <c r="FI7" s="2382"/>
      <c r="FJ7" s="2382"/>
      <c r="FK7" s="2382"/>
      <c r="FL7" s="2382"/>
      <c r="FM7" s="2382"/>
      <c r="FN7" s="2382"/>
      <c r="FO7" s="2382"/>
      <c r="FP7" s="2382"/>
      <c r="FQ7" s="2382"/>
      <c r="FR7" s="2382"/>
      <c r="FS7" s="2382"/>
      <c r="FT7" s="2382"/>
      <c r="FU7" s="2382"/>
      <c r="FV7" s="1132"/>
      <c r="FW7" s="1132"/>
      <c r="FX7" s="1132"/>
      <c r="FY7" s="1132"/>
      <c r="FZ7" s="1132"/>
      <c r="GA7" s="1132"/>
      <c r="GB7" s="1132"/>
      <c r="GC7" s="1132"/>
      <c r="GD7" s="1132"/>
      <c r="GE7" s="1132"/>
      <c r="GF7" s="1132"/>
      <c r="GG7" s="1132"/>
      <c r="GI7" t="str">
        <f>IFERROR(IF('ARDT Cutter Entry'!$C$111&lt;&gt;"",IF(OR(COUNTIF('ARDT Cutter Entry'!GJ115,"*X*"),COUNTIF('ARDT Cutter Entry'!GJ115,"*L*")), SUBSTITUTE('ARDT Cutter Entry'!GJ115,"*",""),LEFT('ARDT Cutter Entry'!GJ115,LEN(SUBSTITUTE('ARDT Cutter Entry'!GJ115,"*",""))-1)),IF(OR(COUNTIF('ARDT Cutter Entry'!GJ47,"*X*"),COUNTIF('ARDT Cutter Entry'!GJ47,"*L*")),'ARDT Cutter Entry'!GJ47,LEFT('ARDT Cutter Entry'!GJ47,LEN('ARDT Cutter Entry'!GJ47)-1))),"")</f>
        <v/>
      </c>
    </row>
    <row r="8" spans="1:200" ht="44.25" customHeight="1" x14ac:dyDescent="0.35">
      <c r="A8" s="338">
        <v>6</v>
      </c>
      <c r="B8" s="2382" t="str">
        <f>IFERROR(IF('ARDT Cutter Entry'!$C$111&lt;&gt;"",IF(OR(COUNTIF('ARDT Cutter Entry'!C116,"*X*"),COUNTIF('ARDT Cutter Entry'!C116,"*L*")), 'ARDT Cutter Entry'!C116,LEFT('ARDT Cutter Entry'!C116,LEN('ARDT Cutter Entry'!C116)-1)),IF(OR(COUNTIF('ARDT Cutter Entry'!C48,"*X*"),COUNTIF('ARDT Cutter Entry'!C48,"*L*")),'ARDT Cutter Entry'!C48,LEFT('ARDT Cutter Entry'!C48,LEN('ARDT Cutter Entry'!C48)-1))),"")</f>
        <v>X5</v>
      </c>
      <c r="C8" s="2382"/>
      <c r="D8" s="2382"/>
      <c r="E8" s="2382"/>
      <c r="F8" s="2382"/>
      <c r="G8" s="2382"/>
      <c r="H8" s="2382"/>
      <c r="I8" s="2382"/>
      <c r="J8" s="2382"/>
      <c r="K8" s="2382"/>
      <c r="L8" s="2382"/>
      <c r="M8" s="2382"/>
      <c r="N8" s="2382"/>
      <c r="O8" s="2382"/>
      <c r="P8" s="2382"/>
      <c r="Q8" s="2382"/>
      <c r="R8" s="2382" t="str">
        <f>IFERROR(IF('ARDT Cutter Entry'!$C$111&lt;&gt;"",IF(OR(COUNTIF('ARDT Cutter Entry'!D116,"*X*"),COUNTIF('ARDT Cutter Entry'!D116,"*L*")), 'ARDT Cutter Entry'!D116,LEFT('ARDT Cutter Entry'!D116,LEN('ARDT Cutter Entry'!D116)-1)),IF(OR(COUNTIF('ARDT Cutter Entry'!D48,"*X*"),COUNTIF('ARDT Cutter Entry'!D48,"*L*")),'ARDT Cutter Entry'!D48,LEFT('ARDT Cutter Entry'!D48,LEN('ARDT Cutter Entry'!D48)-1))),"")</f>
        <v>X5</v>
      </c>
      <c r="S8" s="2382"/>
      <c r="T8" s="2382"/>
      <c r="U8" s="2382"/>
      <c r="V8" s="2382"/>
      <c r="W8" s="2382"/>
      <c r="X8" s="2382"/>
      <c r="Y8" s="2382"/>
      <c r="Z8" s="2382"/>
      <c r="AA8" s="2382"/>
      <c r="AB8" s="2382"/>
      <c r="AC8" s="2382"/>
      <c r="AD8" s="2382"/>
      <c r="AE8" s="2382"/>
      <c r="AF8" s="2382"/>
      <c r="AG8" s="2382"/>
      <c r="AH8" s="2382" t="str">
        <f>IFERROR(IF('ARDT Cutter Entry'!$C$111&lt;&gt;"",IF(OR(COUNTIF('ARDT Cutter Entry'!E116,"*X*"),COUNTIF('ARDT Cutter Entry'!E116,"*L*")), 'ARDT Cutter Entry'!E116,LEFT('ARDT Cutter Entry'!E116,LEN('ARDT Cutter Entry'!E116)-1)),IF(OR(COUNTIF('ARDT Cutter Entry'!E48,"*X*"),COUNTIF('ARDT Cutter Entry'!E48,"*L*")),'ARDT Cutter Entry'!E48,LEFT('ARDT Cutter Entry'!E48,LEN('ARDT Cutter Entry'!E48)-1))),"")</f>
        <v>X5</v>
      </c>
      <c r="AI8" s="2382"/>
      <c r="AJ8" s="2382"/>
      <c r="AK8" s="2382"/>
      <c r="AL8" s="2382"/>
      <c r="AM8" s="2382"/>
      <c r="AN8" s="2382"/>
      <c r="AO8" s="2382"/>
      <c r="AP8" s="2382"/>
      <c r="AQ8" s="2382"/>
      <c r="AR8" s="2382"/>
      <c r="AS8" s="2382"/>
      <c r="AT8" s="2382"/>
      <c r="AU8" s="2382"/>
      <c r="AV8" s="2382"/>
      <c r="AW8" s="2382"/>
      <c r="AX8" s="2382" t="str">
        <f>IFERROR(IF('ARDT Cutter Entry'!$C$111&lt;&gt;"",IF(OR(COUNTIF('ARDT Cutter Entry'!F116,"*X*"),COUNTIF('ARDT Cutter Entry'!F116,"*L*")), 'ARDT Cutter Entry'!F116,LEFT('ARDT Cutter Entry'!F116,LEN('ARDT Cutter Entry'!F116)-1)),IF(OR(COUNTIF('ARDT Cutter Entry'!F48,"*X*"),COUNTIF('ARDT Cutter Entry'!F48,"*L*")),'ARDT Cutter Entry'!F48,LEFT('ARDT Cutter Entry'!F48,LEN('ARDT Cutter Entry'!F48)-1))),"")</f>
        <v>R</v>
      </c>
      <c r="AY8" s="2382"/>
      <c r="AZ8" s="2382"/>
      <c r="BA8" s="2382"/>
      <c r="BB8" s="2382"/>
      <c r="BC8" s="2382"/>
      <c r="BD8" s="2382"/>
      <c r="BE8" s="2382"/>
      <c r="BF8" s="2382"/>
      <c r="BG8" s="2382"/>
      <c r="BH8" s="2382"/>
      <c r="BI8" s="2382"/>
      <c r="BJ8" s="2382"/>
      <c r="BK8" s="2382"/>
      <c r="BL8" s="2382"/>
      <c r="BM8" s="2382"/>
      <c r="BN8" s="2382" t="str">
        <f>IFERROR(IF('ARDT Cutter Entry'!$C$111&lt;&gt;"",IF(OR(COUNTIF('ARDT Cutter Entry'!G116,"*X*"),COUNTIF('ARDT Cutter Entry'!G116,"*L*")), 'ARDT Cutter Entry'!G116,LEFT('ARDT Cutter Entry'!G116,LEN('ARDT Cutter Entry'!G116)-1)),IF(OR(COUNTIF('ARDT Cutter Entry'!G48,"*X*"),COUNTIF('ARDT Cutter Entry'!G48,"*L*")),'ARDT Cutter Entry'!G48,LEFT('ARDT Cutter Entry'!G48,LEN('ARDT Cutter Entry'!G48)-1))),"")</f>
        <v>X3</v>
      </c>
      <c r="BO8" s="2382"/>
      <c r="BP8" s="2382"/>
      <c r="BQ8" s="2382"/>
      <c r="BR8" s="2382"/>
      <c r="BS8" s="2382"/>
      <c r="BT8" s="2382"/>
      <c r="BU8" s="2382"/>
      <c r="BV8" s="2382"/>
      <c r="BW8" s="2382"/>
      <c r="BX8" s="2382"/>
      <c r="BY8" s="2382"/>
      <c r="BZ8" s="2382"/>
      <c r="CA8" s="2382"/>
      <c r="CB8" s="2382"/>
      <c r="CC8" s="2382"/>
      <c r="CD8" s="2382" t="str">
        <f>IFERROR(IF('ARDT Cutter Entry'!$C$111&lt;&gt;"",IF(OR(COUNTIF('ARDT Cutter Entry'!H116,"*X*"),COUNTIF('ARDT Cutter Entry'!H116,"*L*")), 'ARDT Cutter Entry'!H116,LEFT('ARDT Cutter Entry'!H116,LEN('ARDT Cutter Entry'!H116)-1)),IF(OR(COUNTIF('ARDT Cutter Entry'!H48,"*X*"),COUNTIF('ARDT Cutter Entry'!H48,"*L*")),'ARDT Cutter Entry'!H48,LEFT('ARDT Cutter Entry'!H48,LEN('ARDT Cutter Entry'!H48)-1))),"")</f>
        <v/>
      </c>
      <c r="CE8" s="2382"/>
      <c r="CF8" s="2382"/>
      <c r="CG8" s="2382"/>
      <c r="CH8" s="2382"/>
      <c r="CI8" s="2382"/>
      <c r="CJ8" s="2382"/>
      <c r="CK8" s="2382"/>
      <c r="CL8" s="2382"/>
      <c r="CM8" s="2382"/>
      <c r="CN8" s="2382"/>
      <c r="CO8" s="2382"/>
      <c r="CP8" s="2382"/>
      <c r="CQ8" s="2382"/>
      <c r="CR8" s="2382"/>
      <c r="CS8" s="2382"/>
      <c r="CT8" s="2382" t="str">
        <f>IFERROR(IF('ARDT Cutter Entry'!$C$111&lt;&gt;"",IF(OR(COUNTIF('ARDT Cutter Entry'!I116,"*X*"),COUNTIF('ARDT Cutter Entry'!I116,"*L*")), 'ARDT Cutter Entry'!I116,LEFT('ARDT Cutter Entry'!I116,LEN('ARDT Cutter Entry'!I116)-1)),IF(OR(COUNTIF('ARDT Cutter Entry'!I48,"*X*"),COUNTIF('ARDT Cutter Entry'!I48,"*L*")),'ARDT Cutter Entry'!I48,LEFT('ARDT Cutter Entry'!I48,LEN('ARDT Cutter Entry'!I48)-1))),"")</f>
        <v/>
      </c>
      <c r="CU8" s="2382"/>
      <c r="CV8" s="2382"/>
      <c r="CW8" s="2382"/>
      <c r="CX8" s="2382"/>
      <c r="CY8" s="2382"/>
      <c r="CZ8" s="2382"/>
      <c r="DA8" s="2382"/>
      <c r="DB8" s="2382"/>
      <c r="DC8" s="2382"/>
      <c r="DD8" s="2382"/>
      <c r="DE8" s="2382"/>
      <c r="DF8" s="2382"/>
      <c r="DG8" s="2382"/>
      <c r="DH8" s="2382"/>
      <c r="DI8" s="2382"/>
      <c r="DJ8" s="2382" t="str">
        <f>IFERROR(IF('ARDT Cutter Entry'!$C$111&lt;&gt;"",IF(OR(COUNTIF('ARDT Cutter Entry'!J116,"*X*"),COUNTIF('ARDT Cutter Entry'!J116,"*L*")), 'ARDT Cutter Entry'!J116,LEFT('ARDT Cutter Entry'!J116,LEN('ARDT Cutter Entry'!J116)-1)),IF(OR(COUNTIF('ARDT Cutter Entry'!J48,"*X*"),COUNTIF('ARDT Cutter Entry'!J48,"*L*")),'ARDT Cutter Entry'!J48,LEFT('ARDT Cutter Entry'!J48,LEN('ARDT Cutter Entry'!J48)-1))),"")</f>
        <v/>
      </c>
      <c r="DK8" s="2382"/>
      <c r="DL8" s="2382"/>
      <c r="DM8" s="2382"/>
      <c r="DN8" s="2382"/>
      <c r="DO8" s="2382"/>
      <c r="DP8" s="2382"/>
      <c r="DQ8" s="2382"/>
      <c r="DR8" s="2382"/>
      <c r="DS8" s="2382"/>
      <c r="DT8" s="2382"/>
      <c r="DU8" s="2382"/>
      <c r="DV8" s="2382"/>
      <c r="DW8" s="2382"/>
      <c r="DX8" s="2382"/>
      <c r="DY8" s="2382"/>
      <c r="DZ8" s="2382" t="str">
        <f>IFERROR(IF('ARDT Cutter Entry'!$C$111&lt;&gt;"",IF(OR(COUNTIF('ARDT Cutter Entry'!K116,"*X*"),COUNTIF('ARDT Cutter Entry'!K116,"*L*")), 'ARDT Cutter Entry'!K116,LEFT('ARDT Cutter Entry'!K116,LEN('ARDT Cutter Entry'!K116)-1)),IF(OR(COUNTIF('ARDT Cutter Entry'!K48,"*X*"),COUNTIF('ARDT Cutter Entry'!K48,"*L*")),'ARDT Cutter Entry'!K48,LEFT('ARDT Cutter Entry'!K48,LEN('ARDT Cutter Entry'!K48)-1))),"")</f>
        <v/>
      </c>
      <c r="EA8" s="2382"/>
      <c r="EB8" s="2382"/>
      <c r="EC8" s="2382"/>
      <c r="ED8" s="2382"/>
      <c r="EE8" s="2382"/>
      <c r="EF8" s="2382"/>
      <c r="EG8" s="2382"/>
      <c r="EH8" s="2382"/>
      <c r="EI8" s="2382"/>
      <c r="EJ8" s="2382"/>
      <c r="EK8" s="2382"/>
      <c r="EL8" s="2382"/>
      <c r="EM8" s="2382"/>
      <c r="EN8" s="2382"/>
      <c r="EO8" s="2382"/>
      <c r="EP8" s="2382" t="str">
        <f>IFERROR(IF('ARDT Cutter Entry'!$C$111&lt;&gt;"",IF(OR(COUNTIF('ARDT Cutter Entry'!L116,"*X*"),COUNTIF('ARDT Cutter Entry'!L116,"*L*")), 'ARDT Cutter Entry'!L116,LEFT('ARDT Cutter Entry'!L116,LEN('ARDT Cutter Entry'!L116)-1)),IF(OR(COUNTIF('ARDT Cutter Entry'!L48,"*X*"),COUNTIF('ARDT Cutter Entry'!L48,"*L*")),'ARDT Cutter Entry'!L48,LEFT('ARDT Cutter Entry'!L48,LEN('ARDT Cutter Entry'!L48)-1))),"")</f>
        <v>S</v>
      </c>
      <c r="EQ8" s="2382"/>
      <c r="ER8" s="2382"/>
      <c r="ES8" s="2382"/>
      <c r="ET8" s="2382"/>
      <c r="EU8" s="2382"/>
      <c r="EV8" s="2382"/>
      <c r="EW8" s="2382"/>
      <c r="EX8" s="2382"/>
      <c r="EY8" s="2382"/>
      <c r="EZ8" s="2382"/>
      <c r="FA8" s="2382"/>
      <c r="FB8" s="2382"/>
      <c r="FC8" s="2382"/>
      <c r="FD8" s="2382"/>
      <c r="FE8" s="2382"/>
      <c r="FF8" s="2382" t="str">
        <f>IFERROR(IF('ARDT Cutter Entry'!$C$111&lt;&gt;"",IF(OR(COUNTIF('ARDT Cutter Entry'!M116,"*X*"),COUNTIF('ARDT Cutter Entry'!M116,"*L*")), 'ARDT Cutter Entry'!M116,LEFT('ARDT Cutter Entry'!M116,LEN('ARDT Cutter Entry'!M116)-1)),IF(OR(COUNTIF('ARDT Cutter Entry'!M48,"*X*"),COUNTIF('ARDT Cutter Entry'!M48,"*L*")),'ARDT Cutter Entry'!M48,LEFT('ARDT Cutter Entry'!M48,LEN('ARDT Cutter Entry'!M48)-1))),"")</f>
        <v>R</v>
      </c>
      <c r="FG8" s="2382"/>
      <c r="FH8" s="2382"/>
      <c r="FI8" s="2382"/>
      <c r="FJ8" s="2382"/>
      <c r="FK8" s="2382"/>
      <c r="FL8" s="2382"/>
      <c r="FM8" s="2382"/>
      <c r="FN8" s="2382"/>
      <c r="FO8" s="2382"/>
      <c r="FP8" s="2382"/>
      <c r="FQ8" s="2382"/>
      <c r="FR8" s="2382"/>
      <c r="FS8" s="2382"/>
      <c r="FT8" s="2382"/>
      <c r="FU8" s="2382"/>
      <c r="FV8" s="1132"/>
      <c r="FW8" s="1132"/>
      <c r="FX8" s="1132"/>
      <c r="FY8" s="1132"/>
      <c r="FZ8" s="1132"/>
      <c r="GA8" s="1132"/>
      <c r="GB8" s="1132"/>
      <c r="GC8" s="1132"/>
      <c r="GD8" s="1132"/>
      <c r="GE8" s="1132"/>
      <c r="GF8" s="1132"/>
      <c r="GG8" s="1132"/>
      <c r="GI8" t="str">
        <f>IFERROR(IF('ARDT Cutter Entry'!$C$111&lt;&gt;"",IF(OR(COUNTIF('ARDT Cutter Entry'!GJ116,"*X*"),COUNTIF('ARDT Cutter Entry'!GJ116,"*L*")), SUBSTITUTE('ARDT Cutter Entry'!GJ116,"*",""),LEFT('ARDT Cutter Entry'!GJ116,LEN(SUBSTITUTE('ARDT Cutter Entry'!GJ116,"*",""))-1)),IF(OR(COUNTIF('ARDT Cutter Entry'!GJ48,"*X*"),COUNTIF('ARDT Cutter Entry'!GJ48,"*L*")),'ARDT Cutter Entry'!GJ48,LEFT('ARDT Cutter Entry'!GJ48,LEN('ARDT Cutter Entry'!GJ48)-1))),"")</f>
        <v/>
      </c>
    </row>
    <row r="9" spans="1:200" ht="44.25" customHeight="1" x14ac:dyDescent="0.35">
      <c r="A9" s="338">
        <v>7</v>
      </c>
      <c r="B9" s="2382" t="str">
        <f>IFERROR(IF('ARDT Cutter Entry'!$C$111&lt;&gt;"",IF(OR(COUNTIF('ARDT Cutter Entry'!C117,"*X*"),COUNTIF('ARDT Cutter Entry'!C117,"*L*")), 'ARDT Cutter Entry'!C117,LEFT('ARDT Cutter Entry'!C117,LEN('ARDT Cutter Entry'!C117)-1)),IF(OR(COUNTIF('ARDT Cutter Entry'!C49,"*X*"),COUNTIF('ARDT Cutter Entry'!C49,"*L*")),'ARDT Cutter Entry'!C49,LEFT('ARDT Cutter Entry'!C49,LEN('ARDT Cutter Entry'!C49)-1))),"")</f>
        <v/>
      </c>
      <c r="C9" s="2382"/>
      <c r="D9" s="2382"/>
      <c r="E9" s="2382"/>
      <c r="F9" s="2382"/>
      <c r="G9" s="2382"/>
      <c r="H9" s="2382"/>
      <c r="I9" s="2382"/>
      <c r="J9" s="2382"/>
      <c r="K9" s="2382"/>
      <c r="L9" s="2382"/>
      <c r="M9" s="2382"/>
      <c r="N9" s="2382"/>
      <c r="O9" s="2382"/>
      <c r="P9" s="2382"/>
      <c r="Q9" s="2382"/>
      <c r="R9" s="2382" t="str">
        <f>IFERROR(IF('ARDT Cutter Entry'!$C$111&lt;&gt;"",IF(OR(COUNTIF('ARDT Cutter Entry'!D117,"*X*"),COUNTIF('ARDT Cutter Entry'!D117,"*L*")), 'ARDT Cutter Entry'!D117,LEFT('ARDT Cutter Entry'!D117,LEN('ARDT Cutter Entry'!D117)-1)),IF(OR(COUNTIF('ARDT Cutter Entry'!D49,"*X*"),COUNTIF('ARDT Cutter Entry'!D49,"*L*")),'ARDT Cutter Entry'!D49,LEFT('ARDT Cutter Entry'!D49,LEN('ARDT Cutter Entry'!D49)-1))),"")</f>
        <v/>
      </c>
      <c r="S9" s="2382"/>
      <c r="T9" s="2382"/>
      <c r="U9" s="2382"/>
      <c r="V9" s="2382"/>
      <c r="W9" s="2382"/>
      <c r="X9" s="2382"/>
      <c r="Y9" s="2382"/>
      <c r="Z9" s="2382"/>
      <c r="AA9" s="2382"/>
      <c r="AB9" s="2382"/>
      <c r="AC9" s="2382"/>
      <c r="AD9" s="2382"/>
      <c r="AE9" s="2382"/>
      <c r="AF9" s="2382"/>
      <c r="AG9" s="2382"/>
      <c r="AH9" s="2382" t="str">
        <f>IFERROR(IF('ARDT Cutter Entry'!$C$111&lt;&gt;"",IF(OR(COUNTIF('ARDT Cutter Entry'!E117,"*X*"),COUNTIF('ARDT Cutter Entry'!E117,"*L*")), 'ARDT Cutter Entry'!E117,LEFT('ARDT Cutter Entry'!E117,LEN('ARDT Cutter Entry'!E117)-1)),IF(OR(COUNTIF('ARDT Cutter Entry'!E49,"*X*"),COUNTIF('ARDT Cutter Entry'!E49,"*L*")),'ARDT Cutter Entry'!E49,LEFT('ARDT Cutter Entry'!E49,LEN('ARDT Cutter Entry'!E49)-1))),"")</f>
        <v/>
      </c>
      <c r="AI9" s="2382"/>
      <c r="AJ9" s="2382"/>
      <c r="AK9" s="2382"/>
      <c r="AL9" s="2382"/>
      <c r="AM9" s="2382"/>
      <c r="AN9" s="2382"/>
      <c r="AO9" s="2382"/>
      <c r="AP9" s="2382"/>
      <c r="AQ9" s="2382"/>
      <c r="AR9" s="2382"/>
      <c r="AS9" s="2382"/>
      <c r="AT9" s="2382"/>
      <c r="AU9" s="2382"/>
      <c r="AV9" s="2382"/>
      <c r="AW9" s="2382"/>
      <c r="AX9" s="2382" t="str">
        <f>IFERROR(IF('ARDT Cutter Entry'!$C$111&lt;&gt;"",IF(OR(COUNTIF('ARDT Cutter Entry'!F117,"*X*"),COUNTIF('ARDT Cutter Entry'!F117,"*L*")), 'ARDT Cutter Entry'!F117,LEFT('ARDT Cutter Entry'!F117,LEN('ARDT Cutter Entry'!F117)-1)),IF(OR(COUNTIF('ARDT Cutter Entry'!F49,"*X*"),COUNTIF('ARDT Cutter Entry'!F49,"*L*")),'ARDT Cutter Entry'!F49,LEFT('ARDT Cutter Entry'!F49,LEN('ARDT Cutter Entry'!F49)-1))),"")</f>
        <v/>
      </c>
      <c r="AY9" s="2382"/>
      <c r="AZ9" s="2382"/>
      <c r="BA9" s="2382"/>
      <c r="BB9" s="2382"/>
      <c r="BC9" s="2382"/>
      <c r="BD9" s="2382"/>
      <c r="BE9" s="2382"/>
      <c r="BF9" s="2382"/>
      <c r="BG9" s="2382"/>
      <c r="BH9" s="2382"/>
      <c r="BI9" s="2382"/>
      <c r="BJ9" s="2382"/>
      <c r="BK9" s="2382"/>
      <c r="BL9" s="2382"/>
      <c r="BM9" s="2382"/>
      <c r="BN9" s="2382" t="str">
        <f>IFERROR(IF('ARDT Cutter Entry'!$C$111&lt;&gt;"",IF(OR(COUNTIF('ARDT Cutter Entry'!G117,"*X*"),COUNTIF('ARDT Cutter Entry'!G117,"*L*")), 'ARDT Cutter Entry'!G117,LEFT('ARDT Cutter Entry'!G117,LEN('ARDT Cutter Entry'!G117)-1)),IF(OR(COUNTIF('ARDT Cutter Entry'!G49,"*X*"),COUNTIF('ARDT Cutter Entry'!G49,"*L*")),'ARDT Cutter Entry'!G49,LEFT('ARDT Cutter Entry'!G49,LEN('ARDT Cutter Entry'!G49)-1))),"")</f>
        <v/>
      </c>
      <c r="BO9" s="2382"/>
      <c r="BP9" s="2382"/>
      <c r="BQ9" s="2382"/>
      <c r="BR9" s="2382"/>
      <c r="BS9" s="2382"/>
      <c r="BT9" s="2382"/>
      <c r="BU9" s="2382"/>
      <c r="BV9" s="2382"/>
      <c r="BW9" s="2382"/>
      <c r="BX9" s="2382"/>
      <c r="BY9" s="2382"/>
      <c r="BZ9" s="2382"/>
      <c r="CA9" s="2382"/>
      <c r="CB9" s="2382"/>
      <c r="CC9" s="2382"/>
      <c r="CD9" s="2382" t="str">
        <f>IFERROR(IF('ARDT Cutter Entry'!$C$111&lt;&gt;"",IF(OR(COUNTIF('ARDT Cutter Entry'!H117,"*X*"),COUNTIF('ARDT Cutter Entry'!H117,"*L*")), 'ARDT Cutter Entry'!H117,LEFT('ARDT Cutter Entry'!H117,LEN('ARDT Cutter Entry'!H117)-1)),IF(OR(COUNTIF('ARDT Cutter Entry'!H49,"*X*"),COUNTIF('ARDT Cutter Entry'!H49,"*L*")),'ARDT Cutter Entry'!H49,LEFT('ARDT Cutter Entry'!H49,LEN('ARDT Cutter Entry'!H49)-1))),"")</f>
        <v/>
      </c>
      <c r="CE9" s="2382"/>
      <c r="CF9" s="2382"/>
      <c r="CG9" s="2382"/>
      <c r="CH9" s="2382"/>
      <c r="CI9" s="2382"/>
      <c r="CJ9" s="2382"/>
      <c r="CK9" s="2382"/>
      <c r="CL9" s="2382"/>
      <c r="CM9" s="2382"/>
      <c r="CN9" s="2382"/>
      <c r="CO9" s="2382"/>
      <c r="CP9" s="2382"/>
      <c r="CQ9" s="2382"/>
      <c r="CR9" s="2382"/>
      <c r="CS9" s="2382"/>
      <c r="CT9" s="2382" t="str">
        <f>IFERROR(IF('ARDT Cutter Entry'!$C$111&lt;&gt;"",IF(OR(COUNTIF('ARDT Cutter Entry'!I117,"*X*"),COUNTIF('ARDT Cutter Entry'!I117,"*L*")), 'ARDT Cutter Entry'!I117,LEFT('ARDT Cutter Entry'!I117,LEN('ARDT Cutter Entry'!I117)-1)),IF(OR(COUNTIF('ARDT Cutter Entry'!I49,"*X*"),COUNTIF('ARDT Cutter Entry'!I49,"*L*")),'ARDT Cutter Entry'!I49,LEFT('ARDT Cutter Entry'!I49,LEN('ARDT Cutter Entry'!I49)-1))),"")</f>
        <v/>
      </c>
      <c r="CU9" s="2382"/>
      <c r="CV9" s="2382"/>
      <c r="CW9" s="2382"/>
      <c r="CX9" s="2382"/>
      <c r="CY9" s="2382"/>
      <c r="CZ9" s="2382"/>
      <c r="DA9" s="2382"/>
      <c r="DB9" s="2382"/>
      <c r="DC9" s="2382"/>
      <c r="DD9" s="2382"/>
      <c r="DE9" s="2382"/>
      <c r="DF9" s="2382"/>
      <c r="DG9" s="2382"/>
      <c r="DH9" s="2382"/>
      <c r="DI9" s="2382"/>
      <c r="DJ9" s="2382" t="str">
        <f>IFERROR(IF('ARDT Cutter Entry'!$C$111&lt;&gt;"",IF(OR(COUNTIF('ARDT Cutter Entry'!J117,"*X*"),COUNTIF('ARDT Cutter Entry'!J117,"*L*")), 'ARDT Cutter Entry'!J117,LEFT('ARDT Cutter Entry'!J117,LEN('ARDT Cutter Entry'!J117)-1)),IF(OR(COUNTIF('ARDT Cutter Entry'!J49,"*X*"),COUNTIF('ARDT Cutter Entry'!J49,"*L*")),'ARDT Cutter Entry'!J49,LEFT('ARDT Cutter Entry'!J49,LEN('ARDT Cutter Entry'!J49)-1))),"")</f>
        <v/>
      </c>
      <c r="DK9" s="2382"/>
      <c r="DL9" s="2382"/>
      <c r="DM9" s="2382"/>
      <c r="DN9" s="2382"/>
      <c r="DO9" s="2382"/>
      <c r="DP9" s="2382"/>
      <c r="DQ9" s="2382"/>
      <c r="DR9" s="2382"/>
      <c r="DS9" s="2382"/>
      <c r="DT9" s="2382"/>
      <c r="DU9" s="2382"/>
      <c r="DV9" s="2382"/>
      <c r="DW9" s="2382"/>
      <c r="DX9" s="2382"/>
      <c r="DY9" s="2382"/>
      <c r="DZ9" s="2382" t="str">
        <f>IFERROR(IF('ARDT Cutter Entry'!$C$111&lt;&gt;"",IF(OR(COUNTIF('ARDT Cutter Entry'!K117,"*X*"),COUNTIF('ARDT Cutter Entry'!K117,"*L*")), 'ARDT Cutter Entry'!K117,LEFT('ARDT Cutter Entry'!K117,LEN('ARDT Cutter Entry'!K117)-1)),IF(OR(COUNTIF('ARDT Cutter Entry'!K49,"*X*"),COUNTIF('ARDT Cutter Entry'!K49,"*L*")),'ARDT Cutter Entry'!K49,LEFT('ARDT Cutter Entry'!K49,LEN('ARDT Cutter Entry'!K49)-1))),"")</f>
        <v/>
      </c>
      <c r="EA9" s="2382"/>
      <c r="EB9" s="2382"/>
      <c r="EC9" s="2382"/>
      <c r="ED9" s="2382"/>
      <c r="EE9" s="2382"/>
      <c r="EF9" s="2382"/>
      <c r="EG9" s="2382"/>
      <c r="EH9" s="2382"/>
      <c r="EI9" s="2382"/>
      <c r="EJ9" s="2382"/>
      <c r="EK9" s="2382"/>
      <c r="EL9" s="2382"/>
      <c r="EM9" s="2382"/>
      <c r="EN9" s="2382"/>
      <c r="EO9" s="2382"/>
      <c r="EP9" s="2382" t="str">
        <f>IFERROR(IF('ARDT Cutter Entry'!$C$111&lt;&gt;"",IF(OR(COUNTIF('ARDT Cutter Entry'!L117,"*X*"),COUNTIF('ARDT Cutter Entry'!L117,"*L*")), 'ARDT Cutter Entry'!L117,LEFT('ARDT Cutter Entry'!L117,LEN('ARDT Cutter Entry'!L117)-1)),IF(OR(COUNTIF('ARDT Cutter Entry'!L49,"*X*"),COUNTIF('ARDT Cutter Entry'!L49,"*L*")),'ARDT Cutter Entry'!L49,LEFT('ARDT Cutter Entry'!L49,LEN('ARDT Cutter Entry'!L49)-1))),"")</f>
        <v/>
      </c>
      <c r="EQ9" s="2382"/>
      <c r="ER9" s="2382"/>
      <c r="ES9" s="2382"/>
      <c r="ET9" s="2382"/>
      <c r="EU9" s="2382"/>
      <c r="EV9" s="2382"/>
      <c r="EW9" s="2382"/>
      <c r="EX9" s="2382"/>
      <c r="EY9" s="2382"/>
      <c r="EZ9" s="2382"/>
      <c r="FA9" s="2382"/>
      <c r="FB9" s="2382"/>
      <c r="FC9" s="2382"/>
      <c r="FD9" s="2382"/>
      <c r="FE9" s="2382"/>
      <c r="FF9" s="2382" t="str">
        <f>IFERROR(IF('ARDT Cutter Entry'!$C$111&lt;&gt;"",IF(OR(COUNTIF('ARDT Cutter Entry'!M117,"*X*"),COUNTIF('ARDT Cutter Entry'!M117,"*L*")), 'ARDT Cutter Entry'!M117,LEFT('ARDT Cutter Entry'!M117,LEN('ARDT Cutter Entry'!M117)-1)),IF(OR(COUNTIF('ARDT Cutter Entry'!M49,"*X*"),COUNTIF('ARDT Cutter Entry'!M49,"*L*")),'ARDT Cutter Entry'!M49,LEFT('ARDT Cutter Entry'!M49,LEN('ARDT Cutter Entry'!M49)-1))),"")</f>
        <v/>
      </c>
      <c r="FG9" s="2382"/>
      <c r="FH9" s="2382"/>
      <c r="FI9" s="2382"/>
      <c r="FJ9" s="2382"/>
      <c r="FK9" s="2382"/>
      <c r="FL9" s="2382"/>
      <c r="FM9" s="2382"/>
      <c r="FN9" s="2382"/>
      <c r="FO9" s="2382"/>
      <c r="FP9" s="2382"/>
      <c r="FQ9" s="2382"/>
      <c r="FR9" s="2382"/>
      <c r="FS9" s="2382"/>
      <c r="FT9" s="2382"/>
      <c r="FU9" s="2382"/>
      <c r="FV9" s="1132"/>
      <c r="FW9" s="1132"/>
      <c r="FX9" s="1132"/>
      <c r="FY9" s="1132"/>
      <c r="FZ9" s="1132"/>
      <c r="GA9" s="1132"/>
      <c r="GB9" s="1132"/>
      <c r="GC9" s="1132"/>
      <c r="GD9" s="1132"/>
      <c r="GE9" s="1132"/>
      <c r="GF9" s="1132"/>
      <c r="GG9" s="1132"/>
      <c r="GI9" t="str">
        <f>IFERROR(IF('ARDT Cutter Entry'!$C$111&lt;&gt;"",IF(OR(COUNTIF('ARDT Cutter Entry'!GJ117,"*X*"),COUNTIF('ARDT Cutter Entry'!GJ117,"*L*")), SUBSTITUTE('ARDT Cutter Entry'!GJ117,"*",""),LEFT('ARDT Cutter Entry'!GJ117,LEN(SUBSTITUTE('ARDT Cutter Entry'!GJ117,"*",""))-1)),IF(OR(COUNTIF('ARDT Cutter Entry'!GJ49,"*X*"),COUNTIF('ARDT Cutter Entry'!GJ49,"*L*")),'ARDT Cutter Entry'!GJ49,LEFT('ARDT Cutter Entry'!GJ49,LEN('ARDT Cutter Entry'!GJ49)-1))),"")</f>
        <v/>
      </c>
    </row>
    <row r="10" spans="1:200" ht="44.25" customHeight="1" x14ac:dyDescent="0.35">
      <c r="A10" s="338">
        <v>8</v>
      </c>
      <c r="B10" s="2382" t="str">
        <f>IFERROR(IF('ARDT Cutter Entry'!$C$111&lt;&gt;"",IF(OR(COUNTIF('ARDT Cutter Entry'!C118,"*X*"),COUNTIF('ARDT Cutter Entry'!C118,"*L*")), 'ARDT Cutter Entry'!C118,LEFT('ARDT Cutter Entry'!C118,LEN('ARDT Cutter Entry'!C118)-1)),IF(OR(COUNTIF('ARDT Cutter Entry'!C50,"*X*"),COUNTIF('ARDT Cutter Entry'!C50,"*L*")),'ARDT Cutter Entry'!C50,LEFT('ARDT Cutter Entry'!C50,LEN('ARDT Cutter Entry'!C50)-1))),"")</f>
        <v/>
      </c>
      <c r="C10" s="2382"/>
      <c r="D10" s="2382"/>
      <c r="E10" s="2382"/>
      <c r="F10" s="2382"/>
      <c r="G10" s="2382"/>
      <c r="H10" s="2382"/>
      <c r="I10" s="2382"/>
      <c r="J10" s="2382"/>
      <c r="K10" s="2382"/>
      <c r="L10" s="2382"/>
      <c r="M10" s="2382"/>
      <c r="N10" s="2382"/>
      <c r="O10" s="2382"/>
      <c r="P10" s="2382"/>
      <c r="Q10" s="2382"/>
      <c r="R10" s="2382" t="str">
        <f>IFERROR(IF('ARDT Cutter Entry'!$C$111&lt;&gt;"",IF(OR(COUNTIF('ARDT Cutter Entry'!D118,"*X*"),COUNTIF('ARDT Cutter Entry'!D118,"*L*")), 'ARDT Cutter Entry'!D118,LEFT('ARDT Cutter Entry'!D118,LEN('ARDT Cutter Entry'!D118)-1)),IF(OR(COUNTIF('ARDT Cutter Entry'!D50,"*X*"),COUNTIF('ARDT Cutter Entry'!D50,"*L*")),'ARDT Cutter Entry'!D50,LEFT('ARDT Cutter Entry'!D50,LEN('ARDT Cutter Entry'!D50)-1))),"")</f>
        <v/>
      </c>
      <c r="S10" s="2382"/>
      <c r="T10" s="2382"/>
      <c r="U10" s="2382"/>
      <c r="V10" s="2382"/>
      <c r="W10" s="2382"/>
      <c r="X10" s="2382"/>
      <c r="Y10" s="2382"/>
      <c r="Z10" s="2382"/>
      <c r="AA10" s="2382"/>
      <c r="AB10" s="2382"/>
      <c r="AC10" s="2382"/>
      <c r="AD10" s="2382"/>
      <c r="AE10" s="2382"/>
      <c r="AF10" s="2382"/>
      <c r="AG10" s="2382"/>
      <c r="AH10" s="2382" t="str">
        <f>IFERROR(IF('ARDT Cutter Entry'!$C$111&lt;&gt;"",IF(OR(COUNTIF('ARDT Cutter Entry'!E118,"*X*"),COUNTIF('ARDT Cutter Entry'!E118,"*L*")), 'ARDT Cutter Entry'!E118,LEFT('ARDT Cutter Entry'!E118,LEN('ARDT Cutter Entry'!E118)-1)),IF(OR(COUNTIF('ARDT Cutter Entry'!E50,"*X*"),COUNTIF('ARDT Cutter Entry'!E50,"*L*")),'ARDT Cutter Entry'!E50,LEFT('ARDT Cutter Entry'!E50,LEN('ARDT Cutter Entry'!E50)-1))),"")</f>
        <v/>
      </c>
      <c r="AI10" s="2382"/>
      <c r="AJ10" s="2382"/>
      <c r="AK10" s="2382"/>
      <c r="AL10" s="2382"/>
      <c r="AM10" s="2382"/>
      <c r="AN10" s="2382"/>
      <c r="AO10" s="2382"/>
      <c r="AP10" s="2382"/>
      <c r="AQ10" s="2382"/>
      <c r="AR10" s="2382"/>
      <c r="AS10" s="2382"/>
      <c r="AT10" s="2382"/>
      <c r="AU10" s="2382"/>
      <c r="AV10" s="2382"/>
      <c r="AW10" s="2382"/>
      <c r="AX10" s="2382" t="str">
        <f>IFERROR(IF('ARDT Cutter Entry'!$C$111&lt;&gt;"",IF(OR(COUNTIF('ARDT Cutter Entry'!F118,"*X*"),COUNTIF('ARDT Cutter Entry'!F118,"*L*")), 'ARDT Cutter Entry'!F118,LEFT('ARDT Cutter Entry'!F118,LEN('ARDT Cutter Entry'!F118)-1)),IF(OR(COUNTIF('ARDT Cutter Entry'!F50,"*X*"),COUNTIF('ARDT Cutter Entry'!F50,"*L*")),'ARDT Cutter Entry'!F50,LEFT('ARDT Cutter Entry'!F50,LEN('ARDT Cutter Entry'!F50)-1))),"")</f>
        <v/>
      </c>
      <c r="AY10" s="2382"/>
      <c r="AZ10" s="2382"/>
      <c r="BA10" s="2382"/>
      <c r="BB10" s="2382"/>
      <c r="BC10" s="2382"/>
      <c r="BD10" s="2382"/>
      <c r="BE10" s="2382"/>
      <c r="BF10" s="2382"/>
      <c r="BG10" s="2382"/>
      <c r="BH10" s="2382"/>
      <c r="BI10" s="2382"/>
      <c r="BJ10" s="2382"/>
      <c r="BK10" s="2382"/>
      <c r="BL10" s="2382"/>
      <c r="BM10" s="2382"/>
      <c r="BN10" s="2382" t="str">
        <f>IFERROR(IF('ARDT Cutter Entry'!$C$111&lt;&gt;"",IF(OR(COUNTIF('ARDT Cutter Entry'!G118,"*X*"),COUNTIF('ARDT Cutter Entry'!G118,"*L*")), 'ARDT Cutter Entry'!G118,LEFT('ARDT Cutter Entry'!G118,LEN('ARDT Cutter Entry'!G118)-1)),IF(OR(COUNTIF('ARDT Cutter Entry'!G50,"*X*"),COUNTIF('ARDT Cutter Entry'!G50,"*L*")),'ARDT Cutter Entry'!G50,LEFT('ARDT Cutter Entry'!G50,LEN('ARDT Cutter Entry'!G50)-1))),"")</f>
        <v/>
      </c>
      <c r="BO10" s="2382"/>
      <c r="BP10" s="2382"/>
      <c r="BQ10" s="2382"/>
      <c r="BR10" s="2382"/>
      <c r="BS10" s="2382"/>
      <c r="BT10" s="2382"/>
      <c r="BU10" s="2382"/>
      <c r="BV10" s="2382"/>
      <c r="BW10" s="2382"/>
      <c r="BX10" s="2382"/>
      <c r="BY10" s="2382"/>
      <c r="BZ10" s="2382"/>
      <c r="CA10" s="2382"/>
      <c r="CB10" s="2382"/>
      <c r="CC10" s="2382"/>
      <c r="CD10" s="2382" t="str">
        <f>IFERROR(IF('ARDT Cutter Entry'!$C$111&lt;&gt;"",IF(OR(COUNTIF('ARDT Cutter Entry'!H118,"*X*"),COUNTIF('ARDT Cutter Entry'!H118,"*L*")), 'ARDT Cutter Entry'!H118,LEFT('ARDT Cutter Entry'!H118,LEN('ARDT Cutter Entry'!H118)-1)),IF(OR(COUNTIF('ARDT Cutter Entry'!H50,"*X*"),COUNTIF('ARDT Cutter Entry'!H50,"*L*")),'ARDT Cutter Entry'!H50,LEFT('ARDT Cutter Entry'!H50,LEN('ARDT Cutter Entry'!H50)-1))),"")</f>
        <v/>
      </c>
      <c r="CE10" s="2382"/>
      <c r="CF10" s="2382"/>
      <c r="CG10" s="2382"/>
      <c r="CH10" s="2382"/>
      <c r="CI10" s="2382"/>
      <c r="CJ10" s="2382"/>
      <c r="CK10" s="2382"/>
      <c r="CL10" s="2382"/>
      <c r="CM10" s="2382"/>
      <c r="CN10" s="2382"/>
      <c r="CO10" s="2382"/>
      <c r="CP10" s="2382"/>
      <c r="CQ10" s="2382"/>
      <c r="CR10" s="2382"/>
      <c r="CS10" s="2382"/>
      <c r="CT10" s="2382" t="str">
        <f>IFERROR(IF('ARDT Cutter Entry'!$C$111&lt;&gt;"",IF(OR(COUNTIF('ARDT Cutter Entry'!I118,"*X*"),COUNTIF('ARDT Cutter Entry'!I118,"*L*")), 'ARDT Cutter Entry'!I118,LEFT('ARDT Cutter Entry'!I118,LEN('ARDT Cutter Entry'!I118)-1)),IF(OR(COUNTIF('ARDT Cutter Entry'!I50,"*X*"),COUNTIF('ARDT Cutter Entry'!I50,"*L*")),'ARDT Cutter Entry'!I50,LEFT('ARDT Cutter Entry'!I50,LEN('ARDT Cutter Entry'!I50)-1))),"")</f>
        <v/>
      </c>
      <c r="CU10" s="2382"/>
      <c r="CV10" s="2382"/>
      <c r="CW10" s="2382"/>
      <c r="CX10" s="2382"/>
      <c r="CY10" s="2382"/>
      <c r="CZ10" s="2382"/>
      <c r="DA10" s="2382"/>
      <c r="DB10" s="2382"/>
      <c r="DC10" s="2382"/>
      <c r="DD10" s="2382"/>
      <c r="DE10" s="2382"/>
      <c r="DF10" s="2382"/>
      <c r="DG10" s="2382"/>
      <c r="DH10" s="2382"/>
      <c r="DI10" s="2382"/>
      <c r="DJ10" s="2382" t="str">
        <f>IFERROR(IF('ARDT Cutter Entry'!$C$111&lt;&gt;"",IF(OR(COUNTIF('ARDT Cutter Entry'!J118,"*X*"),COUNTIF('ARDT Cutter Entry'!J118,"*L*")), 'ARDT Cutter Entry'!J118,LEFT('ARDT Cutter Entry'!J118,LEN('ARDT Cutter Entry'!J118)-1)),IF(OR(COUNTIF('ARDT Cutter Entry'!J50,"*X*"),COUNTIF('ARDT Cutter Entry'!J50,"*L*")),'ARDT Cutter Entry'!J50,LEFT('ARDT Cutter Entry'!J50,LEN('ARDT Cutter Entry'!J50)-1))),"")</f>
        <v/>
      </c>
      <c r="DK10" s="2382"/>
      <c r="DL10" s="2382"/>
      <c r="DM10" s="2382"/>
      <c r="DN10" s="2382"/>
      <c r="DO10" s="2382"/>
      <c r="DP10" s="2382"/>
      <c r="DQ10" s="2382"/>
      <c r="DR10" s="2382"/>
      <c r="DS10" s="2382"/>
      <c r="DT10" s="2382"/>
      <c r="DU10" s="2382"/>
      <c r="DV10" s="2382"/>
      <c r="DW10" s="2382"/>
      <c r="DX10" s="2382"/>
      <c r="DY10" s="2382"/>
      <c r="DZ10" s="2382" t="str">
        <f>IFERROR(IF('ARDT Cutter Entry'!$C$111&lt;&gt;"",IF(OR(COUNTIF('ARDT Cutter Entry'!K118,"*X*"),COUNTIF('ARDT Cutter Entry'!K118,"*L*")), 'ARDT Cutter Entry'!K118,LEFT('ARDT Cutter Entry'!K118,LEN('ARDT Cutter Entry'!K118)-1)),IF(OR(COUNTIF('ARDT Cutter Entry'!K50,"*X*"),COUNTIF('ARDT Cutter Entry'!K50,"*L*")),'ARDT Cutter Entry'!K50,LEFT('ARDT Cutter Entry'!K50,LEN('ARDT Cutter Entry'!K50)-1))),"")</f>
        <v/>
      </c>
      <c r="EA10" s="2382"/>
      <c r="EB10" s="2382"/>
      <c r="EC10" s="2382"/>
      <c r="ED10" s="2382"/>
      <c r="EE10" s="2382"/>
      <c r="EF10" s="2382"/>
      <c r="EG10" s="2382"/>
      <c r="EH10" s="2382"/>
      <c r="EI10" s="2382"/>
      <c r="EJ10" s="2382"/>
      <c r="EK10" s="2382"/>
      <c r="EL10" s="2382"/>
      <c r="EM10" s="2382"/>
      <c r="EN10" s="2382"/>
      <c r="EO10" s="2382"/>
      <c r="EP10" s="2382" t="str">
        <f>IFERROR(IF('ARDT Cutter Entry'!$C$111&lt;&gt;"",IF(OR(COUNTIF('ARDT Cutter Entry'!L118,"*X*"),COUNTIF('ARDT Cutter Entry'!L118,"*L*")), 'ARDT Cutter Entry'!L118,LEFT('ARDT Cutter Entry'!L118,LEN('ARDT Cutter Entry'!L118)-1)),IF(OR(COUNTIF('ARDT Cutter Entry'!L50,"*X*"),COUNTIF('ARDT Cutter Entry'!L50,"*L*")),'ARDT Cutter Entry'!L50,LEFT('ARDT Cutter Entry'!L50,LEN('ARDT Cutter Entry'!L50)-1))),"")</f>
        <v/>
      </c>
      <c r="EQ10" s="2382"/>
      <c r="ER10" s="2382"/>
      <c r="ES10" s="2382"/>
      <c r="ET10" s="2382"/>
      <c r="EU10" s="2382"/>
      <c r="EV10" s="2382"/>
      <c r="EW10" s="2382"/>
      <c r="EX10" s="2382"/>
      <c r="EY10" s="2382"/>
      <c r="EZ10" s="2382"/>
      <c r="FA10" s="2382"/>
      <c r="FB10" s="2382"/>
      <c r="FC10" s="2382"/>
      <c r="FD10" s="2382"/>
      <c r="FE10" s="2382"/>
      <c r="FF10" s="2382" t="str">
        <f>IFERROR(IF('ARDT Cutter Entry'!$C$111&lt;&gt;"",IF(OR(COUNTIF('ARDT Cutter Entry'!M118,"*X*"),COUNTIF('ARDT Cutter Entry'!M118,"*L*")), 'ARDT Cutter Entry'!M118,LEFT('ARDT Cutter Entry'!M118,LEN('ARDT Cutter Entry'!M118)-1)),IF(OR(COUNTIF('ARDT Cutter Entry'!M50,"*X*"),COUNTIF('ARDT Cutter Entry'!M50,"*L*")),'ARDT Cutter Entry'!M50,LEFT('ARDT Cutter Entry'!M50,LEN('ARDT Cutter Entry'!M50)-1))),"")</f>
        <v/>
      </c>
      <c r="FG10" s="2382"/>
      <c r="FH10" s="2382"/>
      <c r="FI10" s="2382"/>
      <c r="FJ10" s="2382"/>
      <c r="FK10" s="2382"/>
      <c r="FL10" s="2382"/>
      <c r="FM10" s="2382"/>
      <c r="FN10" s="2382"/>
      <c r="FO10" s="2382"/>
      <c r="FP10" s="2382"/>
      <c r="FQ10" s="2382"/>
      <c r="FR10" s="2382"/>
      <c r="FS10" s="2382"/>
      <c r="FT10" s="2382"/>
      <c r="FU10" s="2382"/>
      <c r="FV10" s="1132"/>
      <c r="FW10" s="1132"/>
      <c r="FX10" s="1132"/>
      <c r="FY10" s="1132"/>
      <c r="FZ10" s="1132"/>
      <c r="GA10" s="1132"/>
      <c r="GB10" s="1132"/>
      <c r="GC10" s="1132"/>
      <c r="GD10" s="1132"/>
      <c r="GE10" s="1132"/>
      <c r="GF10" s="1132"/>
      <c r="GG10" s="1132"/>
      <c r="GI10" t="str">
        <f>IFERROR(IF('ARDT Cutter Entry'!$C$111&lt;&gt;"",IF(OR(COUNTIF('ARDT Cutter Entry'!GJ118,"*X*"),COUNTIF('ARDT Cutter Entry'!GJ118,"*L*")), SUBSTITUTE('ARDT Cutter Entry'!GJ118,"*",""),LEFT('ARDT Cutter Entry'!GJ118,LEN(SUBSTITUTE('ARDT Cutter Entry'!GJ118,"*",""))-1)),IF(OR(COUNTIF('ARDT Cutter Entry'!GJ50,"*X*"),COUNTIF('ARDT Cutter Entry'!GJ50,"*L*")),'ARDT Cutter Entry'!GJ50,LEFT('ARDT Cutter Entry'!GJ50,LEN('ARDT Cutter Entry'!GJ50)-1))),"")</f>
        <v/>
      </c>
    </row>
    <row r="11" spans="1:200" ht="44.25" customHeight="1" x14ac:dyDescent="0.35">
      <c r="A11" s="338">
        <v>9</v>
      </c>
      <c r="B11" s="2382" t="str">
        <f>IFERROR(IF('ARDT Cutter Entry'!$C$111&lt;&gt;"",IF(OR(COUNTIF('ARDT Cutter Entry'!C119,"*X*"),COUNTIF('ARDT Cutter Entry'!C119,"*L*")), 'ARDT Cutter Entry'!C119,LEFT('ARDT Cutter Entry'!C119,LEN('ARDT Cutter Entry'!C119)-1)),IF(OR(COUNTIF('ARDT Cutter Entry'!C51,"*X*"),COUNTIF('ARDT Cutter Entry'!C51,"*L*")),'ARDT Cutter Entry'!C51,LEFT('ARDT Cutter Entry'!C51,LEN('ARDT Cutter Entry'!C51)-1))),"")</f>
        <v/>
      </c>
      <c r="C11" s="2382"/>
      <c r="D11" s="2382"/>
      <c r="E11" s="2382"/>
      <c r="F11" s="2382"/>
      <c r="G11" s="2382"/>
      <c r="H11" s="2382"/>
      <c r="I11" s="2382"/>
      <c r="J11" s="2382"/>
      <c r="K11" s="2382"/>
      <c r="L11" s="2382"/>
      <c r="M11" s="2382"/>
      <c r="N11" s="2382"/>
      <c r="O11" s="2382"/>
      <c r="P11" s="2382"/>
      <c r="Q11" s="2382"/>
      <c r="R11" s="2382" t="str">
        <f>IFERROR(IF('ARDT Cutter Entry'!$C$111&lt;&gt;"",IF(OR(COUNTIF('ARDT Cutter Entry'!D119,"*X*"),COUNTIF('ARDT Cutter Entry'!D119,"*L*")), 'ARDT Cutter Entry'!D119,LEFT('ARDT Cutter Entry'!D119,LEN('ARDT Cutter Entry'!D119)-1)),IF(OR(COUNTIF('ARDT Cutter Entry'!D51,"*X*"),COUNTIF('ARDT Cutter Entry'!D51,"*L*")),'ARDT Cutter Entry'!D51,LEFT('ARDT Cutter Entry'!D51,LEN('ARDT Cutter Entry'!D51)-1))),"")</f>
        <v/>
      </c>
      <c r="S11" s="2382"/>
      <c r="T11" s="2382"/>
      <c r="U11" s="2382"/>
      <c r="V11" s="2382"/>
      <c r="W11" s="2382"/>
      <c r="X11" s="2382"/>
      <c r="Y11" s="2382"/>
      <c r="Z11" s="2382"/>
      <c r="AA11" s="2382"/>
      <c r="AB11" s="2382"/>
      <c r="AC11" s="2382"/>
      <c r="AD11" s="2382"/>
      <c r="AE11" s="2382"/>
      <c r="AF11" s="2382"/>
      <c r="AG11" s="2382"/>
      <c r="AH11" s="2382" t="str">
        <f>IFERROR(IF('ARDT Cutter Entry'!$C$111&lt;&gt;"",IF(OR(COUNTIF('ARDT Cutter Entry'!E119,"*X*"),COUNTIF('ARDT Cutter Entry'!E119,"*L*")), 'ARDT Cutter Entry'!E119,LEFT('ARDT Cutter Entry'!E119,LEN('ARDT Cutter Entry'!E119)-1)),IF(OR(COUNTIF('ARDT Cutter Entry'!E51,"*X*"),COUNTIF('ARDT Cutter Entry'!E51,"*L*")),'ARDT Cutter Entry'!E51,LEFT('ARDT Cutter Entry'!E51,LEN('ARDT Cutter Entry'!E51)-1))),"")</f>
        <v/>
      </c>
      <c r="AI11" s="2382"/>
      <c r="AJ11" s="2382"/>
      <c r="AK11" s="2382"/>
      <c r="AL11" s="2382"/>
      <c r="AM11" s="2382"/>
      <c r="AN11" s="2382"/>
      <c r="AO11" s="2382"/>
      <c r="AP11" s="2382"/>
      <c r="AQ11" s="2382"/>
      <c r="AR11" s="2382"/>
      <c r="AS11" s="2382"/>
      <c r="AT11" s="2382"/>
      <c r="AU11" s="2382"/>
      <c r="AV11" s="2382"/>
      <c r="AW11" s="2382"/>
      <c r="AX11" s="2382" t="str">
        <f>IFERROR(IF('ARDT Cutter Entry'!$C$111&lt;&gt;"",IF(OR(COUNTIF('ARDT Cutter Entry'!F119,"*X*"),COUNTIF('ARDT Cutter Entry'!F119,"*L*")), 'ARDT Cutter Entry'!F119,LEFT('ARDT Cutter Entry'!F119,LEN('ARDT Cutter Entry'!F119)-1)),IF(OR(COUNTIF('ARDT Cutter Entry'!F51,"*X*"),COUNTIF('ARDT Cutter Entry'!F51,"*L*")),'ARDT Cutter Entry'!F51,LEFT('ARDT Cutter Entry'!F51,LEN('ARDT Cutter Entry'!F51)-1))),"")</f>
        <v/>
      </c>
      <c r="AY11" s="2382"/>
      <c r="AZ11" s="2382"/>
      <c r="BA11" s="2382"/>
      <c r="BB11" s="2382"/>
      <c r="BC11" s="2382"/>
      <c r="BD11" s="2382"/>
      <c r="BE11" s="2382"/>
      <c r="BF11" s="2382"/>
      <c r="BG11" s="2382"/>
      <c r="BH11" s="2382"/>
      <c r="BI11" s="2382"/>
      <c r="BJ11" s="2382"/>
      <c r="BK11" s="2382"/>
      <c r="BL11" s="2382"/>
      <c r="BM11" s="2382"/>
      <c r="BN11" s="2382" t="str">
        <f>IFERROR(IF('ARDT Cutter Entry'!$C$111&lt;&gt;"",IF(OR(COUNTIF('ARDT Cutter Entry'!G119,"*X*"),COUNTIF('ARDT Cutter Entry'!G119,"*L*")), 'ARDT Cutter Entry'!G119,LEFT('ARDT Cutter Entry'!G119,LEN('ARDT Cutter Entry'!G119)-1)),IF(OR(COUNTIF('ARDT Cutter Entry'!G51,"*X*"),COUNTIF('ARDT Cutter Entry'!G51,"*L*")),'ARDT Cutter Entry'!G51,LEFT('ARDT Cutter Entry'!G51,LEN('ARDT Cutter Entry'!G51)-1))),"")</f>
        <v/>
      </c>
      <c r="BO11" s="2382"/>
      <c r="BP11" s="2382"/>
      <c r="BQ11" s="2382"/>
      <c r="BR11" s="2382"/>
      <c r="BS11" s="2382"/>
      <c r="BT11" s="2382"/>
      <c r="BU11" s="2382"/>
      <c r="BV11" s="2382"/>
      <c r="BW11" s="2382"/>
      <c r="BX11" s="2382"/>
      <c r="BY11" s="2382"/>
      <c r="BZ11" s="2382"/>
      <c r="CA11" s="2382"/>
      <c r="CB11" s="2382"/>
      <c r="CC11" s="2382"/>
      <c r="CD11" s="2382" t="str">
        <f>IFERROR(IF('ARDT Cutter Entry'!$C$111&lt;&gt;"",IF(OR(COUNTIF('ARDT Cutter Entry'!H119,"*X*"),COUNTIF('ARDT Cutter Entry'!H119,"*L*")), 'ARDT Cutter Entry'!H119,LEFT('ARDT Cutter Entry'!H119,LEN('ARDT Cutter Entry'!H119)-1)),IF(OR(COUNTIF('ARDT Cutter Entry'!H51,"*X*"),COUNTIF('ARDT Cutter Entry'!H51,"*L*")),'ARDT Cutter Entry'!H51,LEFT('ARDT Cutter Entry'!H51,LEN('ARDT Cutter Entry'!H51)-1))),"")</f>
        <v/>
      </c>
      <c r="CE11" s="2382"/>
      <c r="CF11" s="2382"/>
      <c r="CG11" s="2382"/>
      <c r="CH11" s="2382"/>
      <c r="CI11" s="2382"/>
      <c r="CJ11" s="2382"/>
      <c r="CK11" s="2382"/>
      <c r="CL11" s="2382"/>
      <c r="CM11" s="2382"/>
      <c r="CN11" s="2382"/>
      <c r="CO11" s="2382"/>
      <c r="CP11" s="2382"/>
      <c r="CQ11" s="2382"/>
      <c r="CR11" s="2382"/>
      <c r="CS11" s="2382"/>
      <c r="CT11" s="2382" t="str">
        <f>IFERROR(IF('ARDT Cutter Entry'!$C$111&lt;&gt;"",IF(OR(COUNTIF('ARDT Cutter Entry'!I119,"*X*"),COUNTIF('ARDT Cutter Entry'!I119,"*L*")), 'ARDT Cutter Entry'!I119,LEFT('ARDT Cutter Entry'!I119,LEN('ARDT Cutter Entry'!I119)-1)),IF(OR(COUNTIF('ARDT Cutter Entry'!I51,"*X*"),COUNTIF('ARDT Cutter Entry'!I51,"*L*")),'ARDT Cutter Entry'!I51,LEFT('ARDT Cutter Entry'!I51,LEN('ARDT Cutter Entry'!I51)-1))),"")</f>
        <v/>
      </c>
      <c r="CU11" s="2382"/>
      <c r="CV11" s="2382"/>
      <c r="CW11" s="2382"/>
      <c r="CX11" s="2382"/>
      <c r="CY11" s="2382"/>
      <c r="CZ11" s="2382"/>
      <c r="DA11" s="2382"/>
      <c r="DB11" s="2382"/>
      <c r="DC11" s="2382"/>
      <c r="DD11" s="2382"/>
      <c r="DE11" s="2382"/>
      <c r="DF11" s="2382"/>
      <c r="DG11" s="2382"/>
      <c r="DH11" s="2382"/>
      <c r="DI11" s="2382"/>
      <c r="DJ11" s="2382" t="str">
        <f>IFERROR(IF('ARDT Cutter Entry'!$C$111&lt;&gt;"",IF(OR(COUNTIF('ARDT Cutter Entry'!J119,"*X*"),COUNTIF('ARDT Cutter Entry'!J119,"*L*")), 'ARDT Cutter Entry'!J119,LEFT('ARDT Cutter Entry'!J119,LEN('ARDT Cutter Entry'!J119)-1)),IF(OR(COUNTIF('ARDT Cutter Entry'!J51,"*X*"),COUNTIF('ARDT Cutter Entry'!J51,"*L*")),'ARDT Cutter Entry'!J51,LEFT('ARDT Cutter Entry'!J51,LEN('ARDT Cutter Entry'!J51)-1))),"")</f>
        <v/>
      </c>
      <c r="DK11" s="2382"/>
      <c r="DL11" s="2382"/>
      <c r="DM11" s="2382"/>
      <c r="DN11" s="2382"/>
      <c r="DO11" s="2382"/>
      <c r="DP11" s="2382"/>
      <c r="DQ11" s="2382"/>
      <c r="DR11" s="2382"/>
      <c r="DS11" s="2382"/>
      <c r="DT11" s="2382"/>
      <c r="DU11" s="2382"/>
      <c r="DV11" s="2382"/>
      <c r="DW11" s="2382"/>
      <c r="DX11" s="2382"/>
      <c r="DY11" s="2382"/>
      <c r="DZ11" s="2382" t="str">
        <f>IFERROR(IF('ARDT Cutter Entry'!$C$111&lt;&gt;"",IF(OR(COUNTIF('ARDT Cutter Entry'!K119,"*X*"),COUNTIF('ARDT Cutter Entry'!K119,"*L*")), 'ARDT Cutter Entry'!K119,LEFT('ARDT Cutter Entry'!K119,LEN('ARDT Cutter Entry'!K119)-1)),IF(OR(COUNTIF('ARDT Cutter Entry'!K51,"*X*"),COUNTIF('ARDT Cutter Entry'!K51,"*L*")),'ARDT Cutter Entry'!K51,LEFT('ARDT Cutter Entry'!K51,LEN('ARDT Cutter Entry'!K51)-1))),"")</f>
        <v/>
      </c>
      <c r="EA11" s="2382"/>
      <c r="EB11" s="2382"/>
      <c r="EC11" s="2382"/>
      <c r="ED11" s="2382"/>
      <c r="EE11" s="2382"/>
      <c r="EF11" s="2382"/>
      <c r="EG11" s="2382"/>
      <c r="EH11" s="2382"/>
      <c r="EI11" s="2382"/>
      <c r="EJ11" s="2382"/>
      <c r="EK11" s="2382"/>
      <c r="EL11" s="2382"/>
      <c r="EM11" s="2382"/>
      <c r="EN11" s="2382"/>
      <c r="EO11" s="2382"/>
      <c r="EP11" s="2382" t="str">
        <f>IFERROR(IF('ARDT Cutter Entry'!$C$111&lt;&gt;"",IF(OR(COUNTIF('ARDT Cutter Entry'!L119,"*X*"),COUNTIF('ARDT Cutter Entry'!L119,"*L*")), 'ARDT Cutter Entry'!L119,LEFT('ARDT Cutter Entry'!L119,LEN('ARDT Cutter Entry'!L119)-1)),IF(OR(COUNTIF('ARDT Cutter Entry'!L51,"*X*"),COUNTIF('ARDT Cutter Entry'!L51,"*L*")),'ARDT Cutter Entry'!L51,LEFT('ARDT Cutter Entry'!L51,LEN('ARDT Cutter Entry'!L51)-1))),"")</f>
        <v/>
      </c>
      <c r="EQ11" s="2382"/>
      <c r="ER11" s="2382"/>
      <c r="ES11" s="2382"/>
      <c r="ET11" s="2382"/>
      <c r="EU11" s="2382"/>
      <c r="EV11" s="2382"/>
      <c r="EW11" s="2382"/>
      <c r="EX11" s="2382"/>
      <c r="EY11" s="2382"/>
      <c r="EZ11" s="2382"/>
      <c r="FA11" s="2382"/>
      <c r="FB11" s="2382"/>
      <c r="FC11" s="2382"/>
      <c r="FD11" s="2382"/>
      <c r="FE11" s="2382"/>
      <c r="FF11" s="2382" t="str">
        <f>IFERROR(IF('ARDT Cutter Entry'!$C$111&lt;&gt;"",IF(OR(COUNTIF('ARDT Cutter Entry'!M119,"*X*"),COUNTIF('ARDT Cutter Entry'!M119,"*L*")), 'ARDT Cutter Entry'!M119,LEFT('ARDT Cutter Entry'!M119,LEN('ARDT Cutter Entry'!M119)-1)),IF(OR(COUNTIF('ARDT Cutter Entry'!M51,"*X*"),COUNTIF('ARDT Cutter Entry'!M51,"*L*")),'ARDT Cutter Entry'!M51,LEFT('ARDT Cutter Entry'!M51,LEN('ARDT Cutter Entry'!M51)-1))),"")</f>
        <v/>
      </c>
      <c r="FG11" s="2382"/>
      <c r="FH11" s="2382"/>
      <c r="FI11" s="2382"/>
      <c r="FJ11" s="2382"/>
      <c r="FK11" s="2382"/>
      <c r="FL11" s="2382"/>
      <c r="FM11" s="2382"/>
      <c r="FN11" s="2382"/>
      <c r="FO11" s="2382"/>
      <c r="FP11" s="2382"/>
      <c r="FQ11" s="2382"/>
      <c r="FR11" s="2382"/>
      <c r="FS11" s="2382"/>
      <c r="FT11" s="2382"/>
      <c r="FU11" s="2382"/>
      <c r="FV11" s="1132"/>
      <c r="FW11" s="1132"/>
      <c r="FX11" s="1132"/>
      <c r="FY11" s="1132"/>
      <c r="FZ11" s="1132"/>
      <c r="GA11" s="1132"/>
      <c r="GB11" s="1132"/>
      <c r="GC11" s="1132"/>
      <c r="GD11" s="1132"/>
      <c r="GE11" s="1132"/>
      <c r="GF11" s="1132"/>
      <c r="GG11" s="1132"/>
    </row>
    <row r="12" spans="1:200" ht="67.5" customHeight="1" x14ac:dyDescent="0.35">
      <c r="A12" s="339"/>
      <c r="B12" s="2386" t="str">
        <f>IF(Data!$GI$2&lt;&gt;"","X1: "&amp; Data!$GI$2, " ")</f>
        <v>X1: 1613 CT138  0.018"</v>
      </c>
      <c r="C12" s="2386"/>
      <c r="D12" s="2386"/>
      <c r="E12" s="2386"/>
      <c r="F12" s="2386"/>
      <c r="G12" s="2386"/>
      <c r="H12" s="2386"/>
      <c r="I12" s="2386"/>
      <c r="J12" s="2386"/>
      <c r="K12" s="2386"/>
      <c r="L12" s="2386"/>
      <c r="M12" s="2386"/>
      <c r="N12" s="2386"/>
      <c r="O12" s="2386"/>
      <c r="P12" s="2386"/>
      <c r="Q12" s="2386"/>
      <c r="R12" s="2386"/>
      <c r="S12" s="2386"/>
      <c r="T12" s="2386"/>
      <c r="U12" s="2386" t="str">
        <f>IF(Data!$GI$3&lt;&gt;"","X2: "&amp; Data!$GI$3, " ")</f>
        <v>X2: 1608 CT182 0.018"</v>
      </c>
      <c r="V12" s="2386"/>
      <c r="W12" s="2386"/>
      <c r="X12" s="2386"/>
      <c r="Y12" s="2386"/>
      <c r="Z12" s="2386"/>
      <c r="AA12" s="2386"/>
      <c r="AB12" s="2386"/>
      <c r="AC12" s="2386"/>
      <c r="AD12" s="2386"/>
      <c r="AE12" s="2386"/>
      <c r="AF12" s="2386"/>
      <c r="AG12" s="2386"/>
      <c r="AH12" s="2386"/>
      <c r="AI12" s="2386"/>
      <c r="AJ12" s="2386"/>
      <c r="AK12" s="2386"/>
      <c r="AL12" s="2386"/>
      <c r="AM12" s="2386"/>
      <c r="AN12" s="2386" t="str">
        <f>IF(Data!$GI$4&lt;&gt;"","X3: "&amp; Data!$GI$4, " ")</f>
        <v xml:space="preserve">X3: 1308 CT31 Drop in </v>
      </c>
      <c r="AO12" s="2386"/>
      <c r="AP12" s="2386"/>
      <c r="AQ12" s="2386"/>
      <c r="AR12" s="2386"/>
      <c r="AS12" s="2386"/>
      <c r="AT12" s="2386"/>
      <c r="AU12" s="2386"/>
      <c r="AV12" s="2386"/>
      <c r="AW12" s="2386"/>
      <c r="AX12" s="2386"/>
      <c r="AY12" s="2386"/>
      <c r="AZ12" s="2386"/>
      <c r="BA12" s="2386"/>
      <c r="BB12" s="2386"/>
      <c r="BC12" s="2386"/>
      <c r="BD12" s="2386"/>
      <c r="BE12" s="2386"/>
      <c r="BF12" s="2386"/>
      <c r="BG12" s="2386" t="str">
        <f>IF(Data!$GI$5&lt;&gt;"","X4: "&amp; Data!$GI$5, " ")</f>
        <v>X4: 1608 CT70 0.018"</v>
      </c>
      <c r="BH12" s="2386"/>
      <c r="BI12" s="2386"/>
      <c r="BJ12" s="2386"/>
      <c r="BK12" s="2386"/>
      <c r="BL12" s="2386"/>
      <c r="BM12" s="2386"/>
      <c r="BN12" s="2386"/>
      <c r="BO12" s="2386"/>
      <c r="BP12" s="2386"/>
      <c r="BQ12" s="2386"/>
      <c r="BR12" s="2386"/>
      <c r="BS12" s="2386"/>
      <c r="BT12" s="2386"/>
      <c r="BU12" s="2386"/>
      <c r="BV12" s="2386"/>
      <c r="BW12" s="2386"/>
      <c r="BX12" s="2386"/>
      <c r="BY12" s="2386"/>
      <c r="BZ12" s="2386" t="str">
        <f>IF(Data!$GI$6&lt;&gt;"","X5: "&amp; Data!$GI$6, " ")</f>
        <v>X5: 1613 CT421 18-60</v>
      </c>
      <c r="CA12" s="2386"/>
      <c r="CB12" s="2386"/>
      <c r="CC12" s="2386"/>
      <c r="CD12" s="2386"/>
      <c r="CE12" s="2386"/>
      <c r="CF12" s="2386"/>
      <c r="CG12" s="2386"/>
      <c r="CH12" s="2386"/>
      <c r="CI12" s="2386"/>
      <c r="CJ12" s="2386"/>
      <c r="CK12" s="2386"/>
      <c r="CL12" s="2386"/>
      <c r="CM12" s="2386"/>
      <c r="CN12" s="2386"/>
      <c r="CO12" s="2386"/>
      <c r="CP12" s="2386"/>
      <c r="CQ12" s="2386"/>
      <c r="CR12" s="2386"/>
      <c r="CS12" s="2386" t="str">
        <f>IF(Data!$GI$7&lt;&gt;"","X6: "&amp; Data!$GI$7, " ")</f>
        <v xml:space="preserve"> </v>
      </c>
      <c r="CT12" s="2386"/>
      <c r="CU12" s="2386"/>
      <c r="CV12" s="2386"/>
      <c r="CW12" s="2386"/>
      <c r="CX12" s="2386"/>
      <c r="CY12" s="2386"/>
      <c r="CZ12" s="2386"/>
      <c r="DA12" s="2386"/>
      <c r="DB12" s="2386"/>
      <c r="DC12" s="2386"/>
      <c r="DD12" s="2386"/>
      <c r="DE12" s="2386"/>
      <c r="DF12" s="2386"/>
      <c r="DG12" s="2386"/>
      <c r="DH12" s="2386"/>
      <c r="DI12" s="2386"/>
      <c r="DJ12" s="2386"/>
      <c r="DK12" s="2386"/>
      <c r="DL12" s="2386" t="str">
        <f>IF(Data!$GI$8&lt;&gt;"","X7: "&amp; Data!$GI$8, " ")</f>
        <v xml:space="preserve"> </v>
      </c>
      <c r="DM12" s="2386"/>
      <c r="DN12" s="2386"/>
      <c r="DO12" s="2386"/>
      <c r="DP12" s="2386"/>
      <c r="DQ12" s="2386"/>
      <c r="DR12" s="2386"/>
      <c r="DS12" s="2386"/>
      <c r="DT12" s="2386"/>
      <c r="DU12" s="2386"/>
      <c r="DV12" s="2386"/>
      <c r="DW12" s="2386"/>
      <c r="DX12" s="2386"/>
      <c r="DY12" s="2386"/>
      <c r="DZ12" s="2386"/>
      <c r="EA12" s="2386"/>
      <c r="EB12" s="2386"/>
      <c r="EC12" s="2386"/>
      <c r="ED12" s="2386"/>
      <c r="EE12" s="2386" t="str">
        <f>IF(Data!$GI$9&lt;&gt;"","X8: "&amp; Data!$GI$9, " ")</f>
        <v xml:space="preserve"> </v>
      </c>
      <c r="EF12" s="2386"/>
      <c r="EG12" s="2386"/>
      <c r="EH12" s="2386"/>
      <c r="EI12" s="2386"/>
      <c r="EJ12" s="2386"/>
      <c r="EK12" s="2386"/>
      <c r="EL12" s="2386"/>
      <c r="EM12" s="2386"/>
      <c r="EN12" s="2386"/>
      <c r="EO12" s="2386"/>
      <c r="EP12" s="2386"/>
      <c r="EQ12" s="2386"/>
      <c r="ER12" s="2386"/>
      <c r="ES12" s="2386"/>
      <c r="ET12" s="2386"/>
      <c r="EU12" s="2386"/>
      <c r="EV12" s="2386"/>
      <c r="EW12" s="2386"/>
      <c r="EX12" s="2386" t="str">
        <f>IF(Data!$GI$10&lt;&gt;"","X9: "&amp; Data!$GI$10, " ")</f>
        <v xml:space="preserve"> </v>
      </c>
      <c r="EY12" s="2386"/>
      <c r="EZ12" s="2386"/>
      <c r="FA12" s="2386"/>
      <c r="FB12" s="2386"/>
      <c r="FC12" s="2386"/>
      <c r="FD12" s="2386"/>
      <c r="FE12" s="2386"/>
      <c r="FF12" s="2386"/>
      <c r="FG12" s="2386"/>
      <c r="FH12" s="2386"/>
      <c r="FI12" s="2386"/>
      <c r="FJ12" s="2386"/>
      <c r="FK12" s="2386"/>
      <c r="FL12" s="2386"/>
      <c r="FM12" s="2386"/>
      <c r="FN12" s="2386"/>
      <c r="FO12" s="2386"/>
      <c r="FP12" s="2386"/>
      <c r="FQ12" s="2386" t="str">
        <f>IF(Data!$GI$11&lt;&gt;"","X10: "&amp; Data!$GI$11, " ")</f>
        <v xml:space="preserve"> </v>
      </c>
      <c r="FR12" s="2386"/>
      <c r="FS12" s="2386"/>
      <c r="FT12" s="2386"/>
      <c r="FU12" s="2386"/>
      <c r="FV12" s="2386"/>
      <c r="FW12" s="2386"/>
      <c r="FX12" s="2386"/>
      <c r="FY12" s="2386"/>
      <c r="FZ12" s="2386"/>
      <c r="GA12" s="2386"/>
      <c r="GB12" s="2386"/>
      <c r="GC12" s="2386"/>
      <c r="GD12" s="2386"/>
      <c r="GE12" s="2386"/>
      <c r="GF12" s="2386"/>
      <c r="GG12" s="2386"/>
      <c r="GH12" s="159"/>
    </row>
    <row r="13" spans="1:200" ht="30" customHeight="1" x14ac:dyDescent="0.35">
      <c r="A13" s="340"/>
      <c r="B13" s="2384"/>
      <c r="C13" s="2384"/>
      <c r="D13" s="2384"/>
      <c r="E13" s="2384"/>
      <c r="F13" s="2384"/>
      <c r="G13" s="2384"/>
      <c r="H13" s="2384"/>
      <c r="I13" s="2384"/>
      <c r="J13" s="2384"/>
      <c r="K13" s="2384"/>
      <c r="L13" s="2384"/>
      <c r="M13" s="2384"/>
      <c r="N13" s="2384"/>
      <c r="O13" s="2384"/>
      <c r="P13" s="2384"/>
      <c r="Q13" s="2384"/>
      <c r="R13" s="2383" t="str">
        <f>IF(Data!$B$1&lt;&gt;"", Data!$B$1, " ")</f>
        <v>2025-AR-105</v>
      </c>
      <c r="S13" s="2383"/>
      <c r="T13" s="2383"/>
      <c r="U13" s="2383"/>
      <c r="V13" s="2383"/>
      <c r="W13" s="2383"/>
      <c r="X13" s="2383"/>
      <c r="Y13" s="2383"/>
      <c r="Z13" s="2383"/>
      <c r="AA13" s="2383"/>
      <c r="AB13" s="2383"/>
      <c r="AC13" s="2383"/>
      <c r="AD13" s="2383"/>
      <c r="AE13" s="2383"/>
      <c r="AF13" s="2383"/>
      <c r="AG13" s="2383"/>
      <c r="AH13" s="2383"/>
      <c r="AI13" s="2383"/>
      <c r="AJ13" s="2383"/>
      <c r="AK13" s="2383"/>
      <c r="AL13" s="2383"/>
      <c r="AM13" s="2383"/>
      <c r="AN13" s="2383"/>
      <c r="AO13" s="2383"/>
      <c r="AP13" s="2383"/>
      <c r="AQ13" s="2383"/>
      <c r="AR13" s="2383"/>
      <c r="AS13" s="2383"/>
      <c r="AT13" s="2383"/>
      <c r="AU13" s="2383"/>
      <c r="AV13" s="2383"/>
      <c r="AW13" s="2383"/>
      <c r="AX13" s="2383"/>
      <c r="AY13" s="2383"/>
      <c r="AZ13" s="2383"/>
      <c r="BA13" s="2383"/>
      <c r="BB13" s="2383"/>
      <c r="BC13" s="2383"/>
      <c r="BD13" s="2383"/>
      <c r="BE13" s="2383"/>
      <c r="BF13" s="2383"/>
      <c r="BG13" s="2383"/>
      <c r="BH13" s="2383"/>
      <c r="BI13" s="2383">
        <f>IF(Data!$B$2&lt;&gt;"", Data!$B$2, " ")</f>
        <v>13753277</v>
      </c>
      <c r="BJ13" s="2383"/>
      <c r="BK13" s="2383"/>
      <c r="BL13" s="2383"/>
      <c r="BM13" s="2383"/>
      <c r="BN13" s="2383"/>
      <c r="BO13" s="2383"/>
      <c r="BP13" s="2383"/>
      <c r="BQ13" s="2383"/>
      <c r="BR13" s="2383"/>
      <c r="BS13" s="2383"/>
      <c r="BT13" s="2383"/>
      <c r="BU13" s="2383"/>
      <c r="BV13" s="2383"/>
      <c r="BW13" s="2383"/>
      <c r="BX13" s="2383"/>
      <c r="BY13" s="2383"/>
      <c r="BZ13" s="2383"/>
      <c r="CA13" s="2383"/>
      <c r="CB13" s="2383"/>
      <c r="CC13" s="2383"/>
      <c r="CD13" s="2383"/>
      <c r="CE13" s="2383"/>
      <c r="CF13" s="2383"/>
      <c r="CG13" s="2383"/>
      <c r="CH13" s="2383"/>
      <c r="CI13" s="2383"/>
      <c r="CJ13" s="2383"/>
      <c r="CK13" s="2383"/>
      <c r="CL13" s="2383"/>
      <c r="CM13" s="2383"/>
      <c r="CN13" s="2383"/>
      <c r="CO13" s="2383"/>
      <c r="CP13" s="2383"/>
      <c r="CQ13" s="2383"/>
      <c r="CR13" s="2383"/>
      <c r="CS13" s="2383"/>
      <c r="CT13" s="2383"/>
      <c r="CU13" s="2383"/>
      <c r="CV13" s="2383"/>
      <c r="CW13" s="2383"/>
      <c r="CX13" s="2383"/>
      <c r="CY13" s="2383"/>
      <c r="CZ13" s="2383"/>
      <c r="DA13" s="2383"/>
      <c r="DB13" s="2383"/>
      <c r="DC13" s="2383"/>
      <c r="DD13" s="2383"/>
      <c r="DE13" s="2383"/>
      <c r="DF13" s="2383"/>
      <c r="DG13" s="2383"/>
      <c r="DH13" s="2383"/>
      <c r="DI13" s="2383"/>
      <c r="DJ13" s="2383" t="str">
        <f>IF(Data!$B$4&lt;&gt;"",Data!$B$4," ")</f>
        <v>MM65DH</v>
      </c>
      <c r="DK13" s="2383"/>
      <c r="DL13" s="2383"/>
      <c r="DM13" s="2383"/>
      <c r="DN13" s="2383"/>
      <c r="DO13" s="2383"/>
      <c r="DP13" s="2383"/>
      <c r="DQ13" s="2383"/>
      <c r="DR13" s="2383"/>
      <c r="DS13" s="2383"/>
      <c r="DT13" s="2383"/>
      <c r="DU13" s="2383"/>
      <c r="DV13" s="2383"/>
      <c r="DW13" s="2383"/>
      <c r="DX13" s="2383"/>
      <c r="DY13" s="2383"/>
      <c r="DZ13" s="2383"/>
      <c r="EA13" s="2383"/>
      <c r="EB13" s="2383"/>
      <c r="EC13" s="2383"/>
      <c r="ED13" s="2383"/>
      <c r="EE13" s="2383"/>
      <c r="EF13" s="2383"/>
      <c r="EG13" s="2383"/>
      <c r="EH13" s="2383"/>
      <c r="EI13" s="2383"/>
      <c r="EJ13" s="2383"/>
      <c r="EK13" s="2383"/>
      <c r="EL13" s="2383"/>
      <c r="EM13" s="2383"/>
      <c r="EN13" s="2383"/>
      <c r="EO13" s="2383"/>
      <c r="EP13" s="2383" t="str">
        <f>IF(LEN(Data!B3)&gt;3,IF(AND(Data!B43&lt;&gt;"",Data!B43&lt;&gt;"0 0/1"""),Data!B43,""),IF(Data!B3&lt;&gt;"",Data!B3,""))</f>
        <v>8 3/8"</v>
      </c>
      <c r="EQ13" s="2383"/>
      <c r="ER13" s="2383"/>
      <c r="ES13" s="2383"/>
      <c r="ET13" s="2383"/>
      <c r="EU13" s="2383"/>
      <c r="EV13" s="2383"/>
      <c r="EW13" s="2383"/>
      <c r="EX13" s="2383"/>
      <c r="EY13" s="2383"/>
      <c r="EZ13" s="2383"/>
      <c r="FA13" s="2383"/>
      <c r="FB13" s="2383"/>
      <c r="FC13" s="2383"/>
      <c r="FD13" s="2383"/>
      <c r="FE13" s="2383"/>
      <c r="FF13" s="2383"/>
      <c r="FG13" s="2383"/>
      <c r="FH13" s="2383"/>
      <c r="FI13" s="2383"/>
      <c r="FJ13" s="2383"/>
      <c r="FK13" s="2383"/>
      <c r="FL13" s="2383"/>
      <c r="FM13" s="2383"/>
      <c r="FN13" s="2383"/>
      <c r="FO13" s="2383"/>
      <c r="FP13" s="2383"/>
      <c r="FQ13" s="2383"/>
      <c r="FR13" s="2383"/>
      <c r="FS13" s="2383"/>
      <c r="FT13" s="2383"/>
      <c r="FU13" s="2383"/>
      <c r="FV13" s="2384"/>
      <c r="FW13" s="2384"/>
      <c r="FX13" s="2384"/>
      <c r="FY13" s="2384"/>
      <c r="FZ13" s="2384"/>
      <c r="GA13" s="2384"/>
      <c r="GB13" s="2384"/>
      <c r="GC13" s="2384"/>
      <c r="GD13" s="2384"/>
      <c r="GE13" s="2384"/>
      <c r="GF13" s="2384"/>
      <c r="GG13" s="2384"/>
    </row>
    <row r="14" spans="1:200" ht="32.25" customHeight="1" x14ac:dyDescent="0.35">
      <c r="B14" s="2385">
        <f>IF(Data!$BR$44&lt;&gt;"",Data!$BR$44, "")</f>
        <v>1</v>
      </c>
      <c r="C14" s="2385"/>
      <c r="D14" s="2385"/>
      <c r="E14" s="2385"/>
      <c r="F14" s="2385"/>
      <c r="G14" s="2385"/>
      <c r="H14" s="2385"/>
      <c r="I14" s="2385"/>
      <c r="J14" s="2385">
        <f>IF(Data!$BS$44&lt;&gt;"",Data!$BS$44, "")</f>
        <v>2</v>
      </c>
      <c r="K14" s="2385"/>
      <c r="L14" s="2385"/>
      <c r="M14" s="2385"/>
      <c r="N14" s="2385"/>
      <c r="O14" s="2385"/>
      <c r="P14" s="2385"/>
      <c r="Q14" s="2385"/>
      <c r="R14" s="2385">
        <f>IF(Data!$BT$44&lt;&gt;"", Data!$BT$44, "")</f>
        <v>3</v>
      </c>
      <c r="S14" s="2385"/>
      <c r="T14" s="2385"/>
      <c r="U14" s="2385"/>
      <c r="V14" s="2385"/>
      <c r="W14" s="2385"/>
      <c r="X14" s="2385"/>
      <c r="Y14" s="2385"/>
      <c r="Z14" s="2385">
        <f>IF(Data!$BU$44&lt;&gt;"", Data!$BU$44, "")</f>
        <v>4</v>
      </c>
      <c r="AA14" s="2385"/>
      <c r="AB14" s="2385"/>
      <c r="AC14" s="2385"/>
      <c r="AD14" s="2385"/>
      <c r="AE14" s="2385"/>
      <c r="AF14" s="2385"/>
      <c r="AG14" s="2385"/>
      <c r="AH14" s="2385">
        <f>IF(Data!$BV$44&lt;&gt;"",Data!$BV$44, "")</f>
        <v>5</v>
      </c>
      <c r="AI14" s="2385"/>
      <c r="AJ14" s="2385"/>
      <c r="AK14" s="2385"/>
      <c r="AL14" s="2385"/>
      <c r="AM14" s="2385"/>
      <c r="AN14" s="2385"/>
      <c r="AO14" s="2385"/>
      <c r="AP14" s="2385">
        <f>IF(Data!$BW$44&lt;&gt;"",Data!$BW$44, "")</f>
        <v>6</v>
      </c>
      <c r="AQ14" s="2385"/>
      <c r="AR14" s="2385"/>
      <c r="AS14" s="2385"/>
      <c r="AT14" s="2385"/>
      <c r="AU14" s="2385"/>
      <c r="AV14" s="2385"/>
      <c r="AW14" s="2385"/>
      <c r="AX14" s="2385">
        <f>IF(Data!$BX$44&lt;&gt;"", Data!$BX$44, "")</f>
        <v>7</v>
      </c>
      <c r="AY14" s="2385"/>
      <c r="AZ14" s="2385"/>
      <c r="BA14" s="2385"/>
      <c r="BB14" s="2385"/>
      <c r="BC14" s="2385"/>
      <c r="BD14" s="2385"/>
      <c r="BE14" s="2385"/>
      <c r="BF14" s="2385">
        <f>IF(Data!$BY$44&lt;&gt;"", Data!$BY$44, "")</f>
        <v>8</v>
      </c>
      <c r="BG14" s="2385"/>
      <c r="BH14" s="2385"/>
      <c r="BI14" s="2385"/>
      <c r="BJ14" s="2385"/>
      <c r="BK14" s="2385"/>
      <c r="BL14" s="2385"/>
      <c r="BM14" s="2385"/>
      <c r="BN14" s="2385">
        <f>IF(Data!$BZ$44&lt;&gt;"", Data!$BZ$44, "")</f>
        <v>0</v>
      </c>
      <c r="BO14" s="2385"/>
      <c r="BP14" s="2385"/>
      <c r="BQ14" s="2385"/>
      <c r="BR14" s="2385"/>
      <c r="BS14" s="2385"/>
      <c r="BT14" s="2385"/>
      <c r="BU14" s="2385"/>
      <c r="BV14" s="2385">
        <f>IF(Data!$CA$44&lt;&gt;"", Data!$CA$44, "")</f>
        <v>9</v>
      </c>
      <c r="BW14" s="2385"/>
      <c r="BX14" s="2385"/>
      <c r="BY14" s="2385"/>
      <c r="BZ14" s="2385"/>
      <c r="CA14" s="2385"/>
      <c r="CB14" s="2385"/>
      <c r="CC14" s="2385"/>
      <c r="CD14" s="2385">
        <f>IF(Data!$CB$44&lt;&gt;"", Data!$CB$44, "")</f>
        <v>10</v>
      </c>
      <c r="CE14" s="2385"/>
      <c r="CF14" s="2385"/>
      <c r="CG14" s="2385"/>
      <c r="CH14" s="2385"/>
      <c r="CI14" s="2385"/>
      <c r="CJ14" s="2385"/>
      <c r="CK14" s="2385"/>
      <c r="CL14" s="2385">
        <f>IF(Data!$CC$44&lt;&gt;"", Data!$CC$44, "")</f>
        <v>11</v>
      </c>
      <c r="CM14" s="2385"/>
      <c r="CN14" s="2385"/>
      <c r="CO14" s="2385"/>
      <c r="CP14" s="2385"/>
      <c r="CQ14" s="2385"/>
      <c r="CR14" s="2385"/>
      <c r="CS14" s="2385"/>
      <c r="CT14" s="2385">
        <f>IF(Data!$CD$44&lt;&gt;"",Data!$CD$44, "")</f>
        <v>12</v>
      </c>
      <c r="CU14" s="2385"/>
      <c r="CV14" s="2385"/>
      <c r="CW14" s="2385"/>
      <c r="CX14" s="2385"/>
      <c r="CY14" s="2385"/>
      <c r="CZ14" s="2385"/>
      <c r="DA14" s="2385"/>
      <c r="DB14" s="2385">
        <f>IF(Data!$CE$44&lt;&gt;"",Data!$CE$44, "")</f>
        <v>0</v>
      </c>
      <c r="DC14" s="2385"/>
      <c r="DD14" s="2385"/>
      <c r="DE14" s="2385"/>
      <c r="DF14" s="2385"/>
      <c r="DG14" s="2385"/>
      <c r="DH14" s="2385"/>
      <c r="DI14" s="2385"/>
      <c r="DJ14" s="2385">
        <f>IF(Data!$CF$44&lt;&gt;"",Data!$CF$44, "")</f>
        <v>0</v>
      </c>
      <c r="DK14" s="2385"/>
      <c r="DL14" s="2385"/>
      <c r="DM14" s="2385"/>
      <c r="DN14" s="2385"/>
      <c r="DO14" s="2385"/>
      <c r="DP14" s="2385"/>
      <c r="DQ14" s="2385"/>
      <c r="DR14" s="2385">
        <f>IF(Data!$CG$44&lt;&gt;"",Data!$CG$44, "")</f>
        <v>0</v>
      </c>
      <c r="DS14" s="2385"/>
      <c r="DT14" s="2385"/>
      <c r="DU14" s="2385"/>
      <c r="DV14" s="2385"/>
      <c r="DW14" s="2385"/>
      <c r="DX14" s="2385"/>
      <c r="DY14" s="2385"/>
      <c r="DZ14" s="2385">
        <f>IF(Data!$CH$44&lt;&gt;"",Data!$CH$44, "")</f>
        <v>0</v>
      </c>
      <c r="EA14" s="2385"/>
      <c r="EB14" s="2385"/>
      <c r="EC14" s="2385"/>
      <c r="ED14" s="2385"/>
      <c r="EE14" s="2385"/>
      <c r="EF14" s="2385"/>
      <c r="EG14" s="2385"/>
      <c r="EH14" s="2385">
        <f>IF(Data!$C$48&lt;&gt;"",Data!$CI$44, "")</f>
        <v>0</v>
      </c>
      <c r="EI14" s="2385"/>
      <c r="EJ14" s="2385"/>
      <c r="EK14" s="2385"/>
      <c r="EL14" s="2385"/>
      <c r="EM14" s="2385"/>
      <c r="EN14" s="2385"/>
      <c r="EO14" s="2385"/>
      <c r="EP14" s="2385">
        <f>IF(Data!$CJ$44&lt;&gt;"",Data!$CJ$44, "")</f>
        <v>0</v>
      </c>
      <c r="EQ14" s="2385"/>
      <c r="ER14" s="2385"/>
      <c r="ES14" s="2385"/>
      <c r="ET14" s="2385"/>
      <c r="EU14" s="2385"/>
      <c r="EV14" s="2385"/>
      <c r="EW14" s="2385"/>
      <c r="EX14" s="2385">
        <f>IF(Data!$CK$44&lt;&gt;"",Data!$CK$44, "")</f>
        <v>0</v>
      </c>
      <c r="EY14" s="2385"/>
      <c r="EZ14" s="2385"/>
      <c r="FA14" s="2385"/>
      <c r="FB14" s="2385"/>
      <c r="FC14" s="2385"/>
      <c r="FD14" s="2385"/>
      <c r="FE14" s="2385"/>
      <c r="FF14" s="2385">
        <f>IF(Data!$CL$44&lt;&gt;"",Data!$CL$44, "")</f>
        <v>0</v>
      </c>
      <c r="FG14" s="2385"/>
      <c r="FH14" s="2385"/>
      <c r="FI14" s="2385"/>
      <c r="FJ14" s="2385"/>
      <c r="FK14" s="2385"/>
      <c r="FL14" s="2385"/>
      <c r="FM14" s="2385"/>
      <c r="FN14" s="2385">
        <f>IF(Data!$CM$44&lt;&gt;"",Data!$CM$44, "")</f>
        <v>0</v>
      </c>
      <c r="FO14" s="2385"/>
      <c r="FP14" s="2385"/>
      <c r="FQ14" s="2385"/>
      <c r="FR14" s="2385"/>
      <c r="FS14" s="2385"/>
      <c r="FT14" s="2385"/>
      <c r="FU14" s="2385"/>
      <c r="FV14" s="2385">
        <f>IF(Data!$CN$44&lt;&gt;"",Data!$CN$44, "")</f>
        <v>0</v>
      </c>
      <c r="FW14" s="2385"/>
      <c r="FX14" s="2385"/>
      <c r="FY14" s="2385"/>
      <c r="FZ14" s="2385"/>
      <c r="GA14" s="2385"/>
      <c r="GB14" s="2385"/>
      <c r="GC14" s="2385"/>
      <c r="GD14" s="2384"/>
      <c r="GE14" s="2384"/>
      <c r="GF14" s="2384"/>
      <c r="GG14" s="2384"/>
    </row>
    <row r="15" spans="1:200" ht="44.25" customHeight="1" x14ac:dyDescent="0.55000000000000004">
      <c r="A15" s="338">
        <v>1</v>
      </c>
      <c r="B15" s="2380" t="str">
        <f>IFERROR(IF('ARDT Cutter Entry'!$C$111&lt;&gt;"",IF(OR(COUNTIF('ARDT Cutter Entry'!C111,"*X*"),COUNTIF('ARDT Cutter Entry'!C111,"*L*")), 'ARDT Cutter Entry'!C111,LEFT('ARDT Cutter Entry'!C111,LEN('ARDT Cutter Entry'!C111)-1)),IF(OR(COUNTIF('ARDT Cutter Entry'!C43,"*X*"),COUNTIF('ARDT Cutter Entry'!C43,"*L*")),'ARDT Cutter Entry'!C43,LEFT('ARDT Cutter Entry'!C43,LEN('ARDT Cutter Entry'!C43)-1))),"")</f>
        <v>R</v>
      </c>
      <c r="C15" s="2380"/>
      <c r="D15" s="2380"/>
      <c r="E15" s="2380"/>
      <c r="F15" s="2380"/>
      <c r="G15" s="2380"/>
      <c r="H15" s="2380"/>
      <c r="I15" s="2380"/>
      <c r="J15" s="2380" t="str">
        <f>IFERROR(IF('ARDT Cutter Entry'!$C$111&lt;&gt;"",IF(OR(COUNTIF('ARDT Cutter Entry'!D111,"*X*"),COUNTIF('ARDT Cutter Entry'!D111,"*L*")), 'ARDT Cutter Entry'!D111,LEFT('ARDT Cutter Entry'!D111,LEN('ARDT Cutter Entry'!D111)-1)),IF(OR(COUNTIF('ARDT Cutter Entry'!D43,"*X*"),COUNTIF('ARDT Cutter Entry'!D43,"*L*")),'ARDT Cutter Entry'!D43,LEFT('ARDT Cutter Entry'!D43,LEN('ARDT Cutter Entry'!D43)-1))),"")</f>
        <v>R</v>
      </c>
      <c r="K15" s="2380"/>
      <c r="L15" s="2380"/>
      <c r="M15" s="2380"/>
      <c r="N15" s="2380"/>
      <c r="O15" s="2380"/>
      <c r="P15" s="2380"/>
      <c r="Q15" s="2380"/>
      <c r="R15" s="2380" t="str">
        <f>IFERROR(IF('ARDT Cutter Entry'!$C$111&lt;&gt;"",IF(OR(COUNTIF('ARDT Cutter Entry'!E111,"*X*"),COUNTIF('ARDT Cutter Entry'!E111,"*L*")), 'ARDT Cutter Entry'!E111,LEFT('ARDT Cutter Entry'!E111,LEN('ARDT Cutter Entry'!E111)-1)),IF(OR(COUNTIF('ARDT Cutter Entry'!E43,"*X*"),COUNTIF('ARDT Cutter Entry'!E43,"*L*")),'ARDT Cutter Entry'!E43,LEFT('ARDT Cutter Entry'!E43,LEN('ARDT Cutter Entry'!E43)-1))),"")</f>
        <v>X5</v>
      </c>
      <c r="S15" s="2380"/>
      <c r="T15" s="2380"/>
      <c r="U15" s="2380"/>
      <c r="V15" s="2380"/>
      <c r="W15" s="2380"/>
      <c r="X15" s="2380"/>
      <c r="Y15" s="2380"/>
      <c r="Z15" s="2380" t="str">
        <f>IFERROR(IF('ARDT Cutter Entry'!$C$111&lt;&gt;"",IF(OR(COUNTIF('ARDT Cutter Entry'!F111,"*X*"),COUNTIF('ARDT Cutter Entry'!F111,"*L*")), 'ARDT Cutter Entry'!F111,LEFT('ARDT Cutter Entry'!F111,LEN('ARDT Cutter Entry'!F111)-1)),IF(OR(COUNTIF('ARDT Cutter Entry'!F43,"*X*"),COUNTIF('ARDT Cutter Entry'!F43,"*L*")),'ARDT Cutter Entry'!F43,LEFT('ARDT Cutter Entry'!F43,LEN('ARDT Cutter Entry'!F43)-1))),"")</f>
        <v>X5</v>
      </c>
      <c r="AA15" s="2380"/>
      <c r="AB15" s="2380"/>
      <c r="AC15" s="2380"/>
      <c r="AD15" s="2380"/>
      <c r="AE15" s="2380"/>
      <c r="AF15" s="2380"/>
      <c r="AG15" s="2380"/>
      <c r="AH15" s="2380" t="str">
        <f>IFERROR(IF('ARDT Cutter Entry'!$C$111&lt;&gt;"",IF(OR(COUNTIF('ARDT Cutter Entry'!G111,"*X*"),COUNTIF('ARDT Cutter Entry'!G111,"*L*")), 'ARDT Cutter Entry'!G111,LEFT('ARDT Cutter Entry'!G111,LEN('ARDT Cutter Entry'!G111)-1)),IF(OR(COUNTIF('ARDT Cutter Entry'!G43,"*X*"),COUNTIF('ARDT Cutter Entry'!G43,"*L*")),'ARDT Cutter Entry'!G43,LEFT('ARDT Cutter Entry'!G43,LEN('ARDT Cutter Entry'!G43)-1))),"")</f>
        <v>X5</v>
      </c>
      <c r="AI15" s="2380"/>
      <c r="AJ15" s="2380"/>
      <c r="AK15" s="2380"/>
      <c r="AL15" s="2380"/>
      <c r="AM15" s="2380"/>
      <c r="AN15" s="2380"/>
      <c r="AO15" s="2380"/>
      <c r="AP15" s="2380" t="str">
        <f>IFERROR(IF('ARDT Cutter Entry'!$C$111&lt;&gt;"",IF(OR(COUNTIF('ARDT Cutter Entry'!H111,"*X*"),COUNTIF('ARDT Cutter Entry'!H111,"*L*")), 'ARDT Cutter Entry'!H111,LEFT('ARDT Cutter Entry'!H111,LEN('ARDT Cutter Entry'!H111)-1)),IF(OR(COUNTIF('ARDT Cutter Entry'!H43,"*X*"),COUNTIF('ARDT Cutter Entry'!H43,"*L*")),'ARDT Cutter Entry'!H43,LEFT('ARDT Cutter Entry'!H43,LEN('ARDT Cutter Entry'!H43)-1))),"")</f>
        <v>X5</v>
      </c>
      <c r="AQ15" s="2380"/>
      <c r="AR15" s="2380"/>
      <c r="AS15" s="2380"/>
      <c r="AT15" s="2380"/>
      <c r="AU15" s="2380"/>
      <c r="AV15" s="2380"/>
      <c r="AW15" s="2380"/>
      <c r="AX15" s="2380" t="str">
        <f>IFERROR(IF('ARDT Cutter Entry'!$C$111&lt;&gt;"",IF(OR(COUNTIF('ARDT Cutter Entry'!I111,"*X*"),COUNTIF('ARDT Cutter Entry'!I111,"*L*")), 'ARDT Cutter Entry'!I111,LEFT('ARDT Cutter Entry'!I111,LEN('ARDT Cutter Entry'!I111)-1)),IF(OR(COUNTIF('ARDT Cutter Entry'!I43,"*X*"),COUNTIF('ARDT Cutter Entry'!I43,"*L*")),'ARDT Cutter Entry'!I43,LEFT('ARDT Cutter Entry'!I43,LEN('ARDT Cutter Entry'!I43)-1))),"")</f>
        <v>R</v>
      </c>
      <c r="AY15" s="2380"/>
      <c r="AZ15" s="2380"/>
      <c r="BA15" s="2380"/>
      <c r="BB15" s="2380"/>
      <c r="BC15" s="2380"/>
      <c r="BD15" s="2380"/>
      <c r="BE15" s="2380"/>
      <c r="BF15" s="2380" t="str">
        <f>IFERROR(IF('ARDT Cutter Entry'!$C$111&lt;&gt;"",IF(OR(COUNTIF('ARDT Cutter Entry'!J111,"*X*"),COUNTIF('ARDT Cutter Entry'!J111,"*L*")), 'ARDT Cutter Entry'!J111,LEFT('ARDT Cutter Entry'!J111,LEN('ARDT Cutter Entry'!J111)-1)),IF(OR(COUNTIF('ARDT Cutter Entry'!J43,"*X*"),COUNTIF('ARDT Cutter Entry'!J43,"*L*")),'ARDT Cutter Entry'!J43,LEFT('ARDT Cutter Entry'!J43,LEN('ARDT Cutter Entry'!J43)-1))),"")</f>
        <v>X3</v>
      </c>
      <c r="BG15" s="2380"/>
      <c r="BH15" s="2380"/>
      <c r="BI15" s="2380"/>
      <c r="BJ15" s="2380"/>
      <c r="BK15" s="2380"/>
      <c r="BL15" s="2380"/>
      <c r="BM15" s="2380"/>
      <c r="BN15" s="2380" t="str">
        <f>IFERROR(IF('ARDT Cutter Entry'!$C$111&lt;&gt;"",IF(OR(COUNTIF('ARDT Cutter Entry'!K111,"*X*"),COUNTIF('ARDT Cutter Entry'!K111,"*L*")), 'ARDT Cutter Entry'!K111,LEFT('ARDT Cutter Entry'!K111,LEN('ARDT Cutter Entry'!K111)-1)),IF(OR(COUNTIF('ARDT Cutter Entry'!K43,"*X*"),COUNTIF('ARDT Cutter Entry'!K43,"*L*")),'ARDT Cutter Entry'!K43,LEFT('ARDT Cutter Entry'!K43,LEN('ARDT Cutter Entry'!K43)-1))),"")</f>
        <v/>
      </c>
      <c r="BO15" s="2380"/>
      <c r="BP15" s="2380"/>
      <c r="BQ15" s="2380"/>
      <c r="BR15" s="2380"/>
      <c r="BS15" s="2380"/>
      <c r="BT15" s="2380"/>
      <c r="BU15" s="2380"/>
      <c r="BV15" s="2380" t="str">
        <f>IFERROR(IF('ARDT Cutter Entry'!$C$111&lt;&gt;"",IF(OR(COUNTIF('ARDT Cutter Entry'!L111,"*X*"),COUNTIF('ARDT Cutter Entry'!L111,"*L*")), 'ARDT Cutter Entry'!L111,LEFT('ARDT Cutter Entry'!L111,LEN('ARDT Cutter Entry'!L111)-1)),IF(OR(COUNTIF('ARDT Cutter Entry'!L43,"*X*"),COUNTIF('ARDT Cutter Entry'!L43,"*L*")),'ARDT Cutter Entry'!L43,LEFT('ARDT Cutter Entry'!L43,LEN('ARDT Cutter Entry'!L43)-1))),"")</f>
        <v>S</v>
      </c>
      <c r="BW15" s="2380"/>
      <c r="BX15" s="2380"/>
      <c r="BY15" s="2380"/>
      <c r="BZ15" s="2380"/>
      <c r="CA15" s="2380"/>
      <c r="CB15" s="2380"/>
      <c r="CC15" s="2380"/>
      <c r="CD15" s="2380" t="str">
        <f>IFERROR(IF('ARDT Cutter Entry'!$C$111&lt;&gt;"",IF(OR(COUNTIF('ARDT Cutter Entry'!M111,"*X*"),COUNTIF('ARDT Cutter Entry'!M111,"*L*")), 'ARDT Cutter Entry'!M111,LEFT('ARDT Cutter Entry'!M111,LEN('ARDT Cutter Entry'!M111)-1)),IF(OR(COUNTIF('ARDT Cutter Entry'!M43,"*X*"),COUNTIF('ARDT Cutter Entry'!M43,"*L*")),'ARDT Cutter Entry'!M43,LEFT('ARDT Cutter Entry'!M43,LEN('ARDT Cutter Entry'!M43)-1))),"")</f>
        <v>X4</v>
      </c>
      <c r="CE15" s="2380"/>
      <c r="CF15" s="2380"/>
      <c r="CG15" s="2380"/>
      <c r="CH15" s="2380"/>
      <c r="CI15" s="2380"/>
      <c r="CJ15" s="2380"/>
      <c r="CK15" s="2380"/>
      <c r="CL15" s="2380" t="str">
        <f>IFERROR(IF('ARDT Cutter Entry'!$C$111&lt;&gt;"",IF(OR(COUNTIF('ARDT Cutter Entry'!N111,"*X*"),COUNTIF('ARDT Cutter Entry'!N111,"*L*")), 'ARDT Cutter Entry'!N111,LEFT('ARDT Cutter Entry'!N111,LEN('ARDT Cutter Entry'!N111)-1)),IF(OR(COUNTIF('ARDT Cutter Entry'!N43,"*X*"),COUNTIF('ARDT Cutter Entry'!N43,"*L*")),'ARDT Cutter Entry'!N43,LEFT('ARDT Cutter Entry'!N43,LEN('ARDT Cutter Entry'!N43)-1))),"")</f>
        <v>X4</v>
      </c>
      <c r="CM15" s="2380"/>
      <c r="CN15" s="2380"/>
      <c r="CO15" s="2380"/>
      <c r="CP15" s="2380"/>
      <c r="CQ15" s="2380"/>
      <c r="CR15" s="2380"/>
      <c r="CS15" s="2380"/>
      <c r="CT15" s="2380" t="str">
        <f>IFERROR(IF('ARDT Cutter Entry'!$C$111&lt;&gt;"",IF(OR(COUNTIF('ARDT Cutter Entry'!O111,"*X*"),COUNTIF('ARDT Cutter Entry'!O111,"*L*")), 'ARDT Cutter Entry'!O111,LEFT('ARDT Cutter Entry'!O111,LEN('ARDT Cutter Entry'!O111)-1)),IF(OR(COUNTIF('ARDT Cutter Entry'!O43,"*X*"),COUNTIF('ARDT Cutter Entry'!O43,"*L*")),'ARDT Cutter Entry'!O43,LEFT('ARDT Cutter Entry'!O43,LEN('ARDT Cutter Entry'!O43)-1))),"")</f>
        <v>R</v>
      </c>
      <c r="CU15" s="2380"/>
      <c r="CV15" s="2380"/>
      <c r="CW15" s="2380"/>
      <c r="CX15" s="2380"/>
      <c r="CY15" s="2380"/>
      <c r="CZ15" s="2380"/>
      <c r="DA15" s="2380"/>
      <c r="DB15" s="2380" t="str">
        <f>IFERROR(IF('ARDT Cutter Entry'!$C$111&lt;&gt;"",IF(OR(COUNTIF('ARDT Cutter Entry'!P111,"*X*"),COUNTIF('ARDT Cutter Entry'!P111,"*L*")), 'ARDT Cutter Entry'!P111,LEFT('ARDT Cutter Entry'!P111,LEN('ARDT Cutter Entry'!P111)-1)),IF(OR(COUNTIF('ARDT Cutter Entry'!P43,"*X*"),COUNTIF('ARDT Cutter Entry'!P43,"*L*")),'ARDT Cutter Entry'!P43,LEFT('ARDT Cutter Entry'!P43,LEN('ARDT Cutter Entry'!P43)-1))),"")</f>
        <v/>
      </c>
      <c r="DC15" s="2380"/>
      <c r="DD15" s="2380"/>
      <c r="DE15" s="2380"/>
      <c r="DF15" s="2380"/>
      <c r="DG15" s="2380"/>
      <c r="DH15" s="2380"/>
      <c r="DI15" s="2380"/>
      <c r="DJ15" s="2380" t="str">
        <f>IFERROR(IF('ARDT Cutter Entry'!$C$111&lt;&gt;"",IF(OR(COUNTIF('ARDT Cutter Entry'!Q111,"*X*"),COUNTIF('ARDT Cutter Entry'!Q111,"*L*")), 'ARDT Cutter Entry'!Q111,LEFT('ARDT Cutter Entry'!Q111,LEN('ARDT Cutter Entry'!Q111)-1)),IF(OR(COUNTIF('ARDT Cutter Entry'!Q43,"*X*"),COUNTIF('ARDT Cutter Entry'!Q43,"*L*")),'ARDT Cutter Entry'!Q43,LEFT('ARDT Cutter Entry'!Q43,LEN('ARDT Cutter Entry'!Q43)-1))),"")</f>
        <v/>
      </c>
      <c r="DK15" s="2380"/>
      <c r="DL15" s="2380"/>
      <c r="DM15" s="2380"/>
      <c r="DN15" s="2380"/>
      <c r="DO15" s="2380"/>
      <c r="DP15" s="2380"/>
      <c r="DQ15" s="2380"/>
      <c r="DR15" s="2380" t="str">
        <f>IFERROR(IF('ARDT Cutter Entry'!$C$111&lt;&gt;"",IF(OR(COUNTIF('ARDT Cutter Entry'!R111,"*X*"),COUNTIF('ARDT Cutter Entry'!R111,"*L*")), 'ARDT Cutter Entry'!R111,LEFT('ARDT Cutter Entry'!R111,LEN('ARDT Cutter Entry'!R111)-1)),IF(OR(COUNTIF('ARDT Cutter Entry'!R43,"*X*"),COUNTIF('ARDT Cutter Entry'!R43,"*L*")),'ARDT Cutter Entry'!R43,LEFT('ARDT Cutter Entry'!R43,LEN('ARDT Cutter Entry'!R43)-1))),"")</f>
        <v/>
      </c>
      <c r="DS15" s="2380"/>
      <c r="DT15" s="2380"/>
      <c r="DU15" s="2380"/>
      <c r="DV15" s="2380"/>
      <c r="DW15" s="2380"/>
      <c r="DX15" s="2380"/>
      <c r="DY15" s="2380"/>
      <c r="DZ15" s="2380" t="str">
        <f>IFERROR(IF('ARDT Cutter Entry'!$C$111&lt;&gt;"",IF(OR(COUNTIF('ARDT Cutter Entry'!S111,"*X*"),COUNTIF('ARDT Cutter Entry'!S111,"*L*")), 'ARDT Cutter Entry'!S111,LEFT('ARDT Cutter Entry'!S111,LEN('ARDT Cutter Entry'!S111)-1)),IF(OR(COUNTIF('ARDT Cutter Entry'!S43,"*X*"),COUNTIF('ARDT Cutter Entry'!S43,"*L*")),'ARDT Cutter Entry'!S43,LEFT('ARDT Cutter Entry'!S43,LEN('ARDT Cutter Entry'!S43)-1))),"")</f>
        <v/>
      </c>
      <c r="EA15" s="2380"/>
      <c r="EB15" s="2380"/>
      <c r="EC15" s="2380"/>
      <c r="ED15" s="2380"/>
      <c r="EE15" s="2380"/>
      <c r="EF15" s="2380"/>
      <c r="EG15" s="2380"/>
      <c r="EH15" s="2380" t="str">
        <f>IFERROR(IF('ARDT Cutter Entry'!$C$111&lt;&gt;"",IF(OR(COUNTIF('ARDT Cutter Entry'!T111,"*X*"),COUNTIF('ARDT Cutter Entry'!T111,"*L*")), 'ARDT Cutter Entry'!T111,LEFT('ARDT Cutter Entry'!T111,LEN('ARDT Cutter Entry'!T111)-1)),IF(OR(COUNTIF('ARDT Cutter Entry'!T43,"*X*"),COUNTIF('ARDT Cutter Entry'!T43,"*L*")),'ARDT Cutter Entry'!T43,LEFT('ARDT Cutter Entry'!T43,LEN('ARDT Cutter Entry'!T43)-1))),"")</f>
        <v/>
      </c>
      <c r="EI15" s="2380"/>
      <c r="EJ15" s="2380"/>
      <c r="EK15" s="2380"/>
      <c r="EL15" s="2380"/>
      <c r="EM15" s="2380"/>
      <c r="EN15" s="2380"/>
      <c r="EO15" s="2380"/>
      <c r="EP15" s="2380" t="str">
        <f>IFERROR(IF('ARDT Cutter Entry'!$C$111&lt;&gt;"",IF(OR(COUNTIF('ARDT Cutter Entry'!U111,"*X*"),COUNTIF('ARDT Cutter Entry'!U111,"*L*")), 'ARDT Cutter Entry'!U111,LEFT('ARDT Cutter Entry'!U111,LEN('ARDT Cutter Entry'!U111)-1)),IF(OR(COUNTIF('ARDT Cutter Entry'!U43,"*X*"),COUNTIF('ARDT Cutter Entry'!U43,"*L*")),'ARDT Cutter Entry'!U43,LEFT('ARDT Cutter Entry'!U43,LEN('ARDT Cutter Entry'!U43)-1))),"")</f>
        <v/>
      </c>
      <c r="EQ15" s="2380"/>
      <c r="ER15" s="2380"/>
      <c r="ES15" s="2380"/>
      <c r="ET15" s="2380"/>
      <c r="EU15" s="2380"/>
      <c r="EV15" s="2380"/>
      <c r="EW15" s="2380"/>
      <c r="EX15" s="2380" t="str">
        <f>IFERROR(IF('ARDT Cutter Entry'!$C$111&lt;&gt;"",IF(OR(COUNTIF('ARDT Cutter Entry'!V111,"*X*"),COUNTIF('ARDT Cutter Entry'!V111,"*L*")), 'ARDT Cutter Entry'!V111,LEFT('ARDT Cutter Entry'!V111,LEN('ARDT Cutter Entry'!V111)-1)),IF(OR(COUNTIF('ARDT Cutter Entry'!V43,"*X*"),COUNTIF('ARDT Cutter Entry'!V43,"*L*")),'ARDT Cutter Entry'!V43,LEFT('ARDT Cutter Entry'!V43,LEN('ARDT Cutter Entry'!V43)-1))),"")</f>
        <v/>
      </c>
      <c r="EY15" s="2380"/>
      <c r="EZ15" s="2380"/>
      <c r="FA15" s="2380"/>
      <c r="FB15" s="2380"/>
      <c r="FC15" s="2380"/>
      <c r="FD15" s="2380"/>
      <c r="FE15" s="2380"/>
      <c r="FF15" s="2380" t="str">
        <f>IFERROR(IF('ARDT Cutter Entry'!$C$111&lt;&gt;"",IF(OR(COUNTIF('ARDT Cutter Entry'!W111,"*X*"),COUNTIF('ARDT Cutter Entry'!W111,"*L*")), 'ARDT Cutter Entry'!W111,LEFT('ARDT Cutter Entry'!W111,LEN('ARDT Cutter Entry'!W111)-1)),IF(OR(COUNTIF('ARDT Cutter Entry'!W43,"*X*"),COUNTIF('ARDT Cutter Entry'!W43,"*L*")),'ARDT Cutter Entry'!W43,LEFT('ARDT Cutter Entry'!W43,LEN('ARDT Cutter Entry'!W43)-1))),"")</f>
        <v/>
      </c>
      <c r="FG15" s="2380"/>
      <c r="FH15" s="2380"/>
      <c r="FI15" s="2380"/>
      <c r="FJ15" s="2380"/>
      <c r="FK15" s="2380"/>
      <c r="FL15" s="2380"/>
      <c r="FM15" s="2380"/>
      <c r="FN15" s="2380" t="str">
        <f>IFERROR(IF('ARDT Cutter Entry'!$C$111&lt;&gt;"",IF(OR(COUNTIF('ARDT Cutter Entry'!X111,"*X*"),COUNTIF('ARDT Cutter Entry'!X111,"*L*")), 'ARDT Cutter Entry'!X111,LEFT('ARDT Cutter Entry'!X111,LEN('ARDT Cutter Entry'!X111)-1)),IF(OR(COUNTIF('ARDT Cutter Entry'!X43,"*X*"),COUNTIF('ARDT Cutter Entry'!X43,"*L*")),'ARDT Cutter Entry'!X43,LEFT('ARDT Cutter Entry'!X43,LEN('ARDT Cutter Entry'!X43)-1))),"")</f>
        <v/>
      </c>
      <c r="FO15" s="2380"/>
      <c r="FP15" s="2380"/>
      <c r="FQ15" s="2380"/>
      <c r="FR15" s="2380"/>
      <c r="FS15" s="2380"/>
      <c r="FT15" s="2380"/>
      <c r="FU15" s="2380"/>
      <c r="FV15" s="2380" t="str">
        <f>IFERROR(IF('ARDT Cutter Entry'!$C$111&lt;&gt;"",IF(OR(COUNTIF('ARDT Cutter Entry'!Y111,"*X*"),COUNTIF('ARDT Cutter Entry'!Y111,"*L*")), 'ARDT Cutter Entry'!Y111,LEFT('ARDT Cutter Entry'!Y111,LEN('ARDT Cutter Entry'!Y111)-1)),IF(OR(COUNTIF('ARDT Cutter Entry'!Y43,"*X*"),COUNTIF('ARDT Cutter Entry'!Y43,"*L*")),'ARDT Cutter Entry'!Y43,LEFT('ARDT Cutter Entry'!Y43,LEN('ARDT Cutter Entry'!Y43)-1))),"")</f>
        <v/>
      </c>
      <c r="FW15" s="2380"/>
      <c r="FX15" s="2380"/>
      <c r="FY15" s="2380"/>
      <c r="FZ15" s="2380"/>
      <c r="GA15" s="2380"/>
      <c r="GB15" s="2380"/>
      <c r="GC15" s="2380"/>
      <c r="GD15" s="2384"/>
      <c r="GE15" s="2384"/>
      <c r="GF15" s="2384"/>
      <c r="GG15" s="2384"/>
    </row>
    <row r="16" spans="1:200" ht="44.25" customHeight="1" x14ac:dyDescent="0.55000000000000004">
      <c r="A16" s="338">
        <v>2</v>
      </c>
      <c r="B16" s="2380" t="str">
        <f>IFERROR(IF('ARDT Cutter Entry'!$C$111&lt;&gt;"",IF(OR(COUNTIF('ARDT Cutter Entry'!C112,"*X*"),COUNTIF('ARDT Cutter Entry'!C112,"*L*")), 'ARDT Cutter Entry'!C112,LEFT('ARDT Cutter Entry'!C112,LEN('ARDT Cutter Entry'!C112)-1)),IF(OR(COUNTIF('ARDT Cutter Entry'!C44,"*X*"),COUNTIF('ARDT Cutter Entry'!C44,"*L*")),'ARDT Cutter Entry'!C44,LEFT('ARDT Cutter Entry'!C44,LEN('ARDT Cutter Entry'!C44)-1))),"")</f>
        <v>X5</v>
      </c>
      <c r="C16" s="2380"/>
      <c r="D16" s="2380"/>
      <c r="E16" s="2380"/>
      <c r="F16" s="2380"/>
      <c r="G16" s="2380"/>
      <c r="H16" s="2380"/>
      <c r="I16" s="2380"/>
      <c r="J16" s="2380" t="str">
        <f>IFERROR(IF('ARDT Cutter Entry'!$C$111&lt;&gt;"",IF(OR(COUNTIF('ARDT Cutter Entry'!D112,"*X*"),COUNTIF('ARDT Cutter Entry'!D112,"*L*")), 'ARDT Cutter Entry'!D112,LEFT('ARDT Cutter Entry'!D112,LEN('ARDT Cutter Entry'!D112)-1)),IF(OR(COUNTIF('ARDT Cutter Entry'!D44,"*X*"),COUNTIF('ARDT Cutter Entry'!D44,"*L*")),'ARDT Cutter Entry'!D44,LEFT('ARDT Cutter Entry'!D44,LEN('ARDT Cutter Entry'!D44)-1))),"")</f>
        <v>X5</v>
      </c>
      <c r="K16" s="2380"/>
      <c r="L16" s="2380"/>
      <c r="M16" s="2380"/>
      <c r="N16" s="2380"/>
      <c r="O16" s="2380"/>
      <c r="P16" s="2380"/>
      <c r="Q16" s="2380"/>
      <c r="R16" s="2380" t="str">
        <f>IFERROR(IF('ARDT Cutter Entry'!$C$111&lt;&gt;"",IF(OR(COUNTIF('ARDT Cutter Entry'!E112,"*X*"),COUNTIF('ARDT Cutter Entry'!E112,"*L*")), 'ARDT Cutter Entry'!E112,LEFT('ARDT Cutter Entry'!E112,LEN('ARDT Cutter Entry'!E112)-1)),IF(OR(COUNTIF('ARDT Cutter Entry'!E44,"*X*"),COUNTIF('ARDT Cutter Entry'!E44,"*L*")),'ARDT Cutter Entry'!E44,LEFT('ARDT Cutter Entry'!E44,LEN('ARDT Cutter Entry'!E44)-1))),"")</f>
        <v>X5</v>
      </c>
      <c r="S16" s="2380"/>
      <c r="T16" s="2380"/>
      <c r="U16" s="2380"/>
      <c r="V16" s="2380"/>
      <c r="W16" s="2380"/>
      <c r="X16" s="2380"/>
      <c r="Y16" s="2380"/>
      <c r="Z16" s="2380" t="str">
        <f>IFERROR(IF('ARDT Cutter Entry'!$C$111&lt;&gt;"",IF(OR(COUNTIF('ARDT Cutter Entry'!F112,"*X*"),COUNTIF('ARDT Cutter Entry'!F112,"*L*")), 'ARDT Cutter Entry'!F112,LEFT('ARDT Cutter Entry'!F112,LEN('ARDT Cutter Entry'!F112)-1)),IF(OR(COUNTIF('ARDT Cutter Entry'!F44,"*X*"),COUNTIF('ARDT Cutter Entry'!F44,"*L*")),'ARDT Cutter Entry'!F44,LEFT('ARDT Cutter Entry'!F44,LEN('ARDT Cutter Entry'!F44)-1))),"")</f>
        <v>R</v>
      </c>
      <c r="AA16" s="2380"/>
      <c r="AB16" s="2380"/>
      <c r="AC16" s="2380"/>
      <c r="AD16" s="2380"/>
      <c r="AE16" s="2380"/>
      <c r="AF16" s="2380"/>
      <c r="AG16" s="2380"/>
      <c r="AH16" s="2380" t="str">
        <f>IFERROR(IF('ARDT Cutter Entry'!$C$111&lt;&gt;"",IF(OR(COUNTIF('ARDT Cutter Entry'!G112,"*X*"),COUNTIF('ARDT Cutter Entry'!G112,"*L*")), 'ARDT Cutter Entry'!G112,LEFT('ARDT Cutter Entry'!G112,LEN('ARDT Cutter Entry'!G112)-1)),IF(OR(COUNTIF('ARDT Cutter Entry'!G44,"*X*"),COUNTIF('ARDT Cutter Entry'!G44,"*L*")),'ARDT Cutter Entry'!G44,LEFT('ARDT Cutter Entry'!G44,LEN('ARDT Cutter Entry'!G44)-1))),"")</f>
        <v>X3</v>
      </c>
      <c r="AI16" s="2380"/>
      <c r="AJ16" s="2380"/>
      <c r="AK16" s="2380"/>
      <c r="AL16" s="2380"/>
      <c r="AM16" s="2380"/>
      <c r="AN16" s="2380"/>
      <c r="AO16" s="2380"/>
      <c r="AP16" s="2380" t="str">
        <f>IFERROR(IF('ARDT Cutter Entry'!$C$111&lt;&gt;"",IF(OR(COUNTIF('ARDT Cutter Entry'!H112,"*X*"),COUNTIF('ARDT Cutter Entry'!H112,"*L*")), 'ARDT Cutter Entry'!H112,LEFT('ARDT Cutter Entry'!H112,LEN('ARDT Cutter Entry'!H112)-1)),IF(OR(COUNTIF('ARDT Cutter Entry'!H44,"*X*"),COUNTIF('ARDT Cutter Entry'!H44,"*L*")),'ARDT Cutter Entry'!H44,LEFT('ARDT Cutter Entry'!H44,LEN('ARDT Cutter Entry'!H44)-1))),"")</f>
        <v/>
      </c>
      <c r="AQ16" s="2380"/>
      <c r="AR16" s="2380"/>
      <c r="AS16" s="2380"/>
      <c r="AT16" s="2380"/>
      <c r="AU16" s="2380"/>
      <c r="AV16" s="2380"/>
      <c r="AW16" s="2380"/>
      <c r="AX16" s="2380" t="str">
        <f>IFERROR(IF('ARDT Cutter Entry'!$C$111&lt;&gt;"",IF(OR(COUNTIF('ARDT Cutter Entry'!I112,"*X*"),COUNTIF('ARDT Cutter Entry'!I112,"*L*")), 'ARDT Cutter Entry'!I112,LEFT('ARDT Cutter Entry'!I112,LEN('ARDT Cutter Entry'!I112)-1)),IF(OR(COUNTIF('ARDT Cutter Entry'!I44,"*X*"),COUNTIF('ARDT Cutter Entry'!I44,"*L*")),'ARDT Cutter Entry'!I44,LEFT('ARDT Cutter Entry'!I44,LEN('ARDT Cutter Entry'!I44)-1))),"")</f>
        <v/>
      </c>
      <c r="AY16" s="2380"/>
      <c r="AZ16" s="2380"/>
      <c r="BA16" s="2380"/>
      <c r="BB16" s="2380"/>
      <c r="BC16" s="2380"/>
      <c r="BD16" s="2380"/>
      <c r="BE16" s="2380"/>
      <c r="BF16" s="2380" t="str">
        <f>IFERROR(IF('ARDT Cutter Entry'!$C$111&lt;&gt;"",IF(OR(COUNTIF('ARDT Cutter Entry'!J112,"*X*"),COUNTIF('ARDT Cutter Entry'!J112,"*L*")), 'ARDT Cutter Entry'!J112,LEFT('ARDT Cutter Entry'!J112,LEN('ARDT Cutter Entry'!J112)-1)),IF(OR(COUNTIF('ARDT Cutter Entry'!J44,"*X*"),COUNTIF('ARDT Cutter Entry'!J44,"*L*")),'ARDT Cutter Entry'!J44,LEFT('ARDT Cutter Entry'!J44,LEN('ARDT Cutter Entry'!J44)-1))),"")</f>
        <v/>
      </c>
      <c r="BG16" s="2380"/>
      <c r="BH16" s="2380"/>
      <c r="BI16" s="2380"/>
      <c r="BJ16" s="2380"/>
      <c r="BK16" s="2380"/>
      <c r="BL16" s="2380"/>
      <c r="BM16" s="2380"/>
      <c r="BN16" s="2380" t="str">
        <f>IFERROR(IF('ARDT Cutter Entry'!$C$111&lt;&gt;"",IF(OR(COUNTIF('ARDT Cutter Entry'!K112,"*X*"),COUNTIF('ARDT Cutter Entry'!K112,"*L*")), 'ARDT Cutter Entry'!K112,LEFT('ARDT Cutter Entry'!K112,LEN('ARDT Cutter Entry'!K112)-1)),IF(OR(COUNTIF('ARDT Cutter Entry'!K44,"*X*"),COUNTIF('ARDT Cutter Entry'!K44,"*L*")),'ARDT Cutter Entry'!K44,LEFT('ARDT Cutter Entry'!K44,LEN('ARDT Cutter Entry'!K44)-1))),"")</f>
        <v/>
      </c>
      <c r="BO16" s="2380"/>
      <c r="BP16" s="2380"/>
      <c r="BQ16" s="2380"/>
      <c r="BR16" s="2380"/>
      <c r="BS16" s="2380"/>
      <c r="BT16" s="2380"/>
      <c r="BU16" s="2380"/>
      <c r="BV16" s="2380" t="str">
        <f>IFERROR(IF('ARDT Cutter Entry'!$C$111&lt;&gt;"",IF(OR(COUNTIF('ARDT Cutter Entry'!L112,"*X*"),COUNTIF('ARDT Cutter Entry'!L112,"*L*")), 'ARDT Cutter Entry'!L112,LEFT('ARDT Cutter Entry'!L112,LEN('ARDT Cutter Entry'!L112)-1)),IF(OR(COUNTIF('ARDT Cutter Entry'!L44,"*X*"),COUNTIF('ARDT Cutter Entry'!L44,"*L*")),'ARDT Cutter Entry'!L44,LEFT('ARDT Cutter Entry'!L44,LEN('ARDT Cutter Entry'!L44)-1))),"")</f>
        <v>S</v>
      </c>
      <c r="BW16" s="2380"/>
      <c r="BX16" s="2380"/>
      <c r="BY16" s="2380"/>
      <c r="BZ16" s="2380"/>
      <c r="CA16" s="2380"/>
      <c r="CB16" s="2380"/>
      <c r="CC16" s="2380"/>
      <c r="CD16" s="2380" t="str">
        <f>IFERROR(IF('ARDT Cutter Entry'!$C$111&lt;&gt;"",IF(OR(COUNTIF('ARDT Cutter Entry'!M112,"*X*"),COUNTIF('ARDT Cutter Entry'!M112,"*L*")), 'ARDT Cutter Entry'!M112,LEFT('ARDT Cutter Entry'!M112,LEN('ARDT Cutter Entry'!M112)-1)),IF(OR(COUNTIF('ARDT Cutter Entry'!M44,"*X*"),COUNTIF('ARDT Cutter Entry'!M44,"*L*")),'ARDT Cutter Entry'!M44,LEFT('ARDT Cutter Entry'!M44,LEN('ARDT Cutter Entry'!M44)-1))),"")</f>
        <v>R</v>
      </c>
      <c r="CE16" s="2380"/>
      <c r="CF16" s="2380"/>
      <c r="CG16" s="2380"/>
      <c r="CH16" s="2380"/>
      <c r="CI16" s="2380"/>
      <c r="CJ16" s="2380"/>
      <c r="CK16" s="2380"/>
      <c r="CL16" s="2380" t="str">
        <f>IFERROR(IF('ARDT Cutter Entry'!$C$111&lt;&gt;"",IF(OR(COUNTIF('ARDT Cutter Entry'!N112,"*X*"),COUNTIF('ARDT Cutter Entry'!N112,"*L*")), 'ARDT Cutter Entry'!N112,LEFT('ARDT Cutter Entry'!N112,LEN('ARDT Cutter Entry'!N112)-1)),IF(OR(COUNTIF('ARDT Cutter Entry'!N44,"*X*"),COUNTIF('ARDT Cutter Entry'!N44,"*L*")),'ARDT Cutter Entry'!N44,LEFT('ARDT Cutter Entry'!N44,LEN('ARDT Cutter Entry'!N44)-1))),"")</f>
        <v>X4</v>
      </c>
      <c r="CM16" s="2380"/>
      <c r="CN16" s="2380"/>
      <c r="CO16" s="2380"/>
      <c r="CP16" s="2380"/>
      <c r="CQ16" s="2380"/>
      <c r="CR16" s="2380"/>
      <c r="CS16" s="2380"/>
      <c r="CT16" s="2380" t="str">
        <f>IFERROR(IF('ARDT Cutter Entry'!$C$111&lt;&gt;"",IF(OR(COUNTIF('ARDT Cutter Entry'!O112,"*X*"),COUNTIF('ARDT Cutter Entry'!O112,"*L*")), 'ARDT Cutter Entry'!O112,LEFT('ARDT Cutter Entry'!O112,LEN('ARDT Cutter Entry'!O112)-1)),IF(OR(COUNTIF('ARDT Cutter Entry'!O44,"*X*"),COUNTIF('ARDT Cutter Entry'!O44,"*L*")),'ARDT Cutter Entry'!O44,LEFT('ARDT Cutter Entry'!O44,LEN('ARDT Cutter Entry'!O44)-1))),"")</f>
        <v>R</v>
      </c>
      <c r="CU16" s="2380"/>
      <c r="CV16" s="2380"/>
      <c r="CW16" s="2380"/>
      <c r="CX16" s="2380"/>
      <c r="CY16" s="2380"/>
      <c r="CZ16" s="2380"/>
      <c r="DA16" s="2380"/>
      <c r="DB16" s="2380" t="str">
        <f>IFERROR(IF('ARDT Cutter Entry'!$C$111&lt;&gt;"",IF(OR(COUNTIF('ARDT Cutter Entry'!P112,"*X*"),COUNTIF('ARDT Cutter Entry'!P112,"*L*")), 'ARDT Cutter Entry'!P112,LEFT('ARDT Cutter Entry'!P112,LEN('ARDT Cutter Entry'!P112)-1)),IF(OR(COUNTIF('ARDT Cutter Entry'!P44,"*X*"),COUNTIF('ARDT Cutter Entry'!P44,"*L*")),'ARDT Cutter Entry'!P44,LEFT('ARDT Cutter Entry'!P44,LEN('ARDT Cutter Entry'!P44)-1))),"")</f>
        <v/>
      </c>
      <c r="DC16" s="2380"/>
      <c r="DD16" s="2380"/>
      <c r="DE16" s="2380"/>
      <c r="DF16" s="2380"/>
      <c r="DG16" s="2380"/>
      <c r="DH16" s="2380"/>
      <c r="DI16" s="2380"/>
      <c r="DJ16" s="2380" t="str">
        <f>IFERROR(IF('ARDT Cutter Entry'!$C$111&lt;&gt;"",IF(OR(COUNTIF('ARDT Cutter Entry'!Q112,"*X*"),COUNTIF('ARDT Cutter Entry'!Q112,"*L*")), 'ARDT Cutter Entry'!Q112,LEFT('ARDT Cutter Entry'!Q112,LEN('ARDT Cutter Entry'!Q112)-1)),IF(OR(COUNTIF('ARDT Cutter Entry'!Q44,"*X*"),COUNTIF('ARDT Cutter Entry'!Q44,"*L*")),'ARDT Cutter Entry'!Q44,LEFT('ARDT Cutter Entry'!Q44,LEN('ARDT Cutter Entry'!Q44)-1))),"")</f>
        <v/>
      </c>
      <c r="DK16" s="2380"/>
      <c r="DL16" s="2380"/>
      <c r="DM16" s="2380"/>
      <c r="DN16" s="2380"/>
      <c r="DO16" s="2380"/>
      <c r="DP16" s="2380"/>
      <c r="DQ16" s="2380"/>
      <c r="DR16" s="2380" t="str">
        <f>IFERROR(IF('ARDT Cutter Entry'!$C$111&lt;&gt;"",IF(OR(COUNTIF('ARDT Cutter Entry'!R112,"*X*"),COUNTIF('ARDT Cutter Entry'!R112,"*L*")), 'ARDT Cutter Entry'!R112,LEFT('ARDT Cutter Entry'!R112,LEN('ARDT Cutter Entry'!R112)-1)),IF(OR(COUNTIF('ARDT Cutter Entry'!R44,"*X*"),COUNTIF('ARDT Cutter Entry'!R44,"*L*")),'ARDT Cutter Entry'!R44,LEFT('ARDT Cutter Entry'!R44,LEN('ARDT Cutter Entry'!R44)-1))),"")</f>
        <v/>
      </c>
      <c r="DS16" s="2380"/>
      <c r="DT16" s="2380"/>
      <c r="DU16" s="2380"/>
      <c r="DV16" s="2380"/>
      <c r="DW16" s="2380"/>
      <c r="DX16" s="2380"/>
      <c r="DY16" s="2380"/>
      <c r="DZ16" s="2380" t="str">
        <f>IFERROR(IF('ARDT Cutter Entry'!$C$111&lt;&gt;"",IF(OR(COUNTIF('ARDT Cutter Entry'!S112,"*X*"),COUNTIF('ARDT Cutter Entry'!S112,"*L*")), 'ARDT Cutter Entry'!S112,LEFT('ARDT Cutter Entry'!S112,LEN('ARDT Cutter Entry'!S112)-1)),IF(OR(COUNTIF('ARDT Cutter Entry'!S44,"*X*"),COUNTIF('ARDT Cutter Entry'!S44,"*L*")),'ARDT Cutter Entry'!S44,LEFT('ARDT Cutter Entry'!S44,LEN('ARDT Cutter Entry'!S44)-1))),"")</f>
        <v/>
      </c>
      <c r="EA16" s="2380"/>
      <c r="EB16" s="2380"/>
      <c r="EC16" s="2380"/>
      <c r="ED16" s="2380"/>
      <c r="EE16" s="2380"/>
      <c r="EF16" s="2380"/>
      <c r="EG16" s="2380"/>
      <c r="EH16" s="2380" t="str">
        <f>IFERROR(IF('ARDT Cutter Entry'!$C$111&lt;&gt;"",IF(OR(COUNTIF('ARDT Cutter Entry'!T112,"*X*"),COUNTIF('ARDT Cutter Entry'!T112,"*L*")), 'ARDT Cutter Entry'!T112,LEFT('ARDT Cutter Entry'!T112,LEN('ARDT Cutter Entry'!T112)-1)),IF(OR(COUNTIF('ARDT Cutter Entry'!T44,"*X*"),COUNTIF('ARDT Cutter Entry'!T44,"*L*")),'ARDT Cutter Entry'!T44,LEFT('ARDT Cutter Entry'!T44,LEN('ARDT Cutter Entry'!T44)-1))),"")</f>
        <v/>
      </c>
      <c r="EI16" s="2380"/>
      <c r="EJ16" s="2380"/>
      <c r="EK16" s="2380"/>
      <c r="EL16" s="2380"/>
      <c r="EM16" s="2380"/>
      <c r="EN16" s="2380"/>
      <c r="EO16" s="2380"/>
      <c r="EP16" s="2380" t="str">
        <f>IFERROR(IF('ARDT Cutter Entry'!$C$111&lt;&gt;"",IF(OR(COUNTIF('ARDT Cutter Entry'!U112,"*X*"),COUNTIF('ARDT Cutter Entry'!U112,"*L*")), 'ARDT Cutter Entry'!U112,LEFT('ARDT Cutter Entry'!U112,LEN('ARDT Cutter Entry'!U112)-1)),IF(OR(COUNTIF('ARDT Cutter Entry'!U44,"*X*"),COUNTIF('ARDT Cutter Entry'!U44,"*L*")),'ARDT Cutter Entry'!U44,LEFT('ARDT Cutter Entry'!U44,LEN('ARDT Cutter Entry'!U44)-1))),"")</f>
        <v/>
      </c>
      <c r="EQ16" s="2380"/>
      <c r="ER16" s="2380"/>
      <c r="ES16" s="2380"/>
      <c r="ET16" s="2380"/>
      <c r="EU16" s="2380"/>
      <c r="EV16" s="2380"/>
      <c r="EW16" s="2380"/>
      <c r="EX16" s="2380" t="str">
        <f>IFERROR(IF('ARDT Cutter Entry'!$C$111&lt;&gt;"",IF(OR(COUNTIF('ARDT Cutter Entry'!V112,"*X*"),COUNTIF('ARDT Cutter Entry'!V112,"*L*")), 'ARDT Cutter Entry'!V112,LEFT('ARDT Cutter Entry'!V112,LEN('ARDT Cutter Entry'!V112)-1)),IF(OR(COUNTIF('ARDT Cutter Entry'!V44,"*X*"),COUNTIF('ARDT Cutter Entry'!V44,"*L*")),'ARDT Cutter Entry'!V44,LEFT('ARDT Cutter Entry'!V44,LEN('ARDT Cutter Entry'!V44)-1))),"")</f>
        <v/>
      </c>
      <c r="EY16" s="2380"/>
      <c r="EZ16" s="2380"/>
      <c r="FA16" s="2380"/>
      <c r="FB16" s="2380"/>
      <c r="FC16" s="2380"/>
      <c r="FD16" s="2380"/>
      <c r="FE16" s="2380"/>
      <c r="FF16" s="2380" t="str">
        <f>IFERROR(IF('ARDT Cutter Entry'!$C$111&lt;&gt;"",IF(OR(COUNTIF('ARDT Cutter Entry'!W112,"*X*"),COUNTIF('ARDT Cutter Entry'!W112,"*L*")), 'ARDT Cutter Entry'!W112,LEFT('ARDT Cutter Entry'!W112,LEN('ARDT Cutter Entry'!W112)-1)),IF(OR(COUNTIF('ARDT Cutter Entry'!W44,"*X*"),COUNTIF('ARDT Cutter Entry'!W44,"*L*")),'ARDT Cutter Entry'!W44,LEFT('ARDT Cutter Entry'!W44,LEN('ARDT Cutter Entry'!W44)-1))),"")</f>
        <v/>
      </c>
      <c r="FG16" s="2380"/>
      <c r="FH16" s="2380"/>
      <c r="FI16" s="2380"/>
      <c r="FJ16" s="2380"/>
      <c r="FK16" s="2380"/>
      <c r="FL16" s="2380"/>
      <c r="FM16" s="2380"/>
      <c r="FN16" s="2380" t="str">
        <f>IFERROR(IF('ARDT Cutter Entry'!$C$111&lt;&gt;"",IF(OR(COUNTIF('ARDT Cutter Entry'!X112,"*X*"),COUNTIF('ARDT Cutter Entry'!X112,"*L*")), 'ARDT Cutter Entry'!X112,LEFT('ARDT Cutter Entry'!X112,LEN('ARDT Cutter Entry'!X112)-1)),IF(OR(COUNTIF('ARDT Cutter Entry'!X44,"*X*"),COUNTIF('ARDT Cutter Entry'!X44,"*L*")),'ARDT Cutter Entry'!X44,LEFT('ARDT Cutter Entry'!X44,LEN('ARDT Cutter Entry'!X44)-1))),"")</f>
        <v/>
      </c>
      <c r="FO16" s="2380"/>
      <c r="FP16" s="2380"/>
      <c r="FQ16" s="2380"/>
      <c r="FR16" s="2380"/>
      <c r="FS16" s="2380"/>
      <c r="FT16" s="2380"/>
      <c r="FU16" s="2380"/>
      <c r="FV16" s="2380" t="str">
        <f>IFERROR(IF('ARDT Cutter Entry'!$C$111&lt;&gt;"",IF(OR(COUNTIF('ARDT Cutter Entry'!Y112,"*X*"),COUNTIF('ARDT Cutter Entry'!Y112,"*L*")), 'ARDT Cutter Entry'!Y112,LEFT('ARDT Cutter Entry'!Y112,LEN('ARDT Cutter Entry'!Y112)-1)),IF(OR(COUNTIF('ARDT Cutter Entry'!Y44,"*X*"),COUNTIF('ARDT Cutter Entry'!Y44,"*L*")),'ARDT Cutter Entry'!Y44,LEFT('ARDT Cutter Entry'!Y44,LEN('ARDT Cutter Entry'!Y44)-1))),"")</f>
        <v/>
      </c>
      <c r="FW16" s="2380"/>
      <c r="FX16" s="2380"/>
      <c r="FY16" s="2380"/>
      <c r="FZ16" s="2380"/>
      <c r="GA16" s="2380"/>
      <c r="GB16" s="2380"/>
      <c r="GC16" s="2380"/>
      <c r="GD16" s="2384"/>
      <c r="GE16" s="2384"/>
      <c r="GF16" s="2384"/>
      <c r="GG16" s="2384"/>
    </row>
    <row r="17" spans="1:235" ht="44.25" customHeight="1" x14ac:dyDescent="0.55000000000000004">
      <c r="A17" s="338">
        <v>3</v>
      </c>
      <c r="B17" s="2380" t="str">
        <f>IFERROR(IF('ARDT Cutter Entry'!$C$111&lt;&gt;"",IF(OR(COUNTIF('ARDT Cutter Entry'!C113,"*X*"),COUNTIF('ARDT Cutter Entry'!C113,"*L*")), 'ARDT Cutter Entry'!C113,LEFT('ARDT Cutter Entry'!C113,LEN('ARDT Cutter Entry'!C113)-1)),IF(OR(COUNTIF('ARDT Cutter Entry'!C45,"*X*"),COUNTIF('ARDT Cutter Entry'!C45,"*L*")),'ARDT Cutter Entry'!C45,LEFT('ARDT Cutter Entry'!C45,LEN('ARDT Cutter Entry'!C45)-1))),"")</f>
        <v>R</v>
      </c>
      <c r="C17" s="2380"/>
      <c r="D17" s="2380"/>
      <c r="E17" s="2380"/>
      <c r="F17" s="2380"/>
      <c r="G17" s="2380"/>
      <c r="H17" s="2380"/>
      <c r="I17" s="2380"/>
      <c r="J17" s="2380" t="str">
        <f>IFERROR(IF('ARDT Cutter Entry'!$C$111&lt;&gt;"",IF(OR(COUNTIF('ARDT Cutter Entry'!D113,"*X*"),COUNTIF('ARDT Cutter Entry'!D113,"*L*")), 'ARDT Cutter Entry'!D113,LEFT('ARDT Cutter Entry'!D113,LEN('ARDT Cutter Entry'!D113)-1)),IF(OR(COUNTIF('ARDT Cutter Entry'!D45,"*X*"),COUNTIF('ARDT Cutter Entry'!D45,"*L*")),'ARDT Cutter Entry'!D45,LEFT('ARDT Cutter Entry'!D45,LEN('ARDT Cutter Entry'!D45)-1))),"")</f>
        <v>R</v>
      </c>
      <c r="K17" s="2380"/>
      <c r="L17" s="2380"/>
      <c r="M17" s="2380"/>
      <c r="N17" s="2380"/>
      <c r="O17" s="2380"/>
      <c r="P17" s="2380"/>
      <c r="Q17" s="2380"/>
      <c r="R17" s="2380" t="str">
        <f>IFERROR(IF('ARDT Cutter Entry'!$C$111&lt;&gt;"",IF(OR(COUNTIF('ARDT Cutter Entry'!E113,"*X*"),COUNTIF('ARDT Cutter Entry'!E113,"*L*")), 'ARDT Cutter Entry'!E113,LEFT('ARDT Cutter Entry'!E113,LEN('ARDT Cutter Entry'!E113)-1)),IF(OR(COUNTIF('ARDT Cutter Entry'!E45,"*X*"),COUNTIF('ARDT Cutter Entry'!E45,"*L*")),'ARDT Cutter Entry'!E45,LEFT('ARDT Cutter Entry'!E45,LEN('ARDT Cutter Entry'!E45)-1))),"")</f>
        <v>R</v>
      </c>
      <c r="S17" s="2380"/>
      <c r="T17" s="2380"/>
      <c r="U17" s="2380"/>
      <c r="V17" s="2380"/>
      <c r="W17" s="2380"/>
      <c r="X17" s="2380"/>
      <c r="Y17" s="2380"/>
      <c r="Z17" s="2380" t="str">
        <f>IFERROR(IF('ARDT Cutter Entry'!$C$111&lt;&gt;"",IF(OR(COUNTIF('ARDT Cutter Entry'!F113,"*X*"),COUNTIF('ARDT Cutter Entry'!F113,"*L*")), 'ARDT Cutter Entry'!F113,LEFT('ARDT Cutter Entry'!F113,LEN('ARDT Cutter Entry'!F113)-1)),IF(OR(COUNTIF('ARDT Cutter Entry'!F45,"*X*"),COUNTIF('ARDT Cutter Entry'!F45,"*L*")),'ARDT Cutter Entry'!F45,LEFT('ARDT Cutter Entry'!F45,LEN('ARDT Cutter Entry'!F45)-1))),"")</f>
        <v>X5</v>
      </c>
      <c r="AA17" s="2380"/>
      <c r="AB17" s="2380"/>
      <c r="AC17" s="2380"/>
      <c r="AD17" s="2380"/>
      <c r="AE17" s="2380"/>
      <c r="AF17" s="2380"/>
      <c r="AG17" s="2380"/>
      <c r="AH17" s="2380" t="str">
        <f>IFERROR(IF('ARDT Cutter Entry'!$C$111&lt;&gt;"",IF(OR(COUNTIF('ARDT Cutter Entry'!G113,"*X*"),COUNTIF('ARDT Cutter Entry'!G113,"*L*")), 'ARDT Cutter Entry'!G113,LEFT('ARDT Cutter Entry'!G113,LEN('ARDT Cutter Entry'!G113)-1)),IF(OR(COUNTIF('ARDT Cutter Entry'!G45,"*X*"),COUNTIF('ARDT Cutter Entry'!G45,"*L*")),'ARDT Cutter Entry'!G45,LEFT('ARDT Cutter Entry'!G45,LEN('ARDT Cutter Entry'!G45)-1))),"")</f>
        <v>X5</v>
      </c>
      <c r="AI17" s="2380"/>
      <c r="AJ17" s="2380"/>
      <c r="AK17" s="2380"/>
      <c r="AL17" s="2380"/>
      <c r="AM17" s="2380"/>
      <c r="AN17" s="2380"/>
      <c r="AO17" s="2380"/>
      <c r="AP17" s="2380" t="str">
        <f>IFERROR(IF('ARDT Cutter Entry'!$C$111&lt;&gt;"",IF(OR(COUNTIF('ARDT Cutter Entry'!H113,"*X*"),COUNTIF('ARDT Cutter Entry'!H113,"*L*")), 'ARDT Cutter Entry'!H113,LEFT('ARDT Cutter Entry'!H113,LEN('ARDT Cutter Entry'!H113)-1)),IF(OR(COUNTIF('ARDT Cutter Entry'!H45,"*X*"),COUNTIF('ARDT Cutter Entry'!H45,"*L*")),'ARDT Cutter Entry'!H45,LEFT('ARDT Cutter Entry'!H45,LEN('ARDT Cutter Entry'!H45)-1))),"")</f>
        <v>X5</v>
      </c>
      <c r="AQ17" s="2380"/>
      <c r="AR17" s="2380"/>
      <c r="AS17" s="2380"/>
      <c r="AT17" s="2380"/>
      <c r="AU17" s="2380"/>
      <c r="AV17" s="2380"/>
      <c r="AW17" s="2380"/>
      <c r="AX17" s="2380" t="str">
        <f>IFERROR(IF('ARDT Cutter Entry'!$C$111&lt;&gt;"",IF(OR(COUNTIF('ARDT Cutter Entry'!I113,"*X*"),COUNTIF('ARDT Cutter Entry'!I113,"*L*")), 'ARDT Cutter Entry'!I113,LEFT('ARDT Cutter Entry'!I113,LEN('ARDT Cutter Entry'!I113)-1)),IF(OR(COUNTIF('ARDT Cutter Entry'!I45,"*X*"),COUNTIF('ARDT Cutter Entry'!I45,"*L*")),'ARDT Cutter Entry'!I45,LEFT('ARDT Cutter Entry'!I45,LEN('ARDT Cutter Entry'!I45)-1))),"")</f>
        <v>X3</v>
      </c>
      <c r="AY17" s="2380"/>
      <c r="AZ17" s="2380"/>
      <c r="BA17" s="2380"/>
      <c r="BB17" s="2380"/>
      <c r="BC17" s="2380"/>
      <c r="BD17" s="2380"/>
      <c r="BE17" s="2380"/>
      <c r="BF17" s="2380" t="str">
        <f>IFERROR(IF('ARDT Cutter Entry'!$C$111&lt;&gt;"",IF(OR(COUNTIF('ARDT Cutter Entry'!J113,"*X*"),COUNTIF('ARDT Cutter Entry'!J113,"*L*")), 'ARDT Cutter Entry'!J113,LEFT('ARDT Cutter Entry'!J113,LEN('ARDT Cutter Entry'!J113)-1)),IF(OR(COUNTIF('ARDT Cutter Entry'!J45,"*X*"),COUNTIF('ARDT Cutter Entry'!J45,"*L*")),'ARDT Cutter Entry'!J45,LEFT('ARDT Cutter Entry'!J45,LEN('ARDT Cutter Entry'!J45)-1))),"")</f>
        <v/>
      </c>
      <c r="BG17" s="2380"/>
      <c r="BH17" s="2380"/>
      <c r="BI17" s="2380"/>
      <c r="BJ17" s="2380"/>
      <c r="BK17" s="2380"/>
      <c r="BL17" s="2380"/>
      <c r="BM17" s="2380"/>
      <c r="BN17" s="2380" t="str">
        <f>IFERROR(IF('ARDT Cutter Entry'!$C$111&lt;&gt;"",IF(OR(COUNTIF('ARDT Cutter Entry'!K113,"*X*"),COUNTIF('ARDT Cutter Entry'!K113,"*L*")), 'ARDT Cutter Entry'!K113,LEFT('ARDT Cutter Entry'!K113,LEN('ARDT Cutter Entry'!K113)-1)),IF(OR(COUNTIF('ARDT Cutter Entry'!K45,"*X*"),COUNTIF('ARDT Cutter Entry'!K45,"*L*")),'ARDT Cutter Entry'!K45,LEFT('ARDT Cutter Entry'!K45,LEN('ARDT Cutter Entry'!K45)-1))),"")</f>
        <v/>
      </c>
      <c r="BO17" s="2380"/>
      <c r="BP17" s="2380"/>
      <c r="BQ17" s="2380"/>
      <c r="BR17" s="2380"/>
      <c r="BS17" s="2380"/>
      <c r="BT17" s="2380"/>
      <c r="BU17" s="2380"/>
      <c r="BV17" s="2380" t="str">
        <f>IFERROR(IF('ARDT Cutter Entry'!$C$111&lt;&gt;"",IF(OR(COUNTIF('ARDT Cutter Entry'!L113,"*X*"),COUNTIF('ARDT Cutter Entry'!L113,"*L*")), 'ARDT Cutter Entry'!L113,LEFT('ARDT Cutter Entry'!L113,LEN('ARDT Cutter Entry'!L113)-1)),IF(OR(COUNTIF('ARDT Cutter Entry'!L45,"*X*"),COUNTIF('ARDT Cutter Entry'!L45,"*L*")),'ARDT Cutter Entry'!L45,LEFT('ARDT Cutter Entry'!L45,LEN('ARDT Cutter Entry'!L45)-1))),"")</f>
        <v>R</v>
      </c>
      <c r="BW17" s="2380"/>
      <c r="BX17" s="2380"/>
      <c r="BY17" s="2380"/>
      <c r="BZ17" s="2380"/>
      <c r="CA17" s="2380"/>
      <c r="CB17" s="2380"/>
      <c r="CC17" s="2380"/>
      <c r="CD17" s="2380" t="str">
        <f>IFERROR(IF('ARDT Cutter Entry'!$C$111&lt;&gt;"",IF(OR(COUNTIF('ARDT Cutter Entry'!M113,"*X*"),COUNTIF('ARDT Cutter Entry'!M113,"*L*")), 'ARDT Cutter Entry'!M113,LEFT('ARDT Cutter Entry'!M113,LEN('ARDT Cutter Entry'!M113)-1)),IF(OR(COUNTIF('ARDT Cutter Entry'!M45,"*X*"),COUNTIF('ARDT Cutter Entry'!M45,"*L*")),'ARDT Cutter Entry'!M45,LEFT('ARDT Cutter Entry'!M45,LEN('ARDT Cutter Entry'!M45)-1))),"")</f>
        <v>X4</v>
      </c>
      <c r="CE17" s="2380"/>
      <c r="CF17" s="2380"/>
      <c r="CG17" s="2380"/>
      <c r="CH17" s="2380"/>
      <c r="CI17" s="2380"/>
      <c r="CJ17" s="2380"/>
      <c r="CK17" s="2380"/>
      <c r="CL17" s="2380" t="str">
        <f>IFERROR(IF('ARDT Cutter Entry'!$C$111&lt;&gt;"",IF(OR(COUNTIF('ARDT Cutter Entry'!N113,"*X*"),COUNTIF('ARDT Cutter Entry'!N113,"*L*")), 'ARDT Cutter Entry'!N113,LEFT('ARDT Cutter Entry'!N113,LEN('ARDT Cutter Entry'!N113)-1)),IF(OR(COUNTIF('ARDT Cutter Entry'!N45,"*X*"),COUNTIF('ARDT Cutter Entry'!N45,"*L*")),'ARDT Cutter Entry'!N45,LEFT('ARDT Cutter Entry'!N45,LEN('ARDT Cutter Entry'!N45)-1))),"")</f>
        <v>X4</v>
      </c>
      <c r="CM17" s="2380"/>
      <c r="CN17" s="2380"/>
      <c r="CO17" s="2380"/>
      <c r="CP17" s="2380"/>
      <c r="CQ17" s="2380"/>
      <c r="CR17" s="2380"/>
      <c r="CS17" s="2380"/>
      <c r="CT17" s="2380" t="str">
        <f>IFERROR(IF('ARDT Cutter Entry'!$C$111&lt;&gt;"",IF(OR(COUNTIF('ARDT Cutter Entry'!O113,"*X*"),COUNTIF('ARDT Cutter Entry'!O113,"*L*")), 'ARDT Cutter Entry'!O113,LEFT('ARDT Cutter Entry'!O113,LEN('ARDT Cutter Entry'!O113)-1)),IF(OR(COUNTIF('ARDT Cutter Entry'!O45,"*X*"),COUNTIF('ARDT Cutter Entry'!O45,"*L*")),'ARDT Cutter Entry'!O45,LEFT('ARDT Cutter Entry'!O45,LEN('ARDT Cutter Entry'!O45)-1))),"")</f>
        <v/>
      </c>
      <c r="CU17" s="2380"/>
      <c r="CV17" s="2380"/>
      <c r="CW17" s="2380"/>
      <c r="CX17" s="2380"/>
      <c r="CY17" s="2380"/>
      <c r="CZ17" s="2380"/>
      <c r="DA17" s="2380"/>
      <c r="DB17" s="2380" t="str">
        <f>IFERROR(IF('ARDT Cutter Entry'!$C$111&lt;&gt;"",IF(OR(COUNTIF('ARDT Cutter Entry'!P113,"*X*"),COUNTIF('ARDT Cutter Entry'!P113,"*L*")), 'ARDT Cutter Entry'!P113,LEFT('ARDT Cutter Entry'!P113,LEN('ARDT Cutter Entry'!P113)-1)),IF(OR(COUNTIF('ARDT Cutter Entry'!P45,"*X*"),COUNTIF('ARDT Cutter Entry'!P45,"*L*")),'ARDT Cutter Entry'!P45,LEFT('ARDT Cutter Entry'!P45,LEN('ARDT Cutter Entry'!P45)-1))),"")</f>
        <v/>
      </c>
      <c r="DC17" s="2380"/>
      <c r="DD17" s="2380"/>
      <c r="DE17" s="2380"/>
      <c r="DF17" s="2380"/>
      <c r="DG17" s="2380"/>
      <c r="DH17" s="2380"/>
      <c r="DI17" s="2380"/>
      <c r="DJ17" s="2380" t="str">
        <f>IFERROR(IF('ARDT Cutter Entry'!$C$111&lt;&gt;"",IF(OR(COUNTIF('ARDT Cutter Entry'!Q113,"*X*"),COUNTIF('ARDT Cutter Entry'!Q113,"*L*")), 'ARDT Cutter Entry'!Q113,LEFT('ARDT Cutter Entry'!Q113,LEN('ARDT Cutter Entry'!Q113)-1)),IF(OR(COUNTIF('ARDT Cutter Entry'!Q45,"*X*"),COUNTIF('ARDT Cutter Entry'!Q45,"*L*")),'ARDT Cutter Entry'!Q45,LEFT('ARDT Cutter Entry'!Q45,LEN('ARDT Cutter Entry'!Q45)-1))),"")</f>
        <v/>
      </c>
      <c r="DK17" s="2380"/>
      <c r="DL17" s="2380"/>
      <c r="DM17" s="2380"/>
      <c r="DN17" s="2380"/>
      <c r="DO17" s="2380"/>
      <c r="DP17" s="2380"/>
      <c r="DQ17" s="2380"/>
      <c r="DR17" s="2380" t="str">
        <f>IFERROR(IF('ARDT Cutter Entry'!$C$111&lt;&gt;"",IF(OR(COUNTIF('ARDT Cutter Entry'!R113,"*X*"),COUNTIF('ARDT Cutter Entry'!R113,"*L*")), 'ARDT Cutter Entry'!R113,LEFT('ARDT Cutter Entry'!R113,LEN('ARDT Cutter Entry'!R113)-1)),IF(OR(COUNTIF('ARDT Cutter Entry'!R45,"*X*"),COUNTIF('ARDT Cutter Entry'!R45,"*L*")),'ARDT Cutter Entry'!R45,LEFT('ARDT Cutter Entry'!R45,LEN('ARDT Cutter Entry'!R45)-1))),"")</f>
        <v/>
      </c>
      <c r="DS17" s="2380"/>
      <c r="DT17" s="2380"/>
      <c r="DU17" s="2380"/>
      <c r="DV17" s="2380"/>
      <c r="DW17" s="2380"/>
      <c r="DX17" s="2380"/>
      <c r="DY17" s="2380"/>
      <c r="DZ17" s="2380" t="str">
        <f>IFERROR(IF('ARDT Cutter Entry'!$C$111&lt;&gt;"",IF(OR(COUNTIF('ARDT Cutter Entry'!S113,"*X*"),COUNTIF('ARDT Cutter Entry'!S113,"*L*")), 'ARDT Cutter Entry'!S113,LEFT('ARDT Cutter Entry'!S113,LEN('ARDT Cutter Entry'!S113)-1)),IF(OR(COUNTIF('ARDT Cutter Entry'!S45,"*X*"),COUNTIF('ARDT Cutter Entry'!S45,"*L*")),'ARDT Cutter Entry'!S45,LEFT('ARDT Cutter Entry'!S45,LEN('ARDT Cutter Entry'!S45)-1))),"")</f>
        <v/>
      </c>
      <c r="EA17" s="2380"/>
      <c r="EB17" s="2380"/>
      <c r="EC17" s="2380"/>
      <c r="ED17" s="2380"/>
      <c r="EE17" s="2380"/>
      <c r="EF17" s="2380"/>
      <c r="EG17" s="2380"/>
      <c r="EH17" s="2380" t="str">
        <f>IFERROR(IF('ARDT Cutter Entry'!$C$111&lt;&gt;"",IF(OR(COUNTIF('ARDT Cutter Entry'!T113,"*X*"),COUNTIF('ARDT Cutter Entry'!T113,"*L*")), 'ARDT Cutter Entry'!T113,LEFT('ARDT Cutter Entry'!T113,LEN('ARDT Cutter Entry'!T113)-1)),IF(OR(COUNTIF('ARDT Cutter Entry'!T45,"*X*"),COUNTIF('ARDT Cutter Entry'!T45,"*L*")),'ARDT Cutter Entry'!T45,LEFT('ARDT Cutter Entry'!T45,LEN('ARDT Cutter Entry'!T45)-1))),"")</f>
        <v/>
      </c>
      <c r="EI17" s="2380"/>
      <c r="EJ17" s="2380"/>
      <c r="EK17" s="2380"/>
      <c r="EL17" s="2380"/>
      <c r="EM17" s="2380"/>
      <c r="EN17" s="2380"/>
      <c r="EO17" s="2380"/>
      <c r="EP17" s="2380" t="str">
        <f>IFERROR(IF('ARDT Cutter Entry'!$C$111&lt;&gt;"",IF(OR(COUNTIF('ARDT Cutter Entry'!U113,"*X*"),COUNTIF('ARDT Cutter Entry'!U113,"*L*")), 'ARDT Cutter Entry'!U113,LEFT('ARDT Cutter Entry'!U113,LEN('ARDT Cutter Entry'!U113)-1)),IF(OR(COUNTIF('ARDT Cutter Entry'!U45,"*X*"),COUNTIF('ARDT Cutter Entry'!U45,"*L*")),'ARDT Cutter Entry'!U45,LEFT('ARDT Cutter Entry'!U45,LEN('ARDT Cutter Entry'!U45)-1))),"")</f>
        <v/>
      </c>
      <c r="EQ17" s="2380"/>
      <c r="ER17" s="2380"/>
      <c r="ES17" s="2380"/>
      <c r="ET17" s="2380"/>
      <c r="EU17" s="2380"/>
      <c r="EV17" s="2380"/>
      <c r="EW17" s="2380"/>
      <c r="EX17" s="2380" t="str">
        <f>IFERROR(IF('ARDT Cutter Entry'!$C$111&lt;&gt;"",IF(OR(COUNTIF('ARDT Cutter Entry'!V113,"*X*"),COUNTIF('ARDT Cutter Entry'!V113,"*L*")), 'ARDT Cutter Entry'!V113,LEFT('ARDT Cutter Entry'!V113,LEN('ARDT Cutter Entry'!V113)-1)),IF(OR(COUNTIF('ARDT Cutter Entry'!V45,"*X*"),COUNTIF('ARDT Cutter Entry'!V45,"*L*")),'ARDT Cutter Entry'!V45,LEFT('ARDT Cutter Entry'!V45,LEN('ARDT Cutter Entry'!V45)-1))),"")</f>
        <v/>
      </c>
      <c r="EY17" s="2380"/>
      <c r="EZ17" s="2380"/>
      <c r="FA17" s="2380"/>
      <c r="FB17" s="2380"/>
      <c r="FC17" s="2380"/>
      <c r="FD17" s="2380"/>
      <c r="FE17" s="2380"/>
      <c r="FF17" s="2380" t="str">
        <f>IFERROR(IF('ARDT Cutter Entry'!$C$111&lt;&gt;"",IF(OR(COUNTIF('ARDT Cutter Entry'!W113,"*X*"),COUNTIF('ARDT Cutter Entry'!W113,"*L*")), 'ARDT Cutter Entry'!W113,LEFT('ARDT Cutter Entry'!W113,LEN('ARDT Cutter Entry'!W113)-1)),IF(OR(COUNTIF('ARDT Cutter Entry'!W45,"*X*"),COUNTIF('ARDT Cutter Entry'!W45,"*L*")),'ARDT Cutter Entry'!W45,LEFT('ARDT Cutter Entry'!W45,LEN('ARDT Cutter Entry'!W45)-1))),"")</f>
        <v/>
      </c>
      <c r="FG17" s="2380"/>
      <c r="FH17" s="2380"/>
      <c r="FI17" s="2380"/>
      <c r="FJ17" s="2380"/>
      <c r="FK17" s="2380"/>
      <c r="FL17" s="2380"/>
      <c r="FM17" s="2380"/>
      <c r="FN17" s="2380" t="str">
        <f>IFERROR(IF('ARDT Cutter Entry'!$C$111&lt;&gt;"",IF(OR(COUNTIF('ARDT Cutter Entry'!X113,"*X*"),COUNTIF('ARDT Cutter Entry'!X113,"*L*")), 'ARDT Cutter Entry'!X113,LEFT('ARDT Cutter Entry'!X113,LEN('ARDT Cutter Entry'!X113)-1)),IF(OR(COUNTIF('ARDT Cutter Entry'!X45,"*X*"),COUNTIF('ARDT Cutter Entry'!X45,"*L*")),'ARDT Cutter Entry'!X45,LEFT('ARDT Cutter Entry'!X45,LEN('ARDT Cutter Entry'!X45)-1))),"")</f>
        <v/>
      </c>
      <c r="FO17" s="2380"/>
      <c r="FP17" s="2380"/>
      <c r="FQ17" s="2380"/>
      <c r="FR17" s="2380"/>
      <c r="FS17" s="2380"/>
      <c r="FT17" s="2380"/>
      <c r="FU17" s="2380"/>
      <c r="FV17" s="2380" t="str">
        <f>IFERROR(IF('ARDT Cutter Entry'!$C$111&lt;&gt;"",IF(OR(COUNTIF('ARDT Cutter Entry'!Y113,"*X*"),COUNTIF('ARDT Cutter Entry'!Y113,"*L*")), 'ARDT Cutter Entry'!Y113,LEFT('ARDT Cutter Entry'!Y113,LEN('ARDT Cutter Entry'!Y113)-1)),IF(OR(COUNTIF('ARDT Cutter Entry'!Y45,"*X*"),COUNTIF('ARDT Cutter Entry'!Y45,"*L*")),'ARDT Cutter Entry'!Y45,LEFT('ARDT Cutter Entry'!Y45,LEN('ARDT Cutter Entry'!Y45)-1))),"")</f>
        <v/>
      </c>
      <c r="FW17" s="2380"/>
      <c r="FX17" s="2380"/>
      <c r="FY17" s="2380"/>
      <c r="FZ17" s="2380"/>
      <c r="GA17" s="2380"/>
      <c r="GB17" s="2380"/>
      <c r="GC17" s="2380"/>
      <c r="GD17" s="2384"/>
      <c r="GE17" s="2384"/>
      <c r="GF17" s="2384"/>
      <c r="GG17" s="2384"/>
    </row>
    <row r="18" spans="1:235" ht="44.25" customHeight="1" x14ac:dyDescent="0.55000000000000004">
      <c r="A18" s="338">
        <v>4</v>
      </c>
      <c r="B18" s="2380" t="str">
        <f>IFERROR(IF('ARDT Cutter Entry'!$C$111&lt;&gt;"",IF(OR(COUNTIF('ARDT Cutter Entry'!C114,"*X*"),COUNTIF('ARDT Cutter Entry'!C114,"*L*")), 'ARDT Cutter Entry'!C114,LEFT('ARDT Cutter Entry'!C114,LEN('ARDT Cutter Entry'!C114)-1)),IF(OR(COUNTIF('ARDT Cutter Entry'!C46,"*X*"),COUNTIF('ARDT Cutter Entry'!C46,"*L*")),'ARDT Cutter Entry'!C46,LEFT('ARDT Cutter Entry'!C46,LEN('ARDT Cutter Entry'!C46)-1))),"")</f>
        <v>X5</v>
      </c>
      <c r="C18" s="2380"/>
      <c r="D18" s="2380"/>
      <c r="E18" s="2380"/>
      <c r="F18" s="2380"/>
      <c r="G18" s="2380"/>
      <c r="H18" s="2380"/>
      <c r="I18" s="2380"/>
      <c r="J18" s="2380" t="str">
        <f>IFERROR(IF('ARDT Cutter Entry'!$C$111&lt;&gt;"",IF(OR(COUNTIF('ARDT Cutter Entry'!D114,"*X*"),COUNTIF('ARDT Cutter Entry'!D114,"*L*")), 'ARDT Cutter Entry'!D114,LEFT('ARDT Cutter Entry'!D114,LEN('ARDT Cutter Entry'!D114)-1)),IF(OR(COUNTIF('ARDT Cutter Entry'!D46,"*X*"),COUNTIF('ARDT Cutter Entry'!D46,"*L*")),'ARDT Cutter Entry'!D46,LEFT('ARDT Cutter Entry'!D46,LEN('ARDT Cutter Entry'!D46)-1))),"")</f>
        <v>X5</v>
      </c>
      <c r="K18" s="2380"/>
      <c r="L18" s="2380"/>
      <c r="M18" s="2380"/>
      <c r="N18" s="2380"/>
      <c r="O18" s="2380"/>
      <c r="P18" s="2380"/>
      <c r="Q18" s="2380"/>
      <c r="R18" s="2380" t="str">
        <f>IFERROR(IF('ARDT Cutter Entry'!$C$111&lt;&gt;"",IF(OR(COUNTIF('ARDT Cutter Entry'!E114,"*X*"),COUNTIF('ARDT Cutter Entry'!E114,"*L*")), 'ARDT Cutter Entry'!E114,LEFT('ARDT Cutter Entry'!E114,LEN('ARDT Cutter Entry'!E114)-1)),IF(OR(COUNTIF('ARDT Cutter Entry'!E46,"*X*"),COUNTIF('ARDT Cutter Entry'!E46,"*L*")),'ARDT Cutter Entry'!E46,LEFT('ARDT Cutter Entry'!E46,LEN('ARDT Cutter Entry'!E46)-1))),"")</f>
        <v>X5</v>
      </c>
      <c r="S18" s="2380"/>
      <c r="T18" s="2380"/>
      <c r="U18" s="2380"/>
      <c r="V18" s="2380"/>
      <c r="W18" s="2380"/>
      <c r="X18" s="2380"/>
      <c r="Y18" s="2380"/>
      <c r="Z18" s="2380" t="str">
        <f>IFERROR(IF('ARDT Cutter Entry'!$C$111&lt;&gt;"",IF(OR(COUNTIF('ARDT Cutter Entry'!F114,"*X*"),COUNTIF('ARDT Cutter Entry'!F114,"*L*")), 'ARDT Cutter Entry'!F114,LEFT('ARDT Cutter Entry'!F114,LEN('ARDT Cutter Entry'!F114)-1)),IF(OR(COUNTIF('ARDT Cutter Entry'!F46,"*X*"),COUNTIF('ARDT Cutter Entry'!F46,"*L*")),'ARDT Cutter Entry'!F46,LEFT('ARDT Cutter Entry'!F46,LEN('ARDT Cutter Entry'!F46)-1))),"")</f>
        <v>X5</v>
      </c>
      <c r="AA18" s="2380"/>
      <c r="AB18" s="2380"/>
      <c r="AC18" s="2380"/>
      <c r="AD18" s="2380"/>
      <c r="AE18" s="2380"/>
      <c r="AF18" s="2380"/>
      <c r="AG18" s="2380"/>
      <c r="AH18" s="2380" t="str">
        <f>IFERROR(IF('ARDT Cutter Entry'!$C$111&lt;&gt;"",IF(OR(COUNTIF('ARDT Cutter Entry'!G114,"*X*"),COUNTIF('ARDT Cutter Entry'!G114,"*L*")), 'ARDT Cutter Entry'!G114,LEFT('ARDT Cutter Entry'!G114,LEN('ARDT Cutter Entry'!G114)-1)),IF(OR(COUNTIF('ARDT Cutter Entry'!G46,"*X*"),COUNTIF('ARDT Cutter Entry'!G46,"*L*")),'ARDT Cutter Entry'!G46,LEFT('ARDT Cutter Entry'!G46,LEN('ARDT Cutter Entry'!G46)-1))),"")</f>
        <v>R</v>
      </c>
      <c r="AI18" s="2380"/>
      <c r="AJ18" s="2380"/>
      <c r="AK18" s="2380"/>
      <c r="AL18" s="2380"/>
      <c r="AM18" s="2380"/>
      <c r="AN18" s="2380"/>
      <c r="AO18" s="2380"/>
      <c r="AP18" s="2380" t="str">
        <f>IFERROR(IF('ARDT Cutter Entry'!$C$111&lt;&gt;"",IF(OR(COUNTIF('ARDT Cutter Entry'!H114,"*X*"),COUNTIF('ARDT Cutter Entry'!H114,"*L*")), 'ARDT Cutter Entry'!H114,LEFT('ARDT Cutter Entry'!H114,LEN('ARDT Cutter Entry'!H114)-1)),IF(OR(COUNTIF('ARDT Cutter Entry'!H46,"*X*"),COUNTIF('ARDT Cutter Entry'!H46,"*L*")),'ARDT Cutter Entry'!H46,LEFT('ARDT Cutter Entry'!H46,LEN('ARDT Cutter Entry'!H46)-1))),"")</f>
        <v>X3</v>
      </c>
      <c r="AQ18" s="2380"/>
      <c r="AR18" s="2380"/>
      <c r="AS18" s="2380"/>
      <c r="AT18" s="2380"/>
      <c r="AU18" s="2380"/>
      <c r="AV18" s="2380"/>
      <c r="AW18" s="2380"/>
      <c r="AX18" s="2380" t="str">
        <f>IFERROR(IF('ARDT Cutter Entry'!$C$111&lt;&gt;"",IF(OR(COUNTIF('ARDT Cutter Entry'!I114,"*X*"),COUNTIF('ARDT Cutter Entry'!I114,"*L*")), 'ARDT Cutter Entry'!I114,LEFT('ARDT Cutter Entry'!I114,LEN('ARDT Cutter Entry'!I114)-1)),IF(OR(COUNTIF('ARDT Cutter Entry'!I46,"*X*"),COUNTIF('ARDT Cutter Entry'!I46,"*L*")),'ARDT Cutter Entry'!I46,LEFT('ARDT Cutter Entry'!I46,LEN('ARDT Cutter Entry'!I46)-1))),"")</f>
        <v/>
      </c>
      <c r="AY18" s="2380"/>
      <c r="AZ18" s="2380"/>
      <c r="BA18" s="2380"/>
      <c r="BB18" s="2380"/>
      <c r="BC18" s="2380"/>
      <c r="BD18" s="2380"/>
      <c r="BE18" s="2380"/>
      <c r="BF18" s="2380" t="str">
        <f>IFERROR(IF('ARDT Cutter Entry'!$C$111&lt;&gt;"",IF(OR(COUNTIF('ARDT Cutter Entry'!J114,"*X*"),COUNTIF('ARDT Cutter Entry'!J114,"*L*")), 'ARDT Cutter Entry'!J114,LEFT('ARDT Cutter Entry'!J114,LEN('ARDT Cutter Entry'!J114)-1)),IF(OR(COUNTIF('ARDT Cutter Entry'!J46,"*X*"),COUNTIF('ARDT Cutter Entry'!J46,"*L*")),'ARDT Cutter Entry'!J46,LEFT('ARDT Cutter Entry'!J46,LEN('ARDT Cutter Entry'!J46)-1))),"")</f>
        <v/>
      </c>
      <c r="BG18" s="2380"/>
      <c r="BH18" s="2380"/>
      <c r="BI18" s="2380"/>
      <c r="BJ18" s="2380"/>
      <c r="BK18" s="2380"/>
      <c r="BL18" s="2380"/>
      <c r="BM18" s="2380"/>
      <c r="BN18" s="2380" t="str">
        <f>IFERROR(IF('ARDT Cutter Entry'!$C$111&lt;&gt;"",IF(OR(COUNTIF('ARDT Cutter Entry'!K114,"*X*"),COUNTIF('ARDT Cutter Entry'!K114,"*L*")), 'ARDT Cutter Entry'!K114,LEFT('ARDT Cutter Entry'!K114,LEN('ARDT Cutter Entry'!K114)-1)),IF(OR(COUNTIF('ARDT Cutter Entry'!K46,"*X*"),COUNTIF('ARDT Cutter Entry'!K46,"*L*")),'ARDT Cutter Entry'!K46,LEFT('ARDT Cutter Entry'!K46,LEN('ARDT Cutter Entry'!K46)-1))),"")</f>
        <v/>
      </c>
      <c r="BO18" s="2380"/>
      <c r="BP18" s="2380"/>
      <c r="BQ18" s="2380"/>
      <c r="BR18" s="2380"/>
      <c r="BS18" s="2380"/>
      <c r="BT18" s="2380"/>
      <c r="BU18" s="2380"/>
      <c r="BV18" s="2380" t="str">
        <f>IFERROR(IF('ARDT Cutter Entry'!$C$111&lt;&gt;"",IF(OR(COUNTIF('ARDT Cutter Entry'!L114,"*X*"),COUNTIF('ARDT Cutter Entry'!L114,"*L*")), 'ARDT Cutter Entry'!L114,LEFT('ARDT Cutter Entry'!L114,LEN('ARDT Cutter Entry'!L114)-1)),IF(OR(COUNTIF('ARDT Cutter Entry'!L46,"*X*"),COUNTIF('ARDT Cutter Entry'!L46,"*L*")),'ARDT Cutter Entry'!L46,LEFT('ARDT Cutter Entry'!L46,LEN('ARDT Cutter Entry'!L46)-1))),"")</f>
        <v>R</v>
      </c>
      <c r="BW18" s="2380"/>
      <c r="BX18" s="2380"/>
      <c r="BY18" s="2380"/>
      <c r="BZ18" s="2380"/>
      <c r="CA18" s="2380"/>
      <c r="CB18" s="2380"/>
      <c r="CC18" s="2380"/>
      <c r="CD18" s="2380" t="str">
        <f>IFERROR(IF('ARDT Cutter Entry'!$C$111&lt;&gt;"",IF(OR(COUNTIF('ARDT Cutter Entry'!M114,"*X*"),COUNTIF('ARDT Cutter Entry'!M114,"*L*")), 'ARDT Cutter Entry'!M114,LEFT('ARDT Cutter Entry'!M114,LEN('ARDT Cutter Entry'!M114)-1)),IF(OR(COUNTIF('ARDT Cutter Entry'!M46,"*X*"),COUNTIF('ARDT Cutter Entry'!M46,"*L*")),'ARDT Cutter Entry'!M46,LEFT('ARDT Cutter Entry'!M46,LEN('ARDT Cutter Entry'!M46)-1))),"")</f>
        <v>R</v>
      </c>
      <c r="CE18" s="2380"/>
      <c r="CF18" s="2380"/>
      <c r="CG18" s="2380"/>
      <c r="CH18" s="2380"/>
      <c r="CI18" s="2380"/>
      <c r="CJ18" s="2380"/>
      <c r="CK18" s="2380"/>
      <c r="CL18" s="2380" t="str">
        <f>IFERROR(IF('ARDT Cutter Entry'!$C$111&lt;&gt;"",IF(OR(COUNTIF('ARDT Cutter Entry'!N114,"*X*"),COUNTIF('ARDT Cutter Entry'!N114,"*L*")), 'ARDT Cutter Entry'!N114,LEFT('ARDT Cutter Entry'!N114,LEN('ARDT Cutter Entry'!N114)-1)),IF(OR(COUNTIF('ARDT Cutter Entry'!N46,"*X*"),COUNTIF('ARDT Cutter Entry'!N46,"*L*")),'ARDT Cutter Entry'!N46,LEFT('ARDT Cutter Entry'!N46,LEN('ARDT Cutter Entry'!N46)-1))),"")</f>
        <v>R</v>
      </c>
      <c r="CM18" s="2380"/>
      <c r="CN18" s="2380"/>
      <c r="CO18" s="2380"/>
      <c r="CP18" s="2380"/>
      <c r="CQ18" s="2380"/>
      <c r="CR18" s="2380"/>
      <c r="CS18" s="2380"/>
      <c r="CT18" s="2380" t="str">
        <f>IFERROR(IF('ARDT Cutter Entry'!$C$111&lt;&gt;"",IF(OR(COUNTIF('ARDT Cutter Entry'!O114,"*X*"),COUNTIF('ARDT Cutter Entry'!O114,"*L*")), 'ARDT Cutter Entry'!O114,LEFT('ARDT Cutter Entry'!O114,LEN('ARDT Cutter Entry'!O114)-1)),IF(OR(COUNTIF('ARDT Cutter Entry'!O46,"*X*"),COUNTIF('ARDT Cutter Entry'!O46,"*L*")),'ARDT Cutter Entry'!O46,LEFT('ARDT Cutter Entry'!O46,LEN('ARDT Cutter Entry'!O46)-1))),"")</f>
        <v>S</v>
      </c>
      <c r="CU18" s="2380"/>
      <c r="CV18" s="2380"/>
      <c r="CW18" s="2380"/>
      <c r="CX18" s="2380"/>
      <c r="CY18" s="2380"/>
      <c r="CZ18" s="2380"/>
      <c r="DA18" s="2380"/>
      <c r="DB18" s="2380" t="str">
        <f>IFERROR(IF('ARDT Cutter Entry'!$C$111&lt;&gt;"",IF(OR(COUNTIF('ARDT Cutter Entry'!P114,"*X*"),COUNTIF('ARDT Cutter Entry'!P114,"*L*")), 'ARDT Cutter Entry'!P114,LEFT('ARDT Cutter Entry'!P114,LEN('ARDT Cutter Entry'!P114)-1)),IF(OR(COUNTIF('ARDT Cutter Entry'!P46,"*X*"),COUNTIF('ARDT Cutter Entry'!P46,"*L*")),'ARDT Cutter Entry'!P46,LEFT('ARDT Cutter Entry'!P46,LEN('ARDT Cutter Entry'!P46)-1))),"")</f>
        <v/>
      </c>
      <c r="DC18" s="2380"/>
      <c r="DD18" s="2380"/>
      <c r="DE18" s="2380"/>
      <c r="DF18" s="2380"/>
      <c r="DG18" s="2380"/>
      <c r="DH18" s="2380"/>
      <c r="DI18" s="2380"/>
      <c r="DJ18" s="2380" t="str">
        <f>IFERROR(IF('ARDT Cutter Entry'!$C$111&lt;&gt;"",IF(OR(COUNTIF('ARDT Cutter Entry'!Q114,"*X*"),COUNTIF('ARDT Cutter Entry'!Q114,"*L*")), 'ARDT Cutter Entry'!Q114,LEFT('ARDT Cutter Entry'!Q114,LEN('ARDT Cutter Entry'!Q114)-1)),IF(OR(COUNTIF('ARDT Cutter Entry'!Q46,"*X*"),COUNTIF('ARDT Cutter Entry'!Q46,"*L*")),'ARDT Cutter Entry'!Q46,LEFT('ARDT Cutter Entry'!Q46,LEN('ARDT Cutter Entry'!Q46)-1))),"")</f>
        <v/>
      </c>
      <c r="DK18" s="2380"/>
      <c r="DL18" s="2380"/>
      <c r="DM18" s="2380"/>
      <c r="DN18" s="2380"/>
      <c r="DO18" s="2380"/>
      <c r="DP18" s="2380"/>
      <c r="DQ18" s="2380"/>
      <c r="DR18" s="2380" t="str">
        <f>IFERROR(IF('ARDT Cutter Entry'!$C$111&lt;&gt;"",IF(OR(COUNTIF('ARDT Cutter Entry'!R114,"*X*"),COUNTIF('ARDT Cutter Entry'!R114,"*L*")), 'ARDT Cutter Entry'!R114,LEFT('ARDT Cutter Entry'!R114,LEN('ARDT Cutter Entry'!R114)-1)),IF(OR(COUNTIF('ARDT Cutter Entry'!R46,"*X*"),COUNTIF('ARDT Cutter Entry'!R46,"*L*")),'ARDT Cutter Entry'!R46,LEFT('ARDT Cutter Entry'!R46,LEN('ARDT Cutter Entry'!R46)-1))),"")</f>
        <v/>
      </c>
      <c r="DS18" s="2380"/>
      <c r="DT18" s="2380"/>
      <c r="DU18" s="2380"/>
      <c r="DV18" s="2380"/>
      <c r="DW18" s="2380"/>
      <c r="DX18" s="2380"/>
      <c r="DY18" s="2380"/>
      <c r="DZ18" s="2380" t="str">
        <f>IFERROR(IF('ARDT Cutter Entry'!$C$111&lt;&gt;"",IF(OR(COUNTIF('ARDT Cutter Entry'!S114,"*X*"),COUNTIF('ARDT Cutter Entry'!S114,"*L*")), 'ARDT Cutter Entry'!S114,LEFT('ARDT Cutter Entry'!S114,LEN('ARDT Cutter Entry'!S114)-1)),IF(OR(COUNTIF('ARDT Cutter Entry'!S46,"*X*"),COUNTIF('ARDT Cutter Entry'!S46,"*L*")),'ARDT Cutter Entry'!S46,LEFT('ARDT Cutter Entry'!S46,LEN('ARDT Cutter Entry'!S46)-1))),"")</f>
        <v/>
      </c>
      <c r="EA18" s="2380"/>
      <c r="EB18" s="2380"/>
      <c r="EC18" s="2380"/>
      <c r="ED18" s="2380"/>
      <c r="EE18" s="2380"/>
      <c r="EF18" s="2380"/>
      <c r="EG18" s="2380"/>
      <c r="EH18" s="2380" t="str">
        <f>IFERROR(IF('ARDT Cutter Entry'!$C$111&lt;&gt;"",IF(OR(COUNTIF('ARDT Cutter Entry'!T114,"*X*"),COUNTIF('ARDT Cutter Entry'!T114,"*L*")), 'ARDT Cutter Entry'!T114,LEFT('ARDT Cutter Entry'!T114,LEN('ARDT Cutter Entry'!T114)-1)),IF(OR(COUNTIF('ARDT Cutter Entry'!T46,"*X*"),COUNTIF('ARDT Cutter Entry'!T46,"*L*")),'ARDT Cutter Entry'!T46,LEFT('ARDT Cutter Entry'!T46,LEN('ARDT Cutter Entry'!T46)-1))),"")</f>
        <v/>
      </c>
      <c r="EI18" s="2380"/>
      <c r="EJ18" s="2380"/>
      <c r="EK18" s="2380"/>
      <c r="EL18" s="2380"/>
      <c r="EM18" s="2380"/>
      <c r="EN18" s="2380"/>
      <c r="EO18" s="2380"/>
      <c r="EP18" s="2380" t="str">
        <f>IFERROR(IF('ARDT Cutter Entry'!$C$111&lt;&gt;"",IF(OR(COUNTIF('ARDT Cutter Entry'!U114,"*X*"),COUNTIF('ARDT Cutter Entry'!U114,"*L*")), 'ARDT Cutter Entry'!U114,LEFT('ARDT Cutter Entry'!U114,LEN('ARDT Cutter Entry'!U114)-1)),IF(OR(COUNTIF('ARDT Cutter Entry'!U46,"*X*"),COUNTIF('ARDT Cutter Entry'!U46,"*L*")),'ARDT Cutter Entry'!U46,LEFT('ARDT Cutter Entry'!U46,LEN('ARDT Cutter Entry'!U46)-1))),"")</f>
        <v/>
      </c>
      <c r="EQ18" s="2380"/>
      <c r="ER18" s="2380"/>
      <c r="ES18" s="2380"/>
      <c r="ET18" s="2380"/>
      <c r="EU18" s="2380"/>
      <c r="EV18" s="2380"/>
      <c r="EW18" s="2380"/>
      <c r="EX18" s="2380" t="str">
        <f>IFERROR(IF('ARDT Cutter Entry'!$C$111&lt;&gt;"",IF(OR(COUNTIF('ARDT Cutter Entry'!V114,"*X*"),COUNTIF('ARDT Cutter Entry'!V114,"*L*")), 'ARDT Cutter Entry'!V114,LEFT('ARDT Cutter Entry'!V114,LEN('ARDT Cutter Entry'!V114)-1)),IF(OR(COUNTIF('ARDT Cutter Entry'!V46,"*X*"),COUNTIF('ARDT Cutter Entry'!V46,"*L*")),'ARDT Cutter Entry'!V46,LEFT('ARDT Cutter Entry'!V46,LEN('ARDT Cutter Entry'!V46)-1))),"")</f>
        <v/>
      </c>
      <c r="EY18" s="2380"/>
      <c r="EZ18" s="2380"/>
      <c r="FA18" s="2380"/>
      <c r="FB18" s="2380"/>
      <c r="FC18" s="2380"/>
      <c r="FD18" s="2380"/>
      <c r="FE18" s="2380"/>
      <c r="FF18" s="2380" t="str">
        <f>IFERROR(IF('ARDT Cutter Entry'!$C$111&lt;&gt;"",IF(OR(COUNTIF('ARDT Cutter Entry'!W114,"*X*"),COUNTIF('ARDT Cutter Entry'!W114,"*L*")), 'ARDT Cutter Entry'!W114,LEFT('ARDT Cutter Entry'!W114,LEN('ARDT Cutter Entry'!W114)-1)),IF(OR(COUNTIF('ARDT Cutter Entry'!W46,"*X*"),COUNTIF('ARDT Cutter Entry'!W46,"*L*")),'ARDT Cutter Entry'!W46,LEFT('ARDT Cutter Entry'!W46,LEN('ARDT Cutter Entry'!W46)-1))),"")</f>
        <v/>
      </c>
      <c r="FG18" s="2380"/>
      <c r="FH18" s="2380"/>
      <c r="FI18" s="2380"/>
      <c r="FJ18" s="2380"/>
      <c r="FK18" s="2380"/>
      <c r="FL18" s="2380"/>
      <c r="FM18" s="2380"/>
      <c r="FN18" s="2380" t="str">
        <f>IFERROR(IF('ARDT Cutter Entry'!$C$111&lt;&gt;"",IF(OR(COUNTIF('ARDT Cutter Entry'!X114,"*X*"),COUNTIF('ARDT Cutter Entry'!X114,"*L*")), 'ARDT Cutter Entry'!X114,LEFT('ARDT Cutter Entry'!X114,LEN('ARDT Cutter Entry'!X114)-1)),IF(OR(COUNTIF('ARDT Cutter Entry'!X46,"*X*"),COUNTIF('ARDT Cutter Entry'!X46,"*L*")),'ARDT Cutter Entry'!X46,LEFT('ARDT Cutter Entry'!X46,LEN('ARDT Cutter Entry'!X46)-1))),"")</f>
        <v/>
      </c>
      <c r="FO18" s="2380"/>
      <c r="FP18" s="2380"/>
      <c r="FQ18" s="2380"/>
      <c r="FR18" s="2380"/>
      <c r="FS18" s="2380"/>
      <c r="FT18" s="2380"/>
      <c r="FU18" s="2380"/>
      <c r="FV18" s="2380" t="str">
        <f>IFERROR(IF('ARDT Cutter Entry'!$C$111&lt;&gt;"",IF(OR(COUNTIF('ARDT Cutter Entry'!Y114,"*X*"),COUNTIF('ARDT Cutter Entry'!Y114,"*L*")), 'ARDT Cutter Entry'!Y114,LEFT('ARDT Cutter Entry'!Y114,LEN('ARDT Cutter Entry'!Y114)-1)),IF(OR(COUNTIF('ARDT Cutter Entry'!Y46,"*X*"),COUNTIF('ARDT Cutter Entry'!Y46,"*L*")),'ARDT Cutter Entry'!Y46,LEFT('ARDT Cutter Entry'!Y46,LEN('ARDT Cutter Entry'!Y46)-1))),"")</f>
        <v/>
      </c>
      <c r="FW18" s="2380"/>
      <c r="FX18" s="2380"/>
      <c r="FY18" s="2380"/>
      <c r="FZ18" s="2380"/>
      <c r="GA18" s="2380"/>
      <c r="GB18" s="2380"/>
      <c r="GC18" s="2380"/>
      <c r="GD18" s="2384"/>
      <c r="GE18" s="2384"/>
      <c r="GF18" s="2384"/>
      <c r="GG18" s="2384"/>
    </row>
    <row r="19" spans="1:235" ht="44.25" customHeight="1" x14ac:dyDescent="0.55000000000000004">
      <c r="A19" s="338">
        <v>5</v>
      </c>
      <c r="B19" s="2380" t="str">
        <f>IFERROR(IF('ARDT Cutter Entry'!$C$111&lt;&gt;"",IF(OR(COUNTIF('ARDT Cutter Entry'!C115,"*X*"),COUNTIF('ARDT Cutter Entry'!C115,"*L*")), 'ARDT Cutter Entry'!C115,LEFT('ARDT Cutter Entry'!C115,LEN('ARDT Cutter Entry'!C115)-1)),IF(OR(COUNTIF('ARDT Cutter Entry'!C47,"*X*"),COUNTIF('ARDT Cutter Entry'!C47,"*L*")),'ARDT Cutter Entry'!C47,LEFT('ARDT Cutter Entry'!C47,LEN('ARDT Cutter Entry'!C47)-1))),"")</f>
        <v>R</v>
      </c>
      <c r="C19" s="2380"/>
      <c r="D19" s="2380"/>
      <c r="E19" s="2380"/>
      <c r="F19" s="2380"/>
      <c r="G19" s="2380"/>
      <c r="H19" s="2380"/>
      <c r="I19" s="2380"/>
      <c r="J19" s="2380" t="str">
        <f>IFERROR(IF('ARDT Cutter Entry'!$C$111&lt;&gt;"",IF(OR(COUNTIF('ARDT Cutter Entry'!D115,"*X*"),COUNTIF('ARDT Cutter Entry'!D115,"*L*")), 'ARDT Cutter Entry'!D115,LEFT('ARDT Cutter Entry'!D115,LEN('ARDT Cutter Entry'!D115)-1)),IF(OR(COUNTIF('ARDT Cutter Entry'!D47,"*X*"),COUNTIF('ARDT Cutter Entry'!D47,"*L*")),'ARDT Cutter Entry'!D47,LEFT('ARDT Cutter Entry'!D47,LEN('ARDT Cutter Entry'!D47)-1))),"")</f>
        <v>R</v>
      </c>
      <c r="K19" s="2380"/>
      <c r="L19" s="2380"/>
      <c r="M19" s="2380"/>
      <c r="N19" s="2380"/>
      <c r="O19" s="2380"/>
      <c r="P19" s="2380"/>
      <c r="Q19" s="2380"/>
      <c r="R19" s="2380" t="str">
        <f>IFERROR(IF('ARDT Cutter Entry'!$C$111&lt;&gt;"",IF(OR(COUNTIF('ARDT Cutter Entry'!E115,"*X*"),COUNTIF('ARDT Cutter Entry'!E115,"*L*")), 'ARDT Cutter Entry'!E115,LEFT('ARDT Cutter Entry'!E115,LEN('ARDT Cutter Entry'!E115)-1)),IF(OR(COUNTIF('ARDT Cutter Entry'!E47,"*X*"),COUNTIF('ARDT Cutter Entry'!E47,"*L*")),'ARDT Cutter Entry'!E47,LEFT('ARDT Cutter Entry'!E47,LEN('ARDT Cutter Entry'!E47)-1))),"")</f>
        <v>X5</v>
      </c>
      <c r="S19" s="2380"/>
      <c r="T19" s="2380"/>
      <c r="U19" s="2380"/>
      <c r="V19" s="2380"/>
      <c r="W19" s="2380"/>
      <c r="X19" s="2380"/>
      <c r="Y19" s="2380"/>
      <c r="Z19" s="2380" t="str">
        <f>IFERROR(IF('ARDT Cutter Entry'!$C$111&lt;&gt;"",IF(OR(COUNTIF('ARDT Cutter Entry'!F115,"*X*"),COUNTIF('ARDT Cutter Entry'!F115,"*L*")), 'ARDT Cutter Entry'!F115,LEFT('ARDT Cutter Entry'!F115,LEN('ARDT Cutter Entry'!F115)-1)),IF(OR(COUNTIF('ARDT Cutter Entry'!F47,"*X*"),COUNTIF('ARDT Cutter Entry'!F47,"*L*")),'ARDT Cutter Entry'!F47,LEFT('ARDT Cutter Entry'!F47,LEN('ARDT Cutter Entry'!F47)-1))),"")</f>
        <v>X5</v>
      </c>
      <c r="AA19" s="2380"/>
      <c r="AB19" s="2380"/>
      <c r="AC19" s="2380"/>
      <c r="AD19" s="2380"/>
      <c r="AE19" s="2380"/>
      <c r="AF19" s="2380"/>
      <c r="AG19" s="2380"/>
      <c r="AH19" s="2380" t="str">
        <f>IFERROR(IF('ARDT Cutter Entry'!$C$111&lt;&gt;"",IF(OR(COUNTIF('ARDT Cutter Entry'!G115,"*X*"),COUNTIF('ARDT Cutter Entry'!G115,"*L*")), 'ARDT Cutter Entry'!G115,LEFT('ARDT Cutter Entry'!G115,LEN('ARDT Cutter Entry'!G115)-1)),IF(OR(COUNTIF('ARDT Cutter Entry'!G47,"*X*"),COUNTIF('ARDT Cutter Entry'!G47,"*L*")),'ARDT Cutter Entry'!G47,LEFT('ARDT Cutter Entry'!G47,LEN('ARDT Cutter Entry'!G47)-1))),"")</f>
        <v>X5</v>
      </c>
      <c r="AI19" s="2380"/>
      <c r="AJ19" s="2380"/>
      <c r="AK19" s="2380"/>
      <c r="AL19" s="2380"/>
      <c r="AM19" s="2380"/>
      <c r="AN19" s="2380"/>
      <c r="AO19" s="2380"/>
      <c r="AP19" s="2380" t="str">
        <f>IFERROR(IF('ARDT Cutter Entry'!$C$111&lt;&gt;"",IF(OR(COUNTIF('ARDT Cutter Entry'!H115,"*X*"),COUNTIF('ARDT Cutter Entry'!H115,"*L*")), 'ARDT Cutter Entry'!H115,LEFT('ARDT Cutter Entry'!H115,LEN('ARDT Cutter Entry'!H115)-1)),IF(OR(COUNTIF('ARDT Cutter Entry'!H47,"*X*"),COUNTIF('ARDT Cutter Entry'!H47,"*L*")),'ARDT Cutter Entry'!H47,LEFT('ARDT Cutter Entry'!H47,LEN('ARDT Cutter Entry'!H47)-1))),"")</f>
        <v>X5</v>
      </c>
      <c r="AQ19" s="2380"/>
      <c r="AR19" s="2380"/>
      <c r="AS19" s="2380"/>
      <c r="AT19" s="2380"/>
      <c r="AU19" s="2380"/>
      <c r="AV19" s="2380"/>
      <c r="AW19" s="2380"/>
      <c r="AX19" s="2380" t="str">
        <f>IFERROR(IF('ARDT Cutter Entry'!$C$111&lt;&gt;"",IF(OR(COUNTIF('ARDT Cutter Entry'!I115,"*X*"),COUNTIF('ARDT Cutter Entry'!I115,"*L*")), 'ARDT Cutter Entry'!I115,LEFT('ARDT Cutter Entry'!I115,LEN('ARDT Cutter Entry'!I115)-1)),IF(OR(COUNTIF('ARDT Cutter Entry'!I47,"*X*"),COUNTIF('ARDT Cutter Entry'!I47,"*L*")),'ARDT Cutter Entry'!I47,LEFT('ARDT Cutter Entry'!I47,LEN('ARDT Cutter Entry'!I47)-1))),"")</f>
        <v>R</v>
      </c>
      <c r="AY19" s="2380"/>
      <c r="AZ19" s="2380"/>
      <c r="BA19" s="2380"/>
      <c r="BB19" s="2380"/>
      <c r="BC19" s="2380"/>
      <c r="BD19" s="2380"/>
      <c r="BE19" s="2380"/>
      <c r="BF19" s="2380" t="str">
        <f>IFERROR(IF('ARDT Cutter Entry'!$C$111&lt;&gt;"",IF(OR(COUNTIF('ARDT Cutter Entry'!J115,"*X*"),COUNTIF('ARDT Cutter Entry'!J115,"*L*")), 'ARDT Cutter Entry'!J115,LEFT('ARDT Cutter Entry'!J115,LEN('ARDT Cutter Entry'!J115)-1)),IF(OR(COUNTIF('ARDT Cutter Entry'!J47,"*X*"),COUNTIF('ARDT Cutter Entry'!J47,"*L*")),'ARDT Cutter Entry'!J47,LEFT('ARDT Cutter Entry'!J47,LEN('ARDT Cutter Entry'!J47)-1))),"")</f>
        <v>X3</v>
      </c>
      <c r="BG19" s="2380"/>
      <c r="BH19" s="2380"/>
      <c r="BI19" s="2380"/>
      <c r="BJ19" s="2380"/>
      <c r="BK19" s="2380"/>
      <c r="BL19" s="2380"/>
      <c r="BM19" s="2380"/>
      <c r="BN19" s="2380" t="str">
        <f>IFERROR(IF('ARDT Cutter Entry'!$C$111&lt;&gt;"",IF(OR(COUNTIF('ARDT Cutter Entry'!K115,"*X*"),COUNTIF('ARDT Cutter Entry'!K115,"*L*")), 'ARDT Cutter Entry'!K115,LEFT('ARDT Cutter Entry'!K115,LEN('ARDT Cutter Entry'!K115)-1)),IF(OR(COUNTIF('ARDT Cutter Entry'!K47,"*X*"),COUNTIF('ARDT Cutter Entry'!K47,"*L*")),'ARDT Cutter Entry'!K47,LEFT('ARDT Cutter Entry'!K47,LEN('ARDT Cutter Entry'!K47)-1))),"")</f>
        <v/>
      </c>
      <c r="BO19" s="2380"/>
      <c r="BP19" s="2380"/>
      <c r="BQ19" s="2380"/>
      <c r="BR19" s="2380"/>
      <c r="BS19" s="2380"/>
      <c r="BT19" s="2380"/>
      <c r="BU19" s="2380"/>
      <c r="BV19" s="2380" t="str">
        <f>IFERROR(IF('ARDT Cutter Entry'!$C$111&lt;&gt;"",IF(OR(COUNTIF('ARDT Cutter Entry'!L115,"*X*"),COUNTIF('ARDT Cutter Entry'!L115,"*L*")), 'ARDT Cutter Entry'!L115,LEFT('ARDT Cutter Entry'!L115,LEN('ARDT Cutter Entry'!L115)-1)),IF(OR(COUNTIF('ARDT Cutter Entry'!L47,"*X*"),COUNTIF('ARDT Cutter Entry'!L47,"*L*")),'ARDT Cutter Entry'!L47,LEFT('ARDT Cutter Entry'!L47,LEN('ARDT Cutter Entry'!L47)-1))),"")</f>
        <v>R</v>
      </c>
      <c r="BW19" s="2380"/>
      <c r="BX19" s="2380"/>
      <c r="BY19" s="2380"/>
      <c r="BZ19" s="2380"/>
      <c r="CA19" s="2380"/>
      <c r="CB19" s="2380"/>
      <c r="CC19" s="2380"/>
      <c r="CD19" s="2380" t="str">
        <f>IFERROR(IF('ARDT Cutter Entry'!$C$111&lt;&gt;"",IF(OR(COUNTIF('ARDT Cutter Entry'!M115,"*X*"),COUNTIF('ARDT Cutter Entry'!M115,"*L*")), 'ARDT Cutter Entry'!M115,LEFT('ARDT Cutter Entry'!M115,LEN('ARDT Cutter Entry'!M115)-1)),IF(OR(COUNTIF('ARDT Cutter Entry'!M47,"*X*"),COUNTIF('ARDT Cutter Entry'!M47,"*L*")),'ARDT Cutter Entry'!M47,LEFT('ARDT Cutter Entry'!M47,LEN('ARDT Cutter Entry'!M47)-1))),"")</f>
        <v>X4</v>
      </c>
      <c r="CE19" s="2380"/>
      <c r="CF19" s="2380"/>
      <c r="CG19" s="2380"/>
      <c r="CH19" s="2380"/>
      <c r="CI19" s="2380"/>
      <c r="CJ19" s="2380"/>
      <c r="CK19" s="2380"/>
      <c r="CL19" s="2380" t="str">
        <f>IFERROR(IF('ARDT Cutter Entry'!$C$111&lt;&gt;"",IF(OR(COUNTIF('ARDT Cutter Entry'!N115,"*X*"),COUNTIF('ARDT Cutter Entry'!N115,"*L*")), 'ARDT Cutter Entry'!N115,LEFT('ARDT Cutter Entry'!N115,LEN('ARDT Cutter Entry'!N115)-1)),IF(OR(COUNTIF('ARDT Cutter Entry'!N47,"*X*"),COUNTIF('ARDT Cutter Entry'!N47,"*L*")),'ARDT Cutter Entry'!N47,LEFT('ARDT Cutter Entry'!N47,LEN('ARDT Cutter Entry'!N47)-1))),"")</f>
        <v>R</v>
      </c>
      <c r="CM19" s="2380"/>
      <c r="CN19" s="2380"/>
      <c r="CO19" s="2380"/>
      <c r="CP19" s="2380"/>
      <c r="CQ19" s="2380"/>
      <c r="CR19" s="2380"/>
      <c r="CS19" s="2380"/>
      <c r="CT19" s="2380" t="str">
        <f>IFERROR(IF('ARDT Cutter Entry'!$C$111&lt;&gt;"",IF(OR(COUNTIF('ARDT Cutter Entry'!O115,"*X*"),COUNTIF('ARDT Cutter Entry'!O115,"*L*")), 'ARDT Cutter Entry'!O115,LEFT('ARDT Cutter Entry'!O115,LEN('ARDT Cutter Entry'!O115)-1)),IF(OR(COUNTIF('ARDT Cutter Entry'!O47,"*X*"),COUNTIF('ARDT Cutter Entry'!O47,"*L*")),'ARDT Cutter Entry'!O47,LEFT('ARDT Cutter Entry'!O47,LEN('ARDT Cutter Entry'!O47)-1))),"")</f>
        <v>R</v>
      </c>
      <c r="CU19" s="2380"/>
      <c r="CV19" s="2380"/>
      <c r="CW19" s="2380"/>
      <c r="CX19" s="2380"/>
      <c r="CY19" s="2380"/>
      <c r="CZ19" s="2380"/>
      <c r="DA19" s="2380"/>
      <c r="DB19" s="2380" t="str">
        <f>IFERROR(IF('ARDT Cutter Entry'!$C$111&lt;&gt;"",IF(OR(COUNTIF('ARDT Cutter Entry'!P115,"*X*"),COUNTIF('ARDT Cutter Entry'!P115,"*L*")), 'ARDT Cutter Entry'!P115,LEFT('ARDT Cutter Entry'!P115,LEN('ARDT Cutter Entry'!P115)-1)),IF(OR(COUNTIF('ARDT Cutter Entry'!P47,"*X*"),COUNTIF('ARDT Cutter Entry'!P47,"*L*")),'ARDT Cutter Entry'!P47,LEFT('ARDT Cutter Entry'!P47,LEN('ARDT Cutter Entry'!P47)-1))),"")</f>
        <v/>
      </c>
      <c r="DC19" s="2380"/>
      <c r="DD19" s="2380"/>
      <c r="DE19" s="2380"/>
      <c r="DF19" s="2380"/>
      <c r="DG19" s="2380"/>
      <c r="DH19" s="2380"/>
      <c r="DI19" s="2380"/>
      <c r="DJ19" s="2380" t="str">
        <f>IFERROR(IF('ARDT Cutter Entry'!$C$111&lt;&gt;"",IF(OR(COUNTIF('ARDT Cutter Entry'!Q115,"*X*"),COUNTIF('ARDT Cutter Entry'!Q115,"*L*")), 'ARDT Cutter Entry'!Q115,LEFT('ARDT Cutter Entry'!Q115,LEN('ARDT Cutter Entry'!Q115)-1)),IF(OR(COUNTIF('ARDT Cutter Entry'!Q47,"*X*"),COUNTIF('ARDT Cutter Entry'!Q47,"*L*")),'ARDT Cutter Entry'!Q47,LEFT('ARDT Cutter Entry'!Q47,LEN('ARDT Cutter Entry'!Q47)-1))),"")</f>
        <v/>
      </c>
      <c r="DK19" s="2380"/>
      <c r="DL19" s="2380"/>
      <c r="DM19" s="2380"/>
      <c r="DN19" s="2380"/>
      <c r="DO19" s="2380"/>
      <c r="DP19" s="2380"/>
      <c r="DQ19" s="2380"/>
      <c r="DR19" s="2380" t="str">
        <f>IFERROR(IF('ARDT Cutter Entry'!$C$111&lt;&gt;"",IF(OR(COUNTIF('ARDT Cutter Entry'!R115,"*X*"),COUNTIF('ARDT Cutter Entry'!R115,"*L*")), 'ARDT Cutter Entry'!R115,LEFT('ARDT Cutter Entry'!R115,LEN('ARDT Cutter Entry'!R115)-1)),IF(OR(COUNTIF('ARDT Cutter Entry'!R47,"*X*"),COUNTIF('ARDT Cutter Entry'!R47,"*L*")),'ARDT Cutter Entry'!R47,LEFT('ARDT Cutter Entry'!R47,LEN('ARDT Cutter Entry'!R47)-1))),"")</f>
        <v/>
      </c>
      <c r="DS19" s="2380"/>
      <c r="DT19" s="2380"/>
      <c r="DU19" s="2380"/>
      <c r="DV19" s="2380"/>
      <c r="DW19" s="2380"/>
      <c r="DX19" s="2380"/>
      <c r="DY19" s="2380"/>
      <c r="DZ19" s="2380" t="str">
        <f>IFERROR(IF('ARDT Cutter Entry'!$C$111&lt;&gt;"",IF(OR(COUNTIF('ARDT Cutter Entry'!S115,"*X*"),COUNTIF('ARDT Cutter Entry'!S115,"*L*")), 'ARDT Cutter Entry'!S115,LEFT('ARDT Cutter Entry'!S115,LEN('ARDT Cutter Entry'!S115)-1)),IF(OR(COUNTIF('ARDT Cutter Entry'!S47,"*X*"),COUNTIF('ARDT Cutter Entry'!S47,"*L*")),'ARDT Cutter Entry'!S47,LEFT('ARDT Cutter Entry'!S47,LEN('ARDT Cutter Entry'!S47)-1))),"")</f>
        <v/>
      </c>
      <c r="EA19" s="2380"/>
      <c r="EB19" s="2380"/>
      <c r="EC19" s="2380"/>
      <c r="ED19" s="2380"/>
      <c r="EE19" s="2380"/>
      <c r="EF19" s="2380"/>
      <c r="EG19" s="2380"/>
      <c r="EH19" s="2380" t="str">
        <f>IFERROR(IF('ARDT Cutter Entry'!$C$111&lt;&gt;"",IF(OR(COUNTIF('ARDT Cutter Entry'!T115,"*X*"),COUNTIF('ARDT Cutter Entry'!T115,"*L*")), 'ARDT Cutter Entry'!T115,LEFT('ARDT Cutter Entry'!T115,LEN('ARDT Cutter Entry'!T115)-1)),IF(OR(COUNTIF('ARDT Cutter Entry'!T47,"*X*"),COUNTIF('ARDT Cutter Entry'!T47,"*L*")),'ARDT Cutter Entry'!T47,LEFT('ARDT Cutter Entry'!T47,LEN('ARDT Cutter Entry'!T47)-1))),"")</f>
        <v/>
      </c>
      <c r="EI19" s="2380"/>
      <c r="EJ19" s="2380"/>
      <c r="EK19" s="2380"/>
      <c r="EL19" s="2380"/>
      <c r="EM19" s="2380"/>
      <c r="EN19" s="2380"/>
      <c r="EO19" s="2380"/>
      <c r="EP19" s="2380" t="str">
        <f>IFERROR(IF('ARDT Cutter Entry'!$C$111&lt;&gt;"",IF(OR(COUNTIF('ARDT Cutter Entry'!U115,"*X*"),COUNTIF('ARDT Cutter Entry'!U115,"*L*")), 'ARDT Cutter Entry'!U115,LEFT('ARDT Cutter Entry'!U115,LEN('ARDT Cutter Entry'!U115)-1)),IF(OR(COUNTIF('ARDT Cutter Entry'!U47,"*X*"),COUNTIF('ARDT Cutter Entry'!U47,"*L*")),'ARDT Cutter Entry'!U47,LEFT('ARDT Cutter Entry'!U47,LEN('ARDT Cutter Entry'!U47)-1))),"")</f>
        <v/>
      </c>
      <c r="EQ19" s="2380"/>
      <c r="ER19" s="2380"/>
      <c r="ES19" s="2380"/>
      <c r="ET19" s="2380"/>
      <c r="EU19" s="2380"/>
      <c r="EV19" s="2380"/>
      <c r="EW19" s="2380"/>
      <c r="EX19" s="2380" t="str">
        <f>IFERROR(IF('ARDT Cutter Entry'!$C$111&lt;&gt;"",IF(OR(COUNTIF('ARDT Cutter Entry'!V115,"*X*"),COUNTIF('ARDT Cutter Entry'!V115,"*L*")), 'ARDT Cutter Entry'!V115,LEFT('ARDT Cutter Entry'!V115,LEN('ARDT Cutter Entry'!V115)-1)),IF(OR(COUNTIF('ARDT Cutter Entry'!V47,"*X*"),COUNTIF('ARDT Cutter Entry'!V47,"*L*")),'ARDT Cutter Entry'!V47,LEFT('ARDT Cutter Entry'!V47,LEN('ARDT Cutter Entry'!V47)-1))),"")</f>
        <v/>
      </c>
      <c r="EY19" s="2380"/>
      <c r="EZ19" s="2380"/>
      <c r="FA19" s="2380"/>
      <c r="FB19" s="2380"/>
      <c r="FC19" s="2380"/>
      <c r="FD19" s="2380"/>
      <c r="FE19" s="2380"/>
      <c r="FF19" s="2380" t="str">
        <f>IFERROR(IF('ARDT Cutter Entry'!$C$111&lt;&gt;"",IF(OR(COUNTIF('ARDT Cutter Entry'!W115,"*X*"),COUNTIF('ARDT Cutter Entry'!W115,"*L*")), 'ARDT Cutter Entry'!W115,LEFT('ARDT Cutter Entry'!W115,LEN('ARDT Cutter Entry'!W115)-1)),IF(OR(COUNTIF('ARDT Cutter Entry'!W47,"*X*"),COUNTIF('ARDT Cutter Entry'!W47,"*L*")),'ARDT Cutter Entry'!W47,LEFT('ARDT Cutter Entry'!W47,LEN('ARDT Cutter Entry'!W47)-1))),"")</f>
        <v/>
      </c>
      <c r="FG19" s="2380"/>
      <c r="FH19" s="2380"/>
      <c r="FI19" s="2380"/>
      <c r="FJ19" s="2380"/>
      <c r="FK19" s="2380"/>
      <c r="FL19" s="2380"/>
      <c r="FM19" s="2380"/>
      <c r="FN19" s="2380" t="str">
        <f>IFERROR(IF('ARDT Cutter Entry'!$C$111&lt;&gt;"",IF(OR(COUNTIF('ARDT Cutter Entry'!X115,"*X*"),COUNTIF('ARDT Cutter Entry'!X115,"*L*")), 'ARDT Cutter Entry'!X115,LEFT('ARDT Cutter Entry'!X115,LEN('ARDT Cutter Entry'!X115)-1)),IF(OR(COUNTIF('ARDT Cutter Entry'!X47,"*X*"),COUNTIF('ARDT Cutter Entry'!X47,"*L*")),'ARDT Cutter Entry'!X47,LEFT('ARDT Cutter Entry'!X47,LEN('ARDT Cutter Entry'!X47)-1))),"")</f>
        <v/>
      </c>
      <c r="FO19" s="2380"/>
      <c r="FP19" s="2380"/>
      <c r="FQ19" s="2380"/>
      <c r="FR19" s="2380"/>
      <c r="FS19" s="2380"/>
      <c r="FT19" s="2380"/>
      <c r="FU19" s="2380"/>
      <c r="FV19" s="2380" t="str">
        <f>IFERROR(IF('ARDT Cutter Entry'!$C$111&lt;&gt;"",IF(OR(COUNTIF('ARDT Cutter Entry'!Y115,"*X*"),COUNTIF('ARDT Cutter Entry'!Y115,"*L*")), 'ARDT Cutter Entry'!Y115,LEFT('ARDT Cutter Entry'!Y115,LEN('ARDT Cutter Entry'!Y115)-1)),IF(OR(COUNTIF('ARDT Cutter Entry'!Y47,"*X*"),COUNTIF('ARDT Cutter Entry'!Y47,"*L*")),'ARDT Cutter Entry'!Y47,LEFT('ARDT Cutter Entry'!Y47,LEN('ARDT Cutter Entry'!Y47)-1))),"")</f>
        <v/>
      </c>
      <c r="FW19" s="2380"/>
      <c r="FX19" s="2380"/>
      <c r="FY19" s="2380"/>
      <c r="FZ19" s="2380"/>
      <c r="GA19" s="2380"/>
      <c r="GB19" s="2380"/>
      <c r="GC19" s="2380"/>
      <c r="GD19" s="2384"/>
      <c r="GE19" s="2384"/>
      <c r="GF19" s="2384"/>
      <c r="GG19" s="2384"/>
    </row>
    <row r="20" spans="1:235" ht="44.25" customHeight="1" x14ac:dyDescent="0.55000000000000004">
      <c r="A20" s="338">
        <v>6</v>
      </c>
      <c r="B20" s="2380" t="str">
        <f>IFERROR(IF('ARDT Cutter Entry'!$C$111&lt;&gt;"",IF(OR(COUNTIF('ARDT Cutter Entry'!C116,"*X*"),COUNTIF('ARDT Cutter Entry'!C116,"*L*")), 'ARDT Cutter Entry'!C116,LEFT('ARDT Cutter Entry'!C116,LEN('ARDT Cutter Entry'!C116)-1)),IF(OR(COUNTIF('ARDT Cutter Entry'!C48,"*X*"),COUNTIF('ARDT Cutter Entry'!C48,"*L*")),'ARDT Cutter Entry'!C48,LEFT('ARDT Cutter Entry'!C48,LEN('ARDT Cutter Entry'!C48)-1))),"")</f>
        <v>X5</v>
      </c>
      <c r="C20" s="2380"/>
      <c r="D20" s="2380"/>
      <c r="E20" s="2380"/>
      <c r="F20" s="2380"/>
      <c r="G20" s="2380"/>
      <c r="H20" s="2380"/>
      <c r="I20" s="2380"/>
      <c r="J20" s="2380" t="str">
        <f>IFERROR(IF('ARDT Cutter Entry'!$C$111&lt;&gt;"",IF(OR(COUNTIF('ARDT Cutter Entry'!D116,"*X*"),COUNTIF('ARDT Cutter Entry'!D116,"*L*")), 'ARDT Cutter Entry'!D116,LEFT('ARDT Cutter Entry'!D116,LEN('ARDT Cutter Entry'!D116)-1)),IF(OR(COUNTIF('ARDT Cutter Entry'!D48,"*X*"),COUNTIF('ARDT Cutter Entry'!D48,"*L*")),'ARDT Cutter Entry'!D48,LEFT('ARDT Cutter Entry'!D48,LEN('ARDT Cutter Entry'!D48)-1))),"")</f>
        <v>X5</v>
      </c>
      <c r="K20" s="2380"/>
      <c r="L20" s="2380"/>
      <c r="M20" s="2380"/>
      <c r="N20" s="2380"/>
      <c r="O20" s="2380"/>
      <c r="P20" s="2380"/>
      <c r="Q20" s="2380"/>
      <c r="R20" s="2380" t="str">
        <f>IFERROR(IF('ARDT Cutter Entry'!$C$111&lt;&gt;"",IF(OR(COUNTIF('ARDT Cutter Entry'!E116,"*X*"),COUNTIF('ARDT Cutter Entry'!E116,"*L*")), 'ARDT Cutter Entry'!E116,LEFT('ARDT Cutter Entry'!E116,LEN('ARDT Cutter Entry'!E116)-1)),IF(OR(COUNTIF('ARDT Cutter Entry'!E48,"*X*"),COUNTIF('ARDT Cutter Entry'!E48,"*L*")),'ARDT Cutter Entry'!E48,LEFT('ARDT Cutter Entry'!E48,LEN('ARDT Cutter Entry'!E48)-1))),"")</f>
        <v>X5</v>
      </c>
      <c r="S20" s="2380"/>
      <c r="T20" s="2380"/>
      <c r="U20" s="2380"/>
      <c r="V20" s="2380"/>
      <c r="W20" s="2380"/>
      <c r="X20" s="2380"/>
      <c r="Y20" s="2380"/>
      <c r="Z20" s="2380" t="str">
        <f>IFERROR(IF('ARDT Cutter Entry'!$C$111&lt;&gt;"",IF(OR(COUNTIF('ARDT Cutter Entry'!F116,"*X*"),COUNTIF('ARDT Cutter Entry'!F116,"*L*")), 'ARDT Cutter Entry'!F116,LEFT('ARDT Cutter Entry'!F116,LEN('ARDT Cutter Entry'!F116)-1)),IF(OR(COUNTIF('ARDT Cutter Entry'!F48,"*X*"),COUNTIF('ARDT Cutter Entry'!F48,"*L*")),'ARDT Cutter Entry'!F48,LEFT('ARDT Cutter Entry'!F48,LEN('ARDT Cutter Entry'!F48)-1))),"")</f>
        <v>R</v>
      </c>
      <c r="AA20" s="2380"/>
      <c r="AB20" s="2380"/>
      <c r="AC20" s="2380"/>
      <c r="AD20" s="2380"/>
      <c r="AE20" s="2380"/>
      <c r="AF20" s="2380"/>
      <c r="AG20" s="2380"/>
      <c r="AH20" s="2380" t="str">
        <f>IFERROR(IF('ARDT Cutter Entry'!$C$111&lt;&gt;"",IF(OR(COUNTIF('ARDT Cutter Entry'!G116,"*X*"),COUNTIF('ARDT Cutter Entry'!G116,"*L*")), 'ARDT Cutter Entry'!G116,LEFT('ARDT Cutter Entry'!G116,LEN('ARDT Cutter Entry'!G116)-1)),IF(OR(COUNTIF('ARDT Cutter Entry'!G48,"*X*"),COUNTIF('ARDT Cutter Entry'!G48,"*L*")),'ARDT Cutter Entry'!G48,LEFT('ARDT Cutter Entry'!G48,LEN('ARDT Cutter Entry'!G48)-1))),"")</f>
        <v>X3</v>
      </c>
      <c r="AI20" s="2380"/>
      <c r="AJ20" s="2380"/>
      <c r="AK20" s="2380"/>
      <c r="AL20" s="2380"/>
      <c r="AM20" s="2380"/>
      <c r="AN20" s="2380"/>
      <c r="AO20" s="2380"/>
      <c r="AP20" s="2380" t="str">
        <f>IFERROR(IF('ARDT Cutter Entry'!$C$111&lt;&gt;"",IF(OR(COUNTIF('ARDT Cutter Entry'!H116,"*X*"),COUNTIF('ARDT Cutter Entry'!H116,"*L*")), 'ARDT Cutter Entry'!H116,LEFT('ARDT Cutter Entry'!H116,LEN('ARDT Cutter Entry'!H116)-1)),IF(OR(COUNTIF('ARDT Cutter Entry'!H48,"*X*"),COUNTIF('ARDT Cutter Entry'!H48,"*L*")),'ARDT Cutter Entry'!H48,LEFT('ARDT Cutter Entry'!H48,LEN('ARDT Cutter Entry'!H48)-1))),"")</f>
        <v/>
      </c>
      <c r="AQ20" s="2380"/>
      <c r="AR20" s="2380"/>
      <c r="AS20" s="2380"/>
      <c r="AT20" s="2380"/>
      <c r="AU20" s="2380"/>
      <c r="AV20" s="2380"/>
      <c r="AW20" s="2380"/>
      <c r="AX20" s="2380" t="str">
        <f>IFERROR(IF('ARDT Cutter Entry'!$C$111&lt;&gt;"",IF(OR(COUNTIF('ARDT Cutter Entry'!I116,"*X*"),COUNTIF('ARDT Cutter Entry'!I116,"*L*")), 'ARDT Cutter Entry'!I116,LEFT('ARDT Cutter Entry'!I116,LEN('ARDT Cutter Entry'!I116)-1)),IF(OR(COUNTIF('ARDT Cutter Entry'!I48,"*X*"),COUNTIF('ARDT Cutter Entry'!I48,"*L*")),'ARDT Cutter Entry'!I48,LEFT('ARDT Cutter Entry'!I48,LEN('ARDT Cutter Entry'!I48)-1))),"")</f>
        <v/>
      </c>
      <c r="AY20" s="2380"/>
      <c r="AZ20" s="2380"/>
      <c r="BA20" s="2380"/>
      <c r="BB20" s="2380"/>
      <c r="BC20" s="2380"/>
      <c r="BD20" s="2380"/>
      <c r="BE20" s="2380"/>
      <c r="BF20" s="2380" t="str">
        <f>IFERROR(IF('ARDT Cutter Entry'!$C$111&lt;&gt;"",IF(OR(COUNTIF('ARDT Cutter Entry'!J116,"*X*"),COUNTIF('ARDT Cutter Entry'!J116,"*L*")), 'ARDT Cutter Entry'!J116,LEFT('ARDT Cutter Entry'!J116,LEN('ARDT Cutter Entry'!J116)-1)),IF(OR(COUNTIF('ARDT Cutter Entry'!J48,"*X*"),COUNTIF('ARDT Cutter Entry'!J48,"*L*")),'ARDT Cutter Entry'!J48,LEFT('ARDT Cutter Entry'!J48,LEN('ARDT Cutter Entry'!J48)-1))),"")</f>
        <v/>
      </c>
      <c r="BG20" s="2380"/>
      <c r="BH20" s="2380"/>
      <c r="BI20" s="2380"/>
      <c r="BJ20" s="2380"/>
      <c r="BK20" s="2380"/>
      <c r="BL20" s="2380"/>
      <c r="BM20" s="2380"/>
      <c r="BN20" s="2380" t="str">
        <f>IFERROR(IF('ARDT Cutter Entry'!$C$111&lt;&gt;"",IF(OR(COUNTIF('ARDT Cutter Entry'!K116,"*X*"),COUNTIF('ARDT Cutter Entry'!K116,"*L*")), 'ARDT Cutter Entry'!K116,LEFT('ARDT Cutter Entry'!K116,LEN('ARDT Cutter Entry'!K116)-1)),IF(OR(COUNTIF('ARDT Cutter Entry'!K48,"*X*"),COUNTIF('ARDT Cutter Entry'!K48,"*L*")),'ARDT Cutter Entry'!K48,LEFT('ARDT Cutter Entry'!K48,LEN('ARDT Cutter Entry'!K48)-1))),"")</f>
        <v/>
      </c>
      <c r="BO20" s="2380"/>
      <c r="BP20" s="2380"/>
      <c r="BQ20" s="2380"/>
      <c r="BR20" s="2380"/>
      <c r="BS20" s="2380"/>
      <c r="BT20" s="2380"/>
      <c r="BU20" s="2380"/>
      <c r="BV20" s="2380" t="str">
        <f>IFERROR(IF('ARDT Cutter Entry'!$C$111&lt;&gt;"",IF(OR(COUNTIF('ARDT Cutter Entry'!L116,"*X*"),COUNTIF('ARDT Cutter Entry'!L116,"*L*")), 'ARDT Cutter Entry'!L116,LEFT('ARDT Cutter Entry'!L116,LEN('ARDT Cutter Entry'!L116)-1)),IF(OR(COUNTIF('ARDT Cutter Entry'!L48,"*X*"),COUNTIF('ARDT Cutter Entry'!L48,"*L*")),'ARDT Cutter Entry'!L48,LEFT('ARDT Cutter Entry'!L48,LEN('ARDT Cutter Entry'!L48)-1))),"")</f>
        <v>S</v>
      </c>
      <c r="BW20" s="2380"/>
      <c r="BX20" s="2380"/>
      <c r="BY20" s="2380"/>
      <c r="BZ20" s="2380"/>
      <c r="CA20" s="2380"/>
      <c r="CB20" s="2380"/>
      <c r="CC20" s="2380"/>
      <c r="CD20" s="2380" t="str">
        <f>IFERROR(IF('ARDT Cutter Entry'!$C$111&lt;&gt;"",IF(OR(COUNTIF('ARDT Cutter Entry'!M116,"*X*"),COUNTIF('ARDT Cutter Entry'!M116,"*L*")), 'ARDT Cutter Entry'!M116,LEFT('ARDT Cutter Entry'!M116,LEN('ARDT Cutter Entry'!M116)-1)),IF(OR(COUNTIF('ARDT Cutter Entry'!M48,"*X*"),COUNTIF('ARDT Cutter Entry'!M48,"*L*")),'ARDT Cutter Entry'!M48,LEFT('ARDT Cutter Entry'!M48,LEN('ARDT Cutter Entry'!M48)-1))),"")</f>
        <v>R</v>
      </c>
      <c r="CE20" s="2380"/>
      <c r="CF20" s="2380"/>
      <c r="CG20" s="2380"/>
      <c r="CH20" s="2380"/>
      <c r="CI20" s="2380"/>
      <c r="CJ20" s="2380"/>
      <c r="CK20" s="2380"/>
      <c r="CL20" s="2380" t="str">
        <f>IFERROR(IF('ARDT Cutter Entry'!$C$111&lt;&gt;"",IF(OR(COUNTIF('ARDT Cutter Entry'!N116,"*X*"),COUNTIF('ARDT Cutter Entry'!N116,"*L*")), 'ARDT Cutter Entry'!N116,LEFT('ARDT Cutter Entry'!N116,LEN('ARDT Cutter Entry'!N116)-1)),IF(OR(COUNTIF('ARDT Cutter Entry'!N48,"*X*"),COUNTIF('ARDT Cutter Entry'!N48,"*L*")),'ARDT Cutter Entry'!N48,LEFT('ARDT Cutter Entry'!N48,LEN('ARDT Cutter Entry'!N48)-1))),"")</f>
        <v>R</v>
      </c>
      <c r="CM20" s="2380"/>
      <c r="CN20" s="2380"/>
      <c r="CO20" s="2380"/>
      <c r="CP20" s="2380"/>
      <c r="CQ20" s="2380"/>
      <c r="CR20" s="2380"/>
      <c r="CS20" s="2380"/>
      <c r="CT20" s="2380" t="str">
        <f>IFERROR(IF('ARDT Cutter Entry'!$C$111&lt;&gt;"",IF(OR(COUNTIF('ARDT Cutter Entry'!O116,"*X*"),COUNTIF('ARDT Cutter Entry'!O116,"*L*")), 'ARDT Cutter Entry'!O116,LEFT('ARDT Cutter Entry'!O116,LEN('ARDT Cutter Entry'!O116)-1)),IF(OR(COUNTIF('ARDT Cutter Entry'!O48,"*X*"),COUNTIF('ARDT Cutter Entry'!O48,"*L*")),'ARDT Cutter Entry'!O48,LEFT('ARDT Cutter Entry'!O48,LEN('ARDT Cutter Entry'!O48)-1))),"")</f>
        <v>R</v>
      </c>
      <c r="CU20" s="2380"/>
      <c r="CV20" s="2380"/>
      <c r="CW20" s="2380"/>
      <c r="CX20" s="2380"/>
      <c r="CY20" s="2380"/>
      <c r="CZ20" s="2380"/>
      <c r="DA20" s="2380"/>
      <c r="DB20" s="2380" t="str">
        <f>IFERROR(IF('ARDT Cutter Entry'!$C$111&lt;&gt;"",IF(OR(COUNTIF('ARDT Cutter Entry'!P116,"*X*"),COUNTIF('ARDT Cutter Entry'!P116,"*L*")), 'ARDT Cutter Entry'!P116,LEFT('ARDT Cutter Entry'!P116,LEN('ARDT Cutter Entry'!P116)-1)),IF(OR(COUNTIF('ARDT Cutter Entry'!P48,"*X*"),COUNTIF('ARDT Cutter Entry'!P48,"*L*")),'ARDT Cutter Entry'!P48,LEFT('ARDT Cutter Entry'!P48,LEN('ARDT Cutter Entry'!P48)-1))),"")</f>
        <v/>
      </c>
      <c r="DC20" s="2380"/>
      <c r="DD20" s="2380"/>
      <c r="DE20" s="2380"/>
      <c r="DF20" s="2380"/>
      <c r="DG20" s="2380"/>
      <c r="DH20" s="2380"/>
      <c r="DI20" s="2380"/>
      <c r="DJ20" s="2380" t="str">
        <f>IFERROR(IF('ARDT Cutter Entry'!$C$111&lt;&gt;"",IF(OR(COUNTIF('ARDT Cutter Entry'!Q116,"*X*"),COUNTIF('ARDT Cutter Entry'!Q116,"*L*")), 'ARDT Cutter Entry'!Q116,LEFT('ARDT Cutter Entry'!Q116,LEN('ARDT Cutter Entry'!Q116)-1)),IF(OR(COUNTIF('ARDT Cutter Entry'!Q48,"*X*"),COUNTIF('ARDT Cutter Entry'!Q48,"*L*")),'ARDT Cutter Entry'!Q48,LEFT('ARDT Cutter Entry'!Q48,LEN('ARDT Cutter Entry'!Q48)-1))),"")</f>
        <v/>
      </c>
      <c r="DK20" s="2380"/>
      <c r="DL20" s="2380"/>
      <c r="DM20" s="2380"/>
      <c r="DN20" s="2380"/>
      <c r="DO20" s="2380"/>
      <c r="DP20" s="2380"/>
      <c r="DQ20" s="2380"/>
      <c r="DR20" s="2380" t="str">
        <f>IFERROR(IF('ARDT Cutter Entry'!$C$111&lt;&gt;"",IF(OR(COUNTIF('ARDT Cutter Entry'!R116,"*X*"),COUNTIF('ARDT Cutter Entry'!R116,"*L*")), 'ARDT Cutter Entry'!R116,LEFT('ARDT Cutter Entry'!R116,LEN('ARDT Cutter Entry'!R116)-1)),IF(OR(COUNTIF('ARDT Cutter Entry'!R48,"*X*"),COUNTIF('ARDT Cutter Entry'!R48,"*L*")),'ARDT Cutter Entry'!R48,LEFT('ARDT Cutter Entry'!R48,LEN('ARDT Cutter Entry'!R48)-1))),"")</f>
        <v/>
      </c>
      <c r="DS20" s="2380"/>
      <c r="DT20" s="2380"/>
      <c r="DU20" s="2380"/>
      <c r="DV20" s="2380"/>
      <c r="DW20" s="2380"/>
      <c r="DX20" s="2380"/>
      <c r="DY20" s="2380"/>
      <c r="DZ20" s="2380" t="str">
        <f>IFERROR(IF('ARDT Cutter Entry'!$C$111&lt;&gt;"",IF(OR(COUNTIF('ARDT Cutter Entry'!S116,"*X*"),COUNTIF('ARDT Cutter Entry'!S116,"*L*")), 'ARDT Cutter Entry'!S116,LEFT('ARDT Cutter Entry'!S116,LEN('ARDT Cutter Entry'!S116)-1)),IF(OR(COUNTIF('ARDT Cutter Entry'!S48,"*X*"),COUNTIF('ARDT Cutter Entry'!S48,"*L*")),'ARDT Cutter Entry'!S48,LEFT('ARDT Cutter Entry'!S48,LEN('ARDT Cutter Entry'!S48)-1))),"")</f>
        <v/>
      </c>
      <c r="EA20" s="2380"/>
      <c r="EB20" s="2380"/>
      <c r="EC20" s="2380"/>
      <c r="ED20" s="2380"/>
      <c r="EE20" s="2380"/>
      <c r="EF20" s="2380"/>
      <c r="EG20" s="2380"/>
      <c r="EH20" s="2380" t="str">
        <f>IFERROR(IF('ARDT Cutter Entry'!$C$111&lt;&gt;"",IF(OR(COUNTIF('ARDT Cutter Entry'!T116,"*X*"),COUNTIF('ARDT Cutter Entry'!T116,"*L*")), 'ARDT Cutter Entry'!T116,LEFT('ARDT Cutter Entry'!T116,LEN('ARDT Cutter Entry'!T116)-1)),IF(OR(COUNTIF('ARDT Cutter Entry'!T48,"*X*"),COUNTIF('ARDT Cutter Entry'!T48,"*L*")),'ARDT Cutter Entry'!T48,LEFT('ARDT Cutter Entry'!T48,LEN('ARDT Cutter Entry'!T48)-1))),"")</f>
        <v/>
      </c>
      <c r="EI20" s="2380"/>
      <c r="EJ20" s="2380"/>
      <c r="EK20" s="2380"/>
      <c r="EL20" s="2380"/>
      <c r="EM20" s="2380"/>
      <c r="EN20" s="2380"/>
      <c r="EO20" s="2380"/>
      <c r="EP20" s="2380" t="str">
        <f>IFERROR(IF('ARDT Cutter Entry'!$C$111&lt;&gt;"",IF(OR(COUNTIF('ARDT Cutter Entry'!U116,"*X*"),COUNTIF('ARDT Cutter Entry'!U116,"*L*")), 'ARDT Cutter Entry'!U116,LEFT('ARDT Cutter Entry'!U116,LEN('ARDT Cutter Entry'!U116)-1)),IF(OR(COUNTIF('ARDT Cutter Entry'!U48,"*X*"),COUNTIF('ARDT Cutter Entry'!U48,"*L*")),'ARDT Cutter Entry'!U48,LEFT('ARDT Cutter Entry'!U48,LEN('ARDT Cutter Entry'!U48)-1))),"")</f>
        <v/>
      </c>
      <c r="EQ20" s="2380"/>
      <c r="ER20" s="2380"/>
      <c r="ES20" s="2380"/>
      <c r="ET20" s="2380"/>
      <c r="EU20" s="2380"/>
      <c r="EV20" s="2380"/>
      <c r="EW20" s="2380"/>
      <c r="EX20" s="2380" t="str">
        <f>IFERROR(IF('ARDT Cutter Entry'!$C$111&lt;&gt;"",IF(OR(COUNTIF('ARDT Cutter Entry'!V116,"*X*"),COUNTIF('ARDT Cutter Entry'!V116,"*L*")), 'ARDT Cutter Entry'!V116,LEFT('ARDT Cutter Entry'!V116,LEN('ARDT Cutter Entry'!V116)-1)),IF(OR(COUNTIF('ARDT Cutter Entry'!V48,"*X*"),COUNTIF('ARDT Cutter Entry'!V48,"*L*")),'ARDT Cutter Entry'!V48,LEFT('ARDT Cutter Entry'!V48,LEN('ARDT Cutter Entry'!V48)-1))),"")</f>
        <v/>
      </c>
      <c r="EY20" s="2380"/>
      <c r="EZ20" s="2380"/>
      <c r="FA20" s="2380"/>
      <c r="FB20" s="2380"/>
      <c r="FC20" s="2380"/>
      <c r="FD20" s="2380"/>
      <c r="FE20" s="2380"/>
      <c r="FF20" s="2380" t="str">
        <f>IFERROR(IF('ARDT Cutter Entry'!$C$111&lt;&gt;"",IF(OR(COUNTIF('ARDT Cutter Entry'!W116,"*X*"),COUNTIF('ARDT Cutter Entry'!W116,"*L*")), 'ARDT Cutter Entry'!W116,LEFT('ARDT Cutter Entry'!W116,LEN('ARDT Cutter Entry'!W116)-1)),IF(OR(COUNTIF('ARDT Cutter Entry'!W48,"*X*"),COUNTIF('ARDT Cutter Entry'!W48,"*L*")),'ARDT Cutter Entry'!W48,LEFT('ARDT Cutter Entry'!W48,LEN('ARDT Cutter Entry'!W48)-1))),"")</f>
        <v/>
      </c>
      <c r="FG20" s="2380"/>
      <c r="FH20" s="2380"/>
      <c r="FI20" s="2380"/>
      <c r="FJ20" s="2380"/>
      <c r="FK20" s="2380"/>
      <c r="FL20" s="2380"/>
      <c r="FM20" s="2380"/>
      <c r="FN20" s="2380" t="str">
        <f>IFERROR(IF('ARDT Cutter Entry'!$C$111&lt;&gt;"",IF(OR(COUNTIF('ARDT Cutter Entry'!X116,"*X*"),COUNTIF('ARDT Cutter Entry'!X116,"*L*")), 'ARDT Cutter Entry'!X116,LEFT('ARDT Cutter Entry'!X116,LEN('ARDT Cutter Entry'!X116)-1)),IF(OR(COUNTIF('ARDT Cutter Entry'!X48,"*X*"),COUNTIF('ARDT Cutter Entry'!X48,"*L*")),'ARDT Cutter Entry'!X48,LEFT('ARDT Cutter Entry'!X48,LEN('ARDT Cutter Entry'!X48)-1))),"")</f>
        <v/>
      </c>
      <c r="FO20" s="2380"/>
      <c r="FP20" s="2380"/>
      <c r="FQ20" s="2380"/>
      <c r="FR20" s="2380"/>
      <c r="FS20" s="2380"/>
      <c r="FT20" s="2380"/>
      <c r="FU20" s="2380"/>
      <c r="FV20" s="2380" t="str">
        <f>IFERROR(IF('ARDT Cutter Entry'!$C$111&lt;&gt;"",IF(OR(COUNTIF('ARDT Cutter Entry'!Y116,"*X*"),COUNTIF('ARDT Cutter Entry'!Y116,"*L*")), 'ARDT Cutter Entry'!Y116,LEFT('ARDT Cutter Entry'!Y116,LEN('ARDT Cutter Entry'!Y116)-1)),IF(OR(COUNTIF('ARDT Cutter Entry'!Y48,"*X*"),COUNTIF('ARDT Cutter Entry'!Y48,"*L*")),'ARDT Cutter Entry'!Y48,LEFT('ARDT Cutter Entry'!Y48,LEN('ARDT Cutter Entry'!Y48)-1))),"")</f>
        <v/>
      </c>
      <c r="FW20" s="2380"/>
      <c r="FX20" s="2380"/>
      <c r="FY20" s="2380"/>
      <c r="FZ20" s="2380"/>
      <c r="GA20" s="2380"/>
      <c r="GB20" s="2380"/>
      <c r="GC20" s="2380"/>
      <c r="GD20" s="2384"/>
      <c r="GE20" s="2384"/>
      <c r="GF20" s="2384"/>
      <c r="GG20" s="2384"/>
    </row>
    <row r="21" spans="1:235" ht="44.25" customHeight="1" x14ac:dyDescent="0.55000000000000004">
      <c r="A21" s="338">
        <v>7</v>
      </c>
      <c r="B21" s="2380" t="str">
        <f>IFERROR(IF('ARDT Cutter Entry'!$C$111&lt;&gt;"",IF(OR(COUNTIF('ARDT Cutter Entry'!C117,"*X*"),COUNTIF('ARDT Cutter Entry'!C117,"*L*")), 'ARDT Cutter Entry'!C117,LEFT('ARDT Cutter Entry'!C117,LEN('ARDT Cutter Entry'!C117)-1)),IF(OR(COUNTIF('ARDT Cutter Entry'!C49,"*X*"),COUNTIF('ARDT Cutter Entry'!C49,"*L*")),'ARDT Cutter Entry'!C49,LEFT('ARDT Cutter Entry'!C49,LEN('ARDT Cutter Entry'!C49)-1))),"")</f>
        <v/>
      </c>
      <c r="C21" s="2380"/>
      <c r="D21" s="2380"/>
      <c r="E21" s="2380"/>
      <c r="F21" s="2380"/>
      <c r="G21" s="2380"/>
      <c r="H21" s="2380"/>
      <c r="I21" s="2380"/>
      <c r="J21" s="2380" t="str">
        <f>IFERROR(IF('ARDT Cutter Entry'!$C$111&lt;&gt;"",IF(OR(COUNTIF('ARDT Cutter Entry'!D117,"*X*"),COUNTIF('ARDT Cutter Entry'!D117,"*L*")), 'ARDT Cutter Entry'!D117,LEFT('ARDT Cutter Entry'!D117,LEN('ARDT Cutter Entry'!D117)-1)),IF(OR(COUNTIF('ARDT Cutter Entry'!D49,"*X*"),COUNTIF('ARDT Cutter Entry'!D49,"*L*")),'ARDT Cutter Entry'!D49,LEFT('ARDT Cutter Entry'!D49,LEN('ARDT Cutter Entry'!D49)-1))),"")</f>
        <v/>
      </c>
      <c r="K21" s="2380"/>
      <c r="L21" s="2380"/>
      <c r="M21" s="2380"/>
      <c r="N21" s="2380"/>
      <c r="O21" s="2380"/>
      <c r="P21" s="2380"/>
      <c r="Q21" s="2380"/>
      <c r="R21" s="2380" t="str">
        <f>IFERROR(IF('ARDT Cutter Entry'!$C$111&lt;&gt;"",IF(OR(COUNTIF('ARDT Cutter Entry'!E117,"*X*"),COUNTIF('ARDT Cutter Entry'!E117,"*L*")), 'ARDT Cutter Entry'!E117,LEFT('ARDT Cutter Entry'!E117,LEN('ARDT Cutter Entry'!E117)-1)),IF(OR(COUNTIF('ARDT Cutter Entry'!E49,"*X*"),COUNTIF('ARDT Cutter Entry'!E49,"*L*")),'ARDT Cutter Entry'!E49,LEFT('ARDT Cutter Entry'!E49,LEN('ARDT Cutter Entry'!E49)-1))),"")</f>
        <v/>
      </c>
      <c r="S21" s="2380"/>
      <c r="T21" s="2380"/>
      <c r="U21" s="2380"/>
      <c r="V21" s="2380"/>
      <c r="W21" s="2380"/>
      <c r="X21" s="2380"/>
      <c r="Y21" s="2380"/>
      <c r="Z21" s="2380" t="str">
        <f>IFERROR(IF('ARDT Cutter Entry'!$C$111&lt;&gt;"",IF(OR(COUNTIF('ARDT Cutter Entry'!F117,"*X*"),COUNTIF('ARDT Cutter Entry'!F117,"*L*")), 'ARDT Cutter Entry'!F117,LEFT('ARDT Cutter Entry'!F117,LEN('ARDT Cutter Entry'!F117)-1)),IF(OR(COUNTIF('ARDT Cutter Entry'!F49,"*X*"),COUNTIF('ARDT Cutter Entry'!F49,"*L*")),'ARDT Cutter Entry'!F49,LEFT('ARDT Cutter Entry'!F49,LEN('ARDT Cutter Entry'!F49)-1))),"")</f>
        <v/>
      </c>
      <c r="AA21" s="2380"/>
      <c r="AB21" s="2380"/>
      <c r="AC21" s="2380"/>
      <c r="AD21" s="2380"/>
      <c r="AE21" s="2380"/>
      <c r="AF21" s="2380"/>
      <c r="AG21" s="2380"/>
      <c r="AH21" s="2380" t="str">
        <f>IFERROR(IF('ARDT Cutter Entry'!$C$111&lt;&gt;"",IF(OR(COUNTIF('ARDT Cutter Entry'!G117,"*X*"),COUNTIF('ARDT Cutter Entry'!G117,"*L*")), 'ARDT Cutter Entry'!G117,LEFT('ARDT Cutter Entry'!G117,LEN('ARDT Cutter Entry'!G117)-1)),IF(OR(COUNTIF('ARDT Cutter Entry'!G49,"*X*"),COUNTIF('ARDT Cutter Entry'!G49,"*L*")),'ARDT Cutter Entry'!G49,LEFT('ARDT Cutter Entry'!G49,LEN('ARDT Cutter Entry'!G49)-1))),"")</f>
        <v/>
      </c>
      <c r="AI21" s="2380"/>
      <c r="AJ21" s="2380"/>
      <c r="AK21" s="2380"/>
      <c r="AL21" s="2380"/>
      <c r="AM21" s="2380"/>
      <c r="AN21" s="2380"/>
      <c r="AO21" s="2380"/>
      <c r="AP21" s="2380" t="str">
        <f>IFERROR(IF('ARDT Cutter Entry'!$C$111&lt;&gt;"",IF(OR(COUNTIF('ARDT Cutter Entry'!H117,"*X*"),COUNTIF('ARDT Cutter Entry'!H117,"*L*")), 'ARDT Cutter Entry'!H117,LEFT('ARDT Cutter Entry'!H117,LEN('ARDT Cutter Entry'!H117)-1)),IF(OR(COUNTIF('ARDT Cutter Entry'!H49,"*X*"),COUNTIF('ARDT Cutter Entry'!H49,"*L*")),'ARDT Cutter Entry'!H49,LEFT('ARDT Cutter Entry'!H49,LEN('ARDT Cutter Entry'!H49)-1))),"")</f>
        <v/>
      </c>
      <c r="AQ21" s="2380"/>
      <c r="AR21" s="2380"/>
      <c r="AS21" s="2380"/>
      <c r="AT21" s="2380"/>
      <c r="AU21" s="2380"/>
      <c r="AV21" s="2380"/>
      <c r="AW21" s="2380"/>
      <c r="AX21" s="2380" t="str">
        <f>IFERROR(IF('ARDT Cutter Entry'!$C$111&lt;&gt;"",IF(OR(COUNTIF('ARDT Cutter Entry'!I117,"*X*"),COUNTIF('ARDT Cutter Entry'!I117,"*L*")), 'ARDT Cutter Entry'!I117,LEFT('ARDT Cutter Entry'!I117,LEN('ARDT Cutter Entry'!I117)-1)),IF(OR(COUNTIF('ARDT Cutter Entry'!I49,"*X*"),COUNTIF('ARDT Cutter Entry'!I49,"*L*")),'ARDT Cutter Entry'!I49,LEFT('ARDT Cutter Entry'!I49,LEN('ARDT Cutter Entry'!I49)-1))),"")</f>
        <v/>
      </c>
      <c r="AY21" s="2380"/>
      <c r="AZ21" s="2380"/>
      <c r="BA21" s="2380"/>
      <c r="BB21" s="2380"/>
      <c r="BC21" s="2380"/>
      <c r="BD21" s="2380"/>
      <c r="BE21" s="2380"/>
      <c r="BF21" s="2380" t="str">
        <f>IFERROR(IF('ARDT Cutter Entry'!$C$111&lt;&gt;"",IF(OR(COUNTIF('ARDT Cutter Entry'!J117,"*X*"),COUNTIF('ARDT Cutter Entry'!J117,"*L*")), 'ARDT Cutter Entry'!J117,LEFT('ARDT Cutter Entry'!J117,LEN('ARDT Cutter Entry'!J117)-1)),IF(OR(COUNTIF('ARDT Cutter Entry'!J49,"*X*"),COUNTIF('ARDT Cutter Entry'!J49,"*L*")),'ARDT Cutter Entry'!J49,LEFT('ARDT Cutter Entry'!J49,LEN('ARDT Cutter Entry'!J49)-1))),"")</f>
        <v/>
      </c>
      <c r="BG21" s="2380"/>
      <c r="BH21" s="2380"/>
      <c r="BI21" s="2380"/>
      <c r="BJ21" s="2380"/>
      <c r="BK21" s="2380"/>
      <c r="BL21" s="2380"/>
      <c r="BM21" s="2380"/>
      <c r="BN21" s="2380" t="str">
        <f>IFERROR(IF('ARDT Cutter Entry'!$C$111&lt;&gt;"",IF(OR(COUNTIF('ARDT Cutter Entry'!K117,"*X*"),COUNTIF('ARDT Cutter Entry'!K117,"*L*")), 'ARDT Cutter Entry'!K117,LEFT('ARDT Cutter Entry'!K117,LEN('ARDT Cutter Entry'!K117)-1)),IF(OR(COUNTIF('ARDT Cutter Entry'!K49,"*X*"),COUNTIF('ARDT Cutter Entry'!K49,"*L*")),'ARDT Cutter Entry'!K49,LEFT('ARDT Cutter Entry'!K49,LEN('ARDT Cutter Entry'!K49)-1))),"")</f>
        <v/>
      </c>
      <c r="BO21" s="2380"/>
      <c r="BP21" s="2380"/>
      <c r="BQ21" s="2380"/>
      <c r="BR21" s="2380"/>
      <c r="BS21" s="2380"/>
      <c r="BT21" s="2380"/>
      <c r="BU21" s="2380"/>
      <c r="BV21" s="2380" t="str">
        <f>IFERROR(IF('ARDT Cutter Entry'!$C$111&lt;&gt;"",IF(OR(COUNTIF('ARDT Cutter Entry'!L117,"*X*"),COUNTIF('ARDT Cutter Entry'!L117,"*L*")), 'ARDT Cutter Entry'!L117,LEFT('ARDT Cutter Entry'!L117,LEN('ARDT Cutter Entry'!L117)-1)),IF(OR(COUNTIF('ARDT Cutter Entry'!L49,"*X*"),COUNTIF('ARDT Cutter Entry'!L49,"*L*")),'ARDT Cutter Entry'!L49,LEFT('ARDT Cutter Entry'!L49,LEN('ARDT Cutter Entry'!L49)-1))),"")</f>
        <v/>
      </c>
      <c r="BW21" s="2380"/>
      <c r="BX21" s="2380"/>
      <c r="BY21" s="2380"/>
      <c r="BZ21" s="2380"/>
      <c r="CA21" s="2380"/>
      <c r="CB21" s="2380"/>
      <c r="CC21" s="2380"/>
      <c r="CD21" s="2380" t="str">
        <f>IFERROR(IF('ARDT Cutter Entry'!$C$111&lt;&gt;"",IF(OR(COUNTIF('ARDT Cutter Entry'!M117,"*X*"),COUNTIF('ARDT Cutter Entry'!M117,"*L*")), 'ARDT Cutter Entry'!M117,LEFT('ARDT Cutter Entry'!M117,LEN('ARDT Cutter Entry'!M117)-1)),IF(OR(COUNTIF('ARDT Cutter Entry'!M49,"*X*"),COUNTIF('ARDT Cutter Entry'!M49,"*L*")),'ARDT Cutter Entry'!M49,LEFT('ARDT Cutter Entry'!M49,LEN('ARDT Cutter Entry'!M49)-1))),"")</f>
        <v/>
      </c>
      <c r="CE21" s="2380"/>
      <c r="CF21" s="2380"/>
      <c r="CG21" s="2380"/>
      <c r="CH21" s="2380"/>
      <c r="CI21" s="2380"/>
      <c r="CJ21" s="2380"/>
      <c r="CK21" s="2380"/>
      <c r="CL21" s="2380" t="str">
        <f>IFERROR(IF('ARDT Cutter Entry'!$C$111&lt;&gt;"",IF(OR(COUNTIF('ARDT Cutter Entry'!N117,"*X*"),COUNTIF('ARDT Cutter Entry'!N117,"*L*")), 'ARDT Cutter Entry'!N117,LEFT('ARDT Cutter Entry'!N117,LEN('ARDT Cutter Entry'!N117)-1)),IF(OR(COUNTIF('ARDT Cutter Entry'!N49,"*X*"),COUNTIF('ARDT Cutter Entry'!N49,"*L*")),'ARDT Cutter Entry'!N49,LEFT('ARDT Cutter Entry'!N49,LEN('ARDT Cutter Entry'!N49)-1))),"")</f>
        <v/>
      </c>
      <c r="CM21" s="2380"/>
      <c r="CN21" s="2380"/>
      <c r="CO21" s="2380"/>
      <c r="CP21" s="2380"/>
      <c r="CQ21" s="2380"/>
      <c r="CR21" s="2380"/>
      <c r="CS21" s="2380"/>
      <c r="CT21" s="2380" t="str">
        <f>IFERROR(IF('ARDT Cutter Entry'!$C$111&lt;&gt;"",IF(OR(COUNTIF('ARDT Cutter Entry'!O117,"*X*"),COUNTIF('ARDT Cutter Entry'!O117,"*L*")), 'ARDT Cutter Entry'!O117,LEFT('ARDT Cutter Entry'!O117,LEN('ARDT Cutter Entry'!O117)-1)),IF(OR(COUNTIF('ARDT Cutter Entry'!O49,"*X*"),COUNTIF('ARDT Cutter Entry'!O49,"*L*")),'ARDT Cutter Entry'!O49,LEFT('ARDT Cutter Entry'!O49,LEN('ARDT Cutter Entry'!O49)-1))),"")</f>
        <v/>
      </c>
      <c r="CU21" s="2380"/>
      <c r="CV21" s="2380"/>
      <c r="CW21" s="2380"/>
      <c r="CX21" s="2380"/>
      <c r="CY21" s="2380"/>
      <c r="CZ21" s="2380"/>
      <c r="DA21" s="2380"/>
      <c r="DB21" s="2380" t="str">
        <f>IFERROR(IF('ARDT Cutter Entry'!$C$111&lt;&gt;"",IF(OR(COUNTIF('ARDT Cutter Entry'!P117,"*X*"),COUNTIF('ARDT Cutter Entry'!P117,"*L*")), 'ARDT Cutter Entry'!P117,LEFT('ARDT Cutter Entry'!P117,LEN('ARDT Cutter Entry'!P117)-1)),IF(OR(COUNTIF('ARDT Cutter Entry'!P49,"*X*"),COUNTIF('ARDT Cutter Entry'!P49,"*L*")),'ARDT Cutter Entry'!P49,LEFT('ARDT Cutter Entry'!P49,LEN('ARDT Cutter Entry'!P49)-1))),"")</f>
        <v/>
      </c>
      <c r="DC21" s="2380"/>
      <c r="DD21" s="2380"/>
      <c r="DE21" s="2380"/>
      <c r="DF21" s="2380"/>
      <c r="DG21" s="2380"/>
      <c r="DH21" s="2380"/>
      <c r="DI21" s="2380"/>
      <c r="DJ21" s="2380" t="str">
        <f>IFERROR(IF('ARDT Cutter Entry'!$C$111&lt;&gt;"",IF(OR(COUNTIF('ARDT Cutter Entry'!Q117,"*X*"),COUNTIF('ARDT Cutter Entry'!Q117,"*L*")), 'ARDT Cutter Entry'!Q117,LEFT('ARDT Cutter Entry'!Q117,LEN('ARDT Cutter Entry'!Q117)-1)),IF(OR(COUNTIF('ARDT Cutter Entry'!Q49,"*X*"),COUNTIF('ARDT Cutter Entry'!Q49,"*L*")),'ARDT Cutter Entry'!Q49,LEFT('ARDT Cutter Entry'!Q49,LEN('ARDT Cutter Entry'!Q49)-1))),"")</f>
        <v/>
      </c>
      <c r="DK21" s="2380"/>
      <c r="DL21" s="2380"/>
      <c r="DM21" s="2380"/>
      <c r="DN21" s="2380"/>
      <c r="DO21" s="2380"/>
      <c r="DP21" s="2380"/>
      <c r="DQ21" s="2380"/>
      <c r="DR21" s="2380" t="str">
        <f>IFERROR(IF('ARDT Cutter Entry'!$C$111&lt;&gt;"",IF(OR(COUNTIF('ARDT Cutter Entry'!R117,"*X*"),COUNTIF('ARDT Cutter Entry'!R117,"*L*")), 'ARDT Cutter Entry'!R117,LEFT('ARDT Cutter Entry'!R117,LEN('ARDT Cutter Entry'!R117)-1)),IF(OR(COUNTIF('ARDT Cutter Entry'!R49,"*X*"),COUNTIF('ARDT Cutter Entry'!R49,"*L*")),'ARDT Cutter Entry'!R49,LEFT('ARDT Cutter Entry'!R49,LEN('ARDT Cutter Entry'!R49)-1))),"")</f>
        <v/>
      </c>
      <c r="DS21" s="2380"/>
      <c r="DT21" s="2380"/>
      <c r="DU21" s="2380"/>
      <c r="DV21" s="2380"/>
      <c r="DW21" s="2380"/>
      <c r="DX21" s="2380"/>
      <c r="DY21" s="2380"/>
      <c r="DZ21" s="2380" t="str">
        <f>IFERROR(IF('ARDT Cutter Entry'!$C$111&lt;&gt;"",IF(OR(COUNTIF('ARDT Cutter Entry'!S117,"*X*"),COUNTIF('ARDT Cutter Entry'!S117,"*L*")), 'ARDT Cutter Entry'!S117,LEFT('ARDT Cutter Entry'!S117,LEN('ARDT Cutter Entry'!S117)-1)),IF(OR(COUNTIF('ARDT Cutter Entry'!S49,"*X*"),COUNTIF('ARDT Cutter Entry'!S49,"*L*")),'ARDT Cutter Entry'!S49,LEFT('ARDT Cutter Entry'!S49,LEN('ARDT Cutter Entry'!S49)-1))),"")</f>
        <v/>
      </c>
      <c r="EA21" s="2380"/>
      <c r="EB21" s="2380"/>
      <c r="EC21" s="2380"/>
      <c r="ED21" s="2380"/>
      <c r="EE21" s="2380"/>
      <c r="EF21" s="2380"/>
      <c r="EG21" s="2380"/>
      <c r="EH21" s="2380" t="str">
        <f>IFERROR(IF('ARDT Cutter Entry'!$C$111&lt;&gt;"",IF(OR(COUNTIF('ARDT Cutter Entry'!T117,"*X*"),COUNTIF('ARDT Cutter Entry'!T117,"*L*")), 'ARDT Cutter Entry'!T117,LEFT('ARDT Cutter Entry'!T117,LEN('ARDT Cutter Entry'!T117)-1)),IF(OR(COUNTIF('ARDT Cutter Entry'!T49,"*X*"),COUNTIF('ARDT Cutter Entry'!T49,"*L*")),'ARDT Cutter Entry'!T49,LEFT('ARDT Cutter Entry'!T49,LEN('ARDT Cutter Entry'!T49)-1))),"")</f>
        <v/>
      </c>
      <c r="EI21" s="2380"/>
      <c r="EJ21" s="2380"/>
      <c r="EK21" s="2380"/>
      <c r="EL21" s="2380"/>
      <c r="EM21" s="2380"/>
      <c r="EN21" s="2380"/>
      <c r="EO21" s="2380"/>
      <c r="EP21" s="2380" t="str">
        <f>IFERROR(IF('ARDT Cutter Entry'!$C$111&lt;&gt;"",IF(OR(COUNTIF('ARDT Cutter Entry'!U117,"*X*"),COUNTIF('ARDT Cutter Entry'!U117,"*L*")), 'ARDT Cutter Entry'!U117,LEFT('ARDT Cutter Entry'!U117,LEN('ARDT Cutter Entry'!U117)-1)),IF(OR(COUNTIF('ARDT Cutter Entry'!U49,"*X*"),COUNTIF('ARDT Cutter Entry'!U49,"*L*")),'ARDT Cutter Entry'!U49,LEFT('ARDT Cutter Entry'!U49,LEN('ARDT Cutter Entry'!U49)-1))),"")</f>
        <v/>
      </c>
      <c r="EQ21" s="2380"/>
      <c r="ER21" s="2380"/>
      <c r="ES21" s="2380"/>
      <c r="ET21" s="2380"/>
      <c r="EU21" s="2380"/>
      <c r="EV21" s="2380"/>
      <c r="EW21" s="2380"/>
      <c r="EX21" s="2380" t="str">
        <f>IFERROR(IF('ARDT Cutter Entry'!$C$111&lt;&gt;"",IF(OR(COUNTIF('ARDT Cutter Entry'!V117,"*X*"),COUNTIF('ARDT Cutter Entry'!V117,"*L*")), 'ARDT Cutter Entry'!V117,LEFT('ARDT Cutter Entry'!V117,LEN('ARDT Cutter Entry'!V117)-1)),IF(OR(COUNTIF('ARDT Cutter Entry'!V49,"*X*"),COUNTIF('ARDT Cutter Entry'!V49,"*L*")),'ARDT Cutter Entry'!V49,LEFT('ARDT Cutter Entry'!V49,LEN('ARDT Cutter Entry'!V49)-1))),"")</f>
        <v/>
      </c>
      <c r="EY21" s="2380"/>
      <c r="EZ21" s="2380"/>
      <c r="FA21" s="2380"/>
      <c r="FB21" s="2380"/>
      <c r="FC21" s="2380"/>
      <c r="FD21" s="2380"/>
      <c r="FE21" s="2380"/>
      <c r="FF21" s="2380" t="str">
        <f>IFERROR(IF('ARDT Cutter Entry'!$C$111&lt;&gt;"",IF(OR(COUNTIF('ARDT Cutter Entry'!W117,"*X*"),COUNTIF('ARDT Cutter Entry'!W117,"*L*")), 'ARDT Cutter Entry'!W117,LEFT('ARDT Cutter Entry'!W117,LEN('ARDT Cutter Entry'!W117)-1)),IF(OR(COUNTIF('ARDT Cutter Entry'!W49,"*X*"),COUNTIF('ARDT Cutter Entry'!W49,"*L*")),'ARDT Cutter Entry'!W49,LEFT('ARDT Cutter Entry'!W49,LEN('ARDT Cutter Entry'!W49)-1))),"")</f>
        <v/>
      </c>
      <c r="FG21" s="2380"/>
      <c r="FH21" s="2380"/>
      <c r="FI21" s="2380"/>
      <c r="FJ21" s="2380"/>
      <c r="FK21" s="2380"/>
      <c r="FL21" s="2380"/>
      <c r="FM21" s="2380"/>
      <c r="FN21" s="2380" t="str">
        <f>IFERROR(IF('ARDT Cutter Entry'!$C$111&lt;&gt;"",IF(OR(COUNTIF('ARDT Cutter Entry'!X117,"*X*"),COUNTIF('ARDT Cutter Entry'!X117,"*L*")), 'ARDT Cutter Entry'!X117,LEFT('ARDT Cutter Entry'!X117,LEN('ARDT Cutter Entry'!X117)-1)),IF(OR(COUNTIF('ARDT Cutter Entry'!X49,"*X*"),COUNTIF('ARDT Cutter Entry'!X49,"*L*")),'ARDT Cutter Entry'!X49,LEFT('ARDT Cutter Entry'!X49,LEN('ARDT Cutter Entry'!X49)-1))),"")</f>
        <v/>
      </c>
      <c r="FO21" s="2380"/>
      <c r="FP21" s="2380"/>
      <c r="FQ21" s="2380"/>
      <c r="FR21" s="2380"/>
      <c r="FS21" s="2380"/>
      <c r="FT21" s="2380"/>
      <c r="FU21" s="2380"/>
      <c r="FV21" s="2380" t="str">
        <f>IFERROR(IF('ARDT Cutter Entry'!$C$111&lt;&gt;"",IF(OR(COUNTIF('ARDT Cutter Entry'!Y117,"*X*"),COUNTIF('ARDT Cutter Entry'!Y117,"*L*")), 'ARDT Cutter Entry'!Y117,LEFT('ARDT Cutter Entry'!Y117,LEN('ARDT Cutter Entry'!Y117)-1)),IF(OR(COUNTIF('ARDT Cutter Entry'!Y49,"*X*"),COUNTIF('ARDT Cutter Entry'!Y49,"*L*")),'ARDT Cutter Entry'!Y49,LEFT('ARDT Cutter Entry'!Y49,LEN('ARDT Cutter Entry'!Y49)-1))),"")</f>
        <v/>
      </c>
      <c r="FW21" s="2380"/>
      <c r="FX21" s="2380"/>
      <c r="FY21" s="2380"/>
      <c r="FZ21" s="2380"/>
      <c r="GA21" s="2380"/>
      <c r="GB21" s="2380"/>
      <c r="GC21" s="2380"/>
      <c r="GD21" s="2384"/>
      <c r="GE21" s="2384"/>
      <c r="GF21" s="2384"/>
      <c r="GG21" s="2384"/>
    </row>
    <row r="22" spans="1:235" ht="44.25" customHeight="1" x14ac:dyDescent="0.55000000000000004">
      <c r="A22" s="338">
        <v>8</v>
      </c>
      <c r="B22" s="2380" t="str">
        <f>IFERROR(IF('ARDT Cutter Entry'!$C$111&lt;&gt;"",IF(OR(COUNTIF('ARDT Cutter Entry'!C118,"*X*"),COUNTIF('ARDT Cutter Entry'!C118,"*L*")), 'ARDT Cutter Entry'!C118,LEFT('ARDT Cutter Entry'!C118,LEN('ARDT Cutter Entry'!C118)-1)),IF(OR(COUNTIF('ARDT Cutter Entry'!C50,"*X*"),COUNTIF('ARDT Cutter Entry'!C50,"*L*")),'ARDT Cutter Entry'!C50,LEFT('ARDT Cutter Entry'!C50,LEN('ARDT Cutter Entry'!C50)-1))),"")</f>
        <v/>
      </c>
      <c r="C22" s="2380"/>
      <c r="D22" s="2380"/>
      <c r="E22" s="2380"/>
      <c r="F22" s="2380"/>
      <c r="G22" s="2380"/>
      <c r="H22" s="2380"/>
      <c r="I22" s="2380"/>
      <c r="J22" s="2380" t="str">
        <f>IFERROR(IF('ARDT Cutter Entry'!$C$111&lt;&gt;"",IF(OR(COUNTIF('ARDT Cutter Entry'!D118,"*X*"),COUNTIF('ARDT Cutter Entry'!D118,"*L*")), 'ARDT Cutter Entry'!D118,LEFT('ARDT Cutter Entry'!D118,LEN('ARDT Cutter Entry'!D118)-1)),IF(OR(COUNTIF('ARDT Cutter Entry'!D50,"*X*"),COUNTIF('ARDT Cutter Entry'!D50,"*L*")),'ARDT Cutter Entry'!D50,LEFT('ARDT Cutter Entry'!D50,LEN('ARDT Cutter Entry'!D50)-1))),"")</f>
        <v/>
      </c>
      <c r="K22" s="2380"/>
      <c r="L22" s="2380"/>
      <c r="M22" s="2380"/>
      <c r="N22" s="2380"/>
      <c r="O22" s="2380"/>
      <c r="P22" s="2380"/>
      <c r="Q22" s="2380"/>
      <c r="R22" s="2380" t="str">
        <f>IFERROR(IF('ARDT Cutter Entry'!$C$111&lt;&gt;"",IF(OR(COUNTIF('ARDT Cutter Entry'!E118,"*X*"),COUNTIF('ARDT Cutter Entry'!E118,"*L*")), 'ARDT Cutter Entry'!E118,LEFT('ARDT Cutter Entry'!E118,LEN('ARDT Cutter Entry'!E118)-1)),IF(OR(COUNTIF('ARDT Cutter Entry'!E50,"*X*"),COUNTIF('ARDT Cutter Entry'!E50,"*L*")),'ARDT Cutter Entry'!E50,LEFT('ARDT Cutter Entry'!E50,LEN('ARDT Cutter Entry'!E50)-1))),"")</f>
        <v/>
      </c>
      <c r="S22" s="2380"/>
      <c r="T22" s="2380"/>
      <c r="U22" s="2380"/>
      <c r="V22" s="2380"/>
      <c r="W22" s="2380"/>
      <c r="X22" s="2380"/>
      <c r="Y22" s="2380"/>
      <c r="Z22" s="2380" t="str">
        <f>IFERROR(IF('ARDT Cutter Entry'!$C$111&lt;&gt;"",IF(OR(COUNTIF('ARDT Cutter Entry'!F118,"*X*"),COUNTIF('ARDT Cutter Entry'!F118,"*L*")), 'ARDT Cutter Entry'!F118,LEFT('ARDT Cutter Entry'!F118,LEN('ARDT Cutter Entry'!F118)-1)),IF(OR(COUNTIF('ARDT Cutter Entry'!F50,"*X*"),COUNTIF('ARDT Cutter Entry'!F50,"*L*")),'ARDT Cutter Entry'!F50,LEFT('ARDT Cutter Entry'!F50,LEN('ARDT Cutter Entry'!F50)-1))),"")</f>
        <v/>
      </c>
      <c r="AA22" s="2380"/>
      <c r="AB22" s="2380"/>
      <c r="AC22" s="2380"/>
      <c r="AD22" s="2380"/>
      <c r="AE22" s="2380"/>
      <c r="AF22" s="2380"/>
      <c r="AG22" s="2380"/>
      <c r="AH22" s="2380" t="str">
        <f>IFERROR(IF('ARDT Cutter Entry'!$C$111&lt;&gt;"",IF(OR(COUNTIF('ARDT Cutter Entry'!G118,"*X*"),COUNTIF('ARDT Cutter Entry'!G118,"*L*")), 'ARDT Cutter Entry'!G118,LEFT('ARDT Cutter Entry'!G118,LEN('ARDT Cutter Entry'!G118)-1)),IF(OR(COUNTIF('ARDT Cutter Entry'!G50,"*X*"),COUNTIF('ARDT Cutter Entry'!G50,"*L*")),'ARDT Cutter Entry'!G50,LEFT('ARDT Cutter Entry'!G50,LEN('ARDT Cutter Entry'!G50)-1))),"")</f>
        <v/>
      </c>
      <c r="AI22" s="2380"/>
      <c r="AJ22" s="2380"/>
      <c r="AK22" s="2380"/>
      <c r="AL22" s="2380"/>
      <c r="AM22" s="2380"/>
      <c r="AN22" s="2380"/>
      <c r="AO22" s="2380"/>
      <c r="AP22" s="2380" t="str">
        <f>IFERROR(IF('ARDT Cutter Entry'!$C$111&lt;&gt;"",IF(OR(COUNTIF('ARDT Cutter Entry'!H118,"*X*"),COUNTIF('ARDT Cutter Entry'!H118,"*L*")), 'ARDT Cutter Entry'!H118,LEFT('ARDT Cutter Entry'!H118,LEN('ARDT Cutter Entry'!H118)-1)),IF(OR(COUNTIF('ARDT Cutter Entry'!H50,"*X*"),COUNTIF('ARDT Cutter Entry'!H50,"*L*")),'ARDT Cutter Entry'!H50,LEFT('ARDT Cutter Entry'!H50,LEN('ARDT Cutter Entry'!H50)-1))),"")</f>
        <v/>
      </c>
      <c r="AQ22" s="2380"/>
      <c r="AR22" s="2380"/>
      <c r="AS22" s="2380"/>
      <c r="AT22" s="2380"/>
      <c r="AU22" s="2380"/>
      <c r="AV22" s="2380"/>
      <c r="AW22" s="2380"/>
      <c r="AX22" s="2380" t="str">
        <f>IFERROR(IF('ARDT Cutter Entry'!$C$111&lt;&gt;"",IF(OR(COUNTIF('ARDT Cutter Entry'!I118,"*X*"),COUNTIF('ARDT Cutter Entry'!I118,"*L*")), 'ARDT Cutter Entry'!I118,LEFT('ARDT Cutter Entry'!I118,LEN('ARDT Cutter Entry'!I118)-1)),IF(OR(COUNTIF('ARDT Cutter Entry'!I50,"*X*"),COUNTIF('ARDT Cutter Entry'!I50,"*L*")),'ARDT Cutter Entry'!I50,LEFT('ARDT Cutter Entry'!I50,LEN('ARDT Cutter Entry'!I50)-1))),"")</f>
        <v/>
      </c>
      <c r="AY22" s="2380"/>
      <c r="AZ22" s="2380"/>
      <c r="BA22" s="2380"/>
      <c r="BB22" s="2380"/>
      <c r="BC22" s="2380"/>
      <c r="BD22" s="2380"/>
      <c r="BE22" s="2380"/>
      <c r="BF22" s="2380" t="str">
        <f>IFERROR(IF('ARDT Cutter Entry'!$C$111&lt;&gt;"",IF(OR(COUNTIF('ARDT Cutter Entry'!J118,"*X*"),COUNTIF('ARDT Cutter Entry'!J118,"*L*")), 'ARDT Cutter Entry'!J118,LEFT('ARDT Cutter Entry'!J118,LEN('ARDT Cutter Entry'!J118)-1)),IF(OR(COUNTIF('ARDT Cutter Entry'!J50,"*X*"),COUNTIF('ARDT Cutter Entry'!J50,"*L*")),'ARDT Cutter Entry'!J50,LEFT('ARDT Cutter Entry'!J50,LEN('ARDT Cutter Entry'!J50)-1))),"")</f>
        <v/>
      </c>
      <c r="BG22" s="2380"/>
      <c r="BH22" s="2380"/>
      <c r="BI22" s="2380"/>
      <c r="BJ22" s="2380"/>
      <c r="BK22" s="2380"/>
      <c r="BL22" s="2380"/>
      <c r="BM22" s="2380"/>
      <c r="BN22" s="2380" t="str">
        <f>IFERROR(IF('ARDT Cutter Entry'!$C$111&lt;&gt;"",IF(OR(COUNTIF('ARDT Cutter Entry'!K118,"*X*"),COUNTIF('ARDT Cutter Entry'!K118,"*L*")), 'ARDT Cutter Entry'!K118,LEFT('ARDT Cutter Entry'!K118,LEN('ARDT Cutter Entry'!K118)-1)),IF(OR(COUNTIF('ARDT Cutter Entry'!K50,"*X*"),COUNTIF('ARDT Cutter Entry'!K50,"*L*")),'ARDT Cutter Entry'!K50,LEFT('ARDT Cutter Entry'!K50,LEN('ARDT Cutter Entry'!K50)-1))),"")</f>
        <v/>
      </c>
      <c r="BO22" s="2380"/>
      <c r="BP22" s="2380"/>
      <c r="BQ22" s="2380"/>
      <c r="BR22" s="2380"/>
      <c r="BS22" s="2380"/>
      <c r="BT22" s="2380"/>
      <c r="BU22" s="2380"/>
      <c r="BV22" s="2380" t="str">
        <f>IFERROR(IF('ARDT Cutter Entry'!$C$111&lt;&gt;"",IF(OR(COUNTIF('ARDT Cutter Entry'!L118,"*X*"),COUNTIF('ARDT Cutter Entry'!L118,"*L*")), 'ARDT Cutter Entry'!L118,LEFT('ARDT Cutter Entry'!L118,LEN('ARDT Cutter Entry'!L118)-1)),IF(OR(COUNTIF('ARDT Cutter Entry'!L50,"*X*"),COUNTIF('ARDT Cutter Entry'!L50,"*L*")),'ARDT Cutter Entry'!L50,LEFT('ARDT Cutter Entry'!L50,LEN('ARDT Cutter Entry'!L50)-1))),"")</f>
        <v/>
      </c>
      <c r="BW22" s="2380"/>
      <c r="BX22" s="2380"/>
      <c r="BY22" s="2380"/>
      <c r="BZ22" s="2380"/>
      <c r="CA22" s="2380"/>
      <c r="CB22" s="2380"/>
      <c r="CC22" s="2380"/>
      <c r="CD22" s="2380" t="str">
        <f>IFERROR(IF('ARDT Cutter Entry'!$C$111&lt;&gt;"",IF(OR(COUNTIF('ARDT Cutter Entry'!M118,"*X*"),COUNTIF('ARDT Cutter Entry'!M118,"*L*")), 'ARDT Cutter Entry'!M118,LEFT('ARDT Cutter Entry'!M118,LEN('ARDT Cutter Entry'!M118)-1)),IF(OR(COUNTIF('ARDT Cutter Entry'!M50,"*X*"),COUNTIF('ARDT Cutter Entry'!M50,"*L*")),'ARDT Cutter Entry'!M50,LEFT('ARDT Cutter Entry'!M50,LEN('ARDT Cutter Entry'!M50)-1))),"")</f>
        <v/>
      </c>
      <c r="CE22" s="2380"/>
      <c r="CF22" s="2380"/>
      <c r="CG22" s="2380"/>
      <c r="CH22" s="2380"/>
      <c r="CI22" s="2380"/>
      <c r="CJ22" s="2380"/>
      <c r="CK22" s="2380"/>
      <c r="CL22" s="2380" t="str">
        <f>IFERROR(IF('ARDT Cutter Entry'!$C$111&lt;&gt;"",IF(OR(COUNTIF('ARDT Cutter Entry'!N118,"*X*"),COUNTIF('ARDT Cutter Entry'!N118,"*L*")), 'ARDT Cutter Entry'!N118,LEFT('ARDT Cutter Entry'!N118,LEN('ARDT Cutter Entry'!N118)-1)),IF(OR(COUNTIF('ARDT Cutter Entry'!N50,"*X*"),COUNTIF('ARDT Cutter Entry'!N50,"*L*")),'ARDT Cutter Entry'!N50,LEFT('ARDT Cutter Entry'!N50,LEN('ARDT Cutter Entry'!N50)-1))),"")</f>
        <v/>
      </c>
      <c r="CM22" s="2380"/>
      <c r="CN22" s="2380"/>
      <c r="CO22" s="2380"/>
      <c r="CP22" s="2380"/>
      <c r="CQ22" s="2380"/>
      <c r="CR22" s="2380"/>
      <c r="CS22" s="2380"/>
      <c r="CT22" s="2380" t="str">
        <f>IFERROR(IF('ARDT Cutter Entry'!$C$111&lt;&gt;"",IF(OR(COUNTIF('ARDT Cutter Entry'!O118,"*X*"),COUNTIF('ARDT Cutter Entry'!O118,"*L*")), 'ARDT Cutter Entry'!O118,LEFT('ARDT Cutter Entry'!O118,LEN('ARDT Cutter Entry'!O118)-1)),IF(OR(COUNTIF('ARDT Cutter Entry'!O50,"*X*"),COUNTIF('ARDT Cutter Entry'!O50,"*L*")),'ARDT Cutter Entry'!O50,LEFT('ARDT Cutter Entry'!O50,LEN('ARDT Cutter Entry'!O50)-1))),"")</f>
        <v/>
      </c>
      <c r="CU22" s="2380"/>
      <c r="CV22" s="2380"/>
      <c r="CW22" s="2380"/>
      <c r="CX22" s="2380"/>
      <c r="CY22" s="2380"/>
      <c r="CZ22" s="2380"/>
      <c r="DA22" s="2380"/>
      <c r="DB22" s="2380" t="str">
        <f>IFERROR(IF('ARDT Cutter Entry'!$C$111&lt;&gt;"",IF(OR(COUNTIF('ARDT Cutter Entry'!P118,"*X*"),COUNTIF('ARDT Cutter Entry'!P118,"*L*")), 'ARDT Cutter Entry'!P118,LEFT('ARDT Cutter Entry'!P118,LEN('ARDT Cutter Entry'!P118)-1)),IF(OR(COUNTIF('ARDT Cutter Entry'!P50,"*X*"),COUNTIF('ARDT Cutter Entry'!P50,"*L*")),'ARDT Cutter Entry'!P50,LEFT('ARDT Cutter Entry'!P50,LEN('ARDT Cutter Entry'!P50)-1))),"")</f>
        <v/>
      </c>
      <c r="DC22" s="2380"/>
      <c r="DD22" s="2380"/>
      <c r="DE22" s="2380"/>
      <c r="DF22" s="2380"/>
      <c r="DG22" s="2380"/>
      <c r="DH22" s="2380"/>
      <c r="DI22" s="2380"/>
      <c r="DJ22" s="2380" t="str">
        <f>IFERROR(IF('ARDT Cutter Entry'!$C$111&lt;&gt;"",IF(OR(COUNTIF('ARDT Cutter Entry'!Q118,"*X*"),COUNTIF('ARDT Cutter Entry'!Q118,"*L*")), 'ARDT Cutter Entry'!Q118,LEFT('ARDT Cutter Entry'!Q118,LEN('ARDT Cutter Entry'!Q118)-1)),IF(OR(COUNTIF('ARDT Cutter Entry'!Q50,"*X*"),COUNTIF('ARDT Cutter Entry'!Q50,"*L*")),'ARDT Cutter Entry'!Q50,LEFT('ARDT Cutter Entry'!Q50,LEN('ARDT Cutter Entry'!Q50)-1))),"")</f>
        <v/>
      </c>
      <c r="DK22" s="2380"/>
      <c r="DL22" s="2380"/>
      <c r="DM22" s="2380"/>
      <c r="DN22" s="2380"/>
      <c r="DO22" s="2380"/>
      <c r="DP22" s="2380"/>
      <c r="DQ22" s="2380"/>
      <c r="DR22" s="2380" t="str">
        <f>IFERROR(IF('ARDT Cutter Entry'!$C$111&lt;&gt;"",IF(OR(COUNTIF('ARDT Cutter Entry'!R118,"*X*"),COUNTIF('ARDT Cutter Entry'!R118,"*L*")), 'ARDT Cutter Entry'!R118,LEFT('ARDT Cutter Entry'!R118,LEN('ARDT Cutter Entry'!R118)-1)),IF(OR(COUNTIF('ARDT Cutter Entry'!R50,"*X*"),COUNTIF('ARDT Cutter Entry'!R50,"*L*")),'ARDT Cutter Entry'!R50,LEFT('ARDT Cutter Entry'!R50,LEN('ARDT Cutter Entry'!R50)-1))),"")</f>
        <v/>
      </c>
      <c r="DS22" s="2380"/>
      <c r="DT22" s="2380"/>
      <c r="DU22" s="2380"/>
      <c r="DV22" s="2380"/>
      <c r="DW22" s="2380"/>
      <c r="DX22" s="2380"/>
      <c r="DY22" s="2380"/>
      <c r="DZ22" s="2380" t="str">
        <f>IFERROR(IF('ARDT Cutter Entry'!$C$111&lt;&gt;"",IF(OR(COUNTIF('ARDT Cutter Entry'!S118,"*X*"),COUNTIF('ARDT Cutter Entry'!S118,"*L*")), 'ARDT Cutter Entry'!S118,LEFT('ARDT Cutter Entry'!S118,LEN('ARDT Cutter Entry'!S118)-1)),IF(OR(COUNTIF('ARDT Cutter Entry'!S50,"*X*"),COUNTIF('ARDT Cutter Entry'!S50,"*L*")),'ARDT Cutter Entry'!S50,LEFT('ARDT Cutter Entry'!S50,LEN('ARDT Cutter Entry'!S50)-1))),"")</f>
        <v/>
      </c>
      <c r="EA22" s="2380"/>
      <c r="EB22" s="2380"/>
      <c r="EC22" s="2380"/>
      <c r="ED22" s="2380"/>
      <c r="EE22" s="2380"/>
      <c r="EF22" s="2380"/>
      <c r="EG22" s="2380"/>
      <c r="EH22" s="2380" t="str">
        <f>IFERROR(IF('ARDT Cutter Entry'!$C$111&lt;&gt;"",IF(OR(COUNTIF('ARDT Cutter Entry'!T118,"*X*"),COUNTIF('ARDT Cutter Entry'!T118,"*L*")), 'ARDT Cutter Entry'!T118,LEFT('ARDT Cutter Entry'!T118,LEN('ARDT Cutter Entry'!T118)-1)),IF(OR(COUNTIF('ARDT Cutter Entry'!T50,"*X*"),COUNTIF('ARDT Cutter Entry'!T50,"*L*")),'ARDT Cutter Entry'!T50,LEFT('ARDT Cutter Entry'!T50,LEN('ARDT Cutter Entry'!T50)-1))),"")</f>
        <v/>
      </c>
      <c r="EI22" s="2380"/>
      <c r="EJ22" s="2380"/>
      <c r="EK22" s="2380"/>
      <c r="EL22" s="2380"/>
      <c r="EM22" s="2380"/>
      <c r="EN22" s="2380"/>
      <c r="EO22" s="2380"/>
      <c r="EP22" s="2380" t="str">
        <f>IFERROR(IF('ARDT Cutter Entry'!$C$111&lt;&gt;"",IF(OR(COUNTIF('ARDT Cutter Entry'!U118,"*X*"),COUNTIF('ARDT Cutter Entry'!U118,"*L*")), 'ARDT Cutter Entry'!U118,LEFT('ARDT Cutter Entry'!U118,LEN('ARDT Cutter Entry'!U118)-1)),IF(OR(COUNTIF('ARDT Cutter Entry'!U50,"*X*"),COUNTIF('ARDT Cutter Entry'!U50,"*L*")),'ARDT Cutter Entry'!U50,LEFT('ARDT Cutter Entry'!U50,LEN('ARDT Cutter Entry'!U50)-1))),"")</f>
        <v/>
      </c>
      <c r="EQ22" s="2380"/>
      <c r="ER22" s="2380"/>
      <c r="ES22" s="2380"/>
      <c r="ET22" s="2380"/>
      <c r="EU22" s="2380"/>
      <c r="EV22" s="2380"/>
      <c r="EW22" s="2380"/>
      <c r="EX22" s="2380" t="str">
        <f>IFERROR(IF('ARDT Cutter Entry'!$C$111&lt;&gt;"",IF(OR(COUNTIF('ARDT Cutter Entry'!V118,"*X*"),COUNTIF('ARDT Cutter Entry'!V118,"*L*")), 'ARDT Cutter Entry'!V118,LEFT('ARDT Cutter Entry'!V118,LEN('ARDT Cutter Entry'!V118)-1)),IF(OR(COUNTIF('ARDT Cutter Entry'!V50,"*X*"),COUNTIF('ARDT Cutter Entry'!V50,"*L*")),'ARDT Cutter Entry'!V50,LEFT('ARDT Cutter Entry'!V50,LEN('ARDT Cutter Entry'!V50)-1))),"")</f>
        <v/>
      </c>
      <c r="EY22" s="2380"/>
      <c r="EZ22" s="2380"/>
      <c r="FA22" s="2380"/>
      <c r="FB22" s="2380"/>
      <c r="FC22" s="2380"/>
      <c r="FD22" s="2380"/>
      <c r="FE22" s="2380"/>
      <c r="FF22" s="2380" t="str">
        <f>IFERROR(IF('ARDT Cutter Entry'!$C$111&lt;&gt;"",IF(OR(COUNTIF('ARDT Cutter Entry'!W118,"*X*"),COUNTIF('ARDT Cutter Entry'!W118,"*L*")), 'ARDT Cutter Entry'!W118,LEFT('ARDT Cutter Entry'!W118,LEN('ARDT Cutter Entry'!W118)-1)),IF(OR(COUNTIF('ARDT Cutter Entry'!W50,"*X*"),COUNTIF('ARDT Cutter Entry'!W50,"*L*")),'ARDT Cutter Entry'!W50,LEFT('ARDT Cutter Entry'!W50,LEN('ARDT Cutter Entry'!W50)-1))),"")</f>
        <v/>
      </c>
      <c r="FG22" s="2380"/>
      <c r="FH22" s="2380"/>
      <c r="FI22" s="2380"/>
      <c r="FJ22" s="2380"/>
      <c r="FK22" s="2380"/>
      <c r="FL22" s="2380"/>
      <c r="FM22" s="2380"/>
      <c r="FN22" s="2380" t="str">
        <f>IFERROR(IF('ARDT Cutter Entry'!$C$111&lt;&gt;"",IF(OR(COUNTIF('ARDT Cutter Entry'!X118,"*X*"),COUNTIF('ARDT Cutter Entry'!X118,"*L*")), 'ARDT Cutter Entry'!X118,LEFT('ARDT Cutter Entry'!X118,LEN('ARDT Cutter Entry'!X118)-1)),IF(OR(COUNTIF('ARDT Cutter Entry'!X50,"*X*"),COUNTIF('ARDT Cutter Entry'!X50,"*L*")),'ARDT Cutter Entry'!X50,LEFT('ARDT Cutter Entry'!X50,LEN('ARDT Cutter Entry'!X50)-1))),"")</f>
        <v/>
      </c>
      <c r="FO22" s="2380"/>
      <c r="FP22" s="2380"/>
      <c r="FQ22" s="2380"/>
      <c r="FR22" s="2380"/>
      <c r="FS22" s="2380"/>
      <c r="FT22" s="2380"/>
      <c r="FU22" s="2380"/>
      <c r="FV22" s="2380" t="str">
        <f>IFERROR(IF('ARDT Cutter Entry'!$C$111&lt;&gt;"",IF(OR(COUNTIF('ARDT Cutter Entry'!Y118,"*X*"),COUNTIF('ARDT Cutter Entry'!Y118,"*L*")), 'ARDT Cutter Entry'!Y118,LEFT('ARDT Cutter Entry'!Y118,LEN('ARDT Cutter Entry'!Y118)-1)),IF(OR(COUNTIF('ARDT Cutter Entry'!Y50,"*X*"),COUNTIF('ARDT Cutter Entry'!Y50,"*L*")),'ARDT Cutter Entry'!Y50,LEFT('ARDT Cutter Entry'!Y50,LEN('ARDT Cutter Entry'!Y50)-1))),"")</f>
        <v/>
      </c>
      <c r="FW22" s="2380"/>
      <c r="FX22" s="2380"/>
      <c r="FY22" s="2380"/>
      <c r="FZ22" s="2380"/>
      <c r="GA22" s="2380"/>
      <c r="GB22" s="2380"/>
      <c r="GC22" s="2380"/>
      <c r="GD22" s="2384"/>
      <c r="GE22" s="2384"/>
      <c r="GF22" s="2384"/>
      <c r="GG22" s="2384"/>
    </row>
    <row r="23" spans="1:235" ht="44.25" customHeight="1" x14ac:dyDescent="0.55000000000000004">
      <c r="A23" s="338">
        <v>9</v>
      </c>
      <c r="B23" s="2380" t="str">
        <f>IFERROR(IF('ARDT Cutter Entry'!$C$111&lt;&gt;"",IF(OR(COUNTIF('ARDT Cutter Entry'!C119,"*X*"),COUNTIF('ARDT Cutter Entry'!C119,"*L*")), 'ARDT Cutter Entry'!C119,LEFT('ARDT Cutter Entry'!C119,LEN('ARDT Cutter Entry'!C119)-1)),IF(OR(COUNTIF('ARDT Cutter Entry'!C51,"*X*"),COUNTIF('ARDT Cutter Entry'!C51,"*L*")),'ARDT Cutter Entry'!C51,LEFT('ARDT Cutter Entry'!C51,LEN('ARDT Cutter Entry'!C51)-1))),"")</f>
        <v/>
      </c>
      <c r="C23" s="2380"/>
      <c r="D23" s="2380"/>
      <c r="E23" s="2380"/>
      <c r="F23" s="2380"/>
      <c r="G23" s="2380"/>
      <c r="H23" s="2380"/>
      <c r="I23" s="2380"/>
      <c r="J23" s="2380" t="str">
        <f>IFERROR(IF('ARDT Cutter Entry'!$C$111&lt;&gt;"",IF(OR(COUNTIF('ARDT Cutter Entry'!D119,"*X*"),COUNTIF('ARDT Cutter Entry'!D119,"*L*")), 'ARDT Cutter Entry'!D119,LEFT('ARDT Cutter Entry'!D119,LEN('ARDT Cutter Entry'!D119)-1)),IF(OR(COUNTIF('ARDT Cutter Entry'!D51,"*X*"),COUNTIF('ARDT Cutter Entry'!D51,"*L*")),'ARDT Cutter Entry'!D51,LEFT('ARDT Cutter Entry'!D51,LEN('ARDT Cutter Entry'!D51)-1))),"")</f>
        <v/>
      </c>
      <c r="K23" s="2380"/>
      <c r="L23" s="2380"/>
      <c r="M23" s="2380"/>
      <c r="N23" s="2380"/>
      <c r="O23" s="2380"/>
      <c r="P23" s="2380"/>
      <c r="Q23" s="2380"/>
      <c r="R23" s="2380" t="str">
        <f>IFERROR(IF('ARDT Cutter Entry'!$C$111&lt;&gt;"",IF(OR(COUNTIF('ARDT Cutter Entry'!E119,"*X*"),COUNTIF('ARDT Cutter Entry'!E119,"*L*")), 'ARDT Cutter Entry'!E119,LEFT('ARDT Cutter Entry'!E119,LEN('ARDT Cutter Entry'!E119)-1)),IF(OR(COUNTIF('ARDT Cutter Entry'!E51,"*X*"),COUNTIF('ARDT Cutter Entry'!E51,"*L*")),'ARDT Cutter Entry'!E51,LEFT('ARDT Cutter Entry'!E51,LEN('ARDT Cutter Entry'!E51)-1))),"")</f>
        <v/>
      </c>
      <c r="S23" s="2380"/>
      <c r="T23" s="2380"/>
      <c r="U23" s="2380"/>
      <c r="V23" s="2380"/>
      <c r="W23" s="2380"/>
      <c r="X23" s="2380"/>
      <c r="Y23" s="2380"/>
      <c r="Z23" s="2380" t="str">
        <f>IFERROR(IF('ARDT Cutter Entry'!$C$111&lt;&gt;"",IF(OR(COUNTIF('ARDT Cutter Entry'!F119,"*X*"),COUNTIF('ARDT Cutter Entry'!F119,"*L*")), 'ARDT Cutter Entry'!F119,LEFT('ARDT Cutter Entry'!F119,LEN('ARDT Cutter Entry'!F119)-1)),IF(OR(COUNTIF('ARDT Cutter Entry'!F51,"*X*"),COUNTIF('ARDT Cutter Entry'!F51,"*L*")),'ARDT Cutter Entry'!F51,LEFT('ARDT Cutter Entry'!F51,LEN('ARDT Cutter Entry'!F51)-1))),"")</f>
        <v/>
      </c>
      <c r="AA23" s="2380"/>
      <c r="AB23" s="2380"/>
      <c r="AC23" s="2380"/>
      <c r="AD23" s="2380"/>
      <c r="AE23" s="2380"/>
      <c r="AF23" s="2380"/>
      <c r="AG23" s="2380"/>
      <c r="AH23" s="2380" t="str">
        <f>IFERROR(IF('ARDT Cutter Entry'!$C$111&lt;&gt;"",IF(OR(COUNTIF('ARDT Cutter Entry'!G119,"*X*"),COUNTIF('ARDT Cutter Entry'!G119,"*L*")), 'ARDT Cutter Entry'!G119,LEFT('ARDT Cutter Entry'!G119,LEN('ARDT Cutter Entry'!G119)-1)),IF(OR(COUNTIF('ARDT Cutter Entry'!G51,"*X*"),COUNTIF('ARDT Cutter Entry'!G51,"*L*")),'ARDT Cutter Entry'!G51,LEFT('ARDT Cutter Entry'!G51,LEN('ARDT Cutter Entry'!G51)-1))),"")</f>
        <v/>
      </c>
      <c r="AI23" s="2380"/>
      <c r="AJ23" s="2380"/>
      <c r="AK23" s="2380"/>
      <c r="AL23" s="2380"/>
      <c r="AM23" s="2380"/>
      <c r="AN23" s="2380"/>
      <c r="AO23" s="2380"/>
      <c r="AP23" s="2380" t="str">
        <f>IFERROR(IF('ARDT Cutter Entry'!$C$111&lt;&gt;"",IF(OR(COUNTIF('ARDT Cutter Entry'!H119,"*X*"),COUNTIF('ARDT Cutter Entry'!H119,"*L*")), 'ARDT Cutter Entry'!H119,LEFT('ARDT Cutter Entry'!H119,LEN('ARDT Cutter Entry'!H119)-1)),IF(OR(COUNTIF('ARDT Cutter Entry'!H51,"*X*"),COUNTIF('ARDT Cutter Entry'!H51,"*L*")),'ARDT Cutter Entry'!H51,LEFT('ARDT Cutter Entry'!H51,LEN('ARDT Cutter Entry'!H51)-1))),"")</f>
        <v/>
      </c>
      <c r="AQ23" s="2380"/>
      <c r="AR23" s="2380"/>
      <c r="AS23" s="2380"/>
      <c r="AT23" s="2380"/>
      <c r="AU23" s="2380"/>
      <c r="AV23" s="2380"/>
      <c r="AW23" s="2380"/>
      <c r="AX23" s="2380" t="str">
        <f>IFERROR(IF('ARDT Cutter Entry'!$C$111&lt;&gt;"",IF(OR(COUNTIF('ARDT Cutter Entry'!I119,"*X*"),COUNTIF('ARDT Cutter Entry'!I119,"*L*")), 'ARDT Cutter Entry'!I119,LEFT('ARDT Cutter Entry'!I119,LEN('ARDT Cutter Entry'!I119)-1)),IF(OR(COUNTIF('ARDT Cutter Entry'!I51,"*X*"),COUNTIF('ARDT Cutter Entry'!I51,"*L*")),'ARDT Cutter Entry'!I51,LEFT('ARDT Cutter Entry'!I51,LEN('ARDT Cutter Entry'!I51)-1))),"")</f>
        <v/>
      </c>
      <c r="AY23" s="2380"/>
      <c r="AZ23" s="2380"/>
      <c r="BA23" s="2380"/>
      <c r="BB23" s="2380"/>
      <c r="BC23" s="2380"/>
      <c r="BD23" s="2380"/>
      <c r="BE23" s="2380"/>
      <c r="BF23" s="2380" t="str">
        <f>IFERROR(IF('ARDT Cutter Entry'!$C$111&lt;&gt;"",IF(OR(COUNTIF('ARDT Cutter Entry'!J119,"*X*"),COUNTIF('ARDT Cutter Entry'!J119,"*L*")), 'ARDT Cutter Entry'!J119,LEFT('ARDT Cutter Entry'!J119,LEN('ARDT Cutter Entry'!J119)-1)),IF(OR(COUNTIF('ARDT Cutter Entry'!J51,"*X*"),COUNTIF('ARDT Cutter Entry'!J51,"*L*")),'ARDT Cutter Entry'!J51,LEFT('ARDT Cutter Entry'!J51,LEN('ARDT Cutter Entry'!J51)-1))),"")</f>
        <v/>
      </c>
      <c r="BG23" s="2380"/>
      <c r="BH23" s="2380"/>
      <c r="BI23" s="2380"/>
      <c r="BJ23" s="2380"/>
      <c r="BK23" s="2380"/>
      <c r="BL23" s="2380"/>
      <c r="BM23" s="2380"/>
      <c r="BN23" s="2380" t="str">
        <f>IFERROR(IF('ARDT Cutter Entry'!$C$111&lt;&gt;"",IF(OR(COUNTIF('ARDT Cutter Entry'!K119,"*X*"),COUNTIF('ARDT Cutter Entry'!K119,"*L*")), 'ARDT Cutter Entry'!K119,LEFT('ARDT Cutter Entry'!K119,LEN('ARDT Cutter Entry'!K119)-1)),IF(OR(COUNTIF('ARDT Cutter Entry'!K51,"*X*"),COUNTIF('ARDT Cutter Entry'!K51,"*L*")),'ARDT Cutter Entry'!K51,LEFT('ARDT Cutter Entry'!K51,LEN('ARDT Cutter Entry'!K51)-1))),"")</f>
        <v/>
      </c>
      <c r="BO23" s="2380"/>
      <c r="BP23" s="2380"/>
      <c r="BQ23" s="2380"/>
      <c r="BR23" s="2380"/>
      <c r="BS23" s="2380"/>
      <c r="BT23" s="2380"/>
      <c r="BU23" s="2380"/>
      <c r="BV23" s="2380" t="str">
        <f>IFERROR(IF('ARDT Cutter Entry'!$C$111&lt;&gt;"",IF(OR(COUNTIF('ARDT Cutter Entry'!L119,"*X*"),COUNTIF('ARDT Cutter Entry'!L119,"*L*")), 'ARDT Cutter Entry'!L119,LEFT('ARDT Cutter Entry'!L119,LEN('ARDT Cutter Entry'!L119)-1)),IF(OR(COUNTIF('ARDT Cutter Entry'!L51,"*X*"),COUNTIF('ARDT Cutter Entry'!L51,"*L*")),'ARDT Cutter Entry'!L51,LEFT('ARDT Cutter Entry'!L51,LEN('ARDT Cutter Entry'!L51)-1))),"")</f>
        <v/>
      </c>
      <c r="BW23" s="2380"/>
      <c r="BX23" s="2380"/>
      <c r="BY23" s="2380"/>
      <c r="BZ23" s="2380"/>
      <c r="CA23" s="2380"/>
      <c r="CB23" s="2380"/>
      <c r="CC23" s="2380"/>
      <c r="CD23" s="2380" t="str">
        <f>IFERROR(IF('ARDT Cutter Entry'!$C$111&lt;&gt;"",IF(OR(COUNTIF('ARDT Cutter Entry'!M119,"*X*"),COUNTIF('ARDT Cutter Entry'!M119,"*L*")), 'ARDT Cutter Entry'!M119,LEFT('ARDT Cutter Entry'!M119,LEN('ARDT Cutter Entry'!M119)-1)),IF(OR(COUNTIF('ARDT Cutter Entry'!M51,"*X*"),COUNTIF('ARDT Cutter Entry'!M51,"*L*")),'ARDT Cutter Entry'!M51,LEFT('ARDT Cutter Entry'!M51,LEN('ARDT Cutter Entry'!M51)-1))),"")</f>
        <v/>
      </c>
      <c r="CE23" s="2380"/>
      <c r="CF23" s="2380"/>
      <c r="CG23" s="2380"/>
      <c r="CH23" s="2380"/>
      <c r="CI23" s="2380"/>
      <c r="CJ23" s="2380"/>
      <c r="CK23" s="2380"/>
      <c r="CL23" s="2380" t="str">
        <f>IFERROR(IF('ARDT Cutter Entry'!$C$111&lt;&gt;"",IF(OR(COUNTIF('ARDT Cutter Entry'!N119,"*X*"),COUNTIF('ARDT Cutter Entry'!N119,"*L*")), 'ARDT Cutter Entry'!N119,LEFT('ARDT Cutter Entry'!N119,LEN('ARDT Cutter Entry'!N119)-1)),IF(OR(COUNTIF('ARDT Cutter Entry'!N51,"*X*"),COUNTIF('ARDT Cutter Entry'!N51,"*L*")),'ARDT Cutter Entry'!N51,LEFT('ARDT Cutter Entry'!N51,LEN('ARDT Cutter Entry'!N51)-1))),"")</f>
        <v/>
      </c>
      <c r="CM23" s="2380"/>
      <c r="CN23" s="2380"/>
      <c r="CO23" s="2380"/>
      <c r="CP23" s="2380"/>
      <c r="CQ23" s="2380"/>
      <c r="CR23" s="2380"/>
      <c r="CS23" s="2380"/>
      <c r="CT23" s="2380" t="str">
        <f>IFERROR(IF('ARDT Cutter Entry'!$C$111&lt;&gt;"",IF(OR(COUNTIF('ARDT Cutter Entry'!O119,"*X*"),COUNTIF('ARDT Cutter Entry'!O119,"*L*")), 'ARDT Cutter Entry'!O119,LEFT('ARDT Cutter Entry'!O119,LEN('ARDT Cutter Entry'!O119)-1)),IF(OR(COUNTIF('ARDT Cutter Entry'!O51,"*X*"),COUNTIF('ARDT Cutter Entry'!O51,"*L*")),'ARDT Cutter Entry'!O51,LEFT('ARDT Cutter Entry'!O51,LEN('ARDT Cutter Entry'!O51)-1))),"")</f>
        <v/>
      </c>
      <c r="CU23" s="2380"/>
      <c r="CV23" s="2380"/>
      <c r="CW23" s="2380"/>
      <c r="CX23" s="2380"/>
      <c r="CY23" s="2380"/>
      <c r="CZ23" s="2380"/>
      <c r="DA23" s="2380"/>
      <c r="DB23" s="2380" t="str">
        <f>IFERROR(IF('ARDT Cutter Entry'!$C$111&lt;&gt;"",IF(OR(COUNTIF('ARDT Cutter Entry'!P119,"*X*"),COUNTIF('ARDT Cutter Entry'!P119,"*L*")), 'ARDT Cutter Entry'!P119,LEFT('ARDT Cutter Entry'!P119,LEN('ARDT Cutter Entry'!P119)-1)),IF(OR(COUNTIF('ARDT Cutter Entry'!P51,"*X*"),COUNTIF('ARDT Cutter Entry'!P51,"*L*")),'ARDT Cutter Entry'!P51,LEFT('ARDT Cutter Entry'!P51,LEN('ARDT Cutter Entry'!P51)-1))),"")</f>
        <v/>
      </c>
      <c r="DC23" s="2380"/>
      <c r="DD23" s="2380"/>
      <c r="DE23" s="2380"/>
      <c r="DF23" s="2380"/>
      <c r="DG23" s="2380"/>
      <c r="DH23" s="2380"/>
      <c r="DI23" s="2380"/>
      <c r="DJ23" s="2380" t="str">
        <f>IFERROR(IF('ARDT Cutter Entry'!$C$111&lt;&gt;"",IF(OR(COUNTIF('ARDT Cutter Entry'!Q119,"*X*"),COUNTIF('ARDT Cutter Entry'!Q119,"*L*")), 'ARDT Cutter Entry'!Q119,LEFT('ARDT Cutter Entry'!Q119,LEN('ARDT Cutter Entry'!Q119)-1)),IF(OR(COUNTIF('ARDT Cutter Entry'!Q51,"*X*"),COUNTIF('ARDT Cutter Entry'!Q51,"*L*")),'ARDT Cutter Entry'!Q51,LEFT('ARDT Cutter Entry'!Q51,LEN('ARDT Cutter Entry'!Q51)-1))),"")</f>
        <v/>
      </c>
      <c r="DK23" s="2380"/>
      <c r="DL23" s="2380"/>
      <c r="DM23" s="2380"/>
      <c r="DN23" s="2380"/>
      <c r="DO23" s="2380"/>
      <c r="DP23" s="2380"/>
      <c r="DQ23" s="2380"/>
      <c r="DR23" s="2380" t="str">
        <f>IFERROR(IF('ARDT Cutter Entry'!$C$111&lt;&gt;"",IF(OR(COUNTIF('ARDT Cutter Entry'!R119,"*X*"),COUNTIF('ARDT Cutter Entry'!R119,"*L*")), 'ARDT Cutter Entry'!R119,LEFT('ARDT Cutter Entry'!R119,LEN('ARDT Cutter Entry'!R119)-1)),IF(OR(COUNTIF('ARDT Cutter Entry'!R51,"*X*"),COUNTIF('ARDT Cutter Entry'!R51,"*L*")),'ARDT Cutter Entry'!R51,LEFT('ARDT Cutter Entry'!R51,LEN('ARDT Cutter Entry'!R51)-1))),"")</f>
        <v/>
      </c>
      <c r="DS23" s="2380"/>
      <c r="DT23" s="2380"/>
      <c r="DU23" s="2380"/>
      <c r="DV23" s="2380"/>
      <c r="DW23" s="2380"/>
      <c r="DX23" s="2380"/>
      <c r="DY23" s="2380"/>
      <c r="DZ23" s="2380" t="str">
        <f>IFERROR(IF('ARDT Cutter Entry'!$C$111&lt;&gt;"",IF(OR(COUNTIF('ARDT Cutter Entry'!S119,"*X*"),COUNTIF('ARDT Cutter Entry'!S119,"*L*")), 'ARDT Cutter Entry'!S119,LEFT('ARDT Cutter Entry'!S119,LEN('ARDT Cutter Entry'!S119)-1)),IF(OR(COUNTIF('ARDT Cutter Entry'!S51,"*X*"),COUNTIF('ARDT Cutter Entry'!S51,"*L*")),'ARDT Cutter Entry'!S51,LEFT('ARDT Cutter Entry'!S51,LEN('ARDT Cutter Entry'!S51)-1))),"")</f>
        <v/>
      </c>
      <c r="EA23" s="2380"/>
      <c r="EB23" s="2380"/>
      <c r="EC23" s="2380"/>
      <c r="ED23" s="2380"/>
      <c r="EE23" s="2380"/>
      <c r="EF23" s="2380"/>
      <c r="EG23" s="2380"/>
      <c r="EH23" s="2380" t="str">
        <f>IFERROR(IF('ARDT Cutter Entry'!$C$111&lt;&gt;"",IF(OR(COUNTIF('ARDT Cutter Entry'!T119,"*X*"),COUNTIF('ARDT Cutter Entry'!T119,"*L*")), 'ARDT Cutter Entry'!T119,LEFT('ARDT Cutter Entry'!T119,LEN('ARDT Cutter Entry'!T119)-1)),IF(OR(COUNTIF('ARDT Cutter Entry'!T51,"*X*"),COUNTIF('ARDT Cutter Entry'!T51,"*L*")),'ARDT Cutter Entry'!T51,LEFT('ARDT Cutter Entry'!T51,LEN('ARDT Cutter Entry'!T51)-1))),"")</f>
        <v/>
      </c>
      <c r="EI23" s="2380"/>
      <c r="EJ23" s="2380"/>
      <c r="EK23" s="2380"/>
      <c r="EL23" s="2380"/>
      <c r="EM23" s="2380"/>
      <c r="EN23" s="2380"/>
      <c r="EO23" s="2380"/>
      <c r="EP23" s="2380" t="str">
        <f>IFERROR(IF('ARDT Cutter Entry'!$C$111&lt;&gt;"",IF(OR(COUNTIF('ARDT Cutter Entry'!U119,"*X*"),COUNTIF('ARDT Cutter Entry'!U119,"*L*")), 'ARDT Cutter Entry'!U119,LEFT('ARDT Cutter Entry'!U119,LEN('ARDT Cutter Entry'!U119)-1)),IF(OR(COUNTIF('ARDT Cutter Entry'!U51,"*X*"),COUNTIF('ARDT Cutter Entry'!U51,"*L*")),'ARDT Cutter Entry'!U51,LEFT('ARDT Cutter Entry'!U51,LEN('ARDT Cutter Entry'!U51)-1))),"")</f>
        <v/>
      </c>
      <c r="EQ23" s="2380"/>
      <c r="ER23" s="2380"/>
      <c r="ES23" s="2380"/>
      <c r="ET23" s="2380"/>
      <c r="EU23" s="2380"/>
      <c r="EV23" s="2380"/>
      <c r="EW23" s="2380"/>
      <c r="EX23" s="2380" t="str">
        <f>IFERROR(IF('ARDT Cutter Entry'!$C$111&lt;&gt;"",IF(OR(COUNTIF('ARDT Cutter Entry'!V119,"*X*"),COUNTIF('ARDT Cutter Entry'!V119,"*L*")), 'ARDT Cutter Entry'!V119,LEFT('ARDT Cutter Entry'!V119,LEN('ARDT Cutter Entry'!V119)-1)),IF(OR(COUNTIF('ARDT Cutter Entry'!V51,"*X*"),COUNTIF('ARDT Cutter Entry'!V51,"*L*")),'ARDT Cutter Entry'!V51,LEFT('ARDT Cutter Entry'!V51,LEN('ARDT Cutter Entry'!V51)-1))),"")</f>
        <v/>
      </c>
      <c r="EY23" s="2380"/>
      <c r="EZ23" s="2380"/>
      <c r="FA23" s="2380"/>
      <c r="FB23" s="2380"/>
      <c r="FC23" s="2380"/>
      <c r="FD23" s="2380"/>
      <c r="FE23" s="2380"/>
      <c r="FF23" s="2380" t="str">
        <f>IFERROR(IF('ARDT Cutter Entry'!$C$111&lt;&gt;"",IF(OR(COUNTIF('ARDT Cutter Entry'!W119,"*X*"),COUNTIF('ARDT Cutter Entry'!W119,"*L*")), 'ARDT Cutter Entry'!W119,LEFT('ARDT Cutter Entry'!W119,LEN('ARDT Cutter Entry'!W119)-1)),IF(OR(COUNTIF('ARDT Cutter Entry'!W51,"*X*"),COUNTIF('ARDT Cutter Entry'!W51,"*L*")),'ARDT Cutter Entry'!W51,LEFT('ARDT Cutter Entry'!W51,LEN('ARDT Cutter Entry'!W51)-1))),"")</f>
        <v/>
      </c>
      <c r="FG23" s="2380"/>
      <c r="FH23" s="2380"/>
      <c r="FI23" s="2380"/>
      <c r="FJ23" s="2380"/>
      <c r="FK23" s="2380"/>
      <c r="FL23" s="2380"/>
      <c r="FM23" s="2380"/>
      <c r="FN23" s="2380" t="str">
        <f>IFERROR(IF('ARDT Cutter Entry'!$C$111&lt;&gt;"",IF(OR(COUNTIF('ARDT Cutter Entry'!X119,"*X*"),COUNTIF('ARDT Cutter Entry'!X119,"*L*")), 'ARDT Cutter Entry'!X119,LEFT('ARDT Cutter Entry'!X119,LEN('ARDT Cutter Entry'!X119)-1)),IF(OR(COUNTIF('ARDT Cutter Entry'!X51,"*X*"),COUNTIF('ARDT Cutter Entry'!X51,"*L*")),'ARDT Cutter Entry'!X51,LEFT('ARDT Cutter Entry'!X51,LEN('ARDT Cutter Entry'!X51)-1))),"")</f>
        <v/>
      </c>
      <c r="FO23" s="2380"/>
      <c r="FP23" s="2380"/>
      <c r="FQ23" s="2380"/>
      <c r="FR23" s="2380"/>
      <c r="FS23" s="2380"/>
      <c r="FT23" s="2380"/>
      <c r="FU23" s="2380"/>
      <c r="FV23" s="2380" t="str">
        <f>IFERROR(IF('ARDT Cutter Entry'!$C$111&lt;&gt;"",IF(OR(COUNTIF('ARDT Cutter Entry'!Y119,"*X*"),COUNTIF('ARDT Cutter Entry'!Y119,"*L*")), 'ARDT Cutter Entry'!Y119,LEFT('ARDT Cutter Entry'!Y119,LEN('ARDT Cutter Entry'!Y119)-1)),IF(OR(COUNTIF('ARDT Cutter Entry'!Y51,"*X*"),COUNTIF('ARDT Cutter Entry'!Y51,"*L*")),'ARDT Cutter Entry'!Y51,LEFT('ARDT Cutter Entry'!Y51,LEN('ARDT Cutter Entry'!Y51)-1))),"")</f>
        <v/>
      </c>
      <c r="FW23" s="2380"/>
      <c r="FX23" s="2380"/>
      <c r="FY23" s="2380"/>
      <c r="FZ23" s="2380"/>
      <c r="GA23" s="2380"/>
      <c r="GB23" s="2380"/>
      <c r="GC23" s="2380"/>
      <c r="GD23" s="1132"/>
      <c r="GE23" s="1132"/>
      <c r="GF23" s="1132"/>
      <c r="GG23" s="1132"/>
    </row>
    <row r="24" spans="1:235" ht="63.75" customHeight="1" x14ac:dyDescent="0.35">
      <c r="A24" s="339"/>
      <c r="B24" s="2386" t="str">
        <f>IF(Data!$GI$2&lt;&gt;"","X1: "&amp; Data!$GI$2, " ")</f>
        <v>X1: 1613 CT138  0.018"</v>
      </c>
      <c r="C24" s="2386"/>
      <c r="D24" s="2386"/>
      <c r="E24" s="2386"/>
      <c r="F24" s="2386"/>
      <c r="G24" s="2386"/>
      <c r="H24" s="2386"/>
      <c r="I24" s="2386"/>
      <c r="J24" s="2386"/>
      <c r="K24" s="2386"/>
      <c r="L24" s="2386"/>
      <c r="M24" s="2386"/>
      <c r="N24" s="2386"/>
      <c r="O24" s="2386"/>
      <c r="P24" s="2386"/>
      <c r="Q24" s="2386"/>
      <c r="R24" s="2386"/>
      <c r="S24" s="2386"/>
      <c r="T24" s="2386"/>
      <c r="U24" s="2386" t="str">
        <f>IF(Data!$GI$3&lt;&gt;"","X2: "&amp; Data!$GI$3, " ")</f>
        <v>X2: 1608 CT182 0.018"</v>
      </c>
      <c r="V24" s="2386"/>
      <c r="W24" s="2386"/>
      <c r="X24" s="2386"/>
      <c r="Y24" s="2386"/>
      <c r="Z24" s="2386"/>
      <c r="AA24" s="2386"/>
      <c r="AB24" s="2386"/>
      <c r="AC24" s="2386"/>
      <c r="AD24" s="2386"/>
      <c r="AE24" s="2386"/>
      <c r="AF24" s="2386"/>
      <c r="AG24" s="2386"/>
      <c r="AH24" s="2386"/>
      <c r="AI24" s="2386"/>
      <c r="AJ24" s="2386"/>
      <c r="AK24" s="2386"/>
      <c r="AL24" s="2386"/>
      <c r="AM24" s="2386"/>
      <c r="AN24" s="2386" t="str">
        <f>IF(Data!$GI$4&lt;&gt;"","X3: "&amp; Data!$GI$4, " ")</f>
        <v xml:space="preserve">X3: 1308 CT31 Drop in </v>
      </c>
      <c r="AO24" s="2386"/>
      <c r="AP24" s="2386"/>
      <c r="AQ24" s="2386"/>
      <c r="AR24" s="2386"/>
      <c r="AS24" s="2386"/>
      <c r="AT24" s="2386"/>
      <c r="AU24" s="2386"/>
      <c r="AV24" s="2386"/>
      <c r="AW24" s="2386"/>
      <c r="AX24" s="2386"/>
      <c r="AY24" s="2386"/>
      <c r="AZ24" s="2386"/>
      <c r="BA24" s="2386"/>
      <c r="BB24" s="2386"/>
      <c r="BC24" s="2386"/>
      <c r="BD24" s="2386"/>
      <c r="BE24" s="2386"/>
      <c r="BF24" s="2386"/>
      <c r="BG24" s="2386" t="str">
        <f>IF(Data!$GI$5&lt;&gt;"","X4: "&amp; Data!$GI$5, " ")</f>
        <v>X4: 1608 CT70 0.018"</v>
      </c>
      <c r="BH24" s="2386"/>
      <c r="BI24" s="2386"/>
      <c r="BJ24" s="2386"/>
      <c r="BK24" s="2386"/>
      <c r="BL24" s="2386"/>
      <c r="BM24" s="2386"/>
      <c r="BN24" s="2386"/>
      <c r="BO24" s="2386"/>
      <c r="BP24" s="2386"/>
      <c r="BQ24" s="2386"/>
      <c r="BR24" s="2386"/>
      <c r="BS24" s="2386"/>
      <c r="BT24" s="2386"/>
      <c r="BU24" s="2386"/>
      <c r="BV24" s="2386"/>
      <c r="BW24" s="2386"/>
      <c r="BX24" s="2386"/>
      <c r="BY24" s="2386"/>
      <c r="BZ24" s="2386" t="str">
        <f>IF(Data!$GI$6&lt;&gt;"","X5: "&amp; Data!$GI$6, " ")</f>
        <v>X5: 1613 CT421 18-60</v>
      </c>
      <c r="CA24" s="2386"/>
      <c r="CB24" s="2386"/>
      <c r="CC24" s="2386"/>
      <c r="CD24" s="2386"/>
      <c r="CE24" s="2386"/>
      <c r="CF24" s="2386"/>
      <c r="CG24" s="2386"/>
      <c r="CH24" s="2386"/>
      <c r="CI24" s="2386"/>
      <c r="CJ24" s="2386"/>
      <c r="CK24" s="2386"/>
      <c r="CL24" s="2386"/>
      <c r="CM24" s="2386"/>
      <c r="CN24" s="2386"/>
      <c r="CO24" s="2386"/>
      <c r="CP24" s="2386"/>
      <c r="CQ24" s="2386"/>
      <c r="CR24" s="2386"/>
      <c r="CS24" s="2386" t="str">
        <f>IF(Data!$GI$7&lt;&gt;"","X6: "&amp; Data!$GI$7, " ")</f>
        <v xml:space="preserve"> </v>
      </c>
      <c r="CT24" s="2386"/>
      <c r="CU24" s="2386"/>
      <c r="CV24" s="2386"/>
      <c r="CW24" s="2386"/>
      <c r="CX24" s="2386"/>
      <c r="CY24" s="2386"/>
      <c r="CZ24" s="2386"/>
      <c r="DA24" s="2386"/>
      <c r="DB24" s="2386"/>
      <c r="DC24" s="2386"/>
      <c r="DD24" s="2386"/>
      <c r="DE24" s="2386"/>
      <c r="DF24" s="2386"/>
      <c r="DG24" s="2386"/>
      <c r="DH24" s="2386"/>
      <c r="DI24" s="2386"/>
      <c r="DJ24" s="2386"/>
      <c r="DK24" s="2386"/>
      <c r="DL24" s="2386" t="str">
        <f>IF(Data!$GI$8&lt;&gt;"","X7: "&amp; Data!$GI$8, " ")</f>
        <v xml:space="preserve"> </v>
      </c>
      <c r="DM24" s="2386"/>
      <c r="DN24" s="2386"/>
      <c r="DO24" s="2386"/>
      <c r="DP24" s="2386"/>
      <c r="DQ24" s="2386"/>
      <c r="DR24" s="2386"/>
      <c r="DS24" s="2386"/>
      <c r="DT24" s="2386"/>
      <c r="DU24" s="2386"/>
      <c r="DV24" s="2386"/>
      <c r="DW24" s="2386"/>
      <c r="DX24" s="2386"/>
      <c r="DY24" s="2386"/>
      <c r="DZ24" s="2386"/>
      <c r="EA24" s="2386"/>
      <c r="EB24" s="2386"/>
      <c r="EC24" s="2386"/>
      <c r="ED24" s="2386"/>
      <c r="EE24" s="2386" t="str">
        <f>IF(Data!$GI$9&lt;&gt;"","X8: "&amp; Data!$GI$9, " ")</f>
        <v xml:space="preserve"> </v>
      </c>
      <c r="EF24" s="2386"/>
      <c r="EG24" s="2386"/>
      <c r="EH24" s="2386"/>
      <c r="EI24" s="2386"/>
      <c r="EJ24" s="2386"/>
      <c r="EK24" s="2386"/>
      <c r="EL24" s="2386"/>
      <c r="EM24" s="2386"/>
      <c r="EN24" s="2386"/>
      <c r="EO24" s="2386"/>
      <c r="EP24" s="2386"/>
      <c r="EQ24" s="2386"/>
      <c r="ER24" s="2386"/>
      <c r="ES24" s="2386"/>
      <c r="ET24" s="2386"/>
      <c r="EU24" s="2386"/>
      <c r="EV24" s="2386"/>
      <c r="EW24" s="2386"/>
      <c r="EX24" s="2386" t="str">
        <f>IF(Data!$GI$10&lt;&gt;"","X9: "&amp; Data!$GI$10, " ")</f>
        <v xml:space="preserve"> </v>
      </c>
      <c r="EY24" s="2386"/>
      <c r="EZ24" s="2386"/>
      <c r="FA24" s="2386"/>
      <c r="FB24" s="2386"/>
      <c r="FC24" s="2386"/>
      <c r="FD24" s="2386"/>
      <c r="FE24" s="2386"/>
      <c r="FF24" s="2386"/>
      <c r="FG24" s="2386"/>
      <c r="FH24" s="2386"/>
      <c r="FI24" s="2386"/>
      <c r="FJ24" s="2386"/>
      <c r="FK24" s="2386"/>
      <c r="FL24" s="2386"/>
      <c r="FM24" s="2386"/>
      <c r="FN24" s="2386"/>
      <c r="FO24" s="2386"/>
      <c r="FP24" s="2386"/>
      <c r="FQ24" s="2386" t="str">
        <f>IF(Data!$GI$11&lt;&gt;"","X10: "&amp; Data!$GI$11, " ")</f>
        <v xml:space="preserve"> </v>
      </c>
      <c r="FR24" s="2386"/>
      <c r="FS24" s="2386"/>
      <c r="FT24" s="2386"/>
      <c r="FU24" s="2386"/>
      <c r="FV24" s="2386"/>
      <c r="FW24" s="2386"/>
      <c r="FX24" s="2386"/>
      <c r="FY24" s="2386"/>
      <c r="FZ24" s="2386"/>
      <c r="GA24" s="2386"/>
      <c r="GB24" s="2386"/>
      <c r="GC24" s="2386"/>
      <c r="GD24" s="2386"/>
      <c r="GE24" s="2386"/>
      <c r="GF24" s="2386"/>
      <c r="GG24" s="2386"/>
    </row>
    <row r="25" spans="1:235" ht="27" customHeight="1" x14ac:dyDescent="0.35">
      <c r="B25" s="1132"/>
      <c r="C25" s="1132"/>
      <c r="D25" s="1132"/>
      <c r="E25" s="1132"/>
      <c r="F25" s="1132"/>
      <c r="G25" s="1132"/>
      <c r="H25" s="2383" t="str">
        <f>IF(Data!$B$1&lt;&gt;"", Data!$B$1, " ")</f>
        <v>2025-AR-105</v>
      </c>
      <c r="I25" s="2383"/>
      <c r="J25" s="2383"/>
      <c r="K25" s="2383"/>
      <c r="L25" s="2383"/>
      <c r="M25" s="2383"/>
      <c r="N25" s="2383"/>
      <c r="O25" s="2383"/>
      <c r="P25" s="2383"/>
      <c r="Q25" s="2383"/>
      <c r="R25" s="2383"/>
      <c r="S25" s="2383"/>
      <c r="T25" s="2383"/>
      <c r="U25" s="2383"/>
      <c r="V25" s="2383"/>
      <c r="W25" s="2383"/>
      <c r="X25" s="2383"/>
      <c r="Y25" s="2383"/>
      <c r="Z25" s="2383"/>
      <c r="AA25" s="2383"/>
      <c r="AB25" s="2383"/>
      <c r="AC25" s="2383"/>
      <c r="AD25" s="2383"/>
      <c r="AE25" s="2383"/>
      <c r="AF25" s="2383"/>
      <c r="AG25" s="2383"/>
      <c r="AH25" s="2383"/>
      <c r="AI25" s="2383"/>
      <c r="AJ25" s="2383"/>
      <c r="AK25" s="2383"/>
      <c r="AL25" s="2383"/>
      <c r="AM25" s="2383"/>
      <c r="AN25" s="2383"/>
      <c r="AO25" s="2383"/>
      <c r="AP25" s="2383"/>
      <c r="AQ25" s="2383"/>
      <c r="AR25" s="2383"/>
      <c r="AS25" s="2383"/>
      <c r="AT25" s="2383"/>
      <c r="AU25" s="2383"/>
      <c r="AV25" s="2383"/>
      <c r="AW25" s="2383"/>
      <c r="AX25" s="2383"/>
      <c r="AY25" s="2383">
        <f>IF(Data!$B$2&lt;&gt;"", Data!$B$2, " ")</f>
        <v>13753277</v>
      </c>
      <c r="AZ25" s="2383"/>
      <c r="BA25" s="2383"/>
      <c r="BB25" s="2383"/>
      <c r="BC25" s="2383"/>
      <c r="BD25" s="2383"/>
      <c r="BE25" s="2383"/>
      <c r="BF25" s="2383"/>
      <c r="BG25" s="2383"/>
      <c r="BH25" s="2383"/>
      <c r="BI25" s="2383"/>
      <c r="BJ25" s="2383"/>
      <c r="BK25" s="2383"/>
      <c r="BL25" s="2383"/>
      <c r="BM25" s="2383"/>
      <c r="BN25" s="2383"/>
      <c r="BO25" s="2383"/>
      <c r="BP25" s="2383"/>
      <c r="BQ25" s="2383"/>
      <c r="BR25" s="2383"/>
      <c r="BS25" s="2383"/>
      <c r="BT25" s="2383"/>
      <c r="BU25" s="2383"/>
      <c r="BV25" s="2383"/>
      <c r="BW25" s="2383"/>
      <c r="BX25" s="2383"/>
      <c r="BY25" s="2383"/>
      <c r="BZ25" s="2383"/>
      <c r="CA25" s="2383"/>
      <c r="CB25" s="2383"/>
      <c r="CC25" s="2383"/>
      <c r="CD25" s="2383"/>
      <c r="CE25" s="2383"/>
      <c r="CF25" s="2383"/>
      <c r="CG25" s="2383"/>
      <c r="CH25" s="2383"/>
      <c r="CI25" s="2383"/>
      <c r="CJ25" s="2383"/>
      <c r="CK25" s="2383"/>
      <c r="CL25" s="2383"/>
      <c r="CM25" s="2383"/>
      <c r="CN25" s="2383"/>
      <c r="CO25" s="2383"/>
      <c r="CP25" s="2383"/>
      <c r="CQ25" s="2383"/>
      <c r="CR25" s="2383"/>
      <c r="CS25" s="2383"/>
      <c r="CT25" s="2383"/>
      <c r="CU25" s="2383"/>
      <c r="CV25" s="2383"/>
      <c r="CW25" s="2383"/>
      <c r="CX25" s="2383"/>
      <c r="CY25" s="2383"/>
      <c r="CZ25" s="2383" t="str">
        <f>IF(Data!$B$4&lt;&gt;"",Data!$B$4," ")</f>
        <v>MM65DH</v>
      </c>
      <c r="DA25" s="2383"/>
      <c r="DB25" s="2383"/>
      <c r="DC25" s="2383"/>
      <c r="DD25" s="2383"/>
      <c r="DE25" s="2383"/>
      <c r="DF25" s="2383"/>
      <c r="DG25" s="2383"/>
      <c r="DH25" s="2383"/>
      <c r="DI25" s="2383"/>
      <c r="DJ25" s="2383"/>
      <c r="DK25" s="2383"/>
      <c r="DL25" s="2383"/>
      <c r="DM25" s="2383"/>
      <c r="DN25" s="2383"/>
      <c r="DO25" s="2383"/>
      <c r="DP25" s="2383"/>
      <c r="DQ25" s="2383"/>
      <c r="DR25" s="2383"/>
      <c r="DS25" s="2383"/>
      <c r="DT25" s="2383"/>
      <c r="DU25" s="2383"/>
      <c r="DV25" s="2383"/>
      <c r="DW25" s="2383"/>
      <c r="DX25" s="2383"/>
      <c r="DY25" s="2383"/>
      <c r="DZ25" s="2383"/>
      <c r="EA25" s="2383"/>
      <c r="EB25" s="2383"/>
      <c r="EC25" s="2383"/>
      <c r="ED25" s="2383"/>
      <c r="EE25" s="2383"/>
      <c r="EF25" s="2383" t="str">
        <f>IF(LEN(Data!B3)&gt;3,IF(AND(Data!B43&lt;&gt;"",Data!B43&lt;&gt;"0 0/1"""),Data!B43,""),IF(Data!B3&lt;&gt;"",Data!B3,""))</f>
        <v>8 3/8"</v>
      </c>
      <c r="EG25" s="2383"/>
      <c r="EH25" s="2383"/>
      <c r="EI25" s="2383"/>
      <c r="EJ25" s="2383"/>
      <c r="EK25" s="2383"/>
      <c r="EL25" s="2383"/>
      <c r="EM25" s="2383"/>
      <c r="EN25" s="2383"/>
      <c r="EO25" s="2383"/>
      <c r="EP25" s="2383"/>
      <c r="EQ25" s="2383"/>
      <c r="ER25" s="2383"/>
      <c r="ES25" s="2383"/>
      <c r="ET25" s="2383"/>
      <c r="EU25" s="2383"/>
      <c r="EV25" s="2383"/>
      <c r="EW25" s="2383"/>
      <c r="EX25" s="2383"/>
      <c r="EY25" s="2383"/>
      <c r="EZ25" s="2383"/>
      <c r="FA25" s="2383"/>
      <c r="FB25" s="2383"/>
      <c r="FC25" s="2383"/>
      <c r="FD25" s="2383"/>
      <c r="FE25" s="2383"/>
      <c r="FF25" s="2383"/>
      <c r="FG25" s="2383"/>
      <c r="FH25" s="2383"/>
      <c r="FI25" s="2383"/>
      <c r="FJ25" s="2383"/>
      <c r="FK25" s="2383"/>
      <c r="FL25" s="1132"/>
      <c r="FM25" s="1132"/>
      <c r="FN25" s="1132"/>
      <c r="FO25" s="1132"/>
      <c r="FP25" s="1132"/>
      <c r="FQ25" s="1132"/>
      <c r="FR25" s="1132"/>
      <c r="FS25" s="1132"/>
      <c r="FT25" s="1132"/>
      <c r="FU25" s="1132"/>
      <c r="FV25" s="1132"/>
      <c r="FW25" s="1132"/>
      <c r="FX25" s="1132"/>
      <c r="FY25" s="1132"/>
      <c r="FZ25" s="1132"/>
      <c r="GA25" s="1132"/>
      <c r="GB25" s="1132"/>
      <c r="GC25" s="1132"/>
      <c r="GD25" s="1132"/>
      <c r="GE25" s="1132"/>
      <c r="GF25" s="1132"/>
      <c r="GG25" s="1132"/>
    </row>
    <row r="26" spans="1:235" ht="21.75" customHeight="1" x14ac:dyDescent="0.35">
      <c r="B26" s="2387">
        <f>IF(Data!$BR$44&lt;&gt;"",Data!$BR$44, "")</f>
        <v>1</v>
      </c>
      <c r="C26" s="2387"/>
      <c r="D26" s="2387"/>
      <c r="E26" s="2387"/>
      <c r="F26" s="2387"/>
      <c r="G26" s="2387"/>
      <c r="H26" s="2387">
        <f>IF(Data!$BS$44&lt;&gt;"",Data!$BS$44, "")</f>
        <v>2</v>
      </c>
      <c r="I26" s="2387"/>
      <c r="J26" s="2387"/>
      <c r="K26" s="2387"/>
      <c r="L26" s="2387"/>
      <c r="M26" s="2387"/>
      <c r="N26" s="2387">
        <f>IF(Data!$BT$44&lt;&gt;"", Data!$BT$44, "")</f>
        <v>3</v>
      </c>
      <c r="O26" s="2387"/>
      <c r="P26" s="2387"/>
      <c r="Q26" s="2387"/>
      <c r="R26" s="2387"/>
      <c r="S26" s="2387"/>
      <c r="T26" s="2387">
        <f>IF(Data!$BU$44&lt;&gt;"", Data!$BU$44, "")</f>
        <v>4</v>
      </c>
      <c r="U26" s="2387"/>
      <c r="V26" s="2387"/>
      <c r="W26" s="2387"/>
      <c r="X26" s="2387"/>
      <c r="Y26" s="2387"/>
      <c r="Z26" s="2387">
        <f>IF(Data!$BV$44&lt;&gt;"",Data!$BV$44, "")</f>
        <v>5</v>
      </c>
      <c r="AA26" s="2387"/>
      <c r="AB26" s="2387"/>
      <c r="AC26" s="2387"/>
      <c r="AD26" s="2387"/>
      <c r="AE26" s="2387"/>
      <c r="AF26" s="2387">
        <f>IF(Data!$BW$44&lt;&gt;"",Data!$BW$44, "")</f>
        <v>6</v>
      </c>
      <c r="AG26" s="2387"/>
      <c r="AH26" s="2387"/>
      <c r="AI26" s="2387"/>
      <c r="AJ26" s="2387"/>
      <c r="AK26" s="2387"/>
      <c r="AL26" s="2387">
        <f>IF(Data!$BX$44&lt;&gt;"", Data!$BX$44, "")</f>
        <v>7</v>
      </c>
      <c r="AM26" s="2387"/>
      <c r="AN26" s="2387"/>
      <c r="AO26" s="2387"/>
      <c r="AP26" s="2387"/>
      <c r="AQ26" s="2387"/>
      <c r="AR26" s="2387">
        <f>IF(Data!$BY$44&lt;&gt;"", Data!$BY$44, "")</f>
        <v>8</v>
      </c>
      <c r="AS26" s="2387"/>
      <c r="AT26" s="2387"/>
      <c r="AU26" s="2387"/>
      <c r="AV26" s="2387"/>
      <c r="AW26" s="2387"/>
      <c r="AX26" s="2387">
        <f>IF(Data!$BZ$44&lt;&gt;"", Data!$BZ$44, "")</f>
        <v>0</v>
      </c>
      <c r="AY26" s="2387"/>
      <c r="AZ26" s="2387"/>
      <c r="BA26" s="2387"/>
      <c r="BB26" s="2387"/>
      <c r="BC26" s="2387"/>
      <c r="BD26" s="2387">
        <f>IF(Data!$CA$44&lt;&gt;"", Data!$CA$44, "")</f>
        <v>9</v>
      </c>
      <c r="BE26" s="2387"/>
      <c r="BF26" s="2387"/>
      <c r="BG26" s="2387"/>
      <c r="BH26" s="2387"/>
      <c r="BI26" s="2387"/>
      <c r="BJ26" s="2387">
        <f>IF(Data!$CB$44&lt;&gt;"", Data!$CB$44, "")</f>
        <v>10</v>
      </c>
      <c r="BK26" s="2387"/>
      <c r="BL26" s="2387"/>
      <c r="BM26" s="2387"/>
      <c r="BN26" s="2387"/>
      <c r="BO26" s="2387"/>
      <c r="BP26" s="2387">
        <f>IF(Data!$CC$44&lt;&gt;"", Data!$CC$44, "")</f>
        <v>11</v>
      </c>
      <c r="BQ26" s="2387"/>
      <c r="BR26" s="2387"/>
      <c r="BS26" s="2387"/>
      <c r="BT26" s="2387"/>
      <c r="BU26" s="2387"/>
      <c r="BV26" s="2387">
        <f>IF(Data!$CD$44&lt;&gt;"",Data!$CD$44, "")</f>
        <v>12</v>
      </c>
      <c r="BW26" s="2387"/>
      <c r="BX26" s="2387"/>
      <c r="BY26" s="2387"/>
      <c r="BZ26" s="2387"/>
      <c r="CA26" s="2387"/>
      <c r="CB26" s="2387">
        <f>IF(Data!$CE$44&lt;&gt;"",Data!$CE$44, "")</f>
        <v>0</v>
      </c>
      <c r="CC26" s="2387"/>
      <c r="CD26" s="2387"/>
      <c r="CE26" s="2387"/>
      <c r="CF26" s="2387"/>
      <c r="CG26" s="2387"/>
      <c r="CH26" s="2387">
        <f>IF(Data!$CF$44&lt;&gt;"",Data!$CF$44, "")</f>
        <v>0</v>
      </c>
      <c r="CI26" s="2387"/>
      <c r="CJ26" s="2387"/>
      <c r="CK26" s="2387"/>
      <c r="CL26" s="2387"/>
      <c r="CM26" s="2387"/>
      <c r="CN26" s="2387">
        <f>IF(Data!$CG$44&lt;&gt;"",Data!$CG$44, "")</f>
        <v>0</v>
      </c>
      <c r="CO26" s="2387"/>
      <c r="CP26" s="2387"/>
      <c r="CQ26" s="2387"/>
      <c r="CR26" s="2387"/>
      <c r="CS26" s="2387"/>
      <c r="CT26" s="2387">
        <f>IF(Data!$CH$44&lt;&gt;"",Data!$CH$44, "")</f>
        <v>0</v>
      </c>
      <c r="CU26" s="2387"/>
      <c r="CV26" s="2387"/>
      <c r="CW26" s="2387"/>
      <c r="CX26" s="2387"/>
      <c r="CY26" s="2387"/>
      <c r="CZ26" s="2387">
        <f>IF(Data!$CI$44&lt;&gt;"",Data!$CI$44, "")</f>
        <v>0</v>
      </c>
      <c r="DA26" s="2387"/>
      <c r="DB26" s="2387"/>
      <c r="DC26" s="2387"/>
      <c r="DD26" s="2387"/>
      <c r="DE26" s="2387"/>
      <c r="DF26" s="2387">
        <f>IF(Data!$CJ$44&lt;&gt;"",Data!$CJ$44, "")</f>
        <v>0</v>
      </c>
      <c r="DG26" s="2387"/>
      <c r="DH26" s="2387"/>
      <c r="DI26" s="2387"/>
      <c r="DJ26" s="2387"/>
      <c r="DK26" s="2387"/>
      <c r="DL26" s="2387">
        <f>IF(Data!$CK$44&lt;&gt;"",Data!$CK$44, "")</f>
        <v>0</v>
      </c>
      <c r="DM26" s="2387"/>
      <c r="DN26" s="2387"/>
      <c r="DO26" s="2387"/>
      <c r="DP26" s="2387"/>
      <c r="DQ26" s="2387"/>
      <c r="DR26" s="2387">
        <f>IF(Data!$CL$44&lt;&gt;"",Data!$CL$44, "")</f>
        <v>0</v>
      </c>
      <c r="DS26" s="2387"/>
      <c r="DT26" s="2387"/>
      <c r="DU26" s="2387"/>
      <c r="DV26" s="2387"/>
      <c r="DW26" s="2387"/>
      <c r="DX26" s="2387">
        <f>IF(Data!$CM$44&lt;&gt;"",Data!$CM$44, "")</f>
        <v>0</v>
      </c>
      <c r="DY26" s="2387"/>
      <c r="DZ26" s="2387"/>
      <c r="EA26" s="2387"/>
      <c r="EB26" s="2387"/>
      <c r="EC26" s="2387"/>
      <c r="ED26" s="2387">
        <f>IF(Data!$CN$44&lt;&gt;"",Data!$CN$44, "")</f>
        <v>0</v>
      </c>
      <c r="EE26" s="2387"/>
      <c r="EF26" s="2387"/>
      <c r="EG26" s="2387"/>
      <c r="EH26" s="2387"/>
      <c r="EI26" s="2387"/>
      <c r="EJ26" s="2387">
        <f>IF(Data!$CO$44&lt;&gt;"",Data!$CO$44, "")</f>
        <v>0</v>
      </c>
      <c r="EK26" s="2387"/>
      <c r="EL26" s="2387"/>
      <c r="EM26" s="2387"/>
      <c r="EN26" s="2387"/>
      <c r="EO26" s="2387"/>
      <c r="EP26" s="2387">
        <f>IF(Data!$CP$44&lt;&gt;"",Data!$CP$44, "")</f>
        <v>0</v>
      </c>
      <c r="EQ26" s="2387"/>
      <c r="ER26" s="2387"/>
      <c r="ES26" s="2387"/>
      <c r="ET26" s="2387"/>
      <c r="EU26" s="2387"/>
      <c r="EV26" s="2387">
        <f>IF(Data!$CQ$44&lt;&gt;"",Data!$CQ$44, "")</f>
        <v>0</v>
      </c>
      <c r="EW26" s="2387"/>
      <c r="EX26" s="2387"/>
      <c r="EY26" s="2387"/>
      <c r="EZ26" s="2387"/>
      <c r="FA26" s="2387"/>
      <c r="FB26" s="2387">
        <f>IF(Data!$CR$44&lt;&gt;"",Data!$CR$44, "")</f>
        <v>0</v>
      </c>
      <c r="FC26" s="2387"/>
      <c r="FD26" s="2387"/>
      <c r="FE26" s="2387"/>
      <c r="FF26" s="2387"/>
      <c r="FG26" s="2387"/>
      <c r="FH26" s="2387">
        <f>IF(Data!$CS$44&lt;&gt;"",Data!$CS$44, "")</f>
        <v>0</v>
      </c>
      <c r="FI26" s="2387"/>
      <c r="FJ26" s="2387"/>
      <c r="FK26" s="2387"/>
      <c r="FL26" s="2387"/>
      <c r="FM26" s="2387"/>
      <c r="FN26" s="2387">
        <f>IF(Data!$CT$44&lt;&gt;"",Data!$CT$44, "")</f>
        <v>0</v>
      </c>
      <c r="FO26" s="2387"/>
      <c r="FP26" s="2387"/>
      <c r="FQ26" s="2387"/>
      <c r="FR26" s="2387"/>
      <c r="FS26" s="2387"/>
      <c r="FT26" s="2387">
        <f>IF(Data!$CU$44&lt;&gt;"",Data!$CU$44, "")</f>
        <v>0</v>
      </c>
      <c r="FU26" s="2387"/>
      <c r="FV26" s="2387"/>
      <c r="FW26" s="2387"/>
      <c r="FX26" s="2387"/>
      <c r="FY26" s="2387"/>
      <c r="FZ26" s="2387">
        <f>IF(Data!$CV$44&lt;&gt;"",Data!$CV$44, "")</f>
        <v>0</v>
      </c>
      <c r="GA26" s="2387"/>
      <c r="GB26" s="2387"/>
      <c r="GC26" s="2387"/>
      <c r="GD26" s="2387"/>
      <c r="GE26" s="2387"/>
      <c r="GF26" s="1132"/>
      <c r="GG26" s="1132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</row>
    <row r="27" spans="1:235" ht="44.25" customHeight="1" x14ac:dyDescent="0.45">
      <c r="A27" s="338">
        <v>1</v>
      </c>
      <c r="B27" s="2379" t="str">
        <f>IFERROR(IF('ARDT Cutter Entry'!$C$111&lt;&gt;"",IF(OR(COUNTIF('ARDT Cutter Entry'!C111,"*X*"),COUNTIF('ARDT Cutter Entry'!C111,"*L*")), 'ARDT Cutter Entry'!C111,LEFT('ARDT Cutter Entry'!C111,LEN('ARDT Cutter Entry'!C111)-1)),IF(OR(COUNTIF('ARDT Cutter Entry'!C43,"*X*"),COUNTIF('ARDT Cutter Entry'!C43,"*L*")),'ARDT Cutter Entry'!C43,LEFT('ARDT Cutter Entry'!C43,LEN('ARDT Cutter Entry'!C43)-1))),"")</f>
        <v>R</v>
      </c>
      <c r="C27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27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27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27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27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27" s="2379" t="str">
        <f>IFERROR(IF('ARDT Cutter Entry'!$C$111&lt;&gt;"",IF(OR(COUNTIF('ARDT Cutter Entry'!D111,"*X*"),COUNTIF('ARDT Cutter Entry'!D111,"*L*")), 'ARDT Cutter Entry'!D111,LEFT('ARDT Cutter Entry'!D111,LEN('ARDT Cutter Entry'!D111)-1)),IF(OR(COUNTIF('ARDT Cutter Entry'!D43,"*X*"),COUNTIF('ARDT Cutter Entry'!D43,"*L*")),'ARDT Cutter Entry'!D43,LEFT('ARDT Cutter Entry'!D43,LEN('ARDT Cutter Entry'!D43)-1))),"")</f>
        <v>R</v>
      </c>
      <c r="I27" s="2379"/>
      <c r="J27" s="2379"/>
      <c r="K27" s="2379"/>
      <c r="L27" s="2379"/>
      <c r="M27" s="2379"/>
      <c r="N27" s="2379" t="str">
        <f>IFERROR(IF('ARDT Cutter Entry'!$C$111&lt;&gt;"",IF(OR(COUNTIF('ARDT Cutter Entry'!E111,"*X*"),COUNTIF('ARDT Cutter Entry'!E111,"*L*")), 'ARDT Cutter Entry'!E111,LEFT('ARDT Cutter Entry'!E111,LEN('ARDT Cutter Entry'!E111)-1)),IF(OR(COUNTIF('ARDT Cutter Entry'!E43,"*X*"),COUNTIF('ARDT Cutter Entry'!E43,"*L*")),'ARDT Cutter Entry'!E43,LEFT('ARDT Cutter Entry'!E43,LEN('ARDT Cutter Entry'!E43)-1))),"")</f>
        <v>X5</v>
      </c>
      <c r="O27" s="2379"/>
      <c r="P27" s="2379"/>
      <c r="Q27" s="2379"/>
      <c r="R27" s="2379"/>
      <c r="S27" s="2379"/>
      <c r="T27" s="2379" t="str">
        <f>IFERROR(IF('ARDT Cutter Entry'!$C$111&lt;&gt;"",IF(OR(COUNTIF('ARDT Cutter Entry'!F111,"*X*"),COUNTIF('ARDT Cutter Entry'!F111,"*L*")), 'ARDT Cutter Entry'!F111,LEFT('ARDT Cutter Entry'!F111,LEN('ARDT Cutter Entry'!F111)-1)),IF(OR(COUNTIF('ARDT Cutter Entry'!F43,"*X*"),COUNTIF('ARDT Cutter Entry'!F43,"*L*")),'ARDT Cutter Entry'!F43,LEFT('ARDT Cutter Entry'!F43,LEN('ARDT Cutter Entry'!F43)-1))),"")</f>
        <v>X5</v>
      </c>
      <c r="U27" s="2379"/>
      <c r="V27" s="2379"/>
      <c r="W27" s="2379"/>
      <c r="X27" s="2379"/>
      <c r="Y27" s="2379"/>
      <c r="Z27" s="2379" t="str">
        <f>IFERROR(IF('ARDT Cutter Entry'!$C$111&lt;&gt;"",IF(OR(COUNTIF('ARDT Cutter Entry'!G111,"*X*"),COUNTIF('ARDT Cutter Entry'!G111,"*L*")), 'ARDT Cutter Entry'!G111,LEFT('ARDT Cutter Entry'!G111,LEN('ARDT Cutter Entry'!G111)-1)),IF(OR(COUNTIF('ARDT Cutter Entry'!G43,"*X*"),COUNTIF('ARDT Cutter Entry'!G43,"*L*")),'ARDT Cutter Entry'!G43,LEFT('ARDT Cutter Entry'!G43,LEN('ARDT Cutter Entry'!G43)-1))),"")</f>
        <v>X5</v>
      </c>
      <c r="AA27" s="2379"/>
      <c r="AB27" s="2379"/>
      <c r="AC27" s="2379"/>
      <c r="AD27" s="2379"/>
      <c r="AE27" s="2379"/>
      <c r="AF27" s="2379" t="str">
        <f>IFERROR(IF('ARDT Cutter Entry'!$C$111&lt;&gt;"",IF(OR(COUNTIF('ARDT Cutter Entry'!H111,"*X*"),COUNTIF('ARDT Cutter Entry'!H111,"*L*")), 'ARDT Cutter Entry'!H111,LEFT('ARDT Cutter Entry'!H111,LEN('ARDT Cutter Entry'!H111)-1)),IF(OR(COUNTIF('ARDT Cutter Entry'!H43,"*X*"),COUNTIF('ARDT Cutter Entry'!H43,"*L*")),'ARDT Cutter Entry'!H43,LEFT('ARDT Cutter Entry'!H43,LEN('ARDT Cutter Entry'!H43)-1))),"")</f>
        <v>X5</v>
      </c>
      <c r="AG27" s="2379"/>
      <c r="AH27" s="2379"/>
      <c r="AI27" s="2379"/>
      <c r="AJ27" s="2379"/>
      <c r="AK27" s="2379"/>
      <c r="AL27" s="2379" t="str">
        <f>IFERROR(IF('ARDT Cutter Entry'!$C$111&lt;&gt;"",IF(OR(COUNTIF('ARDT Cutter Entry'!I111,"*X*"),COUNTIF('ARDT Cutter Entry'!I111,"*L*")), 'ARDT Cutter Entry'!I111,LEFT('ARDT Cutter Entry'!I111,LEN('ARDT Cutter Entry'!I111)-1)),IF(OR(COUNTIF('ARDT Cutter Entry'!I43,"*X*"),COUNTIF('ARDT Cutter Entry'!I43,"*L*")),'ARDT Cutter Entry'!I43,LEFT('ARDT Cutter Entry'!I43,LEN('ARDT Cutter Entry'!I43)-1))),"")</f>
        <v>R</v>
      </c>
      <c r="AM27" s="2379"/>
      <c r="AN27" s="2379"/>
      <c r="AO27" s="2379"/>
      <c r="AP27" s="2379"/>
      <c r="AQ27" s="2379"/>
      <c r="AR27" s="2379" t="str">
        <f>IFERROR(IF('ARDT Cutter Entry'!$C$111&lt;&gt;"",IF(OR(COUNTIF('ARDT Cutter Entry'!J111,"*X*"),COUNTIF('ARDT Cutter Entry'!J111,"*L*")), 'ARDT Cutter Entry'!J111,LEFT('ARDT Cutter Entry'!J111,LEN('ARDT Cutter Entry'!J111)-1)),IF(OR(COUNTIF('ARDT Cutter Entry'!J43,"*X*"),COUNTIF('ARDT Cutter Entry'!J43,"*L*")),'ARDT Cutter Entry'!J43,LEFT('ARDT Cutter Entry'!J43,LEN('ARDT Cutter Entry'!J43)-1))),"")</f>
        <v>X3</v>
      </c>
      <c r="AS27" s="2379"/>
      <c r="AT27" s="2379"/>
      <c r="AU27" s="2379"/>
      <c r="AV27" s="2379"/>
      <c r="AW27" s="2379"/>
      <c r="AX27" s="2379" t="str">
        <f>IFERROR(IF('ARDT Cutter Entry'!$C$111&lt;&gt;"",IF(OR(COUNTIF('ARDT Cutter Entry'!K111,"*X*"),COUNTIF('ARDT Cutter Entry'!K111,"*L*")), 'ARDT Cutter Entry'!K111,LEFT('ARDT Cutter Entry'!K111,LEN('ARDT Cutter Entry'!K111)-1)),IF(OR(COUNTIF('ARDT Cutter Entry'!K43,"*X*"),COUNTIF('ARDT Cutter Entry'!K43,"*L*")),'ARDT Cutter Entry'!K43,LEFT('ARDT Cutter Entry'!K43,LEN('ARDT Cutter Entry'!K43)-1))),"")</f>
        <v/>
      </c>
      <c r="AY27" s="2379"/>
      <c r="AZ27" s="2379"/>
      <c r="BA27" s="2379"/>
      <c r="BB27" s="2379"/>
      <c r="BC27" s="2379"/>
      <c r="BD27" s="2379" t="str">
        <f>IFERROR(IF('ARDT Cutter Entry'!$C$111&lt;&gt;"",IF(OR(COUNTIF('ARDT Cutter Entry'!L111,"*X*"),COUNTIF('ARDT Cutter Entry'!L111,"*L*")), 'ARDT Cutter Entry'!L111,LEFT('ARDT Cutter Entry'!L111,LEN('ARDT Cutter Entry'!L111)-1)),IF(OR(COUNTIF('ARDT Cutter Entry'!L43,"*X*"),COUNTIF('ARDT Cutter Entry'!L43,"*L*")),'ARDT Cutter Entry'!L43,LEFT('ARDT Cutter Entry'!L43,LEN('ARDT Cutter Entry'!L43)-1))),"")</f>
        <v>S</v>
      </c>
      <c r="BE27" s="2379"/>
      <c r="BF27" s="2379"/>
      <c r="BG27" s="2379"/>
      <c r="BH27" s="2379"/>
      <c r="BI27" s="2379"/>
      <c r="BJ27" s="2379" t="str">
        <f>IFERROR(IF('ARDT Cutter Entry'!$C$111&lt;&gt;"",IF(OR(COUNTIF('ARDT Cutter Entry'!M111,"*X*"),COUNTIF('ARDT Cutter Entry'!M111,"*L*")), 'ARDT Cutter Entry'!M111,LEFT('ARDT Cutter Entry'!M111,LEN('ARDT Cutter Entry'!M111)-1)),IF(OR(COUNTIF('ARDT Cutter Entry'!M43,"*X*"),COUNTIF('ARDT Cutter Entry'!M43,"*L*")),'ARDT Cutter Entry'!M43,LEFT('ARDT Cutter Entry'!M43,LEN('ARDT Cutter Entry'!M43)-1))),"")</f>
        <v>X4</v>
      </c>
      <c r="BK27" s="2379"/>
      <c r="BL27" s="2379"/>
      <c r="BM27" s="2379"/>
      <c r="BN27" s="2379"/>
      <c r="BO27" s="2379"/>
      <c r="BP27" s="2379" t="str">
        <f>IFERROR(IF('ARDT Cutter Entry'!$C$111&lt;&gt;"",IF(OR(COUNTIF('ARDT Cutter Entry'!N111,"*X*"),COUNTIF('ARDT Cutter Entry'!N111,"*L*")), 'ARDT Cutter Entry'!N111,LEFT('ARDT Cutter Entry'!N111,LEN('ARDT Cutter Entry'!N111)-1)),IF(OR(COUNTIF('ARDT Cutter Entry'!N43,"*X*"),COUNTIF('ARDT Cutter Entry'!N43,"*L*")),'ARDT Cutter Entry'!N43,LEFT('ARDT Cutter Entry'!N43,LEN('ARDT Cutter Entry'!N43)-1))),"")</f>
        <v>X4</v>
      </c>
      <c r="BQ27" s="2379"/>
      <c r="BR27" s="2379"/>
      <c r="BS27" s="2379"/>
      <c r="BT27" s="2379"/>
      <c r="BU27" s="2379"/>
      <c r="BV27" s="2379" t="str">
        <f>IFERROR(IF('ARDT Cutter Entry'!$C$111&lt;&gt;"",IF(OR(COUNTIF('ARDT Cutter Entry'!O111,"*X*"),COUNTIF('ARDT Cutter Entry'!O111,"*L*")), 'ARDT Cutter Entry'!O111,LEFT('ARDT Cutter Entry'!O111,LEN('ARDT Cutter Entry'!O111)-1)),IF(OR(COUNTIF('ARDT Cutter Entry'!O43,"*X*"),COUNTIF('ARDT Cutter Entry'!O43,"*L*")),'ARDT Cutter Entry'!O43,LEFT('ARDT Cutter Entry'!O43,LEN('ARDT Cutter Entry'!O43)-1))),"")</f>
        <v>R</v>
      </c>
      <c r="BW27" s="2379"/>
      <c r="BX27" s="2379"/>
      <c r="BY27" s="2379"/>
      <c r="BZ27" s="2379"/>
      <c r="CA27" s="2379"/>
      <c r="CB27" s="2379" t="str">
        <f>IFERROR(IF('ARDT Cutter Entry'!$C$111&lt;&gt;"",IF(OR(COUNTIF('ARDT Cutter Entry'!P111,"*X*"),COUNTIF('ARDT Cutter Entry'!P111,"*L*")), 'ARDT Cutter Entry'!P111,LEFT('ARDT Cutter Entry'!P111,LEN('ARDT Cutter Entry'!P111)-1)),IF(OR(COUNTIF('ARDT Cutter Entry'!P43,"*X*"),COUNTIF('ARDT Cutter Entry'!P43,"*L*")),'ARDT Cutter Entry'!P43,LEFT('ARDT Cutter Entry'!P43,LEN('ARDT Cutter Entry'!P43)-1))),"")</f>
        <v/>
      </c>
      <c r="CC27" s="2379"/>
      <c r="CD27" s="2379"/>
      <c r="CE27" s="2379"/>
      <c r="CF27" s="2379"/>
      <c r="CG27" s="2379"/>
      <c r="CH27" s="2379" t="str">
        <f>IFERROR(IF('ARDT Cutter Entry'!$C$111&lt;&gt;"",IF(OR(COUNTIF('ARDT Cutter Entry'!Q111,"*X*"),COUNTIF('ARDT Cutter Entry'!Q111,"*L*")), 'ARDT Cutter Entry'!Q111,LEFT('ARDT Cutter Entry'!Q111,LEN('ARDT Cutter Entry'!Q111)-1)),IF(OR(COUNTIF('ARDT Cutter Entry'!Q43,"*X*"),COUNTIF('ARDT Cutter Entry'!Q43,"*L*")),'ARDT Cutter Entry'!Q43,LEFT('ARDT Cutter Entry'!Q43,LEN('ARDT Cutter Entry'!Q43)-1))),"")</f>
        <v/>
      </c>
      <c r="CI27" s="2379"/>
      <c r="CJ27" s="2379"/>
      <c r="CK27" s="2379"/>
      <c r="CL27" s="2379"/>
      <c r="CM27" s="2379"/>
      <c r="CN27" s="2379" t="str">
        <f>IFERROR(IF('ARDT Cutter Entry'!$C$111&lt;&gt;"",IF(OR(COUNTIF('ARDT Cutter Entry'!R111,"*X*"),COUNTIF('ARDT Cutter Entry'!R111,"*L*")), 'ARDT Cutter Entry'!R111,LEFT('ARDT Cutter Entry'!R111,LEN('ARDT Cutter Entry'!R111)-1)),IF(OR(COUNTIF('ARDT Cutter Entry'!R43,"*X*"),COUNTIF('ARDT Cutter Entry'!R43,"*L*")),'ARDT Cutter Entry'!R43,LEFT('ARDT Cutter Entry'!R43,LEN('ARDT Cutter Entry'!R43)-1))),"")</f>
        <v/>
      </c>
      <c r="CO27" s="2379"/>
      <c r="CP27" s="2379"/>
      <c r="CQ27" s="2379"/>
      <c r="CR27" s="2379"/>
      <c r="CS27" s="2379"/>
      <c r="CT27" s="2379" t="str">
        <f>IFERROR(IF('ARDT Cutter Entry'!$C$111&lt;&gt;"",IF(OR(COUNTIF('ARDT Cutter Entry'!S111,"*X*"),COUNTIF('ARDT Cutter Entry'!S111,"*L*")), 'ARDT Cutter Entry'!S111,LEFT('ARDT Cutter Entry'!S111,LEN('ARDT Cutter Entry'!S111)-1)),IF(OR(COUNTIF('ARDT Cutter Entry'!S43,"*X*"),COUNTIF('ARDT Cutter Entry'!S43,"*L*")),'ARDT Cutter Entry'!S43,LEFT('ARDT Cutter Entry'!S43,LEN('ARDT Cutter Entry'!S43)-1))),"")</f>
        <v/>
      </c>
      <c r="CU27" s="2379"/>
      <c r="CV27" s="2379"/>
      <c r="CW27" s="2379"/>
      <c r="CX27" s="2379"/>
      <c r="CY27" s="2379"/>
      <c r="CZ27" s="2379" t="str">
        <f>IFERROR(IF('ARDT Cutter Entry'!$C$111&lt;&gt;"",IF(OR(COUNTIF('ARDT Cutter Entry'!T111,"*X*"),COUNTIF('ARDT Cutter Entry'!T111,"*L*")), 'ARDT Cutter Entry'!T111,LEFT('ARDT Cutter Entry'!T111,LEN('ARDT Cutter Entry'!T111)-1)),IF(OR(COUNTIF('ARDT Cutter Entry'!T43,"*X*"),COUNTIF('ARDT Cutter Entry'!T43,"*L*")),'ARDT Cutter Entry'!T43,LEFT('ARDT Cutter Entry'!T43,LEN('ARDT Cutter Entry'!T43)-1))),"")</f>
        <v/>
      </c>
      <c r="DA27" s="2379"/>
      <c r="DB27" s="2379"/>
      <c r="DC27" s="2379"/>
      <c r="DD27" s="2379"/>
      <c r="DE27" s="2379"/>
      <c r="DF27" s="2379" t="str">
        <f>IFERROR(IF('ARDT Cutter Entry'!$C$111&lt;&gt;"",IF(OR(COUNTIF('ARDT Cutter Entry'!U111,"*X*"),COUNTIF('ARDT Cutter Entry'!U111,"*L*")), 'ARDT Cutter Entry'!U111,LEFT('ARDT Cutter Entry'!U111,LEN('ARDT Cutter Entry'!U111)-1)),IF(OR(COUNTIF('ARDT Cutter Entry'!U43,"*X*"),COUNTIF('ARDT Cutter Entry'!U43,"*L*")),'ARDT Cutter Entry'!U43,LEFT('ARDT Cutter Entry'!U43,LEN('ARDT Cutter Entry'!U43)-1))),"")</f>
        <v/>
      </c>
      <c r="DG27" s="2379"/>
      <c r="DH27" s="2379"/>
      <c r="DI27" s="2379"/>
      <c r="DJ27" s="2379"/>
      <c r="DK27" s="2379"/>
      <c r="DL27" s="2379" t="str">
        <f>IFERROR(IF('ARDT Cutter Entry'!$C$111&lt;&gt;"",IF(OR(COUNTIF('ARDT Cutter Entry'!V111,"*X*"),COUNTIF('ARDT Cutter Entry'!V111,"*L*")), 'ARDT Cutter Entry'!V111,LEFT('ARDT Cutter Entry'!V111,LEN('ARDT Cutter Entry'!V111)-1)),IF(OR(COUNTIF('ARDT Cutter Entry'!V43,"*X*"),COUNTIF('ARDT Cutter Entry'!V43,"*L*")),'ARDT Cutter Entry'!V43,LEFT('ARDT Cutter Entry'!V43,LEN('ARDT Cutter Entry'!V43)-1))),"")</f>
        <v/>
      </c>
      <c r="DM27" s="2379"/>
      <c r="DN27" s="2379"/>
      <c r="DO27" s="2379"/>
      <c r="DP27" s="2379"/>
      <c r="DQ27" s="2379"/>
      <c r="DR27" s="2379" t="str">
        <f>IFERROR(IF('ARDT Cutter Entry'!$C$111&lt;&gt;"",IF(OR(COUNTIF('ARDT Cutter Entry'!W111,"*X*"),COUNTIF('ARDT Cutter Entry'!W111,"*L*")), 'ARDT Cutter Entry'!W111,LEFT('ARDT Cutter Entry'!W111,LEN('ARDT Cutter Entry'!W111)-1)),IF(OR(COUNTIF('ARDT Cutter Entry'!W43,"*X*"),COUNTIF('ARDT Cutter Entry'!W43,"*L*")),'ARDT Cutter Entry'!W43,LEFT('ARDT Cutter Entry'!W43,LEN('ARDT Cutter Entry'!W43)-1))),"")</f>
        <v/>
      </c>
      <c r="DS27" s="2379"/>
      <c r="DT27" s="2379"/>
      <c r="DU27" s="2379"/>
      <c r="DV27" s="2379"/>
      <c r="DW27" s="2379"/>
      <c r="DX27" s="2379" t="str">
        <f>IFERROR(IF('ARDT Cutter Entry'!$C$111&lt;&gt;"",IF(OR(COUNTIF('ARDT Cutter Entry'!X111,"*X*"),COUNTIF('ARDT Cutter Entry'!X111,"*L*")), 'ARDT Cutter Entry'!X111,LEFT('ARDT Cutter Entry'!X111,LEN('ARDT Cutter Entry'!X111)-1)),IF(OR(COUNTIF('ARDT Cutter Entry'!X43,"*X*"),COUNTIF('ARDT Cutter Entry'!X43,"*L*")),'ARDT Cutter Entry'!X43,LEFT('ARDT Cutter Entry'!X43,LEN('ARDT Cutter Entry'!X43)-1))),"")</f>
        <v/>
      </c>
      <c r="DY27" s="2379"/>
      <c r="DZ27" s="2379"/>
      <c r="EA27" s="2379"/>
      <c r="EB27" s="2379"/>
      <c r="EC27" s="2379"/>
      <c r="ED27" s="2379" t="str">
        <f>IFERROR(IF('ARDT Cutter Entry'!$C$111&lt;&gt;"",IF(OR(COUNTIF('ARDT Cutter Entry'!Y111,"*X*"),COUNTIF('ARDT Cutter Entry'!Y111,"*L*")), 'ARDT Cutter Entry'!Y111,LEFT('ARDT Cutter Entry'!Y111,LEN('ARDT Cutter Entry'!Y111)-1)),IF(OR(COUNTIF('ARDT Cutter Entry'!Y43,"*X*"),COUNTIF('ARDT Cutter Entry'!Y43,"*L*")),'ARDT Cutter Entry'!Y43,LEFT('ARDT Cutter Entry'!Y43,LEN('ARDT Cutter Entry'!Y43)-1))),"")</f>
        <v/>
      </c>
      <c r="EE27" s="2379"/>
      <c r="EF27" s="2379"/>
      <c r="EG27" s="2379"/>
      <c r="EH27" s="2379"/>
      <c r="EI27" s="2379"/>
      <c r="EJ27" s="2379" t="str">
        <f>IFERROR(IF('ARDT Cutter Entry'!$C$111&lt;&gt;"",IF(OR(COUNTIF('ARDT Cutter Entry'!Z111,"*X*"),COUNTIF('ARDT Cutter Entry'!Z111,"*L*")), 'ARDT Cutter Entry'!Z111,LEFT('ARDT Cutter Entry'!Z111,LEN('ARDT Cutter Entry'!Z111)-1)),IF(OR(COUNTIF('ARDT Cutter Entry'!Z43,"*X*"),COUNTIF('ARDT Cutter Entry'!Z43,"*L*")),'ARDT Cutter Entry'!Z43,LEFT('ARDT Cutter Entry'!Z43,LEN('ARDT Cutter Entry'!Z43)-1))),"")</f>
        <v/>
      </c>
      <c r="EK27" s="2379"/>
      <c r="EL27" s="2379"/>
      <c r="EM27" s="2379"/>
      <c r="EN27" s="2379"/>
      <c r="EO27" s="2379"/>
      <c r="EP27" s="2379" t="str">
        <f>IFERROR(IF('ARDT Cutter Entry'!$C$111&lt;&gt;"",IF(OR(COUNTIF('ARDT Cutter Entry'!AA111,"*X*"),COUNTIF('ARDT Cutter Entry'!AA111,"*L*")), 'ARDT Cutter Entry'!AA111,LEFT('ARDT Cutter Entry'!AA111,LEN('ARDT Cutter Entry'!AA111)-1)),IF(OR(COUNTIF('ARDT Cutter Entry'!AA43,"*X*"),COUNTIF('ARDT Cutter Entry'!AA43,"*L*")),'ARDT Cutter Entry'!AA43,LEFT('ARDT Cutter Entry'!AA43,LEN('ARDT Cutter Entry'!AA43)-1))),"")</f>
        <v/>
      </c>
      <c r="EQ27" s="2379"/>
      <c r="ER27" s="2379"/>
      <c r="ES27" s="2379"/>
      <c r="ET27" s="2379"/>
      <c r="EU27" s="2379"/>
      <c r="EV27" s="2379" t="str">
        <f>IFERROR(IF('ARDT Cutter Entry'!$C$111&lt;&gt;"",IF(OR(COUNTIF('ARDT Cutter Entry'!AB111,"*X*"),COUNTIF('ARDT Cutter Entry'!AB111,"*L*")), 'ARDT Cutter Entry'!AB111,LEFT('ARDT Cutter Entry'!AB111,LEN('ARDT Cutter Entry'!AB111)-1)),IF(OR(COUNTIF('ARDT Cutter Entry'!AB43,"*X*"),COUNTIF('ARDT Cutter Entry'!AB43,"*L*")),'ARDT Cutter Entry'!AB43,LEFT('ARDT Cutter Entry'!AB43,LEN('ARDT Cutter Entry'!AB43)-1))),"")</f>
        <v/>
      </c>
      <c r="EW27" s="2379"/>
      <c r="EX27" s="2379"/>
      <c r="EY27" s="2379"/>
      <c r="EZ27" s="2379"/>
      <c r="FA27" s="2379"/>
      <c r="FB27" s="2379" t="str">
        <f>IFERROR(IF('ARDT Cutter Entry'!$C$111&lt;&gt;"",IF(OR(COUNTIF('ARDT Cutter Entry'!AC111,"*X*"),COUNTIF('ARDT Cutter Entry'!AC111,"*L*")), 'ARDT Cutter Entry'!AC111,LEFT('ARDT Cutter Entry'!AC111,LEN('ARDT Cutter Entry'!AC111)-1)),IF(OR(COUNTIF('ARDT Cutter Entry'!AC43,"*X*"),COUNTIF('ARDT Cutter Entry'!AC43,"*L*")),'ARDT Cutter Entry'!AC43,LEFT('ARDT Cutter Entry'!AC43,LEN('ARDT Cutter Entry'!AC43)-1))),"")</f>
        <v/>
      </c>
      <c r="FC27" s="2379"/>
      <c r="FD27" s="2379"/>
      <c r="FE27" s="2379"/>
      <c r="FF27" s="2379"/>
      <c r="FG27" s="2379"/>
      <c r="FH27" s="2379" t="str">
        <f>IFERROR(IF('ARDT Cutter Entry'!$C$111&lt;&gt;"",IF(OR(COUNTIF('ARDT Cutter Entry'!AD111,"*X*"),COUNTIF('ARDT Cutter Entry'!AD111,"*L*")), 'ARDT Cutter Entry'!AD111,LEFT('ARDT Cutter Entry'!AD111,LEN('ARDT Cutter Entry'!AD111)-1)),IF(OR(COUNTIF('ARDT Cutter Entry'!AD43,"*X*"),COUNTIF('ARDT Cutter Entry'!AD43,"*L*")),'ARDT Cutter Entry'!AD43,LEFT('ARDT Cutter Entry'!AD43,LEN('ARDT Cutter Entry'!AD43)-1))),"")</f>
        <v/>
      </c>
      <c r="FI27" s="2379"/>
      <c r="FJ27" s="2379"/>
      <c r="FK27" s="2379"/>
      <c r="FL27" s="2379"/>
      <c r="FM27" s="2379"/>
      <c r="FN27" s="2379" t="str">
        <f>IFERROR(IF('ARDT Cutter Entry'!$C$111&lt;&gt;"",IF(OR(COUNTIF('ARDT Cutter Entry'!AE111,"*X*"),COUNTIF('ARDT Cutter Entry'!AE111,"*L*")), 'ARDT Cutter Entry'!AE111,LEFT('ARDT Cutter Entry'!AE111,LEN('ARDT Cutter Entry'!AE111)-1)),IF(OR(COUNTIF('ARDT Cutter Entry'!AE43,"*X*"),COUNTIF('ARDT Cutter Entry'!AE43,"*L*")),'ARDT Cutter Entry'!AE43,LEFT('ARDT Cutter Entry'!AE43,LEN('ARDT Cutter Entry'!AE43)-1))),"")</f>
        <v/>
      </c>
      <c r="FO27" s="2379"/>
      <c r="FP27" s="2379"/>
      <c r="FQ27" s="2379"/>
      <c r="FR27" s="2379"/>
      <c r="FS27" s="2379"/>
      <c r="FT27" s="2379" t="str">
        <f>IFERROR(IF('ARDT Cutter Entry'!$C$111&lt;&gt;"",IF(OR(COUNTIF('ARDT Cutter Entry'!AF111,"*X*"),COUNTIF('ARDT Cutter Entry'!AF111,"*L*")), 'ARDT Cutter Entry'!AF111,LEFT('ARDT Cutter Entry'!AF111,LEN('ARDT Cutter Entry'!AF111)-1)),IF(OR(COUNTIF('ARDT Cutter Entry'!AF43,"*X*"),COUNTIF('ARDT Cutter Entry'!AF43,"*L*")),'ARDT Cutter Entry'!AF43,LEFT('ARDT Cutter Entry'!AF43,LEN('ARDT Cutter Entry'!AF43)-1))),"")</f>
        <v/>
      </c>
      <c r="FU27" s="2379"/>
      <c r="FV27" s="2379"/>
      <c r="FW27" s="2379"/>
      <c r="FX27" s="2379"/>
      <c r="FY27" s="2379"/>
      <c r="FZ27" s="2379" t="str">
        <f>IFERROR(IF('ARDT Cutter Entry'!$C$111&lt;&gt;"",IF(OR(COUNTIF('ARDT Cutter Entry'!AG111,"*X*"),COUNTIF('ARDT Cutter Entry'!AG111,"*L*")), 'ARDT Cutter Entry'!AG111,LEFT('ARDT Cutter Entry'!AG111,LEN('ARDT Cutter Entry'!AG111)-1)),IF(OR(COUNTIF('ARDT Cutter Entry'!AG43,"*X*"),COUNTIF('ARDT Cutter Entry'!AG43,"*L*")),'ARDT Cutter Entry'!AG43,LEFT('ARDT Cutter Entry'!AG43,LEN('ARDT Cutter Entry'!AG43)-1))),"")</f>
        <v/>
      </c>
      <c r="GA27" s="2379"/>
      <c r="GB27" s="2379"/>
      <c r="GC27" s="2379"/>
      <c r="GD27" s="2379"/>
      <c r="GE27" s="2379"/>
      <c r="GF27" s="1132"/>
      <c r="GG27" s="1132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Y27" s="10"/>
      <c r="HP27" t="str">
        <f>IFERROR(IF('ARDT Cutter Entry'!$C$111&lt;&gt;"",IF(OR(COUNTIF('ARDT Cutter Entry'!AJ111,"*X*"),COUNTIF('ARDT Cutter Entry'!AJ111,"*L*")), 'ARDT Cutter Entry'!AJ111,LEFT('ARDT Cutter Entry'!AJ111,LEN('ARDT Cutter Entry'!AJ111)-1)),IF(OR(COUNTIF('ARDT Cutter Entry'!AJ43,"*X*"),COUNTIF('ARDT Cutter Entry'!AJ43,"*L*")),'ARDT Cutter Entry'!AJ43,LEFT('ARDT Cutter Entry'!AJ43,LEN('ARDT Cutter Entry'!AJ43)-1))),"")</f>
        <v/>
      </c>
      <c r="HQ27" t="str">
        <f>IFERROR(IF('ARDT Cutter Entry'!$C$111&lt;&gt;"",IF(OR(COUNTIF('ARDT Cutter Entry'!AK111,"*X*"),COUNTIF('ARDT Cutter Entry'!AK111,"*L*")), 'ARDT Cutter Entry'!AK111,LEFT('ARDT Cutter Entry'!AK111,LEN('ARDT Cutter Entry'!AK111)-1)),IF(OR(COUNTIF('ARDT Cutter Entry'!AK43,"*X*"),COUNTIF('ARDT Cutter Entry'!AK43,"*L*")),'ARDT Cutter Entry'!AK43,LEFT('ARDT Cutter Entry'!AK43,LEN('ARDT Cutter Entry'!AK43)-1))),"")</f>
        <v>R</v>
      </c>
      <c r="HR27" t="str">
        <f>IFERROR(IF('ARDT Cutter Entry'!$C$111&lt;&gt;"",IF(OR(COUNTIF('ARDT Cutter Entry'!AL111,"*X*"),COUNTIF('ARDT Cutter Entry'!AL111,"*L*")), 'ARDT Cutter Entry'!AL111,LEFT('ARDT Cutter Entry'!AL111,LEN('ARDT Cutter Entry'!AL111)-1)),IF(OR(COUNTIF('ARDT Cutter Entry'!AL43,"*X*"),COUNTIF('ARDT Cutter Entry'!AL43,"*L*")),'ARDT Cutter Entry'!AL43,LEFT('ARDT Cutter Entry'!AL43,LEN('ARDT Cutter Entry'!AL43)-1))),"")</f>
        <v/>
      </c>
      <c r="HS27" t="str">
        <f>IFERROR(IF('ARDT Cutter Entry'!$C$111&lt;&gt;"",IF(OR(COUNTIF('ARDT Cutter Entry'!AM111,"*X*"),COUNTIF('ARDT Cutter Entry'!AM111,"*L*")), 'ARDT Cutter Entry'!AM111,LEFT('ARDT Cutter Entry'!AM111,LEN('ARDT Cutter Entry'!AM111)-1)),IF(OR(COUNTIF('ARDT Cutter Entry'!AM43,"*X*"),COUNTIF('ARDT Cutter Entry'!AM43,"*L*")),'ARDT Cutter Entry'!AM43,LEFT('ARDT Cutter Entry'!AM43,LEN('ARDT Cutter Entry'!AM43)-1))),"")</f>
        <v/>
      </c>
      <c r="HT27" t="str">
        <f>IFERROR(IF('ARDT Cutter Entry'!$C$111&lt;&gt;"",IF(OR(COUNTIF('ARDT Cutter Entry'!AN111,"*X*"),COUNTIF('ARDT Cutter Entry'!AN111,"*L*")), 'ARDT Cutter Entry'!AN111,LEFT('ARDT Cutter Entry'!AN111,LEN('ARDT Cutter Entry'!AN111)-1)),IF(OR(COUNTIF('ARDT Cutter Entry'!AN43,"*X*"),COUNTIF('ARDT Cutter Entry'!AN43,"*L*")),'ARDT Cutter Entry'!AN43,LEFT('ARDT Cutter Entry'!AN43,LEN('ARDT Cutter Entry'!AN43)-1))),"")</f>
        <v/>
      </c>
      <c r="HU27" t="str">
        <f>IFERROR(IF('ARDT Cutter Entry'!$C$111&lt;&gt;"",IF(OR(COUNTIF('ARDT Cutter Entry'!AO111,"*X*"),COUNTIF('ARDT Cutter Entry'!AO111,"*L*")), 'ARDT Cutter Entry'!AO111,LEFT('ARDT Cutter Entry'!AO111,LEN('ARDT Cutter Entry'!AO111)-1)),IF(OR(COUNTIF('ARDT Cutter Entry'!AO43,"*X*"),COUNTIF('ARDT Cutter Entry'!AO43,"*L*")),'ARDT Cutter Entry'!AO43,LEFT('ARDT Cutter Entry'!AO43,LEN('ARDT Cutter Entry'!AO43)-1))),"")</f>
        <v/>
      </c>
      <c r="HV27" t="str">
        <f>IFERROR(IF('ARDT Cutter Entry'!$C$111&lt;&gt;"",IF(OR(COUNTIF('ARDT Cutter Entry'!AP111,"*X*"),COUNTIF('ARDT Cutter Entry'!AP111,"*L*")), 'ARDT Cutter Entry'!AP111,LEFT('ARDT Cutter Entry'!AP111,LEN('ARDT Cutter Entry'!AP111)-1)),IF(OR(COUNTIF('ARDT Cutter Entry'!AP43,"*X*"),COUNTIF('ARDT Cutter Entry'!AP43,"*L*")),'ARDT Cutter Entry'!AP43,LEFT('ARDT Cutter Entry'!AP43,LEN('ARDT Cutter Entry'!AP43)-1))),"")</f>
        <v/>
      </c>
      <c r="HW27" t="str">
        <f>IFERROR(IF('ARDT Cutter Entry'!$C$111&lt;&gt;"",IF(OR(COUNTIF('ARDT Cutter Entry'!AQ111,"*X*"),COUNTIF('ARDT Cutter Entry'!AQ111,"*L*")), 'ARDT Cutter Entry'!AQ111,LEFT('ARDT Cutter Entry'!AQ111,LEN('ARDT Cutter Entry'!AQ111)-1)),IF(OR(COUNTIF('ARDT Cutter Entry'!AQ43,"*X*"),COUNTIF('ARDT Cutter Entry'!AQ43,"*L*")),'ARDT Cutter Entry'!AQ43,LEFT('ARDT Cutter Entry'!AQ43,LEN('ARDT Cutter Entry'!AQ43)-1))),"")</f>
        <v/>
      </c>
      <c r="HX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Entry'!AR43,"*X*"),COUNTIF('ARDT Cutter Entry'!AR43,"*L*")),'ARDT Cutter Entry'!AR43,LEFT('ARDT Cutter Entry'!AR43,LEN('ARDT Cutter Entry'!AR43)-1))),"")</f>
        <v/>
      </c>
      <c r="HY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Entry'!AS43,"*X*"),COUNTIF('ARDT Cutter Entry'!AS43,"*L*")),'ARDT Cutter Entry'!AS43,LEFT('ARDT Cutter Entry'!AS43,LEN('ARDT Cutter Entry'!AS43)-1))),"")</f>
        <v/>
      </c>
      <c r="HZ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Entry'!AT43,"*X*"),COUNTIF('ARDT Cutter Entry'!AT43,"*L*")),'ARDT Cutter Entry'!AT43,LEFT('ARDT Cutter Entry'!AT43,LEN('ARDT Cutter Entry'!AT43)-1))),"")</f>
        <v/>
      </c>
      <c r="IA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Entry'!AU43,"*X*"),COUNTIF('ARDT Cutter Entry'!AU43,"*L*")),'ARDT Cutter Entry'!AU43,LEFT('ARDT Cutter Entry'!AU43,LEN('ARDT Cutter Entry'!AU43)-1))),"")</f>
        <v/>
      </c>
    </row>
    <row r="28" spans="1:235" ht="44.25" customHeight="1" x14ac:dyDescent="0.45">
      <c r="A28" s="338">
        <v>2</v>
      </c>
      <c r="B28" s="2379" t="str">
        <f>IFERROR(IF('ARDT Cutter Entry'!$C$111&lt;&gt;"",IF(OR(COUNTIF('ARDT Cutter Entry'!C112,"*X*"),COUNTIF('ARDT Cutter Entry'!C112,"*L*")), 'ARDT Cutter Entry'!C112,LEFT('ARDT Cutter Entry'!C112,LEN('ARDT Cutter Entry'!C112)-1)),IF(OR(COUNTIF('ARDT Cutter Entry'!C44,"*X*"),COUNTIF('ARDT Cutter Entry'!C44,"*L*")),'ARDT Cutter Entry'!C44,LEFT('ARDT Cutter Entry'!C44,LEN('ARDT Cutter Entry'!C44)-1))),"")</f>
        <v>X5</v>
      </c>
      <c r="C28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28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28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28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28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28" s="2379" t="str">
        <f>IFERROR(IF('ARDT Cutter Entry'!$C$111&lt;&gt;"",IF(OR(COUNTIF('ARDT Cutter Entry'!D112,"*X*"),COUNTIF('ARDT Cutter Entry'!D112,"*L*")), 'ARDT Cutter Entry'!D112,LEFT('ARDT Cutter Entry'!D112,LEN('ARDT Cutter Entry'!D112)-1)),IF(OR(COUNTIF('ARDT Cutter Entry'!D44,"*X*"),COUNTIF('ARDT Cutter Entry'!D44,"*L*")),'ARDT Cutter Entry'!D44,LEFT('ARDT Cutter Entry'!D44,LEN('ARDT Cutter Entry'!D44)-1))),"")</f>
        <v>X5</v>
      </c>
      <c r="I28" s="2379"/>
      <c r="J28" s="2379"/>
      <c r="K28" s="2379"/>
      <c r="L28" s="2379"/>
      <c r="M28" s="2379"/>
      <c r="N28" s="2379" t="str">
        <f>IFERROR(IF('ARDT Cutter Entry'!$C$111&lt;&gt;"",IF(OR(COUNTIF('ARDT Cutter Entry'!E112,"*X*"),COUNTIF('ARDT Cutter Entry'!E112,"*L*")), 'ARDT Cutter Entry'!E112,LEFT('ARDT Cutter Entry'!E112,LEN('ARDT Cutter Entry'!E112)-1)),IF(OR(COUNTIF('ARDT Cutter Entry'!E44,"*X*"),COUNTIF('ARDT Cutter Entry'!E44,"*L*")),'ARDT Cutter Entry'!E44,LEFT('ARDT Cutter Entry'!E44,LEN('ARDT Cutter Entry'!E44)-1))),"")</f>
        <v>X5</v>
      </c>
      <c r="O28" s="2379"/>
      <c r="P28" s="2379"/>
      <c r="Q28" s="2379"/>
      <c r="R28" s="2379"/>
      <c r="S28" s="2379"/>
      <c r="T28" s="2379" t="str">
        <f>IFERROR(IF('ARDT Cutter Entry'!$C$111&lt;&gt;"",IF(OR(COUNTIF('ARDT Cutter Entry'!F112,"*X*"),COUNTIF('ARDT Cutter Entry'!F112,"*L*")), 'ARDT Cutter Entry'!F112,LEFT('ARDT Cutter Entry'!F112,LEN('ARDT Cutter Entry'!F112)-1)),IF(OR(COUNTIF('ARDT Cutter Entry'!F44,"*X*"),COUNTIF('ARDT Cutter Entry'!F44,"*L*")),'ARDT Cutter Entry'!F44,LEFT('ARDT Cutter Entry'!F44,LEN('ARDT Cutter Entry'!F44)-1))),"")</f>
        <v>R</v>
      </c>
      <c r="U28" s="2379"/>
      <c r="V28" s="2379"/>
      <c r="W28" s="2379"/>
      <c r="X28" s="2379"/>
      <c r="Y28" s="2379"/>
      <c r="Z28" s="2379" t="str">
        <f>IFERROR(IF('ARDT Cutter Entry'!$C$111&lt;&gt;"",IF(OR(COUNTIF('ARDT Cutter Entry'!G112,"*X*"),COUNTIF('ARDT Cutter Entry'!G112,"*L*")), 'ARDT Cutter Entry'!G112,LEFT('ARDT Cutter Entry'!G112,LEN('ARDT Cutter Entry'!G112)-1)),IF(OR(COUNTIF('ARDT Cutter Entry'!G44,"*X*"),COUNTIF('ARDT Cutter Entry'!G44,"*L*")),'ARDT Cutter Entry'!G44,LEFT('ARDT Cutter Entry'!G44,LEN('ARDT Cutter Entry'!G44)-1))),"")</f>
        <v>X3</v>
      </c>
      <c r="AA28" s="2379"/>
      <c r="AB28" s="2379"/>
      <c r="AC28" s="2379"/>
      <c r="AD28" s="2379"/>
      <c r="AE28" s="2379"/>
      <c r="AF28" s="2379" t="str">
        <f>IFERROR(IF('ARDT Cutter Entry'!$C$111&lt;&gt;"",IF(OR(COUNTIF('ARDT Cutter Entry'!H112,"*X*"),COUNTIF('ARDT Cutter Entry'!H112,"*L*")), 'ARDT Cutter Entry'!H112,LEFT('ARDT Cutter Entry'!H112,LEN('ARDT Cutter Entry'!H112)-1)),IF(OR(COUNTIF('ARDT Cutter Entry'!H44,"*X*"),COUNTIF('ARDT Cutter Entry'!H44,"*L*")),'ARDT Cutter Entry'!H44,LEFT('ARDT Cutter Entry'!H44,LEN('ARDT Cutter Entry'!H44)-1))),"")</f>
        <v/>
      </c>
      <c r="AG28" s="2379"/>
      <c r="AH28" s="2379"/>
      <c r="AI28" s="2379"/>
      <c r="AJ28" s="2379"/>
      <c r="AK28" s="2379"/>
      <c r="AL28" s="2379" t="str">
        <f>IFERROR(IF('ARDT Cutter Entry'!$C$111&lt;&gt;"",IF(OR(COUNTIF('ARDT Cutter Entry'!I112,"*X*"),COUNTIF('ARDT Cutter Entry'!I112,"*L*")), 'ARDT Cutter Entry'!I112,LEFT('ARDT Cutter Entry'!I112,LEN('ARDT Cutter Entry'!I112)-1)),IF(OR(COUNTIF('ARDT Cutter Entry'!I44,"*X*"),COUNTIF('ARDT Cutter Entry'!I44,"*L*")),'ARDT Cutter Entry'!I44,LEFT('ARDT Cutter Entry'!I44,LEN('ARDT Cutter Entry'!I44)-1))),"")</f>
        <v/>
      </c>
      <c r="AM28" s="2379"/>
      <c r="AN28" s="2379"/>
      <c r="AO28" s="2379"/>
      <c r="AP28" s="2379"/>
      <c r="AQ28" s="2379"/>
      <c r="AR28" s="2379" t="str">
        <f>IFERROR(IF('ARDT Cutter Entry'!$C$111&lt;&gt;"",IF(OR(COUNTIF('ARDT Cutter Entry'!J112,"*X*"),COUNTIF('ARDT Cutter Entry'!J112,"*L*")), 'ARDT Cutter Entry'!J112,LEFT('ARDT Cutter Entry'!J112,LEN('ARDT Cutter Entry'!J112)-1)),IF(OR(COUNTIF('ARDT Cutter Entry'!J44,"*X*"),COUNTIF('ARDT Cutter Entry'!J44,"*L*")),'ARDT Cutter Entry'!J44,LEFT('ARDT Cutter Entry'!J44,LEN('ARDT Cutter Entry'!J44)-1))),"")</f>
        <v/>
      </c>
      <c r="AS28" s="2379"/>
      <c r="AT28" s="2379"/>
      <c r="AU28" s="2379"/>
      <c r="AV28" s="2379"/>
      <c r="AW28" s="2379"/>
      <c r="AX28" s="2379" t="str">
        <f>IFERROR(IF('ARDT Cutter Entry'!$C$111&lt;&gt;"",IF(OR(COUNTIF('ARDT Cutter Entry'!K112,"*X*"),COUNTIF('ARDT Cutter Entry'!K112,"*L*")), 'ARDT Cutter Entry'!K112,LEFT('ARDT Cutter Entry'!K112,LEN('ARDT Cutter Entry'!K112)-1)),IF(OR(COUNTIF('ARDT Cutter Entry'!K44,"*X*"),COUNTIF('ARDT Cutter Entry'!K44,"*L*")),'ARDT Cutter Entry'!K44,LEFT('ARDT Cutter Entry'!K44,LEN('ARDT Cutter Entry'!K44)-1))),"")</f>
        <v/>
      </c>
      <c r="AY28" s="2379"/>
      <c r="AZ28" s="2379"/>
      <c r="BA28" s="2379"/>
      <c r="BB28" s="2379"/>
      <c r="BC28" s="2379"/>
      <c r="BD28" s="2379" t="str">
        <f>IFERROR(IF('ARDT Cutter Entry'!$C$111&lt;&gt;"",IF(OR(COUNTIF('ARDT Cutter Entry'!L112,"*X*"),COUNTIF('ARDT Cutter Entry'!L112,"*L*")), 'ARDT Cutter Entry'!L112,LEFT('ARDT Cutter Entry'!L112,LEN('ARDT Cutter Entry'!L112)-1)),IF(OR(COUNTIF('ARDT Cutter Entry'!L44,"*X*"),COUNTIF('ARDT Cutter Entry'!L44,"*L*")),'ARDT Cutter Entry'!L44,LEFT('ARDT Cutter Entry'!L44,LEN('ARDT Cutter Entry'!L44)-1))),"")</f>
        <v>S</v>
      </c>
      <c r="BE28" s="2379"/>
      <c r="BF28" s="2379"/>
      <c r="BG28" s="2379"/>
      <c r="BH28" s="2379"/>
      <c r="BI28" s="2379"/>
      <c r="BJ28" s="2379" t="str">
        <f>IFERROR(IF('ARDT Cutter Entry'!$C$111&lt;&gt;"",IF(OR(COUNTIF('ARDT Cutter Entry'!M112,"*X*"),COUNTIF('ARDT Cutter Entry'!M112,"*L*")), 'ARDT Cutter Entry'!M112,LEFT('ARDT Cutter Entry'!M112,LEN('ARDT Cutter Entry'!M112)-1)),IF(OR(COUNTIF('ARDT Cutter Entry'!M44,"*X*"),COUNTIF('ARDT Cutter Entry'!M44,"*L*")),'ARDT Cutter Entry'!M44,LEFT('ARDT Cutter Entry'!M44,LEN('ARDT Cutter Entry'!M44)-1))),"")</f>
        <v>R</v>
      </c>
      <c r="BK28" s="2379"/>
      <c r="BL28" s="2379"/>
      <c r="BM28" s="2379"/>
      <c r="BN28" s="2379"/>
      <c r="BO28" s="2379"/>
      <c r="BP28" s="2379" t="str">
        <f>IFERROR(IF('ARDT Cutter Entry'!$C$111&lt;&gt;"",IF(OR(COUNTIF('ARDT Cutter Entry'!N112,"*X*"),COUNTIF('ARDT Cutter Entry'!N112,"*L*")), 'ARDT Cutter Entry'!N112,LEFT('ARDT Cutter Entry'!N112,LEN('ARDT Cutter Entry'!N112)-1)),IF(OR(COUNTIF('ARDT Cutter Entry'!N44,"*X*"),COUNTIF('ARDT Cutter Entry'!N44,"*L*")),'ARDT Cutter Entry'!N44,LEFT('ARDT Cutter Entry'!N44,LEN('ARDT Cutter Entry'!N44)-1))),"")</f>
        <v>X4</v>
      </c>
      <c r="BQ28" s="2379"/>
      <c r="BR28" s="2379"/>
      <c r="BS28" s="2379"/>
      <c r="BT28" s="2379"/>
      <c r="BU28" s="2379"/>
      <c r="BV28" s="2379" t="str">
        <f>IFERROR(IF('ARDT Cutter Entry'!$C$111&lt;&gt;"",IF(OR(COUNTIF('ARDT Cutter Entry'!O112,"*X*"),COUNTIF('ARDT Cutter Entry'!O112,"*L*")), 'ARDT Cutter Entry'!O112,LEFT('ARDT Cutter Entry'!O112,LEN('ARDT Cutter Entry'!O112)-1)),IF(OR(COUNTIF('ARDT Cutter Entry'!O44,"*X*"),COUNTIF('ARDT Cutter Entry'!O44,"*L*")),'ARDT Cutter Entry'!O44,LEFT('ARDT Cutter Entry'!O44,LEN('ARDT Cutter Entry'!O44)-1))),"")</f>
        <v>R</v>
      </c>
      <c r="BW28" s="2379"/>
      <c r="BX28" s="2379"/>
      <c r="BY28" s="2379"/>
      <c r="BZ28" s="2379"/>
      <c r="CA28" s="2379"/>
      <c r="CB28" s="2379" t="str">
        <f>IFERROR(IF('ARDT Cutter Entry'!$C$111&lt;&gt;"",IF(OR(COUNTIF('ARDT Cutter Entry'!P112,"*X*"),COUNTIF('ARDT Cutter Entry'!P112,"*L*")), 'ARDT Cutter Entry'!P112,LEFT('ARDT Cutter Entry'!P112,LEN('ARDT Cutter Entry'!P112)-1)),IF(OR(COUNTIF('ARDT Cutter Entry'!P44,"*X*"),COUNTIF('ARDT Cutter Entry'!P44,"*L*")),'ARDT Cutter Entry'!P44,LEFT('ARDT Cutter Entry'!P44,LEN('ARDT Cutter Entry'!P44)-1))),"")</f>
        <v/>
      </c>
      <c r="CC28" s="2379"/>
      <c r="CD28" s="2379"/>
      <c r="CE28" s="2379"/>
      <c r="CF28" s="2379"/>
      <c r="CG28" s="2379"/>
      <c r="CH28" s="2379" t="str">
        <f>IFERROR(IF('ARDT Cutter Entry'!$C$111&lt;&gt;"",IF(OR(COUNTIF('ARDT Cutter Entry'!Q112,"*X*"),COUNTIF('ARDT Cutter Entry'!Q112,"*L*")), 'ARDT Cutter Entry'!Q112,LEFT('ARDT Cutter Entry'!Q112,LEN('ARDT Cutter Entry'!Q112)-1)),IF(OR(COUNTIF('ARDT Cutter Entry'!Q44,"*X*"),COUNTIF('ARDT Cutter Entry'!Q44,"*L*")),'ARDT Cutter Entry'!Q44,LEFT('ARDT Cutter Entry'!Q44,LEN('ARDT Cutter Entry'!Q44)-1))),"")</f>
        <v/>
      </c>
      <c r="CI28" s="2379"/>
      <c r="CJ28" s="2379"/>
      <c r="CK28" s="2379"/>
      <c r="CL28" s="2379"/>
      <c r="CM28" s="2379"/>
      <c r="CN28" s="2379" t="str">
        <f>IFERROR(IF('ARDT Cutter Entry'!$C$111&lt;&gt;"",IF(OR(COUNTIF('ARDT Cutter Entry'!R112,"*X*"),COUNTIF('ARDT Cutter Entry'!R112,"*L*")), 'ARDT Cutter Entry'!R112,LEFT('ARDT Cutter Entry'!R112,LEN('ARDT Cutter Entry'!R112)-1)),IF(OR(COUNTIF('ARDT Cutter Entry'!R44,"*X*"),COUNTIF('ARDT Cutter Entry'!R44,"*L*")),'ARDT Cutter Entry'!R44,LEFT('ARDT Cutter Entry'!R44,LEN('ARDT Cutter Entry'!R44)-1))),"")</f>
        <v/>
      </c>
      <c r="CO28" s="2379"/>
      <c r="CP28" s="2379"/>
      <c r="CQ28" s="2379"/>
      <c r="CR28" s="2379"/>
      <c r="CS28" s="2379"/>
      <c r="CT28" s="2379" t="str">
        <f>IFERROR(IF('ARDT Cutter Entry'!$C$111&lt;&gt;"",IF(OR(COUNTIF('ARDT Cutter Entry'!S112,"*X*"),COUNTIF('ARDT Cutter Entry'!S112,"*L*")), 'ARDT Cutter Entry'!S112,LEFT('ARDT Cutter Entry'!S112,LEN('ARDT Cutter Entry'!S112)-1)),IF(OR(COUNTIF('ARDT Cutter Entry'!S44,"*X*"),COUNTIF('ARDT Cutter Entry'!S44,"*L*")),'ARDT Cutter Entry'!S44,LEFT('ARDT Cutter Entry'!S44,LEN('ARDT Cutter Entry'!S44)-1))),"")</f>
        <v/>
      </c>
      <c r="CU28" s="2379"/>
      <c r="CV28" s="2379"/>
      <c r="CW28" s="2379"/>
      <c r="CX28" s="2379"/>
      <c r="CY28" s="2379"/>
      <c r="CZ28" s="2379" t="str">
        <f>IFERROR(IF('ARDT Cutter Entry'!$C$111&lt;&gt;"",IF(OR(COUNTIF('ARDT Cutter Entry'!T112,"*X*"),COUNTIF('ARDT Cutter Entry'!T112,"*L*")), 'ARDT Cutter Entry'!T112,LEFT('ARDT Cutter Entry'!T112,LEN('ARDT Cutter Entry'!T112)-1)),IF(OR(COUNTIF('ARDT Cutter Entry'!T44,"*X*"),COUNTIF('ARDT Cutter Entry'!T44,"*L*")),'ARDT Cutter Entry'!T44,LEFT('ARDT Cutter Entry'!T44,LEN('ARDT Cutter Entry'!T44)-1))),"")</f>
        <v/>
      </c>
      <c r="DA28" s="2379"/>
      <c r="DB28" s="2379"/>
      <c r="DC28" s="2379"/>
      <c r="DD28" s="2379"/>
      <c r="DE28" s="2379"/>
      <c r="DF28" s="2379" t="str">
        <f>IFERROR(IF('ARDT Cutter Entry'!$C$111&lt;&gt;"",IF(OR(COUNTIF('ARDT Cutter Entry'!U112,"*X*"),COUNTIF('ARDT Cutter Entry'!U112,"*L*")), 'ARDT Cutter Entry'!U112,LEFT('ARDT Cutter Entry'!U112,LEN('ARDT Cutter Entry'!U112)-1)),IF(OR(COUNTIF('ARDT Cutter Entry'!U44,"*X*"),COUNTIF('ARDT Cutter Entry'!U44,"*L*")),'ARDT Cutter Entry'!U44,LEFT('ARDT Cutter Entry'!U44,LEN('ARDT Cutter Entry'!U44)-1))),"")</f>
        <v/>
      </c>
      <c r="DG28" s="2379"/>
      <c r="DH28" s="2379"/>
      <c r="DI28" s="2379"/>
      <c r="DJ28" s="2379"/>
      <c r="DK28" s="2379"/>
      <c r="DL28" s="2379" t="str">
        <f>IFERROR(IF('ARDT Cutter Entry'!$C$111&lt;&gt;"",IF(OR(COUNTIF('ARDT Cutter Entry'!V112,"*X*"),COUNTIF('ARDT Cutter Entry'!V112,"*L*")), 'ARDT Cutter Entry'!V112,LEFT('ARDT Cutter Entry'!V112,LEN('ARDT Cutter Entry'!V112)-1)),IF(OR(COUNTIF('ARDT Cutter Entry'!V44,"*X*"),COUNTIF('ARDT Cutter Entry'!V44,"*L*")),'ARDT Cutter Entry'!V44,LEFT('ARDT Cutter Entry'!V44,LEN('ARDT Cutter Entry'!V44)-1))),"")</f>
        <v/>
      </c>
      <c r="DM28" s="2379"/>
      <c r="DN28" s="2379"/>
      <c r="DO28" s="2379"/>
      <c r="DP28" s="2379"/>
      <c r="DQ28" s="2379"/>
      <c r="DR28" s="2379" t="str">
        <f>IFERROR(IF('ARDT Cutter Entry'!$C$111&lt;&gt;"",IF(OR(COUNTIF('ARDT Cutter Entry'!W112,"*X*"),COUNTIF('ARDT Cutter Entry'!W112,"*L*")), 'ARDT Cutter Entry'!W112,LEFT('ARDT Cutter Entry'!W112,LEN('ARDT Cutter Entry'!W112)-1)),IF(OR(COUNTIF('ARDT Cutter Entry'!W44,"*X*"),COUNTIF('ARDT Cutter Entry'!W44,"*L*")),'ARDT Cutter Entry'!W44,LEFT('ARDT Cutter Entry'!W44,LEN('ARDT Cutter Entry'!W44)-1))),"")</f>
        <v/>
      </c>
      <c r="DS28" s="2379"/>
      <c r="DT28" s="2379"/>
      <c r="DU28" s="2379"/>
      <c r="DV28" s="2379"/>
      <c r="DW28" s="2379"/>
      <c r="DX28" s="2379" t="str">
        <f>IFERROR(IF('ARDT Cutter Entry'!$C$111&lt;&gt;"",IF(OR(COUNTIF('ARDT Cutter Entry'!X112,"*X*"),COUNTIF('ARDT Cutter Entry'!X112,"*L*")), 'ARDT Cutter Entry'!X112,LEFT('ARDT Cutter Entry'!X112,LEN('ARDT Cutter Entry'!X112)-1)),IF(OR(COUNTIF('ARDT Cutter Entry'!X44,"*X*"),COUNTIF('ARDT Cutter Entry'!X44,"*L*")),'ARDT Cutter Entry'!X44,LEFT('ARDT Cutter Entry'!X44,LEN('ARDT Cutter Entry'!X44)-1))),"")</f>
        <v/>
      </c>
      <c r="DY28" s="2379"/>
      <c r="DZ28" s="2379"/>
      <c r="EA28" s="2379"/>
      <c r="EB28" s="2379"/>
      <c r="EC28" s="2379"/>
      <c r="ED28" s="2379" t="str">
        <f>IFERROR(IF('ARDT Cutter Entry'!$C$111&lt;&gt;"",IF(OR(COUNTIF('ARDT Cutter Entry'!Y112,"*X*"),COUNTIF('ARDT Cutter Entry'!Y112,"*L*")), 'ARDT Cutter Entry'!Y112,LEFT('ARDT Cutter Entry'!Y112,LEN('ARDT Cutter Entry'!Y112)-1)),IF(OR(COUNTIF('ARDT Cutter Entry'!Y44,"*X*"),COUNTIF('ARDT Cutter Entry'!Y44,"*L*")),'ARDT Cutter Entry'!Y44,LEFT('ARDT Cutter Entry'!Y44,LEN('ARDT Cutter Entry'!Y44)-1))),"")</f>
        <v/>
      </c>
      <c r="EE28" s="2379"/>
      <c r="EF28" s="2379"/>
      <c r="EG28" s="2379"/>
      <c r="EH28" s="2379"/>
      <c r="EI28" s="2379"/>
      <c r="EJ28" s="2379" t="str">
        <f>IFERROR(IF('ARDT Cutter Entry'!$C$111&lt;&gt;"",IF(OR(COUNTIF('ARDT Cutter Entry'!Z112,"*X*"),COUNTIF('ARDT Cutter Entry'!Z112,"*L*")), 'ARDT Cutter Entry'!Z112,LEFT('ARDT Cutter Entry'!Z112,LEN('ARDT Cutter Entry'!Z112)-1)),IF(OR(COUNTIF('ARDT Cutter Entry'!Z44,"*X*"),COUNTIF('ARDT Cutter Entry'!Z44,"*L*")),'ARDT Cutter Entry'!Z44,LEFT('ARDT Cutter Entry'!Z44,LEN('ARDT Cutter Entry'!Z44)-1))),"")</f>
        <v/>
      </c>
      <c r="EK28" s="2379"/>
      <c r="EL28" s="2379"/>
      <c r="EM28" s="2379"/>
      <c r="EN28" s="2379"/>
      <c r="EO28" s="2379"/>
      <c r="EP28" s="2379" t="str">
        <f>IFERROR(IF('ARDT Cutter Entry'!$C$111&lt;&gt;"",IF(OR(COUNTIF('ARDT Cutter Entry'!AA112,"*X*"),COUNTIF('ARDT Cutter Entry'!AA112,"*L*")), 'ARDT Cutter Entry'!AA112,LEFT('ARDT Cutter Entry'!AA112,LEN('ARDT Cutter Entry'!AA112)-1)),IF(OR(COUNTIF('ARDT Cutter Entry'!AA44,"*X*"),COUNTIF('ARDT Cutter Entry'!AA44,"*L*")),'ARDT Cutter Entry'!AA44,LEFT('ARDT Cutter Entry'!AA44,LEN('ARDT Cutter Entry'!AA44)-1))),"")</f>
        <v/>
      </c>
      <c r="EQ28" s="2379"/>
      <c r="ER28" s="2379"/>
      <c r="ES28" s="2379"/>
      <c r="ET28" s="2379"/>
      <c r="EU28" s="2379"/>
      <c r="EV28" s="2379" t="str">
        <f>IFERROR(IF('ARDT Cutter Entry'!$C$111&lt;&gt;"",IF(OR(COUNTIF('ARDT Cutter Entry'!AB112,"*X*"),COUNTIF('ARDT Cutter Entry'!AB112,"*L*")), 'ARDT Cutter Entry'!AB112,LEFT('ARDT Cutter Entry'!AB112,LEN('ARDT Cutter Entry'!AB112)-1)),IF(OR(COUNTIF('ARDT Cutter Entry'!AB44,"*X*"),COUNTIF('ARDT Cutter Entry'!AB44,"*L*")),'ARDT Cutter Entry'!AB44,LEFT('ARDT Cutter Entry'!AB44,LEN('ARDT Cutter Entry'!AB44)-1))),"")</f>
        <v/>
      </c>
      <c r="EW28" s="2379"/>
      <c r="EX28" s="2379"/>
      <c r="EY28" s="2379"/>
      <c r="EZ28" s="2379"/>
      <c r="FA28" s="2379"/>
      <c r="FB28" s="2379" t="str">
        <f>IFERROR(IF('ARDT Cutter Entry'!$C$111&lt;&gt;"",IF(OR(COUNTIF('ARDT Cutter Entry'!AC112,"*X*"),COUNTIF('ARDT Cutter Entry'!AC112,"*L*")), 'ARDT Cutter Entry'!AC112,LEFT('ARDT Cutter Entry'!AC112,LEN('ARDT Cutter Entry'!AC112)-1)),IF(OR(COUNTIF('ARDT Cutter Entry'!AC44,"*X*"),COUNTIF('ARDT Cutter Entry'!AC44,"*L*")),'ARDT Cutter Entry'!AC44,LEFT('ARDT Cutter Entry'!AC44,LEN('ARDT Cutter Entry'!AC44)-1))),"")</f>
        <v/>
      </c>
      <c r="FC28" s="2379"/>
      <c r="FD28" s="2379"/>
      <c r="FE28" s="2379"/>
      <c r="FF28" s="2379"/>
      <c r="FG28" s="2379"/>
      <c r="FH28" s="2379" t="str">
        <f>IFERROR(IF('ARDT Cutter Entry'!$C$111&lt;&gt;"",IF(OR(COUNTIF('ARDT Cutter Entry'!AD112,"*X*"),COUNTIF('ARDT Cutter Entry'!AD112,"*L*")), 'ARDT Cutter Entry'!AD112,LEFT('ARDT Cutter Entry'!AD112,LEN('ARDT Cutter Entry'!AD112)-1)),IF(OR(COUNTIF('ARDT Cutter Entry'!AD44,"*X*"),COUNTIF('ARDT Cutter Entry'!AD44,"*L*")),'ARDT Cutter Entry'!AD44,LEFT('ARDT Cutter Entry'!AD44,LEN('ARDT Cutter Entry'!AD44)-1))),"")</f>
        <v/>
      </c>
      <c r="FI28" s="2379"/>
      <c r="FJ28" s="2379"/>
      <c r="FK28" s="2379"/>
      <c r="FL28" s="2379"/>
      <c r="FM28" s="2379"/>
      <c r="FN28" s="2379" t="str">
        <f>IFERROR(IF('ARDT Cutter Entry'!$C$111&lt;&gt;"",IF(OR(COUNTIF('ARDT Cutter Entry'!AE112,"*X*"),COUNTIF('ARDT Cutter Entry'!AE112,"*L*")), 'ARDT Cutter Entry'!AE112,LEFT('ARDT Cutter Entry'!AE112,LEN('ARDT Cutter Entry'!AE112)-1)),IF(OR(COUNTIF('ARDT Cutter Entry'!AE44,"*X*"),COUNTIF('ARDT Cutter Entry'!AE44,"*L*")),'ARDT Cutter Entry'!AE44,LEFT('ARDT Cutter Entry'!AE44,LEN('ARDT Cutter Entry'!AE44)-1))),"")</f>
        <v/>
      </c>
      <c r="FO28" s="2379"/>
      <c r="FP28" s="2379"/>
      <c r="FQ28" s="2379"/>
      <c r="FR28" s="2379"/>
      <c r="FS28" s="2379"/>
      <c r="FT28" s="2379" t="str">
        <f>IFERROR(IF('ARDT Cutter Entry'!$C$111&lt;&gt;"",IF(OR(COUNTIF('ARDT Cutter Entry'!AF112,"*X*"),COUNTIF('ARDT Cutter Entry'!AF112,"*L*")), 'ARDT Cutter Entry'!AF112,LEFT('ARDT Cutter Entry'!AF112,LEN('ARDT Cutter Entry'!AF112)-1)),IF(OR(COUNTIF('ARDT Cutter Entry'!AF44,"*X*"),COUNTIF('ARDT Cutter Entry'!AF44,"*L*")),'ARDT Cutter Entry'!AF44,LEFT('ARDT Cutter Entry'!AF44,LEN('ARDT Cutter Entry'!AF44)-1))),"")</f>
        <v/>
      </c>
      <c r="FU28" s="2379"/>
      <c r="FV28" s="2379"/>
      <c r="FW28" s="2379"/>
      <c r="FX28" s="2379"/>
      <c r="FY28" s="2379"/>
      <c r="FZ28" s="2379" t="str">
        <f>IFERROR(IF('ARDT Cutter Entry'!$C$111&lt;&gt;"",IF(OR(COUNTIF('ARDT Cutter Entry'!AG112,"*X*"),COUNTIF('ARDT Cutter Entry'!AG112,"*L*")), 'ARDT Cutter Entry'!AG112,LEFT('ARDT Cutter Entry'!AG112,LEN('ARDT Cutter Entry'!AG112)-1)),IF(OR(COUNTIF('ARDT Cutter Entry'!AG44,"*X*"),COUNTIF('ARDT Cutter Entry'!AG44,"*L*")),'ARDT Cutter Entry'!AG44,LEFT('ARDT Cutter Entry'!AG44,LEN('ARDT Cutter Entry'!AG44)-1))),"")</f>
        <v/>
      </c>
      <c r="GA28" s="2379"/>
      <c r="GB28" s="2379"/>
      <c r="GC28" s="2379"/>
      <c r="GD28" s="2379"/>
      <c r="GE28" s="2379"/>
      <c r="GF28" s="1132"/>
      <c r="GG28" s="1132"/>
    </row>
    <row r="29" spans="1:235" ht="44.25" customHeight="1" x14ac:dyDescent="0.45">
      <c r="A29" s="338">
        <v>3</v>
      </c>
      <c r="B29" s="2379" t="str">
        <f>IFERROR(IF('ARDT Cutter Entry'!$C$111&lt;&gt;"",IF(OR(COUNTIF('ARDT Cutter Entry'!C113,"*X*"),COUNTIF('ARDT Cutter Entry'!C113,"*L*")), 'ARDT Cutter Entry'!C113,LEFT('ARDT Cutter Entry'!C113,LEN('ARDT Cutter Entry'!C113)-1)),IF(OR(COUNTIF('ARDT Cutter Entry'!C45,"*X*"),COUNTIF('ARDT Cutter Entry'!C45,"*L*")),'ARDT Cutter Entry'!C45,LEFT('ARDT Cutter Entry'!C45,LEN('ARDT Cutter Entry'!C45)-1))),"")</f>
        <v>R</v>
      </c>
      <c r="C29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29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29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29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29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29" s="2379" t="str">
        <f>IFERROR(IF('ARDT Cutter Entry'!$C$111&lt;&gt;"",IF(OR(COUNTIF('ARDT Cutter Entry'!D113,"*X*"),COUNTIF('ARDT Cutter Entry'!D113,"*L*")), 'ARDT Cutter Entry'!D113,LEFT('ARDT Cutter Entry'!D113,LEN('ARDT Cutter Entry'!D113)-1)),IF(OR(COUNTIF('ARDT Cutter Entry'!D45,"*X*"),COUNTIF('ARDT Cutter Entry'!D45,"*L*")),'ARDT Cutter Entry'!D45,LEFT('ARDT Cutter Entry'!D45,LEN('ARDT Cutter Entry'!D45)-1))),"")</f>
        <v>R</v>
      </c>
      <c r="I29" s="2379"/>
      <c r="J29" s="2379"/>
      <c r="K29" s="2379"/>
      <c r="L29" s="2379"/>
      <c r="M29" s="2379"/>
      <c r="N29" s="2379" t="str">
        <f>IFERROR(IF('ARDT Cutter Entry'!$C$111&lt;&gt;"",IF(OR(COUNTIF('ARDT Cutter Entry'!E113,"*X*"),COUNTIF('ARDT Cutter Entry'!E113,"*L*")), 'ARDT Cutter Entry'!E113,LEFT('ARDT Cutter Entry'!E113,LEN('ARDT Cutter Entry'!E113)-1)),IF(OR(COUNTIF('ARDT Cutter Entry'!E45,"*X*"),COUNTIF('ARDT Cutter Entry'!E45,"*L*")),'ARDT Cutter Entry'!E45,LEFT('ARDT Cutter Entry'!E45,LEN('ARDT Cutter Entry'!E45)-1))),"")</f>
        <v>R</v>
      </c>
      <c r="O29" s="2379"/>
      <c r="P29" s="2379"/>
      <c r="Q29" s="2379"/>
      <c r="R29" s="2379"/>
      <c r="S29" s="2379"/>
      <c r="T29" s="2379" t="str">
        <f>IFERROR(IF('ARDT Cutter Entry'!$C$111&lt;&gt;"",IF(OR(COUNTIF('ARDT Cutter Entry'!F113,"*X*"),COUNTIF('ARDT Cutter Entry'!F113,"*L*")), 'ARDT Cutter Entry'!F113,LEFT('ARDT Cutter Entry'!F113,LEN('ARDT Cutter Entry'!F113)-1)),IF(OR(COUNTIF('ARDT Cutter Entry'!F45,"*X*"),COUNTIF('ARDT Cutter Entry'!F45,"*L*")),'ARDT Cutter Entry'!F45,LEFT('ARDT Cutter Entry'!F45,LEN('ARDT Cutter Entry'!F45)-1))),"")</f>
        <v>X5</v>
      </c>
      <c r="U29" s="2379"/>
      <c r="V29" s="2379"/>
      <c r="W29" s="2379"/>
      <c r="X29" s="2379"/>
      <c r="Y29" s="2379"/>
      <c r="Z29" s="2379" t="str">
        <f>IFERROR(IF('ARDT Cutter Entry'!$C$111&lt;&gt;"",IF(OR(COUNTIF('ARDT Cutter Entry'!G113,"*X*"),COUNTIF('ARDT Cutter Entry'!G113,"*L*")), 'ARDT Cutter Entry'!G113,LEFT('ARDT Cutter Entry'!G113,LEN('ARDT Cutter Entry'!G113)-1)),IF(OR(COUNTIF('ARDT Cutter Entry'!G45,"*X*"),COUNTIF('ARDT Cutter Entry'!G45,"*L*")),'ARDT Cutter Entry'!G45,LEFT('ARDT Cutter Entry'!G45,LEN('ARDT Cutter Entry'!G45)-1))),"")</f>
        <v>X5</v>
      </c>
      <c r="AA29" s="2379"/>
      <c r="AB29" s="2379"/>
      <c r="AC29" s="2379"/>
      <c r="AD29" s="2379"/>
      <c r="AE29" s="2379"/>
      <c r="AF29" s="2379" t="str">
        <f>IFERROR(IF('ARDT Cutter Entry'!$C$111&lt;&gt;"",IF(OR(COUNTIF('ARDT Cutter Entry'!H113,"*X*"),COUNTIF('ARDT Cutter Entry'!H113,"*L*")), 'ARDT Cutter Entry'!H113,LEFT('ARDT Cutter Entry'!H113,LEN('ARDT Cutter Entry'!H113)-1)),IF(OR(COUNTIF('ARDT Cutter Entry'!H45,"*X*"),COUNTIF('ARDT Cutter Entry'!H45,"*L*")),'ARDT Cutter Entry'!H45,LEFT('ARDT Cutter Entry'!H45,LEN('ARDT Cutter Entry'!H45)-1))),"")</f>
        <v>X5</v>
      </c>
      <c r="AG29" s="2379"/>
      <c r="AH29" s="2379"/>
      <c r="AI29" s="2379"/>
      <c r="AJ29" s="2379"/>
      <c r="AK29" s="2379"/>
      <c r="AL29" s="2379" t="str">
        <f>IFERROR(IF('ARDT Cutter Entry'!$C$111&lt;&gt;"",IF(OR(COUNTIF('ARDT Cutter Entry'!I113,"*X*"),COUNTIF('ARDT Cutter Entry'!I113,"*L*")), 'ARDT Cutter Entry'!I113,LEFT('ARDT Cutter Entry'!I113,LEN('ARDT Cutter Entry'!I113)-1)),IF(OR(COUNTIF('ARDT Cutter Entry'!I45,"*X*"),COUNTIF('ARDT Cutter Entry'!I45,"*L*")),'ARDT Cutter Entry'!I45,LEFT('ARDT Cutter Entry'!I45,LEN('ARDT Cutter Entry'!I45)-1))),"")</f>
        <v>X3</v>
      </c>
      <c r="AM29" s="2379"/>
      <c r="AN29" s="2379"/>
      <c r="AO29" s="2379"/>
      <c r="AP29" s="2379"/>
      <c r="AQ29" s="2379"/>
      <c r="AR29" s="2379" t="str">
        <f>IFERROR(IF('ARDT Cutter Entry'!$C$111&lt;&gt;"",IF(OR(COUNTIF('ARDT Cutter Entry'!J113,"*X*"),COUNTIF('ARDT Cutter Entry'!J113,"*L*")), 'ARDT Cutter Entry'!J113,LEFT('ARDT Cutter Entry'!J113,LEN('ARDT Cutter Entry'!J113)-1)),IF(OR(COUNTIF('ARDT Cutter Entry'!J45,"*X*"),COUNTIF('ARDT Cutter Entry'!J45,"*L*")),'ARDT Cutter Entry'!J45,LEFT('ARDT Cutter Entry'!J45,LEN('ARDT Cutter Entry'!J45)-1))),"")</f>
        <v/>
      </c>
      <c r="AS29" s="2379"/>
      <c r="AT29" s="2379"/>
      <c r="AU29" s="2379"/>
      <c r="AV29" s="2379"/>
      <c r="AW29" s="2379"/>
      <c r="AX29" s="2379" t="str">
        <f>IFERROR(IF('ARDT Cutter Entry'!$C$111&lt;&gt;"",IF(OR(COUNTIF('ARDT Cutter Entry'!K113,"*X*"),COUNTIF('ARDT Cutter Entry'!K113,"*L*")), 'ARDT Cutter Entry'!K113,LEFT('ARDT Cutter Entry'!K113,LEN('ARDT Cutter Entry'!K113)-1)),IF(OR(COUNTIF('ARDT Cutter Entry'!K45,"*X*"),COUNTIF('ARDT Cutter Entry'!K45,"*L*")),'ARDT Cutter Entry'!K45,LEFT('ARDT Cutter Entry'!K45,LEN('ARDT Cutter Entry'!K45)-1))),"")</f>
        <v/>
      </c>
      <c r="AY29" s="2379"/>
      <c r="AZ29" s="2379"/>
      <c r="BA29" s="2379"/>
      <c r="BB29" s="2379"/>
      <c r="BC29" s="2379"/>
      <c r="BD29" s="2379" t="str">
        <f>IFERROR(IF('ARDT Cutter Entry'!$C$111&lt;&gt;"",IF(OR(COUNTIF('ARDT Cutter Entry'!L113,"*X*"),COUNTIF('ARDT Cutter Entry'!L113,"*L*")), 'ARDT Cutter Entry'!L113,LEFT('ARDT Cutter Entry'!L113,LEN('ARDT Cutter Entry'!L113)-1)),IF(OR(COUNTIF('ARDT Cutter Entry'!L45,"*X*"),COUNTIF('ARDT Cutter Entry'!L45,"*L*")),'ARDT Cutter Entry'!L45,LEFT('ARDT Cutter Entry'!L45,LEN('ARDT Cutter Entry'!L45)-1))),"")</f>
        <v>R</v>
      </c>
      <c r="BE29" s="2379"/>
      <c r="BF29" s="2379"/>
      <c r="BG29" s="2379"/>
      <c r="BH29" s="2379"/>
      <c r="BI29" s="2379"/>
      <c r="BJ29" s="2379" t="str">
        <f>IFERROR(IF('ARDT Cutter Entry'!$C$111&lt;&gt;"",IF(OR(COUNTIF('ARDT Cutter Entry'!M113,"*X*"),COUNTIF('ARDT Cutter Entry'!M113,"*L*")), 'ARDT Cutter Entry'!M113,LEFT('ARDT Cutter Entry'!M113,LEN('ARDT Cutter Entry'!M113)-1)),IF(OR(COUNTIF('ARDT Cutter Entry'!M45,"*X*"),COUNTIF('ARDT Cutter Entry'!M45,"*L*")),'ARDT Cutter Entry'!M45,LEFT('ARDT Cutter Entry'!M45,LEN('ARDT Cutter Entry'!M45)-1))),"")</f>
        <v>X4</v>
      </c>
      <c r="BK29" s="2379"/>
      <c r="BL29" s="2379"/>
      <c r="BM29" s="2379"/>
      <c r="BN29" s="2379"/>
      <c r="BO29" s="2379"/>
      <c r="BP29" s="2379" t="str">
        <f>IFERROR(IF('ARDT Cutter Entry'!$C$111&lt;&gt;"",IF(OR(COUNTIF('ARDT Cutter Entry'!N113,"*X*"),COUNTIF('ARDT Cutter Entry'!N113,"*L*")), 'ARDT Cutter Entry'!N113,LEFT('ARDT Cutter Entry'!N113,LEN('ARDT Cutter Entry'!N113)-1)),IF(OR(COUNTIF('ARDT Cutter Entry'!N45,"*X*"),COUNTIF('ARDT Cutter Entry'!N45,"*L*")),'ARDT Cutter Entry'!N45,LEFT('ARDT Cutter Entry'!N45,LEN('ARDT Cutter Entry'!N45)-1))),"")</f>
        <v>X4</v>
      </c>
      <c r="BQ29" s="2379"/>
      <c r="BR29" s="2379"/>
      <c r="BS29" s="2379"/>
      <c r="BT29" s="2379"/>
      <c r="BU29" s="2379"/>
      <c r="BV29" s="2379" t="str">
        <f>IFERROR(IF('ARDT Cutter Entry'!$C$111&lt;&gt;"",IF(OR(COUNTIF('ARDT Cutter Entry'!O113,"*X*"),COUNTIF('ARDT Cutter Entry'!O113,"*L*")), 'ARDT Cutter Entry'!O113,LEFT('ARDT Cutter Entry'!O113,LEN('ARDT Cutter Entry'!O113)-1)),IF(OR(COUNTIF('ARDT Cutter Entry'!O45,"*X*"),COUNTIF('ARDT Cutter Entry'!O45,"*L*")),'ARDT Cutter Entry'!O45,LEFT('ARDT Cutter Entry'!O45,LEN('ARDT Cutter Entry'!O45)-1))),"")</f>
        <v/>
      </c>
      <c r="BW29" s="2379"/>
      <c r="BX29" s="2379"/>
      <c r="BY29" s="2379"/>
      <c r="BZ29" s="2379"/>
      <c r="CA29" s="2379"/>
      <c r="CB29" s="2379" t="str">
        <f>IFERROR(IF('ARDT Cutter Entry'!$C$111&lt;&gt;"",IF(OR(COUNTIF('ARDT Cutter Entry'!P113,"*X*"),COUNTIF('ARDT Cutter Entry'!P113,"*L*")), 'ARDT Cutter Entry'!P113,LEFT('ARDT Cutter Entry'!P113,LEN('ARDT Cutter Entry'!P113)-1)),IF(OR(COUNTIF('ARDT Cutter Entry'!P45,"*X*"),COUNTIF('ARDT Cutter Entry'!P45,"*L*")),'ARDT Cutter Entry'!P45,LEFT('ARDT Cutter Entry'!P45,LEN('ARDT Cutter Entry'!P45)-1))),"")</f>
        <v/>
      </c>
      <c r="CC29" s="2379"/>
      <c r="CD29" s="2379"/>
      <c r="CE29" s="2379"/>
      <c r="CF29" s="2379"/>
      <c r="CG29" s="2379"/>
      <c r="CH29" s="2379" t="str">
        <f>IFERROR(IF('ARDT Cutter Entry'!$C$111&lt;&gt;"",IF(OR(COUNTIF('ARDT Cutter Entry'!Q113,"*X*"),COUNTIF('ARDT Cutter Entry'!Q113,"*L*")), 'ARDT Cutter Entry'!Q113,LEFT('ARDT Cutter Entry'!Q113,LEN('ARDT Cutter Entry'!Q113)-1)),IF(OR(COUNTIF('ARDT Cutter Entry'!Q45,"*X*"),COUNTIF('ARDT Cutter Entry'!Q45,"*L*")),'ARDT Cutter Entry'!Q45,LEFT('ARDT Cutter Entry'!Q45,LEN('ARDT Cutter Entry'!Q45)-1))),"")</f>
        <v/>
      </c>
      <c r="CI29" s="2379"/>
      <c r="CJ29" s="2379"/>
      <c r="CK29" s="2379"/>
      <c r="CL29" s="2379"/>
      <c r="CM29" s="2379"/>
      <c r="CN29" s="2379" t="str">
        <f>IFERROR(IF('ARDT Cutter Entry'!$C$111&lt;&gt;"",IF(OR(COUNTIF('ARDT Cutter Entry'!R113,"*X*"),COUNTIF('ARDT Cutter Entry'!R113,"*L*")), 'ARDT Cutter Entry'!R113,LEFT('ARDT Cutter Entry'!R113,LEN('ARDT Cutter Entry'!R113)-1)),IF(OR(COUNTIF('ARDT Cutter Entry'!R45,"*X*"),COUNTIF('ARDT Cutter Entry'!R45,"*L*")),'ARDT Cutter Entry'!R45,LEFT('ARDT Cutter Entry'!R45,LEN('ARDT Cutter Entry'!R45)-1))),"")</f>
        <v/>
      </c>
      <c r="CO29" s="2379"/>
      <c r="CP29" s="2379"/>
      <c r="CQ29" s="2379"/>
      <c r="CR29" s="2379"/>
      <c r="CS29" s="2379"/>
      <c r="CT29" s="2379" t="str">
        <f>IFERROR(IF('ARDT Cutter Entry'!$C$111&lt;&gt;"",IF(OR(COUNTIF('ARDT Cutter Entry'!S113,"*X*"),COUNTIF('ARDT Cutter Entry'!S113,"*L*")), 'ARDT Cutter Entry'!S113,LEFT('ARDT Cutter Entry'!S113,LEN('ARDT Cutter Entry'!S113)-1)),IF(OR(COUNTIF('ARDT Cutter Entry'!S45,"*X*"),COUNTIF('ARDT Cutter Entry'!S45,"*L*")),'ARDT Cutter Entry'!S45,LEFT('ARDT Cutter Entry'!S45,LEN('ARDT Cutter Entry'!S45)-1))),"")</f>
        <v/>
      </c>
      <c r="CU29" s="2379"/>
      <c r="CV29" s="2379"/>
      <c r="CW29" s="2379"/>
      <c r="CX29" s="2379"/>
      <c r="CY29" s="2379"/>
      <c r="CZ29" s="2379" t="str">
        <f>IFERROR(IF('ARDT Cutter Entry'!$C$111&lt;&gt;"",IF(OR(COUNTIF('ARDT Cutter Entry'!T113,"*X*"),COUNTIF('ARDT Cutter Entry'!T113,"*L*")), 'ARDT Cutter Entry'!T113,LEFT('ARDT Cutter Entry'!T113,LEN('ARDT Cutter Entry'!T113)-1)),IF(OR(COUNTIF('ARDT Cutter Entry'!T45,"*X*"),COUNTIF('ARDT Cutter Entry'!T45,"*L*")),'ARDT Cutter Entry'!T45,LEFT('ARDT Cutter Entry'!T45,LEN('ARDT Cutter Entry'!T45)-1))),"")</f>
        <v/>
      </c>
      <c r="DA29" s="2379"/>
      <c r="DB29" s="2379"/>
      <c r="DC29" s="2379"/>
      <c r="DD29" s="2379"/>
      <c r="DE29" s="2379"/>
      <c r="DF29" s="2379" t="str">
        <f>IFERROR(IF('ARDT Cutter Entry'!$C$111&lt;&gt;"",IF(OR(COUNTIF('ARDT Cutter Entry'!U113,"*X*"),COUNTIF('ARDT Cutter Entry'!U113,"*L*")), 'ARDT Cutter Entry'!U113,LEFT('ARDT Cutter Entry'!U113,LEN('ARDT Cutter Entry'!U113)-1)),IF(OR(COUNTIF('ARDT Cutter Entry'!U45,"*X*"),COUNTIF('ARDT Cutter Entry'!U45,"*L*")),'ARDT Cutter Entry'!U45,LEFT('ARDT Cutter Entry'!U45,LEN('ARDT Cutter Entry'!U45)-1))),"")</f>
        <v/>
      </c>
      <c r="DG29" s="2379"/>
      <c r="DH29" s="2379"/>
      <c r="DI29" s="2379"/>
      <c r="DJ29" s="2379"/>
      <c r="DK29" s="2379"/>
      <c r="DL29" s="2379" t="str">
        <f>IFERROR(IF('ARDT Cutter Entry'!$C$111&lt;&gt;"",IF(OR(COUNTIF('ARDT Cutter Entry'!V113,"*X*"),COUNTIF('ARDT Cutter Entry'!V113,"*L*")), 'ARDT Cutter Entry'!V113,LEFT('ARDT Cutter Entry'!V113,LEN('ARDT Cutter Entry'!V113)-1)),IF(OR(COUNTIF('ARDT Cutter Entry'!V45,"*X*"),COUNTIF('ARDT Cutter Entry'!V45,"*L*")),'ARDT Cutter Entry'!V45,LEFT('ARDT Cutter Entry'!V45,LEN('ARDT Cutter Entry'!V45)-1))),"")</f>
        <v/>
      </c>
      <c r="DM29" s="2379"/>
      <c r="DN29" s="2379"/>
      <c r="DO29" s="2379"/>
      <c r="DP29" s="2379"/>
      <c r="DQ29" s="2379"/>
      <c r="DR29" s="2379" t="str">
        <f>IFERROR(IF('ARDT Cutter Entry'!$C$111&lt;&gt;"",IF(OR(COUNTIF('ARDT Cutter Entry'!W113,"*X*"),COUNTIF('ARDT Cutter Entry'!W113,"*L*")), 'ARDT Cutter Entry'!W113,LEFT('ARDT Cutter Entry'!W113,LEN('ARDT Cutter Entry'!W113)-1)),IF(OR(COUNTIF('ARDT Cutter Entry'!W45,"*X*"),COUNTIF('ARDT Cutter Entry'!W45,"*L*")),'ARDT Cutter Entry'!W45,LEFT('ARDT Cutter Entry'!W45,LEN('ARDT Cutter Entry'!W45)-1))),"")</f>
        <v/>
      </c>
      <c r="DS29" s="2379"/>
      <c r="DT29" s="2379"/>
      <c r="DU29" s="2379"/>
      <c r="DV29" s="2379"/>
      <c r="DW29" s="2379"/>
      <c r="DX29" s="2379" t="str">
        <f>IFERROR(IF('ARDT Cutter Entry'!$C$111&lt;&gt;"",IF(OR(COUNTIF('ARDT Cutter Entry'!X113,"*X*"),COUNTIF('ARDT Cutter Entry'!X113,"*L*")), 'ARDT Cutter Entry'!X113,LEFT('ARDT Cutter Entry'!X113,LEN('ARDT Cutter Entry'!X113)-1)),IF(OR(COUNTIF('ARDT Cutter Entry'!X45,"*X*"),COUNTIF('ARDT Cutter Entry'!X45,"*L*")),'ARDT Cutter Entry'!X45,LEFT('ARDT Cutter Entry'!X45,LEN('ARDT Cutter Entry'!X45)-1))),"")</f>
        <v/>
      </c>
      <c r="DY29" s="2379"/>
      <c r="DZ29" s="2379"/>
      <c r="EA29" s="2379"/>
      <c r="EB29" s="2379"/>
      <c r="EC29" s="2379"/>
      <c r="ED29" s="2379" t="str">
        <f>IFERROR(IF('ARDT Cutter Entry'!$C$111&lt;&gt;"",IF(OR(COUNTIF('ARDT Cutter Entry'!Y113,"*X*"),COUNTIF('ARDT Cutter Entry'!Y113,"*L*")), 'ARDT Cutter Entry'!Y113,LEFT('ARDT Cutter Entry'!Y113,LEN('ARDT Cutter Entry'!Y113)-1)),IF(OR(COUNTIF('ARDT Cutter Entry'!Y45,"*X*"),COUNTIF('ARDT Cutter Entry'!Y45,"*L*")),'ARDT Cutter Entry'!Y45,LEFT('ARDT Cutter Entry'!Y45,LEN('ARDT Cutter Entry'!Y45)-1))),"")</f>
        <v/>
      </c>
      <c r="EE29" s="2379"/>
      <c r="EF29" s="2379"/>
      <c r="EG29" s="2379"/>
      <c r="EH29" s="2379"/>
      <c r="EI29" s="2379"/>
      <c r="EJ29" s="2379" t="str">
        <f>IFERROR(IF('ARDT Cutter Entry'!$C$111&lt;&gt;"",IF(OR(COUNTIF('ARDT Cutter Entry'!Z113,"*X*"),COUNTIF('ARDT Cutter Entry'!Z113,"*L*")), 'ARDT Cutter Entry'!Z113,LEFT('ARDT Cutter Entry'!Z113,LEN('ARDT Cutter Entry'!Z113)-1)),IF(OR(COUNTIF('ARDT Cutter Entry'!Z45,"*X*"),COUNTIF('ARDT Cutter Entry'!Z45,"*L*")),'ARDT Cutter Entry'!Z45,LEFT('ARDT Cutter Entry'!Z45,LEN('ARDT Cutter Entry'!Z45)-1))),"")</f>
        <v/>
      </c>
      <c r="EK29" s="2379"/>
      <c r="EL29" s="2379"/>
      <c r="EM29" s="2379"/>
      <c r="EN29" s="2379"/>
      <c r="EO29" s="2379"/>
      <c r="EP29" s="2379" t="str">
        <f>IFERROR(IF('ARDT Cutter Entry'!$C$111&lt;&gt;"",IF(OR(COUNTIF('ARDT Cutter Entry'!AA113,"*X*"),COUNTIF('ARDT Cutter Entry'!AA113,"*L*")), 'ARDT Cutter Entry'!AA113,LEFT('ARDT Cutter Entry'!AA113,LEN('ARDT Cutter Entry'!AA113)-1)),IF(OR(COUNTIF('ARDT Cutter Entry'!AA45,"*X*"),COUNTIF('ARDT Cutter Entry'!AA45,"*L*")),'ARDT Cutter Entry'!AA45,LEFT('ARDT Cutter Entry'!AA45,LEN('ARDT Cutter Entry'!AA45)-1))),"")</f>
        <v/>
      </c>
      <c r="EQ29" s="2379"/>
      <c r="ER29" s="2379"/>
      <c r="ES29" s="2379"/>
      <c r="ET29" s="2379"/>
      <c r="EU29" s="2379"/>
      <c r="EV29" s="2379" t="str">
        <f>IFERROR(IF('ARDT Cutter Entry'!$C$111&lt;&gt;"",IF(OR(COUNTIF('ARDT Cutter Entry'!AB113,"*X*"),COUNTIF('ARDT Cutter Entry'!AB113,"*L*")), 'ARDT Cutter Entry'!AB113,LEFT('ARDT Cutter Entry'!AB113,LEN('ARDT Cutter Entry'!AB113)-1)),IF(OR(COUNTIF('ARDT Cutter Entry'!AB45,"*X*"),COUNTIF('ARDT Cutter Entry'!AB45,"*L*")),'ARDT Cutter Entry'!AB45,LEFT('ARDT Cutter Entry'!AB45,LEN('ARDT Cutter Entry'!AB45)-1))),"")</f>
        <v/>
      </c>
      <c r="EW29" s="2379"/>
      <c r="EX29" s="2379"/>
      <c r="EY29" s="2379"/>
      <c r="EZ29" s="2379"/>
      <c r="FA29" s="2379"/>
      <c r="FB29" s="2379" t="str">
        <f>IFERROR(IF('ARDT Cutter Entry'!$C$111&lt;&gt;"",IF(OR(COUNTIF('ARDT Cutter Entry'!AC113,"*X*"),COUNTIF('ARDT Cutter Entry'!AC113,"*L*")), 'ARDT Cutter Entry'!AC113,LEFT('ARDT Cutter Entry'!AC113,LEN('ARDT Cutter Entry'!AC113)-1)),IF(OR(COUNTIF('ARDT Cutter Entry'!AC45,"*X*"),COUNTIF('ARDT Cutter Entry'!AC45,"*L*")),'ARDT Cutter Entry'!AC45,LEFT('ARDT Cutter Entry'!AC45,LEN('ARDT Cutter Entry'!AC45)-1))),"")</f>
        <v/>
      </c>
      <c r="FC29" s="2379"/>
      <c r="FD29" s="2379"/>
      <c r="FE29" s="2379"/>
      <c r="FF29" s="2379"/>
      <c r="FG29" s="2379"/>
      <c r="FH29" s="2379" t="str">
        <f>IFERROR(IF('ARDT Cutter Entry'!$C$111&lt;&gt;"",IF(OR(COUNTIF('ARDT Cutter Entry'!AD113,"*X*"),COUNTIF('ARDT Cutter Entry'!AD113,"*L*")), 'ARDT Cutter Entry'!AD113,LEFT('ARDT Cutter Entry'!AD113,LEN('ARDT Cutter Entry'!AD113)-1)),IF(OR(COUNTIF('ARDT Cutter Entry'!AD45,"*X*"),COUNTIF('ARDT Cutter Entry'!AD45,"*L*")),'ARDT Cutter Entry'!AD45,LEFT('ARDT Cutter Entry'!AD45,LEN('ARDT Cutter Entry'!AD45)-1))),"")</f>
        <v/>
      </c>
      <c r="FI29" s="2379"/>
      <c r="FJ29" s="2379"/>
      <c r="FK29" s="2379"/>
      <c r="FL29" s="2379"/>
      <c r="FM29" s="2379"/>
      <c r="FN29" s="2379" t="str">
        <f>IFERROR(IF('ARDT Cutter Entry'!$C$111&lt;&gt;"",IF(OR(COUNTIF('ARDT Cutter Entry'!AE113,"*X*"),COUNTIF('ARDT Cutter Entry'!AE113,"*L*")), 'ARDT Cutter Entry'!AE113,LEFT('ARDT Cutter Entry'!AE113,LEN('ARDT Cutter Entry'!AE113)-1)),IF(OR(COUNTIF('ARDT Cutter Entry'!AE45,"*X*"),COUNTIF('ARDT Cutter Entry'!AE45,"*L*")),'ARDT Cutter Entry'!AE45,LEFT('ARDT Cutter Entry'!AE45,LEN('ARDT Cutter Entry'!AE45)-1))),"")</f>
        <v/>
      </c>
      <c r="FO29" s="2379"/>
      <c r="FP29" s="2379"/>
      <c r="FQ29" s="2379"/>
      <c r="FR29" s="2379"/>
      <c r="FS29" s="2379"/>
      <c r="FT29" s="2379" t="str">
        <f>IFERROR(IF('ARDT Cutter Entry'!$C$111&lt;&gt;"",IF(OR(COUNTIF('ARDT Cutter Entry'!AF113,"*X*"),COUNTIF('ARDT Cutter Entry'!AF113,"*L*")), 'ARDT Cutter Entry'!AF113,LEFT('ARDT Cutter Entry'!AF113,LEN('ARDT Cutter Entry'!AF113)-1)),IF(OR(COUNTIF('ARDT Cutter Entry'!AF45,"*X*"),COUNTIF('ARDT Cutter Entry'!AF45,"*L*")),'ARDT Cutter Entry'!AF45,LEFT('ARDT Cutter Entry'!AF45,LEN('ARDT Cutter Entry'!AF45)-1))),"")</f>
        <v/>
      </c>
      <c r="FU29" s="2379"/>
      <c r="FV29" s="2379"/>
      <c r="FW29" s="2379"/>
      <c r="FX29" s="2379"/>
      <c r="FY29" s="2379"/>
      <c r="FZ29" s="2379" t="str">
        <f>IFERROR(IF('ARDT Cutter Entry'!$C$111&lt;&gt;"",IF(OR(COUNTIF('ARDT Cutter Entry'!AG113,"*X*"),COUNTIF('ARDT Cutter Entry'!AG113,"*L*")), 'ARDT Cutter Entry'!AG113,LEFT('ARDT Cutter Entry'!AG113,LEN('ARDT Cutter Entry'!AG113)-1)),IF(OR(COUNTIF('ARDT Cutter Entry'!AG45,"*X*"),COUNTIF('ARDT Cutter Entry'!AG45,"*L*")),'ARDT Cutter Entry'!AG45,LEFT('ARDT Cutter Entry'!AG45,LEN('ARDT Cutter Entry'!AG45)-1))),"")</f>
        <v/>
      </c>
      <c r="GA29" s="2379"/>
      <c r="GB29" s="2379"/>
      <c r="GC29" s="2379"/>
      <c r="GD29" s="2379"/>
      <c r="GE29" s="2379"/>
      <c r="GF29" s="1132"/>
      <c r="GG29" s="1132"/>
    </row>
    <row r="30" spans="1:235" ht="44.25" customHeight="1" x14ac:dyDescent="0.45">
      <c r="A30" s="338">
        <v>4</v>
      </c>
      <c r="B30" s="2379" t="str">
        <f>IFERROR(IF('ARDT Cutter Entry'!$C$111&lt;&gt;"",IF(OR(COUNTIF('ARDT Cutter Entry'!C114,"*X*"),COUNTIF('ARDT Cutter Entry'!C114,"*L*")), 'ARDT Cutter Entry'!C114,LEFT('ARDT Cutter Entry'!C114,LEN('ARDT Cutter Entry'!C114)-1)),IF(OR(COUNTIF('ARDT Cutter Entry'!C46,"*X*"),COUNTIF('ARDT Cutter Entry'!C46,"*L*")),'ARDT Cutter Entry'!C46,LEFT('ARDT Cutter Entry'!C46,LEN('ARDT Cutter Entry'!C46)-1))),"")</f>
        <v>X5</v>
      </c>
      <c r="C30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0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0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0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0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0" s="2379" t="str">
        <f>IFERROR(IF('ARDT Cutter Entry'!$C$111&lt;&gt;"",IF(OR(COUNTIF('ARDT Cutter Entry'!D114,"*X*"),COUNTIF('ARDT Cutter Entry'!D114,"*L*")), 'ARDT Cutter Entry'!D114,LEFT('ARDT Cutter Entry'!D114,LEN('ARDT Cutter Entry'!D114)-1)),IF(OR(COUNTIF('ARDT Cutter Entry'!D46,"*X*"),COUNTIF('ARDT Cutter Entry'!D46,"*L*")),'ARDT Cutter Entry'!D46,LEFT('ARDT Cutter Entry'!D46,LEN('ARDT Cutter Entry'!D46)-1))),"")</f>
        <v>X5</v>
      </c>
      <c r="I30" s="2379"/>
      <c r="J30" s="2379"/>
      <c r="K30" s="2379"/>
      <c r="L30" s="2379"/>
      <c r="M30" s="2379"/>
      <c r="N30" s="2379" t="str">
        <f>IFERROR(IF('ARDT Cutter Entry'!$C$111&lt;&gt;"",IF(OR(COUNTIF('ARDT Cutter Entry'!E114,"*X*"),COUNTIF('ARDT Cutter Entry'!E114,"*L*")), 'ARDT Cutter Entry'!E114,LEFT('ARDT Cutter Entry'!E114,LEN('ARDT Cutter Entry'!E114)-1)),IF(OR(COUNTIF('ARDT Cutter Entry'!E46,"*X*"),COUNTIF('ARDT Cutter Entry'!E46,"*L*")),'ARDT Cutter Entry'!E46,LEFT('ARDT Cutter Entry'!E46,LEN('ARDT Cutter Entry'!E46)-1))),"")</f>
        <v>X5</v>
      </c>
      <c r="O30" s="2379"/>
      <c r="P30" s="2379"/>
      <c r="Q30" s="2379"/>
      <c r="R30" s="2379"/>
      <c r="S30" s="2379"/>
      <c r="T30" s="2379" t="str">
        <f>IFERROR(IF('ARDT Cutter Entry'!$C$111&lt;&gt;"",IF(OR(COUNTIF('ARDT Cutter Entry'!F114,"*X*"),COUNTIF('ARDT Cutter Entry'!F114,"*L*")), 'ARDT Cutter Entry'!F114,LEFT('ARDT Cutter Entry'!F114,LEN('ARDT Cutter Entry'!F114)-1)),IF(OR(COUNTIF('ARDT Cutter Entry'!F46,"*X*"),COUNTIF('ARDT Cutter Entry'!F46,"*L*")),'ARDT Cutter Entry'!F46,LEFT('ARDT Cutter Entry'!F46,LEN('ARDT Cutter Entry'!F46)-1))),"")</f>
        <v>X5</v>
      </c>
      <c r="U30" s="2379"/>
      <c r="V30" s="2379"/>
      <c r="W30" s="2379"/>
      <c r="X30" s="2379"/>
      <c r="Y30" s="2379"/>
      <c r="Z30" s="2379" t="str">
        <f>IFERROR(IF('ARDT Cutter Entry'!$C$111&lt;&gt;"",IF(OR(COUNTIF('ARDT Cutter Entry'!G114,"*X*"),COUNTIF('ARDT Cutter Entry'!G114,"*L*")), 'ARDT Cutter Entry'!G114,LEFT('ARDT Cutter Entry'!G114,LEN('ARDT Cutter Entry'!G114)-1)),IF(OR(COUNTIF('ARDT Cutter Entry'!G46,"*X*"),COUNTIF('ARDT Cutter Entry'!G46,"*L*")),'ARDT Cutter Entry'!G46,LEFT('ARDT Cutter Entry'!G46,LEN('ARDT Cutter Entry'!G46)-1))),"")</f>
        <v>R</v>
      </c>
      <c r="AA30" s="2379"/>
      <c r="AB30" s="2379"/>
      <c r="AC30" s="2379"/>
      <c r="AD30" s="2379"/>
      <c r="AE30" s="2379"/>
      <c r="AF30" s="2379" t="str">
        <f>IFERROR(IF('ARDT Cutter Entry'!$C$111&lt;&gt;"",IF(OR(COUNTIF('ARDT Cutter Entry'!H114,"*X*"),COUNTIF('ARDT Cutter Entry'!H114,"*L*")), 'ARDT Cutter Entry'!H114,LEFT('ARDT Cutter Entry'!H114,LEN('ARDT Cutter Entry'!H114)-1)),IF(OR(COUNTIF('ARDT Cutter Entry'!H46,"*X*"),COUNTIF('ARDT Cutter Entry'!H46,"*L*")),'ARDT Cutter Entry'!H46,LEFT('ARDT Cutter Entry'!H46,LEN('ARDT Cutter Entry'!H46)-1))),"")</f>
        <v>X3</v>
      </c>
      <c r="AG30" s="2379"/>
      <c r="AH30" s="2379"/>
      <c r="AI30" s="2379"/>
      <c r="AJ30" s="2379"/>
      <c r="AK30" s="2379"/>
      <c r="AL30" s="2379" t="str">
        <f>IFERROR(IF('ARDT Cutter Entry'!$C$111&lt;&gt;"",IF(OR(COUNTIF('ARDT Cutter Entry'!I114,"*X*"),COUNTIF('ARDT Cutter Entry'!I114,"*L*")), 'ARDT Cutter Entry'!I114,LEFT('ARDT Cutter Entry'!I114,LEN('ARDT Cutter Entry'!I114)-1)),IF(OR(COUNTIF('ARDT Cutter Entry'!I46,"*X*"),COUNTIF('ARDT Cutter Entry'!I46,"*L*")),'ARDT Cutter Entry'!I46,LEFT('ARDT Cutter Entry'!I46,LEN('ARDT Cutter Entry'!I46)-1))),"")</f>
        <v/>
      </c>
      <c r="AM30" s="2379"/>
      <c r="AN30" s="2379"/>
      <c r="AO30" s="2379"/>
      <c r="AP30" s="2379"/>
      <c r="AQ30" s="2379"/>
      <c r="AR30" s="2379" t="str">
        <f>IFERROR(IF('ARDT Cutter Entry'!$C$111&lt;&gt;"",IF(OR(COUNTIF('ARDT Cutter Entry'!J114,"*X*"),COUNTIF('ARDT Cutter Entry'!J114,"*L*")), 'ARDT Cutter Entry'!J114,LEFT('ARDT Cutter Entry'!J114,LEN('ARDT Cutter Entry'!J114)-1)),IF(OR(COUNTIF('ARDT Cutter Entry'!J46,"*X*"),COUNTIF('ARDT Cutter Entry'!J46,"*L*")),'ARDT Cutter Entry'!J46,LEFT('ARDT Cutter Entry'!J46,LEN('ARDT Cutter Entry'!J46)-1))),"")</f>
        <v/>
      </c>
      <c r="AS30" s="2379"/>
      <c r="AT30" s="2379"/>
      <c r="AU30" s="2379"/>
      <c r="AV30" s="2379"/>
      <c r="AW30" s="2379"/>
      <c r="AX30" s="2379" t="str">
        <f>IFERROR(IF('ARDT Cutter Entry'!$C$111&lt;&gt;"",IF(OR(COUNTIF('ARDT Cutter Entry'!K114,"*X*"),COUNTIF('ARDT Cutter Entry'!K114,"*L*")), 'ARDT Cutter Entry'!K114,LEFT('ARDT Cutter Entry'!K114,LEN('ARDT Cutter Entry'!K114)-1)),IF(OR(COUNTIF('ARDT Cutter Entry'!K46,"*X*"),COUNTIF('ARDT Cutter Entry'!K46,"*L*")),'ARDT Cutter Entry'!K46,LEFT('ARDT Cutter Entry'!K46,LEN('ARDT Cutter Entry'!K46)-1))),"")</f>
        <v/>
      </c>
      <c r="AY30" s="2379"/>
      <c r="AZ30" s="2379"/>
      <c r="BA30" s="2379"/>
      <c r="BB30" s="2379"/>
      <c r="BC30" s="2379"/>
      <c r="BD30" s="2379" t="str">
        <f>IFERROR(IF('ARDT Cutter Entry'!$C$111&lt;&gt;"",IF(OR(COUNTIF('ARDT Cutter Entry'!L114,"*X*"),COUNTIF('ARDT Cutter Entry'!L114,"*L*")), 'ARDT Cutter Entry'!L114,LEFT('ARDT Cutter Entry'!L114,LEN('ARDT Cutter Entry'!L114)-1)),IF(OR(COUNTIF('ARDT Cutter Entry'!L46,"*X*"),COUNTIF('ARDT Cutter Entry'!L46,"*L*")),'ARDT Cutter Entry'!L46,LEFT('ARDT Cutter Entry'!L46,LEN('ARDT Cutter Entry'!L46)-1))),"")</f>
        <v>R</v>
      </c>
      <c r="BE30" s="2379"/>
      <c r="BF30" s="2379"/>
      <c r="BG30" s="2379"/>
      <c r="BH30" s="2379"/>
      <c r="BI30" s="2379"/>
      <c r="BJ30" s="2379" t="str">
        <f>IFERROR(IF('ARDT Cutter Entry'!$C$111&lt;&gt;"",IF(OR(COUNTIF('ARDT Cutter Entry'!M114,"*X*"),COUNTIF('ARDT Cutter Entry'!M114,"*L*")), 'ARDT Cutter Entry'!M114,LEFT('ARDT Cutter Entry'!M114,LEN('ARDT Cutter Entry'!M114)-1)),IF(OR(COUNTIF('ARDT Cutter Entry'!M46,"*X*"),COUNTIF('ARDT Cutter Entry'!M46,"*L*")),'ARDT Cutter Entry'!M46,LEFT('ARDT Cutter Entry'!M46,LEN('ARDT Cutter Entry'!M46)-1))),"")</f>
        <v>R</v>
      </c>
      <c r="BK30" s="2379"/>
      <c r="BL30" s="2379"/>
      <c r="BM30" s="2379"/>
      <c r="BN30" s="2379"/>
      <c r="BO30" s="2379"/>
      <c r="BP30" s="2379" t="str">
        <f>IFERROR(IF('ARDT Cutter Entry'!$C$111&lt;&gt;"",IF(OR(COUNTIF('ARDT Cutter Entry'!N114,"*X*"),COUNTIF('ARDT Cutter Entry'!N114,"*L*")), 'ARDT Cutter Entry'!N114,LEFT('ARDT Cutter Entry'!N114,LEN('ARDT Cutter Entry'!N114)-1)),IF(OR(COUNTIF('ARDT Cutter Entry'!N46,"*X*"),COUNTIF('ARDT Cutter Entry'!N46,"*L*")),'ARDT Cutter Entry'!N46,LEFT('ARDT Cutter Entry'!N46,LEN('ARDT Cutter Entry'!N46)-1))),"")</f>
        <v>R</v>
      </c>
      <c r="BQ30" s="2379"/>
      <c r="BR30" s="2379"/>
      <c r="BS30" s="2379"/>
      <c r="BT30" s="2379"/>
      <c r="BU30" s="2379"/>
      <c r="BV30" s="2379" t="str">
        <f>IFERROR(IF('ARDT Cutter Entry'!$C$111&lt;&gt;"",IF(OR(COUNTIF('ARDT Cutter Entry'!O114,"*X*"),COUNTIF('ARDT Cutter Entry'!O114,"*L*")), 'ARDT Cutter Entry'!O114,LEFT('ARDT Cutter Entry'!O114,LEN('ARDT Cutter Entry'!O114)-1)),IF(OR(COUNTIF('ARDT Cutter Entry'!O46,"*X*"),COUNTIF('ARDT Cutter Entry'!O46,"*L*")),'ARDT Cutter Entry'!O46,LEFT('ARDT Cutter Entry'!O46,LEN('ARDT Cutter Entry'!O46)-1))),"")</f>
        <v>S</v>
      </c>
      <c r="BW30" s="2379"/>
      <c r="BX30" s="2379"/>
      <c r="BY30" s="2379"/>
      <c r="BZ30" s="2379"/>
      <c r="CA30" s="2379"/>
      <c r="CB30" s="2379" t="str">
        <f>IFERROR(IF('ARDT Cutter Entry'!$C$111&lt;&gt;"",IF(OR(COUNTIF('ARDT Cutter Entry'!P114,"*X*"),COUNTIF('ARDT Cutter Entry'!P114,"*L*")), 'ARDT Cutter Entry'!P114,LEFT('ARDT Cutter Entry'!P114,LEN('ARDT Cutter Entry'!P114)-1)),IF(OR(COUNTIF('ARDT Cutter Entry'!P46,"*X*"),COUNTIF('ARDT Cutter Entry'!P46,"*L*")),'ARDT Cutter Entry'!P46,LEFT('ARDT Cutter Entry'!P46,LEN('ARDT Cutter Entry'!P46)-1))),"")</f>
        <v/>
      </c>
      <c r="CC30" s="2379"/>
      <c r="CD30" s="2379"/>
      <c r="CE30" s="2379"/>
      <c r="CF30" s="2379"/>
      <c r="CG30" s="2379"/>
      <c r="CH30" s="2379" t="str">
        <f>IFERROR(IF('ARDT Cutter Entry'!$C$111&lt;&gt;"",IF(OR(COUNTIF('ARDT Cutter Entry'!Q114,"*X*"),COUNTIF('ARDT Cutter Entry'!Q114,"*L*")), 'ARDT Cutter Entry'!Q114,LEFT('ARDT Cutter Entry'!Q114,LEN('ARDT Cutter Entry'!Q114)-1)),IF(OR(COUNTIF('ARDT Cutter Entry'!Q46,"*X*"),COUNTIF('ARDT Cutter Entry'!Q46,"*L*")),'ARDT Cutter Entry'!Q46,LEFT('ARDT Cutter Entry'!Q46,LEN('ARDT Cutter Entry'!Q46)-1))),"")</f>
        <v/>
      </c>
      <c r="CI30" s="2379"/>
      <c r="CJ30" s="2379"/>
      <c r="CK30" s="2379"/>
      <c r="CL30" s="2379"/>
      <c r="CM30" s="2379"/>
      <c r="CN30" s="2379" t="str">
        <f>IFERROR(IF('ARDT Cutter Entry'!$C$111&lt;&gt;"",IF(OR(COUNTIF('ARDT Cutter Entry'!R114,"*X*"),COUNTIF('ARDT Cutter Entry'!R114,"*L*")), 'ARDT Cutter Entry'!R114,LEFT('ARDT Cutter Entry'!R114,LEN('ARDT Cutter Entry'!R114)-1)),IF(OR(COUNTIF('ARDT Cutter Entry'!R46,"*X*"),COUNTIF('ARDT Cutter Entry'!R46,"*L*")),'ARDT Cutter Entry'!R46,LEFT('ARDT Cutter Entry'!R46,LEN('ARDT Cutter Entry'!R46)-1))),"")</f>
        <v/>
      </c>
      <c r="CO30" s="2379"/>
      <c r="CP30" s="2379"/>
      <c r="CQ30" s="2379"/>
      <c r="CR30" s="2379"/>
      <c r="CS30" s="2379"/>
      <c r="CT30" s="2379" t="str">
        <f>IFERROR(IF('ARDT Cutter Entry'!$C$111&lt;&gt;"",IF(OR(COUNTIF('ARDT Cutter Entry'!S114,"*X*"),COUNTIF('ARDT Cutter Entry'!S114,"*L*")), 'ARDT Cutter Entry'!S114,LEFT('ARDT Cutter Entry'!S114,LEN('ARDT Cutter Entry'!S114)-1)),IF(OR(COUNTIF('ARDT Cutter Entry'!S46,"*X*"),COUNTIF('ARDT Cutter Entry'!S46,"*L*")),'ARDT Cutter Entry'!S46,LEFT('ARDT Cutter Entry'!S46,LEN('ARDT Cutter Entry'!S46)-1))),"")</f>
        <v/>
      </c>
      <c r="CU30" s="2379"/>
      <c r="CV30" s="2379"/>
      <c r="CW30" s="2379"/>
      <c r="CX30" s="2379"/>
      <c r="CY30" s="2379"/>
      <c r="CZ30" s="2379" t="str">
        <f>IFERROR(IF('ARDT Cutter Entry'!$C$111&lt;&gt;"",IF(OR(COUNTIF('ARDT Cutter Entry'!T114,"*X*"),COUNTIF('ARDT Cutter Entry'!T114,"*L*")), 'ARDT Cutter Entry'!T114,LEFT('ARDT Cutter Entry'!T114,LEN('ARDT Cutter Entry'!T114)-1)),IF(OR(COUNTIF('ARDT Cutter Entry'!T46,"*X*"),COUNTIF('ARDT Cutter Entry'!T46,"*L*")),'ARDT Cutter Entry'!T46,LEFT('ARDT Cutter Entry'!T46,LEN('ARDT Cutter Entry'!T46)-1))),"")</f>
        <v/>
      </c>
      <c r="DA30" s="2379"/>
      <c r="DB30" s="2379"/>
      <c r="DC30" s="2379"/>
      <c r="DD30" s="2379"/>
      <c r="DE30" s="2379"/>
      <c r="DF30" s="2379" t="str">
        <f>IFERROR(IF('ARDT Cutter Entry'!$C$111&lt;&gt;"",IF(OR(COUNTIF('ARDT Cutter Entry'!U114,"*X*"),COUNTIF('ARDT Cutter Entry'!U114,"*L*")), 'ARDT Cutter Entry'!U114,LEFT('ARDT Cutter Entry'!U114,LEN('ARDT Cutter Entry'!U114)-1)),IF(OR(COUNTIF('ARDT Cutter Entry'!U46,"*X*"),COUNTIF('ARDT Cutter Entry'!U46,"*L*")),'ARDT Cutter Entry'!U46,LEFT('ARDT Cutter Entry'!U46,LEN('ARDT Cutter Entry'!U46)-1))),"")</f>
        <v/>
      </c>
      <c r="DG30" s="2379"/>
      <c r="DH30" s="2379"/>
      <c r="DI30" s="2379"/>
      <c r="DJ30" s="2379"/>
      <c r="DK30" s="2379"/>
      <c r="DL30" s="2379" t="str">
        <f>IFERROR(IF('ARDT Cutter Entry'!$C$111&lt;&gt;"",IF(OR(COUNTIF('ARDT Cutter Entry'!V114,"*X*"),COUNTIF('ARDT Cutter Entry'!V114,"*L*")), 'ARDT Cutter Entry'!V114,LEFT('ARDT Cutter Entry'!V114,LEN('ARDT Cutter Entry'!V114)-1)),IF(OR(COUNTIF('ARDT Cutter Entry'!V46,"*X*"),COUNTIF('ARDT Cutter Entry'!V46,"*L*")),'ARDT Cutter Entry'!V46,LEFT('ARDT Cutter Entry'!V46,LEN('ARDT Cutter Entry'!V46)-1))),"")</f>
        <v/>
      </c>
      <c r="DM30" s="2379"/>
      <c r="DN30" s="2379"/>
      <c r="DO30" s="2379"/>
      <c r="DP30" s="2379"/>
      <c r="DQ30" s="2379"/>
      <c r="DR30" s="2379" t="str">
        <f>IFERROR(IF('ARDT Cutter Entry'!$C$111&lt;&gt;"",IF(OR(COUNTIF('ARDT Cutter Entry'!W114,"*X*"),COUNTIF('ARDT Cutter Entry'!W114,"*L*")), 'ARDT Cutter Entry'!W114,LEFT('ARDT Cutter Entry'!W114,LEN('ARDT Cutter Entry'!W114)-1)),IF(OR(COUNTIF('ARDT Cutter Entry'!W46,"*X*"),COUNTIF('ARDT Cutter Entry'!W46,"*L*")),'ARDT Cutter Entry'!W46,LEFT('ARDT Cutter Entry'!W46,LEN('ARDT Cutter Entry'!W46)-1))),"")</f>
        <v/>
      </c>
      <c r="DS30" s="2379"/>
      <c r="DT30" s="2379"/>
      <c r="DU30" s="2379"/>
      <c r="DV30" s="2379"/>
      <c r="DW30" s="2379"/>
      <c r="DX30" s="2379" t="str">
        <f>IFERROR(IF('ARDT Cutter Entry'!$C$111&lt;&gt;"",IF(OR(COUNTIF('ARDT Cutter Entry'!X114,"*X*"),COUNTIF('ARDT Cutter Entry'!X114,"*L*")), 'ARDT Cutter Entry'!X114,LEFT('ARDT Cutter Entry'!X114,LEN('ARDT Cutter Entry'!X114)-1)),IF(OR(COUNTIF('ARDT Cutter Entry'!X46,"*X*"),COUNTIF('ARDT Cutter Entry'!X46,"*L*")),'ARDT Cutter Entry'!X46,LEFT('ARDT Cutter Entry'!X46,LEN('ARDT Cutter Entry'!X46)-1))),"")</f>
        <v/>
      </c>
      <c r="DY30" s="2379"/>
      <c r="DZ30" s="2379"/>
      <c r="EA30" s="2379"/>
      <c r="EB30" s="2379"/>
      <c r="EC30" s="2379"/>
      <c r="ED30" s="2379" t="str">
        <f>IFERROR(IF('ARDT Cutter Entry'!$C$111&lt;&gt;"",IF(OR(COUNTIF('ARDT Cutter Entry'!Y114,"*X*"),COUNTIF('ARDT Cutter Entry'!Y114,"*L*")), 'ARDT Cutter Entry'!Y114,LEFT('ARDT Cutter Entry'!Y114,LEN('ARDT Cutter Entry'!Y114)-1)),IF(OR(COUNTIF('ARDT Cutter Entry'!Y46,"*X*"),COUNTIF('ARDT Cutter Entry'!Y46,"*L*")),'ARDT Cutter Entry'!Y46,LEFT('ARDT Cutter Entry'!Y46,LEN('ARDT Cutter Entry'!Y46)-1))),"")</f>
        <v/>
      </c>
      <c r="EE30" s="2379"/>
      <c r="EF30" s="2379"/>
      <c r="EG30" s="2379"/>
      <c r="EH30" s="2379"/>
      <c r="EI30" s="2379"/>
      <c r="EJ30" s="2379" t="str">
        <f>IFERROR(IF('ARDT Cutter Entry'!$C$111&lt;&gt;"",IF(OR(COUNTIF('ARDT Cutter Entry'!Z114,"*X*"),COUNTIF('ARDT Cutter Entry'!Z114,"*L*")), 'ARDT Cutter Entry'!Z114,LEFT('ARDT Cutter Entry'!Z114,LEN('ARDT Cutter Entry'!Z114)-1)),IF(OR(COUNTIF('ARDT Cutter Entry'!Z46,"*X*"),COUNTIF('ARDT Cutter Entry'!Z46,"*L*")),'ARDT Cutter Entry'!Z46,LEFT('ARDT Cutter Entry'!Z46,LEN('ARDT Cutter Entry'!Z46)-1))),"")</f>
        <v/>
      </c>
      <c r="EK30" s="2379"/>
      <c r="EL30" s="2379"/>
      <c r="EM30" s="2379"/>
      <c r="EN30" s="2379"/>
      <c r="EO30" s="2379"/>
      <c r="EP30" s="2379" t="str">
        <f>IFERROR(IF('ARDT Cutter Entry'!$C$111&lt;&gt;"",IF(OR(COUNTIF('ARDT Cutter Entry'!AA114,"*X*"),COUNTIF('ARDT Cutter Entry'!AA114,"*L*")), 'ARDT Cutter Entry'!AA114,LEFT('ARDT Cutter Entry'!AA114,LEN('ARDT Cutter Entry'!AA114)-1)),IF(OR(COUNTIF('ARDT Cutter Entry'!AA46,"*X*"),COUNTIF('ARDT Cutter Entry'!AA46,"*L*")),'ARDT Cutter Entry'!AA46,LEFT('ARDT Cutter Entry'!AA46,LEN('ARDT Cutter Entry'!AA46)-1))),"")</f>
        <v/>
      </c>
      <c r="EQ30" s="2379"/>
      <c r="ER30" s="2379"/>
      <c r="ES30" s="2379"/>
      <c r="ET30" s="2379"/>
      <c r="EU30" s="2379"/>
      <c r="EV30" s="2379" t="str">
        <f>IFERROR(IF('ARDT Cutter Entry'!$C$111&lt;&gt;"",IF(OR(COUNTIF('ARDT Cutter Entry'!AB114,"*X*"),COUNTIF('ARDT Cutter Entry'!AB114,"*L*")), 'ARDT Cutter Entry'!AB114,LEFT('ARDT Cutter Entry'!AB114,LEN('ARDT Cutter Entry'!AB114)-1)),IF(OR(COUNTIF('ARDT Cutter Entry'!AB46,"*X*"),COUNTIF('ARDT Cutter Entry'!AB46,"*L*")),'ARDT Cutter Entry'!AB46,LEFT('ARDT Cutter Entry'!AB46,LEN('ARDT Cutter Entry'!AB46)-1))),"")</f>
        <v/>
      </c>
      <c r="EW30" s="2379"/>
      <c r="EX30" s="2379"/>
      <c r="EY30" s="2379"/>
      <c r="EZ30" s="2379"/>
      <c r="FA30" s="2379"/>
      <c r="FB30" s="2379" t="str">
        <f>IFERROR(IF('ARDT Cutter Entry'!$C$111&lt;&gt;"",IF(OR(COUNTIF('ARDT Cutter Entry'!AC114,"*X*"),COUNTIF('ARDT Cutter Entry'!AC114,"*L*")), 'ARDT Cutter Entry'!AC114,LEFT('ARDT Cutter Entry'!AC114,LEN('ARDT Cutter Entry'!AC114)-1)),IF(OR(COUNTIF('ARDT Cutter Entry'!AC46,"*X*"),COUNTIF('ARDT Cutter Entry'!AC46,"*L*")),'ARDT Cutter Entry'!AC46,LEFT('ARDT Cutter Entry'!AC46,LEN('ARDT Cutter Entry'!AC46)-1))),"")</f>
        <v/>
      </c>
      <c r="FC30" s="2379"/>
      <c r="FD30" s="2379"/>
      <c r="FE30" s="2379"/>
      <c r="FF30" s="2379"/>
      <c r="FG30" s="2379"/>
      <c r="FH30" s="2379" t="str">
        <f>IFERROR(IF('ARDT Cutter Entry'!$C$111&lt;&gt;"",IF(OR(COUNTIF('ARDT Cutter Entry'!AD114,"*X*"),COUNTIF('ARDT Cutter Entry'!AD114,"*L*")), 'ARDT Cutter Entry'!AD114,LEFT('ARDT Cutter Entry'!AD114,LEN('ARDT Cutter Entry'!AD114)-1)),IF(OR(COUNTIF('ARDT Cutter Entry'!AD46,"*X*"),COUNTIF('ARDT Cutter Entry'!AD46,"*L*")),'ARDT Cutter Entry'!AD46,LEFT('ARDT Cutter Entry'!AD46,LEN('ARDT Cutter Entry'!AD46)-1))),"")</f>
        <v/>
      </c>
      <c r="FI30" s="2379"/>
      <c r="FJ30" s="2379"/>
      <c r="FK30" s="2379"/>
      <c r="FL30" s="2379"/>
      <c r="FM30" s="2379"/>
      <c r="FN30" s="2379" t="str">
        <f>IFERROR(IF('ARDT Cutter Entry'!$C$111&lt;&gt;"",IF(OR(COUNTIF('ARDT Cutter Entry'!AE114,"*X*"),COUNTIF('ARDT Cutter Entry'!AE114,"*L*")), 'ARDT Cutter Entry'!AE114,LEFT('ARDT Cutter Entry'!AE114,LEN('ARDT Cutter Entry'!AE114)-1)),IF(OR(COUNTIF('ARDT Cutter Entry'!AE46,"*X*"),COUNTIF('ARDT Cutter Entry'!AE46,"*L*")),'ARDT Cutter Entry'!AE46,LEFT('ARDT Cutter Entry'!AE46,LEN('ARDT Cutter Entry'!AE46)-1))),"")</f>
        <v/>
      </c>
      <c r="FO30" s="2379"/>
      <c r="FP30" s="2379"/>
      <c r="FQ30" s="2379"/>
      <c r="FR30" s="2379"/>
      <c r="FS30" s="2379"/>
      <c r="FT30" s="2379" t="str">
        <f>IFERROR(IF('ARDT Cutter Entry'!$C$111&lt;&gt;"",IF(OR(COUNTIF('ARDT Cutter Entry'!AF114,"*X*"),COUNTIF('ARDT Cutter Entry'!AF114,"*L*")), 'ARDT Cutter Entry'!AF114,LEFT('ARDT Cutter Entry'!AF114,LEN('ARDT Cutter Entry'!AF114)-1)),IF(OR(COUNTIF('ARDT Cutter Entry'!AF46,"*X*"),COUNTIF('ARDT Cutter Entry'!AF46,"*L*")),'ARDT Cutter Entry'!AF46,LEFT('ARDT Cutter Entry'!AF46,LEN('ARDT Cutter Entry'!AF46)-1))),"")</f>
        <v/>
      </c>
      <c r="FU30" s="2379"/>
      <c r="FV30" s="2379"/>
      <c r="FW30" s="2379"/>
      <c r="FX30" s="2379"/>
      <c r="FY30" s="2379"/>
      <c r="FZ30" s="2379" t="str">
        <f>IFERROR(IF('ARDT Cutter Entry'!$C$111&lt;&gt;"",IF(OR(COUNTIF('ARDT Cutter Entry'!AG114,"*X*"),COUNTIF('ARDT Cutter Entry'!AG114,"*L*")), 'ARDT Cutter Entry'!AG114,LEFT('ARDT Cutter Entry'!AG114,LEN('ARDT Cutter Entry'!AG114)-1)),IF(OR(COUNTIF('ARDT Cutter Entry'!AG46,"*X*"),COUNTIF('ARDT Cutter Entry'!AG46,"*L*")),'ARDT Cutter Entry'!AG46,LEFT('ARDT Cutter Entry'!AG46,LEN('ARDT Cutter Entry'!AG46)-1))),"")</f>
        <v/>
      </c>
      <c r="GA30" s="2379"/>
      <c r="GB30" s="2379"/>
      <c r="GC30" s="2379"/>
      <c r="GD30" s="2379"/>
      <c r="GE30" s="2379"/>
      <c r="GF30" s="1132"/>
      <c r="GG30" s="1132"/>
    </row>
    <row r="31" spans="1:235" ht="44.25" customHeight="1" x14ac:dyDescent="0.45">
      <c r="A31" s="338">
        <v>5</v>
      </c>
      <c r="B31" s="2379" t="str">
        <f>IFERROR(IF('ARDT Cutter Entry'!$C$111&lt;&gt;"",IF(OR(COUNTIF('ARDT Cutter Entry'!C115,"*X*"),COUNTIF('ARDT Cutter Entry'!C115,"*L*")), 'ARDT Cutter Entry'!C115,LEFT('ARDT Cutter Entry'!C115,LEN('ARDT Cutter Entry'!C115)-1)),IF(OR(COUNTIF('ARDT Cutter Entry'!C47,"*X*"),COUNTIF('ARDT Cutter Entry'!C47,"*L*")),'ARDT Cutter Entry'!C47,LEFT('ARDT Cutter Entry'!C47,LEN('ARDT Cutter Entry'!C47)-1))),"")</f>
        <v>R</v>
      </c>
      <c r="C31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1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1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1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1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1" s="2379" t="str">
        <f>IFERROR(IF('ARDT Cutter Entry'!$C$111&lt;&gt;"",IF(OR(COUNTIF('ARDT Cutter Entry'!D115,"*X*"),COUNTIF('ARDT Cutter Entry'!D115,"*L*")), 'ARDT Cutter Entry'!D115,LEFT('ARDT Cutter Entry'!D115,LEN('ARDT Cutter Entry'!D115)-1)),IF(OR(COUNTIF('ARDT Cutter Entry'!D47,"*X*"),COUNTIF('ARDT Cutter Entry'!D47,"*L*")),'ARDT Cutter Entry'!D47,LEFT('ARDT Cutter Entry'!D47,LEN('ARDT Cutter Entry'!D47)-1))),"")</f>
        <v>R</v>
      </c>
      <c r="I31" s="2379"/>
      <c r="J31" s="2379"/>
      <c r="K31" s="2379"/>
      <c r="L31" s="2379"/>
      <c r="M31" s="2379"/>
      <c r="N31" s="2379" t="str">
        <f>IFERROR(IF('ARDT Cutter Entry'!$C$111&lt;&gt;"",IF(OR(COUNTIF('ARDT Cutter Entry'!E115,"*X*"),COUNTIF('ARDT Cutter Entry'!E115,"*L*")), 'ARDT Cutter Entry'!E115,LEFT('ARDT Cutter Entry'!E115,LEN('ARDT Cutter Entry'!E115)-1)),IF(OR(COUNTIF('ARDT Cutter Entry'!E47,"*X*"),COUNTIF('ARDT Cutter Entry'!E47,"*L*")),'ARDT Cutter Entry'!E47,LEFT('ARDT Cutter Entry'!E47,LEN('ARDT Cutter Entry'!E47)-1))),"")</f>
        <v>X5</v>
      </c>
      <c r="O31" s="2379"/>
      <c r="P31" s="2379"/>
      <c r="Q31" s="2379"/>
      <c r="R31" s="2379"/>
      <c r="S31" s="2379"/>
      <c r="T31" s="2379" t="str">
        <f>IFERROR(IF('ARDT Cutter Entry'!$C$111&lt;&gt;"",IF(OR(COUNTIF('ARDT Cutter Entry'!F115,"*X*"),COUNTIF('ARDT Cutter Entry'!F115,"*L*")), 'ARDT Cutter Entry'!F115,LEFT('ARDT Cutter Entry'!F115,LEN('ARDT Cutter Entry'!F115)-1)),IF(OR(COUNTIF('ARDT Cutter Entry'!F47,"*X*"),COUNTIF('ARDT Cutter Entry'!F47,"*L*")),'ARDT Cutter Entry'!F47,LEFT('ARDT Cutter Entry'!F47,LEN('ARDT Cutter Entry'!F47)-1))),"")</f>
        <v>X5</v>
      </c>
      <c r="U31" s="2379"/>
      <c r="V31" s="2379"/>
      <c r="W31" s="2379"/>
      <c r="X31" s="2379"/>
      <c r="Y31" s="2379"/>
      <c r="Z31" s="2379" t="str">
        <f>IFERROR(IF('ARDT Cutter Entry'!$C$111&lt;&gt;"",IF(OR(COUNTIF('ARDT Cutter Entry'!G115,"*X*"),COUNTIF('ARDT Cutter Entry'!G115,"*L*")), 'ARDT Cutter Entry'!G115,LEFT('ARDT Cutter Entry'!G115,LEN('ARDT Cutter Entry'!G115)-1)),IF(OR(COUNTIF('ARDT Cutter Entry'!G47,"*X*"),COUNTIF('ARDT Cutter Entry'!G47,"*L*")),'ARDT Cutter Entry'!G47,LEFT('ARDT Cutter Entry'!G47,LEN('ARDT Cutter Entry'!G47)-1))),"")</f>
        <v>X5</v>
      </c>
      <c r="AA31" s="2379"/>
      <c r="AB31" s="2379"/>
      <c r="AC31" s="2379"/>
      <c r="AD31" s="2379"/>
      <c r="AE31" s="2379"/>
      <c r="AF31" s="2379" t="str">
        <f>IFERROR(IF('ARDT Cutter Entry'!$C$111&lt;&gt;"",IF(OR(COUNTIF('ARDT Cutter Entry'!H115,"*X*"),COUNTIF('ARDT Cutter Entry'!H115,"*L*")), 'ARDT Cutter Entry'!H115,LEFT('ARDT Cutter Entry'!H115,LEN('ARDT Cutter Entry'!H115)-1)),IF(OR(COUNTIF('ARDT Cutter Entry'!H47,"*X*"),COUNTIF('ARDT Cutter Entry'!H47,"*L*")),'ARDT Cutter Entry'!H47,LEFT('ARDT Cutter Entry'!H47,LEN('ARDT Cutter Entry'!H47)-1))),"")</f>
        <v>X5</v>
      </c>
      <c r="AG31" s="2379"/>
      <c r="AH31" s="2379"/>
      <c r="AI31" s="2379"/>
      <c r="AJ31" s="2379"/>
      <c r="AK31" s="2379"/>
      <c r="AL31" s="2379" t="str">
        <f>IFERROR(IF('ARDT Cutter Entry'!$C$111&lt;&gt;"",IF(OR(COUNTIF('ARDT Cutter Entry'!I115,"*X*"),COUNTIF('ARDT Cutter Entry'!I115,"*L*")), 'ARDT Cutter Entry'!I115,LEFT('ARDT Cutter Entry'!I115,LEN('ARDT Cutter Entry'!I115)-1)),IF(OR(COUNTIF('ARDT Cutter Entry'!I47,"*X*"),COUNTIF('ARDT Cutter Entry'!I47,"*L*")),'ARDT Cutter Entry'!I47,LEFT('ARDT Cutter Entry'!I47,LEN('ARDT Cutter Entry'!I47)-1))),"")</f>
        <v>R</v>
      </c>
      <c r="AM31" s="2379"/>
      <c r="AN31" s="2379"/>
      <c r="AO31" s="2379"/>
      <c r="AP31" s="2379"/>
      <c r="AQ31" s="2379"/>
      <c r="AR31" s="2379" t="str">
        <f>IFERROR(IF('ARDT Cutter Entry'!$C$111&lt;&gt;"",IF(OR(COUNTIF('ARDT Cutter Entry'!J115,"*X*"),COUNTIF('ARDT Cutter Entry'!J115,"*L*")), 'ARDT Cutter Entry'!J115,LEFT('ARDT Cutter Entry'!J115,LEN('ARDT Cutter Entry'!J115)-1)),IF(OR(COUNTIF('ARDT Cutter Entry'!J47,"*X*"),COUNTIF('ARDT Cutter Entry'!J47,"*L*")),'ARDT Cutter Entry'!J47,LEFT('ARDT Cutter Entry'!J47,LEN('ARDT Cutter Entry'!J47)-1))),"")</f>
        <v>X3</v>
      </c>
      <c r="AS31" s="2379"/>
      <c r="AT31" s="2379"/>
      <c r="AU31" s="2379"/>
      <c r="AV31" s="2379"/>
      <c r="AW31" s="2379"/>
      <c r="AX31" s="2379" t="str">
        <f>IFERROR(IF('ARDT Cutter Entry'!$C$111&lt;&gt;"",IF(OR(COUNTIF('ARDT Cutter Entry'!K115,"*X*"),COUNTIF('ARDT Cutter Entry'!K115,"*L*")), 'ARDT Cutter Entry'!K115,LEFT('ARDT Cutter Entry'!K115,LEN('ARDT Cutter Entry'!K115)-1)),IF(OR(COUNTIF('ARDT Cutter Entry'!K47,"*X*"),COUNTIF('ARDT Cutter Entry'!K47,"*L*")),'ARDT Cutter Entry'!K47,LEFT('ARDT Cutter Entry'!K47,LEN('ARDT Cutter Entry'!K47)-1))),"")</f>
        <v/>
      </c>
      <c r="AY31" s="2379"/>
      <c r="AZ31" s="2379"/>
      <c r="BA31" s="2379"/>
      <c r="BB31" s="2379"/>
      <c r="BC31" s="2379"/>
      <c r="BD31" s="2379" t="str">
        <f>IFERROR(IF('ARDT Cutter Entry'!$C$111&lt;&gt;"",IF(OR(COUNTIF('ARDT Cutter Entry'!L115,"*X*"),COUNTIF('ARDT Cutter Entry'!L115,"*L*")), 'ARDT Cutter Entry'!L115,LEFT('ARDT Cutter Entry'!L115,LEN('ARDT Cutter Entry'!L115)-1)),IF(OR(COUNTIF('ARDT Cutter Entry'!L47,"*X*"),COUNTIF('ARDT Cutter Entry'!L47,"*L*")),'ARDT Cutter Entry'!L47,LEFT('ARDT Cutter Entry'!L47,LEN('ARDT Cutter Entry'!L47)-1))),"")</f>
        <v>R</v>
      </c>
      <c r="BE31" s="2379"/>
      <c r="BF31" s="2379"/>
      <c r="BG31" s="2379"/>
      <c r="BH31" s="2379"/>
      <c r="BI31" s="2379"/>
      <c r="BJ31" s="2379" t="str">
        <f>IFERROR(IF('ARDT Cutter Entry'!$C$111&lt;&gt;"",IF(OR(COUNTIF('ARDT Cutter Entry'!M115,"*X*"),COUNTIF('ARDT Cutter Entry'!M115,"*L*")), 'ARDT Cutter Entry'!M115,LEFT('ARDT Cutter Entry'!M115,LEN('ARDT Cutter Entry'!M115)-1)),IF(OR(COUNTIF('ARDT Cutter Entry'!M47,"*X*"),COUNTIF('ARDT Cutter Entry'!M47,"*L*")),'ARDT Cutter Entry'!M47,LEFT('ARDT Cutter Entry'!M47,LEN('ARDT Cutter Entry'!M47)-1))),"")</f>
        <v>X4</v>
      </c>
      <c r="BK31" s="2379"/>
      <c r="BL31" s="2379"/>
      <c r="BM31" s="2379"/>
      <c r="BN31" s="2379"/>
      <c r="BO31" s="2379"/>
      <c r="BP31" s="2379" t="str">
        <f>IFERROR(IF('ARDT Cutter Entry'!$C$111&lt;&gt;"",IF(OR(COUNTIF('ARDT Cutter Entry'!N115,"*X*"),COUNTIF('ARDT Cutter Entry'!N115,"*L*")), 'ARDT Cutter Entry'!N115,LEFT('ARDT Cutter Entry'!N115,LEN('ARDT Cutter Entry'!N115)-1)),IF(OR(COUNTIF('ARDT Cutter Entry'!N47,"*X*"),COUNTIF('ARDT Cutter Entry'!N47,"*L*")),'ARDT Cutter Entry'!N47,LEFT('ARDT Cutter Entry'!N47,LEN('ARDT Cutter Entry'!N47)-1))),"")</f>
        <v>R</v>
      </c>
      <c r="BQ31" s="2379"/>
      <c r="BR31" s="2379"/>
      <c r="BS31" s="2379"/>
      <c r="BT31" s="2379"/>
      <c r="BU31" s="2379"/>
      <c r="BV31" s="2379" t="str">
        <f>IFERROR(IF('ARDT Cutter Entry'!$C$111&lt;&gt;"",IF(OR(COUNTIF('ARDT Cutter Entry'!O115,"*X*"),COUNTIF('ARDT Cutter Entry'!O115,"*L*")), 'ARDT Cutter Entry'!O115,LEFT('ARDT Cutter Entry'!O115,LEN('ARDT Cutter Entry'!O115)-1)),IF(OR(COUNTIF('ARDT Cutter Entry'!O47,"*X*"),COUNTIF('ARDT Cutter Entry'!O47,"*L*")),'ARDT Cutter Entry'!O47,LEFT('ARDT Cutter Entry'!O47,LEN('ARDT Cutter Entry'!O47)-1))),"")</f>
        <v>R</v>
      </c>
      <c r="BW31" s="2379"/>
      <c r="BX31" s="2379"/>
      <c r="BY31" s="2379"/>
      <c r="BZ31" s="2379"/>
      <c r="CA31" s="2379"/>
      <c r="CB31" s="2379" t="str">
        <f>IFERROR(IF('ARDT Cutter Entry'!$C$111&lt;&gt;"",IF(OR(COUNTIF('ARDT Cutter Entry'!P115,"*X*"),COUNTIF('ARDT Cutter Entry'!P115,"*L*")), 'ARDT Cutter Entry'!P115,LEFT('ARDT Cutter Entry'!P115,LEN('ARDT Cutter Entry'!P115)-1)),IF(OR(COUNTIF('ARDT Cutter Entry'!P47,"*X*"),COUNTIF('ARDT Cutter Entry'!P47,"*L*")),'ARDT Cutter Entry'!P47,LEFT('ARDT Cutter Entry'!P47,LEN('ARDT Cutter Entry'!P47)-1))),"")</f>
        <v/>
      </c>
      <c r="CC31" s="2379"/>
      <c r="CD31" s="2379"/>
      <c r="CE31" s="2379"/>
      <c r="CF31" s="2379"/>
      <c r="CG31" s="2379"/>
      <c r="CH31" s="2379" t="str">
        <f>IFERROR(IF('ARDT Cutter Entry'!$C$111&lt;&gt;"",IF(OR(COUNTIF('ARDT Cutter Entry'!Q115,"*X*"),COUNTIF('ARDT Cutter Entry'!Q115,"*L*")), 'ARDT Cutter Entry'!Q115,LEFT('ARDT Cutter Entry'!Q115,LEN('ARDT Cutter Entry'!Q115)-1)),IF(OR(COUNTIF('ARDT Cutter Entry'!Q47,"*X*"),COUNTIF('ARDT Cutter Entry'!Q47,"*L*")),'ARDT Cutter Entry'!Q47,LEFT('ARDT Cutter Entry'!Q47,LEN('ARDT Cutter Entry'!Q47)-1))),"")</f>
        <v/>
      </c>
      <c r="CI31" s="2379"/>
      <c r="CJ31" s="2379"/>
      <c r="CK31" s="2379"/>
      <c r="CL31" s="2379"/>
      <c r="CM31" s="2379"/>
      <c r="CN31" s="2379" t="str">
        <f>IFERROR(IF('ARDT Cutter Entry'!$C$111&lt;&gt;"",IF(OR(COUNTIF('ARDT Cutter Entry'!R115,"*X*"),COUNTIF('ARDT Cutter Entry'!R115,"*L*")), 'ARDT Cutter Entry'!R115,LEFT('ARDT Cutter Entry'!R115,LEN('ARDT Cutter Entry'!R115)-1)),IF(OR(COUNTIF('ARDT Cutter Entry'!R47,"*X*"),COUNTIF('ARDT Cutter Entry'!R47,"*L*")),'ARDT Cutter Entry'!R47,LEFT('ARDT Cutter Entry'!R47,LEN('ARDT Cutter Entry'!R47)-1))),"")</f>
        <v/>
      </c>
      <c r="CO31" s="2379"/>
      <c r="CP31" s="2379"/>
      <c r="CQ31" s="2379"/>
      <c r="CR31" s="2379"/>
      <c r="CS31" s="2379"/>
      <c r="CT31" s="2379" t="str">
        <f>IFERROR(IF('ARDT Cutter Entry'!$C$111&lt;&gt;"",IF(OR(COUNTIF('ARDT Cutter Entry'!S115,"*X*"),COUNTIF('ARDT Cutter Entry'!S115,"*L*")), 'ARDT Cutter Entry'!S115,LEFT('ARDT Cutter Entry'!S115,LEN('ARDT Cutter Entry'!S115)-1)),IF(OR(COUNTIF('ARDT Cutter Entry'!S47,"*X*"),COUNTIF('ARDT Cutter Entry'!S47,"*L*")),'ARDT Cutter Entry'!S47,LEFT('ARDT Cutter Entry'!S47,LEN('ARDT Cutter Entry'!S47)-1))),"")</f>
        <v/>
      </c>
      <c r="CU31" s="2379"/>
      <c r="CV31" s="2379"/>
      <c r="CW31" s="2379"/>
      <c r="CX31" s="2379"/>
      <c r="CY31" s="2379"/>
      <c r="CZ31" s="2379" t="str">
        <f>IFERROR(IF('ARDT Cutter Entry'!$C$111&lt;&gt;"",IF(OR(COUNTIF('ARDT Cutter Entry'!T115,"*X*"),COUNTIF('ARDT Cutter Entry'!T115,"*L*")), 'ARDT Cutter Entry'!T115,LEFT('ARDT Cutter Entry'!T115,LEN('ARDT Cutter Entry'!T115)-1)),IF(OR(COUNTIF('ARDT Cutter Entry'!T47,"*X*"),COUNTIF('ARDT Cutter Entry'!T47,"*L*")),'ARDT Cutter Entry'!T47,LEFT('ARDT Cutter Entry'!T47,LEN('ARDT Cutter Entry'!T47)-1))),"")</f>
        <v/>
      </c>
      <c r="DA31" s="2379"/>
      <c r="DB31" s="2379"/>
      <c r="DC31" s="2379"/>
      <c r="DD31" s="2379"/>
      <c r="DE31" s="2379"/>
      <c r="DF31" s="2379" t="str">
        <f>IFERROR(IF('ARDT Cutter Entry'!$C$111&lt;&gt;"",IF(OR(COUNTIF('ARDT Cutter Entry'!U115,"*X*"),COUNTIF('ARDT Cutter Entry'!U115,"*L*")), 'ARDT Cutter Entry'!U115,LEFT('ARDT Cutter Entry'!U115,LEN('ARDT Cutter Entry'!U115)-1)),IF(OR(COUNTIF('ARDT Cutter Entry'!U47,"*X*"),COUNTIF('ARDT Cutter Entry'!U47,"*L*")),'ARDT Cutter Entry'!U47,LEFT('ARDT Cutter Entry'!U47,LEN('ARDT Cutter Entry'!U47)-1))),"")</f>
        <v/>
      </c>
      <c r="DG31" s="2379"/>
      <c r="DH31" s="2379"/>
      <c r="DI31" s="2379"/>
      <c r="DJ31" s="2379"/>
      <c r="DK31" s="2379"/>
      <c r="DL31" s="2379" t="str">
        <f>IFERROR(IF('ARDT Cutter Entry'!$C$111&lt;&gt;"",IF(OR(COUNTIF('ARDT Cutter Entry'!V115,"*X*"),COUNTIF('ARDT Cutter Entry'!V115,"*L*")), 'ARDT Cutter Entry'!V115,LEFT('ARDT Cutter Entry'!V115,LEN('ARDT Cutter Entry'!V115)-1)),IF(OR(COUNTIF('ARDT Cutter Entry'!V47,"*X*"),COUNTIF('ARDT Cutter Entry'!V47,"*L*")),'ARDT Cutter Entry'!V47,LEFT('ARDT Cutter Entry'!V47,LEN('ARDT Cutter Entry'!V47)-1))),"")</f>
        <v/>
      </c>
      <c r="DM31" s="2379"/>
      <c r="DN31" s="2379"/>
      <c r="DO31" s="2379"/>
      <c r="DP31" s="2379"/>
      <c r="DQ31" s="2379"/>
      <c r="DR31" s="2379" t="str">
        <f>IFERROR(IF('ARDT Cutter Entry'!$C$111&lt;&gt;"",IF(OR(COUNTIF('ARDT Cutter Entry'!W115,"*X*"),COUNTIF('ARDT Cutter Entry'!W115,"*L*")), 'ARDT Cutter Entry'!W115,LEFT('ARDT Cutter Entry'!W115,LEN('ARDT Cutter Entry'!W115)-1)),IF(OR(COUNTIF('ARDT Cutter Entry'!W47,"*X*"),COUNTIF('ARDT Cutter Entry'!W47,"*L*")),'ARDT Cutter Entry'!W47,LEFT('ARDT Cutter Entry'!W47,LEN('ARDT Cutter Entry'!W47)-1))),"")</f>
        <v/>
      </c>
      <c r="DS31" s="2379"/>
      <c r="DT31" s="2379"/>
      <c r="DU31" s="2379"/>
      <c r="DV31" s="2379"/>
      <c r="DW31" s="2379"/>
      <c r="DX31" s="2379" t="str">
        <f>IFERROR(IF('ARDT Cutter Entry'!$C$111&lt;&gt;"",IF(OR(COUNTIF('ARDT Cutter Entry'!X115,"*X*"),COUNTIF('ARDT Cutter Entry'!X115,"*L*")), 'ARDT Cutter Entry'!X115,LEFT('ARDT Cutter Entry'!X115,LEN('ARDT Cutter Entry'!X115)-1)),IF(OR(COUNTIF('ARDT Cutter Entry'!X47,"*X*"),COUNTIF('ARDT Cutter Entry'!X47,"*L*")),'ARDT Cutter Entry'!X47,LEFT('ARDT Cutter Entry'!X47,LEN('ARDT Cutter Entry'!X47)-1))),"")</f>
        <v/>
      </c>
      <c r="DY31" s="2379"/>
      <c r="DZ31" s="2379"/>
      <c r="EA31" s="2379"/>
      <c r="EB31" s="2379"/>
      <c r="EC31" s="2379"/>
      <c r="ED31" s="2379" t="str">
        <f>IFERROR(IF('ARDT Cutter Entry'!$C$111&lt;&gt;"",IF(OR(COUNTIF('ARDT Cutter Entry'!Y115,"*X*"),COUNTIF('ARDT Cutter Entry'!Y115,"*L*")), 'ARDT Cutter Entry'!Y115,LEFT('ARDT Cutter Entry'!Y115,LEN('ARDT Cutter Entry'!Y115)-1)),IF(OR(COUNTIF('ARDT Cutter Entry'!Y47,"*X*"),COUNTIF('ARDT Cutter Entry'!Y47,"*L*")),'ARDT Cutter Entry'!Y47,LEFT('ARDT Cutter Entry'!Y47,LEN('ARDT Cutter Entry'!Y47)-1))),"")</f>
        <v/>
      </c>
      <c r="EE31" s="2379"/>
      <c r="EF31" s="2379"/>
      <c r="EG31" s="2379"/>
      <c r="EH31" s="2379"/>
      <c r="EI31" s="2379"/>
      <c r="EJ31" s="2379" t="str">
        <f>IFERROR(IF('ARDT Cutter Entry'!$C$111&lt;&gt;"",IF(OR(COUNTIF('ARDT Cutter Entry'!Z115,"*X*"),COUNTIF('ARDT Cutter Entry'!Z115,"*L*")), 'ARDT Cutter Entry'!Z115,LEFT('ARDT Cutter Entry'!Z115,LEN('ARDT Cutter Entry'!Z115)-1)),IF(OR(COUNTIF('ARDT Cutter Entry'!Z47,"*X*"),COUNTIF('ARDT Cutter Entry'!Z47,"*L*")),'ARDT Cutter Entry'!Z47,LEFT('ARDT Cutter Entry'!Z47,LEN('ARDT Cutter Entry'!Z47)-1))),"")</f>
        <v/>
      </c>
      <c r="EK31" s="2379"/>
      <c r="EL31" s="2379"/>
      <c r="EM31" s="2379"/>
      <c r="EN31" s="2379"/>
      <c r="EO31" s="2379"/>
      <c r="EP31" s="2379" t="str">
        <f>IFERROR(IF('ARDT Cutter Entry'!$C$111&lt;&gt;"",IF(OR(COUNTIF('ARDT Cutter Entry'!AA115,"*X*"),COUNTIF('ARDT Cutter Entry'!AA115,"*L*")), 'ARDT Cutter Entry'!AA115,LEFT('ARDT Cutter Entry'!AA115,LEN('ARDT Cutter Entry'!AA115)-1)),IF(OR(COUNTIF('ARDT Cutter Entry'!AA47,"*X*"),COUNTIF('ARDT Cutter Entry'!AA47,"*L*")),'ARDT Cutter Entry'!AA47,LEFT('ARDT Cutter Entry'!AA47,LEN('ARDT Cutter Entry'!AA47)-1))),"")</f>
        <v/>
      </c>
      <c r="EQ31" s="2379"/>
      <c r="ER31" s="2379"/>
      <c r="ES31" s="2379"/>
      <c r="ET31" s="2379"/>
      <c r="EU31" s="2379"/>
      <c r="EV31" s="2379" t="str">
        <f>IFERROR(IF('ARDT Cutter Entry'!$C$111&lt;&gt;"",IF(OR(COUNTIF('ARDT Cutter Entry'!AB115,"*X*"),COUNTIF('ARDT Cutter Entry'!AB115,"*L*")), 'ARDT Cutter Entry'!AB115,LEFT('ARDT Cutter Entry'!AB115,LEN('ARDT Cutter Entry'!AB115)-1)),IF(OR(COUNTIF('ARDT Cutter Entry'!AB47,"*X*"),COUNTIF('ARDT Cutter Entry'!AB47,"*L*")),'ARDT Cutter Entry'!AB47,LEFT('ARDT Cutter Entry'!AB47,LEN('ARDT Cutter Entry'!AB47)-1))),"")</f>
        <v/>
      </c>
      <c r="EW31" s="2379"/>
      <c r="EX31" s="2379"/>
      <c r="EY31" s="2379"/>
      <c r="EZ31" s="2379"/>
      <c r="FA31" s="2379"/>
      <c r="FB31" s="2379" t="str">
        <f>IFERROR(IF('ARDT Cutter Entry'!$C$111&lt;&gt;"",IF(OR(COUNTIF('ARDT Cutter Entry'!AC115,"*X*"),COUNTIF('ARDT Cutter Entry'!AC115,"*L*")), 'ARDT Cutter Entry'!AC115,LEFT('ARDT Cutter Entry'!AC115,LEN('ARDT Cutter Entry'!AC115)-1)),IF(OR(COUNTIF('ARDT Cutter Entry'!AC47,"*X*"),COUNTIF('ARDT Cutter Entry'!AC47,"*L*")),'ARDT Cutter Entry'!AC47,LEFT('ARDT Cutter Entry'!AC47,LEN('ARDT Cutter Entry'!AC47)-1))),"")</f>
        <v/>
      </c>
      <c r="FC31" s="2379"/>
      <c r="FD31" s="2379"/>
      <c r="FE31" s="2379"/>
      <c r="FF31" s="2379"/>
      <c r="FG31" s="2379"/>
      <c r="FH31" s="2379" t="str">
        <f>IFERROR(IF('ARDT Cutter Entry'!$C$111&lt;&gt;"",IF(OR(COUNTIF('ARDT Cutter Entry'!AD115,"*X*"),COUNTIF('ARDT Cutter Entry'!AD115,"*L*")), 'ARDT Cutter Entry'!AD115,LEFT('ARDT Cutter Entry'!AD115,LEN('ARDT Cutter Entry'!AD115)-1)),IF(OR(COUNTIF('ARDT Cutter Entry'!AD47,"*X*"),COUNTIF('ARDT Cutter Entry'!AD47,"*L*")),'ARDT Cutter Entry'!AD47,LEFT('ARDT Cutter Entry'!AD47,LEN('ARDT Cutter Entry'!AD47)-1))),"")</f>
        <v/>
      </c>
      <c r="FI31" s="2379"/>
      <c r="FJ31" s="2379"/>
      <c r="FK31" s="2379"/>
      <c r="FL31" s="2379"/>
      <c r="FM31" s="2379"/>
      <c r="FN31" s="2379" t="str">
        <f>IFERROR(IF('ARDT Cutter Entry'!$C$111&lt;&gt;"",IF(OR(COUNTIF('ARDT Cutter Entry'!AE115,"*X*"),COUNTIF('ARDT Cutter Entry'!AE115,"*L*")), 'ARDT Cutter Entry'!AE115,LEFT('ARDT Cutter Entry'!AE115,LEN('ARDT Cutter Entry'!AE115)-1)),IF(OR(COUNTIF('ARDT Cutter Entry'!AE47,"*X*"),COUNTIF('ARDT Cutter Entry'!AE47,"*L*")),'ARDT Cutter Entry'!AE47,LEFT('ARDT Cutter Entry'!AE47,LEN('ARDT Cutter Entry'!AE47)-1))),"")</f>
        <v/>
      </c>
      <c r="FO31" s="2379"/>
      <c r="FP31" s="2379"/>
      <c r="FQ31" s="2379"/>
      <c r="FR31" s="2379"/>
      <c r="FS31" s="2379"/>
      <c r="FT31" s="2379" t="str">
        <f>IFERROR(IF('ARDT Cutter Entry'!$C$111&lt;&gt;"",IF(OR(COUNTIF('ARDT Cutter Entry'!AF115,"*X*"),COUNTIF('ARDT Cutter Entry'!AF115,"*L*")), 'ARDT Cutter Entry'!AF115,LEFT('ARDT Cutter Entry'!AF115,LEN('ARDT Cutter Entry'!AF115)-1)),IF(OR(COUNTIF('ARDT Cutter Entry'!AF47,"*X*"),COUNTIF('ARDT Cutter Entry'!AF47,"*L*")),'ARDT Cutter Entry'!AF47,LEFT('ARDT Cutter Entry'!AF47,LEN('ARDT Cutter Entry'!AF47)-1))),"")</f>
        <v/>
      </c>
      <c r="FU31" s="2379"/>
      <c r="FV31" s="2379"/>
      <c r="FW31" s="2379"/>
      <c r="FX31" s="2379"/>
      <c r="FY31" s="2379"/>
      <c r="FZ31" s="2379" t="str">
        <f>IFERROR(IF('ARDT Cutter Entry'!$C$111&lt;&gt;"",IF(OR(COUNTIF('ARDT Cutter Entry'!AG115,"*X*"),COUNTIF('ARDT Cutter Entry'!AG115,"*L*")), 'ARDT Cutter Entry'!AG115,LEFT('ARDT Cutter Entry'!AG115,LEN('ARDT Cutter Entry'!AG115)-1)),IF(OR(COUNTIF('ARDT Cutter Entry'!AG47,"*X*"),COUNTIF('ARDT Cutter Entry'!AG47,"*L*")),'ARDT Cutter Entry'!AG47,LEFT('ARDT Cutter Entry'!AG47,LEN('ARDT Cutter Entry'!AG47)-1))),"")</f>
        <v/>
      </c>
      <c r="GA31" s="2379"/>
      <c r="GB31" s="2379"/>
      <c r="GC31" s="2379"/>
      <c r="GD31" s="2379"/>
      <c r="GE31" s="2379"/>
      <c r="GF31" s="1132"/>
      <c r="GG31" s="1132"/>
    </row>
    <row r="32" spans="1:235" ht="44.25" customHeight="1" x14ac:dyDescent="0.45">
      <c r="A32" s="338">
        <v>6</v>
      </c>
      <c r="B32" s="2379" t="str">
        <f>IFERROR(IF('ARDT Cutter Entry'!$C$111&lt;&gt;"",IF(OR(COUNTIF('ARDT Cutter Entry'!C116,"*X*"),COUNTIF('ARDT Cutter Entry'!C116,"*L*")), 'ARDT Cutter Entry'!C116,LEFT('ARDT Cutter Entry'!C116,LEN('ARDT Cutter Entry'!C116)-1)),IF(OR(COUNTIF('ARDT Cutter Entry'!C48,"*X*"),COUNTIF('ARDT Cutter Entry'!C48,"*L*")),'ARDT Cutter Entry'!C48,LEFT('ARDT Cutter Entry'!C48,LEN('ARDT Cutter Entry'!C48)-1))),"")</f>
        <v>X5</v>
      </c>
      <c r="C32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2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2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2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2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2" s="2379" t="str">
        <f>IFERROR(IF('ARDT Cutter Entry'!$C$111&lt;&gt;"",IF(OR(COUNTIF('ARDT Cutter Entry'!D116,"*X*"),COUNTIF('ARDT Cutter Entry'!D116,"*L*")), 'ARDT Cutter Entry'!D116,LEFT('ARDT Cutter Entry'!D116,LEN('ARDT Cutter Entry'!D116)-1)),IF(OR(COUNTIF('ARDT Cutter Entry'!D48,"*X*"),COUNTIF('ARDT Cutter Entry'!D48,"*L*")),'ARDT Cutter Entry'!D48,LEFT('ARDT Cutter Entry'!D48,LEN('ARDT Cutter Entry'!D48)-1))),"")</f>
        <v>X5</v>
      </c>
      <c r="I32" s="2379"/>
      <c r="J32" s="2379"/>
      <c r="K32" s="2379"/>
      <c r="L32" s="2379"/>
      <c r="M32" s="2379"/>
      <c r="N32" s="2379" t="str">
        <f>IFERROR(IF('ARDT Cutter Entry'!$C$111&lt;&gt;"",IF(OR(COUNTIF('ARDT Cutter Entry'!E116,"*X*"),COUNTIF('ARDT Cutter Entry'!E116,"*L*")), 'ARDT Cutter Entry'!E116,LEFT('ARDT Cutter Entry'!E116,LEN('ARDT Cutter Entry'!E116)-1)),IF(OR(COUNTIF('ARDT Cutter Entry'!E48,"*X*"),COUNTIF('ARDT Cutter Entry'!E48,"*L*")),'ARDT Cutter Entry'!E48,LEFT('ARDT Cutter Entry'!E48,LEN('ARDT Cutter Entry'!E48)-1))),"")</f>
        <v>X5</v>
      </c>
      <c r="O32" s="2379"/>
      <c r="P32" s="2379"/>
      <c r="Q32" s="2379"/>
      <c r="R32" s="2379"/>
      <c r="S32" s="2379"/>
      <c r="T32" s="2379" t="str">
        <f>IFERROR(IF('ARDT Cutter Entry'!$C$111&lt;&gt;"",IF(OR(COUNTIF('ARDT Cutter Entry'!F116,"*X*"),COUNTIF('ARDT Cutter Entry'!F116,"*L*")), 'ARDT Cutter Entry'!F116,LEFT('ARDT Cutter Entry'!F116,LEN('ARDT Cutter Entry'!F116)-1)),IF(OR(COUNTIF('ARDT Cutter Entry'!F48,"*X*"),COUNTIF('ARDT Cutter Entry'!F48,"*L*")),'ARDT Cutter Entry'!F48,LEFT('ARDT Cutter Entry'!F48,LEN('ARDT Cutter Entry'!F48)-1))),"")</f>
        <v>R</v>
      </c>
      <c r="U32" s="2379"/>
      <c r="V32" s="2379"/>
      <c r="W32" s="2379"/>
      <c r="X32" s="2379"/>
      <c r="Y32" s="2379"/>
      <c r="Z32" s="2379" t="str">
        <f>IFERROR(IF('ARDT Cutter Entry'!$C$111&lt;&gt;"",IF(OR(COUNTIF('ARDT Cutter Entry'!G116,"*X*"),COUNTIF('ARDT Cutter Entry'!G116,"*L*")), 'ARDT Cutter Entry'!G116,LEFT('ARDT Cutter Entry'!G116,LEN('ARDT Cutter Entry'!G116)-1)),IF(OR(COUNTIF('ARDT Cutter Entry'!G48,"*X*"),COUNTIF('ARDT Cutter Entry'!G48,"*L*")),'ARDT Cutter Entry'!G48,LEFT('ARDT Cutter Entry'!G48,LEN('ARDT Cutter Entry'!G48)-1))),"")</f>
        <v>X3</v>
      </c>
      <c r="AA32" s="2379"/>
      <c r="AB32" s="2379"/>
      <c r="AC32" s="2379"/>
      <c r="AD32" s="2379"/>
      <c r="AE32" s="2379"/>
      <c r="AF32" s="2379" t="str">
        <f>IFERROR(IF('ARDT Cutter Entry'!$C$111&lt;&gt;"",IF(OR(COUNTIF('ARDT Cutter Entry'!H116,"*X*"),COUNTIF('ARDT Cutter Entry'!H116,"*L*")), 'ARDT Cutter Entry'!H116,LEFT('ARDT Cutter Entry'!H116,LEN('ARDT Cutter Entry'!H116)-1)),IF(OR(COUNTIF('ARDT Cutter Entry'!H48,"*X*"),COUNTIF('ARDT Cutter Entry'!H48,"*L*")),'ARDT Cutter Entry'!H48,LEFT('ARDT Cutter Entry'!H48,LEN('ARDT Cutter Entry'!H48)-1))),"")</f>
        <v/>
      </c>
      <c r="AG32" s="2379"/>
      <c r="AH32" s="2379"/>
      <c r="AI32" s="2379"/>
      <c r="AJ32" s="2379"/>
      <c r="AK32" s="2379"/>
      <c r="AL32" s="2379" t="str">
        <f>IFERROR(IF('ARDT Cutter Entry'!$C$111&lt;&gt;"",IF(OR(COUNTIF('ARDT Cutter Entry'!I116,"*X*"),COUNTIF('ARDT Cutter Entry'!I116,"*L*")), 'ARDT Cutter Entry'!I116,LEFT('ARDT Cutter Entry'!I116,LEN('ARDT Cutter Entry'!I116)-1)),IF(OR(COUNTIF('ARDT Cutter Entry'!I48,"*X*"),COUNTIF('ARDT Cutter Entry'!I48,"*L*")),'ARDT Cutter Entry'!I48,LEFT('ARDT Cutter Entry'!I48,LEN('ARDT Cutter Entry'!I48)-1))),"")</f>
        <v/>
      </c>
      <c r="AM32" s="2379"/>
      <c r="AN32" s="2379"/>
      <c r="AO32" s="2379"/>
      <c r="AP32" s="2379"/>
      <c r="AQ32" s="2379"/>
      <c r="AR32" s="2379" t="str">
        <f>IFERROR(IF('ARDT Cutter Entry'!$C$111&lt;&gt;"",IF(OR(COUNTIF('ARDT Cutter Entry'!J116,"*X*"),COUNTIF('ARDT Cutter Entry'!J116,"*L*")), 'ARDT Cutter Entry'!J116,LEFT('ARDT Cutter Entry'!J116,LEN('ARDT Cutter Entry'!J116)-1)),IF(OR(COUNTIF('ARDT Cutter Entry'!J48,"*X*"),COUNTIF('ARDT Cutter Entry'!J48,"*L*")),'ARDT Cutter Entry'!J48,LEFT('ARDT Cutter Entry'!J48,LEN('ARDT Cutter Entry'!J48)-1))),"")</f>
        <v/>
      </c>
      <c r="AS32" s="2379"/>
      <c r="AT32" s="2379"/>
      <c r="AU32" s="2379"/>
      <c r="AV32" s="2379"/>
      <c r="AW32" s="2379"/>
      <c r="AX32" s="2379" t="str">
        <f>IFERROR(IF('ARDT Cutter Entry'!$C$111&lt;&gt;"",IF(OR(COUNTIF('ARDT Cutter Entry'!K116,"*X*"),COUNTIF('ARDT Cutter Entry'!K116,"*L*")), 'ARDT Cutter Entry'!K116,LEFT('ARDT Cutter Entry'!K116,LEN('ARDT Cutter Entry'!K116)-1)),IF(OR(COUNTIF('ARDT Cutter Entry'!K48,"*X*"),COUNTIF('ARDT Cutter Entry'!K48,"*L*")),'ARDT Cutter Entry'!K48,LEFT('ARDT Cutter Entry'!K48,LEN('ARDT Cutter Entry'!K48)-1))),"")</f>
        <v/>
      </c>
      <c r="AY32" s="2379"/>
      <c r="AZ32" s="2379"/>
      <c r="BA32" s="2379"/>
      <c r="BB32" s="2379"/>
      <c r="BC32" s="2379"/>
      <c r="BD32" s="2379" t="str">
        <f>IFERROR(IF('ARDT Cutter Entry'!$C$111&lt;&gt;"",IF(OR(COUNTIF('ARDT Cutter Entry'!L116,"*X*"),COUNTIF('ARDT Cutter Entry'!L116,"*L*")), 'ARDT Cutter Entry'!L116,LEFT('ARDT Cutter Entry'!L116,LEN('ARDT Cutter Entry'!L116)-1)),IF(OR(COUNTIF('ARDT Cutter Entry'!L48,"*X*"),COUNTIF('ARDT Cutter Entry'!L48,"*L*")),'ARDT Cutter Entry'!L48,LEFT('ARDT Cutter Entry'!L48,LEN('ARDT Cutter Entry'!L48)-1))),"")</f>
        <v>S</v>
      </c>
      <c r="BE32" s="2379"/>
      <c r="BF32" s="2379"/>
      <c r="BG32" s="2379"/>
      <c r="BH32" s="2379"/>
      <c r="BI32" s="2379"/>
      <c r="BJ32" s="2379" t="str">
        <f>IFERROR(IF('ARDT Cutter Entry'!$C$111&lt;&gt;"",IF(OR(COUNTIF('ARDT Cutter Entry'!M116,"*X*"),COUNTIF('ARDT Cutter Entry'!M116,"*L*")), 'ARDT Cutter Entry'!M116,LEFT('ARDT Cutter Entry'!M116,LEN('ARDT Cutter Entry'!M116)-1)),IF(OR(COUNTIF('ARDT Cutter Entry'!M48,"*X*"),COUNTIF('ARDT Cutter Entry'!M48,"*L*")),'ARDT Cutter Entry'!M48,LEFT('ARDT Cutter Entry'!M48,LEN('ARDT Cutter Entry'!M48)-1))),"")</f>
        <v>R</v>
      </c>
      <c r="BK32" s="2379"/>
      <c r="BL32" s="2379"/>
      <c r="BM32" s="2379"/>
      <c r="BN32" s="2379"/>
      <c r="BO32" s="2379"/>
      <c r="BP32" s="2379" t="str">
        <f>IFERROR(IF('ARDT Cutter Entry'!$C$111&lt;&gt;"",IF(OR(COUNTIF('ARDT Cutter Entry'!N116,"*X*"),COUNTIF('ARDT Cutter Entry'!N116,"*L*")), 'ARDT Cutter Entry'!N116,LEFT('ARDT Cutter Entry'!N116,LEN('ARDT Cutter Entry'!N116)-1)),IF(OR(COUNTIF('ARDT Cutter Entry'!N48,"*X*"),COUNTIF('ARDT Cutter Entry'!N48,"*L*")),'ARDT Cutter Entry'!N48,LEFT('ARDT Cutter Entry'!N48,LEN('ARDT Cutter Entry'!N48)-1))),"")</f>
        <v>R</v>
      </c>
      <c r="BQ32" s="2379"/>
      <c r="BR32" s="2379"/>
      <c r="BS32" s="2379"/>
      <c r="BT32" s="2379"/>
      <c r="BU32" s="2379"/>
      <c r="BV32" s="2379" t="str">
        <f>IFERROR(IF('ARDT Cutter Entry'!$C$111&lt;&gt;"",IF(OR(COUNTIF('ARDT Cutter Entry'!O116,"*X*"),COUNTIF('ARDT Cutter Entry'!O116,"*L*")), 'ARDT Cutter Entry'!O116,LEFT('ARDT Cutter Entry'!O116,LEN('ARDT Cutter Entry'!O116)-1)),IF(OR(COUNTIF('ARDT Cutter Entry'!O48,"*X*"),COUNTIF('ARDT Cutter Entry'!O48,"*L*")),'ARDT Cutter Entry'!O48,LEFT('ARDT Cutter Entry'!O48,LEN('ARDT Cutter Entry'!O48)-1))),"")</f>
        <v>R</v>
      </c>
      <c r="BW32" s="2379"/>
      <c r="BX32" s="2379"/>
      <c r="BY32" s="2379"/>
      <c r="BZ32" s="2379"/>
      <c r="CA32" s="2379"/>
      <c r="CB32" s="2379" t="str">
        <f>IFERROR(IF('ARDT Cutter Entry'!$C$111&lt;&gt;"",IF(OR(COUNTIF('ARDT Cutter Entry'!P116,"*X*"),COUNTIF('ARDT Cutter Entry'!P116,"*L*")), 'ARDT Cutter Entry'!P116,LEFT('ARDT Cutter Entry'!P116,LEN('ARDT Cutter Entry'!P116)-1)),IF(OR(COUNTIF('ARDT Cutter Entry'!P48,"*X*"),COUNTIF('ARDT Cutter Entry'!P48,"*L*")),'ARDT Cutter Entry'!P48,LEFT('ARDT Cutter Entry'!P48,LEN('ARDT Cutter Entry'!P48)-1))),"")</f>
        <v/>
      </c>
      <c r="CC32" s="2379"/>
      <c r="CD32" s="2379"/>
      <c r="CE32" s="2379"/>
      <c r="CF32" s="2379"/>
      <c r="CG32" s="2379"/>
      <c r="CH32" s="2379" t="str">
        <f>IFERROR(IF('ARDT Cutter Entry'!$C$111&lt;&gt;"",IF(OR(COUNTIF('ARDT Cutter Entry'!Q116,"*X*"),COUNTIF('ARDT Cutter Entry'!Q116,"*L*")), 'ARDT Cutter Entry'!Q116,LEFT('ARDT Cutter Entry'!Q116,LEN('ARDT Cutter Entry'!Q116)-1)),IF(OR(COUNTIF('ARDT Cutter Entry'!Q48,"*X*"),COUNTIF('ARDT Cutter Entry'!Q48,"*L*")),'ARDT Cutter Entry'!Q48,LEFT('ARDT Cutter Entry'!Q48,LEN('ARDT Cutter Entry'!Q48)-1))),"")</f>
        <v/>
      </c>
      <c r="CI32" s="2379"/>
      <c r="CJ32" s="2379"/>
      <c r="CK32" s="2379"/>
      <c r="CL32" s="2379"/>
      <c r="CM32" s="2379"/>
      <c r="CN32" s="2379" t="str">
        <f>IFERROR(IF('ARDT Cutter Entry'!$C$111&lt;&gt;"",IF(OR(COUNTIF('ARDT Cutter Entry'!R116,"*X*"),COUNTIF('ARDT Cutter Entry'!R116,"*L*")), 'ARDT Cutter Entry'!R116,LEFT('ARDT Cutter Entry'!R116,LEN('ARDT Cutter Entry'!R116)-1)),IF(OR(COUNTIF('ARDT Cutter Entry'!R48,"*X*"),COUNTIF('ARDT Cutter Entry'!R48,"*L*")),'ARDT Cutter Entry'!R48,LEFT('ARDT Cutter Entry'!R48,LEN('ARDT Cutter Entry'!R48)-1))),"")</f>
        <v/>
      </c>
      <c r="CO32" s="2379"/>
      <c r="CP32" s="2379"/>
      <c r="CQ32" s="2379"/>
      <c r="CR32" s="2379"/>
      <c r="CS32" s="2379"/>
      <c r="CT32" s="2379" t="str">
        <f>IFERROR(IF('ARDT Cutter Entry'!$C$111&lt;&gt;"",IF(OR(COUNTIF('ARDT Cutter Entry'!S116,"*X*"),COUNTIF('ARDT Cutter Entry'!S116,"*L*")), 'ARDT Cutter Entry'!S116,LEFT('ARDT Cutter Entry'!S116,LEN('ARDT Cutter Entry'!S116)-1)),IF(OR(COUNTIF('ARDT Cutter Entry'!S48,"*X*"),COUNTIF('ARDT Cutter Entry'!S48,"*L*")),'ARDT Cutter Entry'!S48,LEFT('ARDT Cutter Entry'!S48,LEN('ARDT Cutter Entry'!S48)-1))),"")</f>
        <v/>
      </c>
      <c r="CU32" s="2379"/>
      <c r="CV32" s="2379"/>
      <c r="CW32" s="2379"/>
      <c r="CX32" s="2379"/>
      <c r="CY32" s="2379"/>
      <c r="CZ32" s="2379" t="str">
        <f>IFERROR(IF('ARDT Cutter Entry'!$C$111&lt;&gt;"",IF(OR(COUNTIF('ARDT Cutter Entry'!T116,"*X*"),COUNTIF('ARDT Cutter Entry'!T116,"*L*")), 'ARDT Cutter Entry'!T116,LEFT('ARDT Cutter Entry'!T116,LEN('ARDT Cutter Entry'!T116)-1)),IF(OR(COUNTIF('ARDT Cutter Entry'!T48,"*X*"),COUNTIF('ARDT Cutter Entry'!T48,"*L*")),'ARDT Cutter Entry'!T48,LEFT('ARDT Cutter Entry'!T48,LEN('ARDT Cutter Entry'!T48)-1))),"")</f>
        <v/>
      </c>
      <c r="DA32" s="2379"/>
      <c r="DB32" s="2379"/>
      <c r="DC32" s="2379"/>
      <c r="DD32" s="2379"/>
      <c r="DE32" s="2379"/>
      <c r="DF32" s="2379" t="str">
        <f>IFERROR(IF('ARDT Cutter Entry'!$C$111&lt;&gt;"",IF(OR(COUNTIF('ARDT Cutter Entry'!U116,"*X*"),COUNTIF('ARDT Cutter Entry'!U116,"*L*")), 'ARDT Cutter Entry'!U116,LEFT('ARDT Cutter Entry'!U116,LEN('ARDT Cutter Entry'!U116)-1)),IF(OR(COUNTIF('ARDT Cutter Entry'!U48,"*X*"),COUNTIF('ARDT Cutter Entry'!U48,"*L*")),'ARDT Cutter Entry'!U48,LEFT('ARDT Cutter Entry'!U48,LEN('ARDT Cutter Entry'!U48)-1))),"")</f>
        <v/>
      </c>
      <c r="DG32" s="2379"/>
      <c r="DH32" s="2379"/>
      <c r="DI32" s="2379"/>
      <c r="DJ32" s="2379"/>
      <c r="DK32" s="2379"/>
      <c r="DL32" s="2379" t="str">
        <f>IFERROR(IF('ARDT Cutter Entry'!$C$111&lt;&gt;"",IF(OR(COUNTIF('ARDT Cutter Entry'!V116,"*X*"),COUNTIF('ARDT Cutter Entry'!V116,"*L*")), 'ARDT Cutter Entry'!V116,LEFT('ARDT Cutter Entry'!V116,LEN('ARDT Cutter Entry'!V116)-1)),IF(OR(COUNTIF('ARDT Cutter Entry'!V48,"*X*"),COUNTIF('ARDT Cutter Entry'!V48,"*L*")),'ARDT Cutter Entry'!V48,LEFT('ARDT Cutter Entry'!V48,LEN('ARDT Cutter Entry'!V48)-1))),"")</f>
        <v/>
      </c>
      <c r="DM32" s="2379"/>
      <c r="DN32" s="2379"/>
      <c r="DO32" s="2379"/>
      <c r="DP32" s="2379"/>
      <c r="DQ32" s="2379"/>
      <c r="DR32" s="2379" t="str">
        <f>IFERROR(IF('ARDT Cutter Entry'!$C$111&lt;&gt;"",IF(OR(COUNTIF('ARDT Cutter Entry'!W116,"*X*"),COUNTIF('ARDT Cutter Entry'!W116,"*L*")), 'ARDT Cutter Entry'!W116,LEFT('ARDT Cutter Entry'!W116,LEN('ARDT Cutter Entry'!W116)-1)),IF(OR(COUNTIF('ARDT Cutter Entry'!W48,"*X*"),COUNTIF('ARDT Cutter Entry'!W48,"*L*")),'ARDT Cutter Entry'!W48,LEFT('ARDT Cutter Entry'!W48,LEN('ARDT Cutter Entry'!W48)-1))),"")</f>
        <v/>
      </c>
      <c r="DS32" s="2379"/>
      <c r="DT32" s="2379"/>
      <c r="DU32" s="2379"/>
      <c r="DV32" s="2379"/>
      <c r="DW32" s="2379"/>
      <c r="DX32" s="2379" t="str">
        <f>IFERROR(IF('ARDT Cutter Entry'!$C$111&lt;&gt;"",IF(OR(COUNTIF('ARDT Cutter Entry'!X116,"*X*"),COUNTIF('ARDT Cutter Entry'!X116,"*L*")), 'ARDT Cutter Entry'!X116,LEFT('ARDT Cutter Entry'!X116,LEN('ARDT Cutter Entry'!X116)-1)),IF(OR(COUNTIF('ARDT Cutter Entry'!X48,"*X*"),COUNTIF('ARDT Cutter Entry'!X48,"*L*")),'ARDT Cutter Entry'!X48,LEFT('ARDT Cutter Entry'!X48,LEN('ARDT Cutter Entry'!X48)-1))),"")</f>
        <v/>
      </c>
      <c r="DY32" s="2379"/>
      <c r="DZ32" s="2379"/>
      <c r="EA32" s="2379"/>
      <c r="EB32" s="2379"/>
      <c r="EC32" s="2379"/>
      <c r="ED32" s="2379" t="str">
        <f>IFERROR(IF('ARDT Cutter Entry'!$C$111&lt;&gt;"",IF(OR(COUNTIF('ARDT Cutter Entry'!Y116,"*X*"),COUNTIF('ARDT Cutter Entry'!Y116,"*L*")), 'ARDT Cutter Entry'!Y116,LEFT('ARDT Cutter Entry'!Y116,LEN('ARDT Cutter Entry'!Y116)-1)),IF(OR(COUNTIF('ARDT Cutter Entry'!Y48,"*X*"),COUNTIF('ARDT Cutter Entry'!Y48,"*L*")),'ARDT Cutter Entry'!Y48,LEFT('ARDT Cutter Entry'!Y48,LEN('ARDT Cutter Entry'!Y48)-1))),"")</f>
        <v/>
      </c>
      <c r="EE32" s="2379"/>
      <c r="EF32" s="2379"/>
      <c r="EG32" s="2379"/>
      <c r="EH32" s="2379"/>
      <c r="EI32" s="2379"/>
      <c r="EJ32" s="2379" t="str">
        <f>IFERROR(IF('ARDT Cutter Entry'!$C$111&lt;&gt;"",IF(OR(COUNTIF('ARDT Cutter Entry'!Z116,"*X*"),COUNTIF('ARDT Cutter Entry'!Z116,"*L*")), 'ARDT Cutter Entry'!Z116,LEFT('ARDT Cutter Entry'!Z116,LEN('ARDT Cutter Entry'!Z116)-1)),IF(OR(COUNTIF('ARDT Cutter Entry'!Z48,"*X*"),COUNTIF('ARDT Cutter Entry'!Z48,"*L*")),'ARDT Cutter Entry'!Z48,LEFT('ARDT Cutter Entry'!Z48,LEN('ARDT Cutter Entry'!Z48)-1))),"")</f>
        <v/>
      </c>
      <c r="EK32" s="2379"/>
      <c r="EL32" s="2379"/>
      <c r="EM32" s="2379"/>
      <c r="EN32" s="2379"/>
      <c r="EO32" s="2379"/>
      <c r="EP32" s="2379" t="str">
        <f>IFERROR(IF('ARDT Cutter Entry'!$C$111&lt;&gt;"",IF(OR(COUNTIF('ARDT Cutter Entry'!AA116,"*X*"),COUNTIF('ARDT Cutter Entry'!AA116,"*L*")), 'ARDT Cutter Entry'!AA116,LEFT('ARDT Cutter Entry'!AA116,LEN('ARDT Cutter Entry'!AA116)-1)),IF(OR(COUNTIF('ARDT Cutter Entry'!AA48,"*X*"),COUNTIF('ARDT Cutter Entry'!AA48,"*L*")),'ARDT Cutter Entry'!AA48,LEFT('ARDT Cutter Entry'!AA48,LEN('ARDT Cutter Entry'!AA48)-1))),"")</f>
        <v/>
      </c>
      <c r="EQ32" s="2379"/>
      <c r="ER32" s="2379"/>
      <c r="ES32" s="2379"/>
      <c r="ET32" s="2379"/>
      <c r="EU32" s="2379"/>
      <c r="EV32" s="2379" t="str">
        <f>IFERROR(IF('ARDT Cutter Entry'!$C$111&lt;&gt;"",IF(OR(COUNTIF('ARDT Cutter Entry'!AB116,"*X*"),COUNTIF('ARDT Cutter Entry'!AB116,"*L*")), 'ARDT Cutter Entry'!AB116,LEFT('ARDT Cutter Entry'!AB116,LEN('ARDT Cutter Entry'!AB116)-1)),IF(OR(COUNTIF('ARDT Cutter Entry'!AB48,"*X*"),COUNTIF('ARDT Cutter Entry'!AB48,"*L*")),'ARDT Cutter Entry'!AB48,LEFT('ARDT Cutter Entry'!AB48,LEN('ARDT Cutter Entry'!AB48)-1))),"")</f>
        <v/>
      </c>
      <c r="EW32" s="2379"/>
      <c r="EX32" s="2379"/>
      <c r="EY32" s="2379"/>
      <c r="EZ32" s="2379"/>
      <c r="FA32" s="2379"/>
      <c r="FB32" s="2379" t="str">
        <f>IFERROR(IF('ARDT Cutter Entry'!$C$111&lt;&gt;"",IF(OR(COUNTIF('ARDT Cutter Entry'!AC116,"*X*"),COUNTIF('ARDT Cutter Entry'!AC116,"*L*")), 'ARDT Cutter Entry'!AC116,LEFT('ARDT Cutter Entry'!AC116,LEN('ARDT Cutter Entry'!AC116)-1)),IF(OR(COUNTIF('ARDT Cutter Entry'!AC48,"*X*"),COUNTIF('ARDT Cutter Entry'!AC48,"*L*")),'ARDT Cutter Entry'!AC48,LEFT('ARDT Cutter Entry'!AC48,LEN('ARDT Cutter Entry'!AC48)-1))),"")</f>
        <v/>
      </c>
      <c r="FC32" s="2379"/>
      <c r="FD32" s="2379"/>
      <c r="FE32" s="2379"/>
      <c r="FF32" s="2379"/>
      <c r="FG32" s="2379"/>
      <c r="FH32" s="2379" t="str">
        <f>IFERROR(IF('ARDT Cutter Entry'!$C$111&lt;&gt;"",IF(OR(COUNTIF('ARDT Cutter Entry'!AD116,"*X*"),COUNTIF('ARDT Cutter Entry'!AD116,"*L*")), 'ARDT Cutter Entry'!AD116,LEFT('ARDT Cutter Entry'!AD116,LEN('ARDT Cutter Entry'!AD116)-1)),IF(OR(COUNTIF('ARDT Cutter Entry'!AD48,"*X*"),COUNTIF('ARDT Cutter Entry'!AD48,"*L*")),'ARDT Cutter Entry'!AD48,LEFT('ARDT Cutter Entry'!AD48,LEN('ARDT Cutter Entry'!AD48)-1))),"")</f>
        <v/>
      </c>
      <c r="FI32" s="2379"/>
      <c r="FJ32" s="2379"/>
      <c r="FK32" s="2379"/>
      <c r="FL32" s="2379"/>
      <c r="FM32" s="2379"/>
      <c r="FN32" s="2379" t="str">
        <f>IFERROR(IF('ARDT Cutter Entry'!$C$111&lt;&gt;"",IF(OR(COUNTIF('ARDT Cutter Entry'!AE116,"*X*"),COUNTIF('ARDT Cutter Entry'!AE116,"*L*")), 'ARDT Cutter Entry'!AE116,LEFT('ARDT Cutter Entry'!AE116,LEN('ARDT Cutter Entry'!AE116)-1)),IF(OR(COUNTIF('ARDT Cutter Entry'!AE48,"*X*"),COUNTIF('ARDT Cutter Entry'!AE48,"*L*")),'ARDT Cutter Entry'!AE48,LEFT('ARDT Cutter Entry'!AE48,LEN('ARDT Cutter Entry'!AE48)-1))),"")</f>
        <v/>
      </c>
      <c r="FO32" s="2379"/>
      <c r="FP32" s="2379"/>
      <c r="FQ32" s="2379"/>
      <c r="FR32" s="2379"/>
      <c r="FS32" s="2379"/>
      <c r="FT32" s="2379" t="str">
        <f>IFERROR(IF('ARDT Cutter Entry'!$C$111&lt;&gt;"",IF(OR(COUNTIF('ARDT Cutter Entry'!AF116,"*X*"),COUNTIF('ARDT Cutter Entry'!AF116,"*L*")), 'ARDT Cutter Entry'!AF116,LEFT('ARDT Cutter Entry'!AF116,LEN('ARDT Cutter Entry'!AF116)-1)),IF(OR(COUNTIF('ARDT Cutter Entry'!AF48,"*X*"),COUNTIF('ARDT Cutter Entry'!AF48,"*L*")),'ARDT Cutter Entry'!AF48,LEFT('ARDT Cutter Entry'!AF48,LEN('ARDT Cutter Entry'!AF48)-1))),"")</f>
        <v/>
      </c>
      <c r="FU32" s="2379"/>
      <c r="FV32" s="2379"/>
      <c r="FW32" s="2379"/>
      <c r="FX32" s="2379"/>
      <c r="FY32" s="2379"/>
      <c r="FZ32" s="2379" t="str">
        <f>IFERROR(IF('ARDT Cutter Entry'!$C$111&lt;&gt;"",IF(OR(COUNTIF('ARDT Cutter Entry'!AG116,"*X*"),COUNTIF('ARDT Cutter Entry'!AG116,"*L*")), 'ARDT Cutter Entry'!AG116,LEFT('ARDT Cutter Entry'!AG116,LEN('ARDT Cutter Entry'!AG116)-1)),IF(OR(COUNTIF('ARDT Cutter Entry'!AG48,"*X*"),COUNTIF('ARDT Cutter Entry'!AG48,"*L*")),'ARDT Cutter Entry'!AG48,LEFT('ARDT Cutter Entry'!AG48,LEN('ARDT Cutter Entry'!AG48)-1))),"")</f>
        <v/>
      </c>
      <c r="GA32" s="2379"/>
      <c r="GB32" s="2379"/>
      <c r="GC32" s="2379"/>
      <c r="GD32" s="2379"/>
      <c r="GE32" s="2379"/>
      <c r="GF32" s="1132"/>
      <c r="GG32" s="1132"/>
    </row>
    <row r="33" spans="1:190" ht="44.25" customHeight="1" x14ac:dyDescent="0.45">
      <c r="A33" s="338">
        <v>7</v>
      </c>
      <c r="B33" s="2379" t="str">
        <f>IFERROR(IF('ARDT Cutter Entry'!$C$111&lt;&gt;"",IF(OR(COUNTIF('ARDT Cutter Entry'!C117,"*X*"),COUNTIF('ARDT Cutter Entry'!C117,"*L*")), 'ARDT Cutter Entry'!C117,LEFT('ARDT Cutter Entry'!C117,LEN('ARDT Cutter Entry'!C117)-1)),IF(OR(COUNTIF('ARDT Cutter Entry'!C49,"*X*"),COUNTIF('ARDT Cutter Entry'!C49,"*L*")),'ARDT Cutter Entry'!C49,LEFT('ARDT Cutter Entry'!C49,LEN('ARDT Cutter Entry'!C49)-1))),"")</f>
        <v/>
      </c>
      <c r="C33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3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3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3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3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3" s="2379" t="str">
        <f>IFERROR(IF('ARDT Cutter Entry'!$C$111&lt;&gt;"",IF(OR(COUNTIF('ARDT Cutter Entry'!D117,"*X*"),COUNTIF('ARDT Cutter Entry'!D117,"*L*")), 'ARDT Cutter Entry'!D117,LEFT('ARDT Cutter Entry'!D117,LEN('ARDT Cutter Entry'!D117)-1)),IF(OR(COUNTIF('ARDT Cutter Entry'!D49,"*X*"),COUNTIF('ARDT Cutter Entry'!D49,"*L*")),'ARDT Cutter Entry'!D49,LEFT('ARDT Cutter Entry'!D49,LEN('ARDT Cutter Entry'!D49)-1))),"")</f>
        <v/>
      </c>
      <c r="I33" s="2379"/>
      <c r="J33" s="2379"/>
      <c r="K33" s="2379"/>
      <c r="L33" s="2379"/>
      <c r="M33" s="2379"/>
      <c r="N33" s="2379" t="str">
        <f>IFERROR(IF('ARDT Cutter Entry'!$C$111&lt;&gt;"",IF(OR(COUNTIF('ARDT Cutter Entry'!E117,"*X*"),COUNTIF('ARDT Cutter Entry'!E117,"*L*")), 'ARDT Cutter Entry'!E117,LEFT('ARDT Cutter Entry'!E117,LEN('ARDT Cutter Entry'!E117)-1)),IF(OR(COUNTIF('ARDT Cutter Entry'!E49,"*X*"),COUNTIF('ARDT Cutter Entry'!E49,"*L*")),'ARDT Cutter Entry'!E49,LEFT('ARDT Cutter Entry'!E49,LEN('ARDT Cutter Entry'!E49)-1))),"")</f>
        <v/>
      </c>
      <c r="O33" s="2379"/>
      <c r="P33" s="2379"/>
      <c r="Q33" s="2379"/>
      <c r="R33" s="2379"/>
      <c r="S33" s="2379"/>
      <c r="T33" s="2379" t="str">
        <f>IFERROR(IF('ARDT Cutter Entry'!$C$111&lt;&gt;"",IF(OR(COUNTIF('ARDT Cutter Entry'!F117,"*X*"),COUNTIF('ARDT Cutter Entry'!F117,"*L*")), 'ARDT Cutter Entry'!F117,LEFT('ARDT Cutter Entry'!F117,LEN('ARDT Cutter Entry'!F117)-1)),IF(OR(COUNTIF('ARDT Cutter Entry'!F49,"*X*"),COUNTIF('ARDT Cutter Entry'!F49,"*L*")),'ARDT Cutter Entry'!F49,LEFT('ARDT Cutter Entry'!F49,LEN('ARDT Cutter Entry'!F49)-1))),"")</f>
        <v/>
      </c>
      <c r="U33" s="2379"/>
      <c r="V33" s="2379"/>
      <c r="W33" s="2379"/>
      <c r="X33" s="2379"/>
      <c r="Y33" s="2379"/>
      <c r="Z33" s="2379" t="str">
        <f>IFERROR(IF('ARDT Cutter Entry'!$C$111&lt;&gt;"",IF(OR(COUNTIF('ARDT Cutter Entry'!G117,"*X*"),COUNTIF('ARDT Cutter Entry'!G117,"*L*")), 'ARDT Cutter Entry'!G117,LEFT('ARDT Cutter Entry'!G117,LEN('ARDT Cutter Entry'!G117)-1)),IF(OR(COUNTIF('ARDT Cutter Entry'!G49,"*X*"),COUNTIF('ARDT Cutter Entry'!G49,"*L*")),'ARDT Cutter Entry'!G49,LEFT('ARDT Cutter Entry'!G49,LEN('ARDT Cutter Entry'!G49)-1))),"")</f>
        <v/>
      </c>
      <c r="AA33" s="2379"/>
      <c r="AB33" s="2379"/>
      <c r="AC33" s="2379"/>
      <c r="AD33" s="2379"/>
      <c r="AE33" s="2379"/>
      <c r="AF33" s="2379" t="str">
        <f>IFERROR(IF('ARDT Cutter Entry'!$C$111&lt;&gt;"",IF(OR(COUNTIF('ARDT Cutter Entry'!H117,"*X*"),COUNTIF('ARDT Cutter Entry'!H117,"*L*")), 'ARDT Cutter Entry'!H117,LEFT('ARDT Cutter Entry'!H117,LEN('ARDT Cutter Entry'!H117)-1)),IF(OR(COUNTIF('ARDT Cutter Entry'!H49,"*X*"),COUNTIF('ARDT Cutter Entry'!H49,"*L*")),'ARDT Cutter Entry'!H49,LEFT('ARDT Cutter Entry'!H49,LEN('ARDT Cutter Entry'!H49)-1))),"")</f>
        <v/>
      </c>
      <c r="AG33" s="2379"/>
      <c r="AH33" s="2379"/>
      <c r="AI33" s="2379"/>
      <c r="AJ33" s="2379"/>
      <c r="AK33" s="2379"/>
      <c r="AL33" s="2379" t="str">
        <f>IFERROR(IF('ARDT Cutter Entry'!$C$111&lt;&gt;"",IF(OR(COUNTIF('ARDT Cutter Entry'!I117,"*X*"),COUNTIF('ARDT Cutter Entry'!I117,"*L*")), 'ARDT Cutter Entry'!I117,LEFT('ARDT Cutter Entry'!I117,LEN('ARDT Cutter Entry'!I117)-1)),IF(OR(COUNTIF('ARDT Cutter Entry'!I49,"*X*"),COUNTIF('ARDT Cutter Entry'!I49,"*L*")),'ARDT Cutter Entry'!I49,LEFT('ARDT Cutter Entry'!I49,LEN('ARDT Cutter Entry'!I49)-1))),"")</f>
        <v/>
      </c>
      <c r="AM33" s="2379"/>
      <c r="AN33" s="2379"/>
      <c r="AO33" s="2379"/>
      <c r="AP33" s="2379"/>
      <c r="AQ33" s="2379"/>
      <c r="AR33" s="2379" t="str">
        <f>IFERROR(IF('ARDT Cutter Entry'!$C$111&lt;&gt;"",IF(OR(COUNTIF('ARDT Cutter Entry'!J117,"*X*"),COUNTIF('ARDT Cutter Entry'!J117,"*L*")), 'ARDT Cutter Entry'!J117,LEFT('ARDT Cutter Entry'!J117,LEN('ARDT Cutter Entry'!J117)-1)),IF(OR(COUNTIF('ARDT Cutter Entry'!J49,"*X*"),COUNTIF('ARDT Cutter Entry'!J49,"*L*")),'ARDT Cutter Entry'!J49,LEFT('ARDT Cutter Entry'!J49,LEN('ARDT Cutter Entry'!J49)-1))),"")</f>
        <v/>
      </c>
      <c r="AS33" s="2379"/>
      <c r="AT33" s="2379"/>
      <c r="AU33" s="2379"/>
      <c r="AV33" s="2379"/>
      <c r="AW33" s="2379"/>
      <c r="AX33" s="2379" t="str">
        <f>IFERROR(IF('ARDT Cutter Entry'!$C$111&lt;&gt;"",IF(OR(COUNTIF('ARDT Cutter Entry'!K117,"*X*"),COUNTIF('ARDT Cutter Entry'!K117,"*L*")), 'ARDT Cutter Entry'!K117,LEFT('ARDT Cutter Entry'!K117,LEN('ARDT Cutter Entry'!K117)-1)),IF(OR(COUNTIF('ARDT Cutter Entry'!K49,"*X*"),COUNTIF('ARDT Cutter Entry'!K49,"*L*")),'ARDT Cutter Entry'!K49,LEFT('ARDT Cutter Entry'!K49,LEN('ARDT Cutter Entry'!K49)-1))),"")</f>
        <v/>
      </c>
      <c r="AY33" s="2379"/>
      <c r="AZ33" s="2379"/>
      <c r="BA33" s="2379"/>
      <c r="BB33" s="2379"/>
      <c r="BC33" s="2379"/>
      <c r="BD33" s="2379" t="str">
        <f>IFERROR(IF('ARDT Cutter Entry'!$C$111&lt;&gt;"",IF(OR(COUNTIF('ARDT Cutter Entry'!L117,"*X*"),COUNTIF('ARDT Cutter Entry'!L117,"*L*")), 'ARDT Cutter Entry'!L117,LEFT('ARDT Cutter Entry'!L117,LEN('ARDT Cutter Entry'!L117)-1)),IF(OR(COUNTIF('ARDT Cutter Entry'!L49,"*X*"),COUNTIF('ARDT Cutter Entry'!L49,"*L*")),'ARDT Cutter Entry'!L49,LEFT('ARDT Cutter Entry'!L49,LEN('ARDT Cutter Entry'!L49)-1))),"")</f>
        <v/>
      </c>
      <c r="BE33" s="2379"/>
      <c r="BF33" s="2379"/>
      <c r="BG33" s="2379"/>
      <c r="BH33" s="2379"/>
      <c r="BI33" s="2379"/>
      <c r="BJ33" s="2379" t="str">
        <f>IFERROR(IF('ARDT Cutter Entry'!$C$111&lt;&gt;"",IF(OR(COUNTIF('ARDT Cutter Entry'!M117,"*X*"),COUNTIF('ARDT Cutter Entry'!M117,"*L*")), 'ARDT Cutter Entry'!M117,LEFT('ARDT Cutter Entry'!M117,LEN('ARDT Cutter Entry'!M117)-1)),IF(OR(COUNTIF('ARDT Cutter Entry'!M49,"*X*"),COUNTIF('ARDT Cutter Entry'!M49,"*L*")),'ARDT Cutter Entry'!M49,LEFT('ARDT Cutter Entry'!M49,LEN('ARDT Cutter Entry'!M49)-1))),"")</f>
        <v/>
      </c>
      <c r="BK33" s="2379"/>
      <c r="BL33" s="2379"/>
      <c r="BM33" s="2379"/>
      <c r="BN33" s="2379"/>
      <c r="BO33" s="2379"/>
      <c r="BP33" s="2379" t="str">
        <f>IFERROR(IF('ARDT Cutter Entry'!$C$111&lt;&gt;"",IF(OR(COUNTIF('ARDT Cutter Entry'!N117,"*X*"),COUNTIF('ARDT Cutter Entry'!N117,"*L*")), 'ARDT Cutter Entry'!N117,LEFT('ARDT Cutter Entry'!N117,LEN('ARDT Cutter Entry'!N117)-1)),IF(OR(COUNTIF('ARDT Cutter Entry'!N49,"*X*"),COUNTIF('ARDT Cutter Entry'!N49,"*L*")),'ARDT Cutter Entry'!N49,LEFT('ARDT Cutter Entry'!N49,LEN('ARDT Cutter Entry'!N49)-1))),"")</f>
        <v/>
      </c>
      <c r="BQ33" s="2379"/>
      <c r="BR33" s="2379"/>
      <c r="BS33" s="2379"/>
      <c r="BT33" s="2379"/>
      <c r="BU33" s="2379"/>
      <c r="BV33" s="2379" t="str">
        <f>IFERROR(IF('ARDT Cutter Entry'!$C$111&lt;&gt;"",IF(OR(COUNTIF('ARDT Cutter Entry'!O117,"*X*"),COUNTIF('ARDT Cutter Entry'!O117,"*L*")), 'ARDT Cutter Entry'!O117,LEFT('ARDT Cutter Entry'!O117,LEN('ARDT Cutter Entry'!O117)-1)),IF(OR(COUNTIF('ARDT Cutter Entry'!O49,"*X*"),COUNTIF('ARDT Cutter Entry'!O49,"*L*")),'ARDT Cutter Entry'!O49,LEFT('ARDT Cutter Entry'!O49,LEN('ARDT Cutter Entry'!O49)-1))),"")</f>
        <v/>
      </c>
      <c r="BW33" s="2379"/>
      <c r="BX33" s="2379"/>
      <c r="BY33" s="2379"/>
      <c r="BZ33" s="2379"/>
      <c r="CA33" s="2379"/>
      <c r="CB33" s="2379" t="str">
        <f>IFERROR(IF('ARDT Cutter Entry'!$C$111&lt;&gt;"",IF(OR(COUNTIF('ARDT Cutter Entry'!P117,"*X*"),COUNTIF('ARDT Cutter Entry'!P117,"*L*")), 'ARDT Cutter Entry'!P117,LEFT('ARDT Cutter Entry'!P117,LEN('ARDT Cutter Entry'!P117)-1)),IF(OR(COUNTIF('ARDT Cutter Entry'!P49,"*X*"),COUNTIF('ARDT Cutter Entry'!P49,"*L*")),'ARDT Cutter Entry'!P49,LEFT('ARDT Cutter Entry'!P49,LEN('ARDT Cutter Entry'!P49)-1))),"")</f>
        <v/>
      </c>
      <c r="CC33" s="2379"/>
      <c r="CD33" s="2379"/>
      <c r="CE33" s="2379"/>
      <c r="CF33" s="2379"/>
      <c r="CG33" s="2379"/>
      <c r="CH33" s="2379" t="str">
        <f>IFERROR(IF('ARDT Cutter Entry'!$C$111&lt;&gt;"",IF(OR(COUNTIF('ARDT Cutter Entry'!Q117,"*X*"),COUNTIF('ARDT Cutter Entry'!Q117,"*L*")), 'ARDT Cutter Entry'!Q117,LEFT('ARDT Cutter Entry'!Q117,LEN('ARDT Cutter Entry'!Q117)-1)),IF(OR(COUNTIF('ARDT Cutter Entry'!Q49,"*X*"),COUNTIF('ARDT Cutter Entry'!Q49,"*L*")),'ARDT Cutter Entry'!Q49,LEFT('ARDT Cutter Entry'!Q49,LEN('ARDT Cutter Entry'!Q49)-1))),"")</f>
        <v/>
      </c>
      <c r="CI33" s="2379"/>
      <c r="CJ33" s="2379"/>
      <c r="CK33" s="2379"/>
      <c r="CL33" s="2379"/>
      <c r="CM33" s="2379"/>
      <c r="CN33" s="2379" t="str">
        <f>IFERROR(IF('ARDT Cutter Entry'!$C$111&lt;&gt;"",IF(OR(COUNTIF('ARDT Cutter Entry'!R117,"*X*"),COUNTIF('ARDT Cutter Entry'!R117,"*L*")), 'ARDT Cutter Entry'!R117,LEFT('ARDT Cutter Entry'!R117,LEN('ARDT Cutter Entry'!R117)-1)),IF(OR(COUNTIF('ARDT Cutter Entry'!R49,"*X*"),COUNTIF('ARDT Cutter Entry'!R49,"*L*")),'ARDT Cutter Entry'!R49,LEFT('ARDT Cutter Entry'!R49,LEN('ARDT Cutter Entry'!R49)-1))),"")</f>
        <v/>
      </c>
      <c r="CO33" s="2379"/>
      <c r="CP33" s="2379"/>
      <c r="CQ33" s="2379"/>
      <c r="CR33" s="2379"/>
      <c r="CS33" s="2379"/>
      <c r="CT33" s="2379" t="str">
        <f>IFERROR(IF('ARDT Cutter Entry'!$C$111&lt;&gt;"",IF(OR(COUNTIF('ARDT Cutter Entry'!S117,"*X*"),COUNTIF('ARDT Cutter Entry'!S117,"*L*")), 'ARDT Cutter Entry'!S117,LEFT('ARDT Cutter Entry'!S117,LEN('ARDT Cutter Entry'!S117)-1)),IF(OR(COUNTIF('ARDT Cutter Entry'!S49,"*X*"),COUNTIF('ARDT Cutter Entry'!S49,"*L*")),'ARDT Cutter Entry'!S49,LEFT('ARDT Cutter Entry'!S49,LEN('ARDT Cutter Entry'!S49)-1))),"")</f>
        <v/>
      </c>
      <c r="CU33" s="2379"/>
      <c r="CV33" s="2379"/>
      <c r="CW33" s="2379"/>
      <c r="CX33" s="2379"/>
      <c r="CY33" s="2379"/>
      <c r="CZ33" s="2379" t="str">
        <f>IFERROR(IF('ARDT Cutter Entry'!$C$111&lt;&gt;"",IF(OR(COUNTIF('ARDT Cutter Entry'!T117,"*X*"),COUNTIF('ARDT Cutter Entry'!T117,"*L*")), 'ARDT Cutter Entry'!T117,LEFT('ARDT Cutter Entry'!T117,LEN('ARDT Cutter Entry'!T117)-1)),IF(OR(COUNTIF('ARDT Cutter Entry'!T49,"*X*"),COUNTIF('ARDT Cutter Entry'!T49,"*L*")),'ARDT Cutter Entry'!T49,LEFT('ARDT Cutter Entry'!T49,LEN('ARDT Cutter Entry'!T49)-1))),"")</f>
        <v/>
      </c>
      <c r="DA33" s="2379"/>
      <c r="DB33" s="2379"/>
      <c r="DC33" s="2379"/>
      <c r="DD33" s="2379"/>
      <c r="DE33" s="2379"/>
      <c r="DF33" s="2379" t="str">
        <f>IFERROR(IF('ARDT Cutter Entry'!$C$111&lt;&gt;"",IF(OR(COUNTIF('ARDT Cutter Entry'!U117,"*X*"),COUNTIF('ARDT Cutter Entry'!U117,"*L*")), 'ARDT Cutter Entry'!U117,LEFT('ARDT Cutter Entry'!U117,LEN('ARDT Cutter Entry'!U117)-1)),IF(OR(COUNTIF('ARDT Cutter Entry'!U49,"*X*"),COUNTIF('ARDT Cutter Entry'!U49,"*L*")),'ARDT Cutter Entry'!U49,LEFT('ARDT Cutter Entry'!U49,LEN('ARDT Cutter Entry'!U49)-1))),"")</f>
        <v/>
      </c>
      <c r="DG33" s="2379"/>
      <c r="DH33" s="2379"/>
      <c r="DI33" s="2379"/>
      <c r="DJ33" s="2379"/>
      <c r="DK33" s="2379"/>
      <c r="DL33" s="2379" t="str">
        <f>IFERROR(IF('ARDT Cutter Entry'!$C$111&lt;&gt;"",IF(OR(COUNTIF('ARDT Cutter Entry'!V117,"*X*"),COUNTIF('ARDT Cutter Entry'!V117,"*L*")), 'ARDT Cutter Entry'!V117,LEFT('ARDT Cutter Entry'!V117,LEN('ARDT Cutter Entry'!V117)-1)),IF(OR(COUNTIF('ARDT Cutter Entry'!V49,"*X*"),COUNTIF('ARDT Cutter Entry'!V49,"*L*")),'ARDT Cutter Entry'!V49,LEFT('ARDT Cutter Entry'!V49,LEN('ARDT Cutter Entry'!V49)-1))),"")</f>
        <v/>
      </c>
      <c r="DM33" s="2379"/>
      <c r="DN33" s="2379"/>
      <c r="DO33" s="2379"/>
      <c r="DP33" s="2379"/>
      <c r="DQ33" s="2379"/>
      <c r="DR33" s="2379" t="str">
        <f>IFERROR(IF('ARDT Cutter Entry'!$C$111&lt;&gt;"",IF(OR(COUNTIF('ARDT Cutter Entry'!W117,"*X*"),COUNTIF('ARDT Cutter Entry'!W117,"*L*")), 'ARDT Cutter Entry'!W117,LEFT('ARDT Cutter Entry'!W117,LEN('ARDT Cutter Entry'!W117)-1)),IF(OR(COUNTIF('ARDT Cutter Entry'!W49,"*X*"),COUNTIF('ARDT Cutter Entry'!W49,"*L*")),'ARDT Cutter Entry'!W49,LEFT('ARDT Cutter Entry'!W49,LEN('ARDT Cutter Entry'!W49)-1))),"")</f>
        <v/>
      </c>
      <c r="DS33" s="2379"/>
      <c r="DT33" s="2379"/>
      <c r="DU33" s="2379"/>
      <c r="DV33" s="2379"/>
      <c r="DW33" s="2379"/>
      <c r="DX33" s="2379" t="str">
        <f>IFERROR(IF('ARDT Cutter Entry'!$C$111&lt;&gt;"",IF(OR(COUNTIF('ARDT Cutter Entry'!X117,"*X*"),COUNTIF('ARDT Cutter Entry'!X117,"*L*")), 'ARDT Cutter Entry'!X117,LEFT('ARDT Cutter Entry'!X117,LEN('ARDT Cutter Entry'!X117)-1)),IF(OR(COUNTIF('ARDT Cutter Entry'!X49,"*X*"),COUNTIF('ARDT Cutter Entry'!X49,"*L*")),'ARDT Cutter Entry'!X49,LEFT('ARDT Cutter Entry'!X49,LEN('ARDT Cutter Entry'!X49)-1))),"")</f>
        <v/>
      </c>
      <c r="DY33" s="2379"/>
      <c r="DZ33" s="2379"/>
      <c r="EA33" s="2379"/>
      <c r="EB33" s="2379"/>
      <c r="EC33" s="2379"/>
      <c r="ED33" s="2379" t="str">
        <f>IFERROR(IF('ARDT Cutter Entry'!$C$111&lt;&gt;"",IF(OR(COUNTIF('ARDT Cutter Entry'!Y117,"*X*"),COUNTIF('ARDT Cutter Entry'!Y117,"*L*")), 'ARDT Cutter Entry'!Y117,LEFT('ARDT Cutter Entry'!Y117,LEN('ARDT Cutter Entry'!Y117)-1)),IF(OR(COUNTIF('ARDT Cutter Entry'!Y49,"*X*"),COUNTIF('ARDT Cutter Entry'!Y49,"*L*")),'ARDT Cutter Entry'!Y49,LEFT('ARDT Cutter Entry'!Y49,LEN('ARDT Cutter Entry'!Y49)-1))),"")</f>
        <v/>
      </c>
      <c r="EE33" s="2379"/>
      <c r="EF33" s="2379"/>
      <c r="EG33" s="2379"/>
      <c r="EH33" s="2379"/>
      <c r="EI33" s="2379"/>
      <c r="EJ33" s="2379" t="str">
        <f>IFERROR(IF('ARDT Cutter Entry'!$C$111&lt;&gt;"",IF(OR(COUNTIF('ARDT Cutter Entry'!Z117,"*X*"),COUNTIF('ARDT Cutter Entry'!Z117,"*L*")), 'ARDT Cutter Entry'!Z117,LEFT('ARDT Cutter Entry'!Z117,LEN('ARDT Cutter Entry'!Z117)-1)),IF(OR(COUNTIF('ARDT Cutter Entry'!Z49,"*X*"),COUNTIF('ARDT Cutter Entry'!Z49,"*L*")),'ARDT Cutter Entry'!Z49,LEFT('ARDT Cutter Entry'!Z49,LEN('ARDT Cutter Entry'!Z49)-1))),"")</f>
        <v/>
      </c>
      <c r="EK33" s="2379"/>
      <c r="EL33" s="2379"/>
      <c r="EM33" s="2379"/>
      <c r="EN33" s="2379"/>
      <c r="EO33" s="2379"/>
      <c r="EP33" s="2379" t="str">
        <f>IFERROR(IF('ARDT Cutter Entry'!$C$111&lt;&gt;"",IF(OR(COUNTIF('ARDT Cutter Entry'!AA117,"*X*"),COUNTIF('ARDT Cutter Entry'!AA117,"*L*")), 'ARDT Cutter Entry'!AA117,LEFT('ARDT Cutter Entry'!AA117,LEN('ARDT Cutter Entry'!AA117)-1)),IF(OR(COUNTIF('ARDT Cutter Entry'!AA49,"*X*"),COUNTIF('ARDT Cutter Entry'!AA49,"*L*")),'ARDT Cutter Entry'!AA49,LEFT('ARDT Cutter Entry'!AA49,LEN('ARDT Cutter Entry'!AA49)-1))),"")</f>
        <v/>
      </c>
      <c r="EQ33" s="2379"/>
      <c r="ER33" s="2379"/>
      <c r="ES33" s="2379"/>
      <c r="ET33" s="2379"/>
      <c r="EU33" s="2379"/>
      <c r="EV33" s="2379" t="str">
        <f>IFERROR(IF('ARDT Cutter Entry'!$C$111&lt;&gt;"",IF(OR(COUNTIF('ARDT Cutter Entry'!AB117,"*X*"),COUNTIF('ARDT Cutter Entry'!AB117,"*L*")), 'ARDT Cutter Entry'!AB117,LEFT('ARDT Cutter Entry'!AB117,LEN('ARDT Cutter Entry'!AB117)-1)),IF(OR(COUNTIF('ARDT Cutter Entry'!AB49,"*X*"),COUNTIF('ARDT Cutter Entry'!AB49,"*L*")),'ARDT Cutter Entry'!AB49,LEFT('ARDT Cutter Entry'!AB49,LEN('ARDT Cutter Entry'!AB49)-1))),"")</f>
        <v/>
      </c>
      <c r="EW33" s="2379"/>
      <c r="EX33" s="2379"/>
      <c r="EY33" s="2379"/>
      <c r="EZ33" s="2379"/>
      <c r="FA33" s="2379"/>
      <c r="FB33" s="2379" t="str">
        <f>IFERROR(IF('ARDT Cutter Entry'!$C$111&lt;&gt;"",IF(OR(COUNTIF('ARDT Cutter Entry'!AC117,"*X*"),COUNTIF('ARDT Cutter Entry'!AC117,"*L*")), 'ARDT Cutter Entry'!AC117,LEFT('ARDT Cutter Entry'!AC117,LEN('ARDT Cutter Entry'!AC117)-1)),IF(OR(COUNTIF('ARDT Cutter Entry'!AC49,"*X*"),COUNTIF('ARDT Cutter Entry'!AC49,"*L*")),'ARDT Cutter Entry'!AC49,LEFT('ARDT Cutter Entry'!AC49,LEN('ARDT Cutter Entry'!AC49)-1))),"")</f>
        <v/>
      </c>
      <c r="FC33" s="2379"/>
      <c r="FD33" s="2379"/>
      <c r="FE33" s="2379"/>
      <c r="FF33" s="2379"/>
      <c r="FG33" s="2379"/>
      <c r="FH33" s="2379" t="str">
        <f>IFERROR(IF('ARDT Cutter Entry'!$C$111&lt;&gt;"",IF(OR(COUNTIF('ARDT Cutter Entry'!AD117,"*X*"),COUNTIF('ARDT Cutter Entry'!AD117,"*L*")), 'ARDT Cutter Entry'!AD117,LEFT('ARDT Cutter Entry'!AD117,LEN('ARDT Cutter Entry'!AD117)-1)),IF(OR(COUNTIF('ARDT Cutter Entry'!AD49,"*X*"),COUNTIF('ARDT Cutter Entry'!AD49,"*L*")),'ARDT Cutter Entry'!AD49,LEFT('ARDT Cutter Entry'!AD49,LEN('ARDT Cutter Entry'!AD49)-1))),"")</f>
        <v/>
      </c>
      <c r="FI33" s="2379"/>
      <c r="FJ33" s="2379"/>
      <c r="FK33" s="2379"/>
      <c r="FL33" s="2379"/>
      <c r="FM33" s="2379"/>
      <c r="FN33" s="2379" t="str">
        <f>IFERROR(IF('ARDT Cutter Entry'!$C$111&lt;&gt;"",IF(OR(COUNTIF('ARDT Cutter Entry'!AE117,"*X*"),COUNTIF('ARDT Cutter Entry'!AE117,"*L*")), 'ARDT Cutter Entry'!AE117,LEFT('ARDT Cutter Entry'!AE117,LEN('ARDT Cutter Entry'!AE117)-1)),IF(OR(COUNTIF('ARDT Cutter Entry'!AE49,"*X*"),COUNTIF('ARDT Cutter Entry'!AE49,"*L*")),'ARDT Cutter Entry'!AE49,LEFT('ARDT Cutter Entry'!AE49,LEN('ARDT Cutter Entry'!AE49)-1))),"")</f>
        <v/>
      </c>
      <c r="FO33" s="2379"/>
      <c r="FP33" s="2379"/>
      <c r="FQ33" s="2379"/>
      <c r="FR33" s="2379"/>
      <c r="FS33" s="2379"/>
      <c r="FT33" s="2379" t="str">
        <f>IFERROR(IF('ARDT Cutter Entry'!$C$111&lt;&gt;"",IF(OR(COUNTIF('ARDT Cutter Entry'!AF117,"*X*"),COUNTIF('ARDT Cutter Entry'!AF117,"*L*")), 'ARDT Cutter Entry'!AF117,LEFT('ARDT Cutter Entry'!AF117,LEN('ARDT Cutter Entry'!AF117)-1)),IF(OR(COUNTIF('ARDT Cutter Entry'!AF49,"*X*"),COUNTIF('ARDT Cutter Entry'!AF49,"*L*")),'ARDT Cutter Entry'!AF49,LEFT('ARDT Cutter Entry'!AF49,LEN('ARDT Cutter Entry'!AF49)-1))),"")</f>
        <v/>
      </c>
      <c r="FU33" s="2379"/>
      <c r="FV33" s="2379"/>
      <c r="FW33" s="2379"/>
      <c r="FX33" s="2379"/>
      <c r="FY33" s="2379"/>
      <c r="FZ33" s="2379" t="str">
        <f>IFERROR(IF('ARDT Cutter Entry'!$C$111&lt;&gt;"",IF(OR(COUNTIF('ARDT Cutter Entry'!AG117,"*X*"),COUNTIF('ARDT Cutter Entry'!AG117,"*L*")), 'ARDT Cutter Entry'!AG117,LEFT('ARDT Cutter Entry'!AG117,LEN('ARDT Cutter Entry'!AG117)-1)),IF(OR(COUNTIF('ARDT Cutter Entry'!AG49,"*X*"),COUNTIF('ARDT Cutter Entry'!AG49,"*L*")),'ARDT Cutter Entry'!AG49,LEFT('ARDT Cutter Entry'!AG49,LEN('ARDT Cutter Entry'!AG49)-1))),"")</f>
        <v/>
      </c>
      <c r="GA33" s="2379"/>
      <c r="GB33" s="2379"/>
      <c r="GC33" s="2379"/>
      <c r="GD33" s="2379"/>
      <c r="GE33" s="2379"/>
      <c r="GF33" s="1132"/>
      <c r="GG33" s="1132"/>
    </row>
    <row r="34" spans="1:190" ht="44.25" customHeight="1" x14ac:dyDescent="0.45">
      <c r="A34" s="338">
        <v>8</v>
      </c>
      <c r="B34" s="2379" t="str">
        <f>IFERROR(IF('ARDT Cutter Entry'!$C$111&lt;&gt;"",IF(OR(COUNTIF('ARDT Cutter Entry'!C118,"*X*"),COUNTIF('ARDT Cutter Entry'!C118,"*L*")), 'ARDT Cutter Entry'!C118,LEFT('ARDT Cutter Entry'!C118,LEN('ARDT Cutter Entry'!C118)-1)),IF(OR(COUNTIF('ARDT Cutter Entry'!C50,"*X*"),COUNTIF('ARDT Cutter Entry'!C50,"*L*")),'ARDT Cutter Entry'!C50,LEFT('ARDT Cutter Entry'!C50,LEN('ARDT Cutter Entry'!C50)-1))),"")</f>
        <v/>
      </c>
      <c r="C34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4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4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4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4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4" s="2379" t="str">
        <f>IFERROR(IF('ARDT Cutter Entry'!$C$111&lt;&gt;"",IF(OR(COUNTIF('ARDT Cutter Entry'!D118,"*X*"),COUNTIF('ARDT Cutter Entry'!D118,"*L*")), 'ARDT Cutter Entry'!D118,LEFT('ARDT Cutter Entry'!D118,LEN('ARDT Cutter Entry'!D118)-1)),IF(OR(COUNTIF('ARDT Cutter Entry'!D50,"*X*"),COUNTIF('ARDT Cutter Entry'!D50,"*L*")),'ARDT Cutter Entry'!D50,LEFT('ARDT Cutter Entry'!D50,LEN('ARDT Cutter Entry'!D50)-1))),"")</f>
        <v/>
      </c>
      <c r="I34" s="2379"/>
      <c r="J34" s="2379"/>
      <c r="K34" s="2379"/>
      <c r="L34" s="2379"/>
      <c r="M34" s="2379"/>
      <c r="N34" s="2379" t="str">
        <f>IFERROR(IF('ARDT Cutter Entry'!$C$111&lt;&gt;"",IF(OR(COUNTIF('ARDT Cutter Entry'!E118,"*X*"),COUNTIF('ARDT Cutter Entry'!E118,"*L*")), 'ARDT Cutter Entry'!E118,LEFT('ARDT Cutter Entry'!E118,LEN('ARDT Cutter Entry'!E118)-1)),IF(OR(COUNTIF('ARDT Cutter Entry'!E50,"*X*"),COUNTIF('ARDT Cutter Entry'!E50,"*L*")),'ARDT Cutter Entry'!E50,LEFT('ARDT Cutter Entry'!E50,LEN('ARDT Cutter Entry'!E50)-1))),"")</f>
        <v/>
      </c>
      <c r="O34" s="2379"/>
      <c r="P34" s="2379"/>
      <c r="Q34" s="2379"/>
      <c r="R34" s="2379"/>
      <c r="S34" s="2379"/>
      <c r="T34" s="2379" t="str">
        <f>IFERROR(IF('ARDT Cutter Entry'!$C$111&lt;&gt;"",IF(OR(COUNTIF('ARDT Cutter Entry'!F118,"*X*"),COUNTIF('ARDT Cutter Entry'!F118,"*L*")), 'ARDT Cutter Entry'!F118,LEFT('ARDT Cutter Entry'!F118,LEN('ARDT Cutter Entry'!F118)-1)),IF(OR(COUNTIF('ARDT Cutter Entry'!F50,"*X*"),COUNTIF('ARDT Cutter Entry'!F50,"*L*")),'ARDT Cutter Entry'!F50,LEFT('ARDT Cutter Entry'!F50,LEN('ARDT Cutter Entry'!F50)-1))),"")</f>
        <v/>
      </c>
      <c r="U34" s="2379"/>
      <c r="V34" s="2379"/>
      <c r="W34" s="2379"/>
      <c r="X34" s="2379"/>
      <c r="Y34" s="2379"/>
      <c r="Z34" s="2379" t="str">
        <f>IFERROR(IF('ARDT Cutter Entry'!$C$111&lt;&gt;"",IF(OR(COUNTIF('ARDT Cutter Entry'!G118,"*X*"),COUNTIF('ARDT Cutter Entry'!G118,"*L*")), 'ARDT Cutter Entry'!G118,LEFT('ARDT Cutter Entry'!G118,LEN('ARDT Cutter Entry'!G118)-1)),IF(OR(COUNTIF('ARDT Cutter Entry'!G50,"*X*"),COUNTIF('ARDT Cutter Entry'!G50,"*L*")),'ARDT Cutter Entry'!G50,LEFT('ARDT Cutter Entry'!G50,LEN('ARDT Cutter Entry'!G50)-1))),"")</f>
        <v/>
      </c>
      <c r="AA34" s="2379"/>
      <c r="AB34" s="2379"/>
      <c r="AC34" s="2379"/>
      <c r="AD34" s="2379"/>
      <c r="AE34" s="2379"/>
      <c r="AF34" s="2379" t="str">
        <f>IFERROR(IF('ARDT Cutter Entry'!$C$111&lt;&gt;"",IF(OR(COUNTIF('ARDT Cutter Entry'!H118,"*X*"),COUNTIF('ARDT Cutter Entry'!H118,"*L*")), 'ARDT Cutter Entry'!H118,LEFT('ARDT Cutter Entry'!H118,LEN('ARDT Cutter Entry'!H118)-1)),IF(OR(COUNTIF('ARDT Cutter Entry'!H50,"*X*"),COUNTIF('ARDT Cutter Entry'!H50,"*L*")),'ARDT Cutter Entry'!H50,LEFT('ARDT Cutter Entry'!H50,LEN('ARDT Cutter Entry'!H50)-1))),"")</f>
        <v/>
      </c>
      <c r="AG34" s="2379"/>
      <c r="AH34" s="2379"/>
      <c r="AI34" s="2379"/>
      <c r="AJ34" s="2379"/>
      <c r="AK34" s="2379"/>
      <c r="AL34" s="2379" t="str">
        <f>IFERROR(IF('ARDT Cutter Entry'!$C$111&lt;&gt;"",IF(OR(COUNTIF('ARDT Cutter Entry'!I118,"*X*"),COUNTIF('ARDT Cutter Entry'!I118,"*L*")), 'ARDT Cutter Entry'!I118,LEFT('ARDT Cutter Entry'!I118,LEN('ARDT Cutter Entry'!I118)-1)),IF(OR(COUNTIF('ARDT Cutter Entry'!I50,"*X*"),COUNTIF('ARDT Cutter Entry'!I50,"*L*")),'ARDT Cutter Entry'!I50,LEFT('ARDT Cutter Entry'!I50,LEN('ARDT Cutter Entry'!I50)-1))),"")</f>
        <v/>
      </c>
      <c r="AM34" s="2379"/>
      <c r="AN34" s="2379"/>
      <c r="AO34" s="2379"/>
      <c r="AP34" s="2379"/>
      <c r="AQ34" s="2379"/>
      <c r="AR34" s="2379" t="str">
        <f>IFERROR(IF('ARDT Cutter Entry'!$C$111&lt;&gt;"",IF(OR(COUNTIF('ARDT Cutter Entry'!J118,"*X*"),COUNTIF('ARDT Cutter Entry'!J118,"*L*")), 'ARDT Cutter Entry'!J118,LEFT('ARDT Cutter Entry'!J118,LEN('ARDT Cutter Entry'!J118)-1)),IF(OR(COUNTIF('ARDT Cutter Entry'!J50,"*X*"),COUNTIF('ARDT Cutter Entry'!J50,"*L*")),'ARDT Cutter Entry'!J50,LEFT('ARDT Cutter Entry'!J50,LEN('ARDT Cutter Entry'!J50)-1))),"")</f>
        <v/>
      </c>
      <c r="AS34" s="2379"/>
      <c r="AT34" s="2379"/>
      <c r="AU34" s="2379"/>
      <c r="AV34" s="2379"/>
      <c r="AW34" s="2379"/>
      <c r="AX34" s="2379" t="str">
        <f>IFERROR(IF('ARDT Cutter Entry'!$C$111&lt;&gt;"",IF(OR(COUNTIF('ARDT Cutter Entry'!K118,"*X*"),COUNTIF('ARDT Cutter Entry'!K118,"*L*")), 'ARDT Cutter Entry'!K118,LEFT('ARDT Cutter Entry'!K118,LEN('ARDT Cutter Entry'!K118)-1)),IF(OR(COUNTIF('ARDT Cutter Entry'!K50,"*X*"),COUNTIF('ARDT Cutter Entry'!K50,"*L*")),'ARDT Cutter Entry'!K50,LEFT('ARDT Cutter Entry'!K50,LEN('ARDT Cutter Entry'!K50)-1))),"")</f>
        <v/>
      </c>
      <c r="AY34" s="2379"/>
      <c r="AZ34" s="2379"/>
      <c r="BA34" s="2379"/>
      <c r="BB34" s="2379"/>
      <c r="BC34" s="2379"/>
      <c r="BD34" s="2379" t="str">
        <f>IFERROR(IF('ARDT Cutter Entry'!$C$111&lt;&gt;"",IF(OR(COUNTIF('ARDT Cutter Entry'!L118,"*X*"),COUNTIF('ARDT Cutter Entry'!L118,"*L*")), 'ARDT Cutter Entry'!L118,LEFT('ARDT Cutter Entry'!L118,LEN('ARDT Cutter Entry'!L118)-1)),IF(OR(COUNTIF('ARDT Cutter Entry'!L50,"*X*"),COUNTIF('ARDT Cutter Entry'!L50,"*L*")),'ARDT Cutter Entry'!L50,LEFT('ARDT Cutter Entry'!L50,LEN('ARDT Cutter Entry'!L50)-1))),"")</f>
        <v/>
      </c>
      <c r="BE34" s="2379"/>
      <c r="BF34" s="2379"/>
      <c r="BG34" s="2379"/>
      <c r="BH34" s="2379"/>
      <c r="BI34" s="2379"/>
      <c r="BJ34" s="2379" t="str">
        <f>IFERROR(IF('ARDT Cutter Entry'!$C$111&lt;&gt;"",IF(OR(COUNTIF('ARDT Cutter Entry'!M118,"*X*"),COUNTIF('ARDT Cutter Entry'!M118,"*L*")), 'ARDT Cutter Entry'!M118,LEFT('ARDT Cutter Entry'!M118,LEN('ARDT Cutter Entry'!M118)-1)),IF(OR(COUNTIF('ARDT Cutter Entry'!M50,"*X*"),COUNTIF('ARDT Cutter Entry'!M50,"*L*")),'ARDT Cutter Entry'!M50,LEFT('ARDT Cutter Entry'!M50,LEN('ARDT Cutter Entry'!M50)-1))),"")</f>
        <v/>
      </c>
      <c r="BK34" s="2379"/>
      <c r="BL34" s="2379"/>
      <c r="BM34" s="2379"/>
      <c r="BN34" s="2379"/>
      <c r="BO34" s="2379"/>
      <c r="BP34" s="2379" t="str">
        <f>IFERROR(IF('ARDT Cutter Entry'!$C$111&lt;&gt;"",IF(OR(COUNTIF('ARDT Cutter Entry'!N118,"*X*"),COUNTIF('ARDT Cutter Entry'!N118,"*L*")), 'ARDT Cutter Entry'!N118,LEFT('ARDT Cutter Entry'!N118,LEN('ARDT Cutter Entry'!N118)-1)),IF(OR(COUNTIF('ARDT Cutter Entry'!N50,"*X*"),COUNTIF('ARDT Cutter Entry'!N50,"*L*")),'ARDT Cutter Entry'!N50,LEFT('ARDT Cutter Entry'!N50,LEN('ARDT Cutter Entry'!N50)-1))),"")</f>
        <v/>
      </c>
      <c r="BQ34" s="2379"/>
      <c r="BR34" s="2379"/>
      <c r="BS34" s="2379"/>
      <c r="BT34" s="2379"/>
      <c r="BU34" s="2379"/>
      <c r="BV34" s="2379" t="str">
        <f>IFERROR(IF('ARDT Cutter Entry'!$C$111&lt;&gt;"",IF(OR(COUNTIF('ARDT Cutter Entry'!O118,"*X*"),COUNTIF('ARDT Cutter Entry'!O118,"*L*")), 'ARDT Cutter Entry'!O118,LEFT('ARDT Cutter Entry'!O118,LEN('ARDT Cutter Entry'!O118)-1)),IF(OR(COUNTIF('ARDT Cutter Entry'!O50,"*X*"),COUNTIF('ARDT Cutter Entry'!O50,"*L*")),'ARDT Cutter Entry'!O50,LEFT('ARDT Cutter Entry'!O50,LEN('ARDT Cutter Entry'!O50)-1))),"")</f>
        <v/>
      </c>
      <c r="BW34" s="2379"/>
      <c r="BX34" s="2379"/>
      <c r="BY34" s="2379"/>
      <c r="BZ34" s="2379"/>
      <c r="CA34" s="2379"/>
      <c r="CB34" s="2379" t="str">
        <f>IFERROR(IF('ARDT Cutter Entry'!$C$111&lt;&gt;"",IF(OR(COUNTIF('ARDT Cutter Entry'!P118,"*X*"),COUNTIF('ARDT Cutter Entry'!P118,"*L*")), 'ARDT Cutter Entry'!P118,LEFT('ARDT Cutter Entry'!P118,LEN('ARDT Cutter Entry'!P118)-1)),IF(OR(COUNTIF('ARDT Cutter Entry'!P50,"*X*"),COUNTIF('ARDT Cutter Entry'!P50,"*L*")),'ARDT Cutter Entry'!P50,LEFT('ARDT Cutter Entry'!P50,LEN('ARDT Cutter Entry'!P50)-1))),"")</f>
        <v/>
      </c>
      <c r="CC34" s="2379"/>
      <c r="CD34" s="2379"/>
      <c r="CE34" s="2379"/>
      <c r="CF34" s="2379"/>
      <c r="CG34" s="2379"/>
      <c r="CH34" s="2379" t="str">
        <f>IFERROR(IF('ARDT Cutter Entry'!$C$111&lt;&gt;"",IF(OR(COUNTIF('ARDT Cutter Entry'!Q118,"*X*"),COUNTIF('ARDT Cutter Entry'!Q118,"*L*")), 'ARDT Cutter Entry'!Q118,LEFT('ARDT Cutter Entry'!Q118,LEN('ARDT Cutter Entry'!Q118)-1)),IF(OR(COUNTIF('ARDT Cutter Entry'!Q50,"*X*"),COUNTIF('ARDT Cutter Entry'!Q50,"*L*")),'ARDT Cutter Entry'!Q50,LEFT('ARDT Cutter Entry'!Q50,LEN('ARDT Cutter Entry'!Q50)-1))),"")</f>
        <v/>
      </c>
      <c r="CI34" s="2379"/>
      <c r="CJ34" s="2379"/>
      <c r="CK34" s="2379"/>
      <c r="CL34" s="2379"/>
      <c r="CM34" s="2379"/>
      <c r="CN34" s="2379" t="str">
        <f>IFERROR(IF('ARDT Cutter Entry'!$C$111&lt;&gt;"",IF(OR(COUNTIF('ARDT Cutter Entry'!R118,"*X*"),COUNTIF('ARDT Cutter Entry'!R118,"*L*")), 'ARDT Cutter Entry'!R118,LEFT('ARDT Cutter Entry'!R118,LEN('ARDT Cutter Entry'!R118)-1)),IF(OR(COUNTIF('ARDT Cutter Entry'!R50,"*X*"),COUNTIF('ARDT Cutter Entry'!R50,"*L*")),'ARDT Cutter Entry'!R50,LEFT('ARDT Cutter Entry'!R50,LEN('ARDT Cutter Entry'!R50)-1))),"")</f>
        <v/>
      </c>
      <c r="CO34" s="2379"/>
      <c r="CP34" s="2379"/>
      <c r="CQ34" s="2379"/>
      <c r="CR34" s="2379"/>
      <c r="CS34" s="2379"/>
      <c r="CT34" s="2379" t="str">
        <f>IFERROR(IF('ARDT Cutter Entry'!$C$111&lt;&gt;"",IF(OR(COUNTIF('ARDT Cutter Entry'!S118,"*X*"),COUNTIF('ARDT Cutter Entry'!S118,"*L*")), 'ARDT Cutter Entry'!S118,LEFT('ARDT Cutter Entry'!S118,LEN('ARDT Cutter Entry'!S118)-1)),IF(OR(COUNTIF('ARDT Cutter Entry'!S50,"*X*"),COUNTIF('ARDT Cutter Entry'!S50,"*L*")),'ARDT Cutter Entry'!S50,LEFT('ARDT Cutter Entry'!S50,LEN('ARDT Cutter Entry'!S50)-1))),"")</f>
        <v/>
      </c>
      <c r="CU34" s="2379"/>
      <c r="CV34" s="2379"/>
      <c r="CW34" s="2379"/>
      <c r="CX34" s="2379"/>
      <c r="CY34" s="2379"/>
      <c r="CZ34" s="2379" t="str">
        <f>IFERROR(IF('ARDT Cutter Entry'!$C$111&lt;&gt;"",IF(OR(COUNTIF('ARDT Cutter Entry'!T118,"*X*"),COUNTIF('ARDT Cutter Entry'!T118,"*L*")), 'ARDT Cutter Entry'!T118,LEFT('ARDT Cutter Entry'!T118,LEN('ARDT Cutter Entry'!T118)-1)),IF(OR(COUNTIF('ARDT Cutter Entry'!T50,"*X*"),COUNTIF('ARDT Cutter Entry'!T50,"*L*")),'ARDT Cutter Entry'!T50,LEFT('ARDT Cutter Entry'!T50,LEN('ARDT Cutter Entry'!T50)-1))),"")</f>
        <v/>
      </c>
      <c r="DA34" s="2379"/>
      <c r="DB34" s="2379"/>
      <c r="DC34" s="2379"/>
      <c r="DD34" s="2379"/>
      <c r="DE34" s="2379"/>
      <c r="DF34" s="2379" t="str">
        <f>IFERROR(IF('ARDT Cutter Entry'!$C$111&lt;&gt;"",IF(OR(COUNTIF('ARDT Cutter Entry'!U118,"*X*"),COUNTIF('ARDT Cutter Entry'!U118,"*L*")), 'ARDT Cutter Entry'!U118,LEFT('ARDT Cutter Entry'!U118,LEN('ARDT Cutter Entry'!U118)-1)),IF(OR(COUNTIF('ARDT Cutter Entry'!U50,"*X*"),COUNTIF('ARDT Cutter Entry'!U50,"*L*")),'ARDT Cutter Entry'!U50,LEFT('ARDT Cutter Entry'!U50,LEN('ARDT Cutter Entry'!U50)-1))),"")</f>
        <v/>
      </c>
      <c r="DG34" s="2379"/>
      <c r="DH34" s="2379"/>
      <c r="DI34" s="2379"/>
      <c r="DJ34" s="2379"/>
      <c r="DK34" s="2379"/>
      <c r="DL34" s="2379" t="str">
        <f>IFERROR(IF('ARDT Cutter Entry'!$C$111&lt;&gt;"",IF(OR(COUNTIF('ARDT Cutter Entry'!V118,"*X*"),COUNTIF('ARDT Cutter Entry'!V118,"*L*")), 'ARDT Cutter Entry'!V118,LEFT('ARDT Cutter Entry'!V118,LEN('ARDT Cutter Entry'!V118)-1)),IF(OR(COUNTIF('ARDT Cutter Entry'!V50,"*X*"),COUNTIF('ARDT Cutter Entry'!V50,"*L*")),'ARDT Cutter Entry'!V50,LEFT('ARDT Cutter Entry'!V50,LEN('ARDT Cutter Entry'!V50)-1))),"")</f>
        <v/>
      </c>
      <c r="DM34" s="2379"/>
      <c r="DN34" s="2379"/>
      <c r="DO34" s="2379"/>
      <c r="DP34" s="2379"/>
      <c r="DQ34" s="2379"/>
      <c r="DR34" s="2379" t="str">
        <f>IFERROR(IF('ARDT Cutter Entry'!$C$111&lt;&gt;"",IF(OR(COUNTIF('ARDT Cutter Entry'!W118,"*X*"),COUNTIF('ARDT Cutter Entry'!W118,"*L*")), 'ARDT Cutter Entry'!W118,LEFT('ARDT Cutter Entry'!W118,LEN('ARDT Cutter Entry'!W118)-1)),IF(OR(COUNTIF('ARDT Cutter Entry'!W50,"*X*"),COUNTIF('ARDT Cutter Entry'!W50,"*L*")),'ARDT Cutter Entry'!W50,LEFT('ARDT Cutter Entry'!W50,LEN('ARDT Cutter Entry'!W50)-1))),"")</f>
        <v/>
      </c>
      <c r="DS34" s="2379"/>
      <c r="DT34" s="2379"/>
      <c r="DU34" s="2379"/>
      <c r="DV34" s="2379"/>
      <c r="DW34" s="2379"/>
      <c r="DX34" s="2379" t="str">
        <f>IFERROR(IF('ARDT Cutter Entry'!$C$111&lt;&gt;"",IF(OR(COUNTIF('ARDT Cutter Entry'!X118,"*X*"),COUNTIF('ARDT Cutter Entry'!X118,"*L*")), 'ARDT Cutter Entry'!X118,LEFT('ARDT Cutter Entry'!X118,LEN('ARDT Cutter Entry'!X118)-1)),IF(OR(COUNTIF('ARDT Cutter Entry'!X50,"*X*"),COUNTIF('ARDT Cutter Entry'!X50,"*L*")),'ARDT Cutter Entry'!X50,LEFT('ARDT Cutter Entry'!X50,LEN('ARDT Cutter Entry'!X50)-1))),"")</f>
        <v/>
      </c>
      <c r="DY34" s="2379"/>
      <c r="DZ34" s="2379"/>
      <c r="EA34" s="2379"/>
      <c r="EB34" s="2379"/>
      <c r="EC34" s="2379"/>
      <c r="ED34" s="2379" t="str">
        <f>IFERROR(IF('ARDT Cutter Entry'!$C$111&lt;&gt;"",IF(OR(COUNTIF('ARDT Cutter Entry'!Y118,"*X*"),COUNTIF('ARDT Cutter Entry'!Y118,"*L*")), 'ARDT Cutter Entry'!Y118,LEFT('ARDT Cutter Entry'!Y118,LEN('ARDT Cutter Entry'!Y118)-1)),IF(OR(COUNTIF('ARDT Cutter Entry'!Y50,"*X*"),COUNTIF('ARDT Cutter Entry'!Y50,"*L*")),'ARDT Cutter Entry'!Y50,LEFT('ARDT Cutter Entry'!Y50,LEN('ARDT Cutter Entry'!Y50)-1))),"")</f>
        <v/>
      </c>
      <c r="EE34" s="2379"/>
      <c r="EF34" s="2379"/>
      <c r="EG34" s="2379"/>
      <c r="EH34" s="2379"/>
      <c r="EI34" s="2379"/>
      <c r="EJ34" s="2379" t="str">
        <f>IFERROR(IF('ARDT Cutter Entry'!$C$111&lt;&gt;"",IF(OR(COUNTIF('ARDT Cutter Entry'!Z118,"*X*"),COUNTIF('ARDT Cutter Entry'!Z118,"*L*")), 'ARDT Cutter Entry'!Z118,LEFT('ARDT Cutter Entry'!Z118,LEN('ARDT Cutter Entry'!Z118)-1)),IF(OR(COUNTIF('ARDT Cutter Entry'!Z50,"*X*"),COUNTIF('ARDT Cutter Entry'!Z50,"*L*")),'ARDT Cutter Entry'!Z50,LEFT('ARDT Cutter Entry'!Z50,LEN('ARDT Cutter Entry'!Z50)-1))),"")</f>
        <v/>
      </c>
      <c r="EK34" s="2379"/>
      <c r="EL34" s="2379"/>
      <c r="EM34" s="2379"/>
      <c r="EN34" s="2379"/>
      <c r="EO34" s="2379"/>
      <c r="EP34" s="2379" t="str">
        <f>IFERROR(IF('ARDT Cutter Entry'!$C$111&lt;&gt;"",IF(OR(COUNTIF('ARDT Cutter Entry'!AA118,"*X*"),COUNTIF('ARDT Cutter Entry'!AA118,"*L*")), 'ARDT Cutter Entry'!AA118,LEFT('ARDT Cutter Entry'!AA118,LEN('ARDT Cutter Entry'!AA118)-1)),IF(OR(COUNTIF('ARDT Cutter Entry'!AA50,"*X*"),COUNTIF('ARDT Cutter Entry'!AA50,"*L*")),'ARDT Cutter Entry'!AA50,LEFT('ARDT Cutter Entry'!AA50,LEN('ARDT Cutter Entry'!AA50)-1))),"")</f>
        <v/>
      </c>
      <c r="EQ34" s="2379"/>
      <c r="ER34" s="2379"/>
      <c r="ES34" s="2379"/>
      <c r="ET34" s="2379"/>
      <c r="EU34" s="2379"/>
      <c r="EV34" s="2379" t="str">
        <f>IFERROR(IF('ARDT Cutter Entry'!$C$111&lt;&gt;"",IF(OR(COUNTIF('ARDT Cutter Entry'!AB118,"*X*"),COUNTIF('ARDT Cutter Entry'!AB118,"*L*")), 'ARDT Cutter Entry'!AB118,LEFT('ARDT Cutter Entry'!AB118,LEN('ARDT Cutter Entry'!AB118)-1)),IF(OR(COUNTIF('ARDT Cutter Entry'!AB50,"*X*"),COUNTIF('ARDT Cutter Entry'!AB50,"*L*")),'ARDT Cutter Entry'!AB50,LEFT('ARDT Cutter Entry'!AB50,LEN('ARDT Cutter Entry'!AB50)-1))),"")</f>
        <v/>
      </c>
      <c r="EW34" s="2379"/>
      <c r="EX34" s="2379"/>
      <c r="EY34" s="2379"/>
      <c r="EZ34" s="2379"/>
      <c r="FA34" s="2379"/>
      <c r="FB34" s="2379" t="str">
        <f>IFERROR(IF('ARDT Cutter Entry'!$C$111&lt;&gt;"",IF(OR(COUNTIF('ARDT Cutter Entry'!AC118,"*X*"),COUNTIF('ARDT Cutter Entry'!AC118,"*L*")), 'ARDT Cutter Entry'!AC118,LEFT('ARDT Cutter Entry'!AC118,LEN('ARDT Cutter Entry'!AC118)-1)),IF(OR(COUNTIF('ARDT Cutter Entry'!AC50,"*X*"),COUNTIF('ARDT Cutter Entry'!AC50,"*L*")),'ARDT Cutter Entry'!AC50,LEFT('ARDT Cutter Entry'!AC50,LEN('ARDT Cutter Entry'!AC50)-1))),"")</f>
        <v/>
      </c>
      <c r="FC34" s="2379"/>
      <c r="FD34" s="2379"/>
      <c r="FE34" s="2379"/>
      <c r="FF34" s="2379"/>
      <c r="FG34" s="2379"/>
      <c r="FH34" s="2379" t="str">
        <f>IFERROR(IF('ARDT Cutter Entry'!$C$111&lt;&gt;"",IF(OR(COUNTIF('ARDT Cutter Entry'!AD118,"*X*"),COUNTIF('ARDT Cutter Entry'!AD118,"*L*")), 'ARDT Cutter Entry'!AD118,LEFT('ARDT Cutter Entry'!AD118,LEN('ARDT Cutter Entry'!AD118)-1)),IF(OR(COUNTIF('ARDT Cutter Entry'!AD50,"*X*"),COUNTIF('ARDT Cutter Entry'!AD50,"*L*")),'ARDT Cutter Entry'!AD50,LEFT('ARDT Cutter Entry'!AD50,LEN('ARDT Cutter Entry'!AD50)-1))),"")</f>
        <v/>
      </c>
      <c r="FI34" s="2379"/>
      <c r="FJ34" s="2379"/>
      <c r="FK34" s="2379"/>
      <c r="FL34" s="2379"/>
      <c r="FM34" s="2379"/>
      <c r="FN34" s="2379" t="str">
        <f>IFERROR(IF('ARDT Cutter Entry'!$C$111&lt;&gt;"",IF(OR(COUNTIF('ARDT Cutter Entry'!AE118,"*X*"),COUNTIF('ARDT Cutter Entry'!AE118,"*L*")), 'ARDT Cutter Entry'!AE118,LEFT('ARDT Cutter Entry'!AE118,LEN('ARDT Cutter Entry'!AE118)-1)),IF(OR(COUNTIF('ARDT Cutter Entry'!AE50,"*X*"),COUNTIF('ARDT Cutter Entry'!AE50,"*L*")),'ARDT Cutter Entry'!AE50,LEFT('ARDT Cutter Entry'!AE50,LEN('ARDT Cutter Entry'!AE50)-1))),"")</f>
        <v/>
      </c>
      <c r="FO34" s="2379"/>
      <c r="FP34" s="2379"/>
      <c r="FQ34" s="2379"/>
      <c r="FR34" s="2379"/>
      <c r="FS34" s="2379"/>
      <c r="FT34" s="2379" t="str">
        <f>IFERROR(IF('ARDT Cutter Entry'!$C$111&lt;&gt;"",IF(OR(COUNTIF('ARDT Cutter Entry'!AF118,"*X*"),COUNTIF('ARDT Cutter Entry'!AF118,"*L*")), 'ARDT Cutter Entry'!AF118,LEFT('ARDT Cutter Entry'!AF118,LEN('ARDT Cutter Entry'!AF118)-1)),IF(OR(COUNTIF('ARDT Cutter Entry'!AF50,"*X*"),COUNTIF('ARDT Cutter Entry'!AF50,"*L*")),'ARDT Cutter Entry'!AF50,LEFT('ARDT Cutter Entry'!AF50,LEN('ARDT Cutter Entry'!AF50)-1))),"")</f>
        <v/>
      </c>
      <c r="FU34" s="2379"/>
      <c r="FV34" s="2379"/>
      <c r="FW34" s="2379"/>
      <c r="FX34" s="2379"/>
      <c r="FY34" s="2379"/>
      <c r="FZ34" s="2379" t="str">
        <f>IFERROR(IF('ARDT Cutter Entry'!$C$111&lt;&gt;"",IF(OR(COUNTIF('ARDT Cutter Entry'!AG118,"*X*"),COUNTIF('ARDT Cutter Entry'!AG118,"*L*")), 'ARDT Cutter Entry'!AG118,LEFT('ARDT Cutter Entry'!AG118,LEN('ARDT Cutter Entry'!AG118)-1)),IF(OR(COUNTIF('ARDT Cutter Entry'!AG50,"*X*"),COUNTIF('ARDT Cutter Entry'!AG50,"*L*")),'ARDT Cutter Entry'!AG50,LEFT('ARDT Cutter Entry'!AG50,LEN('ARDT Cutter Entry'!AG50)-1))),"")</f>
        <v/>
      </c>
      <c r="GA34" s="2379"/>
      <c r="GB34" s="2379"/>
      <c r="GC34" s="2379"/>
      <c r="GD34" s="2379"/>
      <c r="GE34" s="2379"/>
      <c r="GF34" s="1132"/>
      <c r="GG34" s="1132"/>
    </row>
    <row r="35" spans="1:190" ht="44.25" customHeight="1" x14ac:dyDescent="0.45">
      <c r="A35" s="338">
        <v>9</v>
      </c>
      <c r="B35" s="2379" t="str">
        <f>IFERROR(IF('ARDT Cutter Entry'!$C$111&lt;&gt;"",IF(OR(COUNTIF('ARDT Cutter Entry'!C119,"*X*"),COUNTIF('ARDT Cutter Entry'!C119,"*L*")), 'ARDT Cutter Entry'!C119,LEFT('ARDT Cutter Entry'!C119,LEN('ARDT Cutter Entry'!C119)-1)),IF(OR(COUNTIF('ARDT Cutter Entry'!C51,"*X*"),COUNTIF('ARDT Cutter Entry'!C51,"*L*")),'ARDT Cutter Entry'!C51,LEFT('ARDT Cutter Entry'!C51,LEN('ARDT Cutter Entry'!C51)-1))),"")</f>
        <v/>
      </c>
      <c r="C35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5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5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5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5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5" s="2379" t="str">
        <f>IFERROR(IF('ARDT Cutter Entry'!$C$111&lt;&gt;"",IF(OR(COUNTIF('ARDT Cutter Entry'!D119,"*X*"),COUNTIF('ARDT Cutter Entry'!D119,"*L*")), 'ARDT Cutter Entry'!D119,LEFT('ARDT Cutter Entry'!D119,LEN('ARDT Cutter Entry'!D119)-1)),IF(OR(COUNTIF('ARDT Cutter Entry'!D51,"*X*"),COUNTIF('ARDT Cutter Entry'!D51,"*L*")),'ARDT Cutter Entry'!D51,LEFT('ARDT Cutter Entry'!D51,LEN('ARDT Cutter Entry'!D51)-1))),"")</f>
        <v/>
      </c>
      <c r="I35" s="2379"/>
      <c r="J35" s="2379"/>
      <c r="K35" s="2379"/>
      <c r="L35" s="2379"/>
      <c r="M35" s="2379"/>
      <c r="N35" s="2379" t="str">
        <f>IFERROR(IF('ARDT Cutter Entry'!$C$111&lt;&gt;"",IF(OR(COUNTIF('ARDT Cutter Entry'!E119,"*X*"),COUNTIF('ARDT Cutter Entry'!E119,"*L*")), 'ARDT Cutter Entry'!E119,LEFT('ARDT Cutter Entry'!E119,LEN('ARDT Cutter Entry'!E119)-1)),IF(OR(COUNTIF('ARDT Cutter Entry'!E51,"*X*"),COUNTIF('ARDT Cutter Entry'!E51,"*L*")),'ARDT Cutter Entry'!E51,LEFT('ARDT Cutter Entry'!E51,LEN('ARDT Cutter Entry'!E51)-1))),"")</f>
        <v/>
      </c>
      <c r="O35" s="2379"/>
      <c r="P35" s="2379"/>
      <c r="Q35" s="2379"/>
      <c r="R35" s="2379"/>
      <c r="S35" s="2379"/>
      <c r="T35" s="2379" t="str">
        <f>IFERROR(IF('ARDT Cutter Entry'!$C$111&lt;&gt;"",IF(OR(COUNTIF('ARDT Cutter Entry'!F119,"*X*"),COUNTIF('ARDT Cutter Entry'!F119,"*L*")), 'ARDT Cutter Entry'!F119,LEFT('ARDT Cutter Entry'!F119,LEN('ARDT Cutter Entry'!F119)-1)),IF(OR(COUNTIF('ARDT Cutter Entry'!F51,"*X*"),COUNTIF('ARDT Cutter Entry'!F51,"*L*")),'ARDT Cutter Entry'!F51,LEFT('ARDT Cutter Entry'!F51,LEN('ARDT Cutter Entry'!F51)-1))),"")</f>
        <v/>
      </c>
      <c r="U35" s="2379"/>
      <c r="V35" s="2379"/>
      <c r="W35" s="2379"/>
      <c r="X35" s="2379"/>
      <c r="Y35" s="2379"/>
      <c r="Z35" s="2379" t="str">
        <f>IFERROR(IF('ARDT Cutter Entry'!$C$111&lt;&gt;"",IF(OR(COUNTIF('ARDT Cutter Entry'!G119,"*X*"),COUNTIF('ARDT Cutter Entry'!G119,"*L*")), 'ARDT Cutter Entry'!G119,LEFT('ARDT Cutter Entry'!G119,LEN('ARDT Cutter Entry'!G119)-1)),IF(OR(COUNTIF('ARDT Cutter Entry'!G51,"*X*"),COUNTIF('ARDT Cutter Entry'!G51,"*L*")),'ARDT Cutter Entry'!G51,LEFT('ARDT Cutter Entry'!G51,LEN('ARDT Cutter Entry'!G51)-1))),"")</f>
        <v/>
      </c>
      <c r="AA35" s="2379"/>
      <c r="AB35" s="2379"/>
      <c r="AC35" s="2379"/>
      <c r="AD35" s="2379"/>
      <c r="AE35" s="2379"/>
      <c r="AF35" s="2379" t="str">
        <f>IFERROR(IF('ARDT Cutter Entry'!$C$111&lt;&gt;"",IF(OR(COUNTIF('ARDT Cutter Entry'!H119,"*X*"),COUNTIF('ARDT Cutter Entry'!H119,"*L*")), 'ARDT Cutter Entry'!H119,LEFT('ARDT Cutter Entry'!H119,LEN('ARDT Cutter Entry'!H119)-1)),IF(OR(COUNTIF('ARDT Cutter Entry'!H51,"*X*"),COUNTIF('ARDT Cutter Entry'!H51,"*L*")),'ARDT Cutter Entry'!H51,LEFT('ARDT Cutter Entry'!H51,LEN('ARDT Cutter Entry'!H51)-1))),"")</f>
        <v/>
      </c>
      <c r="AG35" s="2379"/>
      <c r="AH35" s="2379"/>
      <c r="AI35" s="2379"/>
      <c r="AJ35" s="2379"/>
      <c r="AK35" s="2379"/>
      <c r="AL35" s="2379" t="str">
        <f>IFERROR(IF('ARDT Cutter Entry'!$C$111&lt;&gt;"",IF(OR(COUNTIF('ARDT Cutter Entry'!I119,"*X*"),COUNTIF('ARDT Cutter Entry'!I119,"*L*")), 'ARDT Cutter Entry'!I119,LEFT('ARDT Cutter Entry'!I119,LEN('ARDT Cutter Entry'!I119)-1)),IF(OR(COUNTIF('ARDT Cutter Entry'!I51,"*X*"),COUNTIF('ARDT Cutter Entry'!I51,"*L*")),'ARDT Cutter Entry'!I51,LEFT('ARDT Cutter Entry'!I51,LEN('ARDT Cutter Entry'!I51)-1))),"")</f>
        <v/>
      </c>
      <c r="AM35" s="2379"/>
      <c r="AN35" s="2379"/>
      <c r="AO35" s="2379"/>
      <c r="AP35" s="2379"/>
      <c r="AQ35" s="2379"/>
      <c r="AR35" s="2379" t="str">
        <f>IFERROR(IF('ARDT Cutter Entry'!$C$111&lt;&gt;"",IF(OR(COUNTIF('ARDT Cutter Entry'!J119,"*X*"),COUNTIF('ARDT Cutter Entry'!J119,"*L*")), 'ARDT Cutter Entry'!J119,LEFT('ARDT Cutter Entry'!J119,LEN('ARDT Cutter Entry'!J119)-1)),IF(OR(COUNTIF('ARDT Cutter Entry'!J51,"*X*"),COUNTIF('ARDT Cutter Entry'!J51,"*L*")),'ARDT Cutter Entry'!J51,LEFT('ARDT Cutter Entry'!J51,LEN('ARDT Cutter Entry'!J51)-1))),"")</f>
        <v/>
      </c>
      <c r="AS35" s="2379"/>
      <c r="AT35" s="2379"/>
      <c r="AU35" s="2379"/>
      <c r="AV35" s="2379"/>
      <c r="AW35" s="2379"/>
      <c r="AX35" s="2379" t="str">
        <f>IFERROR(IF('ARDT Cutter Entry'!$C$111&lt;&gt;"",IF(OR(COUNTIF('ARDT Cutter Entry'!K119,"*X*"),COUNTIF('ARDT Cutter Entry'!K119,"*L*")), 'ARDT Cutter Entry'!K119,LEFT('ARDT Cutter Entry'!K119,LEN('ARDT Cutter Entry'!K119)-1)),IF(OR(COUNTIF('ARDT Cutter Entry'!K51,"*X*"),COUNTIF('ARDT Cutter Entry'!K51,"*L*")),'ARDT Cutter Entry'!K51,LEFT('ARDT Cutter Entry'!K51,LEN('ARDT Cutter Entry'!K51)-1))),"")</f>
        <v/>
      </c>
      <c r="AY35" s="2379"/>
      <c r="AZ35" s="2379"/>
      <c r="BA35" s="2379"/>
      <c r="BB35" s="2379"/>
      <c r="BC35" s="2379"/>
      <c r="BD35" s="2379" t="str">
        <f>IFERROR(IF('ARDT Cutter Entry'!$C$111&lt;&gt;"",IF(OR(COUNTIF('ARDT Cutter Entry'!L119,"*X*"),COUNTIF('ARDT Cutter Entry'!L119,"*L*")), 'ARDT Cutter Entry'!L119,LEFT('ARDT Cutter Entry'!L119,LEN('ARDT Cutter Entry'!L119)-1)),IF(OR(COUNTIF('ARDT Cutter Entry'!L51,"*X*"),COUNTIF('ARDT Cutter Entry'!L51,"*L*")),'ARDT Cutter Entry'!L51,LEFT('ARDT Cutter Entry'!L51,LEN('ARDT Cutter Entry'!L51)-1))),"")</f>
        <v/>
      </c>
      <c r="BE35" s="2379"/>
      <c r="BF35" s="2379"/>
      <c r="BG35" s="2379"/>
      <c r="BH35" s="2379"/>
      <c r="BI35" s="2379"/>
      <c r="BJ35" s="2379" t="str">
        <f>IFERROR(IF('ARDT Cutter Entry'!$C$111&lt;&gt;"",IF(OR(COUNTIF('ARDT Cutter Entry'!M119,"*X*"),COUNTIF('ARDT Cutter Entry'!M119,"*L*")), 'ARDT Cutter Entry'!M119,LEFT('ARDT Cutter Entry'!M119,LEN('ARDT Cutter Entry'!M119)-1)),IF(OR(COUNTIF('ARDT Cutter Entry'!M51,"*X*"),COUNTIF('ARDT Cutter Entry'!M51,"*L*")),'ARDT Cutter Entry'!M51,LEFT('ARDT Cutter Entry'!M51,LEN('ARDT Cutter Entry'!M51)-1))),"")</f>
        <v/>
      </c>
      <c r="BK35" s="2379"/>
      <c r="BL35" s="2379"/>
      <c r="BM35" s="2379"/>
      <c r="BN35" s="2379"/>
      <c r="BO35" s="2379"/>
      <c r="BP35" s="2379" t="str">
        <f>IFERROR(IF('ARDT Cutter Entry'!$C$111&lt;&gt;"",IF(OR(COUNTIF('ARDT Cutter Entry'!N119,"*X*"),COUNTIF('ARDT Cutter Entry'!N119,"*L*")), 'ARDT Cutter Entry'!N119,LEFT('ARDT Cutter Entry'!N119,LEN('ARDT Cutter Entry'!N119)-1)),IF(OR(COUNTIF('ARDT Cutter Entry'!N51,"*X*"),COUNTIF('ARDT Cutter Entry'!N51,"*L*")),'ARDT Cutter Entry'!N51,LEFT('ARDT Cutter Entry'!N51,LEN('ARDT Cutter Entry'!N51)-1))),"")</f>
        <v/>
      </c>
      <c r="BQ35" s="2379"/>
      <c r="BR35" s="2379"/>
      <c r="BS35" s="2379"/>
      <c r="BT35" s="2379"/>
      <c r="BU35" s="2379"/>
      <c r="BV35" s="2379" t="str">
        <f>IFERROR(IF('ARDT Cutter Entry'!$C$111&lt;&gt;"",IF(OR(COUNTIF('ARDT Cutter Entry'!O119,"*X*"),COUNTIF('ARDT Cutter Entry'!O119,"*L*")), 'ARDT Cutter Entry'!O119,LEFT('ARDT Cutter Entry'!O119,LEN('ARDT Cutter Entry'!O119)-1)),IF(OR(COUNTIF('ARDT Cutter Entry'!O51,"*X*"),COUNTIF('ARDT Cutter Entry'!O51,"*L*")),'ARDT Cutter Entry'!O51,LEFT('ARDT Cutter Entry'!O51,LEN('ARDT Cutter Entry'!O51)-1))),"")</f>
        <v/>
      </c>
      <c r="BW35" s="2379"/>
      <c r="BX35" s="2379"/>
      <c r="BY35" s="2379"/>
      <c r="BZ35" s="2379"/>
      <c r="CA35" s="2379"/>
      <c r="CB35" s="2379" t="str">
        <f>IFERROR(IF('ARDT Cutter Entry'!$C$111&lt;&gt;"",IF(OR(COUNTIF('ARDT Cutter Entry'!P119,"*X*"),COUNTIF('ARDT Cutter Entry'!P119,"*L*")), 'ARDT Cutter Entry'!P119,LEFT('ARDT Cutter Entry'!P119,LEN('ARDT Cutter Entry'!P119)-1)),IF(OR(COUNTIF('ARDT Cutter Entry'!P51,"*X*"),COUNTIF('ARDT Cutter Entry'!P51,"*L*")),'ARDT Cutter Entry'!P51,LEFT('ARDT Cutter Entry'!P51,LEN('ARDT Cutter Entry'!P51)-1))),"")</f>
        <v/>
      </c>
      <c r="CC35" s="2379"/>
      <c r="CD35" s="2379"/>
      <c r="CE35" s="2379"/>
      <c r="CF35" s="2379"/>
      <c r="CG35" s="2379"/>
      <c r="CH35" s="2379" t="str">
        <f>IFERROR(IF('ARDT Cutter Entry'!$C$111&lt;&gt;"",IF(OR(COUNTIF('ARDT Cutter Entry'!Q119,"*X*"),COUNTIF('ARDT Cutter Entry'!Q119,"*L*")), 'ARDT Cutter Entry'!Q119,LEFT('ARDT Cutter Entry'!Q119,LEN('ARDT Cutter Entry'!Q119)-1)),IF(OR(COUNTIF('ARDT Cutter Entry'!Q51,"*X*"),COUNTIF('ARDT Cutter Entry'!Q51,"*L*")),'ARDT Cutter Entry'!Q51,LEFT('ARDT Cutter Entry'!Q51,LEN('ARDT Cutter Entry'!Q51)-1))),"")</f>
        <v/>
      </c>
      <c r="CI35" s="2379"/>
      <c r="CJ35" s="2379"/>
      <c r="CK35" s="2379"/>
      <c r="CL35" s="2379"/>
      <c r="CM35" s="2379"/>
      <c r="CN35" s="2379" t="str">
        <f>IFERROR(IF('ARDT Cutter Entry'!$C$111&lt;&gt;"",IF(OR(COUNTIF('ARDT Cutter Entry'!R119,"*X*"),COUNTIF('ARDT Cutter Entry'!R119,"*L*")), 'ARDT Cutter Entry'!R119,LEFT('ARDT Cutter Entry'!R119,LEN('ARDT Cutter Entry'!R119)-1)),IF(OR(COUNTIF('ARDT Cutter Entry'!R51,"*X*"),COUNTIF('ARDT Cutter Entry'!R51,"*L*")),'ARDT Cutter Entry'!R51,LEFT('ARDT Cutter Entry'!R51,LEN('ARDT Cutter Entry'!R51)-1))),"")</f>
        <v/>
      </c>
      <c r="CO35" s="2379"/>
      <c r="CP35" s="2379"/>
      <c r="CQ35" s="2379"/>
      <c r="CR35" s="2379"/>
      <c r="CS35" s="2379"/>
      <c r="CT35" s="2379" t="str">
        <f>IFERROR(IF('ARDT Cutter Entry'!$C$111&lt;&gt;"",IF(OR(COUNTIF('ARDT Cutter Entry'!S119,"*X*"),COUNTIF('ARDT Cutter Entry'!S119,"*L*")), 'ARDT Cutter Entry'!S119,LEFT('ARDT Cutter Entry'!S119,LEN('ARDT Cutter Entry'!S119)-1)),IF(OR(COUNTIF('ARDT Cutter Entry'!S51,"*X*"),COUNTIF('ARDT Cutter Entry'!S51,"*L*")),'ARDT Cutter Entry'!S51,LEFT('ARDT Cutter Entry'!S51,LEN('ARDT Cutter Entry'!S51)-1))),"")</f>
        <v/>
      </c>
      <c r="CU35" s="2379"/>
      <c r="CV35" s="2379"/>
      <c r="CW35" s="2379"/>
      <c r="CX35" s="2379"/>
      <c r="CY35" s="2379"/>
      <c r="CZ35" s="2379" t="str">
        <f>IFERROR(IF('ARDT Cutter Entry'!$C$111&lt;&gt;"",IF(OR(COUNTIF('ARDT Cutter Entry'!T119,"*X*"),COUNTIF('ARDT Cutter Entry'!T119,"*L*")), 'ARDT Cutter Entry'!T119,LEFT('ARDT Cutter Entry'!T119,LEN('ARDT Cutter Entry'!T119)-1)),IF(OR(COUNTIF('ARDT Cutter Entry'!T51,"*X*"),COUNTIF('ARDT Cutter Entry'!T51,"*L*")),'ARDT Cutter Entry'!T51,LEFT('ARDT Cutter Entry'!T51,LEN('ARDT Cutter Entry'!T51)-1))),"")</f>
        <v/>
      </c>
      <c r="DA35" s="2379"/>
      <c r="DB35" s="2379"/>
      <c r="DC35" s="2379"/>
      <c r="DD35" s="2379"/>
      <c r="DE35" s="2379"/>
      <c r="DF35" s="2379" t="str">
        <f>IFERROR(IF('ARDT Cutter Entry'!$C$111&lt;&gt;"",IF(OR(COUNTIF('ARDT Cutter Entry'!U119,"*X*"),COUNTIF('ARDT Cutter Entry'!U119,"*L*")), 'ARDT Cutter Entry'!U119,LEFT('ARDT Cutter Entry'!U119,LEN('ARDT Cutter Entry'!U119)-1)),IF(OR(COUNTIF('ARDT Cutter Entry'!U51,"*X*"),COUNTIF('ARDT Cutter Entry'!U51,"*L*")),'ARDT Cutter Entry'!U51,LEFT('ARDT Cutter Entry'!U51,LEN('ARDT Cutter Entry'!U51)-1))),"")</f>
        <v/>
      </c>
      <c r="DG35" s="2379"/>
      <c r="DH35" s="2379"/>
      <c r="DI35" s="2379"/>
      <c r="DJ35" s="2379"/>
      <c r="DK35" s="2379"/>
      <c r="DL35" s="2379" t="str">
        <f>IFERROR(IF('ARDT Cutter Entry'!$C$111&lt;&gt;"",IF(OR(COUNTIF('ARDT Cutter Entry'!V119,"*X*"),COUNTIF('ARDT Cutter Entry'!V119,"*L*")), 'ARDT Cutter Entry'!V119,LEFT('ARDT Cutter Entry'!V119,LEN('ARDT Cutter Entry'!V119)-1)),IF(OR(COUNTIF('ARDT Cutter Entry'!V51,"*X*"),COUNTIF('ARDT Cutter Entry'!V51,"*L*")),'ARDT Cutter Entry'!V51,LEFT('ARDT Cutter Entry'!V51,LEN('ARDT Cutter Entry'!V51)-1))),"")</f>
        <v/>
      </c>
      <c r="DM35" s="2379"/>
      <c r="DN35" s="2379"/>
      <c r="DO35" s="2379"/>
      <c r="DP35" s="2379"/>
      <c r="DQ35" s="2379"/>
      <c r="DR35" s="2379" t="str">
        <f>IFERROR(IF('ARDT Cutter Entry'!$C$111&lt;&gt;"",IF(OR(COUNTIF('ARDT Cutter Entry'!W119,"*X*"),COUNTIF('ARDT Cutter Entry'!W119,"*L*")), 'ARDT Cutter Entry'!W119,LEFT('ARDT Cutter Entry'!W119,LEN('ARDT Cutter Entry'!W119)-1)),IF(OR(COUNTIF('ARDT Cutter Entry'!W51,"*X*"),COUNTIF('ARDT Cutter Entry'!W51,"*L*")),'ARDT Cutter Entry'!W51,LEFT('ARDT Cutter Entry'!W51,LEN('ARDT Cutter Entry'!W51)-1))),"")</f>
        <v/>
      </c>
      <c r="DS35" s="2379"/>
      <c r="DT35" s="2379"/>
      <c r="DU35" s="2379"/>
      <c r="DV35" s="2379"/>
      <c r="DW35" s="2379"/>
      <c r="DX35" s="2379" t="str">
        <f>IFERROR(IF('ARDT Cutter Entry'!$C$111&lt;&gt;"",IF(OR(COUNTIF('ARDT Cutter Entry'!X119,"*X*"),COUNTIF('ARDT Cutter Entry'!X119,"*L*")), 'ARDT Cutter Entry'!X119,LEFT('ARDT Cutter Entry'!X119,LEN('ARDT Cutter Entry'!X119)-1)),IF(OR(COUNTIF('ARDT Cutter Entry'!X51,"*X*"),COUNTIF('ARDT Cutter Entry'!X51,"*L*")),'ARDT Cutter Entry'!X51,LEFT('ARDT Cutter Entry'!X51,LEN('ARDT Cutter Entry'!X51)-1))),"")</f>
        <v/>
      </c>
      <c r="DY35" s="2379"/>
      <c r="DZ35" s="2379"/>
      <c r="EA35" s="2379"/>
      <c r="EB35" s="2379"/>
      <c r="EC35" s="2379"/>
      <c r="ED35" s="2379" t="str">
        <f>IFERROR(IF('ARDT Cutter Entry'!$C$111&lt;&gt;"",IF(OR(COUNTIF('ARDT Cutter Entry'!Y119,"*X*"),COUNTIF('ARDT Cutter Entry'!Y119,"*L*")), 'ARDT Cutter Entry'!Y119,LEFT('ARDT Cutter Entry'!Y119,LEN('ARDT Cutter Entry'!Y119)-1)),IF(OR(COUNTIF('ARDT Cutter Entry'!Y51,"*X*"),COUNTIF('ARDT Cutter Entry'!Y51,"*L*")),'ARDT Cutter Entry'!Y51,LEFT('ARDT Cutter Entry'!Y51,LEN('ARDT Cutter Entry'!Y51)-1))),"")</f>
        <v/>
      </c>
      <c r="EE35" s="2379"/>
      <c r="EF35" s="2379"/>
      <c r="EG35" s="2379"/>
      <c r="EH35" s="2379"/>
      <c r="EI35" s="2379"/>
      <c r="EJ35" s="2379" t="str">
        <f>IFERROR(IF('ARDT Cutter Entry'!$C$111&lt;&gt;"",IF(OR(COUNTIF('ARDT Cutter Entry'!Z119,"*X*"),COUNTIF('ARDT Cutter Entry'!Z119,"*L*")), 'ARDT Cutter Entry'!Z119,LEFT('ARDT Cutter Entry'!Z119,LEN('ARDT Cutter Entry'!Z119)-1)),IF(OR(COUNTIF('ARDT Cutter Entry'!Z51,"*X*"),COUNTIF('ARDT Cutter Entry'!Z51,"*L*")),'ARDT Cutter Entry'!Z51,LEFT('ARDT Cutter Entry'!Z51,LEN('ARDT Cutter Entry'!Z51)-1))),"")</f>
        <v/>
      </c>
      <c r="EK35" s="2379"/>
      <c r="EL35" s="2379"/>
      <c r="EM35" s="2379"/>
      <c r="EN35" s="2379"/>
      <c r="EO35" s="2379"/>
      <c r="EP35" s="2379" t="str">
        <f>IFERROR(IF('ARDT Cutter Entry'!$C$111&lt;&gt;"",IF(OR(COUNTIF('ARDT Cutter Entry'!AA119,"*X*"),COUNTIF('ARDT Cutter Entry'!AA119,"*L*")), 'ARDT Cutter Entry'!AA119,LEFT('ARDT Cutter Entry'!AA119,LEN('ARDT Cutter Entry'!AA119)-1)),IF(OR(COUNTIF('ARDT Cutter Entry'!AA51,"*X*"),COUNTIF('ARDT Cutter Entry'!AA51,"*L*")),'ARDT Cutter Entry'!AA51,LEFT('ARDT Cutter Entry'!AA51,LEN('ARDT Cutter Entry'!AA51)-1))),"")</f>
        <v/>
      </c>
      <c r="EQ35" s="2379"/>
      <c r="ER35" s="2379"/>
      <c r="ES35" s="2379"/>
      <c r="ET35" s="2379"/>
      <c r="EU35" s="2379"/>
      <c r="EV35" s="2379" t="str">
        <f>IFERROR(IF('ARDT Cutter Entry'!$C$111&lt;&gt;"",IF(OR(COUNTIF('ARDT Cutter Entry'!AB119,"*X*"),COUNTIF('ARDT Cutter Entry'!AB119,"*L*")), 'ARDT Cutter Entry'!AB119,LEFT('ARDT Cutter Entry'!AB119,LEN('ARDT Cutter Entry'!AB119)-1)),IF(OR(COUNTIF('ARDT Cutter Entry'!AB51,"*X*"),COUNTIF('ARDT Cutter Entry'!AB51,"*L*")),'ARDT Cutter Entry'!AB51,LEFT('ARDT Cutter Entry'!AB51,LEN('ARDT Cutter Entry'!AB51)-1))),"")</f>
        <v/>
      </c>
      <c r="EW35" s="2379"/>
      <c r="EX35" s="2379"/>
      <c r="EY35" s="2379"/>
      <c r="EZ35" s="2379"/>
      <c r="FA35" s="2379"/>
      <c r="FB35" s="2379" t="str">
        <f>IFERROR(IF('ARDT Cutter Entry'!$C$111&lt;&gt;"",IF(OR(COUNTIF('ARDT Cutter Entry'!AC119,"*X*"),COUNTIF('ARDT Cutter Entry'!AC119,"*L*")), 'ARDT Cutter Entry'!AC119,LEFT('ARDT Cutter Entry'!AC119,LEN('ARDT Cutter Entry'!AC119)-1)),IF(OR(COUNTIF('ARDT Cutter Entry'!AC51,"*X*"),COUNTIF('ARDT Cutter Entry'!AC51,"*L*")),'ARDT Cutter Entry'!AC51,LEFT('ARDT Cutter Entry'!AC51,LEN('ARDT Cutter Entry'!AC51)-1))),"")</f>
        <v/>
      </c>
      <c r="FC35" s="2379"/>
      <c r="FD35" s="2379"/>
      <c r="FE35" s="2379"/>
      <c r="FF35" s="2379"/>
      <c r="FG35" s="2379"/>
      <c r="FH35" s="2379" t="str">
        <f>IFERROR(IF('ARDT Cutter Entry'!$C$111&lt;&gt;"",IF(OR(COUNTIF('ARDT Cutter Entry'!AD119,"*X*"),COUNTIF('ARDT Cutter Entry'!AD119,"*L*")), 'ARDT Cutter Entry'!AD119,LEFT('ARDT Cutter Entry'!AD119,LEN('ARDT Cutter Entry'!AD119)-1)),IF(OR(COUNTIF('ARDT Cutter Entry'!AD51,"*X*"),COUNTIF('ARDT Cutter Entry'!AD51,"*L*")),'ARDT Cutter Entry'!AD51,LEFT('ARDT Cutter Entry'!AD51,LEN('ARDT Cutter Entry'!AD51)-1))),"")</f>
        <v/>
      </c>
      <c r="FI35" s="2379"/>
      <c r="FJ35" s="2379"/>
      <c r="FK35" s="2379"/>
      <c r="FL35" s="2379"/>
      <c r="FM35" s="2379"/>
      <c r="FN35" s="2379" t="str">
        <f>IFERROR(IF('ARDT Cutter Entry'!$C$111&lt;&gt;"",IF(OR(COUNTIF('ARDT Cutter Entry'!AE119,"*X*"),COUNTIF('ARDT Cutter Entry'!AE119,"*L*")), 'ARDT Cutter Entry'!AE119,LEFT('ARDT Cutter Entry'!AE119,LEN('ARDT Cutter Entry'!AE119)-1)),IF(OR(COUNTIF('ARDT Cutter Entry'!AE51,"*X*"),COUNTIF('ARDT Cutter Entry'!AE51,"*L*")),'ARDT Cutter Entry'!AE51,LEFT('ARDT Cutter Entry'!AE51,LEN('ARDT Cutter Entry'!AE51)-1))),"")</f>
        <v/>
      </c>
      <c r="FO35" s="2379"/>
      <c r="FP35" s="2379"/>
      <c r="FQ35" s="2379"/>
      <c r="FR35" s="2379"/>
      <c r="FS35" s="2379"/>
      <c r="FT35" s="2379" t="str">
        <f>IFERROR(IF('ARDT Cutter Entry'!$C$111&lt;&gt;"",IF(OR(COUNTIF('ARDT Cutter Entry'!AF119,"*X*"),COUNTIF('ARDT Cutter Entry'!AF119,"*L*")), 'ARDT Cutter Entry'!AF119,LEFT('ARDT Cutter Entry'!AF119,LEN('ARDT Cutter Entry'!AF119)-1)),IF(OR(COUNTIF('ARDT Cutter Entry'!AF51,"*X*"),COUNTIF('ARDT Cutter Entry'!AF51,"*L*")),'ARDT Cutter Entry'!AF51,LEFT('ARDT Cutter Entry'!AF51,LEN('ARDT Cutter Entry'!AF51)-1))),"")</f>
        <v/>
      </c>
      <c r="FU35" s="2379"/>
      <c r="FV35" s="2379"/>
      <c r="FW35" s="2379"/>
      <c r="FX35" s="2379"/>
      <c r="FY35" s="2379"/>
      <c r="FZ35" s="2379" t="str">
        <f>IFERROR(IF('ARDT Cutter Entry'!$C$111&lt;&gt;"",IF(OR(COUNTIF('ARDT Cutter Entry'!AG119,"*X*"),COUNTIF('ARDT Cutter Entry'!AG119,"*L*")), 'ARDT Cutter Entry'!AG119,LEFT('ARDT Cutter Entry'!AG119,LEN('ARDT Cutter Entry'!AG119)-1)),IF(OR(COUNTIF('ARDT Cutter Entry'!AG51,"*X*"),COUNTIF('ARDT Cutter Entry'!AG51,"*L*")),'ARDT Cutter Entry'!AG51,LEFT('ARDT Cutter Entry'!AG51,LEN('ARDT Cutter Entry'!AG51)-1))),"")</f>
        <v/>
      </c>
      <c r="GA35" s="2379"/>
      <c r="GB35" s="2379"/>
      <c r="GC35" s="2379"/>
      <c r="GD35" s="2379"/>
      <c r="GE35" s="2379"/>
      <c r="GF35" s="1132"/>
      <c r="GG35" s="1132"/>
    </row>
    <row r="36" spans="1:190" ht="72.75" customHeight="1" x14ac:dyDescent="0.35">
      <c r="A36" s="339"/>
      <c r="B36" s="2386" t="str">
        <f>IF(Data!$GI$2&lt;&gt;"","X1: "&amp; Data!$GI$2, " ")</f>
        <v>X1: 1613 CT138  0.018"</v>
      </c>
      <c r="C36" s="2386"/>
      <c r="D36" s="2386"/>
      <c r="E36" s="2386"/>
      <c r="F36" s="2386"/>
      <c r="G36" s="2386"/>
      <c r="H36" s="2386"/>
      <c r="I36" s="2386"/>
      <c r="J36" s="2386"/>
      <c r="K36" s="2386"/>
      <c r="L36" s="2386"/>
      <c r="M36" s="2386"/>
      <c r="N36" s="2386"/>
      <c r="O36" s="2386"/>
      <c r="P36" s="2386"/>
      <c r="Q36" s="2386"/>
      <c r="R36" s="2386"/>
      <c r="S36" s="2386"/>
      <c r="T36" s="2386"/>
      <c r="U36" s="2386"/>
      <c r="V36" s="2386"/>
      <c r="W36" s="2386"/>
      <c r="X36" s="2386"/>
      <c r="Y36" s="2386"/>
      <c r="Z36" s="2386"/>
      <c r="AA36" s="2386"/>
      <c r="AB36" s="2386"/>
      <c r="AC36" s="2386" t="str">
        <f>IF(Data!$GI$3&lt;&gt;"","X2: "&amp; Data!$GI$3, " ")</f>
        <v>X2: 1608 CT182 0.018"</v>
      </c>
      <c r="AD36" s="2386"/>
      <c r="AE36" s="2386"/>
      <c r="AF36" s="2386"/>
      <c r="AG36" s="2386"/>
      <c r="AH36" s="2386"/>
      <c r="AI36" s="2386"/>
      <c r="AJ36" s="2386"/>
      <c r="AK36" s="2386"/>
      <c r="AL36" s="2386"/>
      <c r="AM36" s="2386"/>
      <c r="AN36" s="2386"/>
      <c r="AO36" s="2386"/>
      <c r="AP36" s="2386"/>
      <c r="AQ36" s="2386"/>
      <c r="AR36" s="2386"/>
      <c r="AS36" s="2386"/>
      <c r="AT36" s="2386"/>
      <c r="AU36" s="2386"/>
      <c r="AV36" s="2386"/>
      <c r="AW36" s="2386"/>
      <c r="AX36" s="2386"/>
      <c r="AY36" s="2386"/>
      <c r="AZ36" s="2386"/>
      <c r="BA36" s="2386"/>
      <c r="BB36" s="2386"/>
      <c r="BC36" s="2386"/>
      <c r="BD36" s="2386" t="str">
        <f>IF(Data!$GI$4&lt;&gt;"","X3: "&amp; Data!$GI$4, " ")</f>
        <v xml:space="preserve">X3: 1308 CT31 Drop in </v>
      </c>
      <c r="BE36" s="2386"/>
      <c r="BF36" s="2386"/>
      <c r="BG36" s="2386"/>
      <c r="BH36" s="2386"/>
      <c r="BI36" s="2386"/>
      <c r="BJ36" s="2386"/>
      <c r="BK36" s="2386"/>
      <c r="BL36" s="2386"/>
      <c r="BM36" s="2386"/>
      <c r="BN36" s="2386"/>
      <c r="BO36" s="2386"/>
      <c r="BP36" s="2386"/>
      <c r="BQ36" s="2386"/>
      <c r="BR36" s="2386"/>
      <c r="BS36" s="2386"/>
      <c r="BT36" s="2386"/>
      <c r="BU36" s="2386"/>
      <c r="BV36" s="2386"/>
      <c r="BW36" s="2386"/>
      <c r="BX36" s="2386"/>
      <c r="BY36" s="2386"/>
      <c r="BZ36" s="2386"/>
      <c r="CA36" s="2386"/>
      <c r="CB36" s="2386"/>
      <c r="CC36" s="2386"/>
      <c r="CD36" s="2386"/>
      <c r="CE36" s="2386" t="str">
        <f>IF(Data!$GI$5&lt;&gt;"","X4: "&amp; Data!$GI$5, " ")</f>
        <v>X4: 1608 CT70 0.018"</v>
      </c>
      <c r="CF36" s="2386"/>
      <c r="CG36" s="2386"/>
      <c r="CH36" s="2386"/>
      <c r="CI36" s="2386"/>
      <c r="CJ36" s="2386"/>
      <c r="CK36" s="2386"/>
      <c r="CL36" s="2386"/>
      <c r="CM36" s="2386"/>
      <c r="CN36" s="2386"/>
      <c r="CO36" s="2386"/>
      <c r="CP36" s="2386"/>
      <c r="CQ36" s="2386"/>
      <c r="CR36" s="2386"/>
      <c r="CS36" s="2386"/>
      <c r="CT36" s="2386"/>
      <c r="CU36" s="2386"/>
      <c r="CV36" s="2386"/>
      <c r="CW36" s="2386"/>
      <c r="CX36" s="2386"/>
      <c r="CY36" s="2386"/>
      <c r="CZ36" s="2386"/>
      <c r="DA36" s="2386"/>
      <c r="DB36" s="2386"/>
      <c r="DC36" s="2386"/>
      <c r="DD36" s="2386"/>
      <c r="DE36" s="2386"/>
      <c r="DF36" s="2386" t="str">
        <f>IF(Data!$GI$6&lt;&gt;"","X5: "&amp; Data!$GI$6, " ")</f>
        <v>X5: 1613 CT421 18-60</v>
      </c>
      <c r="DG36" s="2386"/>
      <c r="DH36" s="2386"/>
      <c r="DI36" s="2386"/>
      <c r="DJ36" s="2386"/>
      <c r="DK36" s="2386"/>
      <c r="DL36" s="2386"/>
      <c r="DM36" s="2386"/>
      <c r="DN36" s="2386"/>
      <c r="DO36" s="2386"/>
      <c r="DP36" s="2386"/>
      <c r="DQ36" s="2386"/>
      <c r="DR36" s="2386"/>
      <c r="DS36" s="2386"/>
      <c r="DT36" s="2386"/>
      <c r="DU36" s="2386"/>
      <c r="DV36" s="2386"/>
      <c r="DW36" s="2386"/>
      <c r="DX36" s="2386"/>
      <c r="DY36" s="2386"/>
      <c r="DZ36" s="2386"/>
      <c r="EA36" s="2386"/>
      <c r="EB36" s="2386"/>
      <c r="EC36" s="2386"/>
      <c r="ED36" s="2386"/>
      <c r="EE36" s="2386"/>
      <c r="EF36" s="2386"/>
      <c r="EG36" s="2386" t="str">
        <f>IF(Data!$GI$7&lt;&gt;"","X6: "&amp; Data!$GI$7, " ")</f>
        <v xml:space="preserve"> </v>
      </c>
      <c r="EH36" s="2386"/>
      <c r="EI36" s="2386"/>
      <c r="EJ36" s="2386"/>
      <c r="EK36" s="2386"/>
      <c r="EL36" s="2386"/>
      <c r="EM36" s="2386"/>
      <c r="EN36" s="2386"/>
      <c r="EO36" s="2386"/>
      <c r="EP36" s="2386"/>
      <c r="EQ36" s="2386"/>
      <c r="ER36" s="2386"/>
      <c r="ES36" s="2386"/>
      <c r="ET36" s="2386"/>
      <c r="EU36" s="2386"/>
      <c r="EV36" s="2386"/>
      <c r="EW36" s="2386"/>
      <c r="EX36" s="2386"/>
      <c r="EY36" s="2386"/>
      <c r="EZ36" s="2386"/>
      <c r="FA36" s="2386"/>
      <c r="FB36" s="2386"/>
      <c r="FC36" s="2386"/>
      <c r="FD36" s="2386"/>
      <c r="FE36" s="2386"/>
      <c r="FF36" s="2386"/>
      <c r="FG36" s="2386"/>
      <c r="FH36" s="2386" t="str">
        <f>IF(Data!$GI$8&lt;&gt;"","X7: "&amp; Data!$GI$8, " ")</f>
        <v xml:space="preserve"> </v>
      </c>
      <c r="FI36" s="2386"/>
      <c r="FJ36" s="2386"/>
      <c r="FK36" s="2386"/>
      <c r="FL36" s="2386"/>
      <c r="FM36" s="2386"/>
      <c r="FN36" s="2386"/>
      <c r="FO36" s="2386"/>
      <c r="FP36" s="2386"/>
      <c r="FQ36" s="2386"/>
      <c r="FR36" s="2386"/>
      <c r="FS36" s="2386"/>
      <c r="FT36" s="2386"/>
      <c r="FU36" s="2386"/>
      <c r="FV36" s="2386"/>
      <c r="FW36" s="2386"/>
      <c r="FX36" s="2386"/>
      <c r="FY36" s="2386"/>
      <c r="FZ36" s="2386"/>
      <c r="GA36" s="2386"/>
      <c r="GB36" s="2386"/>
      <c r="GC36" s="2386"/>
      <c r="GD36" s="2386"/>
      <c r="GE36" s="2386"/>
      <c r="GF36" s="2386"/>
      <c r="GG36" s="2386"/>
      <c r="GH36" s="159"/>
    </row>
  </sheetData>
  <sheetProtection formatCells="0" formatColumns="0" formatRows="0" insertColumns="0" insertRows="0" insertHyperlinks="0" deleteColumns="0" deleteRows="0" sort="0" autoFilter="0" pivotTables="0"/>
  <mergeCells count="727">
    <mergeCell ref="BG12:BY12"/>
    <mergeCell ref="BZ12:CR12"/>
    <mergeCell ref="CS12:DK12"/>
    <mergeCell ref="DL12:ED12"/>
    <mergeCell ref="EE12:EW12"/>
    <mergeCell ref="EX12:FP12"/>
    <mergeCell ref="FQ12:GG12"/>
    <mergeCell ref="CS24:DK24"/>
    <mergeCell ref="DL24:ED24"/>
    <mergeCell ref="EE24:EW24"/>
    <mergeCell ref="EX24:FP24"/>
    <mergeCell ref="FQ24:GG24"/>
    <mergeCell ref="FN14:FU14"/>
    <mergeCell ref="FV23:GC23"/>
    <mergeCell ref="GD23:GG23"/>
    <mergeCell ref="FF22:FM22"/>
    <mergeCell ref="FN22:FU22"/>
    <mergeCell ref="GD20:GG20"/>
    <mergeCell ref="GD14:GG14"/>
    <mergeCell ref="GD19:GG19"/>
    <mergeCell ref="DZ19:EG19"/>
    <mergeCell ref="EH19:EO19"/>
    <mergeCell ref="EP18:EW18"/>
    <mergeCell ref="EX18:FE18"/>
    <mergeCell ref="B24:T24"/>
    <mergeCell ref="U24:AM24"/>
    <mergeCell ref="AN24:BF24"/>
    <mergeCell ref="BG24:BY24"/>
    <mergeCell ref="BZ24:CR24"/>
    <mergeCell ref="B36:AB36"/>
    <mergeCell ref="AC36:BC36"/>
    <mergeCell ref="BD36:CD36"/>
    <mergeCell ref="CE36:DE36"/>
    <mergeCell ref="B35:G35"/>
    <mergeCell ref="H35:M35"/>
    <mergeCell ref="N35:S35"/>
    <mergeCell ref="T35:Y35"/>
    <mergeCell ref="Z35:AE35"/>
    <mergeCell ref="CZ34:DE34"/>
    <mergeCell ref="AR35:AW35"/>
    <mergeCell ref="AX35:BC35"/>
    <mergeCell ref="AR33:AW33"/>
    <mergeCell ref="AX33:BC33"/>
    <mergeCell ref="BD33:BI33"/>
    <mergeCell ref="BJ33:BO33"/>
    <mergeCell ref="BP33:BU33"/>
    <mergeCell ref="BV33:CA33"/>
    <mergeCell ref="AF32:AK32"/>
    <mergeCell ref="DF36:EF36"/>
    <mergeCell ref="EG36:FG36"/>
    <mergeCell ref="FH36:GG36"/>
    <mergeCell ref="GF26:GG26"/>
    <mergeCell ref="EJ26:EO26"/>
    <mergeCell ref="BV26:CA26"/>
    <mergeCell ref="CB26:CG26"/>
    <mergeCell ref="CH26:CM26"/>
    <mergeCell ref="CN26:CS26"/>
    <mergeCell ref="CT26:CY26"/>
    <mergeCell ref="CZ26:DE26"/>
    <mergeCell ref="EV35:FA35"/>
    <mergeCell ref="FB35:FG35"/>
    <mergeCell ref="FH35:FM35"/>
    <mergeCell ref="FN35:FS35"/>
    <mergeCell ref="FT35:FY35"/>
    <mergeCell ref="FZ35:GE35"/>
    <mergeCell ref="GF35:GG35"/>
    <mergeCell ref="DX34:EC34"/>
    <mergeCell ref="ED34:EI34"/>
    <mergeCell ref="EJ34:EO34"/>
    <mergeCell ref="EP34:EU34"/>
    <mergeCell ref="CN34:CS34"/>
    <mergeCell ref="CT34:CY34"/>
    <mergeCell ref="FF18:FM18"/>
    <mergeCell ref="FN18:FU18"/>
    <mergeCell ref="FV18:GC18"/>
    <mergeCell ref="GD18:GG18"/>
    <mergeCell ref="CT18:DA18"/>
    <mergeCell ref="DB18:DI18"/>
    <mergeCell ref="DJ18:DQ18"/>
    <mergeCell ref="DJ13:EO13"/>
    <mergeCell ref="BV23:CC23"/>
    <mergeCell ref="CD23:CK23"/>
    <mergeCell ref="CL23:CS23"/>
    <mergeCell ref="EP20:EW20"/>
    <mergeCell ref="EX20:FE20"/>
    <mergeCell ref="FF20:FM20"/>
    <mergeCell ref="FN20:FU20"/>
    <mergeCell ref="FV20:GC20"/>
    <mergeCell ref="DR20:DY20"/>
    <mergeCell ref="DZ20:EG20"/>
    <mergeCell ref="EH20:EO20"/>
    <mergeCell ref="EP19:EW19"/>
    <mergeCell ref="EX19:FE19"/>
    <mergeCell ref="FF19:FM19"/>
    <mergeCell ref="CT20:DA20"/>
    <mergeCell ref="DB20:DI20"/>
    <mergeCell ref="FN19:FU19"/>
    <mergeCell ref="FV19:GC19"/>
    <mergeCell ref="CT19:DA19"/>
    <mergeCell ref="DB19:DI19"/>
    <mergeCell ref="DJ19:DQ19"/>
    <mergeCell ref="DR19:DY19"/>
    <mergeCell ref="AL26:AQ26"/>
    <mergeCell ref="AR26:AW26"/>
    <mergeCell ref="AX26:BC26"/>
    <mergeCell ref="BD26:BI26"/>
    <mergeCell ref="BJ26:BO26"/>
    <mergeCell ref="BP26:BU26"/>
    <mergeCell ref="EP26:EU26"/>
    <mergeCell ref="EV26:FA26"/>
    <mergeCell ref="FB26:FG26"/>
    <mergeCell ref="FH26:FM26"/>
    <mergeCell ref="FN26:FS26"/>
    <mergeCell ref="FT26:FY26"/>
    <mergeCell ref="DF26:DK26"/>
    <mergeCell ref="DL26:DQ26"/>
    <mergeCell ref="DR26:DW26"/>
    <mergeCell ref="DX26:EC26"/>
    <mergeCell ref="ED26:EI26"/>
    <mergeCell ref="AX19:BE19"/>
    <mergeCell ref="BV14:CC14"/>
    <mergeCell ref="EX14:FE14"/>
    <mergeCell ref="CD14:CK14"/>
    <mergeCell ref="CT23:DA23"/>
    <mergeCell ref="DB23:DI23"/>
    <mergeCell ref="DJ23:DQ23"/>
    <mergeCell ref="DR23:DY23"/>
    <mergeCell ref="DZ23:EG23"/>
    <mergeCell ref="EH23:EO23"/>
    <mergeCell ref="EP22:EW22"/>
    <mergeCell ref="EX22:FE22"/>
    <mergeCell ref="EP17:EW17"/>
    <mergeCell ref="EX17:FE17"/>
    <mergeCell ref="DR18:DY18"/>
    <mergeCell ref="DZ18:EG18"/>
    <mergeCell ref="EH18:EO18"/>
    <mergeCell ref="DJ20:DQ20"/>
    <mergeCell ref="AH14:AO14"/>
    <mergeCell ref="AP14:AW14"/>
    <mergeCell ref="EP23:EW23"/>
    <mergeCell ref="EX23:FE23"/>
    <mergeCell ref="AX23:BE23"/>
    <mergeCell ref="BF23:BM23"/>
    <mergeCell ref="BN23:BU23"/>
    <mergeCell ref="R1:BH1"/>
    <mergeCell ref="R13:BH13"/>
    <mergeCell ref="BI13:DI13"/>
    <mergeCell ref="Z14:AG14"/>
    <mergeCell ref="AH22:AO22"/>
    <mergeCell ref="AP22:AW22"/>
    <mergeCell ref="CD20:CK20"/>
    <mergeCell ref="CL20:CS20"/>
    <mergeCell ref="AX20:BE20"/>
    <mergeCell ref="BF20:BM20"/>
    <mergeCell ref="BN20:BU20"/>
    <mergeCell ref="AX18:BE18"/>
    <mergeCell ref="BF18:BM18"/>
    <mergeCell ref="BN18:BU18"/>
    <mergeCell ref="BV18:CC18"/>
    <mergeCell ref="CD18:CK18"/>
    <mergeCell ref="CL18:CS18"/>
    <mergeCell ref="FV14:GC14"/>
    <mergeCell ref="CT14:DA14"/>
    <mergeCell ref="DJ14:DQ14"/>
    <mergeCell ref="DZ14:EG14"/>
    <mergeCell ref="EP14:EW14"/>
    <mergeCell ref="AX14:BE14"/>
    <mergeCell ref="FF23:FM23"/>
    <mergeCell ref="FN23:FU23"/>
    <mergeCell ref="DJ11:DY11"/>
    <mergeCell ref="DZ11:EO11"/>
    <mergeCell ref="EP11:FE11"/>
    <mergeCell ref="FF11:FU11"/>
    <mergeCell ref="FV11:GG11"/>
    <mergeCell ref="BN14:BU14"/>
    <mergeCell ref="EP21:EW21"/>
    <mergeCell ref="EX21:FE21"/>
    <mergeCell ref="FF21:FM21"/>
    <mergeCell ref="AX21:BE21"/>
    <mergeCell ref="BF21:BM21"/>
    <mergeCell ref="BN21:BU21"/>
    <mergeCell ref="BV21:CC21"/>
    <mergeCell ref="CD21:CK21"/>
    <mergeCell ref="CL21:CS21"/>
    <mergeCell ref="BV20:CC20"/>
    <mergeCell ref="B14:I14"/>
    <mergeCell ref="J14:Q14"/>
    <mergeCell ref="R14:Y14"/>
    <mergeCell ref="FV13:GC13"/>
    <mergeCell ref="B26:G26"/>
    <mergeCell ref="H26:M26"/>
    <mergeCell ref="N26:S26"/>
    <mergeCell ref="T26:Y26"/>
    <mergeCell ref="Z26:AE26"/>
    <mergeCell ref="AF26:AK26"/>
    <mergeCell ref="EF25:FK25"/>
    <mergeCell ref="FL25:GG25"/>
    <mergeCell ref="CZ25:EE25"/>
    <mergeCell ref="AY25:CY25"/>
    <mergeCell ref="H25:AX25"/>
    <mergeCell ref="B25:G25"/>
    <mergeCell ref="FF14:FM14"/>
    <mergeCell ref="CL14:CS14"/>
    <mergeCell ref="EH14:EO14"/>
    <mergeCell ref="DR14:DY14"/>
    <mergeCell ref="DB14:DI14"/>
    <mergeCell ref="FZ26:GE26"/>
    <mergeCell ref="GD13:GG13"/>
    <mergeCell ref="EP13:FU13"/>
    <mergeCell ref="B13:I13"/>
    <mergeCell ref="J13:Q13"/>
    <mergeCell ref="B2:Q2"/>
    <mergeCell ref="R2:AG2"/>
    <mergeCell ref="AH2:AW2"/>
    <mergeCell ref="AX2:BM2"/>
    <mergeCell ref="BN2:CC2"/>
    <mergeCell ref="CD2:CS2"/>
    <mergeCell ref="CT11:DI11"/>
    <mergeCell ref="CT10:DI10"/>
    <mergeCell ref="CT9:DI9"/>
    <mergeCell ref="CT8:DI8"/>
    <mergeCell ref="CT7:DI7"/>
    <mergeCell ref="CT6:DI6"/>
    <mergeCell ref="CT5:DI5"/>
    <mergeCell ref="B3:Q3"/>
    <mergeCell ref="R3:AG3"/>
    <mergeCell ref="AH3:AW3"/>
    <mergeCell ref="AX3:BM3"/>
    <mergeCell ref="BN3:CC3"/>
    <mergeCell ref="CD3:CS3"/>
    <mergeCell ref="B12:T12"/>
    <mergeCell ref="U12:AM12"/>
    <mergeCell ref="AN12:BF12"/>
    <mergeCell ref="B11:Q11"/>
    <mergeCell ref="R11:AG11"/>
    <mergeCell ref="AH11:AW11"/>
    <mergeCell ref="AX11:BM11"/>
    <mergeCell ref="BN11:CC11"/>
    <mergeCell ref="CD11:CS11"/>
    <mergeCell ref="B1:Q1"/>
    <mergeCell ref="EJ35:EO35"/>
    <mergeCell ref="EP35:EU35"/>
    <mergeCell ref="CZ35:DE35"/>
    <mergeCell ref="DF35:DK35"/>
    <mergeCell ref="DL35:DQ35"/>
    <mergeCell ref="DR35:DW35"/>
    <mergeCell ref="DX35:EC35"/>
    <mergeCell ref="ED35:EI35"/>
    <mergeCell ref="BP35:BU35"/>
    <mergeCell ref="BV35:CA35"/>
    <mergeCell ref="CB35:CG35"/>
    <mergeCell ref="CH35:CM35"/>
    <mergeCell ref="CN35:CS35"/>
    <mergeCell ref="CT35:CY35"/>
    <mergeCell ref="AF35:AK35"/>
    <mergeCell ref="AL35:AQ35"/>
    <mergeCell ref="BF14:BM14"/>
    <mergeCell ref="DF34:DK34"/>
    <mergeCell ref="DL34:DQ34"/>
    <mergeCell ref="DR34:DW34"/>
    <mergeCell ref="BD34:BI34"/>
    <mergeCell ref="BJ34:BO34"/>
    <mergeCell ref="BJ35:BO35"/>
    <mergeCell ref="FH34:FM34"/>
    <mergeCell ref="FN34:FS34"/>
    <mergeCell ref="FT34:FY34"/>
    <mergeCell ref="BP34:BU34"/>
    <mergeCell ref="BV34:CA34"/>
    <mergeCell ref="CB34:CG34"/>
    <mergeCell ref="CH34:CM34"/>
    <mergeCell ref="BD35:BI35"/>
    <mergeCell ref="GF33:GG33"/>
    <mergeCell ref="B34:G34"/>
    <mergeCell ref="H34:M34"/>
    <mergeCell ref="N34:S34"/>
    <mergeCell ref="T34:Y34"/>
    <mergeCell ref="Z34:AE34"/>
    <mergeCell ref="AF34:AK34"/>
    <mergeCell ref="AL34:AQ34"/>
    <mergeCell ref="AR34:AW34"/>
    <mergeCell ref="AX34:BC34"/>
    <mergeCell ref="EV33:FA33"/>
    <mergeCell ref="FB33:FG33"/>
    <mergeCell ref="FH33:FM33"/>
    <mergeCell ref="FN33:FS33"/>
    <mergeCell ref="FT33:FY33"/>
    <mergeCell ref="FZ33:GE33"/>
    <mergeCell ref="DL33:DQ33"/>
    <mergeCell ref="FZ34:GE34"/>
    <mergeCell ref="GF34:GG34"/>
    <mergeCell ref="EV34:FA34"/>
    <mergeCell ref="FB34:FG34"/>
    <mergeCell ref="CT33:CY33"/>
    <mergeCell ref="CZ33:DE33"/>
    <mergeCell ref="DF33:DK33"/>
    <mergeCell ref="FT32:FY32"/>
    <mergeCell ref="FZ32:GE32"/>
    <mergeCell ref="GF32:GG32"/>
    <mergeCell ref="EV32:FA32"/>
    <mergeCell ref="FB32:FG32"/>
    <mergeCell ref="FH32:FM32"/>
    <mergeCell ref="FN32:FS32"/>
    <mergeCell ref="AX32:BC32"/>
    <mergeCell ref="BD32:BI32"/>
    <mergeCell ref="BJ32:BO32"/>
    <mergeCell ref="EJ32:EO32"/>
    <mergeCell ref="EP32:EU32"/>
    <mergeCell ref="CZ32:DE32"/>
    <mergeCell ref="DF32:DK32"/>
    <mergeCell ref="DL32:DQ32"/>
    <mergeCell ref="DR32:DW32"/>
    <mergeCell ref="DX32:EC32"/>
    <mergeCell ref="ED32:EI32"/>
    <mergeCell ref="BP32:BU32"/>
    <mergeCell ref="BV32:CA32"/>
    <mergeCell ref="CB32:CG32"/>
    <mergeCell ref="CH32:CM32"/>
    <mergeCell ref="CN32:CS32"/>
    <mergeCell ref="CT32:CY32"/>
    <mergeCell ref="DR33:DW33"/>
    <mergeCell ref="DX33:EC33"/>
    <mergeCell ref="ED33:EI33"/>
    <mergeCell ref="EJ33:EO33"/>
    <mergeCell ref="EP33:EU33"/>
    <mergeCell ref="CB33:CG33"/>
    <mergeCell ref="CH33:CM33"/>
    <mergeCell ref="CN33:CS33"/>
    <mergeCell ref="B33:G33"/>
    <mergeCell ref="H33:M33"/>
    <mergeCell ref="N33:S33"/>
    <mergeCell ref="T33:Y33"/>
    <mergeCell ref="Z33:AE33"/>
    <mergeCell ref="AF33:AK33"/>
    <mergeCell ref="AL33:AQ33"/>
    <mergeCell ref="AL32:AQ32"/>
    <mergeCell ref="AR32:AW32"/>
    <mergeCell ref="FH31:FM31"/>
    <mergeCell ref="FN31:FS31"/>
    <mergeCell ref="FT31:FY31"/>
    <mergeCell ref="FZ31:GE31"/>
    <mergeCell ref="GF31:GG31"/>
    <mergeCell ref="B32:G32"/>
    <mergeCell ref="H32:M32"/>
    <mergeCell ref="N32:S32"/>
    <mergeCell ref="T32:Y32"/>
    <mergeCell ref="Z32:AE32"/>
    <mergeCell ref="DX31:EC31"/>
    <mergeCell ref="ED31:EI31"/>
    <mergeCell ref="EJ31:EO31"/>
    <mergeCell ref="EP31:EU31"/>
    <mergeCell ref="EV31:FA31"/>
    <mergeCell ref="FB31:FG31"/>
    <mergeCell ref="CN31:CS31"/>
    <mergeCell ref="CT31:CY31"/>
    <mergeCell ref="CZ31:DE31"/>
    <mergeCell ref="DF31:DK31"/>
    <mergeCell ref="DL31:DQ31"/>
    <mergeCell ref="DR31:DW31"/>
    <mergeCell ref="BD31:BI31"/>
    <mergeCell ref="BJ31:BO31"/>
    <mergeCell ref="BP31:BU31"/>
    <mergeCell ref="BV31:CA31"/>
    <mergeCell ref="CB31:CG31"/>
    <mergeCell ref="CH31:CM31"/>
    <mergeCell ref="GF30:GG30"/>
    <mergeCell ref="B31:G31"/>
    <mergeCell ref="H31:M31"/>
    <mergeCell ref="N31:S31"/>
    <mergeCell ref="T31:Y31"/>
    <mergeCell ref="Z31:AE31"/>
    <mergeCell ref="AF31:AK31"/>
    <mergeCell ref="AL31:AQ31"/>
    <mergeCell ref="AR31:AW31"/>
    <mergeCell ref="AX31:BC31"/>
    <mergeCell ref="EV30:FA30"/>
    <mergeCell ref="FB30:FG30"/>
    <mergeCell ref="FH30:FM30"/>
    <mergeCell ref="FN30:FS30"/>
    <mergeCell ref="FT30:FY30"/>
    <mergeCell ref="FZ30:GE30"/>
    <mergeCell ref="DL30:DQ30"/>
    <mergeCell ref="GF29:GG29"/>
    <mergeCell ref="B30:G30"/>
    <mergeCell ref="H30:M30"/>
    <mergeCell ref="N30:S30"/>
    <mergeCell ref="T30:Y30"/>
    <mergeCell ref="Z30:AE30"/>
    <mergeCell ref="AF30:AK30"/>
    <mergeCell ref="AL30:AQ30"/>
    <mergeCell ref="EJ29:EO29"/>
    <mergeCell ref="EP29:EU29"/>
    <mergeCell ref="EV29:FA29"/>
    <mergeCell ref="FB29:FG29"/>
    <mergeCell ref="FH29:FM29"/>
    <mergeCell ref="FN29:FS29"/>
    <mergeCell ref="CZ29:DE29"/>
    <mergeCell ref="DF29:DK29"/>
    <mergeCell ref="DL29:DQ29"/>
    <mergeCell ref="DR29:DW29"/>
    <mergeCell ref="DR30:DW30"/>
    <mergeCell ref="DX30:EC30"/>
    <mergeCell ref="ED30:EI30"/>
    <mergeCell ref="CB30:CG30"/>
    <mergeCell ref="CH30:CM30"/>
    <mergeCell ref="CN30:CS30"/>
    <mergeCell ref="AF29:AK29"/>
    <mergeCell ref="AL29:AQ29"/>
    <mergeCell ref="AR29:AW29"/>
    <mergeCell ref="AX29:BC29"/>
    <mergeCell ref="BD29:BI29"/>
    <mergeCell ref="BJ29:BO29"/>
    <mergeCell ref="CH29:CM29"/>
    <mergeCell ref="CN29:CS29"/>
    <mergeCell ref="AR30:AW30"/>
    <mergeCell ref="AX30:BC30"/>
    <mergeCell ref="BD30:BI30"/>
    <mergeCell ref="BJ30:BO30"/>
    <mergeCell ref="BP30:BU30"/>
    <mergeCell ref="BV30:CA30"/>
    <mergeCell ref="BD28:BI28"/>
    <mergeCell ref="BJ28:BO28"/>
    <mergeCell ref="CB29:CG29"/>
    <mergeCell ref="DX29:EC29"/>
    <mergeCell ref="ED29:EI29"/>
    <mergeCell ref="BP29:BU29"/>
    <mergeCell ref="BV29:CA29"/>
    <mergeCell ref="EJ30:EO30"/>
    <mergeCell ref="EP30:EU30"/>
    <mergeCell ref="CT29:CY29"/>
    <mergeCell ref="CT30:CY30"/>
    <mergeCell ref="CZ30:DE30"/>
    <mergeCell ref="DF30:DK30"/>
    <mergeCell ref="BP28:BU28"/>
    <mergeCell ref="BV28:CA28"/>
    <mergeCell ref="CB28:CG28"/>
    <mergeCell ref="CH28:CM28"/>
    <mergeCell ref="FH28:FM28"/>
    <mergeCell ref="FN28:FS28"/>
    <mergeCell ref="FT28:FY28"/>
    <mergeCell ref="FT29:FY29"/>
    <mergeCell ref="FZ29:GE29"/>
    <mergeCell ref="FZ28:GE28"/>
    <mergeCell ref="GF28:GG28"/>
    <mergeCell ref="B29:G29"/>
    <mergeCell ref="H29:M29"/>
    <mergeCell ref="N29:S29"/>
    <mergeCell ref="T29:Y29"/>
    <mergeCell ref="Z29:AE29"/>
    <mergeCell ref="DX28:EC28"/>
    <mergeCell ref="ED28:EI28"/>
    <mergeCell ref="EJ28:EO28"/>
    <mergeCell ref="EP28:EU28"/>
    <mergeCell ref="EV28:FA28"/>
    <mergeCell ref="FB28:FG28"/>
    <mergeCell ref="CN28:CS28"/>
    <mergeCell ref="CT28:CY28"/>
    <mergeCell ref="CZ28:DE28"/>
    <mergeCell ref="DF28:DK28"/>
    <mergeCell ref="DL28:DQ28"/>
    <mergeCell ref="DR28:DW28"/>
    <mergeCell ref="GF27:GG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AX28:BC28"/>
    <mergeCell ref="EV27:FA27"/>
    <mergeCell ref="FB27:FG27"/>
    <mergeCell ref="FH27:FM27"/>
    <mergeCell ref="FN27:FS27"/>
    <mergeCell ref="FT27:FY27"/>
    <mergeCell ref="FZ27:GE27"/>
    <mergeCell ref="DL27:DQ27"/>
    <mergeCell ref="DR27:DW27"/>
    <mergeCell ref="DX27:EC27"/>
    <mergeCell ref="ED27:EI27"/>
    <mergeCell ref="B27:G27"/>
    <mergeCell ref="H27:M27"/>
    <mergeCell ref="N27:S27"/>
    <mergeCell ref="T27:Y27"/>
    <mergeCell ref="B23:I23"/>
    <mergeCell ref="J23:Q23"/>
    <mergeCell ref="R23:Y23"/>
    <mergeCell ref="Z23:AG23"/>
    <mergeCell ref="AH23:AO23"/>
    <mergeCell ref="AP23:AW23"/>
    <mergeCell ref="FV22:GC22"/>
    <mergeCell ref="GD22:GG22"/>
    <mergeCell ref="CT22:DA22"/>
    <mergeCell ref="DB22:DI22"/>
    <mergeCell ref="DJ22:DQ22"/>
    <mergeCell ref="DR22:DY22"/>
    <mergeCell ref="DZ22:EG22"/>
    <mergeCell ref="EH22:EO22"/>
    <mergeCell ref="AX22:BE22"/>
    <mergeCell ref="BF22:BM22"/>
    <mergeCell ref="BN22:BU22"/>
    <mergeCell ref="BV22:CC22"/>
    <mergeCell ref="CD22:CK22"/>
    <mergeCell ref="CL22:CS22"/>
    <mergeCell ref="B22:I22"/>
    <mergeCell ref="J22:Q22"/>
    <mergeCell ref="R22:Y22"/>
    <mergeCell ref="Z22:AG22"/>
    <mergeCell ref="B21:I21"/>
    <mergeCell ref="J21:Q21"/>
    <mergeCell ref="R21:Y21"/>
    <mergeCell ref="Z21:AG21"/>
    <mergeCell ref="AH21:AO21"/>
    <mergeCell ref="AP21:AW21"/>
    <mergeCell ref="FN21:FU21"/>
    <mergeCell ref="FV21:GC21"/>
    <mergeCell ref="GD21:GG21"/>
    <mergeCell ref="CT21:DA21"/>
    <mergeCell ref="DB21:DI21"/>
    <mergeCell ref="DJ21:DQ21"/>
    <mergeCell ref="DR21:DY21"/>
    <mergeCell ref="DZ21:EG21"/>
    <mergeCell ref="EH21:EO21"/>
    <mergeCell ref="B20:I20"/>
    <mergeCell ref="J20:Q20"/>
    <mergeCell ref="R20:Y20"/>
    <mergeCell ref="Z20:AG20"/>
    <mergeCell ref="AH20:AO20"/>
    <mergeCell ref="AP20:AW20"/>
    <mergeCell ref="B19:I19"/>
    <mergeCell ref="J19:Q19"/>
    <mergeCell ref="R19:Y19"/>
    <mergeCell ref="Z19:AG19"/>
    <mergeCell ref="AH19:AO19"/>
    <mergeCell ref="AP19:AW19"/>
    <mergeCell ref="BF19:BM19"/>
    <mergeCell ref="BN19:BU19"/>
    <mergeCell ref="BV19:CC19"/>
    <mergeCell ref="CD19:CK19"/>
    <mergeCell ref="CL19:CS19"/>
    <mergeCell ref="B18:I18"/>
    <mergeCell ref="J18:Q18"/>
    <mergeCell ref="R18:Y18"/>
    <mergeCell ref="Z18:AG18"/>
    <mergeCell ref="AH18:AO18"/>
    <mergeCell ref="AP18:AW18"/>
    <mergeCell ref="AX17:BE17"/>
    <mergeCell ref="BF17:BM17"/>
    <mergeCell ref="BN17:BU17"/>
    <mergeCell ref="BV17:CC17"/>
    <mergeCell ref="CD17:CK17"/>
    <mergeCell ref="CL17:CS17"/>
    <mergeCell ref="B17:I17"/>
    <mergeCell ref="J17:Q17"/>
    <mergeCell ref="R17:Y17"/>
    <mergeCell ref="Z17:AG17"/>
    <mergeCell ref="AH17:AO17"/>
    <mergeCell ref="AP17:AW17"/>
    <mergeCell ref="FN17:FU17"/>
    <mergeCell ref="FV17:GC17"/>
    <mergeCell ref="GD17:GG17"/>
    <mergeCell ref="CT17:DA17"/>
    <mergeCell ref="DB17:DI17"/>
    <mergeCell ref="DJ17:DQ17"/>
    <mergeCell ref="DR17:DY17"/>
    <mergeCell ref="DZ17:EG17"/>
    <mergeCell ref="EH17:EO17"/>
    <mergeCell ref="FF17:FM17"/>
    <mergeCell ref="B16:I16"/>
    <mergeCell ref="J16:Q16"/>
    <mergeCell ref="R16:Y16"/>
    <mergeCell ref="Z16:AG16"/>
    <mergeCell ref="AH16:AO16"/>
    <mergeCell ref="AP16:AW16"/>
    <mergeCell ref="EP16:EW16"/>
    <mergeCell ref="EX16:FE16"/>
    <mergeCell ref="FF16:FM16"/>
    <mergeCell ref="CT16:DA16"/>
    <mergeCell ref="DB16:DI16"/>
    <mergeCell ref="DJ16:DQ16"/>
    <mergeCell ref="DR16:DY16"/>
    <mergeCell ref="DZ16:EG16"/>
    <mergeCell ref="EH16:EO16"/>
    <mergeCell ref="FV15:GC15"/>
    <mergeCell ref="GD15:GG15"/>
    <mergeCell ref="CT15:DA15"/>
    <mergeCell ref="DB15:DI15"/>
    <mergeCell ref="DJ15:DQ15"/>
    <mergeCell ref="DR15:DY15"/>
    <mergeCell ref="DZ15:EG15"/>
    <mergeCell ref="EH15:EO15"/>
    <mergeCell ref="AX16:BE16"/>
    <mergeCell ref="BF16:BM16"/>
    <mergeCell ref="BN16:BU16"/>
    <mergeCell ref="BV16:CC16"/>
    <mergeCell ref="CD16:CK16"/>
    <mergeCell ref="CL16:CS16"/>
    <mergeCell ref="FN16:FU16"/>
    <mergeCell ref="FV16:GC16"/>
    <mergeCell ref="GD16:GG16"/>
    <mergeCell ref="AX15:BE15"/>
    <mergeCell ref="BF15:BM15"/>
    <mergeCell ref="BN15:BU15"/>
    <mergeCell ref="BV15:CC15"/>
    <mergeCell ref="CD15:CK15"/>
    <mergeCell ref="CL15:CS15"/>
    <mergeCell ref="FN15:FU15"/>
    <mergeCell ref="DJ10:DY10"/>
    <mergeCell ref="DZ10:EO10"/>
    <mergeCell ref="EP10:FE10"/>
    <mergeCell ref="FF10:FU10"/>
    <mergeCell ref="FV10:GG10"/>
    <mergeCell ref="B10:Q10"/>
    <mergeCell ref="R10:AG10"/>
    <mergeCell ref="AH10:AW10"/>
    <mergeCell ref="AX10:BM10"/>
    <mergeCell ref="BN10:CC10"/>
    <mergeCell ref="CD10:CS10"/>
    <mergeCell ref="DJ9:DY9"/>
    <mergeCell ref="DZ9:EO9"/>
    <mergeCell ref="EP9:FE9"/>
    <mergeCell ref="FF9:FU9"/>
    <mergeCell ref="FV9:GG9"/>
    <mergeCell ref="B9:Q9"/>
    <mergeCell ref="R9:AG9"/>
    <mergeCell ref="AH9:AW9"/>
    <mergeCell ref="AX9:BM9"/>
    <mergeCell ref="BN9:CC9"/>
    <mergeCell ref="CD9:CS9"/>
    <mergeCell ref="DJ8:DY8"/>
    <mergeCell ref="DZ8:EO8"/>
    <mergeCell ref="EP8:FE8"/>
    <mergeCell ref="FF8:FU8"/>
    <mergeCell ref="FV8:GG8"/>
    <mergeCell ref="B8:Q8"/>
    <mergeCell ref="R8:AG8"/>
    <mergeCell ref="AH8:AW8"/>
    <mergeCell ref="AX8:BM8"/>
    <mergeCell ref="BN8:CC8"/>
    <mergeCell ref="CD8:CS8"/>
    <mergeCell ref="DJ7:DY7"/>
    <mergeCell ref="DZ7:EO7"/>
    <mergeCell ref="EP7:FE7"/>
    <mergeCell ref="FF7:FU7"/>
    <mergeCell ref="FV7:GG7"/>
    <mergeCell ref="B7:Q7"/>
    <mergeCell ref="R7:AG7"/>
    <mergeCell ref="AH7:AW7"/>
    <mergeCell ref="AX7:BM7"/>
    <mergeCell ref="BN7:CC7"/>
    <mergeCell ref="CD7:CS7"/>
    <mergeCell ref="DJ6:DY6"/>
    <mergeCell ref="DZ6:EO6"/>
    <mergeCell ref="EP6:FE6"/>
    <mergeCell ref="FF6:FU6"/>
    <mergeCell ref="FV6:GG6"/>
    <mergeCell ref="B6:Q6"/>
    <mergeCell ref="R6:AG6"/>
    <mergeCell ref="AH6:AW6"/>
    <mergeCell ref="AX6:BM6"/>
    <mergeCell ref="BN6:CC6"/>
    <mergeCell ref="CD6:CS6"/>
    <mergeCell ref="DJ5:DY5"/>
    <mergeCell ref="DZ5:EO5"/>
    <mergeCell ref="EP5:FE5"/>
    <mergeCell ref="FF5:FU5"/>
    <mergeCell ref="FV5:GG5"/>
    <mergeCell ref="B5:Q5"/>
    <mergeCell ref="R5:AG5"/>
    <mergeCell ref="AH5:AW5"/>
    <mergeCell ref="AX5:BM5"/>
    <mergeCell ref="BN5:CC5"/>
    <mergeCell ref="CD5:CS5"/>
    <mergeCell ref="EP4:FE4"/>
    <mergeCell ref="FF4:FU4"/>
    <mergeCell ref="FV4:GG4"/>
    <mergeCell ref="B4:Q4"/>
    <mergeCell ref="R4:AG4"/>
    <mergeCell ref="AH4:AW4"/>
    <mergeCell ref="AX4:BM4"/>
    <mergeCell ref="BN4:CC4"/>
    <mergeCell ref="CD4:CS4"/>
    <mergeCell ref="CT4:DI4"/>
    <mergeCell ref="DJ4:DY4"/>
    <mergeCell ref="DZ4:EO4"/>
    <mergeCell ref="FF2:FU2"/>
    <mergeCell ref="FV2:GG2"/>
    <mergeCell ref="EP2:FE2"/>
    <mergeCell ref="DJ2:DY2"/>
    <mergeCell ref="DZ2:EO2"/>
    <mergeCell ref="CT2:DI2"/>
    <mergeCell ref="FV1:GG1"/>
    <mergeCell ref="CT3:DI3"/>
    <mergeCell ref="DJ3:DY3"/>
    <mergeCell ref="DZ3:EO3"/>
    <mergeCell ref="EP3:FE3"/>
    <mergeCell ref="FF3:FU3"/>
    <mergeCell ref="FV3:GG3"/>
    <mergeCell ref="DJ1:EO1"/>
    <mergeCell ref="EP1:FU1"/>
    <mergeCell ref="BI1:DI1"/>
    <mergeCell ref="B15:I15"/>
    <mergeCell ref="J15:Q15"/>
    <mergeCell ref="R15:Y15"/>
    <mergeCell ref="Z15:AG15"/>
    <mergeCell ref="AH15:AO15"/>
    <mergeCell ref="AP15:AW15"/>
    <mergeCell ref="EP15:EW15"/>
    <mergeCell ref="EX15:FE15"/>
    <mergeCell ref="FF15:FM15"/>
    <mergeCell ref="Z27:AE27"/>
    <mergeCell ref="AF27:AK27"/>
    <mergeCell ref="AL27:AQ27"/>
    <mergeCell ref="EJ27:EO27"/>
    <mergeCell ref="EP27:EU27"/>
    <mergeCell ref="CB27:CG27"/>
    <mergeCell ref="CH27:CM27"/>
    <mergeCell ref="CN27:CS27"/>
    <mergeCell ref="CT27:CY27"/>
    <mergeCell ref="CZ27:DE27"/>
    <mergeCell ref="DF27:DK27"/>
    <mergeCell ref="AR27:AW27"/>
    <mergeCell ref="AX27:BC27"/>
    <mergeCell ref="BD27:BI27"/>
    <mergeCell ref="BJ27:BO27"/>
    <mergeCell ref="BP27:BU27"/>
    <mergeCell ref="BV27:CA27"/>
  </mergeCells>
  <conditionalFormatting sqref="B27:FM35">
    <cfRule type="notContainsBlanks" dxfId="68" priority="45">
      <formula>LEN(TRIM(B27))&gt;0</formula>
    </cfRule>
  </conditionalFormatting>
  <conditionalFormatting sqref="B2:FU2">
    <cfRule type="cellIs" dxfId="67" priority="438" operator="equal">
      <formula>0</formula>
    </cfRule>
    <cfRule type="cellIs" dxfId="66" priority="439" operator="notEqual">
      <formula>0</formula>
    </cfRule>
  </conditionalFormatting>
  <conditionalFormatting sqref="B3:FU11">
    <cfRule type="notContainsBlanks" dxfId="65" priority="460">
      <formula>LEN(TRIM(B3))&gt;0</formula>
    </cfRule>
    <cfRule type="expression" dxfId="64" priority="461">
      <formula>COUNTIF(B3,"*S*")</formula>
    </cfRule>
    <cfRule type="expression" dxfId="63" priority="462">
      <formula>COUNTIF(B3,"*O*")</formula>
    </cfRule>
    <cfRule type="expression" dxfId="62" priority="463">
      <formula>COUNTIF(B3,"*R*")</formula>
    </cfRule>
    <cfRule type="expression" dxfId="61" priority="464">
      <formula>OR(COUNTIF(B3,"*X*"),COUNTIF(B3,"*L*"))</formula>
    </cfRule>
  </conditionalFormatting>
  <conditionalFormatting sqref="B14:GC14">
    <cfRule type="cellIs" dxfId="60" priority="380" operator="equal">
      <formula>0</formula>
    </cfRule>
    <cfRule type="cellIs" dxfId="59" priority="379" operator="notEqual">
      <formula>0</formula>
    </cfRule>
  </conditionalFormatting>
  <conditionalFormatting sqref="B15:GC23">
    <cfRule type="expression" dxfId="58" priority="272">
      <formula>OR(COUNTIF(B15,"*X*"),COUNTIF(B15,"*L*"))</formula>
    </cfRule>
    <cfRule type="expression" dxfId="57" priority="271">
      <formula>COUNTIF(B15,"*R*")</formula>
    </cfRule>
    <cfRule type="expression" dxfId="56" priority="269">
      <formula>COUNTIF(B15,"*O*")</formula>
    </cfRule>
    <cfRule type="notContainsBlanks" dxfId="55" priority="268">
      <formula>LEN(TRIM(B15))&gt;0</formula>
    </cfRule>
    <cfRule type="expression" dxfId="54" priority="270">
      <formula>COUNTIF(B15,"*S*")</formula>
    </cfRule>
  </conditionalFormatting>
  <conditionalFormatting sqref="B26:GE26">
    <cfRule type="cellIs" dxfId="53" priority="182" operator="equal">
      <formula>0</formula>
    </cfRule>
    <cfRule type="cellIs" dxfId="52" priority="181" operator="notEqual">
      <formula>0</formula>
    </cfRule>
  </conditionalFormatting>
  <conditionalFormatting sqref="B27:GE35">
    <cfRule type="expression" dxfId="51" priority="47">
      <formula>COUNTIF(B27,"*S*")</formula>
    </cfRule>
    <cfRule type="expression" dxfId="50" priority="49">
      <formula>OR(COUNTIF(B27,"*X*"),COUNTIF(B27,"*L*"))</formula>
    </cfRule>
    <cfRule type="expression" dxfId="49" priority="48">
      <formula>COUNTIF(B27,"*R*")</formula>
    </cfRule>
    <cfRule type="expression" dxfId="48" priority="46">
      <formula>COUNTIF(B27,"*O*")</formula>
    </cfRule>
  </conditionalFormatting>
  <pageMargins left="0.45" right="0" top="0.5" bottom="0.5" header="0" footer="0.3"/>
  <pageSetup paperSize="9" scale="96" fitToHeight="0" orientation="landscape" r:id="rId1"/>
  <rowBreaks count="1" manualBreakCount="1">
    <brk id="12" max="188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11" id="{CBC47E1E-75B8-407E-9442-AE8F92A40BF0}">
            <xm:f>SUM('\2019\Templetes 09-16-2019\New folder\[Template 09-16-2019.xlsx]Data'!#REF!)=0</xm:f>
            <x14:dxf>
              <font>
                <color theme="0"/>
              </font>
            </x14:dxf>
          </x14:cfRule>
          <xm:sqref>A3:A11</xm:sqref>
        </x14:conditionalFormatting>
        <x14:conditionalFormatting xmlns:xm="http://schemas.microsoft.com/office/excel/2006/main">
          <x14:cfRule type="expression" priority="429" id="{576E2D16-AC8E-42A9-B5EB-A331C7C64693}">
            <xm:f>SUM('\2019\Templetes 09-16-2019\New folder\[Template 09-16-2019.xlsx]Data'!#REF!)=0</xm:f>
            <x14:dxf>
              <font>
                <color theme="0"/>
              </font>
            </x14:dxf>
          </x14:cfRule>
          <xm:sqref>A15:A23</xm:sqref>
        </x14:conditionalFormatting>
        <x14:conditionalFormatting xmlns:xm="http://schemas.microsoft.com/office/excel/2006/main">
          <x14:cfRule type="expression" priority="243" id="{DFE4BDC0-E8F4-451C-99A2-DC1A187B9634}">
            <xm:f>SUM('\2019\Templetes 09-16-2019\New folder\[Template 09-16-2019.xlsx]Data'!#REF!)=0</xm:f>
            <x14:dxf>
              <font>
                <color theme="0"/>
              </font>
            </x14:dxf>
          </x14:cfRule>
          <xm:sqref>A27:A35</xm:sqref>
        </x14:conditionalFormatting>
        <x14:conditionalFormatting xmlns:xm="http://schemas.microsoft.com/office/excel/2006/main">
          <x14:cfRule type="expression" priority="437" id="{0CFD0B07-6146-486F-B8D7-789C6540BAFF}">
            <xm:f>'\2019\Templetes 09-16-2019\New folder\[Template 09-16-2019.xlsx]Data'!#REF!&gt;11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A1:GG11 A12</xm:sqref>
        </x14:conditionalFormatting>
        <x14:conditionalFormatting xmlns:xm="http://schemas.microsoft.com/office/excel/2006/main">
          <x14:cfRule type="expression" priority="267" id="{788F6003-EFF9-49FE-90C4-03FBB0972E46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A13:GG23 A24:B24</xm:sqref>
        </x14:conditionalFormatting>
        <x14:conditionalFormatting xmlns:xm="http://schemas.microsoft.com/office/excel/2006/main">
          <x14:cfRule type="expression" priority="44" id="{52E08A74-E54B-4905-B949-CD0D92645F00}">
            <xm:f>OR('\2019\Templetes 09-16-2019\New folder\[Template 09-16-2019.xlsx]Data'!#REF!&gt;30,'\2019\Templetes 09-16-2019\New folder\[Template 09-16-2019.xlsx]Data'!#REF!&lt;=22)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A25:GG36</xm:sqref>
        </x14:conditionalFormatting>
        <x14:conditionalFormatting xmlns:xm="http://schemas.microsoft.com/office/excel/2006/main">
          <x14:cfRule type="expression" priority="17" id="{46E429D6-73DC-4846-B463-99097DACA227}">
            <xm:f>'\2019\Templetes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18" id="{646ED53C-3185-4C39-9851-77244D932C07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B12</xm:sqref>
        </x14:conditionalFormatting>
        <x14:conditionalFormatting xmlns:xm="http://schemas.microsoft.com/office/excel/2006/main">
          <x14:cfRule type="expression" priority="266" id="{6B9EFE49-136C-4F56-845D-7CD59877EB81}">
            <xm:f>'\2019\Templetes 09-16-2019\New folder\[Template 09-16-2019.xlsx]Data'!#REF!=0</xm:f>
            <x14:dxf>
              <font>
                <color theme="0"/>
              </font>
            </x14:dxf>
          </x14:cfRule>
          <xm:sqref>B24</xm:sqref>
        </x14:conditionalFormatting>
        <x14:conditionalFormatting xmlns:xm="http://schemas.microsoft.com/office/excel/2006/main">
          <x14:cfRule type="expression" priority="37" id="{1E10966D-3DFA-44B0-98C5-6F398DF5F8B3}">
            <xm:f>'\2019\Templetes 09-16-2019\New folder\[Template 09-16-2019.xlsx]Data'!#REF!=0</xm:f>
            <x14:dxf>
              <font>
                <color theme="0"/>
              </font>
            </x14:dxf>
          </x14:cfRule>
          <xm:sqref>B36:GG36</xm:sqref>
        </x14:conditionalFormatting>
        <x14:conditionalFormatting xmlns:xm="http://schemas.microsoft.com/office/excel/2006/main">
          <x14:cfRule type="expression" priority="16" id="{CBBCF349-ABF5-4F95-B265-A41A941C6389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5" id="{D28BADC5-697C-4D7A-9A0B-02CF7DFB7129}">
            <xm:f>'\2019\Templetes 09-16-2019\New folder\[Template 09-16-2019.xlsx]Data'!#REF!=0</xm:f>
            <x14:dxf>
              <font>
                <color theme="0"/>
              </font>
            </x14:dxf>
          </x14:cfRule>
          <xm:sqref>U12</xm:sqref>
        </x14:conditionalFormatting>
        <x14:conditionalFormatting xmlns:xm="http://schemas.microsoft.com/office/excel/2006/main">
          <x14:cfRule type="expression" priority="36" id="{49E2294F-82F9-4C05-8608-F175CD4F3379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5" id="{755C7BEE-2CF5-4A40-A5F1-5A49DB64D4CE}">
            <xm:f>'\2019\Templetes 09-16-2019\New folder\[Template 09-16-2019.xlsx]Data'!#REF!=0</xm:f>
            <x14:dxf>
              <font>
                <color theme="0"/>
              </font>
            </x14:dxf>
          </x14:cfRule>
          <xm:sqref>U24</xm:sqref>
        </x14:conditionalFormatting>
        <x14:conditionalFormatting xmlns:xm="http://schemas.microsoft.com/office/excel/2006/main">
          <x14:cfRule type="expression" priority="14" id="{C8255B61-A013-488D-A586-8A7140418FC8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3" id="{A5F6E137-CFB3-455D-B68E-AE21E927E8FF}">
            <xm:f>'\2019\Templetes 09-16-2019\New folder\[Template 09-16-2019.xlsx]Data'!#REF!=0</xm:f>
            <x14:dxf>
              <font>
                <color theme="0"/>
              </font>
            </x14:dxf>
          </x14:cfRule>
          <xm:sqref>AN12</xm:sqref>
        </x14:conditionalFormatting>
        <x14:conditionalFormatting xmlns:xm="http://schemas.microsoft.com/office/excel/2006/main">
          <x14:cfRule type="expression" priority="34" id="{2753C37E-B52B-469F-9CA5-B21C61FC4FEF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3" id="{C78BD14A-210C-4B4E-A7BA-5C5804164BAB}">
            <xm:f>'\2019\Templetes 09-16-2019\New folder\[Template 09-16-2019.xlsx]Data'!#REF!=0</xm:f>
            <x14:dxf>
              <font>
                <color theme="0"/>
              </font>
            </x14:dxf>
          </x14:cfRule>
          <xm:sqref>AN24</xm:sqref>
        </x14:conditionalFormatting>
        <x14:conditionalFormatting xmlns:xm="http://schemas.microsoft.com/office/excel/2006/main">
          <x14:cfRule type="expression" priority="12" id="{DCEA0D46-A534-42E9-BDB4-F75BA694CC6A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1" id="{8C8B193E-2090-4EAD-B6DB-0108DCF4D4B4}">
            <xm:f>'\2019\Templetes 09-16-2019\New folder\[Template 09-16-2019.xlsx]Data'!#REF!=0</xm:f>
            <x14:dxf>
              <font>
                <color theme="0"/>
              </font>
            </x14:dxf>
          </x14:cfRule>
          <xm:sqref>BG12</xm:sqref>
        </x14:conditionalFormatting>
        <x14:conditionalFormatting xmlns:xm="http://schemas.microsoft.com/office/excel/2006/main">
          <x14:cfRule type="expression" priority="32" id="{DC295D61-8CB9-4018-AFEC-E9E187C7100B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1" id="{37F0C8F4-54EC-467B-8B6E-712E29FEAB67}">
            <xm:f>'\2019\Templetes 09-16-2019\New folder\[Template 09-16-2019.xlsx]Data'!#REF!=0</xm:f>
            <x14:dxf>
              <font>
                <color theme="0"/>
              </font>
            </x14:dxf>
          </x14:cfRule>
          <xm:sqref>BG24</xm:sqref>
        </x14:conditionalFormatting>
        <x14:conditionalFormatting xmlns:xm="http://schemas.microsoft.com/office/excel/2006/main">
          <x14:cfRule type="expression" priority="10" id="{7313CA59-E123-465D-86A4-A382889E1246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9" id="{1D5A30FE-9FFB-4ACE-B7BD-0FD082E88AB8}">
            <xm:f>'\2019\Templetes 09-16-2019\New folder\[Template 09-16-2019.xlsx]Data'!#REF!=0</xm:f>
            <x14:dxf>
              <font>
                <color theme="0"/>
              </font>
            </x14:dxf>
          </x14:cfRule>
          <xm:sqref>BZ12</xm:sqref>
        </x14:conditionalFormatting>
        <x14:conditionalFormatting xmlns:xm="http://schemas.microsoft.com/office/excel/2006/main">
          <x14:cfRule type="expression" priority="30" id="{36459FF8-3B30-4B5F-93B3-A69F70321D62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29" id="{DE00B6DF-06C1-4C0C-B615-671AA35F54C3}">
            <xm:f>'\2019\Templetes 09-16-2019\New folder\[Template 09-16-2019.xlsx]Data'!#REF!=0</xm:f>
            <x14:dxf>
              <font>
                <color theme="0"/>
              </font>
            </x14:dxf>
          </x14:cfRule>
          <xm:sqref>BZ24</xm:sqref>
        </x14:conditionalFormatting>
        <x14:conditionalFormatting xmlns:xm="http://schemas.microsoft.com/office/excel/2006/main">
          <x14:cfRule type="expression" priority="7" id="{088668C7-7BA9-4EA9-9DB8-93E2CE926977}">
            <xm:f>'\2019\Templetes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8" id="{5FC33DEB-C223-4CD8-87D4-6C6D1A1B91B0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CS12</xm:sqref>
        </x14:conditionalFormatting>
        <x14:conditionalFormatting xmlns:xm="http://schemas.microsoft.com/office/excel/2006/main">
          <x14:cfRule type="expression" priority="28" id="{54258156-666B-441A-94E3-36ADC54E79EE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27" id="{6E9DA781-9FB0-4F10-97E6-198BAB615B29}">
            <xm:f>'\2019\Templetes 09-16-2019\New folder\[Template 09-16-2019.xlsx]Data'!#REF!=0</xm:f>
            <x14:dxf>
              <font>
                <color theme="0"/>
              </font>
            </x14:dxf>
          </x14:cfRule>
          <xm:sqref>CS24</xm:sqref>
        </x14:conditionalFormatting>
        <x14:conditionalFormatting xmlns:xm="http://schemas.microsoft.com/office/excel/2006/main">
          <x14:cfRule type="expression" priority="6" id="{FCF2CB46-009A-4F4E-A69C-354C26766D9A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5" id="{F8CA4771-A819-4E35-8DED-E54CC6B072C2}">
            <xm:f>'\2019\Templetes 09-16-2019\New folder\[Template 09-16-2019.xlsx]Data'!#REF!=0</xm:f>
            <x14:dxf>
              <font>
                <color theme="0"/>
              </font>
            </x14:dxf>
          </x14:cfRule>
          <xm:sqref>DL12</xm:sqref>
        </x14:conditionalFormatting>
        <x14:conditionalFormatting xmlns:xm="http://schemas.microsoft.com/office/excel/2006/main">
          <x14:cfRule type="expression" priority="25" id="{11229C88-F617-4551-9643-5A68F7B28AAE}">
            <xm:f>'\2019\Templetes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26" id="{A497F3BA-E937-45BF-AF57-391ECAFCC5EE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DL24</xm:sqref>
        </x14:conditionalFormatting>
        <x14:conditionalFormatting xmlns:xm="http://schemas.microsoft.com/office/excel/2006/main">
          <x14:cfRule type="expression" priority="4" id="{89B66968-DF00-4263-9F3E-8AD6B50C1AD7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" id="{BA55496B-2472-45BA-8BD7-3983515E94E7}">
            <xm:f>'\2019\Templetes 09-16-2019\New folder\[Template 09-16-2019.xlsx]Data'!#REF!=0</xm:f>
            <x14:dxf>
              <font>
                <color theme="0"/>
              </font>
            </x14:dxf>
          </x14:cfRule>
          <xm:sqref>EE12</xm:sqref>
        </x14:conditionalFormatting>
        <x14:conditionalFormatting xmlns:xm="http://schemas.microsoft.com/office/excel/2006/main">
          <x14:cfRule type="expression" priority="22" id="{B75F8681-6936-44F2-8898-CBA38ADC8DFF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21" id="{47B4FEAD-5A16-4AD7-B5AF-2FFC3FBA04CB}">
            <xm:f>'\2019\Templetes 09-16-2019\New folder\[Template 09-16-2019.xlsx]Data'!#REF!=0</xm:f>
            <x14:dxf>
              <font>
                <color theme="0"/>
              </font>
            </x14:dxf>
          </x14:cfRule>
          <xm:sqref>EE24</xm:sqref>
        </x14:conditionalFormatting>
        <x14:conditionalFormatting xmlns:xm="http://schemas.microsoft.com/office/excel/2006/main">
          <x14:cfRule type="expression" priority="1" id="{2318B8B8-3997-448B-88B0-7EFF6B166F1F}">
            <xm:f>'\2019\Templetes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2" id="{CC3BF211-CDA7-4C70-8A6D-BB8EA98E0A18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EX12 FQ12</xm:sqref>
        </x14:conditionalFormatting>
        <x14:conditionalFormatting xmlns:xm="http://schemas.microsoft.com/office/excel/2006/main">
          <x14:cfRule type="expression" priority="20" id="{223B6E41-6C8D-4D5B-B75B-C5A486CBCC10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9" id="{65A54276-D0DF-46C1-9D4B-E90315822A36}">
            <xm:f>'\2019\Templetes 09-16-2019\New folder\[Template 09-16-2019.xlsx]Data'!#REF!=0</xm:f>
            <x14:dxf>
              <font>
                <color theme="0"/>
              </font>
            </x14:dxf>
          </x14:cfRule>
          <xm:sqref>EX24 FQ24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2">
    <tabColor rgb="FFC00000"/>
  </sheetPr>
  <dimension ref="A1:HO36"/>
  <sheetViews>
    <sheetView view="pageBreakPreview" zoomScale="60" zoomScaleNormal="100" workbookViewId="0">
      <selection activeCell="EP2" sqref="EP2:FE2"/>
    </sheetView>
  </sheetViews>
  <sheetFormatPr defaultRowHeight="14.5" x14ac:dyDescent="0.35"/>
  <cols>
    <col min="1" max="1" width="5.1796875" customWidth="1"/>
    <col min="2" max="189" width="0.7265625" customWidth="1"/>
    <col min="190" max="190" width="7.54296875" customWidth="1"/>
  </cols>
  <sheetData>
    <row r="1" spans="1:223" ht="47.25" customHeight="1" x14ac:dyDescent="0.35">
      <c r="B1" s="1132"/>
      <c r="C1" s="1132"/>
      <c r="D1" s="1132"/>
      <c r="E1" s="1132"/>
      <c r="F1" s="1132"/>
      <c r="G1" s="1132"/>
      <c r="H1" s="1132"/>
      <c r="I1" s="1132"/>
      <c r="J1" s="1132"/>
      <c r="K1" s="1132"/>
      <c r="L1" s="1132"/>
      <c r="M1" s="1132"/>
      <c r="N1" s="1132"/>
      <c r="O1" s="1132"/>
      <c r="P1" s="1132"/>
      <c r="Q1" s="1132"/>
      <c r="R1" s="2383" t="str">
        <f>IF(Data!$B$1&lt;&gt;"", Data!$B$1, " ")</f>
        <v>2025-AR-105</v>
      </c>
      <c r="S1" s="2383"/>
      <c r="T1" s="2383"/>
      <c r="U1" s="2383"/>
      <c r="V1" s="2383"/>
      <c r="W1" s="2383"/>
      <c r="X1" s="2383"/>
      <c r="Y1" s="2383"/>
      <c r="Z1" s="2383"/>
      <c r="AA1" s="2383"/>
      <c r="AB1" s="2383"/>
      <c r="AC1" s="2383"/>
      <c r="AD1" s="2383"/>
      <c r="AE1" s="2383"/>
      <c r="AF1" s="2383"/>
      <c r="AG1" s="2383"/>
      <c r="AH1" s="2383"/>
      <c r="AI1" s="2383"/>
      <c r="AJ1" s="2383"/>
      <c r="AK1" s="2383"/>
      <c r="AL1" s="2383"/>
      <c r="AM1" s="2383"/>
      <c r="AN1" s="2383"/>
      <c r="AO1" s="2383"/>
      <c r="AP1" s="2383"/>
      <c r="AQ1" s="2383"/>
      <c r="AR1" s="2383"/>
      <c r="AS1" s="2383"/>
      <c r="AT1" s="2383"/>
      <c r="AU1" s="2383"/>
      <c r="AV1" s="2383"/>
      <c r="AW1" s="2383"/>
      <c r="AX1" s="2383"/>
      <c r="AY1" s="2383"/>
      <c r="AZ1" s="2383"/>
      <c r="BA1" s="2383"/>
      <c r="BB1" s="2383"/>
      <c r="BC1" s="2383"/>
      <c r="BD1" s="2383"/>
      <c r="BE1" s="2383"/>
      <c r="BF1" s="2383"/>
      <c r="BG1" s="2383"/>
      <c r="BH1" s="2383"/>
      <c r="BI1" s="2383">
        <f>IF(Data!$B$2&lt;&gt;"", Data!$B$2, " ")</f>
        <v>13753277</v>
      </c>
      <c r="BJ1" s="2383"/>
      <c r="BK1" s="2383"/>
      <c r="BL1" s="2383"/>
      <c r="BM1" s="2383"/>
      <c r="BN1" s="2383"/>
      <c r="BO1" s="2383"/>
      <c r="BP1" s="2383"/>
      <c r="BQ1" s="2383"/>
      <c r="BR1" s="2383"/>
      <c r="BS1" s="2383"/>
      <c r="BT1" s="2383"/>
      <c r="BU1" s="2383"/>
      <c r="BV1" s="2383"/>
      <c r="BW1" s="2383"/>
      <c r="BX1" s="2383"/>
      <c r="BY1" s="2383"/>
      <c r="BZ1" s="2383"/>
      <c r="CA1" s="2383"/>
      <c r="CB1" s="2383"/>
      <c r="CC1" s="2383"/>
      <c r="CD1" s="2383"/>
      <c r="CE1" s="2383"/>
      <c r="CF1" s="2383"/>
      <c r="CG1" s="2383"/>
      <c r="CH1" s="2383"/>
      <c r="CI1" s="2383"/>
      <c r="CJ1" s="2383"/>
      <c r="CK1" s="2383"/>
      <c r="CL1" s="2383"/>
      <c r="CM1" s="2383"/>
      <c r="CN1" s="2383"/>
      <c r="CO1" s="2383"/>
      <c r="CP1" s="2383"/>
      <c r="CQ1" s="2383"/>
      <c r="CR1" s="2383"/>
      <c r="CS1" s="2383"/>
      <c r="CT1" s="2383"/>
      <c r="CU1" s="2383"/>
      <c r="CV1" s="2383"/>
      <c r="CW1" s="2383"/>
      <c r="CX1" s="2383"/>
      <c r="CY1" s="2383"/>
      <c r="CZ1" s="2383"/>
      <c r="DA1" s="2383"/>
      <c r="DB1" s="2383"/>
      <c r="DC1" s="2383"/>
      <c r="DD1" s="2383"/>
      <c r="DE1" s="2383"/>
      <c r="DF1" s="2383"/>
      <c r="DG1" s="2383"/>
      <c r="DH1" s="2383"/>
      <c r="DI1" s="2383"/>
      <c r="DJ1" s="2383" t="str">
        <f>IF(Data!$B$4&lt;&gt;"",Data!$B$4," ")</f>
        <v>MM65DH</v>
      </c>
      <c r="DK1" s="2383"/>
      <c r="DL1" s="2383"/>
      <c r="DM1" s="2383"/>
      <c r="DN1" s="2383"/>
      <c r="DO1" s="2383"/>
      <c r="DP1" s="2383"/>
      <c r="DQ1" s="2383"/>
      <c r="DR1" s="2383"/>
      <c r="DS1" s="2383"/>
      <c r="DT1" s="2383"/>
      <c r="DU1" s="2383"/>
      <c r="DV1" s="2383"/>
      <c r="DW1" s="2383"/>
      <c r="DX1" s="2383"/>
      <c r="DY1" s="2383"/>
      <c r="DZ1" s="2383"/>
      <c r="EA1" s="2383"/>
      <c r="EB1" s="2383"/>
      <c r="EC1" s="2383"/>
      <c r="ED1" s="2383"/>
      <c r="EE1" s="2383"/>
      <c r="EF1" s="2383"/>
      <c r="EG1" s="2383"/>
      <c r="EH1" s="2383"/>
      <c r="EI1" s="2383"/>
      <c r="EJ1" s="2383"/>
      <c r="EK1" s="2383"/>
      <c r="EL1" s="2383"/>
      <c r="EM1" s="2383"/>
      <c r="EN1" s="2383"/>
      <c r="EO1" s="2383"/>
      <c r="EP1" s="2383" t="str">
        <f>IF(LEN(Data!B3)&gt;3,IF(AND(Data!B43&lt;&gt;"",Data!B43&lt;&gt;"0 0/1"""),Data!B43,""),IF(Data!B3&lt;&gt;"",Data!B3&amp;"""",""))</f>
        <v>8 3/8"</v>
      </c>
      <c r="EQ1" s="2383"/>
      <c r="ER1" s="2383"/>
      <c r="ES1" s="2383"/>
      <c r="ET1" s="2383"/>
      <c r="EU1" s="2383"/>
      <c r="EV1" s="2383"/>
      <c r="EW1" s="2383"/>
      <c r="EX1" s="2383"/>
      <c r="EY1" s="2383"/>
      <c r="EZ1" s="2383"/>
      <c r="FA1" s="2383"/>
      <c r="FB1" s="2383"/>
      <c r="FC1" s="2383"/>
      <c r="FD1" s="2383"/>
      <c r="FE1" s="2383"/>
      <c r="FF1" s="2383"/>
      <c r="FG1" s="2383"/>
      <c r="FH1" s="2383"/>
      <c r="FI1" s="2383"/>
      <c r="FJ1" s="2383"/>
      <c r="FK1" s="2383"/>
      <c r="FL1" s="2383"/>
      <c r="FM1" s="2383"/>
      <c r="FN1" s="2383"/>
      <c r="FO1" s="2383"/>
      <c r="FP1" s="2383"/>
      <c r="FQ1" s="2383"/>
      <c r="FR1" s="2383"/>
      <c r="FS1" s="2383"/>
      <c r="FT1" s="2383"/>
      <c r="FU1" s="2383"/>
      <c r="FV1" s="1132"/>
      <c r="FW1" s="1132"/>
      <c r="FX1" s="1132"/>
      <c r="FY1" s="1132"/>
      <c r="FZ1" s="1132"/>
      <c r="GA1" s="1132"/>
      <c r="GB1" s="1132"/>
      <c r="GC1" s="1132"/>
      <c r="GD1" s="1132"/>
      <c r="GE1" s="1132"/>
      <c r="GF1" s="1132"/>
      <c r="GG1" s="1132"/>
    </row>
    <row r="2" spans="1:223" ht="46.5" customHeight="1" x14ac:dyDescent="0.35">
      <c r="B2" s="2388">
        <f>IF(Data!$BR$44&lt;&gt;"",Data!$BR$44, "")</f>
        <v>1</v>
      </c>
      <c r="C2" s="2388"/>
      <c r="D2" s="2388"/>
      <c r="E2" s="2388"/>
      <c r="F2" s="2388"/>
      <c r="G2" s="2388"/>
      <c r="H2" s="2388"/>
      <c r="I2" s="2388"/>
      <c r="J2" s="2388"/>
      <c r="K2" s="2388"/>
      <c r="L2" s="2388"/>
      <c r="M2" s="2388"/>
      <c r="N2" s="2388"/>
      <c r="O2" s="2388"/>
      <c r="P2" s="2388"/>
      <c r="Q2" s="2388"/>
      <c r="R2" s="2388">
        <f>IF(Data!$BS$44&lt;&gt;"",Data!$BS$44, "")</f>
        <v>2</v>
      </c>
      <c r="S2" s="2388"/>
      <c r="T2" s="2388"/>
      <c r="U2" s="2388"/>
      <c r="V2" s="2388"/>
      <c r="W2" s="2388"/>
      <c r="X2" s="2388"/>
      <c r="Y2" s="2388"/>
      <c r="Z2" s="2388"/>
      <c r="AA2" s="2388"/>
      <c r="AB2" s="2388"/>
      <c r="AC2" s="2388"/>
      <c r="AD2" s="2388"/>
      <c r="AE2" s="2388"/>
      <c r="AF2" s="2388"/>
      <c r="AG2" s="2388"/>
      <c r="AH2" s="2388">
        <f>IF(Data!$BT$44&lt;&gt;"", Data!$BT$44, "")</f>
        <v>3</v>
      </c>
      <c r="AI2" s="2388"/>
      <c r="AJ2" s="2388"/>
      <c r="AK2" s="2388"/>
      <c r="AL2" s="2388"/>
      <c r="AM2" s="2388"/>
      <c r="AN2" s="2388"/>
      <c r="AO2" s="2388"/>
      <c r="AP2" s="2388"/>
      <c r="AQ2" s="2388"/>
      <c r="AR2" s="2388"/>
      <c r="AS2" s="2388"/>
      <c r="AT2" s="2388"/>
      <c r="AU2" s="2388"/>
      <c r="AV2" s="2388"/>
      <c r="AW2" s="2388"/>
      <c r="AX2" s="2388">
        <f>IF(Data!$BU$44&lt;&gt;"", Data!$BU$44, "")</f>
        <v>4</v>
      </c>
      <c r="AY2" s="2388"/>
      <c r="AZ2" s="2388"/>
      <c r="BA2" s="2388"/>
      <c r="BB2" s="2388"/>
      <c r="BC2" s="2388"/>
      <c r="BD2" s="2388"/>
      <c r="BE2" s="2388"/>
      <c r="BF2" s="2388"/>
      <c r="BG2" s="2388"/>
      <c r="BH2" s="2388"/>
      <c r="BI2" s="2388"/>
      <c r="BJ2" s="2388"/>
      <c r="BK2" s="2388"/>
      <c r="BL2" s="2388"/>
      <c r="BM2" s="2388"/>
      <c r="BN2" s="2388">
        <f>IF(Data!$BV$44&lt;&gt;"",Data!$BV$44, "")</f>
        <v>5</v>
      </c>
      <c r="BO2" s="2388"/>
      <c r="BP2" s="2388"/>
      <c r="BQ2" s="2388"/>
      <c r="BR2" s="2388"/>
      <c r="BS2" s="2388"/>
      <c r="BT2" s="2388"/>
      <c r="BU2" s="2388"/>
      <c r="BV2" s="2388"/>
      <c r="BW2" s="2388"/>
      <c r="BX2" s="2388"/>
      <c r="BY2" s="2388"/>
      <c r="BZ2" s="2388"/>
      <c r="CA2" s="2388"/>
      <c r="CB2" s="2388"/>
      <c r="CC2" s="2388"/>
      <c r="CD2" s="2388">
        <f>IF(Data!$BW$44&lt;&gt;"",Data!$BW$44, "")</f>
        <v>6</v>
      </c>
      <c r="CE2" s="2388"/>
      <c r="CF2" s="2388"/>
      <c r="CG2" s="2388"/>
      <c r="CH2" s="2388"/>
      <c r="CI2" s="2388"/>
      <c r="CJ2" s="2388"/>
      <c r="CK2" s="2388"/>
      <c r="CL2" s="2388"/>
      <c r="CM2" s="2388"/>
      <c r="CN2" s="2388"/>
      <c r="CO2" s="2388"/>
      <c r="CP2" s="2388"/>
      <c r="CQ2" s="2388"/>
      <c r="CR2" s="2388"/>
      <c r="CS2" s="2388"/>
      <c r="CT2" s="2388">
        <f>IF(Data!$BX$44&lt;&gt;"", Data!$BX$44, "")</f>
        <v>7</v>
      </c>
      <c r="CU2" s="2388"/>
      <c r="CV2" s="2388"/>
      <c r="CW2" s="2388"/>
      <c r="CX2" s="2388"/>
      <c r="CY2" s="2388"/>
      <c r="CZ2" s="2388"/>
      <c r="DA2" s="2388"/>
      <c r="DB2" s="2388"/>
      <c r="DC2" s="2388"/>
      <c r="DD2" s="2388"/>
      <c r="DE2" s="2388"/>
      <c r="DF2" s="2388"/>
      <c r="DG2" s="2388"/>
      <c r="DH2" s="2388"/>
      <c r="DI2" s="2388"/>
      <c r="DJ2" s="2388">
        <f>IF(Data!$BY$44&lt;&gt;"", Data!$BY$44, "")</f>
        <v>8</v>
      </c>
      <c r="DK2" s="2388"/>
      <c r="DL2" s="2388"/>
      <c r="DM2" s="2388"/>
      <c r="DN2" s="2388"/>
      <c r="DO2" s="2388"/>
      <c r="DP2" s="2388"/>
      <c r="DQ2" s="2388"/>
      <c r="DR2" s="2388"/>
      <c r="DS2" s="2388"/>
      <c r="DT2" s="2388"/>
      <c r="DU2" s="2388"/>
      <c r="DV2" s="2388"/>
      <c r="DW2" s="2388"/>
      <c r="DX2" s="2388"/>
      <c r="DY2" s="2388"/>
      <c r="DZ2" s="2388">
        <f>IF(Data!$BZ$44&lt;&gt;"", Data!$BZ$44, "")</f>
        <v>0</v>
      </c>
      <c r="EA2" s="2388"/>
      <c r="EB2" s="2388"/>
      <c r="EC2" s="2388"/>
      <c r="ED2" s="2388"/>
      <c r="EE2" s="2388"/>
      <c r="EF2" s="2388"/>
      <c r="EG2" s="2388"/>
      <c r="EH2" s="2388"/>
      <c r="EI2" s="2388"/>
      <c r="EJ2" s="2388"/>
      <c r="EK2" s="2388"/>
      <c r="EL2" s="2388"/>
      <c r="EM2" s="2388"/>
      <c r="EN2" s="2388"/>
      <c r="EO2" s="2388"/>
      <c r="EP2" s="2388">
        <f>IF(Data!$CA$44&lt;&gt;"", Data!$CA$44, "")</f>
        <v>9</v>
      </c>
      <c r="EQ2" s="2388"/>
      <c r="ER2" s="2388"/>
      <c r="ES2" s="2388"/>
      <c r="ET2" s="2388"/>
      <c r="EU2" s="2388"/>
      <c r="EV2" s="2388"/>
      <c r="EW2" s="2388"/>
      <c r="EX2" s="2388"/>
      <c r="EY2" s="2388"/>
      <c r="EZ2" s="2388"/>
      <c r="FA2" s="2388"/>
      <c r="FB2" s="2388"/>
      <c r="FC2" s="2388"/>
      <c r="FD2" s="2388"/>
      <c r="FE2" s="2388"/>
      <c r="FF2" s="2388">
        <f>IF(Data!$CB$44&lt;&gt;"", Data!$CB$44, "")</f>
        <v>10</v>
      </c>
      <c r="FG2" s="2388"/>
      <c r="FH2" s="2388"/>
      <c r="FI2" s="2388"/>
      <c r="FJ2" s="2388"/>
      <c r="FK2" s="2388"/>
      <c r="FL2" s="2388"/>
      <c r="FM2" s="2388"/>
      <c r="FN2" s="2388"/>
      <c r="FO2" s="2388"/>
      <c r="FP2" s="2388"/>
      <c r="FQ2" s="2388"/>
      <c r="FR2" s="2388"/>
      <c r="FS2" s="2388"/>
      <c r="FT2" s="2388"/>
      <c r="FU2" s="2388"/>
      <c r="FV2" s="1132"/>
      <c r="FW2" s="1132"/>
      <c r="FX2" s="1132"/>
      <c r="FY2" s="1132"/>
      <c r="FZ2" s="1132"/>
      <c r="GA2" s="1132"/>
      <c r="GB2" s="1132"/>
      <c r="GC2" s="1132"/>
      <c r="GD2" s="1132"/>
      <c r="GE2" s="1132"/>
      <c r="GF2" s="1132"/>
      <c r="GG2" s="1132"/>
      <c r="HO2" s="10"/>
    </row>
    <row r="3" spans="1:223" ht="44.25" customHeight="1" x14ac:dyDescent="0.35">
      <c r="A3" s="338">
        <v>1</v>
      </c>
      <c r="B3" s="2382" t="str">
        <f>IFERROR(IF('ARDT Cutter Entry'!$C$94&lt;&gt;"",IF(IFERROR(VALUE(RIGHT('ARDT Cutter Entry'!C94,2)),1)=1, LEFT(SUBSTITUTE('ARDT Cutter Entry'!C94,"*",""),LEN(SUBSTITUTE('ARDT Cutter Entry'!C94,"*",""))-1),LEFT(SUBSTITUTE('ARDT Cutter Entry'!C94,"*",""),LEN(SUBSTITUTE('ARDT Cutter Entry'!C94,"*",""))-2)),IF(IFERROR(VALUE(RIGHT('ARDT Cutter Entry'!C26,2)),1)=1, LEFT(SUBSTITUTE('ARDT Cutter Entry'!C26,"*",""),LEN(SUBSTITUTE('ARDT Cutter Entry'!C26,"*",""))-1),LEFT(SUBSTITUTE('ARDT Cutter Entry'!C26,"*",""),LEN(SUBSTITUTE('ARDT Cutter Entry'!C26,"*",""))-2) )),"")</f>
        <v>R</v>
      </c>
      <c r="C3" s="2382"/>
      <c r="D3" s="2382"/>
      <c r="E3" s="2382"/>
      <c r="F3" s="2382"/>
      <c r="G3" s="2382"/>
      <c r="H3" s="2382"/>
      <c r="I3" s="2382"/>
      <c r="J3" s="2382"/>
      <c r="K3" s="2382"/>
      <c r="L3" s="2382"/>
      <c r="M3" s="2382"/>
      <c r="N3" s="2382"/>
      <c r="O3" s="2382"/>
      <c r="P3" s="2382"/>
      <c r="Q3" s="2382"/>
      <c r="R3" s="2382" t="str">
        <f>IFERROR(IF('ARDT Cutter Entry'!$C$94&lt;&gt;"",IF(IFERROR(VALUE(RIGHT('ARDT Cutter Entry'!D94,2)),1)=1, LEFT(SUBSTITUTE('ARDT Cutter Entry'!D94,"*",""),LEN(SUBSTITUTE('ARDT Cutter Entry'!D94,"*",""))-1),LEFT(SUBSTITUTE('ARDT Cutter Entry'!D94,"*",""),LEN(SUBSTITUTE('ARDT Cutter Entry'!D94,"*",""))-2)),IF(IFERROR(VALUE(RIGHT('ARDT Cutter Entry'!D26,2)),1)=1, LEFT(SUBSTITUTE('ARDT Cutter Entry'!D26,"*",""),LEN(SUBSTITUTE('ARDT Cutter Entry'!D26,"*",""))-1),LEFT(SUBSTITUTE('ARDT Cutter Entry'!D26,"*",""),LEN(SUBSTITUTE('ARDT Cutter Entry'!D26,"*",""))-2) )),"")</f>
        <v>R</v>
      </c>
      <c r="S3" s="2382"/>
      <c r="T3" s="2382"/>
      <c r="U3" s="2382"/>
      <c r="V3" s="2382"/>
      <c r="W3" s="2382"/>
      <c r="X3" s="2382"/>
      <c r="Y3" s="2382"/>
      <c r="Z3" s="2382"/>
      <c r="AA3" s="2382"/>
      <c r="AB3" s="2382"/>
      <c r="AC3" s="2382"/>
      <c r="AD3" s="2382"/>
      <c r="AE3" s="2382"/>
      <c r="AF3" s="2382"/>
      <c r="AG3" s="2382"/>
      <c r="AH3" s="2382" t="str">
        <f>IFERROR(IF('ARDT Cutter Entry'!$C$94&lt;&gt;"",IF(IFERROR(VALUE(RIGHT('ARDT Cutter Entry'!E94,2)),1)=1, LEFT(SUBSTITUTE('ARDT Cutter Entry'!E94,"*",""),LEN(SUBSTITUTE('ARDT Cutter Entry'!E94,"*",""))-1),LEFT(SUBSTITUTE('ARDT Cutter Entry'!E94,"*",""),LEN(SUBSTITUTE('ARDT Cutter Entry'!E94,"*",""))-2)),IF(IFERROR(VALUE(RIGHT('ARDT Cutter Entry'!E26,2)),1)=1, LEFT(SUBSTITUTE('ARDT Cutter Entry'!E26,"*",""),LEN(SUBSTITUTE('ARDT Cutter Entry'!E26,"*",""))-1),LEFT(SUBSTITUTE('ARDT Cutter Entry'!E26,"*",""),LEN(SUBSTITUTE('ARDT Cutter Entry'!E26,"*",""))-2) )),"")</f>
        <v>X</v>
      </c>
      <c r="AI3" s="2382"/>
      <c r="AJ3" s="2382"/>
      <c r="AK3" s="2382"/>
      <c r="AL3" s="2382"/>
      <c r="AM3" s="2382"/>
      <c r="AN3" s="2382"/>
      <c r="AO3" s="2382"/>
      <c r="AP3" s="2382"/>
      <c r="AQ3" s="2382"/>
      <c r="AR3" s="2382"/>
      <c r="AS3" s="2382"/>
      <c r="AT3" s="2382"/>
      <c r="AU3" s="2382"/>
      <c r="AV3" s="2382"/>
      <c r="AW3" s="2382"/>
      <c r="AX3" s="2382" t="str">
        <f>IFERROR(IF('ARDT Cutter Entry'!$C$94&lt;&gt;"",IF(IFERROR(VALUE(RIGHT('ARDT Cutter Entry'!F94,2)),1)=1, LEFT(SUBSTITUTE('ARDT Cutter Entry'!F94,"*",""),LEN(SUBSTITUTE('ARDT Cutter Entry'!F94,"*",""))-1),LEFT(SUBSTITUTE('ARDT Cutter Entry'!F94,"*",""),LEN(SUBSTITUTE('ARDT Cutter Entry'!F94,"*",""))-2)),IF(IFERROR(VALUE(RIGHT('ARDT Cutter Entry'!F26,2)),1)=1, LEFT(SUBSTITUTE('ARDT Cutter Entry'!F26,"*",""),LEN(SUBSTITUTE('ARDT Cutter Entry'!F26,"*",""))-1),LEFT(SUBSTITUTE('ARDT Cutter Entry'!F26,"*",""),LEN(SUBSTITUTE('ARDT Cutter Entry'!F26,"*",""))-2) )),"")</f>
        <v>X</v>
      </c>
      <c r="AY3" s="2382"/>
      <c r="AZ3" s="2382"/>
      <c r="BA3" s="2382"/>
      <c r="BB3" s="2382"/>
      <c r="BC3" s="2382"/>
      <c r="BD3" s="2382"/>
      <c r="BE3" s="2382"/>
      <c r="BF3" s="2382"/>
      <c r="BG3" s="2382"/>
      <c r="BH3" s="2382"/>
      <c r="BI3" s="2382"/>
      <c r="BJ3" s="2382"/>
      <c r="BK3" s="2382"/>
      <c r="BL3" s="2382"/>
      <c r="BM3" s="2382"/>
      <c r="BN3" s="2382" t="str">
        <f>IFERROR(IF('ARDT Cutter Entry'!$C$94&lt;&gt;"",IF(IFERROR(VALUE(RIGHT('ARDT Cutter Entry'!G94,2)),1)=1, LEFT(SUBSTITUTE('ARDT Cutter Entry'!G94,"*",""),LEN(SUBSTITUTE('ARDT Cutter Entry'!G94,"*",""))-1),LEFT(SUBSTITUTE('ARDT Cutter Entry'!G94,"*",""),LEN(SUBSTITUTE('ARDT Cutter Entry'!G94,"*",""))-2)),IF(IFERROR(VALUE(RIGHT('ARDT Cutter Entry'!G26,2)),1)=1, LEFT(SUBSTITUTE('ARDT Cutter Entry'!G26,"*",""),LEN(SUBSTITUTE('ARDT Cutter Entry'!G26,"*",""))-1),LEFT(SUBSTITUTE('ARDT Cutter Entry'!G26,"*",""),LEN(SUBSTITUTE('ARDT Cutter Entry'!G26,"*",""))-2) )),"")</f>
        <v>X</v>
      </c>
      <c r="BO3" s="2382"/>
      <c r="BP3" s="2382"/>
      <c r="BQ3" s="2382"/>
      <c r="BR3" s="2382"/>
      <c r="BS3" s="2382"/>
      <c r="BT3" s="2382"/>
      <c r="BU3" s="2382"/>
      <c r="BV3" s="2382"/>
      <c r="BW3" s="2382"/>
      <c r="BX3" s="2382"/>
      <c r="BY3" s="2382"/>
      <c r="BZ3" s="2382"/>
      <c r="CA3" s="2382"/>
      <c r="CB3" s="2382"/>
      <c r="CC3" s="2382"/>
      <c r="CD3" s="2382" t="str">
        <f>IFERROR(IF('ARDT Cutter Entry'!$C$94&lt;&gt;"",IF(IFERROR(VALUE(RIGHT('ARDT Cutter Entry'!H94,2)),1)=1, LEFT(SUBSTITUTE('ARDT Cutter Entry'!H94,"*",""),LEN(SUBSTITUTE('ARDT Cutter Entry'!H94,"*",""))-1),LEFT(SUBSTITUTE('ARDT Cutter Entry'!H94,"*",""),LEN(SUBSTITUTE('ARDT Cutter Entry'!H94,"*",""))-2)),IF(IFERROR(VALUE(RIGHT('ARDT Cutter Entry'!H26,2)),1)=1, LEFT(SUBSTITUTE('ARDT Cutter Entry'!H26,"*",""),LEN(SUBSTITUTE('ARDT Cutter Entry'!H26,"*",""))-1),LEFT(SUBSTITUTE('ARDT Cutter Entry'!H26,"*",""),LEN(SUBSTITUTE('ARDT Cutter Entry'!H26,"*",""))-2) )),"")</f>
        <v>X</v>
      </c>
      <c r="CE3" s="2382"/>
      <c r="CF3" s="2382"/>
      <c r="CG3" s="2382"/>
      <c r="CH3" s="2382"/>
      <c r="CI3" s="2382"/>
      <c r="CJ3" s="2382"/>
      <c r="CK3" s="2382"/>
      <c r="CL3" s="2382"/>
      <c r="CM3" s="2382"/>
      <c r="CN3" s="2382"/>
      <c r="CO3" s="2382"/>
      <c r="CP3" s="2382"/>
      <c r="CQ3" s="2382"/>
      <c r="CR3" s="2382"/>
      <c r="CS3" s="2382"/>
      <c r="CT3" s="2382" t="str">
        <f>IFERROR(IF('ARDT Cutter Entry'!$C$94&lt;&gt;"",IF(IFERROR(VALUE(RIGHT('ARDT Cutter Entry'!I94,2)),1)=1, LEFT(SUBSTITUTE('ARDT Cutter Entry'!I94,"*",""),LEN(SUBSTITUTE('ARDT Cutter Entry'!I94,"*",""))-1),LEFT(SUBSTITUTE('ARDT Cutter Entry'!I94,"*",""),LEN(SUBSTITUTE('ARDT Cutter Entry'!I94,"*",""))-2)),IF(IFERROR(VALUE(RIGHT('ARDT Cutter Entry'!I26,2)),1)=1, LEFT(SUBSTITUTE('ARDT Cutter Entry'!I26,"*",""),LEN(SUBSTITUTE('ARDT Cutter Entry'!I26,"*",""))-1),LEFT(SUBSTITUTE('ARDT Cutter Entry'!I26,"*",""),LEN(SUBSTITUTE('ARDT Cutter Entry'!I26,"*",""))-2) )),"")</f>
        <v>R</v>
      </c>
      <c r="CU3" s="2382"/>
      <c r="CV3" s="2382"/>
      <c r="CW3" s="2382"/>
      <c r="CX3" s="2382"/>
      <c r="CY3" s="2382"/>
      <c r="CZ3" s="2382"/>
      <c r="DA3" s="2382"/>
      <c r="DB3" s="2382"/>
      <c r="DC3" s="2382"/>
      <c r="DD3" s="2382"/>
      <c r="DE3" s="2382"/>
      <c r="DF3" s="2382"/>
      <c r="DG3" s="2382"/>
      <c r="DH3" s="2382"/>
      <c r="DI3" s="2382"/>
      <c r="DJ3" s="2382" t="str">
        <f>IFERROR(IF('ARDT Cutter Entry'!$C$94&lt;&gt;"",IF(IFERROR(VALUE(RIGHT('ARDT Cutter Entry'!J94,2)),1)=1, LEFT(SUBSTITUTE('ARDT Cutter Entry'!J94,"*",""),LEN(SUBSTITUTE('ARDT Cutter Entry'!J94,"*",""))-1),LEFT(SUBSTITUTE('ARDT Cutter Entry'!J94,"*",""),LEN(SUBSTITUTE('ARDT Cutter Entry'!J94,"*",""))-2)),IF(IFERROR(VALUE(RIGHT('ARDT Cutter Entry'!J26,2)),1)=1, LEFT(SUBSTITUTE('ARDT Cutter Entry'!J26,"*",""),LEN(SUBSTITUTE('ARDT Cutter Entry'!J26,"*",""))-1),LEFT(SUBSTITUTE('ARDT Cutter Entry'!J26,"*",""),LEN(SUBSTITUTE('ARDT Cutter Entry'!J26,"*",""))-2) )),"")</f>
        <v>X</v>
      </c>
      <c r="DK3" s="2382"/>
      <c r="DL3" s="2382"/>
      <c r="DM3" s="2382"/>
      <c r="DN3" s="2382"/>
      <c r="DO3" s="2382"/>
      <c r="DP3" s="2382"/>
      <c r="DQ3" s="2382"/>
      <c r="DR3" s="2382"/>
      <c r="DS3" s="2382"/>
      <c r="DT3" s="2382"/>
      <c r="DU3" s="2382"/>
      <c r="DV3" s="2382"/>
      <c r="DW3" s="2382"/>
      <c r="DX3" s="2382"/>
      <c r="DY3" s="2382"/>
      <c r="DZ3" s="2382" t="str">
        <f>IFERROR(IF('ARDT Cutter Entry'!$C$94&lt;&gt;"",IF(IFERROR(VALUE(RIGHT('ARDT Cutter Entry'!K94,2)),1)=1, LEFT(SUBSTITUTE('ARDT Cutter Entry'!K94,"*",""),LEN(SUBSTITUTE('ARDT Cutter Entry'!K94,"*",""))-1),LEFT(SUBSTITUTE('ARDT Cutter Entry'!K94,"*",""),LEN(SUBSTITUTE('ARDT Cutter Entry'!K94,"*",""))-2)),IF(IFERROR(VALUE(RIGHT('ARDT Cutter Entry'!K26,2)),1)=1, LEFT(SUBSTITUTE('ARDT Cutter Entry'!K26,"*",""),LEN(SUBSTITUTE('ARDT Cutter Entry'!K26,"*",""))-1),LEFT(SUBSTITUTE('ARDT Cutter Entry'!K26,"*",""),LEN(SUBSTITUTE('ARDT Cutter Entry'!K26,"*",""))-2) )),"")</f>
        <v/>
      </c>
      <c r="EA3" s="2382"/>
      <c r="EB3" s="2382"/>
      <c r="EC3" s="2382"/>
      <c r="ED3" s="2382"/>
      <c r="EE3" s="2382"/>
      <c r="EF3" s="2382"/>
      <c r="EG3" s="2382"/>
      <c r="EH3" s="2382"/>
      <c r="EI3" s="2382"/>
      <c r="EJ3" s="2382"/>
      <c r="EK3" s="2382"/>
      <c r="EL3" s="2382"/>
      <c r="EM3" s="2382"/>
      <c r="EN3" s="2382"/>
      <c r="EO3" s="2382"/>
      <c r="EP3" s="2382" t="str">
        <f>IFERROR(IF('ARDT Cutter Entry'!$C$94&lt;&gt;"",IF(IFERROR(VALUE(RIGHT('ARDT Cutter Entry'!L94,2)),1)=1, LEFT(SUBSTITUTE('ARDT Cutter Entry'!L94,"*",""),LEN(SUBSTITUTE('ARDT Cutter Entry'!L94,"*",""))-1),LEFT(SUBSTITUTE('ARDT Cutter Entry'!L94,"*",""),LEN(SUBSTITUTE('ARDT Cutter Entry'!L94,"*",""))-2)),IF(IFERROR(VALUE(RIGHT('ARDT Cutter Entry'!L26,2)),1)=1, LEFT(SUBSTITUTE('ARDT Cutter Entry'!L26,"*",""),LEN(SUBSTITUTE('ARDT Cutter Entry'!L26,"*",""))-1),LEFT(SUBSTITUTE('ARDT Cutter Entry'!L26,"*",""),LEN(SUBSTITUTE('ARDT Cutter Entry'!L26,"*",""))-2) )),"")</f>
        <v>S</v>
      </c>
      <c r="EQ3" s="2382"/>
      <c r="ER3" s="2382"/>
      <c r="ES3" s="2382"/>
      <c r="ET3" s="2382"/>
      <c r="EU3" s="2382"/>
      <c r="EV3" s="2382"/>
      <c r="EW3" s="2382"/>
      <c r="EX3" s="2382"/>
      <c r="EY3" s="2382"/>
      <c r="EZ3" s="2382"/>
      <c r="FA3" s="2382"/>
      <c r="FB3" s="2382"/>
      <c r="FC3" s="2382"/>
      <c r="FD3" s="2382"/>
      <c r="FE3" s="2382"/>
      <c r="FF3" s="2382" t="str">
        <f>IFERROR(IF('ARDT Cutter Entry'!$C$94&lt;&gt;"",IF(IFERROR(VALUE(RIGHT('ARDT Cutter Entry'!M94,2)),1)=1, LEFT(SUBSTITUTE('ARDT Cutter Entry'!M94,"*",""),LEN(SUBSTITUTE('ARDT Cutter Entry'!M94,"*",""))-1),LEFT(SUBSTITUTE('ARDT Cutter Entry'!M94,"*",""),LEN(SUBSTITUTE('ARDT Cutter Entry'!M94,"*",""))-2)),IF(IFERROR(VALUE(RIGHT('ARDT Cutter Entry'!M26,2)),1)=1, LEFT(SUBSTITUTE('ARDT Cutter Entry'!M26,"*",""),LEN(SUBSTITUTE('ARDT Cutter Entry'!M26,"*",""))-1),LEFT(SUBSTITUTE('ARDT Cutter Entry'!M26,"*",""),LEN(SUBSTITUTE('ARDT Cutter Entry'!M26,"*",""))-2) )),"")</f>
        <v>X</v>
      </c>
      <c r="FG3" s="2382"/>
      <c r="FH3" s="2382"/>
      <c r="FI3" s="2382"/>
      <c r="FJ3" s="2382"/>
      <c r="FK3" s="2382"/>
      <c r="FL3" s="2382"/>
      <c r="FM3" s="2382"/>
      <c r="FN3" s="2382"/>
      <c r="FO3" s="2382"/>
      <c r="FP3" s="2382"/>
      <c r="FQ3" s="2382"/>
      <c r="FR3" s="2382"/>
      <c r="FS3" s="2382"/>
      <c r="FT3" s="2382"/>
      <c r="FU3" s="2382"/>
      <c r="FV3" s="1132"/>
      <c r="FW3" s="1132"/>
      <c r="FX3" s="1132"/>
      <c r="FY3" s="1132"/>
      <c r="FZ3" s="1132"/>
      <c r="GA3" s="1132"/>
      <c r="GB3" s="1132"/>
      <c r="GC3" s="1132"/>
      <c r="GD3" s="1132"/>
      <c r="GE3" s="1132"/>
      <c r="GF3" s="1132"/>
      <c r="GG3" s="1132"/>
      <c r="HO3" s="10"/>
    </row>
    <row r="4" spans="1:223" ht="44.25" customHeight="1" x14ac:dyDescent="0.35">
      <c r="A4" s="338">
        <v>2</v>
      </c>
      <c r="B4" s="2382" t="str">
        <f>IFERROR(IF('ARDT Cutter Entry'!$C$94&lt;&gt;"",IF(IFERROR(VALUE(RIGHT('ARDT Cutter Entry'!C95,2)),1)=1, LEFT(SUBSTITUTE('ARDT Cutter Entry'!C95,"*",""),LEN(SUBSTITUTE('ARDT Cutter Entry'!C95,"*",""))-1),LEFT(SUBSTITUTE('ARDT Cutter Entry'!C95,"*",""),LEN(SUBSTITUTE('ARDT Cutter Entry'!C95,"*",""))-2)),IF(IFERROR(VALUE(RIGHT('ARDT Cutter Entry'!C27,2)),1)=1, LEFT(SUBSTITUTE('ARDT Cutter Entry'!C27,"*",""),LEN(SUBSTITUTE('ARDT Cutter Entry'!C27,"*",""))-1),LEFT(SUBSTITUTE('ARDT Cutter Entry'!C27,"*",""),LEN(SUBSTITUTE('ARDT Cutter Entry'!C27,"*",""))-2) )),"")</f>
        <v>X</v>
      </c>
      <c r="C4" s="2382"/>
      <c r="D4" s="2382"/>
      <c r="E4" s="2382"/>
      <c r="F4" s="2382"/>
      <c r="G4" s="2382"/>
      <c r="H4" s="2382"/>
      <c r="I4" s="2382"/>
      <c r="J4" s="2382"/>
      <c r="K4" s="2382"/>
      <c r="L4" s="2382"/>
      <c r="M4" s="2382"/>
      <c r="N4" s="2382"/>
      <c r="O4" s="2382"/>
      <c r="P4" s="2382"/>
      <c r="Q4" s="2382"/>
      <c r="R4" s="2382" t="str">
        <f>IFERROR(IF('ARDT Cutter Entry'!$C$94&lt;&gt;"",IF(IFERROR(VALUE(RIGHT('ARDT Cutter Entry'!D95,2)),1)=1, LEFT(SUBSTITUTE('ARDT Cutter Entry'!D95,"*",""),LEN(SUBSTITUTE('ARDT Cutter Entry'!D95,"*",""))-1),LEFT(SUBSTITUTE('ARDT Cutter Entry'!D95,"*",""),LEN(SUBSTITUTE('ARDT Cutter Entry'!D95,"*",""))-2)),IF(IFERROR(VALUE(RIGHT('ARDT Cutter Entry'!D27,2)),1)=1, LEFT(SUBSTITUTE('ARDT Cutter Entry'!D27,"*",""),LEN(SUBSTITUTE('ARDT Cutter Entry'!D27,"*",""))-1),LEFT(SUBSTITUTE('ARDT Cutter Entry'!D27,"*",""),LEN(SUBSTITUTE('ARDT Cutter Entry'!D27,"*",""))-2) )),"")</f>
        <v>X</v>
      </c>
      <c r="S4" s="2382"/>
      <c r="T4" s="2382"/>
      <c r="U4" s="2382"/>
      <c r="V4" s="2382"/>
      <c r="W4" s="2382"/>
      <c r="X4" s="2382"/>
      <c r="Y4" s="2382"/>
      <c r="Z4" s="2382"/>
      <c r="AA4" s="2382"/>
      <c r="AB4" s="2382"/>
      <c r="AC4" s="2382"/>
      <c r="AD4" s="2382"/>
      <c r="AE4" s="2382"/>
      <c r="AF4" s="2382"/>
      <c r="AG4" s="2382"/>
      <c r="AH4" s="2382" t="str">
        <f>IFERROR(IF('ARDT Cutter Entry'!$C$94&lt;&gt;"",IF(IFERROR(VALUE(RIGHT('ARDT Cutter Entry'!E95,2)),1)=1, LEFT(SUBSTITUTE('ARDT Cutter Entry'!E95,"*",""),LEN(SUBSTITUTE('ARDT Cutter Entry'!E95,"*",""))-1),LEFT(SUBSTITUTE('ARDT Cutter Entry'!E95,"*",""),LEN(SUBSTITUTE('ARDT Cutter Entry'!E95,"*",""))-2)),IF(IFERROR(VALUE(RIGHT('ARDT Cutter Entry'!E27,2)),1)=1, LEFT(SUBSTITUTE('ARDT Cutter Entry'!E27,"*",""),LEN(SUBSTITUTE('ARDT Cutter Entry'!E27,"*",""))-1),LEFT(SUBSTITUTE('ARDT Cutter Entry'!E27,"*",""),LEN(SUBSTITUTE('ARDT Cutter Entry'!E27,"*",""))-2) )),"")</f>
        <v>X</v>
      </c>
      <c r="AI4" s="2382"/>
      <c r="AJ4" s="2382"/>
      <c r="AK4" s="2382"/>
      <c r="AL4" s="2382"/>
      <c r="AM4" s="2382"/>
      <c r="AN4" s="2382"/>
      <c r="AO4" s="2382"/>
      <c r="AP4" s="2382"/>
      <c r="AQ4" s="2382"/>
      <c r="AR4" s="2382"/>
      <c r="AS4" s="2382"/>
      <c r="AT4" s="2382"/>
      <c r="AU4" s="2382"/>
      <c r="AV4" s="2382"/>
      <c r="AW4" s="2382"/>
      <c r="AX4" s="2382" t="str">
        <f>IFERROR(IF('ARDT Cutter Entry'!$C$94&lt;&gt;"",IF(IFERROR(VALUE(RIGHT('ARDT Cutter Entry'!F95,2)),1)=1, LEFT(SUBSTITUTE('ARDT Cutter Entry'!F95,"*",""),LEN(SUBSTITUTE('ARDT Cutter Entry'!F95,"*",""))-1),LEFT(SUBSTITUTE('ARDT Cutter Entry'!F95,"*",""),LEN(SUBSTITUTE('ARDT Cutter Entry'!F95,"*",""))-2)),IF(IFERROR(VALUE(RIGHT('ARDT Cutter Entry'!F27,2)),1)=1, LEFT(SUBSTITUTE('ARDT Cutter Entry'!F27,"*",""),LEN(SUBSTITUTE('ARDT Cutter Entry'!F27,"*",""))-1),LEFT(SUBSTITUTE('ARDT Cutter Entry'!F27,"*",""),LEN(SUBSTITUTE('ARDT Cutter Entry'!F27,"*",""))-2) )),"")</f>
        <v>R</v>
      </c>
      <c r="AY4" s="2382"/>
      <c r="AZ4" s="2382"/>
      <c r="BA4" s="2382"/>
      <c r="BB4" s="2382"/>
      <c r="BC4" s="2382"/>
      <c r="BD4" s="2382"/>
      <c r="BE4" s="2382"/>
      <c r="BF4" s="2382"/>
      <c r="BG4" s="2382"/>
      <c r="BH4" s="2382"/>
      <c r="BI4" s="2382"/>
      <c r="BJ4" s="2382"/>
      <c r="BK4" s="2382"/>
      <c r="BL4" s="2382"/>
      <c r="BM4" s="2382"/>
      <c r="BN4" s="2382" t="str">
        <f>IFERROR(IF('ARDT Cutter Entry'!$C$94&lt;&gt;"",IF(IFERROR(VALUE(RIGHT('ARDT Cutter Entry'!G95,2)),1)=1, LEFT(SUBSTITUTE('ARDT Cutter Entry'!G95,"*",""),LEN(SUBSTITUTE('ARDT Cutter Entry'!G95,"*",""))-1),LEFT(SUBSTITUTE('ARDT Cutter Entry'!G95,"*",""),LEN(SUBSTITUTE('ARDT Cutter Entry'!G95,"*",""))-2)),IF(IFERROR(VALUE(RIGHT('ARDT Cutter Entry'!G27,2)),1)=1, LEFT(SUBSTITUTE('ARDT Cutter Entry'!G27,"*",""),LEN(SUBSTITUTE('ARDT Cutter Entry'!G27,"*",""))-1),LEFT(SUBSTITUTE('ARDT Cutter Entry'!G27,"*",""),LEN(SUBSTITUTE('ARDT Cutter Entry'!G27,"*",""))-2) )),"")</f>
        <v>X</v>
      </c>
      <c r="BO4" s="2382"/>
      <c r="BP4" s="2382"/>
      <c r="BQ4" s="2382"/>
      <c r="BR4" s="2382"/>
      <c r="BS4" s="2382"/>
      <c r="BT4" s="2382"/>
      <c r="BU4" s="2382"/>
      <c r="BV4" s="2382"/>
      <c r="BW4" s="2382"/>
      <c r="BX4" s="2382"/>
      <c r="BY4" s="2382"/>
      <c r="BZ4" s="2382"/>
      <c r="CA4" s="2382"/>
      <c r="CB4" s="2382"/>
      <c r="CC4" s="2382"/>
      <c r="CD4" s="2382" t="str">
        <f>IFERROR(IF('ARDT Cutter Entry'!$C$94&lt;&gt;"",IF(IFERROR(VALUE(RIGHT('ARDT Cutter Entry'!H95,2)),1)=1, LEFT(SUBSTITUTE('ARDT Cutter Entry'!H95,"*",""),LEN(SUBSTITUTE('ARDT Cutter Entry'!H95,"*",""))-1),LEFT(SUBSTITUTE('ARDT Cutter Entry'!H95,"*",""),LEN(SUBSTITUTE('ARDT Cutter Entry'!H95,"*",""))-2)),IF(IFERROR(VALUE(RIGHT('ARDT Cutter Entry'!H27,2)),1)=1, LEFT(SUBSTITUTE('ARDT Cutter Entry'!H27,"*",""),LEN(SUBSTITUTE('ARDT Cutter Entry'!H27,"*",""))-1),LEFT(SUBSTITUTE('ARDT Cutter Entry'!H27,"*",""),LEN(SUBSTITUTE('ARDT Cutter Entry'!H27,"*",""))-2) )),"")</f>
        <v/>
      </c>
      <c r="CE4" s="2382"/>
      <c r="CF4" s="2382"/>
      <c r="CG4" s="2382"/>
      <c r="CH4" s="2382"/>
      <c r="CI4" s="2382"/>
      <c r="CJ4" s="2382"/>
      <c r="CK4" s="2382"/>
      <c r="CL4" s="2382"/>
      <c r="CM4" s="2382"/>
      <c r="CN4" s="2382"/>
      <c r="CO4" s="2382"/>
      <c r="CP4" s="2382"/>
      <c r="CQ4" s="2382"/>
      <c r="CR4" s="2382"/>
      <c r="CS4" s="2382"/>
      <c r="CT4" s="2382" t="str">
        <f>IFERROR(IF('ARDT Cutter Entry'!$C$94&lt;&gt;"",IF(IFERROR(VALUE(RIGHT('ARDT Cutter Entry'!I95,2)),1)=1, LEFT(SUBSTITUTE('ARDT Cutter Entry'!I95,"*",""),LEN(SUBSTITUTE('ARDT Cutter Entry'!I95,"*",""))-1),LEFT(SUBSTITUTE('ARDT Cutter Entry'!I95,"*",""),LEN(SUBSTITUTE('ARDT Cutter Entry'!I95,"*",""))-2)),IF(IFERROR(VALUE(RIGHT('ARDT Cutter Entry'!I27,2)),1)=1, LEFT(SUBSTITUTE('ARDT Cutter Entry'!I27,"*",""),LEN(SUBSTITUTE('ARDT Cutter Entry'!I27,"*",""))-1),LEFT(SUBSTITUTE('ARDT Cutter Entry'!I27,"*",""),LEN(SUBSTITUTE('ARDT Cutter Entry'!I27,"*",""))-2) )),"")</f>
        <v/>
      </c>
      <c r="CU4" s="2382"/>
      <c r="CV4" s="2382"/>
      <c r="CW4" s="2382"/>
      <c r="CX4" s="2382"/>
      <c r="CY4" s="2382"/>
      <c r="CZ4" s="2382"/>
      <c r="DA4" s="2382"/>
      <c r="DB4" s="2382"/>
      <c r="DC4" s="2382"/>
      <c r="DD4" s="2382"/>
      <c r="DE4" s="2382"/>
      <c r="DF4" s="2382"/>
      <c r="DG4" s="2382"/>
      <c r="DH4" s="2382"/>
      <c r="DI4" s="2382"/>
      <c r="DJ4" s="2382" t="str">
        <f>IFERROR(IF('ARDT Cutter Entry'!$C$94&lt;&gt;"",IF(IFERROR(VALUE(RIGHT('ARDT Cutter Entry'!J95,2)),1)=1, LEFT(SUBSTITUTE('ARDT Cutter Entry'!J95,"*",""),LEN(SUBSTITUTE('ARDT Cutter Entry'!J95,"*",""))-1),LEFT(SUBSTITUTE('ARDT Cutter Entry'!J95,"*",""),LEN(SUBSTITUTE('ARDT Cutter Entry'!J95,"*",""))-2)),IF(IFERROR(VALUE(RIGHT('ARDT Cutter Entry'!J27,2)),1)=1, LEFT(SUBSTITUTE('ARDT Cutter Entry'!J27,"*",""),LEN(SUBSTITUTE('ARDT Cutter Entry'!J27,"*",""))-1),LEFT(SUBSTITUTE('ARDT Cutter Entry'!J27,"*",""),LEN(SUBSTITUTE('ARDT Cutter Entry'!J27,"*",""))-2) )),"")</f>
        <v/>
      </c>
      <c r="DK4" s="2382"/>
      <c r="DL4" s="2382"/>
      <c r="DM4" s="2382"/>
      <c r="DN4" s="2382"/>
      <c r="DO4" s="2382"/>
      <c r="DP4" s="2382"/>
      <c r="DQ4" s="2382"/>
      <c r="DR4" s="2382"/>
      <c r="DS4" s="2382"/>
      <c r="DT4" s="2382"/>
      <c r="DU4" s="2382"/>
      <c r="DV4" s="2382"/>
      <c r="DW4" s="2382"/>
      <c r="DX4" s="2382"/>
      <c r="DY4" s="2382"/>
      <c r="DZ4" s="2382" t="str">
        <f>IFERROR(IF('ARDT Cutter Entry'!$C$94&lt;&gt;"",IF(IFERROR(VALUE(RIGHT('ARDT Cutter Entry'!K95,2)),1)=1, LEFT(SUBSTITUTE('ARDT Cutter Entry'!K95,"*",""),LEN(SUBSTITUTE('ARDT Cutter Entry'!K95,"*",""))-1),LEFT(SUBSTITUTE('ARDT Cutter Entry'!K95,"*",""),LEN(SUBSTITUTE('ARDT Cutter Entry'!K95,"*",""))-2)),IF(IFERROR(VALUE(RIGHT('ARDT Cutter Entry'!K27,2)),1)=1, LEFT(SUBSTITUTE('ARDT Cutter Entry'!K27,"*",""),LEN(SUBSTITUTE('ARDT Cutter Entry'!K27,"*",""))-1),LEFT(SUBSTITUTE('ARDT Cutter Entry'!K27,"*",""),LEN(SUBSTITUTE('ARDT Cutter Entry'!K27,"*",""))-2) )),"")</f>
        <v/>
      </c>
      <c r="EA4" s="2382"/>
      <c r="EB4" s="2382"/>
      <c r="EC4" s="2382"/>
      <c r="ED4" s="2382"/>
      <c r="EE4" s="2382"/>
      <c r="EF4" s="2382"/>
      <c r="EG4" s="2382"/>
      <c r="EH4" s="2382"/>
      <c r="EI4" s="2382"/>
      <c r="EJ4" s="2382"/>
      <c r="EK4" s="2382"/>
      <c r="EL4" s="2382"/>
      <c r="EM4" s="2382"/>
      <c r="EN4" s="2382"/>
      <c r="EO4" s="2382"/>
      <c r="EP4" s="2382" t="str">
        <f>IFERROR(IF('ARDT Cutter Entry'!$C$94&lt;&gt;"",IF(IFERROR(VALUE(RIGHT('ARDT Cutter Entry'!L95,2)),1)=1, LEFT(SUBSTITUTE('ARDT Cutter Entry'!L95,"*",""),LEN(SUBSTITUTE('ARDT Cutter Entry'!L95,"*",""))-1),LEFT(SUBSTITUTE('ARDT Cutter Entry'!L95,"*",""),LEN(SUBSTITUTE('ARDT Cutter Entry'!L95,"*",""))-2)),IF(IFERROR(VALUE(RIGHT('ARDT Cutter Entry'!L27,2)),1)=1, LEFT(SUBSTITUTE('ARDT Cutter Entry'!L27,"*",""),LEN(SUBSTITUTE('ARDT Cutter Entry'!L27,"*",""))-1),LEFT(SUBSTITUTE('ARDT Cutter Entry'!L27,"*",""),LEN(SUBSTITUTE('ARDT Cutter Entry'!L27,"*",""))-2) )),"")</f>
        <v>S</v>
      </c>
      <c r="EQ4" s="2382"/>
      <c r="ER4" s="2382"/>
      <c r="ES4" s="2382"/>
      <c r="ET4" s="2382"/>
      <c r="EU4" s="2382"/>
      <c r="EV4" s="2382"/>
      <c r="EW4" s="2382"/>
      <c r="EX4" s="2382"/>
      <c r="EY4" s="2382"/>
      <c r="EZ4" s="2382"/>
      <c r="FA4" s="2382"/>
      <c r="FB4" s="2382"/>
      <c r="FC4" s="2382"/>
      <c r="FD4" s="2382"/>
      <c r="FE4" s="2382"/>
      <c r="FF4" s="2382" t="str">
        <f>IFERROR(IF('ARDT Cutter Entry'!$C$94&lt;&gt;"",IF(IFERROR(VALUE(RIGHT('ARDT Cutter Entry'!M95,2)),1)=1, LEFT(SUBSTITUTE('ARDT Cutter Entry'!M95,"*",""),LEN(SUBSTITUTE('ARDT Cutter Entry'!M95,"*",""))-1),LEFT(SUBSTITUTE('ARDT Cutter Entry'!M95,"*",""),LEN(SUBSTITUTE('ARDT Cutter Entry'!M95,"*",""))-2)),IF(IFERROR(VALUE(RIGHT('ARDT Cutter Entry'!M27,2)),1)=1, LEFT(SUBSTITUTE('ARDT Cutter Entry'!M27,"*",""),LEN(SUBSTITUTE('ARDT Cutter Entry'!M27,"*",""))-1),LEFT(SUBSTITUTE('ARDT Cutter Entry'!M27,"*",""),LEN(SUBSTITUTE('ARDT Cutter Entry'!M27,"*",""))-2) )),"")</f>
        <v>R</v>
      </c>
      <c r="FG4" s="2382"/>
      <c r="FH4" s="2382"/>
      <c r="FI4" s="2382"/>
      <c r="FJ4" s="2382"/>
      <c r="FK4" s="2382"/>
      <c r="FL4" s="2382"/>
      <c r="FM4" s="2382"/>
      <c r="FN4" s="2382"/>
      <c r="FO4" s="2382"/>
      <c r="FP4" s="2382"/>
      <c r="FQ4" s="2382"/>
      <c r="FR4" s="2382"/>
      <c r="FS4" s="2382"/>
      <c r="FT4" s="2382"/>
      <c r="FU4" s="2382"/>
      <c r="FV4" s="1132"/>
      <c r="FW4" s="1132"/>
      <c r="FX4" s="1132"/>
      <c r="FY4" s="1132"/>
      <c r="FZ4" s="1132"/>
      <c r="GA4" s="1132"/>
      <c r="GB4" s="1132"/>
      <c r="GC4" s="1132"/>
      <c r="GD4" s="1132"/>
      <c r="GE4" s="1132"/>
      <c r="GF4" s="1132"/>
      <c r="GG4" s="1132"/>
    </row>
    <row r="5" spans="1:223" ht="44.25" customHeight="1" x14ac:dyDescent="0.35">
      <c r="A5" s="338">
        <v>3</v>
      </c>
      <c r="B5" s="2382" t="str">
        <f>IFERROR(IF('ARDT Cutter Entry'!$C$94&lt;&gt;"",IF(IFERROR(VALUE(RIGHT('ARDT Cutter Entry'!C96,2)),1)=1, LEFT(SUBSTITUTE('ARDT Cutter Entry'!C96,"*",""),LEN(SUBSTITUTE('ARDT Cutter Entry'!C96,"*",""))-1),LEFT(SUBSTITUTE('ARDT Cutter Entry'!C96,"*",""),LEN(SUBSTITUTE('ARDT Cutter Entry'!C96,"*",""))-2)),IF(IFERROR(VALUE(RIGHT('ARDT Cutter Entry'!C28,2)),1)=1, LEFT(SUBSTITUTE('ARDT Cutter Entry'!C28,"*",""),LEN(SUBSTITUTE('ARDT Cutter Entry'!C28,"*",""))-1),LEFT(SUBSTITUTE('ARDT Cutter Entry'!C28,"*",""),LEN(SUBSTITUTE('ARDT Cutter Entry'!C28,"*",""))-2) )),"")</f>
        <v>R</v>
      </c>
      <c r="C5" s="2382"/>
      <c r="D5" s="2382"/>
      <c r="E5" s="2382"/>
      <c r="F5" s="2382"/>
      <c r="G5" s="2382"/>
      <c r="H5" s="2382"/>
      <c r="I5" s="2382"/>
      <c r="J5" s="2382"/>
      <c r="K5" s="2382"/>
      <c r="L5" s="2382"/>
      <c r="M5" s="2382"/>
      <c r="N5" s="2382"/>
      <c r="O5" s="2382"/>
      <c r="P5" s="2382"/>
      <c r="Q5" s="2382"/>
      <c r="R5" s="2382" t="str">
        <f>IFERROR(IF('ARDT Cutter Entry'!$C$94&lt;&gt;"",IF(IFERROR(VALUE(RIGHT('ARDT Cutter Entry'!D96,2)),1)=1, LEFT(SUBSTITUTE('ARDT Cutter Entry'!D96,"*",""),LEN(SUBSTITUTE('ARDT Cutter Entry'!D96,"*",""))-1),LEFT(SUBSTITUTE('ARDT Cutter Entry'!D96,"*",""),LEN(SUBSTITUTE('ARDT Cutter Entry'!D96,"*",""))-2)),IF(IFERROR(VALUE(RIGHT('ARDT Cutter Entry'!D28,2)),1)=1, LEFT(SUBSTITUTE('ARDT Cutter Entry'!D28,"*",""),LEN(SUBSTITUTE('ARDT Cutter Entry'!D28,"*",""))-1),LEFT(SUBSTITUTE('ARDT Cutter Entry'!D28,"*",""),LEN(SUBSTITUTE('ARDT Cutter Entry'!D28,"*",""))-2) )),"")</f>
        <v>R</v>
      </c>
      <c r="S5" s="2382"/>
      <c r="T5" s="2382"/>
      <c r="U5" s="2382"/>
      <c r="V5" s="2382"/>
      <c r="W5" s="2382"/>
      <c r="X5" s="2382"/>
      <c r="Y5" s="2382"/>
      <c r="Z5" s="2382"/>
      <c r="AA5" s="2382"/>
      <c r="AB5" s="2382"/>
      <c r="AC5" s="2382"/>
      <c r="AD5" s="2382"/>
      <c r="AE5" s="2382"/>
      <c r="AF5" s="2382"/>
      <c r="AG5" s="2382"/>
      <c r="AH5" s="2382" t="str">
        <f>IFERROR(IF('ARDT Cutter Entry'!$C$94&lt;&gt;"",IF(IFERROR(VALUE(RIGHT('ARDT Cutter Entry'!E96,2)),1)=1, LEFT(SUBSTITUTE('ARDT Cutter Entry'!E96,"*",""),LEN(SUBSTITUTE('ARDT Cutter Entry'!E96,"*",""))-1),LEFT(SUBSTITUTE('ARDT Cutter Entry'!E96,"*",""),LEN(SUBSTITUTE('ARDT Cutter Entry'!E96,"*",""))-2)),IF(IFERROR(VALUE(RIGHT('ARDT Cutter Entry'!E28,2)),1)=1, LEFT(SUBSTITUTE('ARDT Cutter Entry'!E28,"*",""),LEN(SUBSTITUTE('ARDT Cutter Entry'!E28,"*",""))-1),LEFT(SUBSTITUTE('ARDT Cutter Entry'!E28,"*",""),LEN(SUBSTITUTE('ARDT Cutter Entry'!E28,"*",""))-2) )),"")</f>
        <v>R</v>
      </c>
      <c r="AI5" s="2382"/>
      <c r="AJ5" s="2382"/>
      <c r="AK5" s="2382"/>
      <c r="AL5" s="2382"/>
      <c r="AM5" s="2382"/>
      <c r="AN5" s="2382"/>
      <c r="AO5" s="2382"/>
      <c r="AP5" s="2382"/>
      <c r="AQ5" s="2382"/>
      <c r="AR5" s="2382"/>
      <c r="AS5" s="2382"/>
      <c r="AT5" s="2382"/>
      <c r="AU5" s="2382"/>
      <c r="AV5" s="2382"/>
      <c r="AW5" s="2382"/>
      <c r="AX5" s="2382" t="str">
        <f>IFERROR(IF('ARDT Cutter Entry'!$C$94&lt;&gt;"",IF(IFERROR(VALUE(RIGHT('ARDT Cutter Entry'!F96,2)),1)=1, LEFT(SUBSTITUTE('ARDT Cutter Entry'!F96,"*",""),LEN(SUBSTITUTE('ARDT Cutter Entry'!F96,"*",""))-1),LEFT(SUBSTITUTE('ARDT Cutter Entry'!F96,"*",""),LEN(SUBSTITUTE('ARDT Cutter Entry'!F96,"*",""))-2)),IF(IFERROR(VALUE(RIGHT('ARDT Cutter Entry'!F28,2)),1)=1, LEFT(SUBSTITUTE('ARDT Cutter Entry'!F28,"*",""),LEN(SUBSTITUTE('ARDT Cutter Entry'!F28,"*",""))-1),LEFT(SUBSTITUTE('ARDT Cutter Entry'!F28,"*",""),LEN(SUBSTITUTE('ARDT Cutter Entry'!F28,"*",""))-2) )),"")</f>
        <v>X</v>
      </c>
      <c r="AY5" s="2382"/>
      <c r="AZ5" s="2382"/>
      <c r="BA5" s="2382"/>
      <c r="BB5" s="2382"/>
      <c r="BC5" s="2382"/>
      <c r="BD5" s="2382"/>
      <c r="BE5" s="2382"/>
      <c r="BF5" s="2382"/>
      <c r="BG5" s="2382"/>
      <c r="BH5" s="2382"/>
      <c r="BI5" s="2382"/>
      <c r="BJ5" s="2382"/>
      <c r="BK5" s="2382"/>
      <c r="BL5" s="2382"/>
      <c r="BM5" s="2382"/>
      <c r="BN5" s="2382" t="str">
        <f>IFERROR(IF('ARDT Cutter Entry'!$C$94&lt;&gt;"",IF(IFERROR(VALUE(RIGHT('ARDT Cutter Entry'!G96,2)),1)=1, LEFT(SUBSTITUTE('ARDT Cutter Entry'!G96,"*",""),LEN(SUBSTITUTE('ARDT Cutter Entry'!G96,"*",""))-1),LEFT(SUBSTITUTE('ARDT Cutter Entry'!G96,"*",""),LEN(SUBSTITUTE('ARDT Cutter Entry'!G96,"*",""))-2)),IF(IFERROR(VALUE(RIGHT('ARDT Cutter Entry'!G28,2)),1)=1, LEFT(SUBSTITUTE('ARDT Cutter Entry'!G28,"*",""),LEN(SUBSTITUTE('ARDT Cutter Entry'!G28,"*",""))-1),LEFT(SUBSTITUTE('ARDT Cutter Entry'!G28,"*",""),LEN(SUBSTITUTE('ARDT Cutter Entry'!G28,"*",""))-2) )),"")</f>
        <v>X</v>
      </c>
      <c r="BO5" s="2382"/>
      <c r="BP5" s="2382"/>
      <c r="BQ5" s="2382"/>
      <c r="BR5" s="2382"/>
      <c r="BS5" s="2382"/>
      <c r="BT5" s="2382"/>
      <c r="BU5" s="2382"/>
      <c r="BV5" s="2382"/>
      <c r="BW5" s="2382"/>
      <c r="BX5" s="2382"/>
      <c r="BY5" s="2382"/>
      <c r="BZ5" s="2382"/>
      <c r="CA5" s="2382"/>
      <c r="CB5" s="2382"/>
      <c r="CC5" s="2382"/>
      <c r="CD5" s="2382" t="str">
        <f>IFERROR(IF('ARDT Cutter Entry'!$C$94&lt;&gt;"",IF(IFERROR(VALUE(RIGHT('ARDT Cutter Entry'!H96,2)),1)=1, LEFT(SUBSTITUTE('ARDT Cutter Entry'!H96,"*",""),LEN(SUBSTITUTE('ARDT Cutter Entry'!H96,"*",""))-1),LEFT(SUBSTITUTE('ARDT Cutter Entry'!H96,"*",""),LEN(SUBSTITUTE('ARDT Cutter Entry'!H96,"*",""))-2)),IF(IFERROR(VALUE(RIGHT('ARDT Cutter Entry'!H28,2)),1)=1, LEFT(SUBSTITUTE('ARDT Cutter Entry'!H28,"*",""),LEN(SUBSTITUTE('ARDT Cutter Entry'!H28,"*",""))-1),LEFT(SUBSTITUTE('ARDT Cutter Entry'!H28,"*",""),LEN(SUBSTITUTE('ARDT Cutter Entry'!H28,"*",""))-2) )),"")</f>
        <v>X</v>
      </c>
      <c r="CE5" s="2382"/>
      <c r="CF5" s="2382"/>
      <c r="CG5" s="2382"/>
      <c r="CH5" s="2382"/>
      <c r="CI5" s="2382"/>
      <c r="CJ5" s="2382"/>
      <c r="CK5" s="2382"/>
      <c r="CL5" s="2382"/>
      <c r="CM5" s="2382"/>
      <c r="CN5" s="2382"/>
      <c r="CO5" s="2382"/>
      <c r="CP5" s="2382"/>
      <c r="CQ5" s="2382"/>
      <c r="CR5" s="2382"/>
      <c r="CS5" s="2382"/>
      <c r="CT5" s="2382" t="str">
        <f>IFERROR(IF('ARDT Cutter Entry'!$C$94&lt;&gt;"",IF(IFERROR(VALUE(RIGHT('ARDT Cutter Entry'!I96,2)),1)=1, LEFT(SUBSTITUTE('ARDT Cutter Entry'!I96,"*",""),LEN(SUBSTITUTE('ARDT Cutter Entry'!I96,"*",""))-1),LEFT(SUBSTITUTE('ARDT Cutter Entry'!I96,"*",""),LEN(SUBSTITUTE('ARDT Cutter Entry'!I96,"*",""))-2)),IF(IFERROR(VALUE(RIGHT('ARDT Cutter Entry'!I28,2)),1)=1, LEFT(SUBSTITUTE('ARDT Cutter Entry'!I28,"*",""),LEN(SUBSTITUTE('ARDT Cutter Entry'!I28,"*",""))-1),LEFT(SUBSTITUTE('ARDT Cutter Entry'!I28,"*",""),LEN(SUBSTITUTE('ARDT Cutter Entry'!I28,"*",""))-2) )),"")</f>
        <v>X</v>
      </c>
      <c r="CU5" s="2382"/>
      <c r="CV5" s="2382"/>
      <c r="CW5" s="2382"/>
      <c r="CX5" s="2382"/>
      <c r="CY5" s="2382"/>
      <c r="CZ5" s="2382"/>
      <c r="DA5" s="2382"/>
      <c r="DB5" s="2382"/>
      <c r="DC5" s="2382"/>
      <c r="DD5" s="2382"/>
      <c r="DE5" s="2382"/>
      <c r="DF5" s="2382"/>
      <c r="DG5" s="2382"/>
      <c r="DH5" s="2382"/>
      <c r="DI5" s="2382"/>
      <c r="DJ5" s="2382" t="str">
        <f>IFERROR(IF('ARDT Cutter Entry'!$C$94&lt;&gt;"",IF(IFERROR(VALUE(RIGHT('ARDT Cutter Entry'!J96,2)),1)=1, LEFT(SUBSTITUTE('ARDT Cutter Entry'!J96,"*",""),LEN(SUBSTITUTE('ARDT Cutter Entry'!J96,"*",""))-1),LEFT(SUBSTITUTE('ARDT Cutter Entry'!J96,"*",""),LEN(SUBSTITUTE('ARDT Cutter Entry'!J96,"*",""))-2)),IF(IFERROR(VALUE(RIGHT('ARDT Cutter Entry'!J28,2)),1)=1, LEFT(SUBSTITUTE('ARDT Cutter Entry'!J28,"*",""),LEN(SUBSTITUTE('ARDT Cutter Entry'!J28,"*",""))-1),LEFT(SUBSTITUTE('ARDT Cutter Entry'!J28,"*",""),LEN(SUBSTITUTE('ARDT Cutter Entry'!J28,"*",""))-2) )),"")</f>
        <v/>
      </c>
      <c r="DK5" s="2382"/>
      <c r="DL5" s="2382"/>
      <c r="DM5" s="2382"/>
      <c r="DN5" s="2382"/>
      <c r="DO5" s="2382"/>
      <c r="DP5" s="2382"/>
      <c r="DQ5" s="2382"/>
      <c r="DR5" s="2382"/>
      <c r="DS5" s="2382"/>
      <c r="DT5" s="2382"/>
      <c r="DU5" s="2382"/>
      <c r="DV5" s="2382"/>
      <c r="DW5" s="2382"/>
      <c r="DX5" s="2382"/>
      <c r="DY5" s="2382"/>
      <c r="DZ5" s="2382" t="str">
        <f>IFERROR(IF('ARDT Cutter Entry'!$C$94&lt;&gt;"",IF(IFERROR(VALUE(RIGHT('ARDT Cutter Entry'!K96,2)),1)=1, LEFT(SUBSTITUTE('ARDT Cutter Entry'!K96,"*",""),LEN(SUBSTITUTE('ARDT Cutter Entry'!K96,"*",""))-1),LEFT(SUBSTITUTE('ARDT Cutter Entry'!K96,"*",""),LEN(SUBSTITUTE('ARDT Cutter Entry'!K96,"*",""))-2)),IF(IFERROR(VALUE(RIGHT('ARDT Cutter Entry'!K28,2)),1)=1, LEFT(SUBSTITUTE('ARDT Cutter Entry'!K28,"*",""),LEN(SUBSTITUTE('ARDT Cutter Entry'!K28,"*",""))-1),LEFT(SUBSTITUTE('ARDT Cutter Entry'!K28,"*",""),LEN(SUBSTITUTE('ARDT Cutter Entry'!K28,"*",""))-2) )),"")</f>
        <v/>
      </c>
      <c r="EA5" s="2382"/>
      <c r="EB5" s="2382"/>
      <c r="EC5" s="2382"/>
      <c r="ED5" s="2382"/>
      <c r="EE5" s="2382"/>
      <c r="EF5" s="2382"/>
      <c r="EG5" s="2382"/>
      <c r="EH5" s="2382"/>
      <c r="EI5" s="2382"/>
      <c r="EJ5" s="2382"/>
      <c r="EK5" s="2382"/>
      <c r="EL5" s="2382"/>
      <c r="EM5" s="2382"/>
      <c r="EN5" s="2382"/>
      <c r="EO5" s="2382"/>
      <c r="EP5" s="2382" t="str">
        <f>IFERROR(IF('ARDT Cutter Entry'!$C$94&lt;&gt;"",IF(IFERROR(VALUE(RIGHT('ARDT Cutter Entry'!L96,2)),1)=1, LEFT(SUBSTITUTE('ARDT Cutter Entry'!L96,"*",""),LEN(SUBSTITUTE('ARDT Cutter Entry'!L96,"*",""))-1),LEFT(SUBSTITUTE('ARDT Cutter Entry'!L96,"*",""),LEN(SUBSTITUTE('ARDT Cutter Entry'!L96,"*",""))-2)),IF(IFERROR(VALUE(RIGHT('ARDT Cutter Entry'!L28,2)),1)=1, LEFT(SUBSTITUTE('ARDT Cutter Entry'!L28,"*",""),LEN(SUBSTITUTE('ARDT Cutter Entry'!L28,"*",""))-1),LEFT(SUBSTITUTE('ARDT Cutter Entry'!L28,"*",""),LEN(SUBSTITUTE('ARDT Cutter Entry'!L28,"*",""))-2) )),"")</f>
        <v>R</v>
      </c>
      <c r="EQ5" s="2382"/>
      <c r="ER5" s="2382"/>
      <c r="ES5" s="2382"/>
      <c r="ET5" s="2382"/>
      <c r="EU5" s="2382"/>
      <c r="EV5" s="2382"/>
      <c r="EW5" s="2382"/>
      <c r="EX5" s="2382"/>
      <c r="EY5" s="2382"/>
      <c r="EZ5" s="2382"/>
      <c r="FA5" s="2382"/>
      <c r="FB5" s="2382"/>
      <c r="FC5" s="2382"/>
      <c r="FD5" s="2382"/>
      <c r="FE5" s="2382"/>
      <c r="FF5" s="2382" t="str">
        <f>IFERROR(IF('ARDT Cutter Entry'!$C$94&lt;&gt;"",IF(IFERROR(VALUE(RIGHT('ARDT Cutter Entry'!M96,2)),1)=1, LEFT(SUBSTITUTE('ARDT Cutter Entry'!M96,"*",""),LEN(SUBSTITUTE('ARDT Cutter Entry'!M96,"*",""))-1),LEFT(SUBSTITUTE('ARDT Cutter Entry'!M96,"*",""),LEN(SUBSTITUTE('ARDT Cutter Entry'!M96,"*",""))-2)),IF(IFERROR(VALUE(RIGHT('ARDT Cutter Entry'!M28,2)),1)=1, LEFT(SUBSTITUTE('ARDT Cutter Entry'!M28,"*",""),LEN(SUBSTITUTE('ARDT Cutter Entry'!M28,"*",""))-1),LEFT(SUBSTITUTE('ARDT Cutter Entry'!M28,"*",""),LEN(SUBSTITUTE('ARDT Cutter Entry'!M28,"*",""))-2) )),"")</f>
        <v>X</v>
      </c>
      <c r="FG5" s="2382"/>
      <c r="FH5" s="2382"/>
      <c r="FI5" s="2382"/>
      <c r="FJ5" s="2382"/>
      <c r="FK5" s="2382"/>
      <c r="FL5" s="2382"/>
      <c r="FM5" s="2382"/>
      <c r="FN5" s="2382"/>
      <c r="FO5" s="2382"/>
      <c r="FP5" s="2382"/>
      <c r="FQ5" s="2382"/>
      <c r="FR5" s="2382"/>
      <c r="FS5" s="2382"/>
      <c r="FT5" s="2382"/>
      <c r="FU5" s="2382"/>
      <c r="FV5" s="1132"/>
      <c r="FW5" s="1132"/>
      <c r="FX5" s="1132"/>
      <c r="FY5" s="1132"/>
      <c r="FZ5" s="1132"/>
      <c r="GA5" s="1132"/>
      <c r="GB5" s="1132"/>
      <c r="GC5" s="1132"/>
      <c r="GD5" s="1132"/>
      <c r="GE5" s="1132"/>
      <c r="GF5" s="1132"/>
      <c r="GG5" s="1132"/>
    </row>
    <row r="6" spans="1:223" ht="44.25" customHeight="1" x14ac:dyDescent="0.35">
      <c r="A6" s="338">
        <v>4</v>
      </c>
      <c r="B6" s="2382" t="str">
        <f>IFERROR(IF('ARDT Cutter Entry'!$C$94&lt;&gt;"",IF(IFERROR(VALUE(RIGHT('ARDT Cutter Entry'!C97,2)),1)=1, LEFT(SUBSTITUTE('ARDT Cutter Entry'!C97,"*",""),LEN(SUBSTITUTE('ARDT Cutter Entry'!C97,"*",""))-1),LEFT(SUBSTITUTE('ARDT Cutter Entry'!C97,"*",""),LEN(SUBSTITUTE('ARDT Cutter Entry'!C97,"*",""))-2)),IF(IFERROR(VALUE(RIGHT('ARDT Cutter Entry'!C29,2)),1)=1, LEFT(SUBSTITUTE('ARDT Cutter Entry'!C29,"*",""),LEN(SUBSTITUTE('ARDT Cutter Entry'!C29,"*",""))-1),LEFT(SUBSTITUTE('ARDT Cutter Entry'!C29,"*",""),LEN(SUBSTITUTE('ARDT Cutter Entry'!C29,"*",""))-2) )),"")</f>
        <v>X</v>
      </c>
      <c r="C6" s="2382"/>
      <c r="D6" s="2382"/>
      <c r="E6" s="2382"/>
      <c r="F6" s="2382"/>
      <c r="G6" s="2382"/>
      <c r="H6" s="2382"/>
      <c r="I6" s="2382"/>
      <c r="J6" s="2382"/>
      <c r="K6" s="2382"/>
      <c r="L6" s="2382"/>
      <c r="M6" s="2382"/>
      <c r="N6" s="2382"/>
      <c r="O6" s="2382"/>
      <c r="P6" s="2382"/>
      <c r="Q6" s="2382"/>
      <c r="R6" s="2382" t="str">
        <f>IFERROR(IF('ARDT Cutter Entry'!$C$94&lt;&gt;"",IF(IFERROR(VALUE(RIGHT('ARDT Cutter Entry'!D97,2)),1)=1, LEFT(SUBSTITUTE('ARDT Cutter Entry'!D97,"*",""),LEN(SUBSTITUTE('ARDT Cutter Entry'!D97,"*",""))-1),LEFT(SUBSTITUTE('ARDT Cutter Entry'!D97,"*",""),LEN(SUBSTITUTE('ARDT Cutter Entry'!D97,"*",""))-2)),IF(IFERROR(VALUE(RIGHT('ARDT Cutter Entry'!D29,2)),1)=1, LEFT(SUBSTITUTE('ARDT Cutter Entry'!D29,"*",""),LEN(SUBSTITUTE('ARDT Cutter Entry'!D29,"*",""))-1),LEFT(SUBSTITUTE('ARDT Cutter Entry'!D29,"*",""),LEN(SUBSTITUTE('ARDT Cutter Entry'!D29,"*",""))-2) )),"")</f>
        <v>X</v>
      </c>
      <c r="S6" s="2382"/>
      <c r="T6" s="2382"/>
      <c r="U6" s="2382"/>
      <c r="V6" s="2382"/>
      <c r="W6" s="2382"/>
      <c r="X6" s="2382"/>
      <c r="Y6" s="2382"/>
      <c r="Z6" s="2382"/>
      <c r="AA6" s="2382"/>
      <c r="AB6" s="2382"/>
      <c r="AC6" s="2382"/>
      <c r="AD6" s="2382"/>
      <c r="AE6" s="2382"/>
      <c r="AF6" s="2382"/>
      <c r="AG6" s="2382"/>
      <c r="AH6" s="2382" t="str">
        <f>IFERROR(IF('ARDT Cutter Entry'!$C$94&lt;&gt;"",IF(IFERROR(VALUE(RIGHT('ARDT Cutter Entry'!E97,2)),1)=1, LEFT(SUBSTITUTE('ARDT Cutter Entry'!E97,"*",""),LEN(SUBSTITUTE('ARDT Cutter Entry'!E97,"*",""))-1),LEFT(SUBSTITUTE('ARDT Cutter Entry'!E97,"*",""),LEN(SUBSTITUTE('ARDT Cutter Entry'!E97,"*",""))-2)),IF(IFERROR(VALUE(RIGHT('ARDT Cutter Entry'!E29,2)),1)=1, LEFT(SUBSTITUTE('ARDT Cutter Entry'!E29,"*",""),LEN(SUBSTITUTE('ARDT Cutter Entry'!E29,"*",""))-1),LEFT(SUBSTITUTE('ARDT Cutter Entry'!E29,"*",""),LEN(SUBSTITUTE('ARDT Cutter Entry'!E29,"*",""))-2) )),"")</f>
        <v>X</v>
      </c>
      <c r="AI6" s="2382"/>
      <c r="AJ6" s="2382"/>
      <c r="AK6" s="2382"/>
      <c r="AL6" s="2382"/>
      <c r="AM6" s="2382"/>
      <c r="AN6" s="2382"/>
      <c r="AO6" s="2382"/>
      <c r="AP6" s="2382"/>
      <c r="AQ6" s="2382"/>
      <c r="AR6" s="2382"/>
      <c r="AS6" s="2382"/>
      <c r="AT6" s="2382"/>
      <c r="AU6" s="2382"/>
      <c r="AV6" s="2382"/>
      <c r="AW6" s="2382"/>
      <c r="AX6" s="2382" t="str">
        <f>IFERROR(IF('ARDT Cutter Entry'!$C$94&lt;&gt;"",IF(IFERROR(VALUE(RIGHT('ARDT Cutter Entry'!F97,2)),1)=1, LEFT(SUBSTITUTE('ARDT Cutter Entry'!F97,"*",""),LEN(SUBSTITUTE('ARDT Cutter Entry'!F97,"*",""))-1),LEFT(SUBSTITUTE('ARDT Cutter Entry'!F97,"*",""),LEN(SUBSTITUTE('ARDT Cutter Entry'!F97,"*",""))-2)),IF(IFERROR(VALUE(RIGHT('ARDT Cutter Entry'!F29,2)),1)=1, LEFT(SUBSTITUTE('ARDT Cutter Entry'!F29,"*",""),LEN(SUBSTITUTE('ARDT Cutter Entry'!F29,"*",""))-1),LEFT(SUBSTITUTE('ARDT Cutter Entry'!F29,"*",""),LEN(SUBSTITUTE('ARDT Cutter Entry'!F29,"*",""))-2) )),"")</f>
        <v>X</v>
      </c>
      <c r="AY6" s="2382"/>
      <c r="AZ6" s="2382"/>
      <c r="BA6" s="2382"/>
      <c r="BB6" s="2382"/>
      <c r="BC6" s="2382"/>
      <c r="BD6" s="2382"/>
      <c r="BE6" s="2382"/>
      <c r="BF6" s="2382"/>
      <c r="BG6" s="2382"/>
      <c r="BH6" s="2382"/>
      <c r="BI6" s="2382"/>
      <c r="BJ6" s="2382"/>
      <c r="BK6" s="2382"/>
      <c r="BL6" s="2382"/>
      <c r="BM6" s="2382"/>
      <c r="BN6" s="2382" t="str">
        <f>IFERROR(IF('ARDT Cutter Entry'!$C$94&lt;&gt;"",IF(IFERROR(VALUE(RIGHT('ARDT Cutter Entry'!G97,2)),1)=1, LEFT(SUBSTITUTE('ARDT Cutter Entry'!G97,"*",""),LEN(SUBSTITUTE('ARDT Cutter Entry'!G97,"*",""))-1),LEFT(SUBSTITUTE('ARDT Cutter Entry'!G97,"*",""),LEN(SUBSTITUTE('ARDT Cutter Entry'!G97,"*",""))-2)),IF(IFERROR(VALUE(RIGHT('ARDT Cutter Entry'!G29,2)),1)=1, LEFT(SUBSTITUTE('ARDT Cutter Entry'!G29,"*",""),LEN(SUBSTITUTE('ARDT Cutter Entry'!G29,"*",""))-1),LEFT(SUBSTITUTE('ARDT Cutter Entry'!G29,"*",""),LEN(SUBSTITUTE('ARDT Cutter Entry'!G29,"*",""))-2) )),"")</f>
        <v>R</v>
      </c>
      <c r="BO6" s="2382"/>
      <c r="BP6" s="2382"/>
      <c r="BQ6" s="2382"/>
      <c r="BR6" s="2382"/>
      <c r="BS6" s="2382"/>
      <c r="BT6" s="2382"/>
      <c r="BU6" s="2382"/>
      <c r="BV6" s="2382"/>
      <c r="BW6" s="2382"/>
      <c r="BX6" s="2382"/>
      <c r="BY6" s="2382"/>
      <c r="BZ6" s="2382"/>
      <c r="CA6" s="2382"/>
      <c r="CB6" s="2382"/>
      <c r="CC6" s="2382"/>
      <c r="CD6" s="2382" t="str">
        <f>IFERROR(IF('ARDT Cutter Entry'!$C$94&lt;&gt;"",IF(IFERROR(VALUE(RIGHT('ARDT Cutter Entry'!H97,2)),1)=1, LEFT(SUBSTITUTE('ARDT Cutter Entry'!H97,"*",""),LEN(SUBSTITUTE('ARDT Cutter Entry'!H97,"*",""))-1),LEFT(SUBSTITUTE('ARDT Cutter Entry'!H97,"*",""),LEN(SUBSTITUTE('ARDT Cutter Entry'!H97,"*",""))-2)),IF(IFERROR(VALUE(RIGHT('ARDT Cutter Entry'!H29,2)),1)=1, LEFT(SUBSTITUTE('ARDT Cutter Entry'!H29,"*",""),LEN(SUBSTITUTE('ARDT Cutter Entry'!H29,"*",""))-1),LEFT(SUBSTITUTE('ARDT Cutter Entry'!H29,"*",""),LEN(SUBSTITUTE('ARDT Cutter Entry'!H29,"*",""))-2) )),"")</f>
        <v>X</v>
      </c>
      <c r="CE6" s="2382"/>
      <c r="CF6" s="2382"/>
      <c r="CG6" s="2382"/>
      <c r="CH6" s="2382"/>
      <c r="CI6" s="2382"/>
      <c r="CJ6" s="2382"/>
      <c r="CK6" s="2382"/>
      <c r="CL6" s="2382"/>
      <c r="CM6" s="2382"/>
      <c r="CN6" s="2382"/>
      <c r="CO6" s="2382"/>
      <c r="CP6" s="2382"/>
      <c r="CQ6" s="2382"/>
      <c r="CR6" s="2382"/>
      <c r="CS6" s="2382"/>
      <c r="CT6" s="2382" t="str">
        <f>IFERROR(IF('ARDT Cutter Entry'!$C$94&lt;&gt;"",IF(IFERROR(VALUE(RIGHT('ARDT Cutter Entry'!I97,2)),1)=1, LEFT(SUBSTITUTE('ARDT Cutter Entry'!I97,"*",""),LEN(SUBSTITUTE('ARDT Cutter Entry'!I97,"*",""))-1),LEFT(SUBSTITUTE('ARDT Cutter Entry'!I97,"*",""),LEN(SUBSTITUTE('ARDT Cutter Entry'!I97,"*",""))-2)),IF(IFERROR(VALUE(RIGHT('ARDT Cutter Entry'!I29,2)),1)=1, LEFT(SUBSTITUTE('ARDT Cutter Entry'!I29,"*",""),LEN(SUBSTITUTE('ARDT Cutter Entry'!I29,"*",""))-1),LEFT(SUBSTITUTE('ARDT Cutter Entry'!I29,"*",""),LEN(SUBSTITUTE('ARDT Cutter Entry'!I29,"*",""))-2) )),"")</f>
        <v/>
      </c>
      <c r="CU6" s="2382"/>
      <c r="CV6" s="2382"/>
      <c r="CW6" s="2382"/>
      <c r="CX6" s="2382"/>
      <c r="CY6" s="2382"/>
      <c r="CZ6" s="2382"/>
      <c r="DA6" s="2382"/>
      <c r="DB6" s="2382"/>
      <c r="DC6" s="2382"/>
      <c r="DD6" s="2382"/>
      <c r="DE6" s="2382"/>
      <c r="DF6" s="2382"/>
      <c r="DG6" s="2382"/>
      <c r="DH6" s="2382"/>
      <c r="DI6" s="2382"/>
      <c r="DJ6" s="2382" t="str">
        <f>IFERROR(IF('ARDT Cutter Entry'!$C$94&lt;&gt;"",IF(IFERROR(VALUE(RIGHT('ARDT Cutter Entry'!J97,2)),1)=1, LEFT(SUBSTITUTE('ARDT Cutter Entry'!J97,"*",""),LEN(SUBSTITUTE('ARDT Cutter Entry'!J97,"*",""))-1),LEFT(SUBSTITUTE('ARDT Cutter Entry'!J97,"*",""),LEN(SUBSTITUTE('ARDT Cutter Entry'!J97,"*",""))-2)),IF(IFERROR(VALUE(RIGHT('ARDT Cutter Entry'!J29,2)),1)=1, LEFT(SUBSTITUTE('ARDT Cutter Entry'!J29,"*",""),LEN(SUBSTITUTE('ARDT Cutter Entry'!J29,"*",""))-1),LEFT(SUBSTITUTE('ARDT Cutter Entry'!J29,"*",""),LEN(SUBSTITUTE('ARDT Cutter Entry'!J29,"*",""))-2) )),"")</f>
        <v/>
      </c>
      <c r="DK6" s="2382"/>
      <c r="DL6" s="2382"/>
      <c r="DM6" s="2382"/>
      <c r="DN6" s="2382"/>
      <c r="DO6" s="2382"/>
      <c r="DP6" s="2382"/>
      <c r="DQ6" s="2382"/>
      <c r="DR6" s="2382"/>
      <c r="DS6" s="2382"/>
      <c r="DT6" s="2382"/>
      <c r="DU6" s="2382"/>
      <c r="DV6" s="2382"/>
      <c r="DW6" s="2382"/>
      <c r="DX6" s="2382"/>
      <c r="DY6" s="2382"/>
      <c r="DZ6" s="2382" t="str">
        <f>IFERROR(IF('ARDT Cutter Entry'!$C$94&lt;&gt;"",IF(IFERROR(VALUE(RIGHT('ARDT Cutter Entry'!K97,2)),1)=1, LEFT(SUBSTITUTE('ARDT Cutter Entry'!K97,"*",""),LEN(SUBSTITUTE('ARDT Cutter Entry'!K97,"*",""))-1),LEFT(SUBSTITUTE('ARDT Cutter Entry'!K97,"*",""),LEN(SUBSTITUTE('ARDT Cutter Entry'!K97,"*",""))-2)),IF(IFERROR(VALUE(RIGHT('ARDT Cutter Entry'!K29,2)),1)=1, LEFT(SUBSTITUTE('ARDT Cutter Entry'!K29,"*",""),LEN(SUBSTITUTE('ARDT Cutter Entry'!K29,"*",""))-1),LEFT(SUBSTITUTE('ARDT Cutter Entry'!K29,"*",""),LEN(SUBSTITUTE('ARDT Cutter Entry'!K29,"*",""))-2) )),"")</f>
        <v/>
      </c>
      <c r="EA6" s="2382"/>
      <c r="EB6" s="2382"/>
      <c r="EC6" s="2382"/>
      <c r="ED6" s="2382"/>
      <c r="EE6" s="2382"/>
      <c r="EF6" s="2382"/>
      <c r="EG6" s="2382"/>
      <c r="EH6" s="2382"/>
      <c r="EI6" s="2382"/>
      <c r="EJ6" s="2382"/>
      <c r="EK6" s="2382"/>
      <c r="EL6" s="2382"/>
      <c r="EM6" s="2382"/>
      <c r="EN6" s="2382"/>
      <c r="EO6" s="2382"/>
      <c r="EP6" s="2382" t="str">
        <f>IFERROR(IF('ARDT Cutter Entry'!$C$94&lt;&gt;"",IF(IFERROR(VALUE(RIGHT('ARDT Cutter Entry'!L97,2)),1)=1, LEFT(SUBSTITUTE('ARDT Cutter Entry'!L97,"*",""),LEN(SUBSTITUTE('ARDT Cutter Entry'!L97,"*",""))-1),LEFT(SUBSTITUTE('ARDT Cutter Entry'!L97,"*",""),LEN(SUBSTITUTE('ARDT Cutter Entry'!L97,"*",""))-2)),IF(IFERROR(VALUE(RIGHT('ARDT Cutter Entry'!L29,2)),1)=1, LEFT(SUBSTITUTE('ARDT Cutter Entry'!L29,"*",""),LEN(SUBSTITUTE('ARDT Cutter Entry'!L29,"*",""))-1),LEFT(SUBSTITUTE('ARDT Cutter Entry'!L29,"*",""),LEN(SUBSTITUTE('ARDT Cutter Entry'!L29,"*",""))-2) )),"")</f>
        <v>R</v>
      </c>
      <c r="EQ6" s="2382"/>
      <c r="ER6" s="2382"/>
      <c r="ES6" s="2382"/>
      <c r="ET6" s="2382"/>
      <c r="EU6" s="2382"/>
      <c r="EV6" s="2382"/>
      <c r="EW6" s="2382"/>
      <c r="EX6" s="2382"/>
      <c r="EY6" s="2382"/>
      <c r="EZ6" s="2382"/>
      <c r="FA6" s="2382"/>
      <c r="FB6" s="2382"/>
      <c r="FC6" s="2382"/>
      <c r="FD6" s="2382"/>
      <c r="FE6" s="2382"/>
      <c r="FF6" s="2382" t="str">
        <f>IFERROR(IF('ARDT Cutter Entry'!$C$94&lt;&gt;"",IF(IFERROR(VALUE(RIGHT('ARDT Cutter Entry'!M97,2)),1)=1, LEFT(SUBSTITUTE('ARDT Cutter Entry'!M97,"*",""),LEN(SUBSTITUTE('ARDT Cutter Entry'!M97,"*",""))-1),LEFT(SUBSTITUTE('ARDT Cutter Entry'!M97,"*",""),LEN(SUBSTITUTE('ARDT Cutter Entry'!M97,"*",""))-2)),IF(IFERROR(VALUE(RIGHT('ARDT Cutter Entry'!M29,2)),1)=1, LEFT(SUBSTITUTE('ARDT Cutter Entry'!M29,"*",""),LEN(SUBSTITUTE('ARDT Cutter Entry'!M29,"*",""))-1),LEFT(SUBSTITUTE('ARDT Cutter Entry'!M29,"*",""),LEN(SUBSTITUTE('ARDT Cutter Entry'!M29,"*",""))-2) )),"")</f>
        <v>R</v>
      </c>
      <c r="FG6" s="2382"/>
      <c r="FH6" s="2382"/>
      <c r="FI6" s="2382"/>
      <c r="FJ6" s="2382"/>
      <c r="FK6" s="2382"/>
      <c r="FL6" s="2382"/>
      <c r="FM6" s="2382"/>
      <c r="FN6" s="2382"/>
      <c r="FO6" s="2382"/>
      <c r="FP6" s="2382"/>
      <c r="FQ6" s="2382"/>
      <c r="FR6" s="2382"/>
      <c r="FS6" s="2382"/>
      <c r="FT6" s="2382"/>
      <c r="FU6" s="2382"/>
      <c r="FV6" s="1132"/>
      <c r="FW6" s="1132"/>
      <c r="FX6" s="1132"/>
      <c r="FY6" s="1132"/>
      <c r="FZ6" s="1132"/>
      <c r="GA6" s="1132"/>
      <c r="GB6" s="1132"/>
      <c r="GC6" s="1132"/>
      <c r="GD6" s="1132"/>
      <c r="GE6" s="1132"/>
      <c r="GF6" s="1132"/>
      <c r="GG6" s="1132"/>
    </row>
    <row r="7" spans="1:223" ht="44.25" customHeight="1" x14ac:dyDescent="0.35">
      <c r="A7" s="338">
        <v>5</v>
      </c>
      <c r="B7" s="2382" t="str">
        <f>IFERROR(IF('ARDT Cutter Entry'!$C$94&lt;&gt;"",IF(IFERROR(VALUE(RIGHT('ARDT Cutter Entry'!C98,2)),1)=1, LEFT(SUBSTITUTE('ARDT Cutter Entry'!C98,"*",""),LEN(SUBSTITUTE('ARDT Cutter Entry'!C98,"*",""))-1),LEFT(SUBSTITUTE('ARDT Cutter Entry'!C98,"*",""),LEN(SUBSTITUTE('ARDT Cutter Entry'!C98,"*",""))-2)),IF(IFERROR(VALUE(RIGHT('ARDT Cutter Entry'!C30,2)),1)=1, LEFT(SUBSTITUTE('ARDT Cutter Entry'!C30,"*",""),LEN(SUBSTITUTE('ARDT Cutter Entry'!C30,"*",""))-1),LEFT(SUBSTITUTE('ARDT Cutter Entry'!C30,"*",""),LEN(SUBSTITUTE('ARDT Cutter Entry'!C30,"*",""))-2) )),"")</f>
        <v>R</v>
      </c>
      <c r="C7" s="2382"/>
      <c r="D7" s="2382"/>
      <c r="E7" s="2382"/>
      <c r="F7" s="2382"/>
      <c r="G7" s="2382"/>
      <c r="H7" s="2382"/>
      <c r="I7" s="2382"/>
      <c r="J7" s="2382"/>
      <c r="K7" s="2382"/>
      <c r="L7" s="2382"/>
      <c r="M7" s="2382"/>
      <c r="N7" s="2382"/>
      <c r="O7" s="2382"/>
      <c r="P7" s="2382"/>
      <c r="Q7" s="2382"/>
      <c r="R7" s="2382" t="str">
        <f>IFERROR(IF('ARDT Cutter Entry'!$C$94&lt;&gt;"",IF(IFERROR(VALUE(RIGHT('ARDT Cutter Entry'!D98,2)),1)=1, LEFT(SUBSTITUTE('ARDT Cutter Entry'!D98,"*",""),LEN(SUBSTITUTE('ARDT Cutter Entry'!D98,"*",""))-1),LEFT(SUBSTITUTE('ARDT Cutter Entry'!D98,"*",""),LEN(SUBSTITUTE('ARDT Cutter Entry'!D98,"*",""))-2)),IF(IFERROR(VALUE(RIGHT('ARDT Cutter Entry'!D30,2)),1)=1, LEFT(SUBSTITUTE('ARDT Cutter Entry'!D30,"*",""),LEN(SUBSTITUTE('ARDT Cutter Entry'!D30,"*",""))-1),LEFT(SUBSTITUTE('ARDT Cutter Entry'!D30,"*",""),LEN(SUBSTITUTE('ARDT Cutter Entry'!D30,"*",""))-2) )),"")</f>
        <v>R</v>
      </c>
      <c r="S7" s="2382"/>
      <c r="T7" s="2382"/>
      <c r="U7" s="2382"/>
      <c r="V7" s="2382"/>
      <c r="W7" s="2382"/>
      <c r="X7" s="2382"/>
      <c r="Y7" s="2382"/>
      <c r="Z7" s="2382"/>
      <c r="AA7" s="2382"/>
      <c r="AB7" s="2382"/>
      <c r="AC7" s="2382"/>
      <c r="AD7" s="2382"/>
      <c r="AE7" s="2382"/>
      <c r="AF7" s="2382"/>
      <c r="AG7" s="2382"/>
      <c r="AH7" s="2382" t="str">
        <f>IFERROR(IF('ARDT Cutter Entry'!$C$94&lt;&gt;"",IF(IFERROR(VALUE(RIGHT('ARDT Cutter Entry'!E98,2)),1)=1, LEFT(SUBSTITUTE('ARDT Cutter Entry'!E98,"*",""),LEN(SUBSTITUTE('ARDT Cutter Entry'!E98,"*",""))-1),LEFT(SUBSTITUTE('ARDT Cutter Entry'!E98,"*",""),LEN(SUBSTITUTE('ARDT Cutter Entry'!E98,"*",""))-2)),IF(IFERROR(VALUE(RIGHT('ARDT Cutter Entry'!E30,2)),1)=1, LEFT(SUBSTITUTE('ARDT Cutter Entry'!E30,"*",""),LEN(SUBSTITUTE('ARDT Cutter Entry'!E30,"*",""))-1),LEFT(SUBSTITUTE('ARDT Cutter Entry'!E30,"*",""),LEN(SUBSTITUTE('ARDT Cutter Entry'!E30,"*",""))-2) )),"")</f>
        <v>X</v>
      </c>
      <c r="AI7" s="2382"/>
      <c r="AJ7" s="2382"/>
      <c r="AK7" s="2382"/>
      <c r="AL7" s="2382"/>
      <c r="AM7" s="2382"/>
      <c r="AN7" s="2382"/>
      <c r="AO7" s="2382"/>
      <c r="AP7" s="2382"/>
      <c r="AQ7" s="2382"/>
      <c r="AR7" s="2382"/>
      <c r="AS7" s="2382"/>
      <c r="AT7" s="2382"/>
      <c r="AU7" s="2382"/>
      <c r="AV7" s="2382"/>
      <c r="AW7" s="2382"/>
      <c r="AX7" s="2382" t="str">
        <f>IFERROR(IF('ARDT Cutter Entry'!$C$94&lt;&gt;"",IF(IFERROR(VALUE(RIGHT('ARDT Cutter Entry'!F98,2)),1)=1, LEFT(SUBSTITUTE('ARDT Cutter Entry'!F98,"*",""),LEN(SUBSTITUTE('ARDT Cutter Entry'!F98,"*",""))-1),LEFT(SUBSTITUTE('ARDT Cutter Entry'!F98,"*",""),LEN(SUBSTITUTE('ARDT Cutter Entry'!F98,"*",""))-2)),IF(IFERROR(VALUE(RIGHT('ARDT Cutter Entry'!F30,2)),1)=1, LEFT(SUBSTITUTE('ARDT Cutter Entry'!F30,"*",""),LEN(SUBSTITUTE('ARDT Cutter Entry'!F30,"*",""))-1),LEFT(SUBSTITUTE('ARDT Cutter Entry'!F30,"*",""),LEN(SUBSTITUTE('ARDT Cutter Entry'!F30,"*",""))-2) )),"")</f>
        <v>X</v>
      </c>
      <c r="AY7" s="2382"/>
      <c r="AZ7" s="2382"/>
      <c r="BA7" s="2382"/>
      <c r="BB7" s="2382"/>
      <c r="BC7" s="2382"/>
      <c r="BD7" s="2382"/>
      <c r="BE7" s="2382"/>
      <c r="BF7" s="2382"/>
      <c r="BG7" s="2382"/>
      <c r="BH7" s="2382"/>
      <c r="BI7" s="2382"/>
      <c r="BJ7" s="2382"/>
      <c r="BK7" s="2382"/>
      <c r="BL7" s="2382"/>
      <c r="BM7" s="2382"/>
      <c r="BN7" s="2382" t="str">
        <f>IFERROR(IF('ARDT Cutter Entry'!$C$94&lt;&gt;"",IF(IFERROR(VALUE(RIGHT('ARDT Cutter Entry'!G98,2)),1)=1, LEFT(SUBSTITUTE('ARDT Cutter Entry'!G98,"*",""),LEN(SUBSTITUTE('ARDT Cutter Entry'!G98,"*",""))-1),LEFT(SUBSTITUTE('ARDT Cutter Entry'!G98,"*",""),LEN(SUBSTITUTE('ARDT Cutter Entry'!G98,"*",""))-2)),IF(IFERROR(VALUE(RIGHT('ARDT Cutter Entry'!G30,2)),1)=1, LEFT(SUBSTITUTE('ARDT Cutter Entry'!G30,"*",""),LEN(SUBSTITUTE('ARDT Cutter Entry'!G30,"*",""))-1),LEFT(SUBSTITUTE('ARDT Cutter Entry'!G30,"*",""),LEN(SUBSTITUTE('ARDT Cutter Entry'!G30,"*",""))-2) )),"")</f>
        <v>X</v>
      </c>
      <c r="BO7" s="2382"/>
      <c r="BP7" s="2382"/>
      <c r="BQ7" s="2382"/>
      <c r="BR7" s="2382"/>
      <c r="BS7" s="2382"/>
      <c r="BT7" s="2382"/>
      <c r="BU7" s="2382"/>
      <c r="BV7" s="2382"/>
      <c r="BW7" s="2382"/>
      <c r="BX7" s="2382"/>
      <c r="BY7" s="2382"/>
      <c r="BZ7" s="2382"/>
      <c r="CA7" s="2382"/>
      <c r="CB7" s="2382"/>
      <c r="CC7" s="2382"/>
      <c r="CD7" s="2382" t="str">
        <f>IFERROR(IF('ARDT Cutter Entry'!$C$94&lt;&gt;"",IF(IFERROR(VALUE(RIGHT('ARDT Cutter Entry'!H98,2)),1)=1, LEFT(SUBSTITUTE('ARDT Cutter Entry'!H98,"*",""),LEN(SUBSTITUTE('ARDT Cutter Entry'!H98,"*",""))-1),LEFT(SUBSTITUTE('ARDT Cutter Entry'!H98,"*",""),LEN(SUBSTITUTE('ARDT Cutter Entry'!H98,"*",""))-2)),IF(IFERROR(VALUE(RIGHT('ARDT Cutter Entry'!H30,2)),1)=1, LEFT(SUBSTITUTE('ARDT Cutter Entry'!H30,"*",""),LEN(SUBSTITUTE('ARDT Cutter Entry'!H30,"*",""))-1),LEFT(SUBSTITUTE('ARDT Cutter Entry'!H30,"*",""),LEN(SUBSTITUTE('ARDT Cutter Entry'!H30,"*",""))-2) )),"")</f>
        <v>X</v>
      </c>
      <c r="CE7" s="2382"/>
      <c r="CF7" s="2382"/>
      <c r="CG7" s="2382"/>
      <c r="CH7" s="2382"/>
      <c r="CI7" s="2382"/>
      <c r="CJ7" s="2382"/>
      <c r="CK7" s="2382"/>
      <c r="CL7" s="2382"/>
      <c r="CM7" s="2382"/>
      <c r="CN7" s="2382"/>
      <c r="CO7" s="2382"/>
      <c r="CP7" s="2382"/>
      <c r="CQ7" s="2382"/>
      <c r="CR7" s="2382"/>
      <c r="CS7" s="2382"/>
      <c r="CT7" s="2382" t="str">
        <f>IFERROR(IF('ARDT Cutter Entry'!$C$94&lt;&gt;"",IF(IFERROR(VALUE(RIGHT('ARDT Cutter Entry'!I98,2)),1)=1, LEFT(SUBSTITUTE('ARDT Cutter Entry'!I98,"*",""),LEN(SUBSTITUTE('ARDT Cutter Entry'!I98,"*",""))-1),LEFT(SUBSTITUTE('ARDT Cutter Entry'!I98,"*",""),LEN(SUBSTITUTE('ARDT Cutter Entry'!I98,"*",""))-2)),IF(IFERROR(VALUE(RIGHT('ARDT Cutter Entry'!I30,2)),1)=1, LEFT(SUBSTITUTE('ARDT Cutter Entry'!I30,"*",""),LEN(SUBSTITUTE('ARDT Cutter Entry'!I30,"*",""))-1),LEFT(SUBSTITUTE('ARDT Cutter Entry'!I30,"*",""),LEN(SUBSTITUTE('ARDT Cutter Entry'!I30,"*",""))-2) )),"")</f>
        <v>R</v>
      </c>
      <c r="CU7" s="2382"/>
      <c r="CV7" s="2382"/>
      <c r="CW7" s="2382"/>
      <c r="CX7" s="2382"/>
      <c r="CY7" s="2382"/>
      <c r="CZ7" s="2382"/>
      <c r="DA7" s="2382"/>
      <c r="DB7" s="2382"/>
      <c r="DC7" s="2382"/>
      <c r="DD7" s="2382"/>
      <c r="DE7" s="2382"/>
      <c r="DF7" s="2382"/>
      <c r="DG7" s="2382"/>
      <c r="DH7" s="2382"/>
      <c r="DI7" s="2382"/>
      <c r="DJ7" s="2382" t="str">
        <f>IFERROR(IF('ARDT Cutter Entry'!$C$94&lt;&gt;"",IF(IFERROR(VALUE(RIGHT('ARDT Cutter Entry'!J98,2)),1)=1, LEFT(SUBSTITUTE('ARDT Cutter Entry'!J98,"*",""),LEN(SUBSTITUTE('ARDT Cutter Entry'!J98,"*",""))-1),LEFT(SUBSTITUTE('ARDT Cutter Entry'!J98,"*",""),LEN(SUBSTITUTE('ARDT Cutter Entry'!J98,"*",""))-2)),IF(IFERROR(VALUE(RIGHT('ARDT Cutter Entry'!J30,2)),1)=1, LEFT(SUBSTITUTE('ARDT Cutter Entry'!J30,"*",""),LEN(SUBSTITUTE('ARDT Cutter Entry'!J30,"*",""))-1),LEFT(SUBSTITUTE('ARDT Cutter Entry'!J30,"*",""),LEN(SUBSTITUTE('ARDT Cutter Entry'!J30,"*",""))-2) )),"")</f>
        <v>X</v>
      </c>
      <c r="DK7" s="2382"/>
      <c r="DL7" s="2382"/>
      <c r="DM7" s="2382"/>
      <c r="DN7" s="2382"/>
      <c r="DO7" s="2382"/>
      <c r="DP7" s="2382"/>
      <c r="DQ7" s="2382"/>
      <c r="DR7" s="2382"/>
      <c r="DS7" s="2382"/>
      <c r="DT7" s="2382"/>
      <c r="DU7" s="2382"/>
      <c r="DV7" s="2382"/>
      <c r="DW7" s="2382"/>
      <c r="DX7" s="2382"/>
      <c r="DY7" s="2382"/>
      <c r="DZ7" s="2382" t="str">
        <f>IFERROR(IF('ARDT Cutter Entry'!$C$94&lt;&gt;"",IF(IFERROR(VALUE(RIGHT('ARDT Cutter Entry'!K98,2)),1)=1, LEFT(SUBSTITUTE('ARDT Cutter Entry'!K98,"*",""),LEN(SUBSTITUTE('ARDT Cutter Entry'!K98,"*",""))-1),LEFT(SUBSTITUTE('ARDT Cutter Entry'!K98,"*",""),LEN(SUBSTITUTE('ARDT Cutter Entry'!K98,"*",""))-2)),IF(IFERROR(VALUE(RIGHT('ARDT Cutter Entry'!K30,2)),1)=1, LEFT(SUBSTITUTE('ARDT Cutter Entry'!K30,"*",""),LEN(SUBSTITUTE('ARDT Cutter Entry'!K30,"*",""))-1),LEFT(SUBSTITUTE('ARDT Cutter Entry'!K30,"*",""),LEN(SUBSTITUTE('ARDT Cutter Entry'!K30,"*",""))-2) )),"")</f>
        <v/>
      </c>
      <c r="EA7" s="2382"/>
      <c r="EB7" s="2382"/>
      <c r="EC7" s="2382"/>
      <c r="ED7" s="2382"/>
      <c r="EE7" s="2382"/>
      <c r="EF7" s="2382"/>
      <c r="EG7" s="2382"/>
      <c r="EH7" s="2382"/>
      <c r="EI7" s="2382"/>
      <c r="EJ7" s="2382"/>
      <c r="EK7" s="2382"/>
      <c r="EL7" s="2382"/>
      <c r="EM7" s="2382"/>
      <c r="EN7" s="2382"/>
      <c r="EO7" s="2382"/>
      <c r="EP7" s="2382" t="str">
        <f>IFERROR(IF('ARDT Cutter Entry'!$C$94&lt;&gt;"",IF(IFERROR(VALUE(RIGHT('ARDT Cutter Entry'!L98,2)),1)=1, LEFT(SUBSTITUTE('ARDT Cutter Entry'!L98,"*",""),LEN(SUBSTITUTE('ARDT Cutter Entry'!L98,"*",""))-1),LEFT(SUBSTITUTE('ARDT Cutter Entry'!L98,"*",""),LEN(SUBSTITUTE('ARDT Cutter Entry'!L98,"*",""))-2)),IF(IFERROR(VALUE(RIGHT('ARDT Cutter Entry'!L30,2)),1)=1, LEFT(SUBSTITUTE('ARDT Cutter Entry'!L30,"*",""),LEN(SUBSTITUTE('ARDT Cutter Entry'!L30,"*",""))-1),LEFT(SUBSTITUTE('ARDT Cutter Entry'!L30,"*",""),LEN(SUBSTITUTE('ARDT Cutter Entry'!L30,"*",""))-2) )),"")</f>
        <v>R</v>
      </c>
      <c r="EQ7" s="2382"/>
      <c r="ER7" s="2382"/>
      <c r="ES7" s="2382"/>
      <c r="ET7" s="2382"/>
      <c r="EU7" s="2382"/>
      <c r="EV7" s="2382"/>
      <c r="EW7" s="2382"/>
      <c r="EX7" s="2382"/>
      <c r="EY7" s="2382"/>
      <c r="EZ7" s="2382"/>
      <c r="FA7" s="2382"/>
      <c r="FB7" s="2382"/>
      <c r="FC7" s="2382"/>
      <c r="FD7" s="2382"/>
      <c r="FE7" s="2382"/>
      <c r="FF7" s="2382" t="str">
        <f>IFERROR(IF('ARDT Cutter Entry'!$C$94&lt;&gt;"",IF(IFERROR(VALUE(RIGHT('ARDT Cutter Entry'!M98,2)),1)=1, LEFT(SUBSTITUTE('ARDT Cutter Entry'!M98,"*",""),LEN(SUBSTITUTE('ARDT Cutter Entry'!M98,"*",""))-1),LEFT(SUBSTITUTE('ARDT Cutter Entry'!M98,"*",""),LEN(SUBSTITUTE('ARDT Cutter Entry'!M98,"*",""))-2)),IF(IFERROR(VALUE(RIGHT('ARDT Cutter Entry'!M30,2)),1)=1, LEFT(SUBSTITUTE('ARDT Cutter Entry'!M30,"*",""),LEN(SUBSTITUTE('ARDT Cutter Entry'!M30,"*",""))-1),LEFT(SUBSTITUTE('ARDT Cutter Entry'!M30,"*",""),LEN(SUBSTITUTE('ARDT Cutter Entry'!M30,"*",""))-2) )),"")</f>
        <v>X</v>
      </c>
      <c r="FG7" s="2382"/>
      <c r="FH7" s="2382"/>
      <c r="FI7" s="2382"/>
      <c r="FJ7" s="2382"/>
      <c r="FK7" s="2382"/>
      <c r="FL7" s="2382"/>
      <c r="FM7" s="2382"/>
      <c r="FN7" s="2382"/>
      <c r="FO7" s="2382"/>
      <c r="FP7" s="2382"/>
      <c r="FQ7" s="2382"/>
      <c r="FR7" s="2382"/>
      <c r="FS7" s="2382"/>
      <c r="FT7" s="2382"/>
      <c r="FU7" s="2382"/>
      <c r="FV7" s="1132"/>
      <c r="FW7" s="1132"/>
      <c r="FX7" s="1132"/>
      <c r="FY7" s="1132"/>
      <c r="FZ7" s="1132"/>
      <c r="GA7" s="1132"/>
      <c r="GB7" s="1132"/>
      <c r="GC7" s="1132"/>
      <c r="GD7" s="1132"/>
      <c r="GE7" s="1132"/>
      <c r="GF7" s="1132"/>
      <c r="GG7" s="1132"/>
    </row>
    <row r="8" spans="1:223" ht="44.25" customHeight="1" x14ac:dyDescent="0.35">
      <c r="A8" s="338">
        <v>6</v>
      </c>
      <c r="B8" s="2382" t="str">
        <f>IFERROR(IF('ARDT Cutter Entry'!$C$94&lt;&gt;"",IF(IFERROR(VALUE(RIGHT('ARDT Cutter Entry'!C99,2)),1)=1, LEFT(SUBSTITUTE('ARDT Cutter Entry'!C99,"*",""),LEN(SUBSTITUTE('ARDT Cutter Entry'!C99,"*",""))-1),LEFT(SUBSTITUTE('ARDT Cutter Entry'!C99,"*",""),LEN(SUBSTITUTE('ARDT Cutter Entry'!C99,"*",""))-2)),IF(IFERROR(VALUE(RIGHT('ARDT Cutter Entry'!C31,2)),1)=1, LEFT(SUBSTITUTE('ARDT Cutter Entry'!C31,"*",""),LEN(SUBSTITUTE('ARDT Cutter Entry'!C31,"*",""))-1),LEFT(SUBSTITUTE('ARDT Cutter Entry'!C31,"*",""),LEN(SUBSTITUTE('ARDT Cutter Entry'!C31,"*",""))-2) )),"")</f>
        <v>X</v>
      </c>
      <c r="C8" s="2382"/>
      <c r="D8" s="2382"/>
      <c r="E8" s="2382"/>
      <c r="F8" s="2382"/>
      <c r="G8" s="2382"/>
      <c r="H8" s="2382"/>
      <c r="I8" s="2382"/>
      <c r="J8" s="2382"/>
      <c r="K8" s="2382"/>
      <c r="L8" s="2382"/>
      <c r="M8" s="2382"/>
      <c r="N8" s="2382"/>
      <c r="O8" s="2382"/>
      <c r="P8" s="2382"/>
      <c r="Q8" s="2382"/>
      <c r="R8" s="2382" t="str">
        <f>IFERROR(IF('ARDT Cutter Entry'!$C$94&lt;&gt;"",IF(IFERROR(VALUE(RIGHT('ARDT Cutter Entry'!D99,2)),1)=1, LEFT(SUBSTITUTE('ARDT Cutter Entry'!D99,"*",""),LEN(SUBSTITUTE('ARDT Cutter Entry'!D99,"*",""))-1),LEFT(SUBSTITUTE('ARDT Cutter Entry'!D99,"*",""),LEN(SUBSTITUTE('ARDT Cutter Entry'!D99,"*",""))-2)),IF(IFERROR(VALUE(RIGHT('ARDT Cutter Entry'!D31,2)),1)=1, LEFT(SUBSTITUTE('ARDT Cutter Entry'!D31,"*",""),LEN(SUBSTITUTE('ARDT Cutter Entry'!D31,"*",""))-1),LEFT(SUBSTITUTE('ARDT Cutter Entry'!D31,"*",""),LEN(SUBSTITUTE('ARDT Cutter Entry'!D31,"*",""))-2) )),"")</f>
        <v>X</v>
      </c>
      <c r="S8" s="2382"/>
      <c r="T8" s="2382"/>
      <c r="U8" s="2382"/>
      <c r="V8" s="2382"/>
      <c r="W8" s="2382"/>
      <c r="X8" s="2382"/>
      <c r="Y8" s="2382"/>
      <c r="Z8" s="2382"/>
      <c r="AA8" s="2382"/>
      <c r="AB8" s="2382"/>
      <c r="AC8" s="2382"/>
      <c r="AD8" s="2382"/>
      <c r="AE8" s="2382"/>
      <c r="AF8" s="2382"/>
      <c r="AG8" s="2382"/>
      <c r="AH8" s="2382" t="str">
        <f>IFERROR(IF('ARDT Cutter Entry'!$C$94&lt;&gt;"",IF(IFERROR(VALUE(RIGHT('ARDT Cutter Entry'!E99,2)),1)=1, LEFT(SUBSTITUTE('ARDT Cutter Entry'!E99,"*",""),LEN(SUBSTITUTE('ARDT Cutter Entry'!E99,"*",""))-1),LEFT(SUBSTITUTE('ARDT Cutter Entry'!E99,"*",""),LEN(SUBSTITUTE('ARDT Cutter Entry'!E99,"*",""))-2)),IF(IFERROR(VALUE(RIGHT('ARDT Cutter Entry'!E31,2)),1)=1, LEFT(SUBSTITUTE('ARDT Cutter Entry'!E31,"*",""),LEN(SUBSTITUTE('ARDT Cutter Entry'!E31,"*",""))-1),LEFT(SUBSTITUTE('ARDT Cutter Entry'!E31,"*",""),LEN(SUBSTITUTE('ARDT Cutter Entry'!E31,"*",""))-2) )),"")</f>
        <v>X</v>
      </c>
      <c r="AI8" s="2382"/>
      <c r="AJ8" s="2382"/>
      <c r="AK8" s="2382"/>
      <c r="AL8" s="2382"/>
      <c r="AM8" s="2382"/>
      <c r="AN8" s="2382"/>
      <c r="AO8" s="2382"/>
      <c r="AP8" s="2382"/>
      <c r="AQ8" s="2382"/>
      <c r="AR8" s="2382"/>
      <c r="AS8" s="2382"/>
      <c r="AT8" s="2382"/>
      <c r="AU8" s="2382"/>
      <c r="AV8" s="2382"/>
      <c r="AW8" s="2382"/>
      <c r="AX8" s="2382" t="str">
        <f>IFERROR(IF('ARDT Cutter Entry'!$C$94&lt;&gt;"",IF(IFERROR(VALUE(RIGHT('ARDT Cutter Entry'!F99,2)),1)=1, LEFT(SUBSTITUTE('ARDT Cutter Entry'!F99,"*",""),LEN(SUBSTITUTE('ARDT Cutter Entry'!F99,"*",""))-1),LEFT(SUBSTITUTE('ARDT Cutter Entry'!F99,"*",""),LEN(SUBSTITUTE('ARDT Cutter Entry'!F99,"*",""))-2)),IF(IFERROR(VALUE(RIGHT('ARDT Cutter Entry'!F31,2)),1)=1, LEFT(SUBSTITUTE('ARDT Cutter Entry'!F31,"*",""),LEN(SUBSTITUTE('ARDT Cutter Entry'!F31,"*",""))-1),LEFT(SUBSTITUTE('ARDT Cutter Entry'!F31,"*",""),LEN(SUBSTITUTE('ARDT Cutter Entry'!F31,"*",""))-2) )),"")</f>
        <v>R</v>
      </c>
      <c r="AY8" s="2382"/>
      <c r="AZ8" s="2382"/>
      <c r="BA8" s="2382"/>
      <c r="BB8" s="2382"/>
      <c r="BC8" s="2382"/>
      <c r="BD8" s="2382"/>
      <c r="BE8" s="2382"/>
      <c r="BF8" s="2382"/>
      <c r="BG8" s="2382"/>
      <c r="BH8" s="2382"/>
      <c r="BI8" s="2382"/>
      <c r="BJ8" s="2382"/>
      <c r="BK8" s="2382"/>
      <c r="BL8" s="2382"/>
      <c r="BM8" s="2382"/>
      <c r="BN8" s="2382" t="str">
        <f>IFERROR(IF('ARDT Cutter Entry'!$C$94&lt;&gt;"",IF(IFERROR(VALUE(RIGHT('ARDT Cutter Entry'!G99,2)),1)=1, LEFT(SUBSTITUTE('ARDT Cutter Entry'!G99,"*",""),LEN(SUBSTITUTE('ARDT Cutter Entry'!G99,"*",""))-1),LEFT(SUBSTITUTE('ARDT Cutter Entry'!G99,"*",""),LEN(SUBSTITUTE('ARDT Cutter Entry'!G99,"*",""))-2)),IF(IFERROR(VALUE(RIGHT('ARDT Cutter Entry'!G31,2)),1)=1, LEFT(SUBSTITUTE('ARDT Cutter Entry'!G31,"*",""),LEN(SUBSTITUTE('ARDT Cutter Entry'!G31,"*",""))-1),LEFT(SUBSTITUTE('ARDT Cutter Entry'!G31,"*",""),LEN(SUBSTITUTE('ARDT Cutter Entry'!G31,"*",""))-2) )),"")</f>
        <v>X</v>
      </c>
      <c r="BO8" s="2382"/>
      <c r="BP8" s="2382"/>
      <c r="BQ8" s="2382"/>
      <c r="BR8" s="2382"/>
      <c r="BS8" s="2382"/>
      <c r="BT8" s="2382"/>
      <c r="BU8" s="2382"/>
      <c r="BV8" s="2382"/>
      <c r="BW8" s="2382"/>
      <c r="BX8" s="2382"/>
      <c r="BY8" s="2382"/>
      <c r="BZ8" s="2382"/>
      <c r="CA8" s="2382"/>
      <c r="CB8" s="2382"/>
      <c r="CC8" s="2382"/>
      <c r="CD8" s="2382" t="str">
        <f>IFERROR(IF('ARDT Cutter Entry'!$C$94&lt;&gt;"",IF(IFERROR(VALUE(RIGHT('ARDT Cutter Entry'!H99,2)),1)=1, LEFT(SUBSTITUTE('ARDT Cutter Entry'!H99,"*",""),LEN(SUBSTITUTE('ARDT Cutter Entry'!H99,"*",""))-1),LEFT(SUBSTITUTE('ARDT Cutter Entry'!H99,"*",""),LEN(SUBSTITUTE('ARDT Cutter Entry'!H99,"*",""))-2)),IF(IFERROR(VALUE(RIGHT('ARDT Cutter Entry'!H31,2)),1)=1, LEFT(SUBSTITUTE('ARDT Cutter Entry'!H31,"*",""),LEN(SUBSTITUTE('ARDT Cutter Entry'!H31,"*",""))-1),LEFT(SUBSTITUTE('ARDT Cutter Entry'!H31,"*",""),LEN(SUBSTITUTE('ARDT Cutter Entry'!H31,"*",""))-2) )),"")</f>
        <v/>
      </c>
      <c r="CE8" s="2382"/>
      <c r="CF8" s="2382"/>
      <c r="CG8" s="2382"/>
      <c r="CH8" s="2382"/>
      <c r="CI8" s="2382"/>
      <c r="CJ8" s="2382"/>
      <c r="CK8" s="2382"/>
      <c r="CL8" s="2382"/>
      <c r="CM8" s="2382"/>
      <c r="CN8" s="2382"/>
      <c r="CO8" s="2382"/>
      <c r="CP8" s="2382"/>
      <c r="CQ8" s="2382"/>
      <c r="CR8" s="2382"/>
      <c r="CS8" s="2382"/>
      <c r="CT8" s="2382" t="str">
        <f>IFERROR(IF('ARDT Cutter Entry'!$C$94&lt;&gt;"",IF(IFERROR(VALUE(RIGHT('ARDT Cutter Entry'!I99,2)),1)=1, LEFT(SUBSTITUTE('ARDT Cutter Entry'!I99,"*",""),LEN(SUBSTITUTE('ARDT Cutter Entry'!I99,"*",""))-1),LEFT(SUBSTITUTE('ARDT Cutter Entry'!I99,"*",""),LEN(SUBSTITUTE('ARDT Cutter Entry'!I99,"*",""))-2)),IF(IFERROR(VALUE(RIGHT('ARDT Cutter Entry'!I31,2)),1)=1, LEFT(SUBSTITUTE('ARDT Cutter Entry'!I31,"*",""),LEN(SUBSTITUTE('ARDT Cutter Entry'!I31,"*",""))-1),LEFT(SUBSTITUTE('ARDT Cutter Entry'!I31,"*",""),LEN(SUBSTITUTE('ARDT Cutter Entry'!I31,"*",""))-2) )),"")</f>
        <v/>
      </c>
      <c r="CU8" s="2382"/>
      <c r="CV8" s="2382"/>
      <c r="CW8" s="2382"/>
      <c r="CX8" s="2382"/>
      <c r="CY8" s="2382"/>
      <c r="CZ8" s="2382"/>
      <c r="DA8" s="2382"/>
      <c r="DB8" s="2382"/>
      <c r="DC8" s="2382"/>
      <c r="DD8" s="2382"/>
      <c r="DE8" s="2382"/>
      <c r="DF8" s="2382"/>
      <c r="DG8" s="2382"/>
      <c r="DH8" s="2382"/>
      <c r="DI8" s="2382"/>
      <c r="DJ8" s="2382" t="str">
        <f>IFERROR(IF('ARDT Cutter Entry'!$C$94&lt;&gt;"",IF(IFERROR(VALUE(RIGHT('ARDT Cutter Entry'!J99,2)),1)=1, LEFT(SUBSTITUTE('ARDT Cutter Entry'!J99,"*",""),LEN(SUBSTITUTE('ARDT Cutter Entry'!J99,"*",""))-1),LEFT(SUBSTITUTE('ARDT Cutter Entry'!J99,"*",""),LEN(SUBSTITUTE('ARDT Cutter Entry'!J99,"*",""))-2)),IF(IFERROR(VALUE(RIGHT('ARDT Cutter Entry'!J31,2)),1)=1, LEFT(SUBSTITUTE('ARDT Cutter Entry'!J31,"*",""),LEN(SUBSTITUTE('ARDT Cutter Entry'!J31,"*",""))-1),LEFT(SUBSTITUTE('ARDT Cutter Entry'!J31,"*",""),LEN(SUBSTITUTE('ARDT Cutter Entry'!J31,"*",""))-2) )),"")</f>
        <v/>
      </c>
      <c r="DK8" s="2382"/>
      <c r="DL8" s="2382"/>
      <c r="DM8" s="2382"/>
      <c r="DN8" s="2382"/>
      <c r="DO8" s="2382"/>
      <c r="DP8" s="2382"/>
      <c r="DQ8" s="2382"/>
      <c r="DR8" s="2382"/>
      <c r="DS8" s="2382"/>
      <c r="DT8" s="2382"/>
      <c r="DU8" s="2382"/>
      <c r="DV8" s="2382"/>
      <c r="DW8" s="2382"/>
      <c r="DX8" s="2382"/>
      <c r="DY8" s="2382"/>
      <c r="DZ8" s="2382" t="str">
        <f>IFERROR(IF('ARDT Cutter Entry'!$C$94&lt;&gt;"",IF(IFERROR(VALUE(RIGHT('ARDT Cutter Entry'!K99,2)),1)=1, LEFT(SUBSTITUTE('ARDT Cutter Entry'!K99,"*",""),LEN(SUBSTITUTE('ARDT Cutter Entry'!K99,"*",""))-1),LEFT(SUBSTITUTE('ARDT Cutter Entry'!K99,"*",""),LEN(SUBSTITUTE('ARDT Cutter Entry'!K99,"*",""))-2)),IF(IFERROR(VALUE(RIGHT('ARDT Cutter Entry'!K31,2)),1)=1, LEFT(SUBSTITUTE('ARDT Cutter Entry'!K31,"*",""),LEN(SUBSTITUTE('ARDT Cutter Entry'!K31,"*",""))-1),LEFT(SUBSTITUTE('ARDT Cutter Entry'!K31,"*",""),LEN(SUBSTITUTE('ARDT Cutter Entry'!K31,"*",""))-2) )),"")</f>
        <v/>
      </c>
      <c r="EA8" s="2382"/>
      <c r="EB8" s="2382"/>
      <c r="EC8" s="2382"/>
      <c r="ED8" s="2382"/>
      <c r="EE8" s="2382"/>
      <c r="EF8" s="2382"/>
      <c r="EG8" s="2382"/>
      <c r="EH8" s="2382"/>
      <c r="EI8" s="2382"/>
      <c r="EJ8" s="2382"/>
      <c r="EK8" s="2382"/>
      <c r="EL8" s="2382"/>
      <c r="EM8" s="2382"/>
      <c r="EN8" s="2382"/>
      <c r="EO8" s="2382"/>
      <c r="EP8" s="2382" t="str">
        <f>IFERROR(IF('ARDT Cutter Entry'!$C$94&lt;&gt;"",IF(IFERROR(VALUE(RIGHT('ARDT Cutter Entry'!L99,2)),1)=1, LEFT(SUBSTITUTE('ARDT Cutter Entry'!L99,"*",""),LEN(SUBSTITUTE('ARDT Cutter Entry'!L99,"*",""))-1),LEFT(SUBSTITUTE('ARDT Cutter Entry'!L99,"*",""),LEN(SUBSTITUTE('ARDT Cutter Entry'!L99,"*",""))-2)),IF(IFERROR(VALUE(RIGHT('ARDT Cutter Entry'!L31,2)),1)=1, LEFT(SUBSTITUTE('ARDT Cutter Entry'!L31,"*",""),LEN(SUBSTITUTE('ARDT Cutter Entry'!L31,"*",""))-1),LEFT(SUBSTITUTE('ARDT Cutter Entry'!L31,"*",""),LEN(SUBSTITUTE('ARDT Cutter Entry'!L31,"*",""))-2) )),"")</f>
        <v>S</v>
      </c>
      <c r="EQ8" s="2382"/>
      <c r="ER8" s="2382"/>
      <c r="ES8" s="2382"/>
      <c r="ET8" s="2382"/>
      <c r="EU8" s="2382"/>
      <c r="EV8" s="2382"/>
      <c r="EW8" s="2382"/>
      <c r="EX8" s="2382"/>
      <c r="EY8" s="2382"/>
      <c r="EZ8" s="2382"/>
      <c r="FA8" s="2382"/>
      <c r="FB8" s="2382"/>
      <c r="FC8" s="2382"/>
      <c r="FD8" s="2382"/>
      <c r="FE8" s="2382"/>
      <c r="FF8" s="2382" t="str">
        <f>IFERROR(IF('ARDT Cutter Entry'!$C$94&lt;&gt;"",IF(IFERROR(VALUE(RIGHT('ARDT Cutter Entry'!M99,2)),1)=1, LEFT(SUBSTITUTE('ARDT Cutter Entry'!M99,"*",""),LEN(SUBSTITUTE('ARDT Cutter Entry'!M99,"*",""))-1),LEFT(SUBSTITUTE('ARDT Cutter Entry'!M99,"*",""),LEN(SUBSTITUTE('ARDT Cutter Entry'!M99,"*",""))-2)),IF(IFERROR(VALUE(RIGHT('ARDT Cutter Entry'!M31,2)),1)=1, LEFT(SUBSTITUTE('ARDT Cutter Entry'!M31,"*",""),LEN(SUBSTITUTE('ARDT Cutter Entry'!M31,"*",""))-1),LEFT(SUBSTITUTE('ARDT Cutter Entry'!M31,"*",""),LEN(SUBSTITUTE('ARDT Cutter Entry'!M31,"*",""))-2) )),"")</f>
        <v>R</v>
      </c>
      <c r="FG8" s="2382"/>
      <c r="FH8" s="2382"/>
      <c r="FI8" s="2382"/>
      <c r="FJ8" s="2382"/>
      <c r="FK8" s="2382"/>
      <c r="FL8" s="2382"/>
      <c r="FM8" s="2382"/>
      <c r="FN8" s="2382"/>
      <c r="FO8" s="2382"/>
      <c r="FP8" s="2382"/>
      <c r="FQ8" s="2382"/>
      <c r="FR8" s="2382"/>
      <c r="FS8" s="2382"/>
      <c r="FT8" s="2382"/>
      <c r="FU8" s="2382"/>
      <c r="FV8" s="1132"/>
      <c r="FW8" s="1132"/>
      <c r="FX8" s="1132"/>
      <c r="FY8" s="1132"/>
      <c r="FZ8" s="1132"/>
      <c r="GA8" s="1132"/>
      <c r="GB8" s="1132"/>
      <c r="GC8" s="1132"/>
      <c r="GD8" s="1132"/>
      <c r="GE8" s="1132"/>
      <c r="GF8" s="1132"/>
      <c r="GG8" s="1132"/>
    </row>
    <row r="9" spans="1:223" ht="44.25" customHeight="1" x14ac:dyDescent="0.35">
      <c r="A9" s="338">
        <v>7</v>
      </c>
      <c r="B9" s="2382" t="str">
        <f>IFERROR(IF('ARDT Cutter Entry'!$C$94&lt;&gt;"",IF(IFERROR(VALUE(RIGHT('ARDT Cutter Entry'!C100,2)),1)=1, LEFT(SUBSTITUTE('ARDT Cutter Entry'!C100,"*",""),LEN(SUBSTITUTE('ARDT Cutter Entry'!C100,"*",""))-1),LEFT(SUBSTITUTE('ARDT Cutter Entry'!C100,"*",""),LEN(SUBSTITUTE('ARDT Cutter Entry'!C100,"*",""))-2)),IF(IFERROR(VALUE(RIGHT('ARDT Cutter Entry'!C32,2)),1)=1, LEFT(SUBSTITUTE('ARDT Cutter Entry'!C32,"*",""),LEN(SUBSTITUTE('ARDT Cutter Entry'!C32,"*",""))-1),LEFT(SUBSTITUTE('ARDT Cutter Entry'!C32,"*",""),LEN(SUBSTITUTE('ARDT Cutter Entry'!C32,"*",""))-2) )),"")</f>
        <v/>
      </c>
      <c r="C9" s="2382"/>
      <c r="D9" s="2382"/>
      <c r="E9" s="2382"/>
      <c r="F9" s="2382"/>
      <c r="G9" s="2382"/>
      <c r="H9" s="2382"/>
      <c r="I9" s="2382"/>
      <c r="J9" s="2382"/>
      <c r="K9" s="2382"/>
      <c r="L9" s="2382"/>
      <c r="M9" s="2382"/>
      <c r="N9" s="2382"/>
      <c r="O9" s="2382"/>
      <c r="P9" s="2382"/>
      <c r="Q9" s="2382"/>
      <c r="R9" s="2382" t="str">
        <f>IFERROR(IF('ARDT Cutter Entry'!$C$94&lt;&gt;"",IF(IFERROR(VALUE(RIGHT('ARDT Cutter Entry'!D100,2)),1)=1, LEFT(SUBSTITUTE('ARDT Cutter Entry'!D100,"*",""),LEN(SUBSTITUTE('ARDT Cutter Entry'!D100,"*",""))-1),LEFT(SUBSTITUTE('ARDT Cutter Entry'!D100,"*",""),LEN(SUBSTITUTE('ARDT Cutter Entry'!D100,"*",""))-2)),IF(IFERROR(VALUE(RIGHT('ARDT Cutter Entry'!D32,2)),1)=1, LEFT(SUBSTITUTE('ARDT Cutter Entry'!D32,"*",""),LEN(SUBSTITUTE('ARDT Cutter Entry'!D32,"*",""))-1),LEFT(SUBSTITUTE('ARDT Cutter Entry'!D32,"*",""),LEN(SUBSTITUTE('ARDT Cutter Entry'!D32,"*",""))-2) )),"")</f>
        <v/>
      </c>
      <c r="S9" s="2382"/>
      <c r="T9" s="2382"/>
      <c r="U9" s="2382"/>
      <c r="V9" s="2382"/>
      <c r="W9" s="2382"/>
      <c r="X9" s="2382"/>
      <c r="Y9" s="2382"/>
      <c r="Z9" s="2382"/>
      <c r="AA9" s="2382"/>
      <c r="AB9" s="2382"/>
      <c r="AC9" s="2382"/>
      <c r="AD9" s="2382"/>
      <c r="AE9" s="2382"/>
      <c r="AF9" s="2382"/>
      <c r="AG9" s="2382"/>
      <c r="AH9" s="2382" t="str">
        <f>IFERROR(IF('ARDT Cutter Entry'!$C$94&lt;&gt;"",IF(IFERROR(VALUE(RIGHT('ARDT Cutter Entry'!E100,2)),1)=1, LEFT(SUBSTITUTE('ARDT Cutter Entry'!E100,"*",""),LEN(SUBSTITUTE('ARDT Cutter Entry'!E100,"*",""))-1),LEFT(SUBSTITUTE('ARDT Cutter Entry'!E100,"*",""),LEN(SUBSTITUTE('ARDT Cutter Entry'!E100,"*",""))-2)),IF(IFERROR(VALUE(RIGHT('ARDT Cutter Entry'!E32,2)),1)=1, LEFT(SUBSTITUTE('ARDT Cutter Entry'!E32,"*",""),LEN(SUBSTITUTE('ARDT Cutter Entry'!E32,"*",""))-1),LEFT(SUBSTITUTE('ARDT Cutter Entry'!E32,"*",""),LEN(SUBSTITUTE('ARDT Cutter Entry'!E32,"*",""))-2) )),"")</f>
        <v/>
      </c>
      <c r="AI9" s="2382"/>
      <c r="AJ9" s="2382"/>
      <c r="AK9" s="2382"/>
      <c r="AL9" s="2382"/>
      <c r="AM9" s="2382"/>
      <c r="AN9" s="2382"/>
      <c r="AO9" s="2382"/>
      <c r="AP9" s="2382"/>
      <c r="AQ9" s="2382"/>
      <c r="AR9" s="2382"/>
      <c r="AS9" s="2382"/>
      <c r="AT9" s="2382"/>
      <c r="AU9" s="2382"/>
      <c r="AV9" s="2382"/>
      <c r="AW9" s="2382"/>
      <c r="AX9" s="2382" t="str">
        <f>IFERROR(IF('ARDT Cutter Entry'!$C$94&lt;&gt;"",IF(IFERROR(VALUE(RIGHT('ARDT Cutter Entry'!F100,2)),1)=1, LEFT(SUBSTITUTE('ARDT Cutter Entry'!F100,"*",""),LEN(SUBSTITUTE('ARDT Cutter Entry'!F100,"*",""))-1),LEFT(SUBSTITUTE('ARDT Cutter Entry'!F100,"*",""),LEN(SUBSTITUTE('ARDT Cutter Entry'!F100,"*",""))-2)),IF(IFERROR(VALUE(RIGHT('ARDT Cutter Entry'!F32,2)),1)=1, LEFT(SUBSTITUTE('ARDT Cutter Entry'!F32,"*",""),LEN(SUBSTITUTE('ARDT Cutter Entry'!F32,"*",""))-1),LEFT(SUBSTITUTE('ARDT Cutter Entry'!F32,"*",""),LEN(SUBSTITUTE('ARDT Cutter Entry'!F32,"*",""))-2) )),"")</f>
        <v/>
      </c>
      <c r="AY9" s="2382"/>
      <c r="AZ9" s="2382"/>
      <c r="BA9" s="2382"/>
      <c r="BB9" s="2382"/>
      <c r="BC9" s="2382"/>
      <c r="BD9" s="2382"/>
      <c r="BE9" s="2382"/>
      <c r="BF9" s="2382"/>
      <c r="BG9" s="2382"/>
      <c r="BH9" s="2382"/>
      <c r="BI9" s="2382"/>
      <c r="BJ9" s="2382"/>
      <c r="BK9" s="2382"/>
      <c r="BL9" s="2382"/>
      <c r="BM9" s="2382"/>
      <c r="BN9" s="2382" t="str">
        <f>IFERROR(IF('ARDT Cutter Entry'!$C$94&lt;&gt;"",IF(IFERROR(VALUE(RIGHT('ARDT Cutter Entry'!G100,2)),1)=1, LEFT(SUBSTITUTE('ARDT Cutter Entry'!G100,"*",""),LEN(SUBSTITUTE('ARDT Cutter Entry'!G100,"*",""))-1),LEFT(SUBSTITUTE('ARDT Cutter Entry'!G100,"*",""),LEN(SUBSTITUTE('ARDT Cutter Entry'!G100,"*",""))-2)),IF(IFERROR(VALUE(RIGHT('ARDT Cutter Entry'!G32,2)),1)=1, LEFT(SUBSTITUTE('ARDT Cutter Entry'!G32,"*",""),LEN(SUBSTITUTE('ARDT Cutter Entry'!G32,"*",""))-1),LEFT(SUBSTITUTE('ARDT Cutter Entry'!G32,"*",""),LEN(SUBSTITUTE('ARDT Cutter Entry'!G32,"*",""))-2) )),"")</f>
        <v/>
      </c>
      <c r="BO9" s="2382"/>
      <c r="BP9" s="2382"/>
      <c r="BQ9" s="2382"/>
      <c r="BR9" s="2382"/>
      <c r="BS9" s="2382"/>
      <c r="BT9" s="2382"/>
      <c r="BU9" s="2382"/>
      <c r="BV9" s="2382"/>
      <c r="BW9" s="2382"/>
      <c r="BX9" s="2382"/>
      <c r="BY9" s="2382"/>
      <c r="BZ9" s="2382"/>
      <c r="CA9" s="2382"/>
      <c r="CB9" s="2382"/>
      <c r="CC9" s="2382"/>
      <c r="CD9" s="2382" t="str">
        <f>IFERROR(IF('ARDT Cutter Entry'!$C$94&lt;&gt;"",IF(IFERROR(VALUE(RIGHT('ARDT Cutter Entry'!H100,2)),1)=1, LEFT(SUBSTITUTE('ARDT Cutter Entry'!H100,"*",""),LEN(SUBSTITUTE('ARDT Cutter Entry'!H100,"*",""))-1),LEFT(SUBSTITUTE('ARDT Cutter Entry'!H100,"*",""),LEN(SUBSTITUTE('ARDT Cutter Entry'!H100,"*",""))-2)),IF(IFERROR(VALUE(RIGHT('ARDT Cutter Entry'!H32,2)),1)=1, LEFT(SUBSTITUTE('ARDT Cutter Entry'!H32,"*",""),LEN(SUBSTITUTE('ARDT Cutter Entry'!H32,"*",""))-1),LEFT(SUBSTITUTE('ARDT Cutter Entry'!H32,"*",""),LEN(SUBSTITUTE('ARDT Cutter Entry'!H32,"*",""))-2) )),"")</f>
        <v/>
      </c>
      <c r="CE9" s="2382"/>
      <c r="CF9" s="2382"/>
      <c r="CG9" s="2382"/>
      <c r="CH9" s="2382"/>
      <c r="CI9" s="2382"/>
      <c r="CJ9" s="2382"/>
      <c r="CK9" s="2382"/>
      <c r="CL9" s="2382"/>
      <c r="CM9" s="2382"/>
      <c r="CN9" s="2382"/>
      <c r="CO9" s="2382"/>
      <c r="CP9" s="2382"/>
      <c r="CQ9" s="2382"/>
      <c r="CR9" s="2382"/>
      <c r="CS9" s="2382"/>
      <c r="CT9" s="2382" t="str">
        <f>IFERROR(IF('ARDT Cutter Entry'!$C$94&lt;&gt;"",IF(IFERROR(VALUE(RIGHT('ARDT Cutter Entry'!I100,2)),1)=1, LEFT(SUBSTITUTE('ARDT Cutter Entry'!I100,"*",""),LEN(SUBSTITUTE('ARDT Cutter Entry'!I100,"*",""))-1),LEFT(SUBSTITUTE('ARDT Cutter Entry'!I100,"*",""),LEN(SUBSTITUTE('ARDT Cutter Entry'!I100,"*",""))-2)),IF(IFERROR(VALUE(RIGHT('ARDT Cutter Entry'!I32,2)),1)=1, LEFT(SUBSTITUTE('ARDT Cutter Entry'!I32,"*",""),LEN(SUBSTITUTE('ARDT Cutter Entry'!I32,"*",""))-1),LEFT(SUBSTITUTE('ARDT Cutter Entry'!I32,"*",""),LEN(SUBSTITUTE('ARDT Cutter Entry'!I32,"*",""))-2) )),"")</f>
        <v/>
      </c>
      <c r="CU9" s="2382"/>
      <c r="CV9" s="2382"/>
      <c r="CW9" s="2382"/>
      <c r="CX9" s="2382"/>
      <c r="CY9" s="2382"/>
      <c r="CZ9" s="2382"/>
      <c r="DA9" s="2382"/>
      <c r="DB9" s="2382"/>
      <c r="DC9" s="2382"/>
      <c r="DD9" s="2382"/>
      <c r="DE9" s="2382"/>
      <c r="DF9" s="2382"/>
      <c r="DG9" s="2382"/>
      <c r="DH9" s="2382"/>
      <c r="DI9" s="2382"/>
      <c r="DJ9" s="2382" t="str">
        <f>IFERROR(IF('ARDT Cutter Entry'!$C$94&lt;&gt;"",IF(IFERROR(VALUE(RIGHT('ARDT Cutter Entry'!J100,2)),1)=1, LEFT(SUBSTITUTE('ARDT Cutter Entry'!J100,"*",""),LEN(SUBSTITUTE('ARDT Cutter Entry'!J100,"*",""))-1),LEFT(SUBSTITUTE('ARDT Cutter Entry'!J100,"*",""),LEN(SUBSTITUTE('ARDT Cutter Entry'!J100,"*",""))-2)),IF(IFERROR(VALUE(RIGHT('ARDT Cutter Entry'!J32,2)),1)=1, LEFT(SUBSTITUTE('ARDT Cutter Entry'!J32,"*",""),LEN(SUBSTITUTE('ARDT Cutter Entry'!J32,"*",""))-1),LEFT(SUBSTITUTE('ARDT Cutter Entry'!J32,"*",""),LEN(SUBSTITUTE('ARDT Cutter Entry'!J32,"*",""))-2) )),"")</f>
        <v/>
      </c>
      <c r="DK9" s="2382"/>
      <c r="DL9" s="2382"/>
      <c r="DM9" s="2382"/>
      <c r="DN9" s="2382"/>
      <c r="DO9" s="2382"/>
      <c r="DP9" s="2382"/>
      <c r="DQ9" s="2382"/>
      <c r="DR9" s="2382"/>
      <c r="DS9" s="2382"/>
      <c r="DT9" s="2382"/>
      <c r="DU9" s="2382"/>
      <c r="DV9" s="2382"/>
      <c r="DW9" s="2382"/>
      <c r="DX9" s="2382"/>
      <c r="DY9" s="2382"/>
      <c r="DZ9" s="2382" t="str">
        <f>IFERROR(IF('ARDT Cutter Entry'!$C$94&lt;&gt;"",IF(IFERROR(VALUE(RIGHT('ARDT Cutter Entry'!K100,2)),1)=1, LEFT(SUBSTITUTE('ARDT Cutter Entry'!K100,"*",""),LEN(SUBSTITUTE('ARDT Cutter Entry'!K100,"*",""))-1),LEFT(SUBSTITUTE('ARDT Cutter Entry'!K100,"*",""),LEN(SUBSTITUTE('ARDT Cutter Entry'!K100,"*",""))-2)),IF(IFERROR(VALUE(RIGHT('ARDT Cutter Entry'!K32,2)),1)=1, LEFT(SUBSTITUTE('ARDT Cutter Entry'!K32,"*",""),LEN(SUBSTITUTE('ARDT Cutter Entry'!K32,"*",""))-1),LEFT(SUBSTITUTE('ARDT Cutter Entry'!K32,"*",""),LEN(SUBSTITUTE('ARDT Cutter Entry'!K32,"*",""))-2) )),"")</f>
        <v/>
      </c>
      <c r="EA9" s="2382"/>
      <c r="EB9" s="2382"/>
      <c r="EC9" s="2382"/>
      <c r="ED9" s="2382"/>
      <c r="EE9" s="2382"/>
      <c r="EF9" s="2382"/>
      <c r="EG9" s="2382"/>
      <c r="EH9" s="2382"/>
      <c r="EI9" s="2382"/>
      <c r="EJ9" s="2382"/>
      <c r="EK9" s="2382"/>
      <c r="EL9" s="2382"/>
      <c r="EM9" s="2382"/>
      <c r="EN9" s="2382"/>
      <c r="EO9" s="2382"/>
      <c r="EP9" s="2382" t="str">
        <f>IFERROR(IF('ARDT Cutter Entry'!$C$94&lt;&gt;"",IF(IFERROR(VALUE(RIGHT('ARDT Cutter Entry'!L100,2)),1)=1, LEFT(SUBSTITUTE('ARDT Cutter Entry'!L100,"*",""),LEN(SUBSTITUTE('ARDT Cutter Entry'!L100,"*",""))-1),LEFT(SUBSTITUTE('ARDT Cutter Entry'!L100,"*",""),LEN(SUBSTITUTE('ARDT Cutter Entry'!L100,"*",""))-2)),IF(IFERROR(VALUE(RIGHT('ARDT Cutter Entry'!L32,2)),1)=1, LEFT(SUBSTITUTE('ARDT Cutter Entry'!L32,"*",""),LEN(SUBSTITUTE('ARDT Cutter Entry'!L32,"*",""))-1),LEFT(SUBSTITUTE('ARDT Cutter Entry'!L32,"*",""),LEN(SUBSTITUTE('ARDT Cutter Entry'!L32,"*",""))-2) )),"")</f>
        <v/>
      </c>
      <c r="EQ9" s="2382"/>
      <c r="ER9" s="2382"/>
      <c r="ES9" s="2382"/>
      <c r="ET9" s="2382"/>
      <c r="EU9" s="2382"/>
      <c r="EV9" s="2382"/>
      <c r="EW9" s="2382"/>
      <c r="EX9" s="2382"/>
      <c r="EY9" s="2382"/>
      <c r="EZ9" s="2382"/>
      <c r="FA9" s="2382"/>
      <c r="FB9" s="2382"/>
      <c r="FC9" s="2382"/>
      <c r="FD9" s="2382"/>
      <c r="FE9" s="2382"/>
      <c r="FF9" s="2382" t="str">
        <f>IFERROR(IF('ARDT Cutter Entry'!$C$94&lt;&gt;"",IF(IFERROR(VALUE(RIGHT('ARDT Cutter Entry'!M100,2)),1)=1, LEFT(SUBSTITUTE('ARDT Cutter Entry'!M100,"*",""),LEN(SUBSTITUTE('ARDT Cutter Entry'!M100,"*",""))-1),LEFT(SUBSTITUTE('ARDT Cutter Entry'!M100,"*",""),LEN(SUBSTITUTE('ARDT Cutter Entry'!M100,"*",""))-2)),IF(IFERROR(VALUE(RIGHT('ARDT Cutter Entry'!M32,2)),1)=1, LEFT(SUBSTITUTE('ARDT Cutter Entry'!M32,"*",""),LEN(SUBSTITUTE('ARDT Cutter Entry'!M32,"*",""))-1),LEFT(SUBSTITUTE('ARDT Cutter Entry'!M32,"*",""),LEN(SUBSTITUTE('ARDT Cutter Entry'!M32,"*",""))-2) )),"")</f>
        <v/>
      </c>
      <c r="FG9" s="2382"/>
      <c r="FH9" s="2382"/>
      <c r="FI9" s="2382"/>
      <c r="FJ9" s="2382"/>
      <c r="FK9" s="2382"/>
      <c r="FL9" s="2382"/>
      <c r="FM9" s="2382"/>
      <c r="FN9" s="2382"/>
      <c r="FO9" s="2382"/>
      <c r="FP9" s="2382"/>
      <c r="FQ9" s="2382"/>
      <c r="FR9" s="2382"/>
      <c r="FS9" s="2382"/>
      <c r="FT9" s="2382"/>
      <c r="FU9" s="2382"/>
      <c r="FV9" s="1132"/>
      <c r="FW9" s="1132"/>
      <c r="FX9" s="1132"/>
      <c r="FY9" s="1132"/>
      <c r="FZ9" s="1132"/>
      <c r="GA9" s="1132"/>
      <c r="GB9" s="1132"/>
      <c r="GC9" s="1132"/>
      <c r="GD9" s="1132"/>
      <c r="GE9" s="1132"/>
      <c r="GF9" s="1132"/>
      <c r="GG9" s="1132"/>
    </row>
    <row r="10" spans="1:223" ht="44.25" customHeight="1" x14ac:dyDescent="0.35">
      <c r="A10" s="338">
        <v>8</v>
      </c>
      <c r="B10" s="2382" t="str">
        <f>IFERROR(IF('ARDT Cutter Entry'!$C$94&lt;&gt;"",IF(IFERROR(VALUE(RIGHT('ARDT Cutter Entry'!C101,2)),1)=1, LEFT(SUBSTITUTE('ARDT Cutter Entry'!C101,"*",""),LEN(SUBSTITUTE('ARDT Cutter Entry'!C101,"*",""))-1),LEFT(SUBSTITUTE('ARDT Cutter Entry'!C101,"*",""),LEN(SUBSTITUTE('ARDT Cutter Entry'!C101,"*",""))-2)),IF(IFERROR(VALUE(RIGHT('ARDT Cutter Entry'!C33,2)),1)=1, LEFT(SUBSTITUTE('ARDT Cutter Entry'!C33,"*",""),LEN(SUBSTITUTE('ARDT Cutter Entry'!C33,"*",""))-1),LEFT(SUBSTITUTE('ARDT Cutter Entry'!C33,"*",""),LEN(SUBSTITUTE('ARDT Cutter Entry'!C33,"*",""))-2) )),"")</f>
        <v/>
      </c>
      <c r="C10" s="2382"/>
      <c r="D10" s="2382"/>
      <c r="E10" s="2382"/>
      <c r="F10" s="2382"/>
      <c r="G10" s="2382"/>
      <c r="H10" s="2382"/>
      <c r="I10" s="2382"/>
      <c r="J10" s="2382"/>
      <c r="K10" s="2382"/>
      <c r="L10" s="2382"/>
      <c r="M10" s="2382"/>
      <c r="N10" s="2382"/>
      <c r="O10" s="2382"/>
      <c r="P10" s="2382"/>
      <c r="Q10" s="2382"/>
      <c r="R10" s="2382" t="str">
        <f>IFERROR(IF('ARDT Cutter Entry'!$C$94&lt;&gt;"",IF(IFERROR(VALUE(RIGHT('ARDT Cutter Entry'!D101,2)),1)=1, LEFT(SUBSTITUTE('ARDT Cutter Entry'!D101,"*",""),LEN(SUBSTITUTE('ARDT Cutter Entry'!D101,"*",""))-1),LEFT(SUBSTITUTE('ARDT Cutter Entry'!D101,"*",""),LEN(SUBSTITUTE('ARDT Cutter Entry'!D101,"*",""))-2)),IF(IFERROR(VALUE(RIGHT('ARDT Cutter Entry'!D33,2)),1)=1, LEFT(SUBSTITUTE('ARDT Cutter Entry'!D33,"*",""),LEN(SUBSTITUTE('ARDT Cutter Entry'!D33,"*",""))-1),LEFT(SUBSTITUTE('ARDT Cutter Entry'!D33,"*",""),LEN(SUBSTITUTE('ARDT Cutter Entry'!D33,"*",""))-2) )),"")</f>
        <v/>
      </c>
      <c r="S10" s="2382"/>
      <c r="T10" s="2382"/>
      <c r="U10" s="2382"/>
      <c r="V10" s="2382"/>
      <c r="W10" s="2382"/>
      <c r="X10" s="2382"/>
      <c r="Y10" s="2382"/>
      <c r="Z10" s="2382"/>
      <c r="AA10" s="2382"/>
      <c r="AB10" s="2382"/>
      <c r="AC10" s="2382"/>
      <c r="AD10" s="2382"/>
      <c r="AE10" s="2382"/>
      <c r="AF10" s="2382"/>
      <c r="AG10" s="2382"/>
      <c r="AH10" s="2382" t="str">
        <f>IFERROR(IF('ARDT Cutter Entry'!$C$94&lt;&gt;"",IF(IFERROR(VALUE(RIGHT('ARDT Cutter Entry'!E101,2)),1)=1, LEFT(SUBSTITUTE('ARDT Cutter Entry'!E101,"*",""),LEN(SUBSTITUTE('ARDT Cutter Entry'!E101,"*",""))-1),LEFT(SUBSTITUTE('ARDT Cutter Entry'!E101,"*",""),LEN(SUBSTITUTE('ARDT Cutter Entry'!E101,"*",""))-2)),IF(IFERROR(VALUE(RIGHT('ARDT Cutter Entry'!E33,2)),1)=1, LEFT(SUBSTITUTE('ARDT Cutter Entry'!E33,"*",""),LEN(SUBSTITUTE('ARDT Cutter Entry'!E33,"*",""))-1),LEFT(SUBSTITUTE('ARDT Cutter Entry'!E33,"*",""),LEN(SUBSTITUTE('ARDT Cutter Entry'!E33,"*",""))-2) )),"")</f>
        <v/>
      </c>
      <c r="AI10" s="2382"/>
      <c r="AJ10" s="2382"/>
      <c r="AK10" s="2382"/>
      <c r="AL10" s="2382"/>
      <c r="AM10" s="2382"/>
      <c r="AN10" s="2382"/>
      <c r="AO10" s="2382"/>
      <c r="AP10" s="2382"/>
      <c r="AQ10" s="2382"/>
      <c r="AR10" s="2382"/>
      <c r="AS10" s="2382"/>
      <c r="AT10" s="2382"/>
      <c r="AU10" s="2382"/>
      <c r="AV10" s="2382"/>
      <c r="AW10" s="2382"/>
      <c r="AX10" s="2382" t="str">
        <f>IFERROR(IF('ARDT Cutter Entry'!$C$94&lt;&gt;"",IF(IFERROR(VALUE(RIGHT('ARDT Cutter Entry'!F101,2)),1)=1, LEFT(SUBSTITUTE('ARDT Cutter Entry'!F101,"*",""),LEN(SUBSTITUTE('ARDT Cutter Entry'!F101,"*",""))-1),LEFT(SUBSTITUTE('ARDT Cutter Entry'!F101,"*",""),LEN(SUBSTITUTE('ARDT Cutter Entry'!F101,"*",""))-2)),IF(IFERROR(VALUE(RIGHT('ARDT Cutter Entry'!F33,2)),1)=1, LEFT(SUBSTITUTE('ARDT Cutter Entry'!F33,"*",""),LEN(SUBSTITUTE('ARDT Cutter Entry'!F33,"*",""))-1),LEFT(SUBSTITUTE('ARDT Cutter Entry'!F33,"*",""),LEN(SUBSTITUTE('ARDT Cutter Entry'!F33,"*",""))-2) )),"")</f>
        <v/>
      </c>
      <c r="AY10" s="2382"/>
      <c r="AZ10" s="2382"/>
      <c r="BA10" s="2382"/>
      <c r="BB10" s="2382"/>
      <c r="BC10" s="2382"/>
      <c r="BD10" s="2382"/>
      <c r="BE10" s="2382"/>
      <c r="BF10" s="2382"/>
      <c r="BG10" s="2382"/>
      <c r="BH10" s="2382"/>
      <c r="BI10" s="2382"/>
      <c r="BJ10" s="2382"/>
      <c r="BK10" s="2382"/>
      <c r="BL10" s="2382"/>
      <c r="BM10" s="2382"/>
      <c r="BN10" s="2382" t="str">
        <f>IFERROR(IF('ARDT Cutter Entry'!$C$94&lt;&gt;"",IF(IFERROR(VALUE(RIGHT('ARDT Cutter Entry'!G101,2)),1)=1, LEFT(SUBSTITUTE('ARDT Cutter Entry'!G101,"*",""),LEN(SUBSTITUTE('ARDT Cutter Entry'!G101,"*",""))-1),LEFT(SUBSTITUTE('ARDT Cutter Entry'!G101,"*",""),LEN(SUBSTITUTE('ARDT Cutter Entry'!G101,"*",""))-2)),IF(IFERROR(VALUE(RIGHT('ARDT Cutter Entry'!G33,2)),1)=1, LEFT(SUBSTITUTE('ARDT Cutter Entry'!G33,"*",""),LEN(SUBSTITUTE('ARDT Cutter Entry'!G33,"*",""))-1),LEFT(SUBSTITUTE('ARDT Cutter Entry'!G33,"*",""),LEN(SUBSTITUTE('ARDT Cutter Entry'!G33,"*",""))-2) )),"")</f>
        <v/>
      </c>
      <c r="BO10" s="2382"/>
      <c r="BP10" s="2382"/>
      <c r="BQ10" s="2382"/>
      <c r="BR10" s="2382"/>
      <c r="BS10" s="2382"/>
      <c r="BT10" s="2382"/>
      <c r="BU10" s="2382"/>
      <c r="BV10" s="2382"/>
      <c r="BW10" s="2382"/>
      <c r="BX10" s="2382"/>
      <c r="BY10" s="2382"/>
      <c r="BZ10" s="2382"/>
      <c r="CA10" s="2382"/>
      <c r="CB10" s="2382"/>
      <c r="CC10" s="2382"/>
      <c r="CD10" s="2382" t="str">
        <f>IFERROR(IF('ARDT Cutter Entry'!$C$94&lt;&gt;"",IF(IFERROR(VALUE(RIGHT('ARDT Cutter Entry'!H101,2)),1)=1, LEFT(SUBSTITUTE('ARDT Cutter Entry'!H101,"*",""),LEN(SUBSTITUTE('ARDT Cutter Entry'!H101,"*",""))-1),LEFT(SUBSTITUTE('ARDT Cutter Entry'!H101,"*",""),LEN(SUBSTITUTE('ARDT Cutter Entry'!H101,"*",""))-2)),IF(IFERROR(VALUE(RIGHT('ARDT Cutter Entry'!H33,2)),1)=1, LEFT(SUBSTITUTE('ARDT Cutter Entry'!H33,"*",""),LEN(SUBSTITUTE('ARDT Cutter Entry'!H33,"*",""))-1),LEFT(SUBSTITUTE('ARDT Cutter Entry'!H33,"*",""),LEN(SUBSTITUTE('ARDT Cutter Entry'!H33,"*",""))-2) )),"")</f>
        <v/>
      </c>
      <c r="CE10" s="2382"/>
      <c r="CF10" s="2382"/>
      <c r="CG10" s="2382"/>
      <c r="CH10" s="2382"/>
      <c r="CI10" s="2382"/>
      <c r="CJ10" s="2382"/>
      <c r="CK10" s="2382"/>
      <c r="CL10" s="2382"/>
      <c r="CM10" s="2382"/>
      <c r="CN10" s="2382"/>
      <c r="CO10" s="2382"/>
      <c r="CP10" s="2382"/>
      <c r="CQ10" s="2382"/>
      <c r="CR10" s="2382"/>
      <c r="CS10" s="2382"/>
      <c r="CT10" s="2382" t="str">
        <f>IFERROR(IF('ARDT Cutter Entry'!$C$94&lt;&gt;"",IF(IFERROR(VALUE(RIGHT('ARDT Cutter Entry'!I101,2)),1)=1, LEFT(SUBSTITUTE('ARDT Cutter Entry'!I101,"*",""),LEN(SUBSTITUTE('ARDT Cutter Entry'!I101,"*",""))-1),LEFT(SUBSTITUTE('ARDT Cutter Entry'!I101,"*",""),LEN(SUBSTITUTE('ARDT Cutter Entry'!I101,"*",""))-2)),IF(IFERROR(VALUE(RIGHT('ARDT Cutter Entry'!I33,2)),1)=1, LEFT(SUBSTITUTE('ARDT Cutter Entry'!I33,"*",""),LEN(SUBSTITUTE('ARDT Cutter Entry'!I33,"*",""))-1),LEFT(SUBSTITUTE('ARDT Cutter Entry'!I33,"*",""),LEN(SUBSTITUTE('ARDT Cutter Entry'!I33,"*",""))-2) )),"")</f>
        <v/>
      </c>
      <c r="CU10" s="2382"/>
      <c r="CV10" s="2382"/>
      <c r="CW10" s="2382"/>
      <c r="CX10" s="2382"/>
      <c r="CY10" s="2382"/>
      <c r="CZ10" s="2382"/>
      <c r="DA10" s="2382"/>
      <c r="DB10" s="2382"/>
      <c r="DC10" s="2382"/>
      <c r="DD10" s="2382"/>
      <c r="DE10" s="2382"/>
      <c r="DF10" s="2382"/>
      <c r="DG10" s="2382"/>
      <c r="DH10" s="2382"/>
      <c r="DI10" s="2382"/>
      <c r="DJ10" s="2382" t="str">
        <f>IFERROR(IF('ARDT Cutter Entry'!$C$94&lt;&gt;"",IF(IFERROR(VALUE(RIGHT('ARDT Cutter Entry'!J101,2)),1)=1, LEFT(SUBSTITUTE('ARDT Cutter Entry'!J101,"*",""),LEN(SUBSTITUTE('ARDT Cutter Entry'!J101,"*",""))-1),LEFT(SUBSTITUTE('ARDT Cutter Entry'!J101,"*",""),LEN(SUBSTITUTE('ARDT Cutter Entry'!J101,"*",""))-2)),IF(IFERROR(VALUE(RIGHT('ARDT Cutter Entry'!J33,2)),1)=1, LEFT(SUBSTITUTE('ARDT Cutter Entry'!J33,"*",""),LEN(SUBSTITUTE('ARDT Cutter Entry'!J33,"*",""))-1),LEFT(SUBSTITUTE('ARDT Cutter Entry'!J33,"*",""),LEN(SUBSTITUTE('ARDT Cutter Entry'!J33,"*",""))-2) )),"")</f>
        <v/>
      </c>
      <c r="DK10" s="2382"/>
      <c r="DL10" s="2382"/>
      <c r="DM10" s="2382"/>
      <c r="DN10" s="2382"/>
      <c r="DO10" s="2382"/>
      <c r="DP10" s="2382"/>
      <c r="DQ10" s="2382"/>
      <c r="DR10" s="2382"/>
      <c r="DS10" s="2382"/>
      <c r="DT10" s="2382"/>
      <c r="DU10" s="2382"/>
      <c r="DV10" s="2382"/>
      <c r="DW10" s="2382"/>
      <c r="DX10" s="2382"/>
      <c r="DY10" s="2382"/>
      <c r="DZ10" s="2382" t="str">
        <f>IFERROR(IF('ARDT Cutter Entry'!$C$94&lt;&gt;"",IF(IFERROR(VALUE(RIGHT('ARDT Cutter Entry'!K101,2)),1)=1, LEFT(SUBSTITUTE('ARDT Cutter Entry'!K101,"*",""),LEN(SUBSTITUTE('ARDT Cutter Entry'!K101,"*",""))-1),LEFT(SUBSTITUTE('ARDT Cutter Entry'!K101,"*",""),LEN(SUBSTITUTE('ARDT Cutter Entry'!K101,"*",""))-2)),IF(IFERROR(VALUE(RIGHT('ARDT Cutter Entry'!K33,2)),1)=1, LEFT(SUBSTITUTE('ARDT Cutter Entry'!K33,"*",""),LEN(SUBSTITUTE('ARDT Cutter Entry'!K33,"*",""))-1),LEFT(SUBSTITUTE('ARDT Cutter Entry'!K33,"*",""),LEN(SUBSTITUTE('ARDT Cutter Entry'!K33,"*",""))-2) )),"")</f>
        <v/>
      </c>
      <c r="EA10" s="2382"/>
      <c r="EB10" s="2382"/>
      <c r="EC10" s="2382"/>
      <c r="ED10" s="2382"/>
      <c r="EE10" s="2382"/>
      <c r="EF10" s="2382"/>
      <c r="EG10" s="2382"/>
      <c r="EH10" s="2382"/>
      <c r="EI10" s="2382"/>
      <c r="EJ10" s="2382"/>
      <c r="EK10" s="2382"/>
      <c r="EL10" s="2382"/>
      <c r="EM10" s="2382"/>
      <c r="EN10" s="2382"/>
      <c r="EO10" s="2382"/>
      <c r="EP10" s="2382" t="str">
        <f>IFERROR(IF('ARDT Cutter Entry'!$C$94&lt;&gt;"",IF(IFERROR(VALUE(RIGHT('ARDT Cutter Entry'!L101,2)),1)=1, LEFT(SUBSTITUTE('ARDT Cutter Entry'!L101,"*",""),LEN(SUBSTITUTE('ARDT Cutter Entry'!L101,"*",""))-1),LEFT(SUBSTITUTE('ARDT Cutter Entry'!L101,"*",""),LEN(SUBSTITUTE('ARDT Cutter Entry'!L101,"*",""))-2)),IF(IFERROR(VALUE(RIGHT('ARDT Cutter Entry'!L33,2)),1)=1, LEFT(SUBSTITUTE('ARDT Cutter Entry'!L33,"*",""),LEN(SUBSTITUTE('ARDT Cutter Entry'!L33,"*",""))-1),LEFT(SUBSTITUTE('ARDT Cutter Entry'!L33,"*",""),LEN(SUBSTITUTE('ARDT Cutter Entry'!L33,"*",""))-2) )),"")</f>
        <v/>
      </c>
      <c r="EQ10" s="2382"/>
      <c r="ER10" s="2382"/>
      <c r="ES10" s="2382"/>
      <c r="ET10" s="2382"/>
      <c r="EU10" s="2382"/>
      <c r="EV10" s="2382"/>
      <c r="EW10" s="2382"/>
      <c r="EX10" s="2382"/>
      <c r="EY10" s="2382"/>
      <c r="EZ10" s="2382"/>
      <c r="FA10" s="2382"/>
      <c r="FB10" s="2382"/>
      <c r="FC10" s="2382"/>
      <c r="FD10" s="2382"/>
      <c r="FE10" s="2382"/>
      <c r="FF10" s="2382" t="str">
        <f>IFERROR(IF('ARDT Cutter Entry'!$C$94&lt;&gt;"",IF(IFERROR(VALUE(RIGHT('ARDT Cutter Entry'!M101,2)),1)=1, LEFT(SUBSTITUTE('ARDT Cutter Entry'!M101,"*",""),LEN(SUBSTITUTE('ARDT Cutter Entry'!M101,"*",""))-1),LEFT(SUBSTITUTE('ARDT Cutter Entry'!M101,"*",""),LEN(SUBSTITUTE('ARDT Cutter Entry'!M101,"*",""))-2)),IF(IFERROR(VALUE(RIGHT('ARDT Cutter Entry'!M33,2)),1)=1, LEFT(SUBSTITUTE('ARDT Cutter Entry'!M33,"*",""),LEN(SUBSTITUTE('ARDT Cutter Entry'!M33,"*",""))-1),LEFT(SUBSTITUTE('ARDT Cutter Entry'!M33,"*",""),LEN(SUBSTITUTE('ARDT Cutter Entry'!M33,"*",""))-2) )),"")</f>
        <v/>
      </c>
      <c r="FG10" s="2382"/>
      <c r="FH10" s="2382"/>
      <c r="FI10" s="2382"/>
      <c r="FJ10" s="2382"/>
      <c r="FK10" s="2382"/>
      <c r="FL10" s="2382"/>
      <c r="FM10" s="2382"/>
      <c r="FN10" s="2382"/>
      <c r="FO10" s="2382"/>
      <c r="FP10" s="2382"/>
      <c r="FQ10" s="2382"/>
      <c r="FR10" s="2382"/>
      <c r="FS10" s="2382"/>
      <c r="FT10" s="2382"/>
      <c r="FU10" s="2382"/>
      <c r="FV10" s="1132"/>
      <c r="FW10" s="1132"/>
      <c r="FX10" s="1132"/>
      <c r="FY10" s="1132"/>
      <c r="FZ10" s="1132"/>
      <c r="GA10" s="1132"/>
      <c r="GB10" s="1132"/>
      <c r="GC10" s="1132"/>
      <c r="GD10" s="1132"/>
      <c r="GE10" s="1132"/>
      <c r="GF10" s="1132"/>
      <c r="GG10" s="1132"/>
    </row>
    <row r="11" spans="1:223" ht="44.25" customHeight="1" x14ac:dyDescent="0.35">
      <c r="A11" s="338">
        <v>9</v>
      </c>
      <c r="B11" s="2382" t="str">
        <f>IFERROR(IF('ARDT Cutter Entry'!$C$94&lt;&gt;"",IF(IFERROR(VALUE(RIGHT('ARDT Cutter Entry'!C102,2)),1)=1, LEFT(SUBSTITUTE('ARDT Cutter Entry'!C102,"*",""),LEN(SUBSTITUTE('ARDT Cutter Entry'!C102,"*",""))-1),LEFT(SUBSTITUTE('ARDT Cutter Entry'!C102,"*",""),LEN(SUBSTITUTE('ARDT Cutter Entry'!C102,"*",""))-2)),IF(IFERROR(VALUE(RIGHT('ARDT Cutter Entry'!C34,2)),1)=1, LEFT(SUBSTITUTE('ARDT Cutter Entry'!C34,"*",""),LEN(SUBSTITUTE('ARDT Cutter Entry'!C34,"*",""))-1),LEFT(SUBSTITUTE('ARDT Cutter Entry'!C34,"*",""),LEN(SUBSTITUTE('ARDT Cutter Entry'!C34,"*",""))-2) )),"")</f>
        <v/>
      </c>
      <c r="C11" s="2382"/>
      <c r="D11" s="2382"/>
      <c r="E11" s="2382"/>
      <c r="F11" s="2382"/>
      <c r="G11" s="2382"/>
      <c r="H11" s="2382"/>
      <c r="I11" s="2382"/>
      <c r="J11" s="2382"/>
      <c r="K11" s="2382"/>
      <c r="L11" s="2382"/>
      <c r="M11" s="2382"/>
      <c r="N11" s="2382"/>
      <c r="O11" s="2382"/>
      <c r="P11" s="2382"/>
      <c r="Q11" s="2382"/>
      <c r="R11" s="2382" t="str">
        <f>IFERROR(IF('ARDT Cutter Entry'!$C$94&lt;&gt;"",IF(IFERROR(VALUE(RIGHT('ARDT Cutter Entry'!D102,2)),1)=1, LEFT(SUBSTITUTE('ARDT Cutter Entry'!D102,"*",""),LEN(SUBSTITUTE('ARDT Cutter Entry'!D102,"*",""))-1),LEFT(SUBSTITUTE('ARDT Cutter Entry'!D102,"*",""),LEN(SUBSTITUTE('ARDT Cutter Entry'!D102,"*",""))-2)),IF(IFERROR(VALUE(RIGHT('ARDT Cutter Entry'!D34,2)),1)=1, LEFT(SUBSTITUTE('ARDT Cutter Entry'!D34,"*",""),LEN(SUBSTITUTE('ARDT Cutter Entry'!D34,"*",""))-1),LEFT(SUBSTITUTE('ARDT Cutter Entry'!D34,"*",""),LEN(SUBSTITUTE('ARDT Cutter Entry'!D34,"*",""))-2) )),"")</f>
        <v/>
      </c>
      <c r="S11" s="2382"/>
      <c r="T11" s="2382"/>
      <c r="U11" s="2382"/>
      <c r="V11" s="2382"/>
      <c r="W11" s="2382"/>
      <c r="X11" s="2382"/>
      <c r="Y11" s="2382"/>
      <c r="Z11" s="2382"/>
      <c r="AA11" s="2382"/>
      <c r="AB11" s="2382"/>
      <c r="AC11" s="2382"/>
      <c r="AD11" s="2382"/>
      <c r="AE11" s="2382"/>
      <c r="AF11" s="2382"/>
      <c r="AG11" s="2382"/>
      <c r="AH11" s="2382" t="str">
        <f>IFERROR(IF('ARDT Cutter Entry'!$C$94&lt;&gt;"",IF(IFERROR(VALUE(RIGHT('ARDT Cutter Entry'!E102,2)),1)=1, LEFT(SUBSTITUTE('ARDT Cutter Entry'!E102,"*",""),LEN(SUBSTITUTE('ARDT Cutter Entry'!E102,"*",""))-1),LEFT(SUBSTITUTE('ARDT Cutter Entry'!E102,"*",""),LEN(SUBSTITUTE('ARDT Cutter Entry'!E102,"*",""))-2)),IF(IFERROR(VALUE(RIGHT('ARDT Cutter Entry'!E34,2)),1)=1, LEFT(SUBSTITUTE('ARDT Cutter Entry'!E34,"*",""),LEN(SUBSTITUTE('ARDT Cutter Entry'!E34,"*",""))-1),LEFT(SUBSTITUTE('ARDT Cutter Entry'!E34,"*",""),LEN(SUBSTITUTE('ARDT Cutter Entry'!E34,"*",""))-2) )),"")</f>
        <v/>
      </c>
      <c r="AI11" s="2382"/>
      <c r="AJ11" s="2382"/>
      <c r="AK11" s="2382"/>
      <c r="AL11" s="2382"/>
      <c r="AM11" s="2382"/>
      <c r="AN11" s="2382"/>
      <c r="AO11" s="2382"/>
      <c r="AP11" s="2382"/>
      <c r="AQ11" s="2382"/>
      <c r="AR11" s="2382"/>
      <c r="AS11" s="2382"/>
      <c r="AT11" s="2382"/>
      <c r="AU11" s="2382"/>
      <c r="AV11" s="2382"/>
      <c r="AW11" s="2382"/>
      <c r="AX11" s="2382" t="str">
        <f>IFERROR(IF('ARDT Cutter Entry'!$C$94&lt;&gt;"",IF(IFERROR(VALUE(RIGHT('ARDT Cutter Entry'!F102,2)),1)=1, LEFT(SUBSTITUTE('ARDT Cutter Entry'!F102,"*",""),LEN(SUBSTITUTE('ARDT Cutter Entry'!F102,"*",""))-1),LEFT(SUBSTITUTE('ARDT Cutter Entry'!F102,"*",""),LEN(SUBSTITUTE('ARDT Cutter Entry'!F102,"*",""))-2)),IF(IFERROR(VALUE(RIGHT('ARDT Cutter Entry'!F34,2)),1)=1, LEFT(SUBSTITUTE('ARDT Cutter Entry'!F34,"*",""),LEN(SUBSTITUTE('ARDT Cutter Entry'!F34,"*",""))-1),LEFT(SUBSTITUTE('ARDT Cutter Entry'!F34,"*",""),LEN(SUBSTITUTE('ARDT Cutter Entry'!F34,"*",""))-2) )),"")</f>
        <v/>
      </c>
      <c r="AY11" s="2382"/>
      <c r="AZ11" s="2382"/>
      <c r="BA11" s="2382"/>
      <c r="BB11" s="2382"/>
      <c r="BC11" s="2382"/>
      <c r="BD11" s="2382"/>
      <c r="BE11" s="2382"/>
      <c r="BF11" s="2382"/>
      <c r="BG11" s="2382"/>
      <c r="BH11" s="2382"/>
      <c r="BI11" s="2382"/>
      <c r="BJ11" s="2382"/>
      <c r="BK11" s="2382"/>
      <c r="BL11" s="2382"/>
      <c r="BM11" s="2382"/>
      <c r="BN11" s="2382" t="str">
        <f>IFERROR(IF('ARDT Cutter Entry'!$C$94&lt;&gt;"",IF(IFERROR(VALUE(RIGHT('ARDT Cutter Entry'!G102,2)),1)=1, LEFT(SUBSTITUTE('ARDT Cutter Entry'!G102,"*",""),LEN(SUBSTITUTE('ARDT Cutter Entry'!G102,"*",""))-1),LEFT(SUBSTITUTE('ARDT Cutter Entry'!G102,"*",""),LEN(SUBSTITUTE('ARDT Cutter Entry'!G102,"*",""))-2)),IF(IFERROR(VALUE(RIGHT('ARDT Cutter Entry'!G34,2)),1)=1, LEFT(SUBSTITUTE('ARDT Cutter Entry'!G34,"*",""),LEN(SUBSTITUTE('ARDT Cutter Entry'!G34,"*",""))-1),LEFT(SUBSTITUTE('ARDT Cutter Entry'!G34,"*",""),LEN(SUBSTITUTE('ARDT Cutter Entry'!G34,"*",""))-2) )),"")</f>
        <v/>
      </c>
      <c r="BO11" s="2382"/>
      <c r="BP11" s="2382"/>
      <c r="BQ11" s="2382"/>
      <c r="BR11" s="2382"/>
      <c r="BS11" s="2382"/>
      <c r="BT11" s="2382"/>
      <c r="BU11" s="2382"/>
      <c r="BV11" s="2382"/>
      <c r="BW11" s="2382"/>
      <c r="BX11" s="2382"/>
      <c r="BY11" s="2382"/>
      <c r="BZ11" s="2382"/>
      <c r="CA11" s="2382"/>
      <c r="CB11" s="2382"/>
      <c r="CC11" s="2382"/>
      <c r="CD11" s="2382" t="str">
        <f>IFERROR(IF('ARDT Cutter Entry'!$C$94&lt;&gt;"",IF(IFERROR(VALUE(RIGHT('ARDT Cutter Entry'!H102,2)),1)=1, LEFT(SUBSTITUTE('ARDT Cutter Entry'!H102,"*",""),LEN(SUBSTITUTE('ARDT Cutter Entry'!H102,"*",""))-1),LEFT(SUBSTITUTE('ARDT Cutter Entry'!H102,"*",""),LEN(SUBSTITUTE('ARDT Cutter Entry'!H102,"*",""))-2)),IF(IFERROR(VALUE(RIGHT('ARDT Cutter Entry'!H34,2)),1)=1, LEFT(SUBSTITUTE('ARDT Cutter Entry'!H34,"*",""),LEN(SUBSTITUTE('ARDT Cutter Entry'!H34,"*",""))-1),LEFT(SUBSTITUTE('ARDT Cutter Entry'!H34,"*",""),LEN(SUBSTITUTE('ARDT Cutter Entry'!H34,"*",""))-2) )),"")</f>
        <v/>
      </c>
      <c r="CE11" s="2382"/>
      <c r="CF11" s="2382"/>
      <c r="CG11" s="2382"/>
      <c r="CH11" s="2382"/>
      <c r="CI11" s="2382"/>
      <c r="CJ11" s="2382"/>
      <c r="CK11" s="2382"/>
      <c r="CL11" s="2382"/>
      <c r="CM11" s="2382"/>
      <c r="CN11" s="2382"/>
      <c r="CO11" s="2382"/>
      <c r="CP11" s="2382"/>
      <c r="CQ11" s="2382"/>
      <c r="CR11" s="2382"/>
      <c r="CS11" s="2382"/>
      <c r="CT11" s="2382" t="str">
        <f>IFERROR(IF('ARDT Cutter Entry'!$C$94&lt;&gt;"",IF(IFERROR(VALUE(RIGHT('ARDT Cutter Entry'!I102,2)),1)=1, LEFT(SUBSTITUTE('ARDT Cutter Entry'!I102,"*",""),LEN(SUBSTITUTE('ARDT Cutter Entry'!I102,"*",""))-1),LEFT(SUBSTITUTE('ARDT Cutter Entry'!I102,"*",""),LEN(SUBSTITUTE('ARDT Cutter Entry'!I102,"*",""))-2)),IF(IFERROR(VALUE(RIGHT('ARDT Cutter Entry'!I34,2)),1)=1, LEFT(SUBSTITUTE('ARDT Cutter Entry'!I34,"*",""),LEN(SUBSTITUTE('ARDT Cutter Entry'!I34,"*",""))-1),LEFT(SUBSTITUTE('ARDT Cutter Entry'!I34,"*",""),LEN(SUBSTITUTE('ARDT Cutter Entry'!I34,"*",""))-2) )),"")</f>
        <v/>
      </c>
      <c r="CU11" s="2382"/>
      <c r="CV11" s="2382"/>
      <c r="CW11" s="2382"/>
      <c r="CX11" s="2382"/>
      <c r="CY11" s="2382"/>
      <c r="CZ11" s="2382"/>
      <c r="DA11" s="2382"/>
      <c r="DB11" s="2382"/>
      <c r="DC11" s="2382"/>
      <c r="DD11" s="2382"/>
      <c r="DE11" s="2382"/>
      <c r="DF11" s="2382"/>
      <c r="DG11" s="2382"/>
      <c r="DH11" s="2382"/>
      <c r="DI11" s="2382"/>
      <c r="DJ11" s="2382" t="str">
        <f>IFERROR(IF('ARDT Cutter Entry'!$C$94&lt;&gt;"",IF(IFERROR(VALUE(RIGHT('ARDT Cutter Entry'!J102,2)),1)=1, LEFT(SUBSTITUTE('ARDT Cutter Entry'!J102,"*",""),LEN(SUBSTITUTE('ARDT Cutter Entry'!J102,"*",""))-1),LEFT(SUBSTITUTE('ARDT Cutter Entry'!J102,"*",""),LEN(SUBSTITUTE('ARDT Cutter Entry'!J102,"*",""))-2)),IF(IFERROR(VALUE(RIGHT('ARDT Cutter Entry'!J34,2)),1)=1, LEFT(SUBSTITUTE('ARDT Cutter Entry'!J34,"*",""),LEN(SUBSTITUTE('ARDT Cutter Entry'!J34,"*",""))-1),LEFT(SUBSTITUTE('ARDT Cutter Entry'!J34,"*",""),LEN(SUBSTITUTE('ARDT Cutter Entry'!J34,"*",""))-2) )),"")</f>
        <v/>
      </c>
      <c r="DK11" s="2382"/>
      <c r="DL11" s="2382"/>
      <c r="DM11" s="2382"/>
      <c r="DN11" s="2382"/>
      <c r="DO11" s="2382"/>
      <c r="DP11" s="2382"/>
      <c r="DQ11" s="2382"/>
      <c r="DR11" s="2382"/>
      <c r="DS11" s="2382"/>
      <c r="DT11" s="2382"/>
      <c r="DU11" s="2382"/>
      <c r="DV11" s="2382"/>
      <c r="DW11" s="2382"/>
      <c r="DX11" s="2382"/>
      <c r="DY11" s="2382"/>
      <c r="DZ11" s="2382" t="str">
        <f>IFERROR(IF('ARDT Cutter Entry'!$C$94&lt;&gt;"",IF(IFERROR(VALUE(RIGHT('ARDT Cutter Entry'!K102,2)),1)=1, LEFT(SUBSTITUTE('ARDT Cutter Entry'!K102,"*",""),LEN(SUBSTITUTE('ARDT Cutter Entry'!K102,"*",""))-1),LEFT(SUBSTITUTE('ARDT Cutter Entry'!K102,"*",""),LEN(SUBSTITUTE('ARDT Cutter Entry'!K102,"*",""))-2)),IF(IFERROR(VALUE(RIGHT('ARDT Cutter Entry'!K34,2)),1)=1, LEFT(SUBSTITUTE('ARDT Cutter Entry'!K34,"*",""),LEN(SUBSTITUTE('ARDT Cutter Entry'!K34,"*",""))-1),LEFT(SUBSTITUTE('ARDT Cutter Entry'!K34,"*",""),LEN(SUBSTITUTE('ARDT Cutter Entry'!K34,"*",""))-2) )),"")</f>
        <v/>
      </c>
      <c r="EA11" s="2382"/>
      <c r="EB11" s="2382"/>
      <c r="EC11" s="2382"/>
      <c r="ED11" s="2382"/>
      <c r="EE11" s="2382"/>
      <c r="EF11" s="2382"/>
      <c r="EG11" s="2382"/>
      <c r="EH11" s="2382"/>
      <c r="EI11" s="2382"/>
      <c r="EJ11" s="2382"/>
      <c r="EK11" s="2382"/>
      <c r="EL11" s="2382"/>
      <c r="EM11" s="2382"/>
      <c r="EN11" s="2382"/>
      <c r="EO11" s="2382"/>
      <c r="EP11" s="2382" t="str">
        <f>IFERROR(IF('ARDT Cutter Entry'!$C$94&lt;&gt;"",IF(IFERROR(VALUE(RIGHT('ARDT Cutter Entry'!L102,2)),1)=1, LEFT(SUBSTITUTE('ARDT Cutter Entry'!L102,"*",""),LEN(SUBSTITUTE('ARDT Cutter Entry'!L102,"*",""))-1),LEFT(SUBSTITUTE('ARDT Cutter Entry'!L102,"*",""),LEN(SUBSTITUTE('ARDT Cutter Entry'!L102,"*",""))-2)),IF(IFERROR(VALUE(RIGHT('ARDT Cutter Entry'!L34,2)),1)=1, LEFT(SUBSTITUTE('ARDT Cutter Entry'!L34,"*",""),LEN(SUBSTITUTE('ARDT Cutter Entry'!L34,"*",""))-1),LEFT(SUBSTITUTE('ARDT Cutter Entry'!L34,"*",""),LEN(SUBSTITUTE('ARDT Cutter Entry'!L34,"*",""))-2) )),"")</f>
        <v/>
      </c>
      <c r="EQ11" s="2382"/>
      <c r="ER11" s="2382"/>
      <c r="ES11" s="2382"/>
      <c r="ET11" s="2382"/>
      <c r="EU11" s="2382"/>
      <c r="EV11" s="2382"/>
      <c r="EW11" s="2382"/>
      <c r="EX11" s="2382"/>
      <c r="EY11" s="2382"/>
      <c r="EZ11" s="2382"/>
      <c r="FA11" s="2382"/>
      <c r="FB11" s="2382"/>
      <c r="FC11" s="2382"/>
      <c r="FD11" s="2382"/>
      <c r="FE11" s="2382"/>
      <c r="FF11" s="2382" t="str">
        <f>IFERROR(IF('ARDT Cutter Entry'!$C$94&lt;&gt;"",IF(IFERROR(VALUE(RIGHT('ARDT Cutter Entry'!M102,2)),1)=1, LEFT(SUBSTITUTE('ARDT Cutter Entry'!M102,"*",""),LEN(SUBSTITUTE('ARDT Cutter Entry'!M102,"*",""))-1),LEFT(SUBSTITUTE('ARDT Cutter Entry'!M102,"*",""),LEN(SUBSTITUTE('ARDT Cutter Entry'!M102,"*",""))-2)),IF(IFERROR(VALUE(RIGHT('ARDT Cutter Entry'!M34,2)),1)=1, LEFT(SUBSTITUTE('ARDT Cutter Entry'!M34,"*",""),LEN(SUBSTITUTE('ARDT Cutter Entry'!M34,"*",""))-1),LEFT(SUBSTITUTE('ARDT Cutter Entry'!M34,"*",""),LEN(SUBSTITUTE('ARDT Cutter Entry'!M34,"*",""))-2) )),"")</f>
        <v/>
      </c>
      <c r="FG11" s="2382"/>
      <c r="FH11" s="2382"/>
      <c r="FI11" s="2382"/>
      <c r="FJ11" s="2382"/>
      <c r="FK11" s="2382"/>
      <c r="FL11" s="2382"/>
      <c r="FM11" s="2382"/>
      <c r="FN11" s="2382"/>
      <c r="FO11" s="2382"/>
      <c r="FP11" s="2382"/>
      <c r="FQ11" s="2382"/>
      <c r="FR11" s="2382"/>
      <c r="FS11" s="2382"/>
      <c r="FT11" s="2382"/>
      <c r="FU11" s="2382"/>
      <c r="FV11" s="1132"/>
      <c r="FW11" s="1132"/>
      <c r="FX11" s="1132"/>
      <c r="FY11" s="1132"/>
      <c r="FZ11" s="1132"/>
      <c r="GA11" s="1132"/>
      <c r="GB11" s="1132"/>
      <c r="GC11" s="1132"/>
      <c r="GD11" s="1132"/>
      <c r="GE11" s="1132"/>
      <c r="GF11" s="1132"/>
      <c r="GG11" s="1132"/>
    </row>
    <row r="12" spans="1:223" ht="44.25" customHeight="1" x14ac:dyDescent="0.35">
      <c r="A12" s="339"/>
      <c r="B12" s="2386" t="str">
        <f>IF(Data!$GI$2&lt;&gt;"","X1: "&amp; Data!$GI$2, " ")</f>
        <v>X1: 1613 CT138  0.018"</v>
      </c>
      <c r="C12" s="2386"/>
      <c r="D12" s="2386"/>
      <c r="E12" s="2386"/>
      <c r="F12" s="2386"/>
      <c r="G12" s="2386"/>
      <c r="H12" s="2386"/>
      <c r="I12" s="2386"/>
      <c r="J12" s="2386"/>
      <c r="K12" s="2386"/>
      <c r="L12" s="2386"/>
      <c r="M12" s="2386"/>
      <c r="N12" s="2386"/>
      <c r="O12" s="2386"/>
      <c r="P12" s="2386"/>
      <c r="Q12" s="2386"/>
      <c r="R12" s="2386"/>
      <c r="S12" s="2386"/>
      <c r="T12" s="2386"/>
      <c r="U12" s="2386"/>
      <c r="V12" s="2386"/>
      <c r="W12" s="2386"/>
      <c r="X12" s="2386"/>
      <c r="Y12" s="2386"/>
      <c r="Z12" s="2386"/>
      <c r="AA12" s="2386"/>
      <c r="AB12" s="2386"/>
      <c r="AC12" s="2386" t="str">
        <f>IF(Data!$GI$3&lt;&gt;"","X2: "&amp; Data!$GI$3, " ")</f>
        <v>X2: 1608 CT182 0.018"</v>
      </c>
      <c r="AD12" s="2386"/>
      <c r="AE12" s="2386"/>
      <c r="AF12" s="2386"/>
      <c r="AG12" s="2386"/>
      <c r="AH12" s="2386"/>
      <c r="AI12" s="2386"/>
      <c r="AJ12" s="2386"/>
      <c r="AK12" s="2386"/>
      <c r="AL12" s="2386"/>
      <c r="AM12" s="2386"/>
      <c r="AN12" s="2386"/>
      <c r="AO12" s="2386"/>
      <c r="AP12" s="2386"/>
      <c r="AQ12" s="2386"/>
      <c r="AR12" s="2386"/>
      <c r="AS12" s="2386"/>
      <c r="AT12" s="2386"/>
      <c r="AU12" s="2386"/>
      <c r="AV12" s="2386"/>
      <c r="AW12" s="2386"/>
      <c r="AX12" s="2386"/>
      <c r="AY12" s="2386"/>
      <c r="AZ12" s="2386"/>
      <c r="BA12" s="2386"/>
      <c r="BB12" s="2386"/>
      <c r="BC12" s="2386"/>
      <c r="BD12" s="2386" t="str">
        <f>IF(Data!$GI$4&lt;&gt;"","X3: "&amp; Data!$GI$4, " ")</f>
        <v xml:space="preserve">X3: 1308 CT31 Drop in </v>
      </c>
      <c r="BE12" s="2386"/>
      <c r="BF12" s="2386"/>
      <c r="BG12" s="2386"/>
      <c r="BH12" s="2386"/>
      <c r="BI12" s="2386"/>
      <c r="BJ12" s="2386"/>
      <c r="BK12" s="2386"/>
      <c r="BL12" s="2386"/>
      <c r="BM12" s="2386"/>
      <c r="BN12" s="2386"/>
      <c r="BO12" s="2386"/>
      <c r="BP12" s="2386"/>
      <c r="BQ12" s="2386"/>
      <c r="BR12" s="2386"/>
      <c r="BS12" s="2386"/>
      <c r="BT12" s="2386"/>
      <c r="BU12" s="2386"/>
      <c r="BV12" s="2386"/>
      <c r="BW12" s="2386"/>
      <c r="BX12" s="2386"/>
      <c r="BY12" s="2386"/>
      <c r="BZ12" s="2386"/>
      <c r="CA12" s="2386"/>
      <c r="CB12" s="2386"/>
      <c r="CC12" s="2386"/>
      <c r="CD12" s="2386"/>
      <c r="CE12" s="2386" t="str">
        <f>IF(Data!$GI$5&lt;&gt;"","X4: "&amp; Data!$GI$5, " ")</f>
        <v>X4: 1608 CT70 0.018"</v>
      </c>
      <c r="CF12" s="2386"/>
      <c r="CG12" s="2386"/>
      <c r="CH12" s="2386"/>
      <c r="CI12" s="2386"/>
      <c r="CJ12" s="2386"/>
      <c r="CK12" s="2386"/>
      <c r="CL12" s="2386"/>
      <c r="CM12" s="2386"/>
      <c r="CN12" s="2386"/>
      <c r="CO12" s="2386"/>
      <c r="CP12" s="2386"/>
      <c r="CQ12" s="2386"/>
      <c r="CR12" s="2386"/>
      <c r="CS12" s="2386"/>
      <c r="CT12" s="2386"/>
      <c r="CU12" s="2386"/>
      <c r="CV12" s="2386"/>
      <c r="CW12" s="2386"/>
      <c r="CX12" s="2386"/>
      <c r="CY12" s="2386"/>
      <c r="CZ12" s="2386"/>
      <c r="DA12" s="2386"/>
      <c r="DB12" s="2386"/>
      <c r="DC12" s="2386"/>
      <c r="DD12" s="2386"/>
      <c r="DE12" s="2386"/>
      <c r="DF12" s="2386" t="str">
        <f>IF(Data!$GI$6&lt;&gt;"","X5: "&amp; Data!$GI$6, " ")</f>
        <v>X5: 1613 CT421 18-60</v>
      </c>
      <c r="DG12" s="2386"/>
      <c r="DH12" s="2386"/>
      <c r="DI12" s="2386"/>
      <c r="DJ12" s="2386"/>
      <c r="DK12" s="2386"/>
      <c r="DL12" s="2386"/>
      <c r="DM12" s="2386"/>
      <c r="DN12" s="2386"/>
      <c r="DO12" s="2386"/>
      <c r="DP12" s="2386"/>
      <c r="DQ12" s="2386"/>
      <c r="DR12" s="2386"/>
      <c r="DS12" s="2386"/>
      <c r="DT12" s="2386"/>
      <c r="DU12" s="2386"/>
      <c r="DV12" s="2386"/>
      <c r="DW12" s="2386"/>
      <c r="DX12" s="2386"/>
      <c r="DY12" s="2386"/>
      <c r="DZ12" s="2386"/>
      <c r="EA12" s="2386"/>
      <c r="EB12" s="2386"/>
      <c r="EC12" s="2386"/>
      <c r="ED12" s="2386"/>
      <c r="EE12" s="2386"/>
      <c r="EF12" s="2386"/>
      <c r="EG12" s="2386" t="str">
        <f>IF(Data!$GI$7&lt;&gt;"","X6: "&amp; Data!$GI$7, " ")</f>
        <v xml:space="preserve"> </v>
      </c>
      <c r="EH12" s="2386"/>
      <c r="EI12" s="2386"/>
      <c r="EJ12" s="2386"/>
      <c r="EK12" s="2386"/>
      <c r="EL12" s="2386"/>
      <c r="EM12" s="2386"/>
      <c r="EN12" s="2386"/>
      <c r="EO12" s="2386"/>
      <c r="EP12" s="2386"/>
      <c r="EQ12" s="2386"/>
      <c r="ER12" s="2386"/>
      <c r="ES12" s="2386"/>
      <c r="ET12" s="2386"/>
      <c r="EU12" s="2386"/>
      <c r="EV12" s="2386"/>
      <c r="EW12" s="2386"/>
      <c r="EX12" s="2386"/>
      <c r="EY12" s="2386"/>
      <c r="EZ12" s="2386"/>
      <c r="FA12" s="2386"/>
      <c r="FB12" s="2386"/>
      <c r="FC12" s="2386"/>
      <c r="FD12" s="2386"/>
      <c r="FE12" s="2386"/>
      <c r="FF12" s="2386"/>
      <c r="FG12" s="2386"/>
      <c r="FH12" s="2386" t="str">
        <f>IF(Data!$GI$8&lt;&gt;"","X7: "&amp; Data!$GI$8, " ")</f>
        <v xml:space="preserve"> </v>
      </c>
      <c r="FI12" s="2386"/>
      <c r="FJ12" s="2386"/>
      <c r="FK12" s="2386"/>
      <c r="FL12" s="2386"/>
      <c r="FM12" s="2386"/>
      <c r="FN12" s="2386"/>
      <c r="FO12" s="2386"/>
      <c r="FP12" s="2386"/>
      <c r="FQ12" s="2386"/>
      <c r="FR12" s="2386"/>
      <c r="FS12" s="2386"/>
      <c r="FT12" s="2386"/>
      <c r="FU12" s="2386"/>
      <c r="FV12" s="2386"/>
      <c r="FW12" s="2386"/>
      <c r="FX12" s="2386"/>
      <c r="FY12" s="2386"/>
      <c r="FZ12" s="2386"/>
      <c r="GA12" s="2386"/>
      <c r="GB12" s="2386"/>
      <c r="GC12" s="2386"/>
      <c r="GD12" s="2386"/>
      <c r="GE12" s="2386"/>
      <c r="GF12" s="2386"/>
      <c r="GG12" s="2386"/>
      <c r="GH12" s="159"/>
    </row>
    <row r="13" spans="1:223" ht="47.25" customHeight="1" x14ac:dyDescent="0.35">
      <c r="A13" s="340"/>
      <c r="B13" s="2384"/>
      <c r="C13" s="2384"/>
      <c r="D13" s="2384"/>
      <c r="E13" s="2384"/>
      <c r="F13" s="2384"/>
      <c r="G13" s="2384"/>
      <c r="H13" s="2384"/>
      <c r="I13" s="2384"/>
      <c r="J13" s="2384"/>
      <c r="K13" s="2384"/>
      <c r="L13" s="2384"/>
      <c r="M13" s="2384"/>
      <c r="N13" s="2384"/>
      <c r="O13" s="2384"/>
      <c r="P13" s="2384"/>
      <c r="Q13" s="2384"/>
      <c r="R13" s="2383" t="str">
        <f>IF(Data!$B$1&lt;&gt;"", Data!$B$1, " ")</f>
        <v>2025-AR-105</v>
      </c>
      <c r="S13" s="2383"/>
      <c r="T13" s="2383"/>
      <c r="U13" s="2383"/>
      <c r="V13" s="2383"/>
      <c r="W13" s="2383"/>
      <c r="X13" s="2383"/>
      <c r="Y13" s="2383"/>
      <c r="Z13" s="2383"/>
      <c r="AA13" s="2383"/>
      <c r="AB13" s="2383"/>
      <c r="AC13" s="2383"/>
      <c r="AD13" s="2383"/>
      <c r="AE13" s="2383"/>
      <c r="AF13" s="2383"/>
      <c r="AG13" s="2383"/>
      <c r="AH13" s="2383"/>
      <c r="AI13" s="2383"/>
      <c r="AJ13" s="2383"/>
      <c r="AK13" s="2383"/>
      <c r="AL13" s="2383"/>
      <c r="AM13" s="2383"/>
      <c r="AN13" s="2383"/>
      <c r="AO13" s="2383"/>
      <c r="AP13" s="2383"/>
      <c r="AQ13" s="2383"/>
      <c r="AR13" s="2383"/>
      <c r="AS13" s="2383"/>
      <c r="AT13" s="2383"/>
      <c r="AU13" s="2383"/>
      <c r="AV13" s="2383"/>
      <c r="AW13" s="2383"/>
      <c r="AX13" s="2383"/>
      <c r="AY13" s="2383"/>
      <c r="AZ13" s="2383"/>
      <c r="BA13" s="2383"/>
      <c r="BB13" s="2383"/>
      <c r="BC13" s="2383"/>
      <c r="BD13" s="2383"/>
      <c r="BE13" s="2383"/>
      <c r="BF13" s="2383"/>
      <c r="BG13" s="2383"/>
      <c r="BH13" s="2383"/>
      <c r="BI13" s="2383">
        <f>IF(Data!$B$2&lt;&gt;"", Data!$B$2, " ")</f>
        <v>13753277</v>
      </c>
      <c r="BJ13" s="2383"/>
      <c r="BK13" s="2383"/>
      <c r="BL13" s="2383"/>
      <c r="BM13" s="2383"/>
      <c r="BN13" s="2383"/>
      <c r="BO13" s="2383"/>
      <c r="BP13" s="2383"/>
      <c r="BQ13" s="2383"/>
      <c r="BR13" s="2383"/>
      <c r="BS13" s="2383"/>
      <c r="BT13" s="2383"/>
      <c r="BU13" s="2383"/>
      <c r="BV13" s="2383"/>
      <c r="BW13" s="2383"/>
      <c r="BX13" s="2383"/>
      <c r="BY13" s="2383"/>
      <c r="BZ13" s="2383"/>
      <c r="CA13" s="2383"/>
      <c r="CB13" s="2383"/>
      <c r="CC13" s="2383"/>
      <c r="CD13" s="2383"/>
      <c r="CE13" s="2383"/>
      <c r="CF13" s="2383"/>
      <c r="CG13" s="2383"/>
      <c r="CH13" s="2383"/>
      <c r="CI13" s="2383"/>
      <c r="CJ13" s="2383"/>
      <c r="CK13" s="2383"/>
      <c r="CL13" s="2383"/>
      <c r="CM13" s="2383"/>
      <c r="CN13" s="2383"/>
      <c r="CO13" s="2383"/>
      <c r="CP13" s="2383"/>
      <c r="CQ13" s="2383"/>
      <c r="CR13" s="2383"/>
      <c r="CS13" s="2383"/>
      <c r="CT13" s="2383"/>
      <c r="CU13" s="2383"/>
      <c r="CV13" s="2383"/>
      <c r="CW13" s="2383"/>
      <c r="CX13" s="2383"/>
      <c r="CY13" s="2383"/>
      <c r="CZ13" s="2383"/>
      <c r="DA13" s="2383"/>
      <c r="DB13" s="2383"/>
      <c r="DC13" s="2383"/>
      <c r="DD13" s="2383"/>
      <c r="DE13" s="2383"/>
      <c r="DF13" s="2383"/>
      <c r="DG13" s="2383"/>
      <c r="DH13" s="2383"/>
      <c r="DI13" s="2383"/>
      <c r="DJ13" s="2383" t="str">
        <f>IF(Data!$B$4&lt;&gt;"",Data!$B$4," ")</f>
        <v>MM65DH</v>
      </c>
      <c r="DK13" s="2383"/>
      <c r="DL13" s="2383"/>
      <c r="DM13" s="2383"/>
      <c r="DN13" s="2383"/>
      <c r="DO13" s="2383"/>
      <c r="DP13" s="2383"/>
      <c r="DQ13" s="2383"/>
      <c r="DR13" s="2383"/>
      <c r="DS13" s="2383"/>
      <c r="DT13" s="2383"/>
      <c r="DU13" s="2383"/>
      <c r="DV13" s="2383"/>
      <c r="DW13" s="2383"/>
      <c r="DX13" s="2383"/>
      <c r="DY13" s="2383"/>
      <c r="DZ13" s="2383"/>
      <c r="EA13" s="2383"/>
      <c r="EB13" s="2383"/>
      <c r="EC13" s="2383"/>
      <c r="ED13" s="2383"/>
      <c r="EE13" s="2383"/>
      <c r="EF13" s="2383"/>
      <c r="EG13" s="2383"/>
      <c r="EH13" s="2383"/>
      <c r="EI13" s="2383"/>
      <c r="EJ13" s="2383"/>
      <c r="EK13" s="2383"/>
      <c r="EL13" s="2383"/>
      <c r="EM13" s="2383"/>
      <c r="EN13" s="2383"/>
      <c r="EO13" s="2383"/>
      <c r="EP13" s="2383" t="str">
        <f>IF(LEN(Data!B3)&gt;3,IF(AND(Data!B43&lt;&gt;"",Data!B43&lt;&gt;"0 0/1"""),Data!B43,""),IF(Data!B3&lt;&gt;"",Data!B3,""))</f>
        <v>8 3/8"</v>
      </c>
      <c r="EQ13" s="2383"/>
      <c r="ER13" s="2383"/>
      <c r="ES13" s="2383"/>
      <c r="ET13" s="2383"/>
      <c r="EU13" s="2383"/>
      <c r="EV13" s="2383"/>
      <c r="EW13" s="2383"/>
      <c r="EX13" s="2383"/>
      <c r="EY13" s="2383"/>
      <c r="EZ13" s="2383"/>
      <c r="FA13" s="2383"/>
      <c r="FB13" s="2383"/>
      <c r="FC13" s="2383"/>
      <c r="FD13" s="2383"/>
      <c r="FE13" s="2383"/>
      <c r="FF13" s="2383"/>
      <c r="FG13" s="2383"/>
      <c r="FH13" s="2383"/>
      <c r="FI13" s="2383"/>
      <c r="FJ13" s="2383"/>
      <c r="FK13" s="2383"/>
      <c r="FL13" s="2383"/>
      <c r="FM13" s="2383"/>
      <c r="FN13" s="2383"/>
      <c r="FO13" s="2383"/>
      <c r="FP13" s="2383"/>
      <c r="FQ13" s="2383"/>
      <c r="FR13" s="2383"/>
      <c r="FS13" s="2383"/>
      <c r="FT13" s="2383"/>
      <c r="FU13" s="2383"/>
      <c r="FV13" s="2384"/>
      <c r="FW13" s="2384"/>
      <c r="FX13" s="2384"/>
      <c r="FY13" s="2384"/>
      <c r="FZ13" s="2384"/>
      <c r="GA13" s="2384"/>
      <c r="GB13" s="2384"/>
      <c r="GC13" s="2384"/>
      <c r="GD13" s="2384"/>
      <c r="GE13" s="2384"/>
      <c r="GF13" s="2384"/>
      <c r="GG13" s="2384"/>
    </row>
    <row r="14" spans="1:223" ht="46.5" customHeight="1" x14ac:dyDescent="0.35">
      <c r="B14" s="2385">
        <f>IF(Data!$BR$44&lt;&gt;"",Data!$BR$44, "")</f>
        <v>1</v>
      </c>
      <c r="C14" s="2385"/>
      <c r="D14" s="2385"/>
      <c r="E14" s="2385"/>
      <c r="F14" s="2385"/>
      <c r="G14" s="2385"/>
      <c r="H14" s="2385"/>
      <c r="I14" s="2385"/>
      <c r="J14" s="2385">
        <f>IF(Data!$BS$44&lt;&gt;"",Data!$BS$44, "")</f>
        <v>2</v>
      </c>
      <c r="K14" s="2385"/>
      <c r="L14" s="2385"/>
      <c r="M14" s="2385"/>
      <c r="N14" s="2385"/>
      <c r="O14" s="2385"/>
      <c r="P14" s="2385"/>
      <c r="Q14" s="2385"/>
      <c r="R14" s="2385">
        <f>IF(Data!$BT$44&lt;&gt;"", Data!$BT$44, "")</f>
        <v>3</v>
      </c>
      <c r="S14" s="2385"/>
      <c r="T14" s="2385"/>
      <c r="U14" s="2385"/>
      <c r="V14" s="2385"/>
      <c r="W14" s="2385"/>
      <c r="X14" s="2385"/>
      <c r="Y14" s="2385"/>
      <c r="Z14" s="2385">
        <f>IF(Data!$BU$44&lt;&gt;"", Data!$BU$44, "")</f>
        <v>4</v>
      </c>
      <c r="AA14" s="2385"/>
      <c r="AB14" s="2385"/>
      <c r="AC14" s="2385"/>
      <c r="AD14" s="2385"/>
      <c r="AE14" s="2385"/>
      <c r="AF14" s="2385"/>
      <c r="AG14" s="2385"/>
      <c r="AH14" s="2385">
        <f>IF(Data!$BV$44&lt;&gt;"",Data!$BV$44, "")</f>
        <v>5</v>
      </c>
      <c r="AI14" s="2385"/>
      <c r="AJ14" s="2385"/>
      <c r="AK14" s="2385"/>
      <c r="AL14" s="2385"/>
      <c r="AM14" s="2385"/>
      <c r="AN14" s="2385"/>
      <c r="AO14" s="2385"/>
      <c r="AP14" s="2385">
        <f>IF(Data!$BW$44&lt;&gt;"",Data!$BW$44, "")</f>
        <v>6</v>
      </c>
      <c r="AQ14" s="2385"/>
      <c r="AR14" s="2385"/>
      <c r="AS14" s="2385"/>
      <c r="AT14" s="2385"/>
      <c r="AU14" s="2385"/>
      <c r="AV14" s="2385"/>
      <c r="AW14" s="2385"/>
      <c r="AX14" s="2385">
        <f>IF(Data!$BX$44&lt;&gt;"", Data!$BX$44, "")</f>
        <v>7</v>
      </c>
      <c r="AY14" s="2385"/>
      <c r="AZ14" s="2385"/>
      <c r="BA14" s="2385"/>
      <c r="BB14" s="2385"/>
      <c r="BC14" s="2385"/>
      <c r="BD14" s="2385"/>
      <c r="BE14" s="2385"/>
      <c r="BF14" s="2385">
        <f>IF(Data!$BY$44&lt;&gt;"", Data!$BY$44, "")</f>
        <v>8</v>
      </c>
      <c r="BG14" s="2385"/>
      <c r="BH14" s="2385"/>
      <c r="BI14" s="2385"/>
      <c r="BJ14" s="2385"/>
      <c r="BK14" s="2385"/>
      <c r="BL14" s="2385"/>
      <c r="BM14" s="2385"/>
      <c r="BN14" s="2385">
        <f>IF(Data!$BZ$44&lt;&gt;"", Data!$BZ$44, "")</f>
        <v>0</v>
      </c>
      <c r="BO14" s="2385"/>
      <c r="BP14" s="2385"/>
      <c r="BQ14" s="2385"/>
      <c r="BR14" s="2385"/>
      <c r="BS14" s="2385"/>
      <c r="BT14" s="2385"/>
      <c r="BU14" s="2385"/>
      <c r="BV14" s="2385">
        <f>IF(Data!$CA$44&lt;&gt;"", Data!$CA$44, "")</f>
        <v>9</v>
      </c>
      <c r="BW14" s="2385"/>
      <c r="BX14" s="2385"/>
      <c r="BY14" s="2385"/>
      <c r="BZ14" s="2385"/>
      <c r="CA14" s="2385"/>
      <c r="CB14" s="2385"/>
      <c r="CC14" s="2385"/>
      <c r="CD14" s="2385">
        <f>IF(Data!$CB$44&lt;&gt;"", Data!$CB$44, "")</f>
        <v>10</v>
      </c>
      <c r="CE14" s="2385"/>
      <c r="CF14" s="2385"/>
      <c r="CG14" s="2385"/>
      <c r="CH14" s="2385"/>
      <c r="CI14" s="2385"/>
      <c r="CJ14" s="2385"/>
      <c r="CK14" s="2385"/>
      <c r="CL14" s="2385">
        <f>IF(Data!$CC$44&lt;&gt;"", Data!$CC$44, "")</f>
        <v>11</v>
      </c>
      <c r="CM14" s="2385"/>
      <c r="CN14" s="2385"/>
      <c r="CO14" s="2385"/>
      <c r="CP14" s="2385"/>
      <c r="CQ14" s="2385"/>
      <c r="CR14" s="2385"/>
      <c r="CS14" s="2385"/>
      <c r="CT14" s="2385">
        <f>IF(Data!$CD$44&lt;&gt;"",Data!$CD$44, "")</f>
        <v>12</v>
      </c>
      <c r="CU14" s="2385"/>
      <c r="CV14" s="2385"/>
      <c r="CW14" s="2385"/>
      <c r="CX14" s="2385"/>
      <c r="CY14" s="2385"/>
      <c r="CZ14" s="2385"/>
      <c r="DA14" s="2385"/>
      <c r="DB14" s="2385">
        <f>IF(Data!$CE$44&lt;&gt;"",Data!$CE$44, "")</f>
        <v>0</v>
      </c>
      <c r="DC14" s="2385"/>
      <c r="DD14" s="2385"/>
      <c r="DE14" s="2385"/>
      <c r="DF14" s="2385"/>
      <c r="DG14" s="2385"/>
      <c r="DH14" s="2385"/>
      <c r="DI14" s="2385"/>
      <c r="DJ14" s="2385">
        <f>IF(Data!$CF$44&lt;&gt;"",Data!$CF$44, "")</f>
        <v>0</v>
      </c>
      <c r="DK14" s="2385"/>
      <c r="DL14" s="2385"/>
      <c r="DM14" s="2385"/>
      <c r="DN14" s="2385"/>
      <c r="DO14" s="2385"/>
      <c r="DP14" s="2385"/>
      <c r="DQ14" s="2385"/>
      <c r="DR14" s="2385">
        <f>IF(Data!$CG$44&lt;&gt;"",Data!$CG$44, "")</f>
        <v>0</v>
      </c>
      <c r="DS14" s="2385"/>
      <c r="DT14" s="2385"/>
      <c r="DU14" s="2385"/>
      <c r="DV14" s="2385"/>
      <c r="DW14" s="2385"/>
      <c r="DX14" s="2385"/>
      <c r="DY14" s="2385"/>
      <c r="DZ14" s="2385">
        <f>IF(Data!$CH$44&lt;&gt;"",Data!$CH$44, "")</f>
        <v>0</v>
      </c>
      <c r="EA14" s="2385"/>
      <c r="EB14" s="2385"/>
      <c r="EC14" s="2385"/>
      <c r="ED14" s="2385"/>
      <c r="EE14" s="2385"/>
      <c r="EF14" s="2385"/>
      <c r="EG14" s="2385"/>
      <c r="EH14" s="2385">
        <f>IF(Data!$C$48&lt;&gt;"",Data!$CI$44, "")</f>
        <v>0</v>
      </c>
      <c r="EI14" s="2385"/>
      <c r="EJ14" s="2385"/>
      <c r="EK14" s="2385"/>
      <c r="EL14" s="2385"/>
      <c r="EM14" s="2385"/>
      <c r="EN14" s="2385"/>
      <c r="EO14" s="2385"/>
      <c r="EP14" s="2385">
        <f>IF(Data!$CJ$44&lt;&gt;"",Data!$CJ$44, "")</f>
        <v>0</v>
      </c>
      <c r="EQ14" s="2385"/>
      <c r="ER14" s="2385"/>
      <c r="ES14" s="2385"/>
      <c r="ET14" s="2385"/>
      <c r="EU14" s="2385"/>
      <c r="EV14" s="2385"/>
      <c r="EW14" s="2385"/>
      <c r="EX14" s="2385">
        <f>IF(Data!$CK$44&lt;&gt;"",Data!$CK$44, "")</f>
        <v>0</v>
      </c>
      <c r="EY14" s="2385"/>
      <c r="EZ14" s="2385"/>
      <c r="FA14" s="2385"/>
      <c r="FB14" s="2385"/>
      <c r="FC14" s="2385"/>
      <c r="FD14" s="2385"/>
      <c r="FE14" s="2385"/>
      <c r="FF14" s="2385">
        <f>IF(Data!$CL$44&lt;&gt;"",Data!$CL$44, "")</f>
        <v>0</v>
      </c>
      <c r="FG14" s="2385"/>
      <c r="FH14" s="2385"/>
      <c r="FI14" s="2385"/>
      <c r="FJ14" s="2385"/>
      <c r="FK14" s="2385"/>
      <c r="FL14" s="2385"/>
      <c r="FM14" s="2385"/>
      <c r="FN14" s="2385">
        <f>IF(Data!$CM$44&lt;&gt;"",Data!$CM$44, "")</f>
        <v>0</v>
      </c>
      <c r="FO14" s="2385"/>
      <c r="FP14" s="2385"/>
      <c r="FQ14" s="2385"/>
      <c r="FR14" s="2385"/>
      <c r="FS14" s="2385"/>
      <c r="FT14" s="2385"/>
      <c r="FU14" s="2385"/>
      <c r="FV14" s="2385">
        <f>IF(Data!$CN$44&lt;&gt;"",Data!$CN$44, "")</f>
        <v>0</v>
      </c>
      <c r="FW14" s="2385"/>
      <c r="FX14" s="2385"/>
      <c r="FY14" s="2385"/>
      <c r="FZ14" s="2385"/>
      <c r="GA14" s="2385"/>
      <c r="GB14" s="2385"/>
      <c r="GC14" s="2385"/>
      <c r="GD14" s="2384"/>
      <c r="GE14" s="2384"/>
      <c r="GF14" s="2384"/>
      <c r="GG14" s="2384"/>
    </row>
    <row r="15" spans="1:223" ht="44.25" customHeight="1" x14ac:dyDescent="0.55000000000000004">
      <c r="A15" s="338">
        <v>1</v>
      </c>
      <c r="B15" s="2380" t="str">
        <f>IFERROR(IF('ARDT Cutter Entry'!$C$94&lt;&gt;"",IF(IFERROR(VALUE(RIGHT('ARDT Cutter Entry'!C94,2)),1)=1, LEFT(SUBSTITUTE('ARDT Cutter Entry'!C94,"*",""),LEN(SUBSTITUTE('ARDT Cutter Entry'!C94,"*",""))-1),LEFT(SUBSTITUTE('ARDT Cutter Entry'!C94,"*",""),LEN(SUBSTITUTE('ARDT Cutter Entry'!C94,"*",""))-2)),IF(IFERROR(VALUE(RIGHT('ARDT Cutter Entry'!C26,2)),1)=1, LEFT(SUBSTITUTE('ARDT Cutter Entry'!C26,"*",""),LEN(SUBSTITUTE('ARDT Cutter Entry'!C26,"*",""))-1),LEFT(SUBSTITUTE('ARDT Cutter Entry'!C26,"*",""),LEN(SUBSTITUTE('ARDT Cutter Entry'!C26,"*",""))-2) )),"")</f>
        <v>R</v>
      </c>
      <c r="C15" s="2380"/>
      <c r="D15" s="2380"/>
      <c r="E15" s="2380"/>
      <c r="F15" s="2380"/>
      <c r="G15" s="2380"/>
      <c r="H15" s="2380"/>
      <c r="I15" s="2380"/>
      <c r="J15" s="2380" t="str">
        <f>IFERROR(IF('ARDT Cutter Entry'!$C$94&lt;&gt;"",IF(IFERROR(VALUE(RIGHT('ARDT Cutter Entry'!D94,2)),1)=1, LEFT(SUBSTITUTE('ARDT Cutter Entry'!D94,"*",""),LEN(SUBSTITUTE('ARDT Cutter Entry'!D94,"*",""))-1),LEFT(SUBSTITUTE('ARDT Cutter Entry'!D94,"*",""),LEN(SUBSTITUTE('ARDT Cutter Entry'!D94,"*",""))-2)),IF(IFERROR(VALUE(RIGHT('ARDT Cutter Entry'!D26,2)),1)=1, LEFT(SUBSTITUTE('ARDT Cutter Entry'!D26,"*",""),LEN(SUBSTITUTE('ARDT Cutter Entry'!D26,"*",""))-1),LEFT(SUBSTITUTE('ARDT Cutter Entry'!D26,"*",""),LEN(SUBSTITUTE('ARDT Cutter Entry'!D26,"*",""))-2) )),"")</f>
        <v>R</v>
      </c>
      <c r="K15" s="2380"/>
      <c r="L15" s="2380"/>
      <c r="M15" s="2380"/>
      <c r="N15" s="2380"/>
      <c r="O15" s="2380"/>
      <c r="P15" s="2380"/>
      <c r="Q15" s="2380"/>
      <c r="R15" s="2380" t="str">
        <f>IFERROR(IF('ARDT Cutter Entry'!$C$94&lt;&gt;"",IF(IFERROR(VALUE(RIGHT('ARDT Cutter Entry'!E94,2)),1)=1, LEFT(SUBSTITUTE('ARDT Cutter Entry'!E94,"*",""),LEN(SUBSTITUTE('ARDT Cutter Entry'!E94,"*",""))-1),LEFT(SUBSTITUTE('ARDT Cutter Entry'!E94,"*",""),LEN(SUBSTITUTE('ARDT Cutter Entry'!E94,"*",""))-2)),IF(IFERROR(VALUE(RIGHT('ARDT Cutter Entry'!E26,2)),1)=1, LEFT(SUBSTITUTE('ARDT Cutter Entry'!E26,"*",""),LEN(SUBSTITUTE('ARDT Cutter Entry'!E26,"*",""))-1),LEFT(SUBSTITUTE('ARDT Cutter Entry'!E26,"*",""),LEN(SUBSTITUTE('ARDT Cutter Entry'!E26,"*",""))-2) )),"")</f>
        <v>X</v>
      </c>
      <c r="S15" s="2380"/>
      <c r="T15" s="2380"/>
      <c r="U15" s="2380"/>
      <c r="V15" s="2380"/>
      <c r="W15" s="2380"/>
      <c r="X15" s="2380"/>
      <c r="Y15" s="2380"/>
      <c r="Z15" s="2380" t="str">
        <f>IFERROR(IF('ARDT Cutter Entry'!$C$94&lt;&gt;"",IF(IFERROR(VALUE(RIGHT('ARDT Cutter Entry'!F94,2)),1)=1, LEFT(SUBSTITUTE('ARDT Cutter Entry'!F94,"*",""),LEN(SUBSTITUTE('ARDT Cutter Entry'!F94,"*",""))-1),LEFT(SUBSTITUTE('ARDT Cutter Entry'!F94,"*",""),LEN(SUBSTITUTE('ARDT Cutter Entry'!F94,"*",""))-2)),IF(IFERROR(VALUE(RIGHT('ARDT Cutter Entry'!F26,2)),1)=1, LEFT(SUBSTITUTE('ARDT Cutter Entry'!F26,"*",""),LEN(SUBSTITUTE('ARDT Cutter Entry'!F26,"*",""))-1),LEFT(SUBSTITUTE('ARDT Cutter Entry'!F26,"*",""),LEN(SUBSTITUTE('ARDT Cutter Entry'!F26,"*",""))-2) )),"")</f>
        <v>X</v>
      </c>
      <c r="AA15" s="2380"/>
      <c r="AB15" s="2380"/>
      <c r="AC15" s="2380"/>
      <c r="AD15" s="2380"/>
      <c r="AE15" s="2380"/>
      <c r="AF15" s="2380"/>
      <c r="AG15" s="2380"/>
      <c r="AH15" s="2380" t="str">
        <f>IFERROR(IF('ARDT Cutter Entry'!$C$94&lt;&gt;"",IF(IFERROR(VALUE(RIGHT('ARDT Cutter Entry'!G94,2)),1)=1, LEFT(SUBSTITUTE('ARDT Cutter Entry'!G94,"*",""),LEN(SUBSTITUTE('ARDT Cutter Entry'!G94,"*",""))-1),LEFT(SUBSTITUTE('ARDT Cutter Entry'!G94,"*",""),LEN(SUBSTITUTE('ARDT Cutter Entry'!G94,"*",""))-2)),IF(IFERROR(VALUE(RIGHT('ARDT Cutter Entry'!G26,2)),1)=1, LEFT(SUBSTITUTE('ARDT Cutter Entry'!G26,"*",""),LEN(SUBSTITUTE('ARDT Cutter Entry'!G26,"*",""))-1),LEFT(SUBSTITUTE('ARDT Cutter Entry'!G26,"*",""),LEN(SUBSTITUTE('ARDT Cutter Entry'!G26,"*",""))-2) )),"")</f>
        <v>X</v>
      </c>
      <c r="AI15" s="2380"/>
      <c r="AJ15" s="2380"/>
      <c r="AK15" s="2380"/>
      <c r="AL15" s="2380"/>
      <c r="AM15" s="2380"/>
      <c r="AN15" s="2380"/>
      <c r="AO15" s="2380"/>
      <c r="AP15" s="2380" t="str">
        <f>IFERROR(IF('ARDT Cutter Entry'!$C$94&lt;&gt;"",IF(IFERROR(VALUE(RIGHT('ARDT Cutter Entry'!H94,2)),1)=1, LEFT(SUBSTITUTE('ARDT Cutter Entry'!H94,"*",""),LEN(SUBSTITUTE('ARDT Cutter Entry'!H94,"*",""))-1),LEFT(SUBSTITUTE('ARDT Cutter Entry'!H94,"*",""),LEN(SUBSTITUTE('ARDT Cutter Entry'!H94,"*",""))-2)),IF(IFERROR(VALUE(RIGHT('ARDT Cutter Entry'!H26,2)),1)=1, LEFT(SUBSTITUTE('ARDT Cutter Entry'!H26,"*",""),LEN(SUBSTITUTE('ARDT Cutter Entry'!H26,"*",""))-1),LEFT(SUBSTITUTE('ARDT Cutter Entry'!H26,"*",""),LEN(SUBSTITUTE('ARDT Cutter Entry'!H26,"*",""))-2) )),"")</f>
        <v>X</v>
      </c>
      <c r="AQ15" s="2380"/>
      <c r="AR15" s="2380"/>
      <c r="AS15" s="2380"/>
      <c r="AT15" s="2380"/>
      <c r="AU15" s="2380"/>
      <c r="AV15" s="2380"/>
      <c r="AW15" s="2380"/>
      <c r="AX15" s="2380" t="str">
        <f>IFERROR(IF('ARDT Cutter Entry'!$C$94&lt;&gt;"",IF(IFERROR(VALUE(RIGHT('ARDT Cutter Entry'!I94,2)),1)=1, LEFT(SUBSTITUTE('ARDT Cutter Entry'!I94,"*",""),LEN(SUBSTITUTE('ARDT Cutter Entry'!I94,"*",""))-1),LEFT(SUBSTITUTE('ARDT Cutter Entry'!I94,"*",""),LEN(SUBSTITUTE('ARDT Cutter Entry'!I94,"*",""))-2)),IF(IFERROR(VALUE(RIGHT('ARDT Cutter Entry'!I26,2)),1)=1, LEFT(SUBSTITUTE('ARDT Cutter Entry'!I26,"*",""),LEN(SUBSTITUTE('ARDT Cutter Entry'!I26,"*",""))-1),LEFT(SUBSTITUTE('ARDT Cutter Entry'!I26,"*",""),LEN(SUBSTITUTE('ARDT Cutter Entry'!I26,"*",""))-2) )),"")</f>
        <v>R</v>
      </c>
      <c r="AY15" s="2380"/>
      <c r="AZ15" s="2380"/>
      <c r="BA15" s="2380"/>
      <c r="BB15" s="2380"/>
      <c r="BC15" s="2380"/>
      <c r="BD15" s="2380"/>
      <c r="BE15" s="2380"/>
      <c r="BF15" s="2380" t="str">
        <f>IFERROR(IF('ARDT Cutter Entry'!$C$94&lt;&gt;"",IF(IFERROR(VALUE(RIGHT('ARDT Cutter Entry'!J94,2)),1)=1, LEFT(SUBSTITUTE('ARDT Cutter Entry'!J94,"*",""),LEN(SUBSTITUTE('ARDT Cutter Entry'!J94,"*",""))-1),LEFT(SUBSTITUTE('ARDT Cutter Entry'!J94,"*",""),LEN(SUBSTITUTE('ARDT Cutter Entry'!J94,"*",""))-2)),IF(IFERROR(VALUE(RIGHT('ARDT Cutter Entry'!J26,2)),1)=1, LEFT(SUBSTITUTE('ARDT Cutter Entry'!J26,"*",""),LEN(SUBSTITUTE('ARDT Cutter Entry'!J26,"*",""))-1),LEFT(SUBSTITUTE('ARDT Cutter Entry'!J26,"*",""),LEN(SUBSTITUTE('ARDT Cutter Entry'!J26,"*",""))-2) )),"")</f>
        <v>X</v>
      </c>
      <c r="BG15" s="2380"/>
      <c r="BH15" s="2380"/>
      <c r="BI15" s="2380"/>
      <c r="BJ15" s="2380"/>
      <c r="BK15" s="2380"/>
      <c r="BL15" s="2380"/>
      <c r="BM15" s="2380"/>
      <c r="BN15" s="2380" t="str">
        <f>IFERROR(IF('ARDT Cutter Entry'!$C$94&lt;&gt;"",IF(IFERROR(VALUE(RIGHT('ARDT Cutter Entry'!K94,2)),1)=1, LEFT(SUBSTITUTE('ARDT Cutter Entry'!K94,"*",""),LEN(SUBSTITUTE('ARDT Cutter Entry'!K94,"*",""))-1),LEFT(SUBSTITUTE('ARDT Cutter Entry'!K94,"*",""),LEN(SUBSTITUTE('ARDT Cutter Entry'!K94,"*",""))-2)),IF(IFERROR(VALUE(RIGHT('ARDT Cutter Entry'!K26,2)),1)=1, LEFT(SUBSTITUTE('ARDT Cutter Entry'!K26,"*",""),LEN(SUBSTITUTE('ARDT Cutter Entry'!K26,"*",""))-1),LEFT(SUBSTITUTE('ARDT Cutter Entry'!K26,"*",""),LEN(SUBSTITUTE('ARDT Cutter Entry'!K26,"*",""))-2) )),"")</f>
        <v/>
      </c>
      <c r="BO15" s="2380"/>
      <c r="BP15" s="2380"/>
      <c r="BQ15" s="2380"/>
      <c r="BR15" s="2380"/>
      <c r="BS15" s="2380"/>
      <c r="BT15" s="2380"/>
      <c r="BU15" s="2380"/>
      <c r="BV15" s="2380" t="str">
        <f>IFERROR(IF('ARDT Cutter Entry'!$C$94&lt;&gt;"",IF(IFERROR(VALUE(RIGHT('ARDT Cutter Entry'!L94,2)),1)=1, LEFT(SUBSTITUTE('ARDT Cutter Entry'!L94,"*",""),LEN(SUBSTITUTE('ARDT Cutter Entry'!L94,"*",""))-1),LEFT(SUBSTITUTE('ARDT Cutter Entry'!L94,"*",""),LEN(SUBSTITUTE('ARDT Cutter Entry'!L94,"*",""))-2)),IF(IFERROR(VALUE(RIGHT('ARDT Cutter Entry'!L26,2)),1)=1, LEFT(SUBSTITUTE('ARDT Cutter Entry'!L26,"*",""),LEN(SUBSTITUTE('ARDT Cutter Entry'!L26,"*",""))-1),LEFT(SUBSTITUTE('ARDT Cutter Entry'!L26,"*",""),LEN(SUBSTITUTE('ARDT Cutter Entry'!L26,"*",""))-2) )),"")</f>
        <v>S</v>
      </c>
      <c r="BW15" s="2380"/>
      <c r="BX15" s="2380"/>
      <c r="BY15" s="2380"/>
      <c r="BZ15" s="2380"/>
      <c r="CA15" s="2380"/>
      <c r="CB15" s="2380"/>
      <c r="CC15" s="2380"/>
      <c r="CD15" s="2380" t="str">
        <f>IFERROR(IF('ARDT Cutter Entry'!$C$94&lt;&gt;"",IF(IFERROR(VALUE(RIGHT('ARDT Cutter Entry'!M94,2)),1)=1, LEFT(SUBSTITUTE('ARDT Cutter Entry'!M94,"*",""),LEN(SUBSTITUTE('ARDT Cutter Entry'!M94,"*",""))-1),LEFT(SUBSTITUTE('ARDT Cutter Entry'!M94,"*",""),LEN(SUBSTITUTE('ARDT Cutter Entry'!M94,"*",""))-2)),IF(IFERROR(VALUE(RIGHT('ARDT Cutter Entry'!M26,2)),1)=1, LEFT(SUBSTITUTE('ARDT Cutter Entry'!M26,"*",""),LEN(SUBSTITUTE('ARDT Cutter Entry'!M26,"*",""))-1),LEFT(SUBSTITUTE('ARDT Cutter Entry'!M26,"*",""),LEN(SUBSTITUTE('ARDT Cutter Entry'!M26,"*",""))-2) )),"")</f>
        <v>X</v>
      </c>
      <c r="CE15" s="2380"/>
      <c r="CF15" s="2380"/>
      <c r="CG15" s="2380"/>
      <c r="CH15" s="2380"/>
      <c r="CI15" s="2380"/>
      <c r="CJ15" s="2380"/>
      <c r="CK15" s="2380"/>
      <c r="CL15" s="2380" t="str">
        <f>IFERROR(IF('ARDT Cutter Entry'!$C$94&lt;&gt;"",IF(IFERROR(VALUE(RIGHT('ARDT Cutter Entry'!N94,2)),1)=1, LEFT(SUBSTITUTE('ARDT Cutter Entry'!N94,"*",""),LEN(SUBSTITUTE('ARDT Cutter Entry'!N94,"*",""))-1),LEFT(SUBSTITUTE('ARDT Cutter Entry'!N94,"*",""),LEN(SUBSTITUTE('ARDT Cutter Entry'!N94,"*",""))-2)),IF(IFERROR(VALUE(RIGHT('ARDT Cutter Entry'!N26,2)),1)=1, LEFT(SUBSTITUTE('ARDT Cutter Entry'!N26,"*",""),LEN(SUBSTITUTE('ARDT Cutter Entry'!N26,"*",""))-1),LEFT(SUBSTITUTE('ARDT Cutter Entry'!N26,"*",""),LEN(SUBSTITUTE('ARDT Cutter Entry'!N26,"*",""))-2) )),"")</f>
        <v>X</v>
      </c>
      <c r="CM15" s="2380"/>
      <c r="CN15" s="2380"/>
      <c r="CO15" s="2380"/>
      <c r="CP15" s="2380"/>
      <c r="CQ15" s="2380"/>
      <c r="CR15" s="2380"/>
      <c r="CS15" s="2380"/>
      <c r="CT15" s="2380" t="str">
        <f>IFERROR(IF('ARDT Cutter Entry'!$C$94&lt;&gt;"",IF(IFERROR(VALUE(RIGHT('ARDT Cutter Entry'!O94,2)),1)=1, LEFT(SUBSTITUTE('ARDT Cutter Entry'!O94,"*",""),LEN(SUBSTITUTE('ARDT Cutter Entry'!O94,"*",""))-1),LEFT(SUBSTITUTE('ARDT Cutter Entry'!O94,"*",""),LEN(SUBSTITUTE('ARDT Cutter Entry'!O94,"*",""))-2)),IF(IFERROR(VALUE(RIGHT('ARDT Cutter Entry'!O26,2)),1)=1, LEFT(SUBSTITUTE('ARDT Cutter Entry'!O26,"*",""),LEN(SUBSTITUTE('ARDT Cutter Entry'!O26,"*",""))-1),LEFT(SUBSTITUTE('ARDT Cutter Entry'!O26,"*",""),LEN(SUBSTITUTE('ARDT Cutter Entry'!O26,"*",""))-2) )),"")</f>
        <v>R</v>
      </c>
      <c r="CU15" s="2380"/>
      <c r="CV15" s="2380"/>
      <c r="CW15" s="2380"/>
      <c r="CX15" s="2380"/>
      <c r="CY15" s="2380"/>
      <c r="CZ15" s="2380"/>
      <c r="DA15" s="2380"/>
      <c r="DB15" s="2380" t="str">
        <f>IFERROR(IF('ARDT Cutter Entry'!$C$94&lt;&gt;"",IF(IFERROR(VALUE(RIGHT('ARDT Cutter Entry'!P94,2)),1)=1, LEFT(SUBSTITUTE('ARDT Cutter Entry'!P94,"*",""),LEN(SUBSTITUTE('ARDT Cutter Entry'!P94,"*",""))-1),LEFT(SUBSTITUTE('ARDT Cutter Entry'!P94,"*",""),LEN(SUBSTITUTE('ARDT Cutter Entry'!P94,"*",""))-2)),IF(IFERROR(VALUE(RIGHT('ARDT Cutter Entry'!P26,2)),1)=1, LEFT(SUBSTITUTE('ARDT Cutter Entry'!P26,"*",""),LEN(SUBSTITUTE('ARDT Cutter Entry'!P26,"*",""))-1),LEFT(SUBSTITUTE('ARDT Cutter Entry'!P26,"*",""),LEN(SUBSTITUTE('ARDT Cutter Entry'!P26,"*",""))-2) )),"")</f>
        <v/>
      </c>
      <c r="DC15" s="2380"/>
      <c r="DD15" s="2380"/>
      <c r="DE15" s="2380"/>
      <c r="DF15" s="2380"/>
      <c r="DG15" s="2380"/>
      <c r="DH15" s="2380"/>
      <c r="DI15" s="2380"/>
      <c r="DJ15" s="2380" t="str">
        <f>IFERROR(IF('ARDT Cutter Entry'!$C$94&lt;&gt;"",IF(IFERROR(VALUE(RIGHT('ARDT Cutter Entry'!Q94,2)),1)=1, LEFT(SUBSTITUTE('ARDT Cutter Entry'!Q94,"*",""),LEN(SUBSTITUTE('ARDT Cutter Entry'!Q94,"*",""))-1),LEFT(SUBSTITUTE('ARDT Cutter Entry'!Q94,"*",""),LEN(SUBSTITUTE('ARDT Cutter Entry'!Q94,"*",""))-2)),IF(IFERROR(VALUE(RIGHT('ARDT Cutter Entry'!Q26,2)),1)=1, LEFT(SUBSTITUTE('ARDT Cutter Entry'!Q26,"*",""),LEN(SUBSTITUTE('ARDT Cutter Entry'!Q26,"*",""))-1),LEFT(SUBSTITUTE('ARDT Cutter Entry'!Q26,"*",""),LEN(SUBSTITUTE('ARDT Cutter Entry'!Q26,"*",""))-2) )),"")</f>
        <v/>
      </c>
      <c r="DK15" s="2380"/>
      <c r="DL15" s="2380"/>
      <c r="DM15" s="2380"/>
      <c r="DN15" s="2380"/>
      <c r="DO15" s="2380"/>
      <c r="DP15" s="2380"/>
      <c r="DQ15" s="2380"/>
      <c r="DR15" s="2380" t="str">
        <f>IFERROR(IF('ARDT Cutter Entry'!$C$94&lt;&gt;"",IF(IFERROR(VALUE(RIGHT('ARDT Cutter Entry'!R94,2)),1)=1, LEFT(SUBSTITUTE('ARDT Cutter Entry'!R94,"*",""),LEN(SUBSTITUTE('ARDT Cutter Entry'!R94,"*",""))-1),LEFT(SUBSTITUTE('ARDT Cutter Entry'!R94,"*",""),LEN(SUBSTITUTE('ARDT Cutter Entry'!R94,"*",""))-2)),IF(IFERROR(VALUE(RIGHT('ARDT Cutter Entry'!R26,2)),1)=1, LEFT(SUBSTITUTE('ARDT Cutter Entry'!R26,"*",""),LEN(SUBSTITUTE('ARDT Cutter Entry'!R26,"*",""))-1),LEFT(SUBSTITUTE('ARDT Cutter Entry'!R26,"*",""),LEN(SUBSTITUTE('ARDT Cutter Entry'!R26,"*",""))-2) )),"")</f>
        <v/>
      </c>
      <c r="DS15" s="2380"/>
      <c r="DT15" s="2380"/>
      <c r="DU15" s="2380"/>
      <c r="DV15" s="2380"/>
      <c r="DW15" s="2380"/>
      <c r="DX15" s="2380"/>
      <c r="DY15" s="2380"/>
      <c r="DZ15" s="2380" t="str">
        <f>IFERROR(IF('ARDT Cutter Entry'!$C$94&lt;&gt;"",IF(IFERROR(VALUE(RIGHT('ARDT Cutter Entry'!S94,2)),1)=1, LEFT(SUBSTITUTE('ARDT Cutter Entry'!S94,"*",""),LEN(SUBSTITUTE('ARDT Cutter Entry'!S94,"*",""))-1),LEFT(SUBSTITUTE('ARDT Cutter Entry'!S94,"*",""),LEN(SUBSTITUTE('ARDT Cutter Entry'!S94,"*",""))-2)),IF(IFERROR(VALUE(RIGHT('ARDT Cutter Entry'!S26,2)),1)=1, LEFT(SUBSTITUTE('ARDT Cutter Entry'!S26,"*",""),LEN(SUBSTITUTE('ARDT Cutter Entry'!S26,"*",""))-1),LEFT(SUBSTITUTE('ARDT Cutter Entry'!S26,"*",""),LEN(SUBSTITUTE('ARDT Cutter Entry'!S26,"*",""))-2) )),"")</f>
        <v/>
      </c>
      <c r="EA15" s="2380"/>
      <c r="EB15" s="2380"/>
      <c r="EC15" s="2380"/>
      <c r="ED15" s="2380"/>
      <c r="EE15" s="2380"/>
      <c r="EF15" s="2380"/>
      <c r="EG15" s="2380"/>
      <c r="EH15" s="2380" t="str">
        <f>IFERROR(IF('ARDT Cutter Entry'!$C$94&lt;&gt;"",IF(IFERROR(VALUE(RIGHT('ARDT Cutter Entry'!T94,2)),1)=1, LEFT(SUBSTITUTE('ARDT Cutter Entry'!T94,"*",""),LEN(SUBSTITUTE('ARDT Cutter Entry'!T94,"*",""))-1),LEFT(SUBSTITUTE('ARDT Cutter Entry'!T94,"*",""),LEN(SUBSTITUTE('ARDT Cutter Entry'!T94,"*",""))-2)),IF(IFERROR(VALUE(RIGHT('ARDT Cutter Entry'!T26,2)),1)=1, LEFT(SUBSTITUTE('ARDT Cutter Entry'!T26,"*",""),LEN(SUBSTITUTE('ARDT Cutter Entry'!T26,"*",""))-1),LEFT(SUBSTITUTE('ARDT Cutter Entry'!T26,"*",""),LEN(SUBSTITUTE('ARDT Cutter Entry'!T26,"*",""))-2) )),"")</f>
        <v/>
      </c>
      <c r="EI15" s="2380"/>
      <c r="EJ15" s="2380"/>
      <c r="EK15" s="2380"/>
      <c r="EL15" s="2380"/>
      <c r="EM15" s="2380"/>
      <c r="EN15" s="2380"/>
      <c r="EO15" s="2380"/>
      <c r="EP15" s="2380" t="str">
        <f>IFERROR(IF('ARDT Cutter Entry'!$C$94&lt;&gt;"",IF(IFERROR(VALUE(RIGHT('ARDT Cutter Entry'!U94,2)),1)=1, LEFT(SUBSTITUTE('ARDT Cutter Entry'!U94,"*",""),LEN(SUBSTITUTE('ARDT Cutter Entry'!U94,"*",""))-1),LEFT(SUBSTITUTE('ARDT Cutter Entry'!U94,"*",""),LEN(SUBSTITUTE('ARDT Cutter Entry'!U94,"*",""))-2)),IF(IFERROR(VALUE(RIGHT('ARDT Cutter Entry'!U26,2)),1)=1, LEFT(SUBSTITUTE('ARDT Cutter Entry'!U26,"*",""),LEN(SUBSTITUTE('ARDT Cutter Entry'!U26,"*",""))-1),LEFT(SUBSTITUTE('ARDT Cutter Entry'!U26,"*",""),LEN(SUBSTITUTE('ARDT Cutter Entry'!U26,"*",""))-2) )),"")</f>
        <v/>
      </c>
      <c r="EQ15" s="2380"/>
      <c r="ER15" s="2380"/>
      <c r="ES15" s="2380"/>
      <c r="ET15" s="2380"/>
      <c r="EU15" s="2380"/>
      <c r="EV15" s="2380"/>
      <c r="EW15" s="2380"/>
      <c r="EX15" s="2380" t="str">
        <f>IFERROR(IF('ARDT Cutter Entry'!$C$94&lt;&gt;"",IF(IFERROR(VALUE(RIGHT('ARDT Cutter Entry'!V94,2)),1)=1, LEFT(SUBSTITUTE('ARDT Cutter Entry'!V94,"*",""),LEN(SUBSTITUTE('ARDT Cutter Entry'!V94,"*",""))-1),LEFT(SUBSTITUTE('ARDT Cutter Entry'!V94,"*",""),LEN(SUBSTITUTE('ARDT Cutter Entry'!V94,"*",""))-2)),IF(IFERROR(VALUE(RIGHT('ARDT Cutter Entry'!V26,2)),1)=1, LEFT(SUBSTITUTE('ARDT Cutter Entry'!V26,"*",""),LEN(SUBSTITUTE('ARDT Cutter Entry'!V26,"*",""))-1),LEFT(SUBSTITUTE('ARDT Cutter Entry'!V26,"*",""),LEN(SUBSTITUTE('ARDT Cutter Entry'!V26,"*",""))-2) )),"")</f>
        <v/>
      </c>
      <c r="EY15" s="2380"/>
      <c r="EZ15" s="2380"/>
      <c r="FA15" s="2380"/>
      <c r="FB15" s="2380"/>
      <c r="FC15" s="2380"/>
      <c r="FD15" s="2380"/>
      <c r="FE15" s="2380"/>
      <c r="FF15" s="2380" t="str">
        <f>IFERROR(IF('ARDT Cutter Entry'!$C$94&lt;&gt;"",IF(IFERROR(VALUE(RIGHT('ARDT Cutter Entry'!W94,2)),1)=1, LEFT(SUBSTITUTE('ARDT Cutter Entry'!W94,"*",""),LEN(SUBSTITUTE('ARDT Cutter Entry'!W94,"*",""))-1),LEFT(SUBSTITUTE('ARDT Cutter Entry'!W94,"*",""),LEN(SUBSTITUTE('ARDT Cutter Entry'!W94,"*",""))-2)),IF(IFERROR(VALUE(RIGHT('ARDT Cutter Entry'!W26,2)),1)=1, LEFT(SUBSTITUTE('ARDT Cutter Entry'!W26,"*",""),LEN(SUBSTITUTE('ARDT Cutter Entry'!W26,"*",""))-1),LEFT(SUBSTITUTE('ARDT Cutter Entry'!W26,"*",""),LEN(SUBSTITUTE('ARDT Cutter Entry'!W26,"*",""))-2) )),"")</f>
        <v/>
      </c>
      <c r="FG15" s="2380"/>
      <c r="FH15" s="2380"/>
      <c r="FI15" s="2380"/>
      <c r="FJ15" s="2380"/>
      <c r="FK15" s="2380"/>
      <c r="FL15" s="2380"/>
      <c r="FM15" s="2380"/>
      <c r="FN15" s="2380" t="str">
        <f>IFERROR(IF('ARDT Cutter Entry'!$C$94&lt;&gt;"",IF(IFERROR(VALUE(RIGHT('ARDT Cutter Entry'!X94,2)),1)=1, LEFT(SUBSTITUTE('ARDT Cutter Entry'!X94,"*",""),LEN(SUBSTITUTE('ARDT Cutter Entry'!X94,"*",""))-1),LEFT(SUBSTITUTE('ARDT Cutter Entry'!X94,"*",""),LEN(SUBSTITUTE('ARDT Cutter Entry'!X94,"*",""))-2)),IF(IFERROR(VALUE(RIGHT('ARDT Cutter Entry'!X26,2)),1)=1, LEFT(SUBSTITUTE('ARDT Cutter Entry'!X26,"*",""),LEN(SUBSTITUTE('ARDT Cutter Entry'!X26,"*",""))-1),LEFT(SUBSTITUTE('ARDT Cutter Entry'!X26,"*",""),LEN(SUBSTITUTE('ARDT Cutter Entry'!X26,"*",""))-2) )),"")</f>
        <v/>
      </c>
      <c r="FO15" s="2380"/>
      <c r="FP15" s="2380"/>
      <c r="FQ15" s="2380"/>
      <c r="FR15" s="2380"/>
      <c r="FS15" s="2380"/>
      <c r="FT15" s="2380"/>
      <c r="FU15" s="2380"/>
      <c r="FV15" s="2380" t="str">
        <f>IFERROR(IF('ARDT Cutter Entry'!$C$94&lt;&gt;"",IF(IFERROR(VALUE(RIGHT('ARDT Cutter Entry'!Y94,2)),1)=1, LEFT(SUBSTITUTE('ARDT Cutter Entry'!Y94,"*",""),LEN(SUBSTITUTE('ARDT Cutter Entry'!Y94,"*",""))-1),LEFT(SUBSTITUTE('ARDT Cutter Entry'!Y94,"*",""),LEN(SUBSTITUTE('ARDT Cutter Entry'!Y94,"*",""))-2)),IF(IFERROR(VALUE(RIGHT('ARDT Cutter Entry'!Y26,2)),1)=1, LEFT(SUBSTITUTE('ARDT Cutter Entry'!Y26,"*",""),LEN(SUBSTITUTE('ARDT Cutter Entry'!Y26,"*",""))-1),LEFT(SUBSTITUTE('ARDT Cutter Entry'!Y26,"*",""),LEN(SUBSTITUTE('ARDT Cutter Entry'!Y26,"*",""))-2) )),"")</f>
        <v/>
      </c>
      <c r="FW15" s="2380"/>
      <c r="FX15" s="2380"/>
      <c r="FY15" s="2380"/>
      <c r="FZ15" s="2380"/>
      <c r="GA15" s="2380"/>
      <c r="GB15" s="2380"/>
      <c r="GC15" s="2380"/>
      <c r="GD15" s="2384"/>
      <c r="GE15" s="2384"/>
      <c r="GF15" s="2384"/>
      <c r="GG15" s="2384"/>
    </row>
    <row r="16" spans="1:223" ht="44.25" customHeight="1" x14ac:dyDescent="0.55000000000000004">
      <c r="A16" s="338">
        <v>2</v>
      </c>
      <c r="B16" s="2380" t="str">
        <f>IFERROR(IF('ARDT Cutter Entry'!$C$94&lt;&gt;"",IF(IFERROR(VALUE(RIGHT('ARDT Cutter Entry'!C95,2)),1)=1, LEFT(SUBSTITUTE('ARDT Cutter Entry'!C95,"*",""),LEN(SUBSTITUTE('ARDT Cutter Entry'!C95,"*",""))-1),LEFT(SUBSTITUTE('ARDT Cutter Entry'!C95,"*",""),LEN(SUBSTITUTE('ARDT Cutter Entry'!C95,"*",""))-2)),IF(IFERROR(VALUE(RIGHT('ARDT Cutter Entry'!C27,2)),1)=1, LEFT(SUBSTITUTE('ARDT Cutter Entry'!C27,"*",""),LEN(SUBSTITUTE('ARDT Cutter Entry'!C27,"*",""))-1),LEFT(SUBSTITUTE('ARDT Cutter Entry'!C27,"*",""),LEN(SUBSTITUTE('ARDT Cutter Entry'!C27,"*",""))-2) )),"")</f>
        <v>X</v>
      </c>
      <c r="C16" s="2380"/>
      <c r="D16" s="2380"/>
      <c r="E16" s="2380"/>
      <c r="F16" s="2380"/>
      <c r="G16" s="2380"/>
      <c r="H16" s="2380"/>
      <c r="I16" s="2380"/>
      <c r="J16" s="2380" t="str">
        <f>IFERROR(IF('ARDT Cutter Entry'!$C$94&lt;&gt;"",IF(IFERROR(VALUE(RIGHT('ARDT Cutter Entry'!D95,2)),1)=1, LEFT(SUBSTITUTE('ARDT Cutter Entry'!D95,"*",""),LEN(SUBSTITUTE('ARDT Cutter Entry'!D95,"*",""))-1),LEFT(SUBSTITUTE('ARDT Cutter Entry'!D95,"*",""),LEN(SUBSTITUTE('ARDT Cutter Entry'!D95,"*",""))-2)),IF(IFERROR(VALUE(RIGHT('ARDT Cutter Entry'!D27,2)),1)=1, LEFT(SUBSTITUTE('ARDT Cutter Entry'!D27,"*",""),LEN(SUBSTITUTE('ARDT Cutter Entry'!D27,"*",""))-1),LEFT(SUBSTITUTE('ARDT Cutter Entry'!D27,"*",""),LEN(SUBSTITUTE('ARDT Cutter Entry'!D27,"*",""))-2) )),"")</f>
        <v>X</v>
      </c>
      <c r="K16" s="2380"/>
      <c r="L16" s="2380"/>
      <c r="M16" s="2380"/>
      <c r="N16" s="2380"/>
      <c r="O16" s="2380"/>
      <c r="P16" s="2380"/>
      <c r="Q16" s="2380"/>
      <c r="R16" s="2380" t="str">
        <f>IFERROR(IF('ARDT Cutter Entry'!$C$94&lt;&gt;"",IF(IFERROR(VALUE(RIGHT('ARDT Cutter Entry'!E95,2)),1)=1, LEFT(SUBSTITUTE('ARDT Cutter Entry'!E95,"*",""),LEN(SUBSTITUTE('ARDT Cutter Entry'!E95,"*",""))-1),LEFT(SUBSTITUTE('ARDT Cutter Entry'!E95,"*",""),LEN(SUBSTITUTE('ARDT Cutter Entry'!E95,"*",""))-2)),IF(IFERROR(VALUE(RIGHT('ARDT Cutter Entry'!E27,2)),1)=1, LEFT(SUBSTITUTE('ARDT Cutter Entry'!E27,"*",""),LEN(SUBSTITUTE('ARDT Cutter Entry'!E27,"*",""))-1),LEFT(SUBSTITUTE('ARDT Cutter Entry'!E27,"*",""),LEN(SUBSTITUTE('ARDT Cutter Entry'!E27,"*",""))-2) )),"")</f>
        <v>X</v>
      </c>
      <c r="S16" s="2380"/>
      <c r="T16" s="2380"/>
      <c r="U16" s="2380"/>
      <c r="V16" s="2380"/>
      <c r="W16" s="2380"/>
      <c r="X16" s="2380"/>
      <c r="Y16" s="2380"/>
      <c r="Z16" s="2380" t="str">
        <f>IFERROR(IF('ARDT Cutter Entry'!$C$94&lt;&gt;"",IF(IFERROR(VALUE(RIGHT('ARDT Cutter Entry'!F95,2)),1)=1, LEFT(SUBSTITUTE('ARDT Cutter Entry'!F95,"*",""),LEN(SUBSTITUTE('ARDT Cutter Entry'!F95,"*",""))-1),LEFT(SUBSTITUTE('ARDT Cutter Entry'!F95,"*",""),LEN(SUBSTITUTE('ARDT Cutter Entry'!F95,"*",""))-2)),IF(IFERROR(VALUE(RIGHT('ARDT Cutter Entry'!F27,2)),1)=1, LEFT(SUBSTITUTE('ARDT Cutter Entry'!F27,"*",""),LEN(SUBSTITUTE('ARDT Cutter Entry'!F27,"*",""))-1),LEFT(SUBSTITUTE('ARDT Cutter Entry'!F27,"*",""),LEN(SUBSTITUTE('ARDT Cutter Entry'!F27,"*",""))-2) )),"")</f>
        <v>R</v>
      </c>
      <c r="AA16" s="2380"/>
      <c r="AB16" s="2380"/>
      <c r="AC16" s="2380"/>
      <c r="AD16" s="2380"/>
      <c r="AE16" s="2380"/>
      <c r="AF16" s="2380"/>
      <c r="AG16" s="2380"/>
      <c r="AH16" s="2380" t="str">
        <f>IFERROR(IF('ARDT Cutter Entry'!$C$94&lt;&gt;"",IF(IFERROR(VALUE(RIGHT('ARDT Cutter Entry'!G95,2)),1)=1, LEFT(SUBSTITUTE('ARDT Cutter Entry'!G95,"*",""),LEN(SUBSTITUTE('ARDT Cutter Entry'!G95,"*",""))-1),LEFT(SUBSTITUTE('ARDT Cutter Entry'!G95,"*",""),LEN(SUBSTITUTE('ARDT Cutter Entry'!G95,"*",""))-2)),IF(IFERROR(VALUE(RIGHT('ARDT Cutter Entry'!G27,2)),1)=1, LEFT(SUBSTITUTE('ARDT Cutter Entry'!G27,"*",""),LEN(SUBSTITUTE('ARDT Cutter Entry'!G27,"*",""))-1),LEFT(SUBSTITUTE('ARDT Cutter Entry'!G27,"*",""),LEN(SUBSTITUTE('ARDT Cutter Entry'!G27,"*",""))-2) )),"")</f>
        <v>X</v>
      </c>
      <c r="AI16" s="2380"/>
      <c r="AJ16" s="2380"/>
      <c r="AK16" s="2380"/>
      <c r="AL16" s="2380"/>
      <c r="AM16" s="2380"/>
      <c r="AN16" s="2380"/>
      <c r="AO16" s="2380"/>
      <c r="AP16" s="2380" t="str">
        <f>IFERROR(IF('ARDT Cutter Entry'!$C$94&lt;&gt;"",IF(IFERROR(VALUE(RIGHT('ARDT Cutter Entry'!H95,2)),1)=1, LEFT(SUBSTITUTE('ARDT Cutter Entry'!H95,"*",""),LEN(SUBSTITUTE('ARDT Cutter Entry'!H95,"*",""))-1),LEFT(SUBSTITUTE('ARDT Cutter Entry'!H95,"*",""),LEN(SUBSTITUTE('ARDT Cutter Entry'!H95,"*",""))-2)),IF(IFERROR(VALUE(RIGHT('ARDT Cutter Entry'!H27,2)),1)=1, LEFT(SUBSTITUTE('ARDT Cutter Entry'!H27,"*",""),LEN(SUBSTITUTE('ARDT Cutter Entry'!H27,"*",""))-1),LEFT(SUBSTITUTE('ARDT Cutter Entry'!H27,"*",""),LEN(SUBSTITUTE('ARDT Cutter Entry'!H27,"*",""))-2) )),"")</f>
        <v/>
      </c>
      <c r="AQ16" s="2380"/>
      <c r="AR16" s="2380"/>
      <c r="AS16" s="2380"/>
      <c r="AT16" s="2380"/>
      <c r="AU16" s="2380"/>
      <c r="AV16" s="2380"/>
      <c r="AW16" s="2380"/>
      <c r="AX16" s="2380" t="str">
        <f>IFERROR(IF('ARDT Cutter Entry'!$C$94&lt;&gt;"",IF(IFERROR(VALUE(RIGHT('ARDT Cutter Entry'!I95,2)),1)=1, LEFT(SUBSTITUTE('ARDT Cutter Entry'!I95,"*",""),LEN(SUBSTITUTE('ARDT Cutter Entry'!I95,"*",""))-1),LEFT(SUBSTITUTE('ARDT Cutter Entry'!I95,"*",""),LEN(SUBSTITUTE('ARDT Cutter Entry'!I95,"*",""))-2)),IF(IFERROR(VALUE(RIGHT('ARDT Cutter Entry'!I27,2)),1)=1, LEFT(SUBSTITUTE('ARDT Cutter Entry'!I27,"*",""),LEN(SUBSTITUTE('ARDT Cutter Entry'!I27,"*",""))-1),LEFT(SUBSTITUTE('ARDT Cutter Entry'!I27,"*",""),LEN(SUBSTITUTE('ARDT Cutter Entry'!I27,"*",""))-2) )),"")</f>
        <v/>
      </c>
      <c r="AY16" s="2380"/>
      <c r="AZ16" s="2380"/>
      <c r="BA16" s="2380"/>
      <c r="BB16" s="2380"/>
      <c r="BC16" s="2380"/>
      <c r="BD16" s="2380"/>
      <c r="BE16" s="2380"/>
      <c r="BF16" s="2380" t="str">
        <f>IFERROR(IF('ARDT Cutter Entry'!$C$94&lt;&gt;"",IF(IFERROR(VALUE(RIGHT('ARDT Cutter Entry'!J95,2)),1)=1, LEFT(SUBSTITUTE('ARDT Cutter Entry'!J95,"*",""),LEN(SUBSTITUTE('ARDT Cutter Entry'!J95,"*",""))-1),LEFT(SUBSTITUTE('ARDT Cutter Entry'!J95,"*",""),LEN(SUBSTITUTE('ARDT Cutter Entry'!J95,"*",""))-2)),IF(IFERROR(VALUE(RIGHT('ARDT Cutter Entry'!J27,2)),1)=1, LEFT(SUBSTITUTE('ARDT Cutter Entry'!J27,"*",""),LEN(SUBSTITUTE('ARDT Cutter Entry'!J27,"*",""))-1),LEFT(SUBSTITUTE('ARDT Cutter Entry'!J27,"*",""),LEN(SUBSTITUTE('ARDT Cutter Entry'!J27,"*",""))-2) )),"")</f>
        <v/>
      </c>
      <c r="BG16" s="2380"/>
      <c r="BH16" s="2380"/>
      <c r="BI16" s="2380"/>
      <c r="BJ16" s="2380"/>
      <c r="BK16" s="2380"/>
      <c r="BL16" s="2380"/>
      <c r="BM16" s="2380"/>
      <c r="BN16" s="2380" t="str">
        <f>IFERROR(IF('ARDT Cutter Entry'!$C$94&lt;&gt;"",IF(IFERROR(VALUE(RIGHT('ARDT Cutter Entry'!K95,2)),1)=1, LEFT(SUBSTITUTE('ARDT Cutter Entry'!K95,"*",""),LEN(SUBSTITUTE('ARDT Cutter Entry'!K95,"*",""))-1),LEFT(SUBSTITUTE('ARDT Cutter Entry'!K95,"*",""),LEN(SUBSTITUTE('ARDT Cutter Entry'!K95,"*",""))-2)),IF(IFERROR(VALUE(RIGHT('ARDT Cutter Entry'!K27,2)),1)=1, LEFT(SUBSTITUTE('ARDT Cutter Entry'!K27,"*",""),LEN(SUBSTITUTE('ARDT Cutter Entry'!K27,"*",""))-1),LEFT(SUBSTITUTE('ARDT Cutter Entry'!K27,"*",""),LEN(SUBSTITUTE('ARDT Cutter Entry'!K27,"*",""))-2) )),"")</f>
        <v/>
      </c>
      <c r="BO16" s="2380"/>
      <c r="BP16" s="2380"/>
      <c r="BQ16" s="2380"/>
      <c r="BR16" s="2380"/>
      <c r="BS16" s="2380"/>
      <c r="BT16" s="2380"/>
      <c r="BU16" s="2380"/>
      <c r="BV16" s="2380" t="str">
        <f>IFERROR(IF('ARDT Cutter Entry'!$C$94&lt;&gt;"",IF(IFERROR(VALUE(RIGHT('ARDT Cutter Entry'!L95,2)),1)=1, LEFT(SUBSTITUTE('ARDT Cutter Entry'!L95,"*",""),LEN(SUBSTITUTE('ARDT Cutter Entry'!L95,"*",""))-1),LEFT(SUBSTITUTE('ARDT Cutter Entry'!L95,"*",""),LEN(SUBSTITUTE('ARDT Cutter Entry'!L95,"*",""))-2)),IF(IFERROR(VALUE(RIGHT('ARDT Cutter Entry'!L27,2)),1)=1, LEFT(SUBSTITUTE('ARDT Cutter Entry'!L27,"*",""),LEN(SUBSTITUTE('ARDT Cutter Entry'!L27,"*",""))-1),LEFT(SUBSTITUTE('ARDT Cutter Entry'!L27,"*",""),LEN(SUBSTITUTE('ARDT Cutter Entry'!L27,"*",""))-2) )),"")</f>
        <v>S</v>
      </c>
      <c r="BW16" s="2380"/>
      <c r="BX16" s="2380"/>
      <c r="BY16" s="2380"/>
      <c r="BZ16" s="2380"/>
      <c r="CA16" s="2380"/>
      <c r="CB16" s="2380"/>
      <c r="CC16" s="2380"/>
      <c r="CD16" s="2380" t="str">
        <f>IFERROR(IF('ARDT Cutter Entry'!$C$94&lt;&gt;"",IF(IFERROR(VALUE(RIGHT('ARDT Cutter Entry'!M95,2)),1)=1, LEFT(SUBSTITUTE('ARDT Cutter Entry'!M95,"*",""),LEN(SUBSTITUTE('ARDT Cutter Entry'!M95,"*",""))-1),LEFT(SUBSTITUTE('ARDT Cutter Entry'!M95,"*",""),LEN(SUBSTITUTE('ARDT Cutter Entry'!M95,"*",""))-2)),IF(IFERROR(VALUE(RIGHT('ARDT Cutter Entry'!M27,2)),1)=1, LEFT(SUBSTITUTE('ARDT Cutter Entry'!M27,"*",""),LEN(SUBSTITUTE('ARDT Cutter Entry'!M27,"*",""))-1),LEFT(SUBSTITUTE('ARDT Cutter Entry'!M27,"*",""),LEN(SUBSTITUTE('ARDT Cutter Entry'!M27,"*",""))-2) )),"")</f>
        <v>R</v>
      </c>
      <c r="CE16" s="2380"/>
      <c r="CF16" s="2380"/>
      <c r="CG16" s="2380"/>
      <c r="CH16" s="2380"/>
      <c r="CI16" s="2380"/>
      <c r="CJ16" s="2380"/>
      <c r="CK16" s="2380"/>
      <c r="CL16" s="2380" t="str">
        <f>IFERROR(IF('ARDT Cutter Entry'!$C$94&lt;&gt;"",IF(IFERROR(VALUE(RIGHT('ARDT Cutter Entry'!N95,2)),1)=1, LEFT(SUBSTITUTE('ARDT Cutter Entry'!N95,"*",""),LEN(SUBSTITUTE('ARDT Cutter Entry'!N95,"*",""))-1),LEFT(SUBSTITUTE('ARDT Cutter Entry'!N95,"*",""),LEN(SUBSTITUTE('ARDT Cutter Entry'!N95,"*",""))-2)),IF(IFERROR(VALUE(RIGHT('ARDT Cutter Entry'!N27,2)),1)=1, LEFT(SUBSTITUTE('ARDT Cutter Entry'!N27,"*",""),LEN(SUBSTITUTE('ARDT Cutter Entry'!N27,"*",""))-1),LEFT(SUBSTITUTE('ARDT Cutter Entry'!N27,"*",""),LEN(SUBSTITUTE('ARDT Cutter Entry'!N27,"*",""))-2) )),"")</f>
        <v>X</v>
      </c>
      <c r="CM16" s="2380"/>
      <c r="CN16" s="2380"/>
      <c r="CO16" s="2380"/>
      <c r="CP16" s="2380"/>
      <c r="CQ16" s="2380"/>
      <c r="CR16" s="2380"/>
      <c r="CS16" s="2380"/>
      <c r="CT16" s="2380" t="str">
        <f>IFERROR(IF('ARDT Cutter Entry'!$C$94&lt;&gt;"",IF(IFERROR(VALUE(RIGHT('ARDT Cutter Entry'!O95,2)),1)=1, LEFT(SUBSTITUTE('ARDT Cutter Entry'!O95,"*",""),LEN(SUBSTITUTE('ARDT Cutter Entry'!O95,"*",""))-1),LEFT(SUBSTITUTE('ARDT Cutter Entry'!O95,"*",""),LEN(SUBSTITUTE('ARDT Cutter Entry'!O95,"*",""))-2)),IF(IFERROR(VALUE(RIGHT('ARDT Cutter Entry'!O27,2)),1)=1, LEFT(SUBSTITUTE('ARDT Cutter Entry'!O27,"*",""),LEN(SUBSTITUTE('ARDT Cutter Entry'!O27,"*",""))-1),LEFT(SUBSTITUTE('ARDT Cutter Entry'!O27,"*",""),LEN(SUBSTITUTE('ARDT Cutter Entry'!O27,"*",""))-2) )),"")</f>
        <v>R</v>
      </c>
      <c r="CU16" s="2380"/>
      <c r="CV16" s="2380"/>
      <c r="CW16" s="2380"/>
      <c r="CX16" s="2380"/>
      <c r="CY16" s="2380"/>
      <c r="CZ16" s="2380"/>
      <c r="DA16" s="2380"/>
      <c r="DB16" s="2380" t="str">
        <f>IFERROR(IF('ARDT Cutter Entry'!$C$94&lt;&gt;"",IF(IFERROR(VALUE(RIGHT('ARDT Cutter Entry'!P95,2)),1)=1, LEFT(SUBSTITUTE('ARDT Cutter Entry'!P95,"*",""),LEN(SUBSTITUTE('ARDT Cutter Entry'!P95,"*",""))-1),LEFT(SUBSTITUTE('ARDT Cutter Entry'!P95,"*",""),LEN(SUBSTITUTE('ARDT Cutter Entry'!P95,"*",""))-2)),IF(IFERROR(VALUE(RIGHT('ARDT Cutter Entry'!P27,2)),1)=1, LEFT(SUBSTITUTE('ARDT Cutter Entry'!P27,"*",""),LEN(SUBSTITUTE('ARDT Cutter Entry'!P27,"*",""))-1),LEFT(SUBSTITUTE('ARDT Cutter Entry'!P27,"*",""),LEN(SUBSTITUTE('ARDT Cutter Entry'!P27,"*",""))-2) )),"")</f>
        <v/>
      </c>
      <c r="DC16" s="2380"/>
      <c r="DD16" s="2380"/>
      <c r="DE16" s="2380"/>
      <c r="DF16" s="2380"/>
      <c r="DG16" s="2380"/>
      <c r="DH16" s="2380"/>
      <c r="DI16" s="2380"/>
      <c r="DJ16" s="2380" t="str">
        <f>IFERROR(IF('ARDT Cutter Entry'!$C$94&lt;&gt;"",IF(IFERROR(VALUE(RIGHT('ARDT Cutter Entry'!Q95,2)),1)=1, LEFT(SUBSTITUTE('ARDT Cutter Entry'!Q95,"*",""),LEN(SUBSTITUTE('ARDT Cutter Entry'!Q95,"*",""))-1),LEFT(SUBSTITUTE('ARDT Cutter Entry'!Q95,"*",""),LEN(SUBSTITUTE('ARDT Cutter Entry'!Q95,"*",""))-2)),IF(IFERROR(VALUE(RIGHT('ARDT Cutter Entry'!Q27,2)),1)=1, LEFT(SUBSTITUTE('ARDT Cutter Entry'!Q27,"*",""),LEN(SUBSTITUTE('ARDT Cutter Entry'!Q27,"*",""))-1),LEFT(SUBSTITUTE('ARDT Cutter Entry'!Q27,"*",""),LEN(SUBSTITUTE('ARDT Cutter Entry'!Q27,"*",""))-2) )),"")</f>
        <v/>
      </c>
      <c r="DK16" s="2380"/>
      <c r="DL16" s="2380"/>
      <c r="DM16" s="2380"/>
      <c r="DN16" s="2380"/>
      <c r="DO16" s="2380"/>
      <c r="DP16" s="2380"/>
      <c r="DQ16" s="2380"/>
      <c r="DR16" s="2380" t="str">
        <f>IFERROR(IF('ARDT Cutter Entry'!$C$94&lt;&gt;"",IF(IFERROR(VALUE(RIGHT('ARDT Cutter Entry'!R95,2)),1)=1, LEFT(SUBSTITUTE('ARDT Cutter Entry'!R95,"*",""),LEN(SUBSTITUTE('ARDT Cutter Entry'!R95,"*",""))-1),LEFT(SUBSTITUTE('ARDT Cutter Entry'!R95,"*",""),LEN(SUBSTITUTE('ARDT Cutter Entry'!R95,"*",""))-2)),IF(IFERROR(VALUE(RIGHT('ARDT Cutter Entry'!R27,2)),1)=1, LEFT(SUBSTITUTE('ARDT Cutter Entry'!R27,"*",""),LEN(SUBSTITUTE('ARDT Cutter Entry'!R27,"*",""))-1),LEFT(SUBSTITUTE('ARDT Cutter Entry'!R27,"*",""),LEN(SUBSTITUTE('ARDT Cutter Entry'!R27,"*",""))-2) )),"")</f>
        <v/>
      </c>
      <c r="DS16" s="2380"/>
      <c r="DT16" s="2380"/>
      <c r="DU16" s="2380"/>
      <c r="DV16" s="2380"/>
      <c r="DW16" s="2380"/>
      <c r="DX16" s="2380"/>
      <c r="DY16" s="2380"/>
      <c r="DZ16" s="2380" t="str">
        <f>IFERROR(IF('ARDT Cutter Entry'!$C$94&lt;&gt;"",IF(IFERROR(VALUE(RIGHT('ARDT Cutter Entry'!S95,2)),1)=1, LEFT(SUBSTITUTE('ARDT Cutter Entry'!S95,"*",""),LEN(SUBSTITUTE('ARDT Cutter Entry'!S95,"*",""))-1),LEFT(SUBSTITUTE('ARDT Cutter Entry'!S95,"*",""),LEN(SUBSTITUTE('ARDT Cutter Entry'!S95,"*",""))-2)),IF(IFERROR(VALUE(RIGHT('ARDT Cutter Entry'!S27,2)),1)=1, LEFT(SUBSTITUTE('ARDT Cutter Entry'!S27,"*",""),LEN(SUBSTITUTE('ARDT Cutter Entry'!S27,"*",""))-1),LEFT(SUBSTITUTE('ARDT Cutter Entry'!S27,"*",""),LEN(SUBSTITUTE('ARDT Cutter Entry'!S27,"*",""))-2) )),"")</f>
        <v/>
      </c>
      <c r="EA16" s="2380"/>
      <c r="EB16" s="2380"/>
      <c r="EC16" s="2380"/>
      <c r="ED16" s="2380"/>
      <c r="EE16" s="2380"/>
      <c r="EF16" s="2380"/>
      <c r="EG16" s="2380"/>
      <c r="EH16" s="2380" t="str">
        <f>IFERROR(IF('ARDT Cutter Entry'!$C$94&lt;&gt;"",IF(IFERROR(VALUE(RIGHT('ARDT Cutter Entry'!T95,2)),1)=1, LEFT(SUBSTITUTE('ARDT Cutter Entry'!T95,"*",""),LEN(SUBSTITUTE('ARDT Cutter Entry'!T95,"*",""))-1),LEFT(SUBSTITUTE('ARDT Cutter Entry'!T95,"*",""),LEN(SUBSTITUTE('ARDT Cutter Entry'!T95,"*",""))-2)),IF(IFERROR(VALUE(RIGHT('ARDT Cutter Entry'!T27,2)),1)=1, LEFT(SUBSTITUTE('ARDT Cutter Entry'!T27,"*",""),LEN(SUBSTITUTE('ARDT Cutter Entry'!T27,"*",""))-1),LEFT(SUBSTITUTE('ARDT Cutter Entry'!T27,"*",""),LEN(SUBSTITUTE('ARDT Cutter Entry'!T27,"*",""))-2) )),"")</f>
        <v/>
      </c>
      <c r="EI16" s="2380"/>
      <c r="EJ16" s="2380"/>
      <c r="EK16" s="2380"/>
      <c r="EL16" s="2380"/>
      <c r="EM16" s="2380"/>
      <c r="EN16" s="2380"/>
      <c r="EO16" s="2380"/>
      <c r="EP16" s="2380" t="str">
        <f>IFERROR(IF('ARDT Cutter Entry'!$C$94&lt;&gt;"",IF(IFERROR(VALUE(RIGHT('ARDT Cutter Entry'!U95,2)),1)=1, LEFT(SUBSTITUTE('ARDT Cutter Entry'!U95,"*",""),LEN(SUBSTITUTE('ARDT Cutter Entry'!U95,"*",""))-1),LEFT(SUBSTITUTE('ARDT Cutter Entry'!U95,"*",""),LEN(SUBSTITUTE('ARDT Cutter Entry'!U95,"*",""))-2)),IF(IFERROR(VALUE(RIGHT('ARDT Cutter Entry'!U27,2)),1)=1, LEFT(SUBSTITUTE('ARDT Cutter Entry'!U27,"*",""),LEN(SUBSTITUTE('ARDT Cutter Entry'!U27,"*",""))-1),LEFT(SUBSTITUTE('ARDT Cutter Entry'!U27,"*",""),LEN(SUBSTITUTE('ARDT Cutter Entry'!U27,"*",""))-2) )),"")</f>
        <v/>
      </c>
      <c r="EQ16" s="2380"/>
      <c r="ER16" s="2380"/>
      <c r="ES16" s="2380"/>
      <c r="ET16" s="2380"/>
      <c r="EU16" s="2380"/>
      <c r="EV16" s="2380"/>
      <c r="EW16" s="2380"/>
      <c r="EX16" s="2380" t="str">
        <f>IFERROR(IF('ARDT Cutter Entry'!$C$94&lt;&gt;"",IF(IFERROR(VALUE(RIGHT('ARDT Cutter Entry'!V95,2)),1)=1, LEFT(SUBSTITUTE('ARDT Cutter Entry'!V95,"*",""),LEN(SUBSTITUTE('ARDT Cutter Entry'!V95,"*",""))-1),LEFT(SUBSTITUTE('ARDT Cutter Entry'!V95,"*",""),LEN(SUBSTITUTE('ARDT Cutter Entry'!V95,"*",""))-2)),IF(IFERROR(VALUE(RIGHT('ARDT Cutter Entry'!V27,2)),1)=1, LEFT(SUBSTITUTE('ARDT Cutter Entry'!V27,"*",""),LEN(SUBSTITUTE('ARDT Cutter Entry'!V27,"*",""))-1),LEFT(SUBSTITUTE('ARDT Cutter Entry'!V27,"*",""),LEN(SUBSTITUTE('ARDT Cutter Entry'!V27,"*",""))-2) )),"")</f>
        <v/>
      </c>
      <c r="EY16" s="2380"/>
      <c r="EZ16" s="2380"/>
      <c r="FA16" s="2380"/>
      <c r="FB16" s="2380"/>
      <c r="FC16" s="2380"/>
      <c r="FD16" s="2380"/>
      <c r="FE16" s="2380"/>
      <c r="FF16" s="2380" t="str">
        <f>IFERROR(IF('ARDT Cutter Entry'!$C$94&lt;&gt;"",IF(IFERROR(VALUE(RIGHT('ARDT Cutter Entry'!W95,2)),1)=1, LEFT(SUBSTITUTE('ARDT Cutter Entry'!W95,"*",""),LEN(SUBSTITUTE('ARDT Cutter Entry'!W95,"*",""))-1),LEFT(SUBSTITUTE('ARDT Cutter Entry'!W95,"*",""),LEN(SUBSTITUTE('ARDT Cutter Entry'!W95,"*",""))-2)),IF(IFERROR(VALUE(RIGHT('ARDT Cutter Entry'!W27,2)),1)=1, LEFT(SUBSTITUTE('ARDT Cutter Entry'!W27,"*",""),LEN(SUBSTITUTE('ARDT Cutter Entry'!W27,"*",""))-1),LEFT(SUBSTITUTE('ARDT Cutter Entry'!W27,"*",""),LEN(SUBSTITUTE('ARDT Cutter Entry'!W27,"*",""))-2) )),"")</f>
        <v/>
      </c>
      <c r="FG16" s="2380"/>
      <c r="FH16" s="2380"/>
      <c r="FI16" s="2380"/>
      <c r="FJ16" s="2380"/>
      <c r="FK16" s="2380"/>
      <c r="FL16" s="2380"/>
      <c r="FM16" s="2380"/>
      <c r="FN16" s="2380" t="str">
        <f>IFERROR(IF('ARDT Cutter Entry'!$C$94&lt;&gt;"",IF(IFERROR(VALUE(RIGHT('ARDT Cutter Entry'!X95,2)),1)=1, LEFT(SUBSTITUTE('ARDT Cutter Entry'!X95,"*",""),LEN(SUBSTITUTE('ARDT Cutter Entry'!X95,"*",""))-1),LEFT(SUBSTITUTE('ARDT Cutter Entry'!X95,"*",""),LEN(SUBSTITUTE('ARDT Cutter Entry'!X95,"*",""))-2)),IF(IFERROR(VALUE(RIGHT('ARDT Cutter Entry'!X27,2)),1)=1, LEFT(SUBSTITUTE('ARDT Cutter Entry'!X27,"*",""),LEN(SUBSTITUTE('ARDT Cutter Entry'!X27,"*",""))-1),LEFT(SUBSTITUTE('ARDT Cutter Entry'!X27,"*",""),LEN(SUBSTITUTE('ARDT Cutter Entry'!X27,"*",""))-2) )),"")</f>
        <v/>
      </c>
      <c r="FO16" s="2380"/>
      <c r="FP16" s="2380"/>
      <c r="FQ16" s="2380"/>
      <c r="FR16" s="2380"/>
      <c r="FS16" s="2380"/>
      <c r="FT16" s="2380"/>
      <c r="FU16" s="2380"/>
      <c r="FV16" s="2380" t="str">
        <f>IFERROR(IF('ARDT Cutter Entry'!$C$94&lt;&gt;"",IF(IFERROR(VALUE(RIGHT('ARDT Cutter Entry'!Y95,2)),1)=1, LEFT(SUBSTITUTE('ARDT Cutter Entry'!Y95,"*",""),LEN(SUBSTITUTE('ARDT Cutter Entry'!Y95,"*",""))-1),LEFT(SUBSTITUTE('ARDT Cutter Entry'!Y95,"*",""),LEN(SUBSTITUTE('ARDT Cutter Entry'!Y95,"*",""))-2)),IF(IFERROR(VALUE(RIGHT('ARDT Cutter Entry'!Y27,2)),1)=1, LEFT(SUBSTITUTE('ARDT Cutter Entry'!Y27,"*",""),LEN(SUBSTITUTE('ARDT Cutter Entry'!Y27,"*",""))-1),LEFT(SUBSTITUTE('ARDT Cutter Entry'!Y27,"*",""),LEN(SUBSTITUTE('ARDT Cutter Entry'!Y27,"*",""))-2) )),"")</f>
        <v/>
      </c>
      <c r="FW16" s="2380"/>
      <c r="FX16" s="2380"/>
      <c r="FY16" s="2380"/>
      <c r="FZ16" s="2380"/>
      <c r="GA16" s="2380"/>
      <c r="GB16" s="2380"/>
      <c r="GC16" s="2380"/>
      <c r="GD16" s="2384"/>
      <c r="GE16" s="2384"/>
      <c r="GF16" s="2384"/>
      <c r="GG16" s="2384"/>
    </row>
    <row r="17" spans="1:206" ht="44.25" customHeight="1" x14ac:dyDescent="0.55000000000000004">
      <c r="A17" s="338">
        <v>3</v>
      </c>
      <c r="B17" s="2380" t="str">
        <f>IFERROR(IF('ARDT Cutter Entry'!$C$94&lt;&gt;"",IF(IFERROR(VALUE(RIGHT('ARDT Cutter Entry'!C96,2)),1)=1, LEFT(SUBSTITUTE('ARDT Cutter Entry'!C96,"*",""),LEN(SUBSTITUTE('ARDT Cutter Entry'!C96,"*",""))-1),LEFT(SUBSTITUTE('ARDT Cutter Entry'!C96,"*",""),LEN(SUBSTITUTE('ARDT Cutter Entry'!C96,"*",""))-2)),IF(IFERROR(VALUE(RIGHT('ARDT Cutter Entry'!C28,2)),1)=1, LEFT(SUBSTITUTE('ARDT Cutter Entry'!C28,"*",""),LEN(SUBSTITUTE('ARDT Cutter Entry'!C28,"*",""))-1),LEFT(SUBSTITUTE('ARDT Cutter Entry'!C28,"*",""),LEN(SUBSTITUTE('ARDT Cutter Entry'!C28,"*",""))-2) )),"")</f>
        <v>R</v>
      </c>
      <c r="C17" s="2380"/>
      <c r="D17" s="2380"/>
      <c r="E17" s="2380"/>
      <c r="F17" s="2380"/>
      <c r="G17" s="2380"/>
      <c r="H17" s="2380"/>
      <c r="I17" s="2380"/>
      <c r="J17" s="2380" t="str">
        <f>IFERROR(IF('ARDT Cutter Entry'!$C$94&lt;&gt;"",IF(IFERROR(VALUE(RIGHT('ARDT Cutter Entry'!D96,2)),1)=1, LEFT(SUBSTITUTE('ARDT Cutter Entry'!D96,"*",""),LEN(SUBSTITUTE('ARDT Cutter Entry'!D96,"*",""))-1),LEFT(SUBSTITUTE('ARDT Cutter Entry'!D96,"*",""),LEN(SUBSTITUTE('ARDT Cutter Entry'!D96,"*",""))-2)),IF(IFERROR(VALUE(RIGHT('ARDT Cutter Entry'!D28,2)),1)=1, LEFT(SUBSTITUTE('ARDT Cutter Entry'!D28,"*",""),LEN(SUBSTITUTE('ARDT Cutter Entry'!D28,"*",""))-1),LEFT(SUBSTITUTE('ARDT Cutter Entry'!D28,"*",""),LEN(SUBSTITUTE('ARDT Cutter Entry'!D28,"*",""))-2) )),"")</f>
        <v>R</v>
      </c>
      <c r="K17" s="2380"/>
      <c r="L17" s="2380"/>
      <c r="M17" s="2380"/>
      <c r="N17" s="2380"/>
      <c r="O17" s="2380"/>
      <c r="P17" s="2380"/>
      <c r="Q17" s="2380"/>
      <c r="R17" s="2380" t="str">
        <f>IFERROR(IF('ARDT Cutter Entry'!$C$94&lt;&gt;"",IF(IFERROR(VALUE(RIGHT('ARDT Cutter Entry'!E96,2)),1)=1, LEFT(SUBSTITUTE('ARDT Cutter Entry'!E96,"*",""),LEN(SUBSTITUTE('ARDT Cutter Entry'!E96,"*",""))-1),LEFT(SUBSTITUTE('ARDT Cutter Entry'!E96,"*",""),LEN(SUBSTITUTE('ARDT Cutter Entry'!E96,"*",""))-2)),IF(IFERROR(VALUE(RIGHT('ARDT Cutter Entry'!E28,2)),1)=1, LEFT(SUBSTITUTE('ARDT Cutter Entry'!E28,"*",""),LEN(SUBSTITUTE('ARDT Cutter Entry'!E28,"*",""))-1),LEFT(SUBSTITUTE('ARDT Cutter Entry'!E28,"*",""),LEN(SUBSTITUTE('ARDT Cutter Entry'!E28,"*",""))-2) )),"")</f>
        <v>R</v>
      </c>
      <c r="S17" s="2380"/>
      <c r="T17" s="2380"/>
      <c r="U17" s="2380"/>
      <c r="V17" s="2380"/>
      <c r="W17" s="2380"/>
      <c r="X17" s="2380"/>
      <c r="Y17" s="2380"/>
      <c r="Z17" s="2380" t="str">
        <f>IFERROR(IF('ARDT Cutter Entry'!$C$94&lt;&gt;"",IF(IFERROR(VALUE(RIGHT('ARDT Cutter Entry'!F96,2)),1)=1, LEFT(SUBSTITUTE('ARDT Cutter Entry'!F96,"*",""),LEN(SUBSTITUTE('ARDT Cutter Entry'!F96,"*",""))-1),LEFT(SUBSTITUTE('ARDT Cutter Entry'!F96,"*",""),LEN(SUBSTITUTE('ARDT Cutter Entry'!F96,"*",""))-2)),IF(IFERROR(VALUE(RIGHT('ARDT Cutter Entry'!F28,2)),1)=1, LEFT(SUBSTITUTE('ARDT Cutter Entry'!F28,"*",""),LEN(SUBSTITUTE('ARDT Cutter Entry'!F28,"*",""))-1),LEFT(SUBSTITUTE('ARDT Cutter Entry'!F28,"*",""),LEN(SUBSTITUTE('ARDT Cutter Entry'!F28,"*",""))-2) )),"")</f>
        <v>X</v>
      </c>
      <c r="AA17" s="2380"/>
      <c r="AB17" s="2380"/>
      <c r="AC17" s="2380"/>
      <c r="AD17" s="2380"/>
      <c r="AE17" s="2380"/>
      <c r="AF17" s="2380"/>
      <c r="AG17" s="2380"/>
      <c r="AH17" s="2380" t="str">
        <f>IFERROR(IF('ARDT Cutter Entry'!$C$94&lt;&gt;"",IF(IFERROR(VALUE(RIGHT('ARDT Cutter Entry'!G96,2)),1)=1, LEFT(SUBSTITUTE('ARDT Cutter Entry'!G96,"*",""),LEN(SUBSTITUTE('ARDT Cutter Entry'!G96,"*",""))-1),LEFT(SUBSTITUTE('ARDT Cutter Entry'!G96,"*",""),LEN(SUBSTITUTE('ARDT Cutter Entry'!G96,"*",""))-2)),IF(IFERROR(VALUE(RIGHT('ARDT Cutter Entry'!G28,2)),1)=1, LEFT(SUBSTITUTE('ARDT Cutter Entry'!G28,"*",""),LEN(SUBSTITUTE('ARDT Cutter Entry'!G28,"*",""))-1),LEFT(SUBSTITUTE('ARDT Cutter Entry'!G28,"*",""),LEN(SUBSTITUTE('ARDT Cutter Entry'!G28,"*",""))-2) )),"")</f>
        <v>X</v>
      </c>
      <c r="AI17" s="2380"/>
      <c r="AJ17" s="2380"/>
      <c r="AK17" s="2380"/>
      <c r="AL17" s="2380"/>
      <c r="AM17" s="2380"/>
      <c r="AN17" s="2380"/>
      <c r="AO17" s="2380"/>
      <c r="AP17" s="2380" t="str">
        <f>IFERROR(IF('ARDT Cutter Entry'!$C$94&lt;&gt;"",IF(IFERROR(VALUE(RIGHT('ARDT Cutter Entry'!H96,2)),1)=1, LEFT(SUBSTITUTE('ARDT Cutter Entry'!H96,"*",""),LEN(SUBSTITUTE('ARDT Cutter Entry'!H96,"*",""))-1),LEFT(SUBSTITUTE('ARDT Cutter Entry'!H96,"*",""),LEN(SUBSTITUTE('ARDT Cutter Entry'!H96,"*",""))-2)),IF(IFERROR(VALUE(RIGHT('ARDT Cutter Entry'!H28,2)),1)=1, LEFT(SUBSTITUTE('ARDT Cutter Entry'!H28,"*",""),LEN(SUBSTITUTE('ARDT Cutter Entry'!H28,"*",""))-1),LEFT(SUBSTITUTE('ARDT Cutter Entry'!H28,"*",""),LEN(SUBSTITUTE('ARDT Cutter Entry'!H28,"*",""))-2) )),"")</f>
        <v>X</v>
      </c>
      <c r="AQ17" s="2380"/>
      <c r="AR17" s="2380"/>
      <c r="AS17" s="2380"/>
      <c r="AT17" s="2380"/>
      <c r="AU17" s="2380"/>
      <c r="AV17" s="2380"/>
      <c r="AW17" s="2380"/>
      <c r="AX17" s="2380" t="str">
        <f>IFERROR(IF('ARDT Cutter Entry'!$C$94&lt;&gt;"",IF(IFERROR(VALUE(RIGHT('ARDT Cutter Entry'!I96,2)),1)=1, LEFT(SUBSTITUTE('ARDT Cutter Entry'!I96,"*",""),LEN(SUBSTITUTE('ARDT Cutter Entry'!I96,"*",""))-1),LEFT(SUBSTITUTE('ARDT Cutter Entry'!I96,"*",""),LEN(SUBSTITUTE('ARDT Cutter Entry'!I96,"*",""))-2)),IF(IFERROR(VALUE(RIGHT('ARDT Cutter Entry'!I28,2)),1)=1, LEFT(SUBSTITUTE('ARDT Cutter Entry'!I28,"*",""),LEN(SUBSTITUTE('ARDT Cutter Entry'!I28,"*",""))-1),LEFT(SUBSTITUTE('ARDT Cutter Entry'!I28,"*",""),LEN(SUBSTITUTE('ARDT Cutter Entry'!I28,"*",""))-2) )),"")</f>
        <v>X</v>
      </c>
      <c r="AY17" s="2380"/>
      <c r="AZ17" s="2380"/>
      <c r="BA17" s="2380"/>
      <c r="BB17" s="2380"/>
      <c r="BC17" s="2380"/>
      <c r="BD17" s="2380"/>
      <c r="BE17" s="2380"/>
      <c r="BF17" s="2380" t="str">
        <f>IFERROR(IF('ARDT Cutter Entry'!$C$94&lt;&gt;"",IF(IFERROR(VALUE(RIGHT('ARDT Cutter Entry'!J96,2)),1)=1, LEFT(SUBSTITUTE('ARDT Cutter Entry'!J96,"*",""),LEN(SUBSTITUTE('ARDT Cutter Entry'!J96,"*",""))-1),LEFT(SUBSTITUTE('ARDT Cutter Entry'!J96,"*",""),LEN(SUBSTITUTE('ARDT Cutter Entry'!J96,"*",""))-2)),IF(IFERROR(VALUE(RIGHT('ARDT Cutter Entry'!J28,2)),1)=1, LEFT(SUBSTITUTE('ARDT Cutter Entry'!J28,"*",""),LEN(SUBSTITUTE('ARDT Cutter Entry'!J28,"*",""))-1),LEFT(SUBSTITUTE('ARDT Cutter Entry'!J28,"*",""),LEN(SUBSTITUTE('ARDT Cutter Entry'!J28,"*",""))-2) )),"")</f>
        <v/>
      </c>
      <c r="BG17" s="2380"/>
      <c r="BH17" s="2380"/>
      <c r="BI17" s="2380"/>
      <c r="BJ17" s="2380"/>
      <c r="BK17" s="2380"/>
      <c r="BL17" s="2380"/>
      <c r="BM17" s="2380"/>
      <c r="BN17" s="2380" t="str">
        <f>IFERROR(IF('ARDT Cutter Entry'!$C$94&lt;&gt;"",IF(IFERROR(VALUE(RIGHT('ARDT Cutter Entry'!K96,2)),1)=1, LEFT(SUBSTITUTE('ARDT Cutter Entry'!K96,"*",""),LEN(SUBSTITUTE('ARDT Cutter Entry'!K96,"*",""))-1),LEFT(SUBSTITUTE('ARDT Cutter Entry'!K96,"*",""),LEN(SUBSTITUTE('ARDT Cutter Entry'!K96,"*",""))-2)),IF(IFERROR(VALUE(RIGHT('ARDT Cutter Entry'!K28,2)),1)=1, LEFT(SUBSTITUTE('ARDT Cutter Entry'!K28,"*",""),LEN(SUBSTITUTE('ARDT Cutter Entry'!K28,"*",""))-1),LEFT(SUBSTITUTE('ARDT Cutter Entry'!K28,"*",""),LEN(SUBSTITUTE('ARDT Cutter Entry'!K28,"*",""))-2) )),"")</f>
        <v/>
      </c>
      <c r="BO17" s="2380"/>
      <c r="BP17" s="2380"/>
      <c r="BQ17" s="2380"/>
      <c r="BR17" s="2380"/>
      <c r="BS17" s="2380"/>
      <c r="BT17" s="2380"/>
      <c r="BU17" s="2380"/>
      <c r="BV17" s="2380" t="str">
        <f>IFERROR(IF('ARDT Cutter Entry'!$C$94&lt;&gt;"",IF(IFERROR(VALUE(RIGHT('ARDT Cutter Entry'!L96,2)),1)=1, LEFT(SUBSTITUTE('ARDT Cutter Entry'!L96,"*",""),LEN(SUBSTITUTE('ARDT Cutter Entry'!L96,"*",""))-1),LEFT(SUBSTITUTE('ARDT Cutter Entry'!L96,"*",""),LEN(SUBSTITUTE('ARDT Cutter Entry'!L96,"*",""))-2)),IF(IFERROR(VALUE(RIGHT('ARDT Cutter Entry'!L28,2)),1)=1, LEFT(SUBSTITUTE('ARDT Cutter Entry'!L28,"*",""),LEN(SUBSTITUTE('ARDT Cutter Entry'!L28,"*",""))-1),LEFT(SUBSTITUTE('ARDT Cutter Entry'!L28,"*",""),LEN(SUBSTITUTE('ARDT Cutter Entry'!L28,"*",""))-2) )),"")</f>
        <v>R</v>
      </c>
      <c r="BW17" s="2380"/>
      <c r="BX17" s="2380"/>
      <c r="BY17" s="2380"/>
      <c r="BZ17" s="2380"/>
      <c r="CA17" s="2380"/>
      <c r="CB17" s="2380"/>
      <c r="CC17" s="2380"/>
      <c r="CD17" s="2380" t="str">
        <f>IFERROR(IF('ARDT Cutter Entry'!$C$94&lt;&gt;"",IF(IFERROR(VALUE(RIGHT('ARDT Cutter Entry'!M96,2)),1)=1, LEFT(SUBSTITUTE('ARDT Cutter Entry'!M96,"*",""),LEN(SUBSTITUTE('ARDT Cutter Entry'!M96,"*",""))-1),LEFT(SUBSTITUTE('ARDT Cutter Entry'!M96,"*",""),LEN(SUBSTITUTE('ARDT Cutter Entry'!M96,"*",""))-2)),IF(IFERROR(VALUE(RIGHT('ARDT Cutter Entry'!M28,2)),1)=1, LEFT(SUBSTITUTE('ARDT Cutter Entry'!M28,"*",""),LEN(SUBSTITUTE('ARDT Cutter Entry'!M28,"*",""))-1),LEFT(SUBSTITUTE('ARDT Cutter Entry'!M28,"*",""),LEN(SUBSTITUTE('ARDT Cutter Entry'!M28,"*",""))-2) )),"")</f>
        <v>X</v>
      </c>
      <c r="CE17" s="2380"/>
      <c r="CF17" s="2380"/>
      <c r="CG17" s="2380"/>
      <c r="CH17" s="2380"/>
      <c r="CI17" s="2380"/>
      <c r="CJ17" s="2380"/>
      <c r="CK17" s="2380"/>
      <c r="CL17" s="2380" t="str">
        <f>IFERROR(IF('ARDT Cutter Entry'!$C$94&lt;&gt;"",IF(IFERROR(VALUE(RIGHT('ARDT Cutter Entry'!N96,2)),1)=1, LEFT(SUBSTITUTE('ARDT Cutter Entry'!N96,"*",""),LEN(SUBSTITUTE('ARDT Cutter Entry'!N96,"*",""))-1),LEFT(SUBSTITUTE('ARDT Cutter Entry'!N96,"*",""),LEN(SUBSTITUTE('ARDT Cutter Entry'!N96,"*",""))-2)),IF(IFERROR(VALUE(RIGHT('ARDT Cutter Entry'!N28,2)),1)=1, LEFT(SUBSTITUTE('ARDT Cutter Entry'!N28,"*",""),LEN(SUBSTITUTE('ARDT Cutter Entry'!N28,"*",""))-1),LEFT(SUBSTITUTE('ARDT Cutter Entry'!N28,"*",""),LEN(SUBSTITUTE('ARDT Cutter Entry'!N28,"*",""))-2) )),"")</f>
        <v>X</v>
      </c>
      <c r="CM17" s="2380"/>
      <c r="CN17" s="2380"/>
      <c r="CO17" s="2380"/>
      <c r="CP17" s="2380"/>
      <c r="CQ17" s="2380"/>
      <c r="CR17" s="2380"/>
      <c r="CS17" s="2380"/>
      <c r="CT17" s="2380" t="str">
        <f>IFERROR(IF('ARDT Cutter Entry'!$C$94&lt;&gt;"",IF(IFERROR(VALUE(RIGHT('ARDT Cutter Entry'!O96,2)),1)=1, LEFT(SUBSTITUTE('ARDT Cutter Entry'!O96,"*",""),LEN(SUBSTITUTE('ARDT Cutter Entry'!O96,"*",""))-1),LEFT(SUBSTITUTE('ARDT Cutter Entry'!O96,"*",""),LEN(SUBSTITUTE('ARDT Cutter Entry'!O96,"*",""))-2)),IF(IFERROR(VALUE(RIGHT('ARDT Cutter Entry'!O28,2)),1)=1, LEFT(SUBSTITUTE('ARDT Cutter Entry'!O28,"*",""),LEN(SUBSTITUTE('ARDT Cutter Entry'!O28,"*",""))-1),LEFT(SUBSTITUTE('ARDT Cutter Entry'!O28,"*",""),LEN(SUBSTITUTE('ARDT Cutter Entry'!O28,"*",""))-2) )),"")</f>
        <v/>
      </c>
      <c r="CU17" s="2380"/>
      <c r="CV17" s="2380"/>
      <c r="CW17" s="2380"/>
      <c r="CX17" s="2380"/>
      <c r="CY17" s="2380"/>
      <c r="CZ17" s="2380"/>
      <c r="DA17" s="2380"/>
      <c r="DB17" s="2380" t="str">
        <f>IFERROR(IF('ARDT Cutter Entry'!$C$94&lt;&gt;"",IF(IFERROR(VALUE(RIGHT('ARDT Cutter Entry'!P96,2)),1)=1, LEFT(SUBSTITUTE('ARDT Cutter Entry'!P96,"*",""),LEN(SUBSTITUTE('ARDT Cutter Entry'!P96,"*",""))-1),LEFT(SUBSTITUTE('ARDT Cutter Entry'!P96,"*",""),LEN(SUBSTITUTE('ARDT Cutter Entry'!P96,"*",""))-2)),IF(IFERROR(VALUE(RIGHT('ARDT Cutter Entry'!P28,2)),1)=1, LEFT(SUBSTITUTE('ARDT Cutter Entry'!P28,"*",""),LEN(SUBSTITUTE('ARDT Cutter Entry'!P28,"*",""))-1),LEFT(SUBSTITUTE('ARDT Cutter Entry'!P28,"*",""),LEN(SUBSTITUTE('ARDT Cutter Entry'!P28,"*",""))-2) )),"")</f>
        <v/>
      </c>
      <c r="DC17" s="2380"/>
      <c r="DD17" s="2380"/>
      <c r="DE17" s="2380"/>
      <c r="DF17" s="2380"/>
      <c r="DG17" s="2380"/>
      <c r="DH17" s="2380"/>
      <c r="DI17" s="2380"/>
      <c r="DJ17" s="2380" t="str">
        <f>IFERROR(IF('ARDT Cutter Entry'!$C$94&lt;&gt;"",IF(IFERROR(VALUE(RIGHT('ARDT Cutter Entry'!Q96,2)),1)=1, LEFT(SUBSTITUTE('ARDT Cutter Entry'!Q96,"*",""),LEN(SUBSTITUTE('ARDT Cutter Entry'!Q96,"*",""))-1),LEFT(SUBSTITUTE('ARDT Cutter Entry'!Q96,"*",""),LEN(SUBSTITUTE('ARDT Cutter Entry'!Q96,"*",""))-2)),IF(IFERROR(VALUE(RIGHT('ARDT Cutter Entry'!Q28,2)),1)=1, LEFT(SUBSTITUTE('ARDT Cutter Entry'!Q28,"*",""),LEN(SUBSTITUTE('ARDT Cutter Entry'!Q28,"*",""))-1),LEFT(SUBSTITUTE('ARDT Cutter Entry'!Q28,"*",""),LEN(SUBSTITUTE('ARDT Cutter Entry'!Q28,"*",""))-2) )),"")</f>
        <v/>
      </c>
      <c r="DK17" s="2380"/>
      <c r="DL17" s="2380"/>
      <c r="DM17" s="2380"/>
      <c r="DN17" s="2380"/>
      <c r="DO17" s="2380"/>
      <c r="DP17" s="2380"/>
      <c r="DQ17" s="2380"/>
      <c r="DR17" s="2380" t="str">
        <f>IFERROR(IF('ARDT Cutter Entry'!$C$94&lt;&gt;"",IF(IFERROR(VALUE(RIGHT('ARDT Cutter Entry'!R96,2)),1)=1, LEFT(SUBSTITUTE('ARDT Cutter Entry'!R96,"*",""),LEN(SUBSTITUTE('ARDT Cutter Entry'!R96,"*",""))-1),LEFT(SUBSTITUTE('ARDT Cutter Entry'!R96,"*",""),LEN(SUBSTITUTE('ARDT Cutter Entry'!R96,"*",""))-2)),IF(IFERROR(VALUE(RIGHT('ARDT Cutter Entry'!R28,2)),1)=1, LEFT(SUBSTITUTE('ARDT Cutter Entry'!R28,"*",""),LEN(SUBSTITUTE('ARDT Cutter Entry'!R28,"*",""))-1),LEFT(SUBSTITUTE('ARDT Cutter Entry'!R28,"*",""),LEN(SUBSTITUTE('ARDT Cutter Entry'!R28,"*",""))-2) )),"")</f>
        <v/>
      </c>
      <c r="DS17" s="2380"/>
      <c r="DT17" s="2380"/>
      <c r="DU17" s="2380"/>
      <c r="DV17" s="2380"/>
      <c r="DW17" s="2380"/>
      <c r="DX17" s="2380"/>
      <c r="DY17" s="2380"/>
      <c r="DZ17" s="2380" t="str">
        <f>IFERROR(IF('ARDT Cutter Entry'!$C$94&lt;&gt;"",IF(IFERROR(VALUE(RIGHT('ARDT Cutter Entry'!S96,2)),1)=1, LEFT(SUBSTITUTE('ARDT Cutter Entry'!S96,"*",""),LEN(SUBSTITUTE('ARDT Cutter Entry'!S96,"*",""))-1),LEFT(SUBSTITUTE('ARDT Cutter Entry'!S96,"*",""),LEN(SUBSTITUTE('ARDT Cutter Entry'!S96,"*",""))-2)),IF(IFERROR(VALUE(RIGHT('ARDT Cutter Entry'!S28,2)),1)=1, LEFT(SUBSTITUTE('ARDT Cutter Entry'!S28,"*",""),LEN(SUBSTITUTE('ARDT Cutter Entry'!S28,"*",""))-1),LEFT(SUBSTITUTE('ARDT Cutter Entry'!S28,"*",""),LEN(SUBSTITUTE('ARDT Cutter Entry'!S28,"*",""))-2) )),"")</f>
        <v/>
      </c>
      <c r="EA17" s="2380"/>
      <c r="EB17" s="2380"/>
      <c r="EC17" s="2380"/>
      <c r="ED17" s="2380"/>
      <c r="EE17" s="2380"/>
      <c r="EF17" s="2380"/>
      <c r="EG17" s="2380"/>
      <c r="EH17" s="2380" t="str">
        <f>IFERROR(IF('ARDT Cutter Entry'!$C$94&lt;&gt;"",IF(IFERROR(VALUE(RIGHT('ARDT Cutter Entry'!T96,2)),1)=1, LEFT(SUBSTITUTE('ARDT Cutter Entry'!T96,"*",""),LEN(SUBSTITUTE('ARDT Cutter Entry'!T96,"*",""))-1),LEFT(SUBSTITUTE('ARDT Cutter Entry'!T96,"*",""),LEN(SUBSTITUTE('ARDT Cutter Entry'!T96,"*",""))-2)),IF(IFERROR(VALUE(RIGHT('ARDT Cutter Entry'!T28,2)),1)=1, LEFT(SUBSTITUTE('ARDT Cutter Entry'!T28,"*",""),LEN(SUBSTITUTE('ARDT Cutter Entry'!T28,"*",""))-1),LEFT(SUBSTITUTE('ARDT Cutter Entry'!T28,"*",""),LEN(SUBSTITUTE('ARDT Cutter Entry'!T28,"*",""))-2) )),"")</f>
        <v/>
      </c>
      <c r="EI17" s="2380"/>
      <c r="EJ17" s="2380"/>
      <c r="EK17" s="2380"/>
      <c r="EL17" s="2380"/>
      <c r="EM17" s="2380"/>
      <c r="EN17" s="2380"/>
      <c r="EO17" s="2380"/>
      <c r="EP17" s="2380" t="str">
        <f>IFERROR(IF('ARDT Cutter Entry'!$C$94&lt;&gt;"",IF(IFERROR(VALUE(RIGHT('ARDT Cutter Entry'!U96,2)),1)=1, LEFT(SUBSTITUTE('ARDT Cutter Entry'!U96,"*",""),LEN(SUBSTITUTE('ARDT Cutter Entry'!U96,"*",""))-1),LEFT(SUBSTITUTE('ARDT Cutter Entry'!U96,"*",""),LEN(SUBSTITUTE('ARDT Cutter Entry'!U96,"*",""))-2)),IF(IFERROR(VALUE(RIGHT('ARDT Cutter Entry'!U28,2)),1)=1, LEFT(SUBSTITUTE('ARDT Cutter Entry'!U28,"*",""),LEN(SUBSTITUTE('ARDT Cutter Entry'!U28,"*",""))-1),LEFT(SUBSTITUTE('ARDT Cutter Entry'!U28,"*",""),LEN(SUBSTITUTE('ARDT Cutter Entry'!U28,"*",""))-2) )),"")</f>
        <v/>
      </c>
      <c r="EQ17" s="2380"/>
      <c r="ER17" s="2380"/>
      <c r="ES17" s="2380"/>
      <c r="ET17" s="2380"/>
      <c r="EU17" s="2380"/>
      <c r="EV17" s="2380"/>
      <c r="EW17" s="2380"/>
      <c r="EX17" s="2380" t="str">
        <f>IFERROR(IF('ARDT Cutter Entry'!$C$94&lt;&gt;"",IF(IFERROR(VALUE(RIGHT('ARDT Cutter Entry'!V96,2)),1)=1, LEFT(SUBSTITUTE('ARDT Cutter Entry'!V96,"*",""),LEN(SUBSTITUTE('ARDT Cutter Entry'!V96,"*",""))-1),LEFT(SUBSTITUTE('ARDT Cutter Entry'!V96,"*",""),LEN(SUBSTITUTE('ARDT Cutter Entry'!V96,"*",""))-2)),IF(IFERROR(VALUE(RIGHT('ARDT Cutter Entry'!V28,2)),1)=1, LEFT(SUBSTITUTE('ARDT Cutter Entry'!V28,"*",""),LEN(SUBSTITUTE('ARDT Cutter Entry'!V28,"*",""))-1),LEFT(SUBSTITUTE('ARDT Cutter Entry'!V28,"*",""),LEN(SUBSTITUTE('ARDT Cutter Entry'!V28,"*",""))-2) )),"")</f>
        <v/>
      </c>
      <c r="EY17" s="2380"/>
      <c r="EZ17" s="2380"/>
      <c r="FA17" s="2380"/>
      <c r="FB17" s="2380"/>
      <c r="FC17" s="2380"/>
      <c r="FD17" s="2380"/>
      <c r="FE17" s="2380"/>
      <c r="FF17" s="2380" t="str">
        <f>IFERROR(IF('ARDT Cutter Entry'!$C$94&lt;&gt;"",IF(IFERROR(VALUE(RIGHT('ARDT Cutter Entry'!W96,2)),1)=1, LEFT(SUBSTITUTE('ARDT Cutter Entry'!W96,"*",""),LEN(SUBSTITUTE('ARDT Cutter Entry'!W96,"*",""))-1),LEFT(SUBSTITUTE('ARDT Cutter Entry'!W96,"*",""),LEN(SUBSTITUTE('ARDT Cutter Entry'!W96,"*",""))-2)),IF(IFERROR(VALUE(RIGHT('ARDT Cutter Entry'!W28,2)),1)=1, LEFT(SUBSTITUTE('ARDT Cutter Entry'!W28,"*",""),LEN(SUBSTITUTE('ARDT Cutter Entry'!W28,"*",""))-1),LEFT(SUBSTITUTE('ARDT Cutter Entry'!W28,"*",""),LEN(SUBSTITUTE('ARDT Cutter Entry'!W28,"*",""))-2) )),"")</f>
        <v/>
      </c>
      <c r="FG17" s="2380"/>
      <c r="FH17" s="2380"/>
      <c r="FI17" s="2380"/>
      <c r="FJ17" s="2380"/>
      <c r="FK17" s="2380"/>
      <c r="FL17" s="2380"/>
      <c r="FM17" s="2380"/>
      <c r="FN17" s="2380" t="str">
        <f>IFERROR(IF('ARDT Cutter Entry'!$C$94&lt;&gt;"",IF(IFERROR(VALUE(RIGHT('ARDT Cutter Entry'!X96,2)),1)=1, LEFT(SUBSTITUTE('ARDT Cutter Entry'!X96,"*",""),LEN(SUBSTITUTE('ARDT Cutter Entry'!X96,"*",""))-1),LEFT(SUBSTITUTE('ARDT Cutter Entry'!X96,"*",""),LEN(SUBSTITUTE('ARDT Cutter Entry'!X96,"*",""))-2)),IF(IFERROR(VALUE(RIGHT('ARDT Cutter Entry'!X28,2)),1)=1, LEFT(SUBSTITUTE('ARDT Cutter Entry'!X28,"*",""),LEN(SUBSTITUTE('ARDT Cutter Entry'!X28,"*",""))-1),LEFT(SUBSTITUTE('ARDT Cutter Entry'!X28,"*",""),LEN(SUBSTITUTE('ARDT Cutter Entry'!X28,"*",""))-2) )),"")</f>
        <v/>
      </c>
      <c r="FO17" s="2380"/>
      <c r="FP17" s="2380"/>
      <c r="FQ17" s="2380"/>
      <c r="FR17" s="2380"/>
      <c r="FS17" s="2380"/>
      <c r="FT17" s="2380"/>
      <c r="FU17" s="2380"/>
      <c r="FV17" s="2380" t="str">
        <f>IFERROR(IF('ARDT Cutter Entry'!$C$94&lt;&gt;"",IF(IFERROR(VALUE(RIGHT('ARDT Cutter Entry'!Y96,2)),1)=1, LEFT(SUBSTITUTE('ARDT Cutter Entry'!Y96,"*",""),LEN(SUBSTITUTE('ARDT Cutter Entry'!Y96,"*",""))-1),LEFT(SUBSTITUTE('ARDT Cutter Entry'!Y96,"*",""),LEN(SUBSTITUTE('ARDT Cutter Entry'!Y96,"*",""))-2)),IF(IFERROR(VALUE(RIGHT('ARDT Cutter Entry'!Y28,2)),1)=1, LEFT(SUBSTITUTE('ARDT Cutter Entry'!Y28,"*",""),LEN(SUBSTITUTE('ARDT Cutter Entry'!Y28,"*",""))-1),LEFT(SUBSTITUTE('ARDT Cutter Entry'!Y28,"*",""),LEN(SUBSTITUTE('ARDT Cutter Entry'!Y28,"*",""))-2) )),"")</f>
        <v/>
      </c>
      <c r="FW17" s="2380"/>
      <c r="FX17" s="2380"/>
      <c r="FY17" s="2380"/>
      <c r="FZ17" s="2380"/>
      <c r="GA17" s="2380"/>
      <c r="GB17" s="2380"/>
      <c r="GC17" s="2380"/>
      <c r="GD17" s="2384"/>
      <c r="GE17" s="2384"/>
      <c r="GF17" s="2384"/>
      <c r="GG17" s="2384"/>
    </row>
    <row r="18" spans="1:206" ht="44.25" customHeight="1" x14ac:dyDescent="0.55000000000000004">
      <c r="A18" s="338">
        <v>4</v>
      </c>
      <c r="B18" s="2380" t="str">
        <f>IFERROR(IF('ARDT Cutter Entry'!$C$94&lt;&gt;"",IF(IFERROR(VALUE(RIGHT('ARDT Cutter Entry'!C97,2)),1)=1, LEFT(SUBSTITUTE('ARDT Cutter Entry'!C97,"*",""),LEN(SUBSTITUTE('ARDT Cutter Entry'!C97,"*",""))-1),LEFT(SUBSTITUTE('ARDT Cutter Entry'!C97,"*",""),LEN(SUBSTITUTE('ARDT Cutter Entry'!C97,"*",""))-2)),IF(IFERROR(VALUE(RIGHT('ARDT Cutter Entry'!C29,2)),1)=1, LEFT(SUBSTITUTE('ARDT Cutter Entry'!C29,"*",""),LEN(SUBSTITUTE('ARDT Cutter Entry'!C29,"*",""))-1),LEFT(SUBSTITUTE('ARDT Cutter Entry'!C29,"*",""),LEN(SUBSTITUTE('ARDT Cutter Entry'!C29,"*",""))-2) )),"")</f>
        <v>X</v>
      </c>
      <c r="C18" s="2380"/>
      <c r="D18" s="2380"/>
      <c r="E18" s="2380"/>
      <c r="F18" s="2380"/>
      <c r="G18" s="2380"/>
      <c r="H18" s="2380"/>
      <c r="I18" s="2380"/>
      <c r="J18" s="2380" t="str">
        <f>IFERROR(IF('ARDT Cutter Entry'!$C$94&lt;&gt;"",IF(IFERROR(VALUE(RIGHT('ARDT Cutter Entry'!D97,2)),1)=1, LEFT(SUBSTITUTE('ARDT Cutter Entry'!D97,"*",""),LEN(SUBSTITUTE('ARDT Cutter Entry'!D97,"*",""))-1),LEFT(SUBSTITUTE('ARDT Cutter Entry'!D97,"*",""),LEN(SUBSTITUTE('ARDT Cutter Entry'!D97,"*",""))-2)),IF(IFERROR(VALUE(RIGHT('ARDT Cutter Entry'!D29,2)),1)=1, LEFT(SUBSTITUTE('ARDT Cutter Entry'!D29,"*",""),LEN(SUBSTITUTE('ARDT Cutter Entry'!D29,"*",""))-1),LEFT(SUBSTITUTE('ARDT Cutter Entry'!D29,"*",""),LEN(SUBSTITUTE('ARDT Cutter Entry'!D29,"*",""))-2) )),"")</f>
        <v>X</v>
      </c>
      <c r="K18" s="2380"/>
      <c r="L18" s="2380"/>
      <c r="M18" s="2380"/>
      <c r="N18" s="2380"/>
      <c r="O18" s="2380"/>
      <c r="P18" s="2380"/>
      <c r="Q18" s="2380"/>
      <c r="R18" s="2380" t="str">
        <f>IFERROR(IF('ARDT Cutter Entry'!$C$94&lt;&gt;"",IF(IFERROR(VALUE(RIGHT('ARDT Cutter Entry'!E97,2)),1)=1, LEFT(SUBSTITUTE('ARDT Cutter Entry'!E97,"*",""),LEN(SUBSTITUTE('ARDT Cutter Entry'!E97,"*",""))-1),LEFT(SUBSTITUTE('ARDT Cutter Entry'!E97,"*",""),LEN(SUBSTITUTE('ARDT Cutter Entry'!E97,"*",""))-2)),IF(IFERROR(VALUE(RIGHT('ARDT Cutter Entry'!E29,2)),1)=1, LEFT(SUBSTITUTE('ARDT Cutter Entry'!E29,"*",""),LEN(SUBSTITUTE('ARDT Cutter Entry'!E29,"*",""))-1),LEFT(SUBSTITUTE('ARDT Cutter Entry'!E29,"*",""),LEN(SUBSTITUTE('ARDT Cutter Entry'!E29,"*",""))-2) )),"")</f>
        <v>X</v>
      </c>
      <c r="S18" s="2380"/>
      <c r="T18" s="2380"/>
      <c r="U18" s="2380"/>
      <c r="V18" s="2380"/>
      <c r="W18" s="2380"/>
      <c r="X18" s="2380"/>
      <c r="Y18" s="2380"/>
      <c r="Z18" s="2380" t="str">
        <f>IFERROR(IF('ARDT Cutter Entry'!$C$94&lt;&gt;"",IF(IFERROR(VALUE(RIGHT('ARDT Cutter Entry'!F97,2)),1)=1, LEFT(SUBSTITUTE('ARDT Cutter Entry'!F97,"*",""),LEN(SUBSTITUTE('ARDT Cutter Entry'!F97,"*",""))-1),LEFT(SUBSTITUTE('ARDT Cutter Entry'!F97,"*",""),LEN(SUBSTITUTE('ARDT Cutter Entry'!F97,"*",""))-2)),IF(IFERROR(VALUE(RIGHT('ARDT Cutter Entry'!F29,2)),1)=1, LEFT(SUBSTITUTE('ARDT Cutter Entry'!F29,"*",""),LEN(SUBSTITUTE('ARDT Cutter Entry'!F29,"*",""))-1),LEFT(SUBSTITUTE('ARDT Cutter Entry'!F29,"*",""),LEN(SUBSTITUTE('ARDT Cutter Entry'!F29,"*",""))-2) )),"")</f>
        <v>X</v>
      </c>
      <c r="AA18" s="2380"/>
      <c r="AB18" s="2380"/>
      <c r="AC18" s="2380"/>
      <c r="AD18" s="2380"/>
      <c r="AE18" s="2380"/>
      <c r="AF18" s="2380"/>
      <c r="AG18" s="2380"/>
      <c r="AH18" s="2380" t="str">
        <f>IFERROR(IF('ARDT Cutter Entry'!$C$94&lt;&gt;"",IF(IFERROR(VALUE(RIGHT('ARDT Cutter Entry'!G97,2)),1)=1, LEFT(SUBSTITUTE('ARDT Cutter Entry'!G97,"*",""),LEN(SUBSTITUTE('ARDT Cutter Entry'!G97,"*",""))-1),LEFT(SUBSTITUTE('ARDT Cutter Entry'!G97,"*",""),LEN(SUBSTITUTE('ARDT Cutter Entry'!G97,"*",""))-2)),IF(IFERROR(VALUE(RIGHT('ARDT Cutter Entry'!G29,2)),1)=1, LEFT(SUBSTITUTE('ARDT Cutter Entry'!G29,"*",""),LEN(SUBSTITUTE('ARDT Cutter Entry'!G29,"*",""))-1),LEFT(SUBSTITUTE('ARDT Cutter Entry'!G29,"*",""),LEN(SUBSTITUTE('ARDT Cutter Entry'!G29,"*",""))-2) )),"")</f>
        <v>R</v>
      </c>
      <c r="AI18" s="2380"/>
      <c r="AJ18" s="2380"/>
      <c r="AK18" s="2380"/>
      <c r="AL18" s="2380"/>
      <c r="AM18" s="2380"/>
      <c r="AN18" s="2380"/>
      <c r="AO18" s="2380"/>
      <c r="AP18" s="2380" t="str">
        <f>IFERROR(IF('ARDT Cutter Entry'!$C$94&lt;&gt;"",IF(IFERROR(VALUE(RIGHT('ARDT Cutter Entry'!H97,2)),1)=1, LEFT(SUBSTITUTE('ARDT Cutter Entry'!H97,"*",""),LEN(SUBSTITUTE('ARDT Cutter Entry'!H97,"*",""))-1),LEFT(SUBSTITUTE('ARDT Cutter Entry'!H97,"*",""),LEN(SUBSTITUTE('ARDT Cutter Entry'!H97,"*",""))-2)),IF(IFERROR(VALUE(RIGHT('ARDT Cutter Entry'!H29,2)),1)=1, LEFT(SUBSTITUTE('ARDT Cutter Entry'!H29,"*",""),LEN(SUBSTITUTE('ARDT Cutter Entry'!H29,"*",""))-1),LEFT(SUBSTITUTE('ARDT Cutter Entry'!H29,"*",""),LEN(SUBSTITUTE('ARDT Cutter Entry'!H29,"*",""))-2) )),"")</f>
        <v>X</v>
      </c>
      <c r="AQ18" s="2380"/>
      <c r="AR18" s="2380"/>
      <c r="AS18" s="2380"/>
      <c r="AT18" s="2380"/>
      <c r="AU18" s="2380"/>
      <c r="AV18" s="2380"/>
      <c r="AW18" s="2380"/>
      <c r="AX18" s="2380" t="str">
        <f>IFERROR(IF('ARDT Cutter Entry'!$C$94&lt;&gt;"",IF(IFERROR(VALUE(RIGHT('ARDT Cutter Entry'!I97,2)),1)=1, LEFT(SUBSTITUTE('ARDT Cutter Entry'!I97,"*",""),LEN(SUBSTITUTE('ARDT Cutter Entry'!I97,"*",""))-1),LEFT(SUBSTITUTE('ARDT Cutter Entry'!I97,"*",""),LEN(SUBSTITUTE('ARDT Cutter Entry'!I97,"*",""))-2)),IF(IFERROR(VALUE(RIGHT('ARDT Cutter Entry'!I29,2)),1)=1, LEFT(SUBSTITUTE('ARDT Cutter Entry'!I29,"*",""),LEN(SUBSTITUTE('ARDT Cutter Entry'!I29,"*",""))-1),LEFT(SUBSTITUTE('ARDT Cutter Entry'!I29,"*",""),LEN(SUBSTITUTE('ARDT Cutter Entry'!I29,"*",""))-2) )),"")</f>
        <v/>
      </c>
      <c r="AY18" s="2380"/>
      <c r="AZ18" s="2380"/>
      <c r="BA18" s="2380"/>
      <c r="BB18" s="2380"/>
      <c r="BC18" s="2380"/>
      <c r="BD18" s="2380"/>
      <c r="BE18" s="2380"/>
      <c r="BF18" s="2380" t="str">
        <f>IFERROR(IF('ARDT Cutter Entry'!$C$94&lt;&gt;"",IF(IFERROR(VALUE(RIGHT('ARDT Cutter Entry'!J97,2)),1)=1, LEFT(SUBSTITUTE('ARDT Cutter Entry'!J97,"*",""),LEN(SUBSTITUTE('ARDT Cutter Entry'!J97,"*",""))-1),LEFT(SUBSTITUTE('ARDT Cutter Entry'!J97,"*",""),LEN(SUBSTITUTE('ARDT Cutter Entry'!J97,"*",""))-2)),IF(IFERROR(VALUE(RIGHT('ARDT Cutter Entry'!J29,2)),1)=1, LEFT(SUBSTITUTE('ARDT Cutter Entry'!J29,"*",""),LEN(SUBSTITUTE('ARDT Cutter Entry'!J29,"*",""))-1),LEFT(SUBSTITUTE('ARDT Cutter Entry'!J29,"*",""),LEN(SUBSTITUTE('ARDT Cutter Entry'!J29,"*",""))-2) )),"")</f>
        <v/>
      </c>
      <c r="BG18" s="2380"/>
      <c r="BH18" s="2380"/>
      <c r="BI18" s="2380"/>
      <c r="BJ18" s="2380"/>
      <c r="BK18" s="2380"/>
      <c r="BL18" s="2380"/>
      <c r="BM18" s="2380"/>
      <c r="BN18" s="2380" t="str">
        <f>IFERROR(IF('ARDT Cutter Entry'!$C$94&lt;&gt;"",IF(IFERROR(VALUE(RIGHT('ARDT Cutter Entry'!K97,2)),1)=1, LEFT(SUBSTITUTE('ARDT Cutter Entry'!K97,"*",""),LEN(SUBSTITUTE('ARDT Cutter Entry'!K97,"*",""))-1),LEFT(SUBSTITUTE('ARDT Cutter Entry'!K97,"*",""),LEN(SUBSTITUTE('ARDT Cutter Entry'!K97,"*",""))-2)),IF(IFERROR(VALUE(RIGHT('ARDT Cutter Entry'!K29,2)),1)=1, LEFT(SUBSTITUTE('ARDT Cutter Entry'!K29,"*",""),LEN(SUBSTITUTE('ARDT Cutter Entry'!K29,"*",""))-1),LEFT(SUBSTITUTE('ARDT Cutter Entry'!K29,"*",""),LEN(SUBSTITUTE('ARDT Cutter Entry'!K29,"*",""))-2) )),"")</f>
        <v/>
      </c>
      <c r="BO18" s="2380"/>
      <c r="BP18" s="2380"/>
      <c r="BQ18" s="2380"/>
      <c r="BR18" s="2380"/>
      <c r="BS18" s="2380"/>
      <c r="BT18" s="2380"/>
      <c r="BU18" s="2380"/>
      <c r="BV18" s="2380" t="str">
        <f>IFERROR(IF('ARDT Cutter Entry'!$C$94&lt;&gt;"",IF(IFERROR(VALUE(RIGHT('ARDT Cutter Entry'!L97,2)),1)=1, LEFT(SUBSTITUTE('ARDT Cutter Entry'!L97,"*",""),LEN(SUBSTITUTE('ARDT Cutter Entry'!L97,"*",""))-1),LEFT(SUBSTITUTE('ARDT Cutter Entry'!L97,"*",""),LEN(SUBSTITUTE('ARDT Cutter Entry'!L97,"*",""))-2)),IF(IFERROR(VALUE(RIGHT('ARDT Cutter Entry'!L29,2)),1)=1, LEFT(SUBSTITUTE('ARDT Cutter Entry'!L29,"*",""),LEN(SUBSTITUTE('ARDT Cutter Entry'!L29,"*",""))-1),LEFT(SUBSTITUTE('ARDT Cutter Entry'!L29,"*",""),LEN(SUBSTITUTE('ARDT Cutter Entry'!L29,"*",""))-2) )),"")</f>
        <v>R</v>
      </c>
      <c r="BW18" s="2380"/>
      <c r="BX18" s="2380"/>
      <c r="BY18" s="2380"/>
      <c r="BZ18" s="2380"/>
      <c r="CA18" s="2380"/>
      <c r="CB18" s="2380"/>
      <c r="CC18" s="2380"/>
      <c r="CD18" s="2380" t="str">
        <f>IFERROR(IF('ARDT Cutter Entry'!$C$94&lt;&gt;"",IF(IFERROR(VALUE(RIGHT('ARDT Cutter Entry'!M97,2)),1)=1, LEFT(SUBSTITUTE('ARDT Cutter Entry'!M97,"*",""),LEN(SUBSTITUTE('ARDT Cutter Entry'!M97,"*",""))-1),LEFT(SUBSTITUTE('ARDT Cutter Entry'!M97,"*",""),LEN(SUBSTITUTE('ARDT Cutter Entry'!M97,"*",""))-2)),IF(IFERROR(VALUE(RIGHT('ARDT Cutter Entry'!M29,2)),1)=1, LEFT(SUBSTITUTE('ARDT Cutter Entry'!M29,"*",""),LEN(SUBSTITUTE('ARDT Cutter Entry'!M29,"*",""))-1),LEFT(SUBSTITUTE('ARDT Cutter Entry'!M29,"*",""),LEN(SUBSTITUTE('ARDT Cutter Entry'!M29,"*",""))-2) )),"")</f>
        <v>R</v>
      </c>
      <c r="CE18" s="2380"/>
      <c r="CF18" s="2380"/>
      <c r="CG18" s="2380"/>
      <c r="CH18" s="2380"/>
      <c r="CI18" s="2380"/>
      <c r="CJ18" s="2380"/>
      <c r="CK18" s="2380"/>
      <c r="CL18" s="2380" t="str">
        <f>IFERROR(IF('ARDT Cutter Entry'!$C$94&lt;&gt;"",IF(IFERROR(VALUE(RIGHT('ARDT Cutter Entry'!N97,2)),1)=1, LEFT(SUBSTITUTE('ARDT Cutter Entry'!N97,"*",""),LEN(SUBSTITUTE('ARDT Cutter Entry'!N97,"*",""))-1),LEFT(SUBSTITUTE('ARDT Cutter Entry'!N97,"*",""),LEN(SUBSTITUTE('ARDT Cutter Entry'!N97,"*",""))-2)),IF(IFERROR(VALUE(RIGHT('ARDT Cutter Entry'!N29,2)),1)=1, LEFT(SUBSTITUTE('ARDT Cutter Entry'!N29,"*",""),LEN(SUBSTITUTE('ARDT Cutter Entry'!N29,"*",""))-1),LEFT(SUBSTITUTE('ARDT Cutter Entry'!N29,"*",""),LEN(SUBSTITUTE('ARDT Cutter Entry'!N29,"*",""))-2) )),"")</f>
        <v>R</v>
      </c>
      <c r="CM18" s="2380"/>
      <c r="CN18" s="2380"/>
      <c r="CO18" s="2380"/>
      <c r="CP18" s="2380"/>
      <c r="CQ18" s="2380"/>
      <c r="CR18" s="2380"/>
      <c r="CS18" s="2380"/>
      <c r="CT18" s="2380" t="str">
        <f>IFERROR(IF('ARDT Cutter Entry'!$C$94&lt;&gt;"",IF(IFERROR(VALUE(RIGHT('ARDT Cutter Entry'!O97,2)),1)=1, LEFT(SUBSTITUTE('ARDT Cutter Entry'!O97,"*",""),LEN(SUBSTITUTE('ARDT Cutter Entry'!O97,"*",""))-1),LEFT(SUBSTITUTE('ARDT Cutter Entry'!O97,"*",""),LEN(SUBSTITUTE('ARDT Cutter Entry'!O97,"*",""))-2)),IF(IFERROR(VALUE(RIGHT('ARDT Cutter Entry'!O29,2)),1)=1, LEFT(SUBSTITUTE('ARDT Cutter Entry'!O29,"*",""),LEN(SUBSTITUTE('ARDT Cutter Entry'!O29,"*",""))-1),LEFT(SUBSTITUTE('ARDT Cutter Entry'!O29,"*",""),LEN(SUBSTITUTE('ARDT Cutter Entry'!O29,"*",""))-2) )),"")</f>
        <v>S</v>
      </c>
      <c r="CU18" s="2380"/>
      <c r="CV18" s="2380"/>
      <c r="CW18" s="2380"/>
      <c r="CX18" s="2380"/>
      <c r="CY18" s="2380"/>
      <c r="CZ18" s="2380"/>
      <c r="DA18" s="2380"/>
      <c r="DB18" s="2380" t="str">
        <f>IFERROR(IF('ARDT Cutter Entry'!$C$94&lt;&gt;"",IF(IFERROR(VALUE(RIGHT('ARDT Cutter Entry'!P97,2)),1)=1, LEFT(SUBSTITUTE('ARDT Cutter Entry'!P97,"*",""),LEN(SUBSTITUTE('ARDT Cutter Entry'!P97,"*",""))-1),LEFT(SUBSTITUTE('ARDT Cutter Entry'!P97,"*",""),LEN(SUBSTITUTE('ARDT Cutter Entry'!P97,"*",""))-2)),IF(IFERROR(VALUE(RIGHT('ARDT Cutter Entry'!P29,2)),1)=1, LEFT(SUBSTITUTE('ARDT Cutter Entry'!P29,"*",""),LEN(SUBSTITUTE('ARDT Cutter Entry'!P29,"*",""))-1),LEFT(SUBSTITUTE('ARDT Cutter Entry'!P29,"*",""),LEN(SUBSTITUTE('ARDT Cutter Entry'!P29,"*",""))-2) )),"")</f>
        <v/>
      </c>
      <c r="DC18" s="2380"/>
      <c r="DD18" s="2380"/>
      <c r="DE18" s="2380"/>
      <c r="DF18" s="2380"/>
      <c r="DG18" s="2380"/>
      <c r="DH18" s="2380"/>
      <c r="DI18" s="2380"/>
      <c r="DJ18" s="2380" t="str">
        <f>IFERROR(IF('ARDT Cutter Entry'!$C$94&lt;&gt;"",IF(IFERROR(VALUE(RIGHT('ARDT Cutter Entry'!Q97,2)),1)=1, LEFT(SUBSTITUTE('ARDT Cutter Entry'!Q97,"*",""),LEN(SUBSTITUTE('ARDT Cutter Entry'!Q97,"*",""))-1),LEFT(SUBSTITUTE('ARDT Cutter Entry'!Q97,"*",""),LEN(SUBSTITUTE('ARDT Cutter Entry'!Q97,"*",""))-2)),IF(IFERROR(VALUE(RIGHT('ARDT Cutter Entry'!Q29,2)),1)=1, LEFT(SUBSTITUTE('ARDT Cutter Entry'!Q29,"*",""),LEN(SUBSTITUTE('ARDT Cutter Entry'!Q29,"*",""))-1),LEFT(SUBSTITUTE('ARDT Cutter Entry'!Q29,"*",""),LEN(SUBSTITUTE('ARDT Cutter Entry'!Q29,"*",""))-2) )),"")</f>
        <v/>
      </c>
      <c r="DK18" s="2380"/>
      <c r="DL18" s="2380"/>
      <c r="DM18" s="2380"/>
      <c r="DN18" s="2380"/>
      <c r="DO18" s="2380"/>
      <c r="DP18" s="2380"/>
      <c r="DQ18" s="2380"/>
      <c r="DR18" s="2380" t="str">
        <f>IFERROR(IF('ARDT Cutter Entry'!$C$94&lt;&gt;"",IF(IFERROR(VALUE(RIGHT('ARDT Cutter Entry'!R97,2)),1)=1, LEFT(SUBSTITUTE('ARDT Cutter Entry'!R97,"*",""),LEN(SUBSTITUTE('ARDT Cutter Entry'!R97,"*",""))-1),LEFT(SUBSTITUTE('ARDT Cutter Entry'!R97,"*",""),LEN(SUBSTITUTE('ARDT Cutter Entry'!R97,"*",""))-2)),IF(IFERROR(VALUE(RIGHT('ARDT Cutter Entry'!R29,2)),1)=1, LEFT(SUBSTITUTE('ARDT Cutter Entry'!R29,"*",""),LEN(SUBSTITUTE('ARDT Cutter Entry'!R29,"*",""))-1),LEFT(SUBSTITUTE('ARDT Cutter Entry'!R29,"*",""),LEN(SUBSTITUTE('ARDT Cutter Entry'!R29,"*",""))-2) )),"")</f>
        <v/>
      </c>
      <c r="DS18" s="2380"/>
      <c r="DT18" s="2380"/>
      <c r="DU18" s="2380"/>
      <c r="DV18" s="2380"/>
      <c r="DW18" s="2380"/>
      <c r="DX18" s="2380"/>
      <c r="DY18" s="2380"/>
      <c r="DZ18" s="2380" t="str">
        <f>IFERROR(IF('ARDT Cutter Entry'!$C$94&lt;&gt;"",IF(IFERROR(VALUE(RIGHT('ARDT Cutter Entry'!S97,2)),1)=1, LEFT(SUBSTITUTE('ARDT Cutter Entry'!S97,"*",""),LEN(SUBSTITUTE('ARDT Cutter Entry'!S97,"*",""))-1),LEFT(SUBSTITUTE('ARDT Cutter Entry'!S97,"*",""),LEN(SUBSTITUTE('ARDT Cutter Entry'!S97,"*",""))-2)),IF(IFERROR(VALUE(RIGHT('ARDT Cutter Entry'!S29,2)),1)=1, LEFT(SUBSTITUTE('ARDT Cutter Entry'!S29,"*",""),LEN(SUBSTITUTE('ARDT Cutter Entry'!S29,"*",""))-1),LEFT(SUBSTITUTE('ARDT Cutter Entry'!S29,"*",""),LEN(SUBSTITUTE('ARDT Cutter Entry'!S29,"*",""))-2) )),"")</f>
        <v/>
      </c>
      <c r="EA18" s="2380"/>
      <c r="EB18" s="2380"/>
      <c r="EC18" s="2380"/>
      <c r="ED18" s="2380"/>
      <c r="EE18" s="2380"/>
      <c r="EF18" s="2380"/>
      <c r="EG18" s="2380"/>
      <c r="EH18" s="2380" t="str">
        <f>IFERROR(IF('ARDT Cutter Entry'!$C$94&lt;&gt;"",IF(IFERROR(VALUE(RIGHT('ARDT Cutter Entry'!T97,2)),1)=1, LEFT(SUBSTITUTE('ARDT Cutter Entry'!T97,"*",""),LEN(SUBSTITUTE('ARDT Cutter Entry'!T97,"*",""))-1),LEFT(SUBSTITUTE('ARDT Cutter Entry'!T97,"*",""),LEN(SUBSTITUTE('ARDT Cutter Entry'!T97,"*",""))-2)),IF(IFERROR(VALUE(RIGHT('ARDT Cutter Entry'!T29,2)),1)=1, LEFT(SUBSTITUTE('ARDT Cutter Entry'!T29,"*",""),LEN(SUBSTITUTE('ARDT Cutter Entry'!T29,"*",""))-1),LEFT(SUBSTITUTE('ARDT Cutter Entry'!T29,"*",""),LEN(SUBSTITUTE('ARDT Cutter Entry'!T29,"*",""))-2) )),"")</f>
        <v/>
      </c>
      <c r="EI18" s="2380"/>
      <c r="EJ18" s="2380"/>
      <c r="EK18" s="2380"/>
      <c r="EL18" s="2380"/>
      <c r="EM18" s="2380"/>
      <c r="EN18" s="2380"/>
      <c r="EO18" s="2380"/>
      <c r="EP18" s="2380" t="str">
        <f>IFERROR(IF('ARDT Cutter Entry'!$C$94&lt;&gt;"",IF(IFERROR(VALUE(RIGHT('ARDT Cutter Entry'!U97,2)),1)=1, LEFT(SUBSTITUTE('ARDT Cutter Entry'!U97,"*",""),LEN(SUBSTITUTE('ARDT Cutter Entry'!U97,"*",""))-1),LEFT(SUBSTITUTE('ARDT Cutter Entry'!U97,"*",""),LEN(SUBSTITUTE('ARDT Cutter Entry'!U97,"*",""))-2)),IF(IFERROR(VALUE(RIGHT('ARDT Cutter Entry'!U29,2)),1)=1, LEFT(SUBSTITUTE('ARDT Cutter Entry'!U29,"*",""),LEN(SUBSTITUTE('ARDT Cutter Entry'!U29,"*",""))-1),LEFT(SUBSTITUTE('ARDT Cutter Entry'!U29,"*",""),LEN(SUBSTITUTE('ARDT Cutter Entry'!U29,"*",""))-2) )),"")</f>
        <v/>
      </c>
      <c r="EQ18" s="2380"/>
      <c r="ER18" s="2380"/>
      <c r="ES18" s="2380"/>
      <c r="ET18" s="2380"/>
      <c r="EU18" s="2380"/>
      <c r="EV18" s="2380"/>
      <c r="EW18" s="2380"/>
      <c r="EX18" s="2380" t="str">
        <f>IFERROR(IF('ARDT Cutter Entry'!$C$94&lt;&gt;"",IF(IFERROR(VALUE(RIGHT('ARDT Cutter Entry'!V97,2)),1)=1, LEFT(SUBSTITUTE('ARDT Cutter Entry'!V97,"*",""),LEN(SUBSTITUTE('ARDT Cutter Entry'!V97,"*",""))-1),LEFT(SUBSTITUTE('ARDT Cutter Entry'!V97,"*",""),LEN(SUBSTITUTE('ARDT Cutter Entry'!V97,"*",""))-2)),IF(IFERROR(VALUE(RIGHT('ARDT Cutter Entry'!V29,2)),1)=1, LEFT(SUBSTITUTE('ARDT Cutter Entry'!V29,"*",""),LEN(SUBSTITUTE('ARDT Cutter Entry'!V29,"*",""))-1),LEFT(SUBSTITUTE('ARDT Cutter Entry'!V29,"*",""),LEN(SUBSTITUTE('ARDT Cutter Entry'!V29,"*",""))-2) )),"")</f>
        <v/>
      </c>
      <c r="EY18" s="2380"/>
      <c r="EZ18" s="2380"/>
      <c r="FA18" s="2380"/>
      <c r="FB18" s="2380"/>
      <c r="FC18" s="2380"/>
      <c r="FD18" s="2380"/>
      <c r="FE18" s="2380"/>
      <c r="FF18" s="2380" t="str">
        <f>IFERROR(IF('ARDT Cutter Entry'!$C$94&lt;&gt;"",IF(IFERROR(VALUE(RIGHT('ARDT Cutter Entry'!W97,2)),1)=1, LEFT(SUBSTITUTE('ARDT Cutter Entry'!W97,"*",""),LEN(SUBSTITUTE('ARDT Cutter Entry'!W97,"*",""))-1),LEFT(SUBSTITUTE('ARDT Cutter Entry'!W97,"*",""),LEN(SUBSTITUTE('ARDT Cutter Entry'!W97,"*",""))-2)),IF(IFERROR(VALUE(RIGHT('ARDT Cutter Entry'!W29,2)),1)=1, LEFT(SUBSTITUTE('ARDT Cutter Entry'!W29,"*",""),LEN(SUBSTITUTE('ARDT Cutter Entry'!W29,"*",""))-1),LEFT(SUBSTITUTE('ARDT Cutter Entry'!W29,"*",""),LEN(SUBSTITUTE('ARDT Cutter Entry'!W29,"*",""))-2) )),"")</f>
        <v/>
      </c>
      <c r="FG18" s="2380"/>
      <c r="FH18" s="2380"/>
      <c r="FI18" s="2380"/>
      <c r="FJ18" s="2380"/>
      <c r="FK18" s="2380"/>
      <c r="FL18" s="2380"/>
      <c r="FM18" s="2380"/>
      <c r="FN18" s="2380" t="str">
        <f>IFERROR(IF('ARDT Cutter Entry'!$C$94&lt;&gt;"",IF(IFERROR(VALUE(RIGHT('ARDT Cutter Entry'!X97,2)),1)=1, LEFT(SUBSTITUTE('ARDT Cutter Entry'!X97,"*",""),LEN(SUBSTITUTE('ARDT Cutter Entry'!X97,"*",""))-1),LEFT(SUBSTITUTE('ARDT Cutter Entry'!X97,"*",""),LEN(SUBSTITUTE('ARDT Cutter Entry'!X97,"*",""))-2)),IF(IFERROR(VALUE(RIGHT('ARDT Cutter Entry'!X29,2)),1)=1, LEFT(SUBSTITUTE('ARDT Cutter Entry'!X29,"*",""),LEN(SUBSTITUTE('ARDT Cutter Entry'!X29,"*",""))-1),LEFT(SUBSTITUTE('ARDT Cutter Entry'!X29,"*",""),LEN(SUBSTITUTE('ARDT Cutter Entry'!X29,"*",""))-2) )),"")</f>
        <v/>
      </c>
      <c r="FO18" s="2380"/>
      <c r="FP18" s="2380"/>
      <c r="FQ18" s="2380"/>
      <c r="FR18" s="2380"/>
      <c r="FS18" s="2380"/>
      <c r="FT18" s="2380"/>
      <c r="FU18" s="2380"/>
      <c r="FV18" s="2380" t="str">
        <f>IFERROR(IF('ARDT Cutter Entry'!$C$94&lt;&gt;"",IF(IFERROR(VALUE(RIGHT('ARDT Cutter Entry'!Y97,2)),1)=1, LEFT(SUBSTITUTE('ARDT Cutter Entry'!Y97,"*",""),LEN(SUBSTITUTE('ARDT Cutter Entry'!Y97,"*",""))-1),LEFT(SUBSTITUTE('ARDT Cutter Entry'!Y97,"*",""),LEN(SUBSTITUTE('ARDT Cutter Entry'!Y97,"*",""))-2)),IF(IFERROR(VALUE(RIGHT('ARDT Cutter Entry'!Y29,2)),1)=1, LEFT(SUBSTITUTE('ARDT Cutter Entry'!Y29,"*",""),LEN(SUBSTITUTE('ARDT Cutter Entry'!Y29,"*",""))-1),LEFT(SUBSTITUTE('ARDT Cutter Entry'!Y29,"*",""),LEN(SUBSTITUTE('ARDT Cutter Entry'!Y29,"*",""))-2) )),"")</f>
        <v/>
      </c>
      <c r="FW18" s="2380"/>
      <c r="FX18" s="2380"/>
      <c r="FY18" s="2380"/>
      <c r="FZ18" s="2380"/>
      <c r="GA18" s="2380"/>
      <c r="GB18" s="2380"/>
      <c r="GC18" s="2380"/>
      <c r="GD18" s="2384"/>
      <c r="GE18" s="2384"/>
      <c r="GF18" s="2384"/>
      <c r="GG18" s="2384"/>
    </row>
    <row r="19" spans="1:206" ht="44.25" customHeight="1" x14ac:dyDescent="0.55000000000000004">
      <c r="A19" s="338">
        <v>5</v>
      </c>
      <c r="B19" s="2380" t="str">
        <f>IFERROR(IF('ARDT Cutter Entry'!$C$94&lt;&gt;"",IF(IFERROR(VALUE(RIGHT('ARDT Cutter Entry'!C98,2)),1)=1, LEFT(SUBSTITUTE('ARDT Cutter Entry'!C98,"*",""),LEN(SUBSTITUTE('ARDT Cutter Entry'!C98,"*",""))-1),LEFT(SUBSTITUTE('ARDT Cutter Entry'!C98,"*",""),LEN(SUBSTITUTE('ARDT Cutter Entry'!C98,"*",""))-2)),IF(IFERROR(VALUE(RIGHT('ARDT Cutter Entry'!C30,2)),1)=1, LEFT(SUBSTITUTE('ARDT Cutter Entry'!C30,"*",""),LEN(SUBSTITUTE('ARDT Cutter Entry'!C30,"*",""))-1),LEFT(SUBSTITUTE('ARDT Cutter Entry'!C30,"*",""),LEN(SUBSTITUTE('ARDT Cutter Entry'!C30,"*",""))-2) )),"")</f>
        <v>R</v>
      </c>
      <c r="C19" s="2380"/>
      <c r="D19" s="2380"/>
      <c r="E19" s="2380"/>
      <c r="F19" s="2380"/>
      <c r="G19" s="2380"/>
      <c r="H19" s="2380"/>
      <c r="I19" s="2380"/>
      <c r="J19" s="2380" t="str">
        <f>IFERROR(IF('ARDT Cutter Entry'!$C$94&lt;&gt;"",IF(IFERROR(VALUE(RIGHT('ARDT Cutter Entry'!D98,2)),1)=1, LEFT(SUBSTITUTE('ARDT Cutter Entry'!D98,"*",""),LEN(SUBSTITUTE('ARDT Cutter Entry'!D98,"*",""))-1),LEFT(SUBSTITUTE('ARDT Cutter Entry'!D98,"*",""),LEN(SUBSTITUTE('ARDT Cutter Entry'!D98,"*",""))-2)),IF(IFERROR(VALUE(RIGHT('ARDT Cutter Entry'!D30,2)),1)=1, LEFT(SUBSTITUTE('ARDT Cutter Entry'!D30,"*",""),LEN(SUBSTITUTE('ARDT Cutter Entry'!D30,"*",""))-1),LEFT(SUBSTITUTE('ARDT Cutter Entry'!D30,"*",""),LEN(SUBSTITUTE('ARDT Cutter Entry'!D30,"*",""))-2) )),"")</f>
        <v>R</v>
      </c>
      <c r="K19" s="2380"/>
      <c r="L19" s="2380"/>
      <c r="M19" s="2380"/>
      <c r="N19" s="2380"/>
      <c r="O19" s="2380"/>
      <c r="P19" s="2380"/>
      <c r="Q19" s="2380"/>
      <c r="R19" s="2380" t="str">
        <f>IFERROR(IF('ARDT Cutter Entry'!$C$94&lt;&gt;"",IF(IFERROR(VALUE(RIGHT('ARDT Cutter Entry'!E98,2)),1)=1, LEFT(SUBSTITUTE('ARDT Cutter Entry'!E98,"*",""),LEN(SUBSTITUTE('ARDT Cutter Entry'!E98,"*",""))-1),LEFT(SUBSTITUTE('ARDT Cutter Entry'!E98,"*",""),LEN(SUBSTITUTE('ARDT Cutter Entry'!E98,"*",""))-2)),IF(IFERROR(VALUE(RIGHT('ARDT Cutter Entry'!E30,2)),1)=1, LEFT(SUBSTITUTE('ARDT Cutter Entry'!E30,"*",""),LEN(SUBSTITUTE('ARDT Cutter Entry'!E30,"*",""))-1),LEFT(SUBSTITUTE('ARDT Cutter Entry'!E30,"*",""),LEN(SUBSTITUTE('ARDT Cutter Entry'!E30,"*",""))-2) )),"")</f>
        <v>X</v>
      </c>
      <c r="S19" s="2380"/>
      <c r="T19" s="2380"/>
      <c r="U19" s="2380"/>
      <c r="V19" s="2380"/>
      <c r="W19" s="2380"/>
      <c r="X19" s="2380"/>
      <c r="Y19" s="2380"/>
      <c r="Z19" s="2380" t="str">
        <f>IFERROR(IF('ARDT Cutter Entry'!$C$94&lt;&gt;"",IF(IFERROR(VALUE(RIGHT('ARDT Cutter Entry'!F98,2)),1)=1, LEFT(SUBSTITUTE('ARDT Cutter Entry'!F98,"*",""),LEN(SUBSTITUTE('ARDT Cutter Entry'!F98,"*",""))-1),LEFT(SUBSTITUTE('ARDT Cutter Entry'!F98,"*",""),LEN(SUBSTITUTE('ARDT Cutter Entry'!F98,"*",""))-2)),IF(IFERROR(VALUE(RIGHT('ARDT Cutter Entry'!F30,2)),1)=1, LEFT(SUBSTITUTE('ARDT Cutter Entry'!F30,"*",""),LEN(SUBSTITUTE('ARDT Cutter Entry'!F30,"*",""))-1),LEFT(SUBSTITUTE('ARDT Cutter Entry'!F30,"*",""),LEN(SUBSTITUTE('ARDT Cutter Entry'!F30,"*",""))-2) )),"")</f>
        <v>X</v>
      </c>
      <c r="AA19" s="2380"/>
      <c r="AB19" s="2380"/>
      <c r="AC19" s="2380"/>
      <c r="AD19" s="2380"/>
      <c r="AE19" s="2380"/>
      <c r="AF19" s="2380"/>
      <c r="AG19" s="2380"/>
      <c r="AH19" s="2380" t="str">
        <f>IFERROR(IF('ARDT Cutter Entry'!$C$94&lt;&gt;"",IF(IFERROR(VALUE(RIGHT('ARDT Cutter Entry'!G98,2)),1)=1, LEFT(SUBSTITUTE('ARDT Cutter Entry'!G98,"*",""),LEN(SUBSTITUTE('ARDT Cutter Entry'!G98,"*",""))-1),LEFT(SUBSTITUTE('ARDT Cutter Entry'!G98,"*",""),LEN(SUBSTITUTE('ARDT Cutter Entry'!G98,"*",""))-2)),IF(IFERROR(VALUE(RIGHT('ARDT Cutter Entry'!G30,2)),1)=1, LEFT(SUBSTITUTE('ARDT Cutter Entry'!G30,"*",""),LEN(SUBSTITUTE('ARDT Cutter Entry'!G30,"*",""))-1),LEFT(SUBSTITUTE('ARDT Cutter Entry'!G30,"*",""),LEN(SUBSTITUTE('ARDT Cutter Entry'!G30,"*",""))-2) )),"")</f>
        <v>X</v>
      </c>
      <c r="AI19" s="2380"/>
      <c r="AJ19" s="2380"/>
      <c r="AK19" s="2380"/>
      <c r="AL19" s="2380"/>
      <c r="AM19" s="2380"/>
      <c r="AN19" s="2380"/>
      <c r="AO19" s="2380"/>
      <c r="AP19" s="2380" t="str">
        <f>IFERROR(IF('ARDT Cutter Entry'!$C$94&lt;&gt;"",IF(IFERROR(VALUE(RIGHT('ARDT Cutter Entry'!H98,2)),1)=1, LEFT(SUBSTITUTE('ARDT Cutter Entry'!H98,"*",""),LEN(SUBSTITUTE('ARDT Cutter Entry'!H98,"*",""))-1),LEFT(SUBSTITUTE('ARDT Cutter Entry'!H98,"*",""),LEN(SUBSTITUTE('ARDT Cutter Entry'!H98,"*",""))-2)),IF(IFERROR(VALUE(RIGHT('ARDT Cutter Entry'!H30,2)),1)=1, LEFT(SUBSTITUTE('ARDT Cutter Entry'!H30,"*",""),LEN(SUBSTITUTE('ARDT Cutter Entry'!H30,"*",""))-1),LEFT(SUBSTITUTE('ARDT Cutter Entry'!H30,"*",""),LEN(SUBSTITUTE('ARDT Cutter Entry'!H30,"*",""))-2) )),"")</f>
        <v>X</v>
      </c>
      <c r="AQ19" s="2380"/>
      <c r="AR19" s="2380"/>
      <c r="AS19" s="2380"/>
      <c r="AT19" s="2380"/>
      <c r="AU19" s="2380"/>
      <c r="AV19" s="2380"/>
      <c r="AW19" s="2380"/>
      <c r="AX19" s="2380" t="str">
        <f>IFERROR(IF('ARDT Cutter Entry'!$C$94&lt;&gt;"",IF(IFERROR(VALUE(RIGHT('ARDT Cutter Entry'!I98,2)),1)=1, LEFT(SUBSTITUTE('ARDT Cutter Entry'!I98,"*",""),LEN(SUBSTITUTE('ARDT Cutter Entry'!I98,"*",""))-1),LEFT(SUBSTITUTE('ARDT Cutter Entry'!I98,"*",""),LEN(SUBSTITUTE('ARDT Cutter Entry'!I98,"*",""))-2)),IF(IFERROR(VALUE(RIGHT('ARDT Cutter Entry'!I30,2)),1)=1, LEFT(SUBSTITUTE('ARDT Cutter Entry'!I30,"*",""),LEN(SUBSTITUTE('ARDT Cutter Entry'!I30,"*",""))-1),LEFT(SUBSTITUTE('ARDT Cutter Entry'!I30,"*",""),LEN(SUBSTITUTE('ARDT Cutter Entry'!I30,"*",""))-2) )),"")</f>
        <v>R</v>
      </c>
      <c r="AY19" s="2380"/>
      <c r="AZ19" s="2380"/>
      <c r="BA19" s="2380"/>
      <c r="BB19" s="2380"/>
      <c r="BC19" s="2380"/>
      <c r="BD19" s="2380"/>
      <c r="BE19" s="2380"/>
      <c r="BF19" s="2380" t="str">
        <f>IFERROR(IF('ARDT Cutter Entry'!$C$94&lt;&gt;"",IF(IFERROR(VALUE(RIGHT('ARDT Cutter Entry'!J98,2)),1)=1, LEFT(SUBSTITUTE('ARDT Cutter Entry'!J98,"*",""),LEN(SUBSTITUTE('ARDT Cutter Entry'!J98,"*",""))-1),LEFT(SUBSTITUTE('ARDT Cutter Entry'!J98,"*",""),LEN(SUBSTITUTE('ARDT Cutter Entry'!J98,"*",""))-2)),IF(IFERROR(VALUE(RIGHT('ARDT Cutter Entry'!J30,2)),1)=1, LEFT(SUBSTITUTE('ARDT Cutter Entry'!J30,"*",""),LEN(SUBSTITUTE('ARDT Cutter Entry'!J30,"*",""))-1),LEFT(SUBSTITUTE('ARDT Cutter Entry'!J30,"*",""),LEN(SUBSTITUTE('ARDT Cutter Entry'!J30,"*",""))-2) )),"")</f>
        <v>X</v>
      </c>
      <c r="BG19" s="2380"/>
      <c r="BH19" s="2380"/>
      <c r="BI19" s="2380"/>
      <c r="BJ19" s="2380"/>
      <c r="BK19" s="2380"/>
      <c r="BL19" s="2380"/>
      <c r="BM19" s="2380"/>
      <c r="BN19" s="2380" t="str">
        <f>IFERROR(IF('ARDT Cutter Entry'!$C$94&lt;&gt;"",IF(IFERROR(VALUE(RIGHT('ARDT Cutter Entry'!K98,2)),1)=1, LEFT(SUBSTITUTE('ARDT Cutter Entry'!K98,"*",""),LEN(SUBSTITUTE('ARDT Cutter Entry'!K98,"*",""))-1),LEFT(SUBSTITUTE('ARDT Cutter Entry'!K98,"*",""),LEN(SUBSTITUTE('ARDT Cutter Entry'!K98,"*",""))-2)),IF(IFERROR(VALUE(RIGHT('ARDT Cutter Entry'!K30,2)),1)=1, LEFT(SUBSTITUTE('ARDT Cutter Entry'!K30,"*",""),LEN(SUBSTITUTE('ARDT Cutter Entry'!K30,"*",""))-1),LEFT(SUBSTITUTE('ARDT Cutter Entry'!K30,"*",""),LEN(SUBSTITUTE('ARDT Cutter Entry'!K30,"*",""))-2) )),"")</f>
        <v/>
      </c>
      <c r="BO19" s="2380"/>
      <c r="BP19" s="2380"/>
      <c r="BQ19" s="2380"/>
      <c r="BR19" s="2380"/>
      <c r="BS19" s="2380"/>
      <c r="BT19" s="2380"/>
      <c r="BU19" s="2380"/>
      <c r="BV19" s="2380" t="str">
        <f>IFERROR(IF('ARDT Cutter Entry'!$C$94&lt;&gt;"",IF(IFERROR(VALUE(RIGHT('ARDT Cutter Entry'!L98,2)),1)=1, LEFT(SUBSTITUTE('ARDT Cutter Entry'!L98,"*",""),LEN(SUBSTITUTE('ARDT Cutter Entry'!L98,"*",""))-1),LEFT(SUBSTITUTE('ARDT Cutter Entry'!L98,"*",""),LEN(SUBSTITUTE('ARDT Cutter Entry'!L98,"*",""))-2)),IF(IFERROR(VALUE(RIGHT('ARDT Cutter Entry'!L30,2)),1)=1, LEFT(SUBSTITUTE('ARDT Cutter Entry'!L30,"*",""),LEN(SUBSTITUTE('ARDT Cutter Entry'!L30,"*",""))-1),LEFT(SUBSTITUTE('ARDT Cutter Entry'!L30,"*",""),LEN(SUBSTITUTE('ARDT Cutter Entry'!L30,"*",""))-2) )),"")</f>
        <v>R</v>
      </c>
      <c r="BW19" s="2380"/>
      <c r="BX19" s="2380"/>
      <c r="BY19" s="2380"/>
      <c r="BZ19" s="2380"/>
      <c r="CA19" s="2380"/>
      <c r="CB19" s="2380"/>
      <c r="CC19" s="2380"/>
      <c r="CD19" s="2380" t="str">
        <f>IFERROR(IF('ARDT Cutter Entry'!$C$94&lt;&gt;"",IF(IFERROR(VALUE(RIGHT('ARDT Cutter Entry'!M98,2)),1)=1, LEFT(SUBSTITUTE('ARDT Cutter Entry'!M98,"*",""),LEN(SUBSTITUTE('ARDT Cutter Entry'!M98,"*",""))-1),LEFT(SUBSTITUTE('ARDT Cutter Entry'!M98,"*",""),LEN(SUBSTITUTE('ARDT Cutter Entry'!M98,"*",""))-2)),IF(IFERROR(VALUE(RIGHT('ARDT Cutter Entry'!M30,2)),1)=1, LEFT(SUBSTITUTE('ARDT Cutter Entry'!M30,"*",""),LEN(SUBSTITUTE('ARDT Cutter Entry'!M30,"*",""))-1),LEFT(SUBSTITUTE('ARDT Cutter Entry'!M30,"*",""),LEN(SUBSTITUTE('ARDT Cutter Entry'!M30,"*",""))-2) )),"")</f>
        <v>X</v>
      </c>
      <c r="CE19" s="2380"/>
      <c r="CF19" s="2380"/>
      <c r="CG19" s="2380"/>
      <c r="CH19" s="2380"/>
      <c r="CI19" s="2380"/>
      <c r="CJ19" s="2380"/>
      <c r="CK19" s="2380"/>
      <c r="CL19" s="2380" t="str">
        <f>IFERROR(IF('ARDT Cutter Entry'!$C$94&lt;&gt;"",IF(IFERROR(VALUE(RIGHT('ARDT Cutter Entry'!N98,2)),1)=1, LEFT(SUBSTITUTE('ARDT Cutter Entry'!N98,"*",""),LEN(SUBSTITUTE('ARDT Cutter Entry'!N98,"*",""))-1),LEFT(SUBSTITUTE('ARDT Cutter Entry'!N98,"*",""),LEN(SUBSTITUTE('ARDT Cutter Entry'!N98,"*",""))-2)),IF(IFERROR(VALUE(RIGHT('ARDT Cutter Entry'!N30,2)),1)=1, LEFT(SUBSTITUTE('ARDT Cutter Entry'!N30,"*",""),LEN(SUBSTITUTE('ARDT Cutter Entry'!N30,"*",""))-1),LEFT(SUBSTITUTE('ARDT Cutter Entry'!N30,"*",""),LEN(SUBSTITUTE('ARDT Cutter Entry'!N30,"*",""))-2) )),"")</f>
        <v>R</v>
      </c>
      <c r="CM19" s="2380"/>
      <c r="CN19" s="2380"/>
      <c r="CO19" s="2380"/>
      <c r="CP19" s="2380"/>
      <c r="CQ19" s="2380"/>
      <c r="CR19" s="2380"/>
      <c r="CS19" s="2380"/>
      <c r="CT19" s="2380" t="str">
        <f>IFERROR(IF('ARDT Cutter Entry'!$C$94&lt;&gt;"",IF(IFERROR(VALUE(RIGHT('ARDT Cutter Entry'!O98,2)),1)=1, LEFT(SUBSTITUTE('ARDT Cutter Entry'!O98,"*",""),LEN(SUBSTITUTE('ARDT Cutter Entry'!O98,"*",""))-1),LEFT(SUBSTITUTE('ARDT Cutter Entry'!O98,"*",""),LEN(SUBSTITUTE('ARDT Cutter Entry'!O98,"*",""))-2)),IF(IFERROR(VALUE(RIGHT('ARDT Cutter Entry'!O30,2)),1)=1, LEFT(SUBSTITUTE('ARDT Cutter Entry'!O30,"*",""),LEN(SUBSTITUTE('ARDT Cutter Entry'!O30,"*",""))-1),LEFT(SUBSTITUTE('ARDT Cutter Entry'!O30,"*",""),LEN(SUBSTITUTE('ARDT Cutter Entry'!O30,"*",""))-2) )),"")</f>
        <v>R</v>
      </c>
      <c r="CU19" s="2380"/>
      <c r="CV19" s="2380"/>
      <c r="CW19" s="2380"/>
      <c r="CX19" s="2380"/>
      <c r="CY19" s="2380"/>
      <c r="CZ19" s="2380"/>
      <c r="DA19" s="2380"/>
      <c r="DB19" s="2380" t="str">
        <f>IFERROR(IF('ARDT Cutter Entry'!$C$94&lt;&gt;"",IF(IFERROR(VALUE(RIGHT('ARDT Cutter Entry'!P98,2)),1)=1, LEFT(SUBSTITUTE('ARDT Cutter Entry'!P98,"*",""),LEN(SUBSTITUTE('ARDT Cutter Entry'!P98,"*",""))-1),LEFT(SUBSTITUTE('ARDT Cutter Entry'!P98,"*",""),LEN(SUBSTITUTE('ARDT Cutter Entry'!P98,"*",""))-2)),IF(IFERROR(VALUE(RIGHT('ARDT Cutter Entry'!P30,2)),1)=1, LEFT(SUBSTITUTE('ARDT Cutter Entry'!P30,"*",""),LEN(SUBSTITUTE('ARDT Cutter Entry'!P30,"*",""))-1),LEFT(SUBSTITUTE('ARDT Cutter Entry'!P30,"*",""),LEN(SUBSTITUTE('ARDT Cutter Entry'!P30,"*",""))-2) )),"")</f>
        <v/>
      </c>
      <c r="DC19" s="2380"/>
      <c r="DD19" s="2380"/>
      <c r="DE19" s="2380"/>
      <c r="DF19" s="2380"/>
      <c r="DG19" s="2380"/>
      <c r="DH19" s="2380"/>
      <c r="DI19" s="2380"/>
      <c r="DJ19" s="2380" t="str">
        <f>IFERROR(IF('ARDT Cutter Entry'!$C$94&lt;&gt;"",IF(IFERROR(VALUE(RIGHT('ARDT Cutter Entry'!Q98,2)),1)=1, LEFT(SUBSTITUTE('ARDT Cutter Entry'!Q98,"*",""),LEN(SUBSTITUTE('ARDT Cutter Entry'!Q98,"*",""))-1),LEFT(SUBSTITUTE('ARDT Cutter Entry'!Q98,"*",""),LEN(SUBSTITUTE('ARDT Cutter Entry'!Q98,"*",""))-2)),IF(IFERROR(VALUE(RIGHT('ARDT Cutter Entry'!Q30,2)),1)=1, LEFT(SUBSTITUTE('ARDT Cutter Entry'!Q30,"*",""),LEN(SUBSTITUTE('ARDT Cutter Entry'!Q30,"*",""))-1),LEFT(SUBSTITUTE('ARDT Cutter Entry'!Q30,"*",""),LEN(SUBSTITUTE('ARDT Cutter Entry'!Q30,"*",""))-2) )),"")</f>
        <v/>
      </c>
      <c r="DK19" s="2380"/>
      <c r="DL19" s="2380"/>
      <c r="DM19" s="2380"/>
      <c r="DN19" s="2380"/>
      <c r="DO19" s="2380"/>
      <c r="DP19" s="2380"/>
      <c r="DQ19" s="2380"/>
      <c r="DR19" s="2380" t="str">
        <f>IFERROR(IF('ARDT Cutter Entry'!$C$94&lt;&gt;"",IF(IFERROR(VALUE(RIGHT('ARDT Cutter Entry'!R98,2)),1)=1, LEFT(SUBSTITUTE('ARDT Cutter Entry'!R98,"*",""),LEN(SUBSTITUTE('ARDT Cutter Entry'!R98,"*",""))-1),LEFT(SUBSTITUTE('ARDT Cutter Entry'!R98,"*",""),LEN(SUBSTITUTE('ARDT Cutter Entry'!R98,"*",""))-2)),IF(IFERROR(VALUE(RIGHT('ARDT Cutter Entry'!R30,2)),1)=1, LEFT(SUBSTITUTE('ARDT Cutter Entry'!R30,"*",""),LEN(SUBSTITUTE('ARDT Cutter Entry'!R30,"*",""))-1),LEFT(SUBSTITUTE('ARDT Cutter Entry'!R30,"*",""),LEN(SUBSTITUTE('ARDT Cutter Entry'!R30,"*",""))-2) )),"")</f>
        <v/>
      </c>
      <c r="DS19" s="2380"/>
      <c r="DT19" s="2380"/>
      <c r="DU19" s="2380"/>
      <c r="DV19" s="2380"/>
      <c r="DW19" s="2380"/>
      <c r="DX19" s="2380"/>
      <c r="DY19" s="2380"/>
      <c r="DZ19" s="2380" t="str">
        <f>IFERROR(IF('ARDT Cutter Entry'!$C$94&lt;&gt;"",IF(IFERROR(VALUE(RIGHT('ARDT Cutter Entry'!S98,2)),1)=1, LEFT(SUBSTITUTE('ARDT Cutter Entry'!S98,"*",""),LEN(SUBSTITUTE('ARDT Cutter Entry'!S98,"*",""))-1),LEFT(SUBSTITUTE('ARDT Cutter Entry'!S98,"*",""),LEN(SUBSTITUTE('ARDT Cutter Entry'!S98,"*",""))-2)),IF(IFERROR(VALUE(RIGHT('ARDT Cutter Entry'!S30,2)),1)=1, LEFT(SUBSTITUTE('ARDT Cutter Entry'!S30,"*",""),LEN(SUBSTITUTE('ARDT Cutter Entry'!S30,"*",""))-1),LEFT(SUBSTITUTE('ARDT Cutter Entry'!S30,"*",""),LEN(SUBSTITUTE('ARDT Cutter Entry'!S30,"*",""))-2) )),"")</f>
        <v/>
      </c>
      <c r="EA19" s="2380"/>
      <c r="EB19" s="2380"/>
      <c r="EC19" s="2380"/>
      <c r="ED19" s="2380"/>
      <c r="EE19" s="2380"/>
      <c r="EF19" s="2380"/>
      <c r="EG19" s="2380"/>
      <c r="EH19" s="2380" t="str">
        <f>IFERROR(IF('ARDT Cutter Entry'!$C$94&lt;&gt;"",IF(IFERROR(VALUE(RIGHT('ARDT Cutter Entry'!T98,2)),1)=1, LEFT(SUBSTITUTE('ARDT Cutter Entry'!T98,"*",""),LEN(SUBSTITUTE('ARDT Cutter Entry'!T98,"*",""))-1),LEFT(SUBSTITUTE('ARDT Cutter Entry'!T98,"*",""),LEN(SUBSTITUTE('ARDT Cutter Entry'!T98,"*",""))-2)),IF(IFERROR(VALUE(RIGHT('ARDT Cutter Entry'!T30,2)),1)=1, LEFT(SUBSTITUTE('ARDT Cutter Entry'!T30,"*",""),LEN(SUBSTITUTE('ARDT Cutter Entry'!T30,"*",""))-1),LEFT(SUBSTITUTE('ARDT Cutter Entry'!T30,"*",""),LEN(SUBSTITUTE('ARDT Cutter Entry'!T30,"*",""))-2) )),"")</f>
        <v/>
      </c>
      <c r="EI19" s="2380"/>
      <c r="EJ19" s="2380"/>
      <c r="EK19" s="2380"/>
      <c r="EL19" s="2380"/>
      <c r="EM19" s="2380"/>
      <c r="EN19" s="2380"/>
      <c r="EO19" s="2380"/>
      <c r="EP19" s="2380" t="str">
        <f>IFERROR(IF('ARDT Cutter Entry'!$C$94&lt;&gt;"",IF(IFERROR(VALUE(RIGHT('ARDT Cutter Entry'!U98,2)),1)=1, LEFT(SUBSTITUTE('ARDT Cutter Entry'!U98,"*",""),LEN(SUBSTITUTE('ARDT Cutter Entry'!U98,"*",""))-1),LEFT(SUBSTITUTE('ARDT Cutter Entry'!U98,"*",""),LEN(SUBSTITUTE('ARDT Cutter Entry'!U98,"*",""))-2)),IF(IFERROR(VALUE(RIGHT('ARDT Cutter Entry'!U30,2)),1)=1, LEFT(SUBSTITUTE('ARDT Cutter Entry'!U30,"*",""),LEN(SUBSTITUTE('ARDT Cutter Entry'!U30,"*",""))-1),LEFT(SUBSTITUTE('ARDT Cutter Entry'!U30,"*",""),LEN(SUBSTITUTE('ARDT Cutter Entry'!U30,"*",""))-2) )),"")</f>
        <v/>
      </c>
      <c r="EQ19" s="2380"/>
      <c r="ER19" s="2380"/>
      <c r="ES19" s="2380"/>
      <c r="ET19" s="2380"/>
      <c r="EU19" s="2380"/>
      <c r="EV19" s="2380"/>
      <c r="EW19" s="2380"/>
      <c r="EX19" s="2380" t="str">
        <f>IFERROR(IF('ARDT Cutter Entry'!$C$94&lt;&gt;"",IF(IFERROR(VALUE(RIGHT('ARDT Cutter Entry'!V98,2)),1)=1, LEFT(SUBSTITUTE('ARDT Cutter Entry'!V98,"*",""),LEN(SUBSTITUTE('ARDT Cutter Entry'!V98,"*",""))-1),LEFT(SUBSTITUTE('ARDT Cutter Entry'!V98,"*",""),LEN(SUBSTITUTE('ARDT Cutter Entry'!V98,"*",""))-2)),IF(IFERROR(VALUE(RIGHT('ARDT Cutter Entry'!V30,2)),1)=1, LEFT(SUBSTITUTE('ARDT Cutter Entry'!V30,"*",""),LEN(SUBSTITUTE('ARDT Cutter Entry'!V30,"*",""))-1),LEFT(SUBSTITUTE('ARDT Cutter Entry'!V30,"*",""),LEN(SUBSTITUTE('ARDT Cutter Entry'!V30,"*",""))-2) )),"")</f>
        <v/>
      </c>
      <c r="EY19" s="2380"/>
      <c r="EZ19" s="2380"/>
      <c r="FA19" s="2380"/>
      <c r="FB19" s="2380"/>
      <c r="FC19" s="2380"/>
      <c r="FD19" s="2380"/>
      <c r="FE19" s="2380"/>
      <c r="FF19" s="2380" t="str">
        <f>IFERROR(IF('ARDT Cutter Entry'!$C$94&lt;&gt;"",IF(IFERROR(VALUE(RIGHT('ARDT Cutter Entry'!W98,2)),1)=1, LEFT(SUBSTITUTE('ARDT Cutter Entry'!W98,"*",""),LEN(SUBSTITUTE('ARDT Cutter Entry'!W98,"*",""))-1),LEFT(SUBSTITUTE('ARDT Cutter Entry'!W98,"*",""),LEN(SUBSTITUTE('ARDT Cutter Entry'!W98,"*",""))-2)),IF(IFERROR(VALUE(RIGHT('ARDT Cutter Entry'!W30,2)),1)=1, LEFT(SUBSTITUTE('ARDT Cutter Entry'!W30,"*",""),LEN(SUBSTITUTE('ARDT Cutter Entry'!W30,"*",""))-1),LEFT(SUBSTITUTE('ARDT Cutter Entry'!W30,"*",""),LEN(SUBSTITUTE('ARDT Cutter Entry'!W30,"*",""))-2) )),"")</f>
        <v/>
      </c>
      <c r="FG19" s="2380"/>
      <c r="FH19" s="2380"/>
      <c r="FI19" s="2380"/>
      <c r="FJ19" s="2380"/>
      <c r="FK19" s="2380"/>
      <c r="FL19" s="2380"/>
      <c r="FM19" s="2380"/>
      <c r="FN19" s="2380" t="str">
        <f>IFERROR(IF('ARDT Cutter Entry'!$C$94&lt;&gt;"",IF(IFERROR(VALUE(RIGHT('ARDT Cutter Entry'!X98,2)),1)=1, LEFT(SUBSTITUTE('ARDT Cutter Entry'!X98,"*",""),LEN(SUBSTITUTE('ARDT Cutter Entry'!X98,"*",""))-1),LEFT(SUBSTITUTE('ARDT Cutter Entry'!X98,"*",""),LEN(SUBSTITUTE('ARDT Cutter Entry'!X98,"*",""))-2)),IF(IFERROR(VALUE(RIGHT('ARDT Cutter Entry'!X30,2)),1)=1, LEFT(SUBSTITUTE('ARDT Cutter Entry'!X30,"*",""),LEN(SUBSTITUTE('ARDT Cutter Entry'!X30,"*",""))-1),LEFT(SUBSTITUTE('ARDT Cutter Entry'!X30,"*",""),LEN(SUBSTITUTE('ARDT Cutter Entry'!X30,"*",""))-2) )),"")</f>
        <v/>
      </c>
      <c r="FO19" s="2380"/>
      <c r="FP19" s="2380"/>
      <c r="FQ19" s="2380"/>
      <c r="FR19" s="2380"/>
      <c r="FS19" s="2380"/>
      <c r="FT19" s="2380"/>
      <c r="FU19" s="2380"/>
      <c r="FV19" s="2380" t="str">
        <f>IFERROR(IF('ARDT Cutter Entry'!$C$94&lt;&gt;"",IF(IFERROR(VALUE(RIGHT('ARDT Cutter Entry'!Y98,2)),1)=1, LEFT(SUBSTITUTE('ARDT Cutter Entry'!Y98,"*",""),LEN(SUBSTITUTE('ARDT Cutter Entry'!Y98,"*",""))-1),LEFT(SUBSTITUTE('ARDT Cutter Entry'!Y98,"*",""),LEN(SUBSTITUTE('ARDT Cutter Entry'!Y98,"*",""))-2)),IF(IFERROR(VALUE(RIGHT('ARDT Cutter Entry'!Y30,2)),1)=1, LEFT(SUBSTITUTE('ARDT Cutter Entry'!Y30,"*",""),LEN(SUBSTITUTE('ARDT Cutter Entry'!Y30,"*",""))-1),LEFT(SUBSTITUTE('ARDT Cutter Entry'!Y30,"*",""),LEN(SUBSTITUTE('ARDT Cutter Entry'!Y30,"*",""))-2) )),"")</f>
        <v/>
      </c>
      <c r="FW19" s="2380"/>
      <c r="FX19" s="2380"/>
      <c r="FY19" s="2380"/>
      <c r="FZ19" s="2380"/>
      <c r="GA19" s="2380"/>
      <c r="GB19" s="2380"/>
      <c r="GC19" s="2380"/>
      <c r="GD19" s="2384"/>
      <c r="GE19" s="2384"/>
      <c r="GF19" s="2384"/>
      <c r="GG19" s="2384"/>
    </row>
    <row r="20" spans="1:206" ht="44.25" customHeight="1" x14ac:dyDescent="0.55000000000000004">
      <c r="A20" s="338">
        <v>6</v>
      </c>
      <c r="B20" s="2380" t="str">
        <f>IFERROR(IF('ARDT Cutter Entry'!$C$94&lt;&gt;"",IF(IFERROR(VALUE(RIGHT('ARDT Cutter Entry'!C99,2)),1)=1, LEFT(SUBSTITUTE('ARDT Cutter Entry'!C99,"*",""),LEN(SUBSTITUTE('ARDT Cutter Entry'!C99,"*",""))-1),LEFT(SUBSTITUTE('ARDT Cutter Entry'!C99,"*",""),LEN(SUBSTITUTE('ARDT Cutter Entry'!C99,"*",""))-2)),IF(IFERROR(VALUE(RIGHT('ARDT Cutter Entry'!C31,2)),1)=1, LEFT(SUBSTITUTE('ARDT Cutter Entry'!C31,"*",""),LEN(SUBSTITUTE('ARDT Cutter Entry'!C31,"*",""))-1),LEFT(SUBSTITUTE('ARDT Cutter Entry'!C31,"*",""),LEN(SUBSTITUTE('ARDT Cutter Entry'!C31,"*",""))-2) )),"")</f>
        <v>X</v>
      </c>
      <c r="C20" s="2380"/>
      <c r="D20" s="2380"/>
      <c r="E20" s="2380"/>
      <c r="F20" s="2380"/>
      <c r="G20" s="2380"/>
      <c r="H20" s="2380"/>
      <c r="I20" s="2380"/>
      <c r="J20" s="2380" t="str">
        <f>IFERROR(IF('ARDT Cutter Entry'!$C$94&lt;&gt;"",IF(IFERROR(VALUE(RIGHT('ARDT Cutter Entry'!D99,2)),1)=1, LEFT(SUBSTITUTE('ARDT Cutter Entry'!D99,"*",""),LEN(SUBSTITUTE('ARDT Cutter Entry'!D99,"*",""))-1),LEFT(SUBSTITUTE('ARDT Cutter Entry'!D99,"*",""),LEN(SUBSTITUTE('ARDT Cutter Entry'!D99,"*",""))-2)),IF(IFERROR(VALUE(RIGHT('ARDT Cutter Entry'!D31,2)),1)=1, LEFT(SUBSTITUTE('ARDT Cutter Entry'!D31,"*",""),LEN(SUBSTITUTE('ARDT Cutter Entry'!D31,"*",""))-1),LEFT(SUBSTITUTE('ARDT Cutter Entry'!D31,"*",""),LEN(SUBSTITUTE('ARDT Cutter Entry'!D31,"*",""))-2) )),"")</f>
        <v>X</v>
      </c>
      <c r="K20" s="2380"/>
      <c r="L20" s="2380"/>
      <c r="M20" s="2380"/>
      <c r="N20" s="2380"/>
      <c r="O20" s="2380"/>
      <c r="P20" s="2380"/>
      <c r="Q20" s="2380"/>
      <c r="R20" s="2380" t="str">
        <f>IFERROR(IF('ARDT Cutter Entry'!$C$94&lt;&gt;"",IF(IFERROR(VALUE(RIGHT('ARDT Cutter Entry'!E99,2)),1)=1, LEFT(SUBSTITUTE('ARDT Cutter Entry'!E99,"*",""),LEN(SUBSTITUTE('ARDT Cutter Entry'!E99,"*",""))-1),LEFT(SUBSTITUTE('ARDT Cutter Entry'!E99,"*",""),LEN(SUBSTITUTE('ARDT Cutter Entry'!E99,"*",""))-2)),IF(IFERROR(VALUE(RIGHT('ARDT Cutter Entry'!E31,2)),1)=1, LEFT(SUBSTITUTE('ARDT Cutter Entry'!E31,"*",""),LEN(SUBSTITUTE('ARDT Cutter Entry'!E31,"*",""))-1),LEFT(SUBSTITUTE('ARDT Cutter Entry'!E31,"*",""),LEN(SUBSTITUTE('ARDT Cutter Entry'!E31,"*",""))-2) )),"")</f>
        <v>X</v>
      </c>
      <c r="S20" s="2380"/>
      <c r="T20" s="2380"/>
      <c r="U20" s="2380"/>
      <c r="V20" s="2380"/>
      <c r="W20" s="2380"/>
      <c r="X20" s="2380"/>
      <c r="Y20" s="2380"/>
      <c r="Z20" s="2380" t="str">
        <f>IFERROR(IF('ARDT Cutter Entry'!$C$94&lt;&gt;"",IF(IFERROR(VALUE(RIGHT('ARDT Cutter Entry'!F99,2)),1)=1, LEFT(SUBSTITUTE('ARDT Cutter Entry'!F99,"*",""),LEN(SUBSTITUTE('ARDT Cutter Entry'!F99,"*",""))-1),LEFT(SUBSTITUTE('ARDT Cutter Entry'!F99,"*",""),LEN(SUBSTITUTE('ARDT Cutter Entry'!F99,"*",""))-2)),IF(IFERROR(VALUE(RIGHT('ARDT Cutter Entry'!F31,2)),1)=1, LEFT(SUBSTITUTE('ARDT Cutter Entry'!F31,"*",""),LEN(SUBSTITUTE('ARDT Cutter Entry'!F31,"*",""))-1),LEFT(SUBSTITUTE('ARDT Cutter Entry'!F31,"*",""),LEN(SUBSTITUTE('ARDT Cutter Entry'!F31,"*",""))-2) )),"")</f>
        <v>R</v>
      </c>
      <c r="AA20" s="2380"/>
      <c r="AB20" s="2380"/>
      <c r="AC20" s="2380"/>
      <c r="AD20" s="2380"/>
      <c r="AE20" s="2380"/>
      <c r="AF20" s="2380"/>
      <c r="AG20" s="2380"/>
      <c r="AH20" s="2380" t="str">
        <f>IFERROR(IF('ARDT Cutter Entry'!$C$94&lt;&gt;"",IF(IFERROR(VALUE(RIGHT('ARDT Cutter Entry'!G99,2)),1)=1, LEFT(SUBSTITUTE('ARDT Cutter Entry'!G99,"*",""),LEN(SUBSTITUTE('ARDT Cutter Entry'!G99,"*",""))-1),LEFT(SUBSTITUTE('ARDT Cutter Entry'!G99,"*",""),LEN(SUBSTITUTE('ARDT Cutter Entry'!G99,"*",""))-2)),IF(IFERROR(VALUE(RIGHT('ARDT Cutter Entry'!G31,2)),1)=1, LEFT(SUBSTITUTE('ARDT Cutter Entry'!G31,"*",""),LEN(SUBSTITUTE('ARDT Cutter Entry'!G31,"*",""))-1),LEFT(SUBSTITUTE('ARDT Cutter Entry'!G31,"*",""),LEN(SUBSTITUTE('ARDT Cutter Entry'!G31,"*",""))-2) )),"")</f>
        <v>X</v>
      </c>
      <c r="AI20" s="2380"/>
      <c r="AJ20" s="2380"/>
      <c r="AK20" s="2380"/>
      <c r="AL20" s="2380"/>
      <c r="AM20" s="2380"/>
      <c r="AN20" s="2380"/>
      <c r="AO20" s="2380"/>
      <c r="AP20" s="2380" t="str">
        <f>IFERROR(IF('ARDT Cutter Entry'!$C$94&lt;&gt;"",IF(IFERROR(VALUE(RIGHT('ARDT Cutter Entry'!H99,2)),1)=1, LEFT(SUBSTITUTE('ARDT Cutter Entry'!H99,"*",""),LEN(SUBSTITUTE('ARDT Cutter Entry'!H99,"*",""))-1),LEFT(SUBSTITUTE('ARDT Cutter Entry'!H99,"*",""),LEN(SUBSTITUTE('ARDT Cutter Entry'!H99,"*",""))-2)),IF(IFERROR(VALUE(RIGHT('ARDT Cutter Entry'!H31,2)),1)=1, LEFT(SUBSTITUTE('ARDT Cutter Entry'!H31,"*",""),LEN(SUBSTITUTE('ARDT Cutter Entry'!H31,"*",""))-1),LEFT(SUBSTITUTE('ARDT Cutter Entry'!H31,"*",""),LEN(SUBSTITUTE('ARDT Cutter Entry'!H31,"*",""))-2) )),"")</f>
        <v/>
      </c>
      <c r="AQ20" s="2380"/>
      <c r="AR20" s="2380"/>
      <c r="AS20" s="2380"/>
      <c r="AT20" s="2380"/>
      <c r="AU20" s="2380"/>
      <c r="AV20" s="2380"/>
      <c r="AW20" s="2380"/>
      <c r="AX20" s="2380" t="str">
        <f>IFERROR(IF('ARDT Cutter Entry'!$C$94&lt;&gt;"",IF(IFERROR(VALUE(RIGHT('ARDT Cutter Entry'!I99,2)),1)=1, LEFT(SUBSTITUTE('ARDT Cutter Entry'!I99,"*",""),LEN(SUBSTITUTE('ARDT Cutter Entry'!I99,"*",""))-1),LEFT(SUBSTITUTE('ARDT Cutter Entry'!I99,"*",""),LEN(SUBSTITUTE('ARDT Cutter Entry'!I99,"*",""))-2)),IF(IFERROR(VALUE(RIGHT('ARDT Cutter Entry'!I31,2)),1)=1, LEFT(SUBSTITUTE('ARDT Cutter Entry'!I31,"*",""),LEN(SUBSTITUTE('ARDT Cutter Entry'!I31,"*",""))-1),LEFT(SUBSTITUTE('ARDT Cutter Entry'!I31,"*",""),LEN(SUBSTITUTE('ARDT Cutter Entry'!I31,"*",""))-2) )),"")</f>
        <v/>
      </c>
      <c r="AY20" s="2380"/>
      <c r="AZ20" s="2380"/>
      <c r="BA20" s="2380"/>
      <c r="BB20" s="2380"/>
      <c r="BC20" s="2380"/>
      <c r="BD20" s="2380"/>
      <c r="BE20" s="2380"/>
      <c r="BF20" s="2380" t="str">
        <f>IFERROR(IF('ARDT Cutter Entry'!$C$94&lt;&gt;"",IF(IFERROR(VALUE(RIGHT('ARDT Cutter Entry'!J99,2)),1)=1, LEFT(SUBSTITUTE('ARDT Cutter Entry'!J99,"*",""),LEN(SUBSTITUTE('ARDT Cutter Entry'!J99,"*",""))-1),LEFT(SUBSTITUTE('ARDT Cutter Entry'!J99,"*",""),LEN(SUBSTITUTE('ARDT Cutter Entry'!J99,"*",""))-2)),IF(IFERROR(VALUE(RIGHT('ARDT Cutter Entry'!J31,2)),1)=1, LEFT(SUBSTITUTE('ARDT Cutter Entry'!J31,"*",""),LEN(SUBSTITUTE('ARDT Cutter Entry'!J31,"*",""))-1),LEFT(SUBSTITUTE('ARDT Cutter Entry'!J31,"*",""),LEN(SUBSTITUTE('ARDT Cutter Entry'!J31,"*",""))-2) )),"")</f>
        <v/>
      </c>
      <c r="BG20" s="2380"/>
      <c r="BH20" s="2380"/>
      <c r="BI20" s="2380"/>
      <c r="BJ20" s="2380"/>
      <c r="BK20" s="2380"/>
      <c r="BL20" s="2380"/>
      <c r="BM20" s="2380"/>
      <c r="BN20" s="2380" t="str">
        <f>IFERROR(IF('ARDT Cutter Entry'!$C$94&lt;&gt;"",IF(IFERROR(VALUE(RIGHT('ARDT Cutter Entry'!K99,2)),1)=1, LEFT(SUBSTITUTE('ARDT Cutter Entry'!K99,"*",""),LEN(SUBSTITUTE('ARDT Cutter Entry'!K99,"*",""))-1),LEFT(SUBSTITUTE('ARDT Cutter Entry'!K99,"*",""),LEN(SUBSTITUTE('ARDT Cutter Entry'!K99,"*",""))-2)),IF(IFERROR(VALUE(RIGHT('ARDT Cutter Entry'!K31,2)),1)=1, LEFT(SUBSTITUTE('ARDT Cutter Entry'!K31,"*",""),LEN(SUBSTITUTE('ARDT Cutter Entry'!K31,"*",""))-1),LEFT(SUBSTITUTE('ARDT Cutter Entry'!K31,"*",""),LEN(SUBSTITUTE('ARDT Cutter Entry'!K31,"*",""))-2) )),"")</f>
        <v/>
      </c>
      <c r="BO20" s="2380"/>
      <c r="BP20" s="2380"/>
      <c r="BQ20" s="2380"/>
      <c r="BR20" s="2380"/>
      <c r="BS20" s="2380"/>
      <c r="BT20" s="2380"/>
      <c r="BU20" s="2380"/>
      <c r="BV20" s="2380" t="str">
        <f>IFERROR(IF('ARDT Cutter Entry'!$C$94&lt;&gt;"",IF(IFERROR(VALUE(RIGHT('ARDT Cutter Entry'!L99,2)),1)=1, LEFT(SUBSTITUTE('ARDT Cutter Entry'!L99,"*",""),LEN(SUBSTITUTE('ARDT Cutter Entry'!L99,"*",""))-1),LEFT(SUBSTITUTE('ARDT Cutter Entry'!L99,"*",""),LEN(SUBSTITUTE('ARDT Cutter Entry'!L99,"*",""))-2)),IF(IFERROR(VALUE(RIGHT('ARDT Cutter Entry'!L31,2)),1)=1, LEFT(SUBSTITUTE('ARDT Cutter Entry'!L31,"*",""),LEN(SUBSTITUTE('ARDT Cutter Entry'!L31,"*",""))-1),LEFT(SUBSTITUTE('ARDT Cutter Entry'!L31,"*",""),LEN(SUBSTITUTE('ARDT Cutter Entry'!L31,"*",""))-2) )),"")</f>
        <v>S</v>
      </c>
      <c r="BW20" s="2380"/>
      <c r="BX20" s="2380"/>
      <c r="BY20" s="2380"/>
      <c r="BZ20" s="2380"/>
      <c r="CA20" s="2380"/>
      <c r="CB20" s="2380"/>
      <c r="CC20" s="2380"/>
      <c r="CD20" s="2380" t="str">
        <f>IFERROR(IF('ARDT Cutter Entry'!$C$94&lt;&gt;"",IF(IFERROR(VALUE(RIGHT('ARDT Cutter Entry'!M99,2)),1)=1, LEFT(SUBSTITUTE('ARDT Cutter Entry'!M99,"*",""),LEN(SUBSTITUTE('ARDT Cutter Entry'!M99,"*",""))-1),LEFT(SUBSTITUTE('ARDT Cutter Entry'!M99,"*",""),LEN(SUBSTITUTE('ARDT Cutter Entry'!M99,"*",""))-2)),IF(IFERROR(VALUE(RIGHT('ARDT Cutter Entry'!M31,2)),1)=1, LEFT(SUBSTITUTE('ARDT Cutter Entry'!M31,"*",""),LEN(SUBSTITUTE('ARDT Cutter Entry'!M31,"*",""))-1),LEFT(SUBSTITUTE('ARDT Cutter Entry'!M31,"*",""),LEN(SUBSTITUTE('ARDT Cutter Entry'!M31,"*",""))-2) )),"")</f>
        <v>R</v>
      </c>
      <c r="CE20" s="2380"/>
      <c r="CF20" s="2380"/>
      <c r="CG20" s="2380"/>
      <c r="CH20" s="2380"/>
      <c r="CI20" s="2380"/>
      <c r="CJ20" s="2380"/>
      <c r="CK20" s="2380"/>
      <c r="CL20" s="2380" t="str">
        <f>IFERROR(IF('ARDT Cutter Entry'!$C$94&lt;&gt;"",IF(IFERROR(VALUE(RIGHT('ARDT Cutter Entry'!N99,2)),1)=1, LEFT(SUBSTITUTE('ARDT Cutter Entry'!N99,"*",""),LEN(SUBSTITUTE('ARDT Cutter Entry'!N99,"*",""))-1),LEFT(SUBSTITUTE('ARDT Cutter Entry'!N99,"*",""),LEN(SUBSTITUTE('ARDT Cutter Entry'!N99,"*",""))-2)),IF(IFERROR(VALUE(RIGHT('ARDT Cutter Entry'!N31,2)),1)=1, LEFT(SUBSTITUTE('ARDT Cutter Entry'!N31,"*",""),LEN(SUBSTITUTE('ARDT Cutter Entry'!N31,"*",""))-1),LEFT(SUBSTITUTE('ARDT Cutter Entry'!N31,"*",""),LEN(SUBSTITUTE('ARDT Cutter Entry'!N31,"*",""))-2) )),"")</f>
        <v>R</v>
      </c>
      <c r="CM20" s="2380"/>
      <c r="CN20" s="2380"/>
      <c r="CO20" s="2380"/>
      <c r="CP20" s="2380"/>
      <c r="CQ20" s="2380"/>
      <c r="CR20" s="2380"/>
      <c r="CS20" s="2380"/>
      <c r="CT20" s="2380" t="str">
        <f>IFERROR(IF('ARDT Cutter Entry'!$C$94&lt;&gt;"",IF(IFERROR(VALUE(RIGHT('ARDT Cutter Entry'!O99,2)),1)=1, LEFT(SUBSTITUTE('ARDT Cutter Entry'!O99,"*",""),LEN(SUBSTITUTE('ARDT Cutter Entry'!O99,"*",""))-1),LEFT(SUBSTITUTE('ARDT Cutter Entry'!O99,"*",""),LEN(SUBSTITUTE('ARDT Cutter Entry'!O99,"*",""))-2)),IF(IFERROR(VALUE(RIGHT('ARDT Cutter Entry'!O31,2)),1)=1, LEFT(SUBSTITUTE('ARDT Cutter Entry'!O31,"*",""),LEN(SUBSTITUTE('ARDT Cutter Entry'!O31,"*",""))-1),LEFT(SUBSTITUTE('ARDT Cutter Entry'!O31,"*",""),LEN(SUBSTITUTE('ARDT Cutter Entry'!O31,"*",""))-2) )),"")</f>
        <v>R</v>
      </c>
      <c r="CU20" s="2380"/>
      <c r="CV20" s="2380"/>
      <c r="CW20" s="2380"/>
      <c r="CX20" s="2380"/>
      <c r="CY20" s="2380"/>
      <c r="CZ20" s="2380"/>
      <c r="DA20" s="2380"/>
      <c r="DB20" s="2380" t="str">
        <f>IFERROR(IF('ARDT Cutter Entry'!$C$94&lt;&gt;"",IF(IFERROR(VALUE(RIGHT('ARDT Cutter Entry'!P99,2)),1)=1, LEFT(SUBSTITUTE('ARDT Cutter Entry'!P99,"*",""),LEN(SUBSTITUTE('ARDT Cutter Entry'!P99,"*",""))-1),LEFT(SUBSTITUTE('ARDT Cutter Entry'!P99,"*",""),LEN(SUBSTITUTE('ARDT Cutter Entry'!P99,"*",""))-2)),IF(IFERROR(VALUE(RIGHT('ARDT Cutter Entry'!P31,2)),1)=1, LEFT(SUBSTITUTE('ARDT Cutter Entry'!P31,"*",""),LEN(SUBSTITUTE('ARDT Cutter Entry'!P31,"*",""))-1),LEFT(SUBSTITUTE('ARDT Cutter Entry'!P31,"*",""),LEN(SUBSTITUTE('ARDT Cutter Entry'!P31,"*",""))-2) )),"")</f>
        <v/>
      </c>
      <c r="DC20" s="2380"/>
      <c r="DD20" s="2380"/>
      <c r="DE20" s="2380"/>
      <c r="DF20" s="2380"/>
      <c r="DG20" s="2380"/>
      <c r="DH20" s="2380"/>
      <c r="DI20" s="2380"/>
      <c r="DJ20" s="2380" t="str">
        <f>IFERROR(IF('ARDT Cutter Entry'!$C$94&lt;&gt;"",IF(IFERROR(VALUE(RIGHT('ARDT Cutter Entry'!Q99,2)),1)=1, LEFT(SUBSTITUTE('ARDT Cutter Entry'!Q99,"*",""),LEN(SUBSTITUTE('ARDT Cutter Entry'!Q99,"*",""))-1),LEFT(SUBSTITUTE('ARDT Cutter Entry'!Q99,"*",""),LEN(SUBSTITUTE('ARDT Cutter Entry'!Q99,"*",""))-2)),IF(IFERROR(VALUE(RIGHT('ARDT Cutter Entry'!Q31,2)),1)=1, LEFT(SUBSTITUTE('ARDT Cutter Entry'!Q31,"*",""),LEN(SUBSTITUTE('ARDT Cutter Entry'!Q31,"*",""))-1),LEFT(SUBSTITUTE('ARDT Cutter Entry'!Q31,"*",""),LEN(SUBSTITUTE('ARDT Cutter Entry'!Q31,"*",""))-2) )),"")</f>
        <v/>
      </c>
      <c r="DK20" s="2380"/>
      <c r="DL20" s="2380"/>
      <c r="DM20" s="2380"/>
      <c r="DN20" s="2380"/>
      <c r="DO20" s="2380"/>
      <c r="DP20" s="2380"/>
      <c r="DQ20" s="2380"/>
      <c r="DR20" s="2380" t="str">
        <f>IFERROR(IF('ARDT Cutter Entry'!$C$94&lt;&gt;"",IF(IFERROR(VALUE(RIGHT('ARDT Cutter Entry'!R99,2)),1)=1, LEFT(SUBSTITUTE('ARDT Cutter Entry'!R99,"*",""),LEN(SUBSTITUTE('ARDT Cutter Entry'!R99,"*",""))-1),LEFT(SUBSTITUTE('ARDT Cutter Entry'!R99,"*",""),LEN(SUBSTITUTE('ARDT Cutter Entry'!R99,"*",""))-2)),IF(IFERROR(VALUE(RIGHT('ARDT Cutter Entry'!R31,2)),1)=1, LEFT(SUBSTITUTE('ARDT Cutter Entry'!R31,"*",""),LEN(SUBSTITUTE('ARDT Cutter Entry'!R31,"*",""))-1),LEFT(SUBSTITUTE('ARDT Cutter Entry'!R31,"*",""),LEN(SUBSTITUTE('ARDT Cutter Entry'!R31,"*",""))-2) )),"")</f>
        <v/>
      </c>
      <c r="DS20" s="2380"/>
      <c r="DT20" s="2380"/>
      <c r="DU20" s="2380"/>
      <c r="DV20" s="2380"/>
      <c r="DW20" s="2380"/>
      <c r="DX20" s="2380"/>
      <c r="DY20" s="2380"/>
      <c r="DZ20" s="2380" t="str">
        <f>IFERROR(IF('ARDT Cutter Entry'!$C$94&lt;&gt;"",IF(IFERROR(VALUE(RIGHT('ARDT Cutter Entry'!S99,2)),1)=1, LEFT(SUBSTITUTE('ARDT Cutter Entry'!S99,"*",""),LEN(SUBSTITUTE('ARDT Cutter Entry'!S99,"*",""))-1),LEFT(SUBSTITUTE('ARDT Cutter Entry'!S99,"*",""),LEN(SUBSTITUTE('ARDT Cutter Entry'!S99,"*",""))-2)),IF(IFERROR(VALUE(RIGHT('ARDT Cutter Entry'!S31,2)),1)=1, LEFT(SUBSTITUTE('ARDT Cutter Entry'!S31,"*",""),LEN(SUBSTITUTE('ARDT Cutter Entry'!S31,"*",""))-1),LEFT(SUBSTITUTE('ARDT Cutter Entry'!S31,"*",""),LEN(SUBSTITUTE('ARDT Cutter Entry'!S31,"*",""))-2) )),"")</f>
        <v/>
      </c>
      <c r="EA20" s="2380"/>
      <c r="EB20" s="2380"/>
      <c r="EC20" s="2380"/>
      <c r="ED20" s="2380"/>
      <c r="EE20" s="2380"/>
      <c r="EF20" s="2380"/>
      <c r="EG20" s="2380"/>
      <c r="EH20" s="2380" t="str">
        <f>IFERROR(IF('ARDT Cutter Entry'!$C$94&lt;&gt;"",IF(IFERROR(VALUE(RIGHT('ARDT Cutter Entry'!T99,2)),1)=1, LEFT(SUBSTITUTE('ARDT Cutter Entry'!T99,"*",""),LEN(SUBSTITUTE('ARDT Cutter Entry'!T99,"*",""))-1),LEFT(SUBSTITUTE('ARDT Cutter Entry'!T99,"*",""),LEN(SUBSTITUTE('ARDT Cutter Entry'!T99,"*",""))-2)),IF(IFERROR(VALUE(RIGHT('ARDT Cutter Entry'!T31,2)),1)=1, LEFT(SUBSTITUTE('ARDT Cutter Entry'!T31,"*",""),LEN(SUBSTITUTE('ARDT Cutter Entry'!T31,"*",""))-1),LEFT(SUBSTITUTE('ARDT Cutter Entry'!T31,"*",""),LEN(SUBSTITUTE('ARDT Cutter Entry'!T31,"*",""))-2) )),"")</f>
        <v/>
      </c>
      <c r="EI20" s="2380"/>
      <c r="EJ20" s="2380"/>
      <c r="EK20" s="2380"/>
      <c r="EL20" s="2380"/>
      <c r="EM20" s="2380"/>
      <c r="EN20" s="2380"/>
      <c r="EO20" s="2380"/>
      <c r="EP20" s="2380" t="str">
        <f>IFERROR(IF('ARDT Cutter Entry'!$C$94&lt;&gt;"",IF(IFERROR(VALUE(RIGHT('ARDT Cutter Entry'!U99,2)),1)=1, LEFT(SUBSTITUTE('ARDT Cutter Entry'!U99,"*",""),LEN(SUBSTITUTE('ARDT Cutter Entry'!U99,"*",""))-1),LEFT(SUBSTITUTE('ARDT Cutter Entry'!U99,"*",""),LEN(SUBSTITUTE('ARDT Cutter Entry'!U99,"*",""))-2)),IF(IFERROR(VALUE(RIGHT('ARDT Cutter Entry'!U31,2)),1)=1, LEFT(SUBSTITUTE('ARDT Cutter Entry'!U31,"*",""),LEN(SUBSTITUTE('ARDT Cutter Entry'!U31,"*",""))-1),LEFT(SUBSTITUTE('ARDT Cutter Entry'!U31,"*",""),LEN(SUBSTITUTE('ARDT Cutter Entry'!U31,"*",""))-2) )),"")</f>
        <v/>
      </c>
      <c r="EQ20" s="2380"/>
      <c r="ER20" s="2380"/>
      <c r="ES20" s="2380"/>
      <c r="ET20" s="2380"/>
      <c r="EU20" s="2380"/>
      <c r="EV20" s="2380"/>
      <c r="EW20" s="2380"/>
      <c r="EX20" s="2380" t="str">
        <f>IFERROR(IF('ARDT Cutter Entry'!$C$94&lt;&gt;"",IF(IFERROR(VALUE(RIGHT('ARDT Cutter Entry'!V99,2)),1)=1, LEFT(SUBSTITUTE('ARDT Cutter Entry'!V99,"*",""),LEN(SUBSTITUTE('ARDT Cutter Entry'!V99,"*",""))-1),LEFT(SUBSTITUTE('ARDT Cutter Entry'!V99,"*",""),LEN(SUBSTITUTE('ARDT Cutter Entry'!V99,"*",""))-2)),IF(IFERROR(VALUE(RIGHT('ARDT Cutter Entry'!V31,2)),1)=1, LEFT(SUBSTITUTE('ARDT Cutter Entry'!V31,"*",""),LEN(SUBSTITUTE('ARDT Cutter Entry'!V31,"*",""))-1),LEFT(SUBSTITUTE('ARDT Cutter Entry'!V31,"*",""),LEN(SUBSTITUTE('ARDT Cutter Entry'!V31,"*",""))-2) )),"")</f>
        <v/>
      </c>
      <c r="EY20" s="2380"/>
      <c r="EZ20" s="2380"/>
      <c r="FA20" s="2380"/>
      <c r="FB20" s="2380"/>
      <c r="FC20" s="2380"/>
      <c r="FD20" s="2380"/>
      <c r="FE20" s="2380"/>
      <c r="FF20" s="2380" t="str">
        <f>IFERROR(IF('ARDT Cutter Entry'!$C$94&lt;&gt;"",IF(IFERROR(VALUE(RIGHT('ARDT Cutter Entry'!W99,2)),1)=1, LEFT(SUBSTITUTE('ARDT Cutter Entry'!W99,"*",""),LEN(SUBSTITUTE('ARDT Cutter Entry'!W99,"*",""))-1),LEFT(SUBSTITUTE('ARDT Cutter Entry'!W99,"*",""),LEN(SUBSTITUTE('ARDT Cutter Entry'!W99,"*",""))-2)),IF(IFERROR(VALUE(RIGHT('ARDT Cutter Entry'!W31,2)),1)=1, LEFT(SUBSTITUTE('ARDT Cutter Entry'!W31,"*",""),LEN(SUBSTITUTE('ARDT Cutter Entry'!W31,"*",""))-1),LEFT(SUBSTITUTE('ARDT Cutter Entry'!W31,"*",""),LEN(SUBSTITUTE('ARDT Cutter Entry'!W31,"*",""))-2) )),"")</f>
        <v/>
      </c>
      <c r="FG20" s="2380"/>
      <c r="FH20" s="2380"/>
      <c r="FI20" s="2380"/>
      <c r="FJ20" s="2380"/>
      <c r="FK20" s="2380"/>
      <c r="FL20" s="2380"/>
      <c r="FM20" s="2380"/>
      <c r="FN20" s="2380" t="str">
        <f>IFERROR(IF('ARDT Cutter Entry'!$C$94&lt;&gt;"",IF(IFERROR(VALUE(RIGHT('ARDT Cutter Entry'!X99,2)),1)=1, LEFT(SUBSTITUTE('ARDT Cutter Entry'!X99,"*",""),LEN(SUBSTITUTE('ARDT Cutter Entry'!X99,"*",""))-1),LEFT(SUBSTITUTE('ARDT Cutter Entry'!X99,"*",""),LEN(SUBSTITUTE('ARDT Cutter Entry'!X99,"*",""))-2)),IF(IFERROR(VALUE(RIGHT('ARDT Cutter Entry'!X31,2)),1)=1, LEFT(SUBSTITUTE('ARDT Cutter Entry'!X31,"*",""),LEN(SUBSTITUTE('ARDT Cutter Entry'!X31,"*",""))-1),LEFT(SUBSTITUTE('ARDT Cutter Entry'!X31,"*",""),LEN(SUBSTITUTE('ARDT Cutter Entry'!X31,"*",""))-2) )),"")</f>
        <v/>
      </c>
      <c r="FO20" s="2380"/>
      <c r="FP20" s="2380"/>
      <c r="FQ20" s="2380"/>
      <c r="FR20" s="2380"/>
      <c r="FS20" s="2380"/>
      <c r="FT20" s="2380"/>
      <c r="FU20" s="2380"/>
      <c r="FV20" s="2380" t="str">
        <f>IFERROR(IF('ARDT Cutter Entry'!$C$94&lt;&gt;"",IF(IFERROR(VALUE(RIGHT('ARDT Cutter Entry'!Y99,2)),1)=1, LEFT(SUBSTITUTE('ARDT Cutter Entry'!Y99,"*",""),LEN(SUBSTITUTE('ARDT Cutter Entry'!Y99,"*",""))-1),LEFT(SUBSTITUTE('ARDT Cutter Entry'!Y99,"*",""),LEN(SUBSTITUTE('ARDT Cutter Entry'!Y99,"*",""))-2)),IF(IFERROR(VALUE(RIGHT('ARDT Cutter Entry'!Y31,2)),1)=1, LEFT(SUBSTITUTE('ARDT Cutter Entry'!Y31,"*",""),LEN(SUBSTITUTE('ARDT Cutter Entry'!Y31,"*",""))-1),LEFT(SUBSTITUTE('ARDT Cutter Entry'!Y31,"*",""),LEN(SUBSTITUTE('ARDT Cutter Entry'!Y31,"*",""))-2) )),"")</f>
        <v/>
      </c>
      <c r="FW20" s="2380"/>
      <c r="FX20" s="2380"/>
      <c r="FY20" s="2380"/>
      <c r="FZ20" s="2380"/>
      <c r="GA20" s="2380"/>
      <c r="GB20" s="2380"/>
      <c r="GC20" s="2380"/>
      <c r="GD20" s="2384"/>
      <c r="GE20" s="2384"/>
      <c r="GF20" s="2384"/>
      <c r="GG20" s="2384"/>
    </row>
    <row r="21" spans="1:206" ht="44.25" customHeight="1" x14ac:dyDescent="0.55000000000000004">
      <c r="A21" s="338">
        <v>7</v>
      </c>
      <c r="B21" s="2380" t="str">
        <f>IFERROR(IF('ARDT Cutter Entry'!$C$94&lt;&gt;"",IF(IFERROR(VALUE(RIGHT('ARDT Cutter Entry'!C100,2)),1)=1, LEFT(SUBSTITUTE('ARDT Cutter Entry'!C100,"*",""),LEN(SUBSTITUTE('ARDT Cutter Entry'!C100,"*",""))-1),LEFT(SUBSTITUTE('ARDT Cutter Entry'!C100,"*",""),LEN(SUBSTITUTE('ARDT Cutter Entry'!C100,"*",""))-2)),IF(IFERROR(VALUE(RIGHT('ARDT Cutter Entry'!C32,2)),1)=1, LEFT(SUBSTITUTE('ARDT Cutter Entry'!C32,"*",""),LEN(SUBSTITUTE('ARDT Cutter Entry'!C32,"*",""))-1),LEFT(SUBSTITUTE('ARDT Cutter Entry'!C32,"*",""),LEN(SUBSTITUTE('ARDT Cutter Entry'!C32,"*",""))-2) )),"")</f>
        <v/>
      </c>
      <c r="C21" s="2380"/>
      <c r="D21" s="2380"/>
      <c r="E21" s="2380"/>
      <c r="F21" s="2380"/>
      <c r="G21" s="2380"/>
      <c r="H21" s="2380"/>
      <c r="I21" s="2380"/>
      <c r="J21" s="2380" t="str">
        <f>IFERROR(IF('ARDT Cutter Entry'!$C$94&lt;&gt;"",IF(IFERROR(VALUE(RIGHT('ARDT Cutter Entry'!D100,2)),1)=1, LEFT(SUBSTITUTE('ARDT Cutter Entry'!D100,"*",""),LEN(SUBSTITUTE('ARDT Cutter Entry'!D100,"*",""))-1),LEFT(SUBSTITUTE('ARDT Cutter Entry'!D100,"*",""),LEN(SUBSTITUTE('ARDT Cutter Entry'!D100,"*",""))-2)),IF(IFERROR(VALUE(RIGHT('ARDT Cutter Entry'!D32,2)),1)=1, LEFT(SUBSTITUTE('ARDT Cutter Entry'!D32,"*",""),LEN(SUBSTITUTE('ARDT Cutter Entry'!D32,"*",""))-1),LEFT(SUBSTITUTE('ARDT Cutter Entry'!D32,"*",""),LEN(SUBSTITUTE('ARDT Cutter Entry'!D32,"*",""))-2) )),"")</f>
        <v/>
      </c>
      <c r="K21" s="2380"/>
      <c r="L21" s="2380"/>
      <c r="M21" s="2380"/>
      <c r="N21" s="2380"/>
      <c r="O21" s="2380"/>
      <c r="P21" s="2380"/>
      <c r="Q21" s="2380"/>
      <c r="R21" s="2380" t="str">
        <f>IFERROR(IF('ARDT Cutter Entry'!$C$94&lt;&gt;"",IF(IFERROR(VALUE(RIGHT('ARDT Cutter Entry'!E100,2)),1)=1, LEFT(SUBSTITUTE('ARDT Cutter Entry'!E100,"*",""),LEN(SUBSTITUTE('ARDT Cutter Entry'!E100,"*",""))-1),LEFT(SUBSTITUTE('ARDT Cutter Entry'!E100,"*",""),LEN(SUBSTITUTE('ARDT Cutter Entry'!E100,"*",""))-2)),IF(IFERROR(VALUE(RIGHT('ARDT Cutter Entry'!E32,2)),1)=1, LEFT(SUBSTITUTE('ARDT Cutter Entry'!E32,"*",""),LEN(SUBSTITUTE('ARDT Cutter Entry'!E32,"*",""))-1),LEFT(SUBSTITUTE('ARDT Cutter Entry'!E32,"*",""),LEN(SUBSTITUTE('ARDT Cutter Entry'!E32,"*",""))-2) )),"")</f>
        <v/>
      </c>
      <c r="S21" s="2380"/>
      <c r="T21" s="2380"/>
      <c r="U21" s="2380"/>
      <c r="V21" s="2380"/>
      <c r="W21" s="2380"/>
      <c r="X21" s="2380"/>
      <c r="Y21" s="2380"/>
      <c r="Z21" s="2380" t="str">
        <f>IFERROR(IF('ARDT Cutter Entry'!$C$94&lt;&gt;"",IF(IFERROR(VALUE(RIGHT('ARDT Cutter Entry'!F100,2)),1)=1, LEFT(SUBSTITUTE('ARDT Cutter Entry'!F100,"*",""),LEN(SUBSTITUTE('ARDT Cutter Entry'!F100,"*",""))-1),LEFT(SUBSTITUTE('ARDT Cutter Entry'!F100,"*",""),LEN(SUBSTITUTE('ARDT Cutter Entry'!F100,"*",""))-2)),IF(IFERROR(VALUE(RIGHT('ARDT Cutter Entry'!F32,2)),1)=1, LEFT(SUBSTITUTE('ARDT Cutter Entry'!F32,"*",""),LEN(SUBSTITUTE('ARDT Cutter Entry'!F32,"*",""))-1),LEFT(SUBSTITUTE('ARDT Cutter Entry'!F32,"*",""),LEN(SUBSTITUTE('ARDT Cutter Entry'!F32,"*",""))-2) )),"")</f>
        <v/>
      </c>
      <c r="AA21" s="2380"/>
      <c r="AB21" s="2380"/>
      <c r="AC21" s="2380"/>
      <c r="AD21" s="2380"/>
      <c r="AE21" s="2380"/>
      <c r="AF21" s="2380"/>
      <c r="AG21" s="2380"/>
      <c r="AH21" s="2380" t="str">
        <f>IFERROR(IF('ARDT Cutter Entry'!$C$94&lt;&gt;"",IF(IFERROR(VALUE(RIGHT('ARDT Cutter Entry'!G100,2)),1)=1, LEFT(SUBSTITUTE('ARDT Cutter Entry'!G100,"*",""),LEN(SUBSTITUTE('ARDT Cutter Entry'!G100,"*",""))-1),LEFT(SUBSTITUTE('ARDT Cutter Entry'!G100,"*",""),LEN(SUBSTITUTE('ARDT Cutter Entry'!G100,"*",""))-2)),IF(IFERROR(VALUE(RIGHT('ARDT Cutter Entry'!G32,2)),1)=1, LEFT(SUBSTITUTE('ARDT Cutter Entry'!G32,"*",""),LEN(SUBSTITUTE('ARDT Cutter Entry'!G32,"*",""))-1),LEFT(SUBSTITUTE('ARDT Cutter Entry'!G32,"*",""),LEN(SUBSTITUTE('ARDT Cutter Entry'!G32,"*",""))-2) )),"")</f>
        <v/>
      </c>
      <c r="AI21" s="2380"/>
      <c r="AJ21" s="2380"/>
      <c r="AK21" s="2380"/>
      <c r="AL21" s="2380"/>
      <c r="AM21" s="2380"/>
      <c r="AN21" s="2380"/>
      <c r="AO21" s="2380"/>
      <c r="AP21" s="2380" t="str">
        <f>IFERROR(IF('ARDT Cutter Entry'!$C$94&lt;&gt;"",IF(IFERROR(VALUE(RIGHT('ARDT Cutter Entry'!H100,2)),1)=1, LEFT(SUBSTITUTE('ARDT Cutter Entry'!H100,"*",""),LEN(SUBSTITUTE('ARDT Cutter Entry'!H100,"*",""))-1),LEFT(SUBSTITUTE('ARDT Cutter Entry'!H100,"*",""),LEN(SUBSTITUTE('ARDT Cutter Entry'!H100,"*",""))-2)),IF(IFERROR(VALUE(RIGHT('ARDT Cutter Entry'!H32,2)),1)=1, LEFT(SUBSTITUTE('ARDT Cutter Entry'!H32,"*",""),LEN(SUBSTITUTE('ARDT Cutter Entry'!H32,"*",""))-1),LEFT(SUBSTITUTE('ARDT Cutter Entry'!H32,"*",""),LEN(SUBSTITUTE('ARDT Cutter Entry'!H32,"*",""))-2) )),"")</f>
        <v/>
      </c>
      <c r="AQ21" s="2380"/>
      <c r="AR21" s="2380"/>
      <c r="AS21" s="2380"/>
      <c r="AT21" s="2380"/>
      <c r="AU21" s="2380"/>
      <c r="AV21" s="2380"/>
      <c r="AW21" s="2380"/>
      <c r="AX21" s="2380" t="str">
        <f>IFERROR(IF('ARDT Cutter Entry'!$C$94&lt;&gt;"",IF(IFERROR(VALUE(RIGHT('ARDT Cutter Entry'!I100,2)),1)=1, LEFT(SUBSTITUTE('ARDT Cutter Entry'!I100,"*",""),LEN(SUBSTITUTE('ARDT Cutter Entry'!I100,"*",""))-1),LEFT(SUBSTITUTE('ARDT Cutter Entry'!I100,"*",""),LEN(SUBSTITUTE('ARDT Cutter Entry'!I100,"*",""))-2)),IF(IFERROR(VALUE(RIGHT('ARDT Cutter Entry'!I32,2)),1)=1, LEFT(SUBSTITUTE('ARDT Cutter Entry'!I32,"*",""),LEN(SUBSTITUTE('ARDT Cutter Entry'!I32,"*",""))-1),LEFT(SUBSTITUTE('ARDT Cutter Entry'!I32,"*",""),LEN(SUBSTITUTE('ARDT Cutter Entry'!I32,"*",""))-2) )),"")</f>
        <v/>
      </c>
      <c r="AY21" s="2380"/>
      <c r="AZ21" s="2380"/>
      <c r="BA21" s="2380"/>
      <c r="BB21" s="2380"/>
      <c r="BC21" s="2380"/>
      <c r="BD21" s="2380"/>
      <c r="BE21" s="2380"/>
      <c r="BF21" s="2380" t="str">
        <f>IFERROR(IF('ARDT Cutter Entry'!$C$94&lt;&gt;"",IF(IFERROR(VALUE(RIGHT('ARDT Cutter Entry'!J100,2)),1)=1, LEFT(SUBSTITUTE('ARDT Cutter Entry'!J100,"*",""),LEN(SUBSTITUTE('ARDT Cutter Entry'!J100,"*",""))-1),LEFT(SUBSTITUTE('ARDT Cutter Entry'!J100,"*",""),LEN(SUBSTITUTE('ARDT Cutter Entry'!J100,"*",""))-2)),IF(IFERROR(VALUE(RIGHT('ARDT Cutter Entry'!J32,2)),1)=1, LEFT(SUBSTITUTE('ARDT Cutter Entry'!J32,"*",""),LEN(SUBSTITUTE('ARDT Cutter Entry'!J32,"*",""))-1),LEFT(SUBSTITUTE('ARDT Cutter Entry'!J32,"*",""),LEN(SUBSTITUTE('ARDT Cutter Entry'!J32,"*",""))-2) )),"")</f>
        <v/>
      </c>
      <c r="BG21" s="2380"/>
      <c r="BH21" s="2380"/>
      <c r="BI21" s="2380"/>
      <c r="BJ21" s="2380"/>
      <c r="BK21" s="2380"/>
      <c r="BL21" s="2380"/>
      <c r="BM21" s="2380"/>
      <c r="BN21" s="2380" t="str">
        <f>IFERROR(IF('ARDT Cutter Entry'!$C$94&lt;&gt;"",IF(IFERROR(VALUE(RIGHT('ARDT Cutter Entry'!K100,2)),1)=1, LEFT(SUBSTITUTE('ARDT Cutter Entry'!K100,"*",""),LEN(SUBSTITUTE('ARDT Cutter Entry'!K100,"*",""))-1),LEFT(SUBSTITUTE('ARDT Cutter Entry'!K100,"*",""),LEN(SUBSTITUTE('ARDT Cutter Entry'!K100,"*",""))-2)),IF(IFERROR(VALUE(RIGHT('ARDT Cutter Entry'!K32,2)),1)=1, LEFT(SUBSTITUTE('ARDT Cutter Entry'!K32,"*",""),LEN(SUBSTITUTE('ARDT Cutter Entry'!K32,"*",""))-1),LEFT(SUBSTITUTE('ARDT Cutter Entry'!K32,"*",""),LEN(SUBSTITUTE('ARDT Cutter Entry'!K32,"*",""))-2) )),"")</f>
        <v/>
      </c>
      <c r="BO21" s="2380"/>
      <c r="BP21" s="2380"/>
      <c r="BQ21" s="2380"/>
      <c r="BR21" s="2380"/>
      <c r="BS21" s="2380"/>
      <c r="BT21" s="2380"/>
      <c r="BU21" s="2380"/>
      <c r="BV21" s="2380" t="str">
        <f>IFERROR(IF('ARDT Cutter Entry'!$C$94&lt;&gt;"",IF(IFERROR(VALUE(RIGHT('ARDT Cutter Entry'!L100,2)),1)=1, LEFT(SUBSTITUTE('ARDT Cutter Entry'!L100,"*",""),LEN(SUBSTITUTE('ARDT Cutter Entry'!L100,"*",""))-1),LEFT(SUBSTITUTE('ARDT Cutter Entry'!L100,"*",""),LEN(SUBSTITUTE('ARDT Cutter Entry'!L100,"*",""))-2)),IF(IFERROR(VALUE(RIGHT('ARDT Cutter Entry'!L32,2)),1)=1, LEFT(SUBSTITUTE('ARDT Cutter Entry'!L32,"*",""),LEN(SUBSTITUTE('ARDT Cutter Entry'!L32,"*",""))-1),LEFT(SUBSTITUTE('ARDT Cutter Entry'!L32,"*",""),LEN(SUBSTITUTE('ARDT Cutter Entry'!L32,"*",""))-2) )),"")</f>
        <v/>
      </c>
      <c r="BW21" s="2380"/>
      <c r="BX21" s="2380"/>
      <c r="BY21" s="2380"/>
      <c r="BZ21" s="2380"/>
      <c r="CA21" s="2380"/>
      <c r="CB21" s="2380"/>
      <c r="CC21" s="2380"/>
      <c r="CD21" s="2380" t="str">
        <f>IFERROR(IF('ARDT Cutter Entry'!$C$94&lt;&gt;"",IF(IFERROR(VALUE(RIGHT('ARDT Cutter Entry'!M100,2)),1)=1, LEFT(SUBSTITUTE('ARDT Cutter Entry'!M100,"*",""),LEN(SUBSTITUTE('ARDT Cutter Entry'!M100,"*",""))-1),LEFT(SUBSTITUTE('ARDT Cutter Entry'!M100,"*",""),LEN(SUBSTITUTE('ARDT Cutter Entry'!M100,"*",""))-2)),IF(IFERROR(VALUE(RIGHT('ARDT Cutter Entry'!M32,2)),1)=1, LEFT(SUBSTITUTE('ARDT Cutter Entry'!M32,"*",""),LEN(SUBSTITUTE('ARDT Cutter Entry'!M32,"*",""))-1),LEFT(SUBSTITUTE('ARDT Cutter Entry'!M32,"*",""),LEN(SUBSTITUTE('ARDT Cutter Entry'!M32,"*",""))-2) )),"")</f>
        <v/>
      </c>
      <c r="CE21" s="2380"/>
      <c r="CF21" s="2380"/>
      <c r="CG21" s="2380"/>
      <c r="CH21" s="2380"/>
      <c r="CI21" s="2380"/>
      <c r="CJ21" s="2380"/>
      <c r="CK21" s="2380"/>
      <c r="CL21" s="2380" t="str">
        <f>IFERROR(IF('ARDT Cutter Entry'!$C$94&lt;&gt;"",IF(IFERROR(VALUE(RIGHT('ARDT Cutter Entry'!N100,2)),1)=1, LEFT(SUBSTITUTE('ARDT Cutter Entry'!N100,"*",""),LEN(SUBSTITUTE('ARDT Cutter Entry'!N100,"*",""))-1),LEFT(SUBSTITUTE('ARDT Cutter Entry'!N100,"*",""),LEN(SUBSTITUTE('ARDT Cutter Entry'!N100,"*",""))-2)),IF(IFERROR(VALUE(RIGHT('ARDT Cutter Entry'!N32,2)),1)=1, LEFT(SUBSTITUTE('ARDT Cutter Entry'!N32,"*",""),LEN(SUBSTITUTE('ARDT Cutter Entry'!N32,"*",""))-1),LEFT(SUBSTITUTE('ARDT Cutter Entry'!N32,"*",""),LEN(SUBSTITUTE('ARDT Cutter Entry'!N32,"*",""))-2) )),"")</f>
        <v/>
      </c>
      <c r="CM21" s="2380"/>
      <c r="CN21" s="2380"/>
      <c r="CO21" s="2380"/>
      <c r="CP21" s="2380"/>
      <c r="CQ21" s="2380"/>
      <c r="CR21" s="2380"/>
      <c r="CS21" s="2380"/>
      <c r="CT21" s="2380" t="str">
        <f>IFERROR(IF('ARDT Cutter Entry'!$C$94&lt;&gt;"",IF(IFERROR(VALUE(RIGHT('ARDT Cutter Entry'!O100,2)),1)=1, LEFT(SUBSTITUTE('ARDT Cutter Entry'!O100,"*",""),LEN(SUBSTITUTE('ARDT Cutter Entry'!O100,"*",""))-1),LEFT(SUBSTITUTE('ARDT Cutter Entry'!O100,"*",""),LEN(SUBSTITUTE('ARDT Cutter Entry'!O100,"*",""))-2)),IF(IFERROR(VALUE(RIGHT('ARDT Cutter Entry'!O32,2)),1)=1, LEFT(SUBSTITUTE('ARDT Cutter Entry'!O32,"*",""),LEN(SUBSTITUTE('ARDT Cutter Entry'!O32,"*",""))-1),LEFT(SUBSTITUTE('ARDT Cutter Entry'!O32,"*",""),LEN(SUBSTITUTE('ARDT Cutter Entry'!O32,"*",""))-2) )),"")</f>
        <v/>
      </c>
      <c r="CU21" s="2380"/>
      <c r="CV21" s="2380"/>
      <c r="CW21" s="2380"/>
      <c r="CX21" s="2380"/>
      <c r="CY21" s="2380"/>
      <c r="CZ21" s="2380"/>
      <c r="DA21" s="2380"/>
      <c r="DB21" s="2380" t="str">
        <f>IFERROR(IF('ARDT Cutter Entry'!$C$94&lt;&gt;"",IF(IFERROR(VALUE(RIGHT('ARDT Cutter Entry'!P100,2)),1)=1, LEFT(SUBSTITUTE('ARDT Cutter Entry'!P100,"*",""),LEN(SUBSTITUTE('ARDT Cutter Entry'!P100,"*",""))-1),LEFT(SUBSTITUTE('ARDT Cutter Entry'!P100,"*",""),LEN(SUBSTITUTE('ARDT Cutter Entry'!P100,"*",""))-2)),IF(IFERROR(VALUE(RIGHT('ARDT Cutter Entry'!P32,2)),1)=1, LEFT(SUBSTITUTE('ARDT Cutter Entry'!P32,"*",""),LEN(SUBSTITUTE('ARDT Cutter Entry'!P32,"*",""))-1),LEFT(SUBSTITUTE('ARDT Cutter Entry'!P32,"*",""),LEN(SUBSTITUTE('ARDT Cutter Entry'!P32,"*",""))-2) )),"")</f>
        <v/>
      </c>
      <c r="DC21" s="2380"/>
      <c r="DD21" s="2380"/>
      <c r="DE21" s="2380"/>
      <c r="DF21" s="2380"/>
      <c r="DG21" s="2380"/>
      <c r="DH21" s="2380"/>
      <c r="DI21" s="2380"/>
      <c r="DJ21" s="2380" t="str">
        <f>IFERROR(IF('ARDT Cutter Entry'!$C$94&lt;&gt;"",IF(IFERROR(VALUE(RIGHT('ARDT Cutter Entry'!Q100,2)),1)=1, LEFT(SUBSTITUTE('ARDT Cutter Entry'!Q100,"*",""),LEN(SUBSTITUTE('ARDT Cutter Entry'!Q100,"*",""))-1),LEFT(SUBSTITUTE('ARDT Cutter Entry'!Q100,"*",""),LEN(SUBSTITUTE('ARDT Cutter Entry'!Q100,"*",""))-2)),IF(IFERROR(VALUE(RIGHT('ARDT Cutter Entry'!Q32,2)),1)=1, LEFT(SUBSTITUTE('ARDT Cutter Entry'!Q32,"*",""),LEN(SUBSTITUTE('ARDT Cutter Entry'!Q32,"*",""))-1),LEFT(SUBSTITUTE('ARDT Cutter Entry'!Q32,"*",""),LEN(SUBSTITUTE('ARDT Cutter Entry'!Q32,"*",""))-2) )),"")</f>
        <v/>
      </c>
      <c r="DK21" s="2380"/>
      <c r="DL21" s="2380"/>
      <c r="DM21" s="2380"/>
      <c r="DN21" s="2380"/>
      <c r="DO21" s="2380"/>
      <c r="DP21" s="2380"/>
      <c r="DQ21" s="2380"/>
      <c r="DR21" s="2380" t="str">
        <f>IFERROR(IF('ARDT Cutter Entry'!$C$94&lt;&gt;"",IF(IFERROR(VALUE(RIGHT('ARDT Cutter Entry'!R100,2)),1)=1, LEFT(SUBSTITUTE('ARDT Cutter Entry'!R100,"*",""),LEN(SUBSTITUTE('ARDT Cutter Entry'!R100,"*",""))-1),LEFT(SUBSTITUTE('ARDT Cutter Entry'!R100,"*",""),LEN(SUBSTITUTE('ARDT Cutter Entry'!R100,"*",""))-2)),IF(IFERROR(VALUE(RIGHT('ARDT Cutter Entry'!R32,2)),1)=1, LEFT(SUBSTITUTE('ARDT Cutter Entry'!R32,"*",""),LEN(SUBSTITUTE('ARDT Cutter Entry'!R32,"*",""))-1),LEFT(SUBSTITUTE('ARDT Cutter Entry'!R32,"*",""),LEN(SUBSTITUTE('ARDT Cutter Entry'!R32,"*",""))-2) )),"")</f>
        <v/>
      </c>
      <c r="DS21" s="2380"/>
      <c r="DT21" s="2380"/>
      <c r="DU21" s="2380"/>
      <c r="DV21" s="2380"/>
      <c r="DW21" s="2380"/>
      <c r="DX21" s="2380"/>
      <c r="DY21" s="2380"/>
      <c r="DZ21" s="2380" t="str">
        <f>IFERROR(IF('ARDT Cutter Entry'!$C$94&lt;&gt;"",IF(IFERROR(VALUE(RIGHT('ARDT Cutter Entry'!S100,2)),1)=1, LEFT(SUBSTITUTE('ARDT Cutter Entry'!S100,"*",""),LEN(SUBSTITUTE('ARDT Cutter Entry'!S100,"*",""))-1),LEFT(SUBSTITUTE('ARDT Cutter Entry'!S100,"*",""),LEN(SUBSTITUTE('ARDT Cutter Entry'!S100,"*",""))-2)),IF(IFERROR(VALUE(RIGHT('ARDT Cutter Entry'!S32,2)),1)=1, LEFT(SUBSTITUTE('ARDT Cutter Entry'!S32,"*",""),LEN(SUBSTITUTE('ARDT Cutter Entry'!S32,"*",""))-1),LEFT(SUBSTITUTE('ARDT Cutter Entry'!S32,"*",""),LEN(SUBSTITUTE('ARDT Cutter Entry'!S32,"*",""))-2) )),"")</f>
        <v/>
      </c>
      <c r="EA21" s="2380"/>
      <c r="EB21" s="2380"/>
      <c r="EC21" s="2380"/>
      <c r="ED21" s="2380"/>
      <c r="EE21" s="2380"/>
      <c r="EF21" s="2380"/>
      <c r="EG21" s="2380"/>
      <c r="EH21" s="2380" t="str">
        <f>IFERROR(IF('ARDT Cutter Entry'!$C$94&lt;&gt;"",IF(IFERROR(VALUE(RIGHT('ARDT Cutter Entry'!T100,2)),1)=1, LEFT(SUBSTITUTE('ARDT Cutter Entry'!T100,"*",""),LEN(SUBSTITUTE('ARDT Cutter Entry'!T100,"*",""))-1),LEFT(SUBSTITUTE('ARDT Cutter Entry'!T100,"*",""),LEN(SUBSTITUTE('ARDT Cutter Entry'!T100,"*",""))-2)),IF(IFERROR(VALUE(RIGHT('ARDT Cutter Entry'!T32,2)),1)=1, LEFT(SUBSTITUTE('ARDT Cutter Entry'!T32,"*",""),LEN(SUBSTITUTE('ARDT Cutter Entry'!T32,"*",""))-1),LEFT(SUBSTITUTE('ARDT Cutter Entry'!T32,"*",""),LEN(SUBSTITUTE('ARDT Cutter Entry'!T32,"*",""))-2) )),"")</f>
        <v/>
      </c>
      <c r="EI21" s="2380"/>
      <c r="EJ21" s="2380"/>
      <c r="EK21" s="2380"/>
      <c r="EL21" s="2380"/>
      <c r="EM21" s="2380"/>
      <c r="EN21" s="2380"/>
      <c r="EO21" s="2380"/>
      <c r="EP21" s="2380" t="str">
        <f>IFERROR(IF('ARDT Cutter Entry'!$C$94&lt;&gt;"",IF(IFERROR(VALUE(RIGHT('ARDT Cutter Entry'!U100,2)),1)=1, LEFT(SUBSTITUTE('ARDT Cutter Entry'!U100,"*",""),LEN(SUBSTITUTE('ARDT Cutter Entry'!U100,"*",""))-1),LEFT(SUBSTITUTE('ARDT Cutter Entry'!U100,"*",""),LEN(SUBSTITUTE('ARDT Cutter Entry'!U100,"*",""))-2)),IF(IFERROR(VALUE(RIGHT('ARDT Cutter Entry'!U32,2)),1)=1, LEFT(SUBSTITUTE('ARDT Cutter Entry'!U32,"*",""),LEN(SUBSTITUTE('ARDT Cutter Entry'!U32,"*",""))-1),LEFT(SUBSTITUTE('ARDT Cutter Entry'!U32,"*",""),LEN(SUBSTITUTE('ARDT Cutter Entry'!U32,"*",""))-2) )),"")</f>
        <v/>
      </c>
      <c r="EQ21" s="2380"/>
      <c r="ER21" s="2380"/>
      <c r="ES21" s="2380"/>
      <c r="ET21" s="2380"/>
      <c r="EU21" s="2380"/>
      <c r="EV21" s="2380"/>
      <c r="EW21" s="2380"/>
      <c r="EX21" s="2380" t="str">
        <f>IFERROR(IF('ARDT Cutter Entry'!$C$94&lt;&gt;"",IF(IFERROR(VALUE(RIGHT('ARDT Cutter Entry'!V100,2)),1)=1, LEFT(SUBSTITUTE('ARDT Cutter Entry'!V100,"*",""),LEN(SUBSTITUTE('ARDT Cutter Entry'!V100,"*",""))-1),LEFT(SUBSTITUTE('ARDT Cutter Entry'!V100,"*",""),LEN(SUBSTITUTE('ARDT Cutter Entry'!V100,"*",""))-2)),IF(IFERROR(VALUE(RIGHT('ARDT Cutter Entry'!V32,2)),1)=1, LEFT(SUBSTITUTE('ARDT Cutter Entry'!V32,"*",""),LEN(SUBSTITUTE('ARDT Cutter Entry'!V32,"*",""))-1),LEFT(SUBSTITUTE('ARDT Cutter Entry'!V32,"*",""),LEN(SUBSTITUTE('ARDT Cutter Entry'!V32,"*",""))-2) )),"")</f>
        <v/>
      </c>
      <c r="EY21" s="2380"/>
      <c r="EZ21" s="2380"/>
      <c r="FA21" s="2380"/>
      <c r="FB21" s="2380"/>
      <c r="FC21" s="2380"/>
      <c r="FD21" s="2380"/>
      <c r="FE21" s="2380"/>
      <c r="FF21" s="2380" t="str">
        <f>IFERROR(IF('ARDT Cutter Entry'!$C$94&lt;&gt;"",IF(IFERROR(VALUE(RIGHT('ARDT Cutter Entry'!W100,2)),1)=1, LEFT(SUBSTITUTE('ARDT Cutter Entry'!W100,"*",""),LEN(SUBSTITUTE('ARDT Cutter Entry'!W100,"*",""))-1),LEFT(SUBSTITUTE('ARDT Cutter Entry'!W100,"*",""),LEN(SUBSTITUTE('ARDT Cutter Entry'!W100,"*",""))-2)),IF(IFERROR(VALUE(RIGHT('ARDT Cutter Entry'!W32,2)),1)=1, LEFT(SUBSTITUTE('ARDT Cutter Entry'!W32,"*",""),LEN(SUBSTITUTE('ARDT Cutter Entry'!W32,"*",""))-1),LEFT(SUBSTITUTE('ARDT Cutter Entry'!W32,"*",""),LEN(SUBSTITUTE('ARDT Cutter Entry'!W32,"*",""))-2) )),"")</f>
        <v/>
      </c>
      <c r="FG21" s="2380"/>
      <c r="FH21" s="2380"/>
      <c r="FI21" s="2380"/>
      <c r="FJ21" s="2380"/>
      <c r="FK21" s="2380"/>
      <c r="FL21" s="2380"/>
      <c r="FM21" s="2380"/>
      <c r="FN21" s="2380" t="str">
        <f>IFERROR(IF('ARDT Cutter Entry'!$C$94&lt;&gt;"",IF(IFERROR(VALUE(RIGHT('ARDT Cutter Entry'!X100,2)),1)=1, LEFT(SUBSTITUTE('ARDT Cutter Entry'!X100,"*",""),LEN(SUBSTITUTE('ARDT Cutter Entry'!X100,"*",""))-1),LEFT(SUBSTITUTE('ARDT Cutter Entry'!X100,"*",""),LEN(SUBSTITUTE('ARDT Cutter Entry'!X100,"*",""))-2)),IF(IFERROR(VALUE(RIGHT('ARDT Cutter Entry'!X32,2)),1)=1, LEFT(SUBSTITUTE('ARDT Cutter Entry'!X32,"*",""),LEN(SUBSTITUTE('ARDT Cutter Entry'!X32,"*",""))-1),LEFT(SUBSTITUTE('ARDT Cutter Entry'!X32,"*",""),LEN(SUBSTITUTE('ARDT Cutter Entry'!X32,"*",""))-2) )),"")</f>
        <v/>
      </c>
      <c r="FO21" s="2380"/>
      <c r="FP21" s="2380"/>
      <c r="FQ21" s="2380"/>
      <c r="FR21" s="2380"/>
      <c r="FS21" s="2380"/>
      <c r="FT21" s="2380"/>
      <c r="FU21" s="2380"/>
      <c r="FV21" s="2380" t="str">
        <f>IFERROR(IF('ARDT Cutter Entry'!$C$94&lt;&gt;"",IF(IFERROR(VALUE(RIGHT('ARDT Cutter Entry'!Y100,2)),1)=1, LEFT(SUBSTITUTE('ARDT Cutter Entry'!Y100,"*",""),LEN(SUBSTITUTE('ARDT Cutter Entry'!Y100,"*",""))-1),LEFT(SUBSTITUTE('ARDT Cutter Entry'!Y100,"*",""),LEN(SUBSTITUTE('ARDT Cutter Entry'!Y100,"*",""))-2)),IF(IFERROR(VALUE(RIGHT('ARDT Cutter Entry'!Y32,2)),1)=1, LEFT(SUBSTITUTE('ARDT Cutter Entry'!Y32,"*",""),LEN(SUBSTITUTE('ARDT Cutter Entry'!Y32,"*",""))-1),LEFT(SUBSTITUTE('ARDT Cutter Entry'!Y32,"*",""),LEN(SUBSTITUTE('ARDT Cutter Entry'!Y32,"*",""))-2) )),"")</f>
        <v/>
      </c>
      <c r="FW21" s="2380"/>
      <c r="FX21" s="2380"/>
      <c r="FY21" s="2380"/>
      <c r="FZ21" s="2380"/>
      <c r="GA21" s="2380"/>
      <c r="GB21" s="2380"/>
      <c r="GC21" s="2380"/>
      <c r="GD21" s="2384"/>
      <c r="GE21" s="2384"/>
      <c r="GF21" s="2384"/>
      <c r="GG21" s="2384"/>
    </row>
    <row r="22" spans="1:206" ht="44.25" customHeight="1" x14ac:dyDescent="0.55000000000000004">
      <c r="A22" s="338">
        <v>8</v>
      </c>
      <c r="B22" s="2380" t="str">
        <f>IFERROR(IF('ARDT Cutter Entry'!$C$94&lt;&gt;"",IF(IFERROR(VALUE(RIGHT('ARDT Cutter Entry'!C101,2)),1)=1, LEFT(SUBSTITUTE('ARDT Cutter Entry'!C101,"*",""),LEN(SUBSTITUTE('ARDT Cutter Entry'!C101,"*",""))-1),LEFT(SUBSTITUTE('ARDT Cutter Entry'!C101,"*",""),LEN(SUBSTITUTE('ARDT Cutter Entry'!C101,"*",""))-2)),IF(IFERROR(VALUE(RIGHT('ARDT Cutter Entry'!C33,2)),1)=1, LEFT(SUBSTITUTE('ARDT Cutter Entry'!C33,"*",""),LEN(SUBSTITUTE('ARDT Cutter Entry'!C33,"*",""))-1),LEFT(SUBSTITUTE('ARDT Cutter Entry'!C33,"*",""),LEN(SUBSTITUTE('ARDT Cutter Entry'!C33,"*",""))-2) )),"")</f>
        <v/>
      </c>
      <c r="C22" s="2380"/>
      <c r="D22" s="2380"/>
      <c r="E22" s="2380"/>
      <c r="F22" s="2380"/>
      <c r="G22" s="2380"/>
      <c r="H22" s="2380"/>
      <c r="I22" s="2380"/>
      <c r="J22" s="2380" t="str">
        <f>IFERROR(IF('ARDT Cutter Entry'!$C$94&lt;&gt;"",IF(IFERROR(VALUE(RIGHT('ARDT Cutter Entry'!D101,2)),1)=1, LEFT(SUBSTITUTE('ARDT Cutter Entry'!D101,"*",""),LEN(SUBSTITUTE('ARDT Cutter Entry'!D101,"*",""))-1),LEFT(SUBSTITUTE('ARDT Cutter Entry'!D101,"*",""),LEN(SUBSTITUTE('ARDT Cutter Entry'!D101,"*",""))-2)),IF(IFERROR(VALUE(RIGHT('ARDT Cutter Entry'!D33,2)),1)=1, LEFT(SUBSTITUTE('ARDT Cutter Entry'!D33,"*",""),LEN(SUBSTITUTE('ARDT Cutter Entry'!D33,"*",""))-1),LEFT(SUBSTITUTE('ARDT Cutter Entry'!D33,"*",""),LEN(SUBSTITUTE('ARDT Cutter Entry'!D33,"*",""))-2) )),"")</f>
        <v/>
      </c>
      <c r="K22" s="2380"/>
      <c r="L22" s="2380"/>
      <c r="M22" s="2380"/>
      <c r="N22" s="2380"/>
      <c r="O22" s="2380"/>
      <c r="P22" s="2380"/>
      <c r="Q22" s="2380"/>
      <c r="R22" s="2380" t="str">
        <f>IFERROR(IF('ARDT Cutter Entry'!$C$94&lt;&gt;"",IF(IFERROR(VALUE(RIGHT('ARDT Cutter Entry'!E101,2)),1)=1, LEFT(SUBSTITUTE('ARDT Cutter Entry'!E101,"*",""),LEN(SUBSTITUTE('ARDT Cutter Entry'!E101,"*",""))-1),LEFT(SUBSTITUTE('ARDT Cutter Entry'!E101,"*",""),LEN(SUBSTITUTE('ARDT Cutter Entry'!E101,"*",""))-2)),IF(IFERROR(VALUE(RIGHT('ARDT Cutter Entry'!E33,2)),1)=1, LEFT(SUBSTITUTE('ARDT Cutter Entry'!E33,"*",""),LEN(SUBSTITUTE('ARDT Cutter Entry'!E33,"*",""))-1),LEFT(SUBSTITUTE('ARDT Cutter Entry'!E33,"*",""),LEN(SUBSTITUTE('ARDT Cutter Entry'!E33,"*",""))-2) )),"")</f>
        <v/>
      </c>
      <c r="S22" s="2380"/>
      <c r="T22" s="2380"/>
      <c r="U22" s="2380"/>
      <c r="V22" s="2380"/>
      <c r="W22" s="2380"/>
      <c r="X22" s="2380"/>
      <c r="Y22" s="2380"/>
      <c r="Z22" s="2380" t="str">
        <f>IFERROR(IF('ARDT Cutter Entry'!$C$94&lt;&gt;"",IF(IFERROR(VALUE(RIGHT('ARDT Cutter Entry'!F101,2)),1)=1, LEFT(SUBSTITUTE('ARDT Cutter Entry'!F101,"*",""),LEN(SUBSTITUTE('ARDT Cutter Entry'!F101,"*",""))-1),LEFT(SUBSTITUTE('ARDT Cutter Entry'!F101,"*",""),LEN(SUBSTITUTE('ARDT Cutter Entry'!F101,"*",""))-2)),IF(IFERROR(VALUE(RIGHT('ARDT Cutter Entry'!F33,2)),1)=1, LEFT(SUBSTITUTE('ARDT Cutter Entry'!F33,"*",""),LEN(SUBSTITUTE('ARDT Cutter Entry'!F33,"*",""))-1),LEFT(SUBSTITUTE('ARDT Cutter Entry'!F33,"*",""),LEN(SUBSTITUTE('ARDT Cutter Entry'!F33,"*",""))-2) )),"")</f>
        <v/>
      </c>
      <c r="AA22" s="2380"/>
      <c r="AB22" s="2380"/>
      <c r="AC22" s="2380"/>
      <c r="AD22" s="2380"/>
      <c r="AE22" s="2380"/>
      <c r="AF22" s="2380"/>
      <c r="AG22" s="2380"/>
      <c r="AH22" s="2380" t="str">
        <f>IFERROR(IF('ARDT Cutter Entry'!$C$94&lt;&gt;"",IF(IFERROR(VALUE(RIGHT('ARDT Cutter Entry'!G101,2)),1)=1, LEFT(SUBSTITUTE('ARDT Cutter Entry'!G101,"*",""),LEN(SUBSTITUTE('ARDT Cutter Entry'!G101,"*",""))-1),LEFT(SUBSTITUTE('ARDT Cutter Entry'!G101,"*",""),LEN(SUBSTITUTE('ARDT Cutter Entry'!G101,"*",""))-2)),IF(IFERROR(VALUE(RIGHT('ARDT Cutter Entry'!G33,2)),1)=1, LEFT(SUBSTITUTE('ARDT Cutter Entry'!G33,"*",""),LEN(SUBSTITUTE('ARDT Cutter Entry'!G33,"*",""))-1),LEFT(SUBSTITUTE('ARDT Cutter Entry'!G33,"*",""),LEN(SUBSTITUTE('ARDT Cutter Entry'!G33,"*",""))-2) )),"")</f>
        <v/>
      </c>
      <c r="AI22" s="2380"/>
      <c r="AJ22" s="2380"/>
      <c r="AK22" s="2380"/>
      <c r="AL22" s="2380"/>
      <c r="AM22" s="2380"/>
      <c r="AN22" s="2380"/>
      <c r="AO22" s="2380"/>
      <c r="AP22" s="2380" t="str">
        <f>IFERROR(IF('ARDT Cutter Entry'!$C$94&lt;&gt;"",IF(IFERROR(VALUE(RIGHT('ARDT Cutter Entry'!H101,2)),1)=1, LEFT(SUBSTITUTE('ARDT Cutter Entry'!H101,"*",""),LEN(SUBSTITUTE('ARDT Cutter Entry'!H101,"*",""))-1),LEFT(SUBSTITUTE('ARDT Cutter Entry'!H101,"*",""),LEN(SUBSTITUTE('ARDT Cutter Entry'!H101,"*",""))-2)),IF(IFERROR(VALUE(RIGHT('ARDT Cutter Entry'!H33,2)),1)=1, LEFT(SUBSTITUTE('ARDT Cutter Entry'!H33,"*",""),LEN(SUBSTITUTE('ARDT Cutter Entry'!H33,"*",""))-1),LEFT(SUBSTITUTE('ARDT Cutter Entry'!H33,"*",""),LEN(SUBSTITUTE('ARDT Cutter Entry'!H33,"*",""))-2) )),"")</f>
        <v/>
      </c>
      <c r="AQ22" s="2380"/>
      <c r="AR22" s="2380"/>
      <c r="AS22" s="2380"/>
      <c r="AT22" s="2380"/>
      <c r="AU22" s="2380"/>
      <c r="AV22" s="2380"/>
      <c r="AW22" s="2380"/>
      <c r="AX22" s="2380" t="str">
        <f>IFERROR(IF('ARDT Cutter Entry'!$C$94&lt;&gt;"",IF(IFERROR(VALUE(RIGHT('ARDT Cutter Entry'!I101,2)),1)=1, LEFT(SUBSTITUTE('ARDT Cutter Entry'!I101,"*",""),LEN(SUBSTITUTE('ARDT Cutter Entry'!I101,"*",""))-1),LEFT(SUBSTITUTE('ARDT Cutter Entry'!I101,"*",""),LEN(SUBSTITUTE('ARDT Cutter Entry'!I101,"*",""))-2)),IF(IFERROR(VALUE(RIGHT('ARDT Cutter Entry'!I33,2)),1)=1, LEFT(SUBSTITUTE('ARDT Cutter Entry'!I33,"*",""),LEN(SUBSTITUTE('ARDT Cutter Entry'!I33,"*",""))-1),LEFT(SUBSTITUTE('ARDT Cutter Entry'!I33,"*",""),LEN(SUBSTITUTE('ARDT Cutter Entry'!I33,"*",""))-2) )),"")</f>
        <v/>
      </c>
      <c r="AY22" s="2380"/>
      <c r="AZ22" s="2380"/>
      <c r="BA22" s="2380"/>
      <c r="BB22" s="2380"/>
      <c r="BC22" s="2380"/>
      <c r="BD22" s="2380"/>
      <c r="BE22" s="2380"/>
      <c r="BF22" s="2380" t="str">
        <f>IFERROR(IF('ARDT Cutter Entry'!$C$94&lt;&gt;"",IF(IFERROR(VALUE(RIGHT('ARDT Cutter Entry'!J101,2)),1)=1, LEFT(SUBSTITUTE('ARDT Cutter Entry'!J101,"*",""),LEN(SUBSTITUTE('ARDT Cutter Entry'!J101,"*",""))-1),LEFT(SUBSTITUTE('ARDT Cutter Entry'!J101,"*",""),LEN(SUBSTITUTE('ARDT Cutter Entry'!J101,"*",""))-2)),IF(IFERROR(VALUE(RIGHT('ARDT Cutter Entry'!J33,2)),1)=1, LEFT(SUBSTITUTE('ARDT Cutter Entry'!J33,"*",""),LEN(SUBSTITUTE('ARDT Cutter Entry'!J33,"*",""))-1),LEFT(SUBSTITUTE('ARDT Cutter Entry'!J33,"*",""),LEN(SUBSTITUTE('ARDT Cutter Entry'!J33,"*",""))-2) )),"")</f>
        <v/>
      </c>
      <c r="BG22" s="2380"/>
      <c r="BH22" s="2380"/>
      <c r="BI22" s="2380"/>
      <c r="BJ22" s="2380"/>
      <c r="BK22" s="2380"/>
      <c r="BL22" s="2380"/>
      <c r="BM22" s="2380"/>
      <c r="BN22" s="2380" t="str">
        <f>IFERROR(IF('ARDT Cutter Entry'!$C$94&lt;&gt;"",IF(IFERROR(VALUE(RIGHT('ARDT Cutter Entry'!K101,2)),1)=1, LEFT(SUBSTITUTE('ARDT Cutter Entry'!K101,"*",""),LEN(SUBSTITUTE('ARDT Cutter Entry'!K101,"*",""))-1),LEFT(SUBSTITUTE('ARDT Cutter Entry'!K101,"*",""),LEN(SUBSTITUTE('ARDT Cutter Entry'!K101,"*",""))-2)),IF(IFERROR(VALUE(RIGHT('ARDT Cutter Entry'!K33,2)),1)=1, LEFT(SUBSTITUTE('ARDT Cutter Entry'!K33,"*",""),LEN(SUBSTITUTE('ARDT Cutter Entry'!K33,"*",""))-1),LEFT(SUBSTITUTE('ARDT Cutter Entry'!K33,"*",""),LEN(SUBSTITUTE('ARDT Cutter Entry'!K33,"*",""))-2) )),"")</f>
        <v/>
      </c>
      <c r="BO22" s="2380"/>
      <c r="BP22" s="2380"/>
      <c r="BQ22" s="2380"/>
      <c r="BR22" s="2380"/>
      <c r="BS22" s="2380"/>
      <c r="BT22" s="2380"/>
      <c r="BU22" s="2380"/>
      <c r="BV22" s="2380" t="str">
        <f>IFERROR(IF('ARDT Cutter Entry'!$C$94&lt;&gt;"",IF(IFERROR(VALUE(RIGHT('ARDT Cutter Entry'!L101,2)),1)=1, LEFT(SUBSTITUTE('ARDT Cutter Entry'!L101,"*",""),LEN(SUBSTITUTE('ARDT Cutter Entry'!L101,"*",""))-1),LEFT(SUBSTITUTE('ARDT Cutter Entry'!L101,"*",""),LEN(SUBSTITUTE('ARDT Cutter Entry'!L101,"*",""))-2)),IF(IFERROR(VALUE(RIGHT('ARDT Cutter Entry'!L33,2)),1)=1, LEFT(SUBSTITUTE('ARDT Cutter Entry'!L33,"*",""),LEN(SUBSTITUTE('ARDT Cutter Entry'!L33,"*",""))-1),LEFT(SUBSTITUTE('ARDT Cutter Entry'!L33,"*",""),LEN(SUBSTITUTE('ARDT Cutter Entry'!L33,"*",""))-2) )),"")</f>
        <v/>
      </c>
      <c r="BW22" s="2380"/>
      <c r="BX22" s="2380"/>
      <c r="BY22" s="2380"/>
      <c r="BZ22" s="2380"/>
      <c r="CA22" s="2380"/>
      <c r="CB22" s="2380"/>
      <c r="CC22" s="2380"/>
      <c r="CD22" s="2380" t="str">
        <f>IFERROR(IF('ARDT Cutter Entry'!$C$94&lt;&gt;"",IF(IFERROR(VALUE(RIGHT('ARDT Cutter Entry'!M101,2)),1)=1, LEFT(SUBSTITUTE('ARDT Cutter Entry'!M101,"*",""),LEN(SUBSTITUTE('ARDT Cutter Entry'!M101,"*",""))-1),LEFT(SUBSTITUTE('ARDT Cutter Entry'!M101,"*",""),LEN(SUBSTITUTE('ARDT Cutter Entry'!M101,"*",""))-2)),IF(IFERROR(VALUE(RIGHT('ARDT Cutter Entry'!M33,2)),1)=1, LEFT(SUBSTITUTE('ARDT Cutter Entry'!M33,"*",""),LEN(SUBSTITUTE('ARDT Cutter Entry'!M33,"*",""))-1),LEFT(SUBSTITUTE('ARDT Cutter Entry'!M33,"*",""),LEN(SUBSTITUTE('ARDT Cutter Entry'!M33,"*",""))-2) )),"")</f>
        <v/>
      </c>
      <c r="CE22" s="2380"/>
      <c r="CF22" s="2380"/>
      <c r="CG22" s="2380"/>
      <c r="CH22" s="2380"/>
      <c r="CI22" s="2380"/>
      <c r="CJ22" s="2380"/>
      <c r="CK22" s="2380"/>
      <c r="CL22" s="2380" t="str">
        <f>IFERROR(IF('ARDT Cutter Entry'!$C$94&lt;&gt;"",IF(IFERROR(VALUE(RIGHT('ARDT Cutter Entry'!N101,2)),1)=1, LEFT(SUBSTITUTE('ARDT Cutter Entry'!N101,"*",""),LEN(SUBSTITUTE('ARDT Cutter Entry'!N101,"*",""))-1),LEFT(SUBSTITUTE('ARDT Cutter Entry'!N101,"*",""),LEN(SUBSTITUTE('ARDT Cutter Entry'!N101,"*",""))-2)),IF(IFERROR(VALUE(RIGHT('ARDT Cutter Entry'!N33,2)),1)=1, LEFT(SUBSTITUTE('ARDT Cutter Entry'!N33,"*",""),LEN(SUBSTITUTE('ARDT Cutter Entry'!N33,"*",""))-1),LEFT(SUBSTITUTE('ARDT Cutter Entry'!N33,"*",""),LEN(SUBSTITUTE('ARDT Cutter Entry'!N33,"*",""))-2) )),"")</f>
        <v/>
      </c>
      <c r="CM22" s="2380"/>
      <c r="CN22" s="2380"/>
      <c r="CO22" s="2380"/>
      <c r="CP22" s="2380"/>
      <c r="CQ22" s="2380"/>
      <c r="CR22" s="2380"/>
      <c r="CS22" s="2380"/>
      <c r="CT22" s="2380" t="str">
        <f>IFERROR(IF('ARDT Cutter Entry'!$C$94&lt;&gt;"",IF(IFERROR(VALUE(RIGHT('ARDT Cutter Entry'!O101,2)),1)=1, LEFT(SUBSTITUTE('ARDT Cutter Entry'!O101,"*",""),LEN(SUBSTITUTE('ARDT Cutter Entry'!O101,"*",""))-1),LEFT(SUBSTITUTE('ARDT Cutter Entry'!O101,"*",""),LEN(SUBSTITUTE('ARDT Cutter Entry'!O101,"*",""))-2)),IF(IFERROR(VALUE(RIGHT('ARDT Cutter Entry'!O33,2)),1)=1, LEFT(SUBSTITUTE('ARDT Cutter Entry'!O33,"*",""),LEN(SUBSTITUTE('ARDT Cutter Entry'!O33,"*",""))-1),LEFT(SUBSTITUTE('ARDT Cutter Entry'!O33,"*",""),LEN(SUBSTITUTE('ARDT Cutter Entry'!O33,"*",""))-2) )),"")</f>
        <v/>
      </c>
      <c r="CU22" s="2380"/>
      <c r="CV22" s="2380"/>
      <c r="CW22" s="2380"/>
      <c r="CX22" s="2380"/>
      <c r="CY22" s="2380"/>
      <c r="CZ22" s="2380"/>
      <c r="DA22" s="2380"/>
      <c r="DB22" s="2380" t="str">
        <f>IFERROR(IF('ARDT Cutter Entry'!$C$94&lt;&gt;"",IF(IFERROR(VALUE(RIGHT('ARDT Cutter Entry'!P101,2)),1)=1, LEFT(SUBSTITUTE('ARDT Cutter Entry'!P101,"*",""),LEN(SUBSTITUTE('ARDT Cutter Entry'!P101,"*",""))-1),LEFT(SUBSTITUTE('ARDT Cutter Entry'!P101,"*",""),LEN(SUBSTITUTE('ARDT Cutter Entry'!P101,"*",""))-2)),IF(IFERROR(VALUE(RIGHT('ARDT Cutter Entry'!P33,2)),1)=1, LEFT(SUBSTITUTE('ARDT Cutter Entry'!P33,"*",""),LEN(SUBSTITUTE('ARDT Cutter Entry'!P33,"*",""))-1),LEFT(SUBSTITUTE('ARDT Cutter Entry'!P33,"*",""),LEN(SUBSTITUTE('ARDT Cutter Entry'!P33,"*",""))-2) )),"")</f>
        <v/>
      </c>
      <c r="DC22" s="2380"/>
      <c r="DD22" s="2380"/>
      <c r="DE22" s="2380"/>
      <c r="DF22" s="2380"/>
      <c r="DG22" s="2380"/>
      <c r="DH22" s="2380"/>
      <c r="DI22" s="2380"/>
      <c r="DJ22" s="2380" t="str">
        <f>IFERROR(IF('ARDT Cutter Entry'!$C$94&lt;&gt;"",IF(IFERROR(VALUE(RIGHT('ARDT Cutter Entry'!Q101,2)),1)=1, LEFT(SUBSTITUTE('ARDT Cutter Entry'!Q101,"*",""),LEN(SUBSTITUTE('ARDT Cutter Entry'!Q101,"*",""))-1),LEFT(SUBSTITUTE('ARDT Cutter Entry'!Q101,"*",""),LEN(SUBSTITUTE('ARDT Cutter Entry'!Q101,"*",""))-2)),IF(IFERROR(VALUE(RIGHT('ARDT Cutter Entry'!Q33,2)),1)=1, LEFT(SUBSTITUTE('ARDT Cutter Entry'!Q33,"*",""),LEN(SUBSTITUTE('ARDT Cutter Entry'!Q33,"*",""))-1),LEFT(SUBSTITUTE('ARDT Cutter Entry'!Q33,"*",""),LEN(SUBSTITUTE('ARDT Cutter Entry'!Q33,"*",""))-2) )),"")</f>
        <v/>
      </c>
      <c r="DK22" s="2380"/>
      <c r="DL22" s="2380"/>
      <c r="DM22" s="2380"/>
      <c r="DN22" s="2380"/>
      <c r="DO22" s="2380"/>
      <c r="DP22" s="2380"/>
      <c r="DQ22" s="2380"/>
      <c r="DR22" s="2380" t="str">
        <f>IFERROR(IF('ARDT Cutter Entry'!$C$94&lt;&gt;"",IF(IFERROR(VALUE(RIGHT('ARDT Cutter Entry'!R101,2)),1)=1, LEFT(SUBSTITUTE('ARDT Cutter Entry'!R101,"*",""),LEN(SUBSTITUTE('ARDT Cutter Entry'!R101,"*",""))-1),LEFT(SUBSTITUTE('ARDT Cutter Entry'!R101,"*",""),LEN(SUBSTITUTE('ARDT Cutter Entry'!R101,"*",""))-2)),IF(IFERROR(VALUE(RIGHT('ARDT Cutter Entry'!R33,2)),1)=1, LEFT(SUBSTITUTE('ARDT Cutter Entry'!R33,"*",""),LEN(SUBSTITUTE('ARDT Cutter Entry'!R33,"*",""))-1),LEFT(SUBSTITUTE('ARDT Cutter Entry'!R33,"*",""),LEN(SUBSTITUTE('ARDT Cutter Entry'!R33,"*",""))-2) )),"")</f>
        <v/>
      </c>
      <c r="DS22" s="2380"/>
      <c r="DT22" s="2380"/>
      <c r="DU22" s="2380"/>
      <c r="DV22" s="2380"/>
      <c r="DW22" s="2380"/>
      <c r="DX22" s="2380"/>
      <c r="DY22" s="2380"/>
      <c r="DZ22" s="2380" t="str">
        <f>IFERROR(IF('ARDT Cutter Entry'!$C$94&lt;&gt;"",IF(IFERROR(VALUE(RIGHT('ARDT Cutter Entry'!S101,2)),1)=1, LEFT(SUBSTITUTE('ARDT Cutter Entry'!S101,"*",""),LEN(SUBSTITUTE('ARDT Cutter Entry'!S101,"*",""))-1),LEFT(SUBSTITUTE('ARDT Cutter Entry'!S101,"*",""),LEN(SUBSTITUTE('ARDT Cutter Entry'!S101,"*",""))-2)),IF(IFERROR(VALUE(RIGHT('ARDT Cutter Entry'!S33,2)),1)=1, LEFT(SUBSTITUTE('ARDT Cutter Entry'!S33,"*",""),LEN(SUBSTITUTE('ARDT Cutter Entry'!S33,"*",""))-1),LEFT(SUBSTITUTE('ARDT Cutter Entry'!S33,"*",""),LEN(SUBSTITUTE('ARDT Cutter Entry'!S33,"*",""))-2) )),"")</f>
        <v/>
      </c>
      <c r="EA22" s="2380"/>
      <c r="EB22" s="2380"/>
      <c r="EC22" s="2380"/>
      <c r="ED22" s="2380"/>
      <c r="EE22" s="2380"/>
      <c r="EF22" s="2380"/>
      <c r="EG22" s="2380"/>
      <c r="EH22" s="2380" t="str">
        <f>IFERROR(IF('ARDT Cutter Entry'!$C$94&lt;&gt;"",IF(IFERROR(VALUE(RIGHT('ARDT Cutter Entry'!T101,2)),1)=1, LEFT(SUBSTITUTE('ARDT Cutter Entry'!T101,"*",""),LEN(SUBSTITUTE('ARDT Cutter Entry'!T101,"*",""))-1),LEFT(SUBSTITUTE('ARDT Cutter Entry'!T101,"*",""),LEN(SUBSTITUTE('ARDT Cutter Entry'!T101,"*",""))-2)),IF(IFERROR(VALUE(RIGHT('ARDT Cutter Entry'!T33,2)),1)=1, LEFT(SUBSTITUTE('ARDT Cutter Entry'!T33,"*",""),LEN(SUBSTITUTE('ARDT Cutter Entry'!T33,"*",""))-1),LEFT(SUBSTITUTE('ARDT Cutter Entry'!T33,"*",""),LEN(SUBSTITUTE('ARDT Cutter Entry'!T33,"*",""))-2) )),"")</f>
        <v/>
      </c>
      <c r="EI22" s="2380"/>
      <c r="EJ22" s="2380"/>
      <c r="EK22" s="2380"/>
      <c r="EL22" s="2380"/>
      <c r="EM22" s="2380"/>
      <c r="EN22" s="2380"/>
      <c r="EO22" s="2380"/>
      <c r="EP22" s="2380" t="str">
        <f>IFERROR(IF('ARDT Cutter Entry'!$C$94&lt;&gt;"",IF(IFERROR(VALUE(RIGHT('ARDT Cutter Entry'!U101,2)),1)=1, LEFT(SUBSTITUTE('ARDT Cutter Entry'!U101,"*",""),LEN(SUBSTITUTE('ARDT Cutter Entry'!U101,"*",""))-1),LEFT(SUBSTITUTE('ARDT Cutter Entry'!U101,"*",""),LEN(SUBSTITUTE('ARDT Cutter Entry'!U101,"*",""))-2)),IF(IFERROR(VALUE(RIGHT('ARDT Cutter Entry'!U33,2)),1)=1, LEFT(SUBSTITUTE('ARDT Cutter Entry'!U33,"*",""),LEN(SUBSTITUTE('ARDT Cutter Entry'!U33,"*",""))-1),LEFT(SUBSTITUTE('ARDT Cutter Entry'!U33,"*",""),LEN(SUBSTITUTE('ARDT Cutter Entry'!U33,"*",""))-2) )),"")</f>
        <v/>
      </c>
      <c r="EQ22" s="2380"/>
      <c r="ER22" s="2380"/>
      <c r="ES22" s="2380"/>
      <c r="ET22" s="2380"/>
      <c r="EU22" s="2380"/>
      <c r="EV22" s="2380"/>
      <c r="EW22" s="2380"/>
      <c r="EX22" s="2380" t="str">
        <f>IFERROR(IF('ARDT Cutter Entry'!$C$94&lt;&gt;"",IF(IFERROR(VALUE(RIGHT('ARDT Cutter Entry'!V101,2)),1)=1, LEFT(SUBSTITUTE('ARDT Cutter Entry'!V101,"*",""),LEN(SUBSTITUTE('ARDT Cutter Entry'!V101,"*",""))-1),LEFT(SUBSTITUTE('ARDT Cutter Entry'!V101,"*",""),LEN(SUBSTITUTE('ARDT Cutter Entry'!V101,"*",""))-2)),IF(IFERROR(VALUE(RIGHT('ARDT Cutter Entry'!V33,2)),1)=1, LEFT(SUBSTITUTE('ARDT Cutter Entry'!V33,"*",""),LEN(SUBSTITUTE('ARDT Cutter Entry'!V33,"*",""))-1),LEFT(SUBSTITUTE('ARDT Cutter Entry'!V33,"*",""),LEN(SUBSTITUTE('ARDT Cutter Entry'!V33,"*",""))-2) )),"")</f>
        <v/>
      </c>
      <c r="EY22" s="2380"/>
      <c r="EZ22" s="2380"/>
      <c r="FA22" s="2380"/>
      <c r="FB22" s="2380"/>
      <c r="FC22" s="2380"/>
      <c r="FD22" s="2380"/>
      <c r="FE22" s="2380"/>
      <c r="FF22" s="2380" t="str">
        <f>IFERROR(IF('ARDT Cutter Entry'!$C$94&lt;&gt;"",IF(IFERROR(VALUE(RIGHT('ARDT Cutter Entry'!W101,2)),1)=1, LEFT(SUBSTITUTE('ARDT Cutter Entry'!W101,"*",""),LEN(SUBSTITUTE('ARDT Cutter Entry'!W101,"*",""))-1),LEFT(SUBSTITUTE('ARDT Cutter Entry'!W101,"*",""),LEN(SUBSTITUTE('ARDT Cutter Entry'!W101,"*",""))-2)),IF(IFERROR(VALUE(RIGHT('ARDT Cutter Entry'!W33,2)),1)=1, LEFT(SUBSTITUTE('ARDT Cutter Entry'!W33,"*",""),LEN(SUBSTITUTE('ARDT Cutter Entry'!W33,"*",""))-1),LEFT(SUBSTITUTE('ARDT Cutter Entry'!W33,"*",""),LEN(SUBSTITUTE('ARDT Cutter Entry'!W33,"*",""))-2) )),"")</f>
        <v/>
      </c>
      <c r="FG22" s="2380"/>
      <c r="FH22" s="2380"/>
      <c r="FI22" s="2380"/>
      <c r="FJ22" s="2380"/>
      <c r="FK22" s="2380"/>
      <c r="FL22" s="2380"/>
      <c r="FM22" s="2380"/>
      <c r="FN22" s="2380" t="str">
        <f>IFERROR(IF('ARDT Cutter Entry'!$C$94&lt;&gt;"",IF(IFERROR(VALUE(RIGHT('ARDT Cutter Entry'!X101,2)),1)=1, LEFT(SUBSTITUTE('ARDT Cutter Entry'!X101,"*",""),LEN(SUBSTITUTE('ARDT Cutter Entry'!X101,"*",""))-1),LEFT(SUBSTITUTE('ARDT Cutter Entry'!X101,"*",""),LEN(SUBSTITUTE('ARDT Cutter Entry'!X101,"*",""))-2)),IF(IFERROR(VALUE(RIGHT('ARDT Cutter Entry'!X33,2)),1)=1, LEFT(SUBSTITUTE('ARDT Cutter Entry'!X33,"*",""),LEN(SUBSTITUTE('ARDT Cutter Entry'!X33,"*",""))-1),LEFT(SUBSTITUTE('ARDT Cutter Entry'!X33,"*",""),LEN(SUBSTITUTE('ARDT Cutter Entry'!X33,"*",""))-2) )),"")</f>
        <v/>
      </c>
      <c r="FO22" s="2380"/>
      <c r="FP22" s="2380"/>
      <c r="FQ22" s="2380"/>
      <c r="FR22" s="2380"/>
      <c r="FS22" s="2380"/>
      <c r="FT22" s="2380"/>
      <c r="FU22" s="2380"/>
      <c r="FV22" s="2380" t="str">
        <f>IFERROR(IF('ARDT Cutter Entry'!$C$94&lt;&gt;"",IF(IFERROR(VALUE(RIGHT('ARDT Cutter Entry'!Y101,2)),1)=1, LEFT(SUBSTITUTE('ARDT Cutter Entry'!Y101,"*",""),LEN(SUBSTITUTE('ARDT Cutter Entry'!Y101,"*",""))-1),LEFT(SUBSTITUTE('ARDT Cutter Entry'!Y101,"*",""),LEN(SUBSTITUTE('ARDT Cutter Entry'!Y101,"*",""))-2)),IF(IFERROR(VALUE(RIGHT('ARDT Cutter Entry'!Y33,2)),1)=1, LEFT(SUBSTITUTE('ARDT Cutter Entry'!Y33,"*",""),LEN(SUBSTITUTE('ARDT Cutter Entry'!Y33,"*",""))-1),LEFT(SUBSTITUTE('ARDT Cutter Entry'!Y33,"*",""),LEN(SUBSTITUTE('ARDT Cutter Entry'!Y33,"*",""))-2) )),"")</f>
        <v/>
      </c>
      <c r="FW22" s="2380"/>
      <c r="FX22" s="2380"/>
      <c r="FY22" s="2380"/>
      <c r="FZ22" s="2380"/>
      <c r="GA22" s="2380"/>
      <c r="GB22" s="2380"/>
      <c r="GC22" s="2380"/>
      <c r="GD22" s="2384"/>
      <c r="GE22" s="2384"/>
      <c r="GF22" s="2384"/>
      <c r="GG22" s="2384"/>
    </row>
    <row r="23" spans="1:206" ht="44.25" customHeight="1" x14ac:dyDescent="0.55000000000000004">
      <c r="A23" s="338">
        <v>9</v>
      </c>
      <c r="B23" s="2380" t="str">
        <f>IFERROR(IF('ARDT Cutter Entry'!$C$94&lt;&gt;"",IF(IFERROR(VALUE(RIGHT('ARDT Cutter Entry'!C102,2)),1)=1, LEFT(SUBSTITUTE('ARDT Cutter Entry'!C102,"*",""),LEN(SUBSTITUTE('ARDT Cutter Entry'!C102,"*",""))-1),LEFT(SUBSTITUTE('ARDT Cutter Entry'!C102,"*",""),LEN(SUBSTITUTE('ARDT Cutter Entry'!C102,"*",""))-2)),IF(IFERROR(VALUE(RIGHT('ARDT Cutter Entry'!C34,2)),1)=1, LEFT(SUBSTITUTE('ARDT Cutter Entry'!C34,"*",""),LEN(SUBSTITUTE('ARDT Cutter Entry'!C34,"*",""))-1),LEFT(SUBSTITUTE('ARDT Cutter Entry'!C34,"*",""),LEN(SUBSTITUTE('ARDT Cutter Entry'!C34,"*",""))-2) )),"")</f>
        <v/>
      </c>
      <c r="C23" s="2380"/>
      <c r="D23" s="2380"/>
      <c r="E23" s="2380"/>
      <c r="F23" s="2380"/>
      <c r="G23" s="2380"/>
      <c r="H23" s="2380"/>
      <c r="I23" s="2380"/>
      <c r="J23" s="2380" t="str">
        <f>IFERROR(IF('ARDT Cutter Entry'!$C$94&lt;&gt;"",IF(IFERROR(VALUE(RIGHT('ARDT Cutter Entry'!D102,2)),1)=1, LEFT(SUBSTITUTE('ARDT Cutter Entry'!D102,"*",""),LEN(SUBSTITUTE('ARDT Cutter Entry'!D102,"*",""))-1),LEFT(SUBSTITUTE('ARDT Cutter Entry'!D102,"*",""),LEN(SUBSTITUTE('ARDT Cutter Entry'!D102,"*",""))-2)),IF(IFERROR(VALUE(RIGHT('ARDT Cutter Entry'!D34,2)),1)=1, LEFT(SUBSTITUTE('ARDT Cutter Entry'!D34,"*",""),LEN(SUBSTITUTE('ARDT Cutter Entry'!D34,"*",""))-1),LEFT(SUBSTITUTE('ARDT Cutter Entry'!D34,"*",""),LEN(SUBSTITUTE('ARDT Cutter Entry'!D34,"*",""))-2) )),"")</f>
        <v/>
      </c>
      <c r="K23" s="2380"/>
      <c r="L23" s="2380"/>
      <c r="M23" s="2380"/>
      <c r="N23" s="2380"/>
      <c r="O23" s="2380"/>
      <c r="P23" s="2380"/>
      <c r="Q23" s="2380"/>
      <c r="R23" s="2380" t="str">
        <f>IFERROR(IF('ARDT Cutter Entry'!$C$94&lt;&gt;"",IF(IFERROR(VALUE(RIGHT('ARDT Cutter Entry'!E102,2)),1)=1, LEFT(SUBSTITUTE('ARDT Cutter Entry'!E102,"*",""),LEN(SUBSTITUTE('ARDT Cutter Entry'!E102,"*",""))-1),LEFT(SUBSTITUTE('ARDT Cutter Entry'!E102,"*",""),LEN(SUBSTITUTE('ARDT Cutter Entry'!E102,"*",""))-2)),IF(IFERROR(VALUE(RIGHT('ARDT Cutter Entry'!E34,2)),1)=1, LEFT(SUBSTITUTE('ARDT Cutter Entry'!E34,"*",""),LEN(SUBSTITUTE('ARDT Cutter Entry'!E34,"*",""))-1),LEFT(SUBSTITUTE('ARDT Cutter Entry'!E34,"*",""),LEN(SUBSTITUTE('ARDT Cutter Entry'!E34,"*",""))-2) )),"")</f>
        <v/>
      </c>
      <c r="S23" s="2380"/>
      <c r="T23" s="2380"/>
      <c r="U23" s="2380"/>
      <c r="V23" s="2380"/>
      <c r="W23" s="2380"/>
      <c r="X23" s="2380"/>
      <c r="Y23" s="2380"/>
      <c r="Z23" s="2380" t="str">
        <f>IFERROR(IF('ARDT Cutter Entry'!$C$94&lt;&gt;"",IF(IFERROR(VALUE(RIGHT('ARDT Cutter Entry'!F102,2)),1)=1, LEFT(SUBSTITUTE('ARDT Cutter Entry'!F102,"*",""),LEN(SUBSTITUTE('ARDT Cutter Entry'!F102,"*",""))-1),LEFT(SUBSTITUTE('ARDT Cutter Entry'!F102,"*",""),LEN(SUBSTITUTE('ARDT Cutter Entry'!F102,"*",""))-2)),IF(IFERROR(VALUE(RIGHT('ARDT Cutter Entry'!F34,2)),1)=1, LEFT(SUBSTITUTE('ARDT Cutter Entry'!F34,"*",""),LEN(SUBSTITUTE('ARDT Cutter Entry'!F34,"*",""))-1),LEFT(SUBSTITUTE('ARDT Cutter Entry'!F34,"*",""),LEN(SUBSTITUTE('ARDT Cutter Entry'!F34,"*",""))-2) )),"")</f>
        <v/>
      </c>
      <c r="AA23" s="2380"/>
      <c r="AB23" s="2380"/>
      <c r="AC23" s="2380"/>
      <c r="AD23" s="2380"/>
      <c r="AE23" s="2380"/>
      <c r="AF23" s="2380"/>
      <c r="AG23" s="2380"/>
      <c r="AH23" s="2380" t="str">
        <f>IFERROR(IF('ARDT Cutter Entry'!$C$94&lt;&gt;"",IF(IFERROR(VALUE(RIGHT('ARDT Cutter Entry'!G102,2)),1)=1, LEFT(SUBSTITUTE('ARDT Cutter Entry'!G102,"*",""),LEN(SUBSTITUTE('ARDT Cutter Entry'!G102,"*",""))-1),LEFT(SUBSTITUTE('ARDT Cutter Entry'!G102,"*",""),LEN(SUBSTITUTE('ARDT Cutter Entry'!G102,"*",""))-2)),IF(IFERROR(VALUE(RIGHT('ARDT Cutter Entry'!G34,2)),1)=1, LEFT(SUBSTITUTE('ARDT Cutter Entry'!G34,"*",""),LEN(SUBSTITUTE('ARDT Cutter Entry'!G34,"*",""))-1),LEFT(SUBSTITUTE('ARDT Cutter Entry'!G34,"*",""),LEN(SUBSTITUTE('ARDT Cutter Entry'!G34,"*",""))-2) )),"")</f>
        <v/>
      </c>
      <c r="AI23" s="2380"/>
      <c r="AJ23" s="2380"/>
      <c r="AK23" s="2380"/>
      <c r="AL23" s="2380"/>
      <c r="AM23" s="2380"/>
      <c r="AN23" s="2380"/>
      <c r="AO23" s="2380"/>
      <c r="AP23" s="2380" t="str">
        <f>IFERROR(IF('ARDT Cutter Entry'!$C$94&lt;&gt;"",IF(IFERROR(VALUE(RIGHT('ARDT Cutter Entry'!H102,2)),1)=1, LEFT(SUBSTITUTE('ARDT Cutter Entry'!H102,"*",""),LEN(SUBSTITUTE('ARDT Cutter Entry'!H102,"*",""))-1),LEFT(SUBSTITUTE('ARDT Cutter Entry'!H102,"*",""),LEN(SUBSTITUTE('ARDT Cutter Entry'!H102,"*",""))-2)),IF(IFERROR(VALUE(RIGHT('ARDT Cutter Entry'!H34,2)),1)=1, LEFT(SUBSTITUTE('ARDT Cutter Entry'!H34,"*",""),LEN(SUBSTITUTE('ARDT Cutter Entry'!H34,"*",""))-1),LEFT(SUBSTITUTE('ARDT Cutter Entry'!H34,"*",""),LEN(SUBSTITUTE('ARDT Cutter Entry'!H34,"*",""))-2) )),"")</f>
        <v/>
      </c>
      <c r="AQ23" s="2380"/>
      <c r="AR23" s="2380"/>
      <c r="AS23" s="2380"/>
      <c r="AT23" s="2380"/>
      <c r="AU23" s="2380"/>
      <c r="AV23" s="2380"/>
      <c r="AW23" s="2380"/>
      <c r="AX23" s="2380" t="str">
        <f>IFERROR(IF('ARDT Cutter Entry'!$C$94&lt;&gt;"",IF(IFERROR(VALUE(RIGHT('ARDT Cutter Entry'!I102,2)),1)=1, LEFT(SUBSTITUTE('ARDT Cutter Entry'!I102,"*",""),LEN(SUBSTITUTE('ARDT Cutter Entry'!I102,"*",""))-1),LEFT(SUBSTITUTE('ARDT Cutter Entry'!I102,"*",""),LEN(SUBSTITUTE('ARDT Cutter Entry'!I102,"*",""))-2)),IF(IFERROR(VALUE(RIGHT('ARDT Cutter Entry'!I34,2)),1)=1, LEFT(SUBSTITUTE('ARDT Cutter Entry'!I34,"*",""),LEN(SUBSTITUTE('ARDT Cutter Entry'!I34,"*",""))-1),LEFT(SUBSTITUTE('ARDT Cutter Entry'!I34,"*",""),LEN(SUBSTITUTE('ARDT Cutter Entry'!I34,"*",""))-2) )),"")</f>
        <v/>
      </c>
      <c r="AY23" s="2380"/>
      <c r="AZ23" s="2380"/>
      <c r="BA23" s="2380"/>
      <c r="BB23" s="2380"/>
      <c r="BC23" s="2380"/>
      <c r="BD23" s="2380"/>
      <c r="BE23" s="2380"/>
      <c r="BF23" s="2380" t="str">
        <f>IFERROR(IF('ARDT Cutter Entry'!$C$94&lt;&gt;"",IF(IFERROR(VALUE(RIGHT('ARDT Cutter Entry'!J102,2)),1)=1, LEFT(SUBSTITUTE('ARDT Cutter Entry'!J102,"*",""),LEN(SUBSTITUTE('ARDT Cutter Entry'!J102,"*",""))-1),LEFT(SUBSTITUTE('ARDT Cutter Entry'!J102,"*",""),LEN(SUBSTITUTE('ARDT Cutter Entry'!J102,"*",""))-2)),IF(IFERROR(VALUE(RIGHT('ARDT Cutter Entry'!J34,2)),1)=1, LEFT(SUBSTITUTE('ARDT Cutter Entry'!J34,"*",""),LEN(SUBSTITUTE('ARDT Cutter Entry'!J34,"*",""))-1),LEFT(SUBSTITUTE('ARDT Cutter Entry'!J34,"*",""),LEN(SUBSTITUTE('ARDT Cutter Entry'!J34,"*",""))-2) )),"")</f>
        <v/>
      </c>
      <c r="BG23" s="2380"/>
      <c r="BH23" s="2380"/>
      <c r="BI23" s="2380"/>
      <c r="BJ23" s="2380"/>
      <c r="BK23" s="2380"/>
      <c r="BL23" s="2380"/>
      <c r="BM23" s="2380"/>
      <c r="BN23" s="2380" t="str">
        <f>IFERROR(IF('ARDT Cutter Entry'!$C$94&lt;&gt;"",IF(IFERROR(VALUE(RIGHT('ARDT Cutter Entry'!K102,2)),1)=1, LEFT(SUBSTITUTE('ARDT Cutter Entry'!K102,"*",""),LEN(SUBSTITUTE('ARDT Cutter Entry'!K102,"*",""))-1),LEFT(SUBSTITUTE('ARDT Cutter Entry'!K102,"*",""),LEN(SUBSTITUTE('ARDT Cutter Entry'!K102,"*",""))-2)),IF(IFERROR(VALUE(RIGHT('ARDT Cutter Entry'!K34,2)),1)=1, LEFT(SUBSTITUTE('ARDT Cutter Entry'!K34,"*",""),LEN(SUBSTITUTE('ARDT Cutter Entry'!K34,"*",""))-1),LEFT(SUBSTITUTE('ARDT Cutter Entry'!K34,"*",""),LEN(SUBSTITUTE('ARDT Cutter Entry'!K34,"*",""))-2) )),"")</f>
        <v/>
      </c>
      <c r="BO23" s="2380"/>
      <c r="BP23" s="2380"/>
      <c r="BQ23" s="2380"/>
      <c r="BR23" s="2380"/>
      <c r="BS23" s="2380"/>
      <c r="BT23" s="2380"/>
      <c r="BU23" s="2380"/>
      <c r="BV23" s="2380" t="str">
        <f>IFERROR(IF('ARDT Cutter Entry'!$C$94&lt;&gt;"",IF(IFERROR(VALUE(RIGHT('ARDT Cutter Entry'!L102,2)),1)=1, LEFT(SUBSTITUTE('ARDT Cutter Entry'!L102,"*",""),LEN(SUBSTITUTE('ARDT Cutter Entry'!L102,"*",""))-1),LEFT(SUBSTITUTE('ARDT Cutter Entry'!L102,"*",""),LEN(SUBSTITUTE('ARDT Cutter Entry'!L102,"*",""))-2)),IF(IFERROR(VALUE(RIGHT('ARDT Cutter Entry'!L34,2)),1)=1, LEFT(SUBSTITUTE('ARDT Cutter Entry'!L34,"*",""),LEN(SUBSTITUTE('ARDT Cutter Entry'!L34,"*",""))-1),LEFT(SUBSTITUTE('ARDT Cutter Entry'!L34,"*",""),LEN(SUBSTITUTE('ARDT Cutter Entry'!L34,"*",""))-2) )),"")</f>
        <v/>
      </c>
      <c r="BW23" s="2380"/>
      <c r="BX23" s="2380"/>
      <c r="BY23" s="2380"/>
      <c r="BZ23" s="2380"/>
      <c r="CA23" s="2380"/>
      <c r="CB23" s="2380"/>
      <c r="CC23" s="2380"/>
      <c r="CD23" s="2380" t="str">
        <f>IFERROR(IF('ARDT Cutter Entry'!$C$94&lt;&gt;"",IF(IFERROR(VALUE(RIGHT('ARDT Cutter Entry'!M102,2)),1)=1, LEFT(SUBSTITUTE('ARDT Cutter Entry'!M102,"*",""),LEN(SUBSTITUTE('ARDT Cutter Entry'!M102,"*",""))-1),LEFT(SUBSTITUTE('ARDT Cutter Entry'!M102,"*",""),LEN(SUBSTITUTE('ARDT Cutter Entry'!M102,"*",""))-2)),IF(IFERROR(VALUE(RIGHT('ARDT Cutter Entry'!M34,2)),1)=1, LEFT(SUBSTITUTE('ARDT Cutter Entry'!M34,"*",""),LEN(SUBSTITUTE('ARDT Cutter Entry'!M34,"*",""))-1),LEFT(SUBSTITUTE('ARDT Cutter Entry'!M34,"*",""),LEN(SUBSTITUTE('ARDT Cutter Entry'!M34,"*",""))-2) )),"")</f>
        <v/>
      </c>
      <c r="CE23" s="2380"/>
      <c r="CF23" s="2380"/>
      <c r="CG23" s="2380"/>
      <c r="CH23" s="2380"/>
      <c r="CI23" s="2380"/>
      <c r="CJ23" s="2380"/>
      <c r="CK23" s="2380"/>
      <c r="CL23" s="2380" t="str">
        <f>IFERROR(IF('ARDT Cutter Entry'!$C$94&lt;&gt;"",IF(IFERROR(VALUE(RIGHT('ARDT Cutter Entry'!N102,2)),1)=1, LEFT(SUBSTITUTE('ARDT Cutter Entry'!N102,"*",""),LEN(SUBSTITUTE('ARDT Cutter Entry'!N102,"*",""))-1),LEFT(SUBSTITUTE('ARDT Cutter Entry'!N102,"*",""),LEN(SUBSTITUTE('ARDT Cutter Entry'!N102,"*",""))-2)),IF(IFERROR(VALUE(RIGHT('ARDT Cutter Entry'!N34,2)),1)=1, LEFT(SUBSTITUTE('ARDT Cutter Entry'!N34,"*",""),LEN(SUBSTITUTE('ARDT Cutter Entry'!N34,"*",""))-1),LEFT(SUBSTITUTE('ARDT Cutter Entry'!N34,"*",""),LEN(SUBSTITUTE('ARDT Cutter Entry'!N34,"*",""))-2) )),"")</f>
        <v/>
      </c>
      <c r="CM23" s="2380"/>
      <c r="CN23" s="2380"/>
      <c r="CO23" s="2380"/>
      <c r="CP23" s="2380"/>
      <c r="CQ23" s="2380"/>
      <c r="CR23" s="2380"/>
      <c r="CS23" s="2380"/>
      <c r="CT23" s="2380" t="str">
        <f>IFERROR(IF('ARDT Cutter Entry'!$C$94&lt;&gt;"",IF(IFERROR(VALUE(RIGHT('ARDT Cutter Entry'!O102,2)),1)=1, LEFT(SUBSTITUTE('ARDT Cutter Entry'!O102,"*",""),LEN(SUBSTITUTE('ARDT Cutter Entry'!O102,"*",""))-1),LEFT(SUBSTITUTE('ARDT Cutter Entry'!O102,"*",""),LEN(SUBSTITUTE('ARDT Cutter Entry'!O102,"*",""))-2)),IF(IFERROR(VALUE(RIGHT('ARDT Cutter Entry'!O34,2)),1)=1, LEFT(SUBSTITUTE('ARDT Cutter Entry'!O34,"*",""),LEN(SUBSTITUTE('ARDT Cutter Entry'!O34,"*",""))-1),LEFT(SUBSTITUTE('ARDT Cutter Entry'!O34,"*",""),LEN(SUBSTITUTE('ARDT Cutter Entry'!O34,"*",""))-2) )),"")</f>
        <v/>
      </c>
      <c r="CU23" s="2380"/>
      <c r="CV23" s="2380"/>
      <c r="CW23" s="2380"/>
      <c r="CX23" s="2380"/>
      <c r="CY23" s="2380"/>
      <c r="CZ23" s="2380"/>
      <c r="DA23" s="2380"/>
      <c r="DB23" s="2380" t="str">
        <f>IFERROR(IF('ARDT Cutter Entry'!$C$94&lt;&gt;"",IF(IFERROR(VALUE(RIGHT('ARDT Cutter Entry'!P102,2)),1)=1, LEFT(SUBSTITUTE('ARDT Cutter Entry'!P102,"*",""),LEN(SUBSTITUTE('ARDT Cutter Entry'!P102,"*",""))-1),LEFT(SUBSTITUTE('ARDT Cutter Entry'!P102,"*",""),LEN(SUBSTITUTE('ARDT Cutter Entry'!P102,"*",""))-2)),IF(IFERROR(VALUE(RIGHT('ARDT Cutter Entry'!P34,2)),1)=1, LEFT(SUBSTITUTE('ARDT Cutter Entry'!P34,"*",""),LEN(SUBSTITUTE('ARDT Cutter Entry'!P34,"*",""))-1),LEFT(SUBSTITUTE('ARDT Cutter Entry'!P34,"*",""),LEN(SUBSTITUTE('ARDT Cutter Entry'!P34,"*",""))-2) )),"")</f>
        <v/>
      </c>
      <c r="DC23" s="2380"/>
      <c r="DD23" s="2380"/>
      <c r="DE23" s="2380"/>
      <c r="DF23" s="2380"/>
      <c r="DG23" s="2380"/>
      <c r="DH23" s="2380"/>
      <c r="DI23" s="2380"/>
      <c r="DJ23" s="2380" t="str">
        <f>IFERROR(IF('ARDT Cutter Entry'!$C$94&lt;&gt;"",IF(IFERROR(VALUE(RIGHT('ARDT Cutter Entry'!Q102,2)),1)=1, LEFT(SUBSTITUTE('ARDT Cutter Entry'!Q102,"*",""),LEN(SUBSTITUTE('ARDT Cutter Entry'!Q102,"*",""))-1),LEFT(SUBSTITUTE('ARDT Cutter Entry'!Q102,"*",""),LEN(SUBSTITUTE('ARDT Cutter Entry'!Q102,"*",""))-2)),IF(IFERROR(VALUE(RIGHT('ARDT Cutter Entry'!Q34,2)),1)=1, LEFT(SUBSTITUTE('ARDT Cutter Entry'!Q34,"*",""),LEN(SUBSTITUTE('ARDT Cutter Entry'!Q34,"*",""))-1),LEFT(SUBSTITUTE('ARDT Cutter Entry'!Q34,"*",""),LEN(SUBSTITUTE('ARDT Cutter Entry'!Q34,"*",""))-2) )),"")</f>
        <v/>
      </c>
      <c r="DK23" s="2380"/>
      <c r="DL23" s="2380"/>
      <c r="DM23" s="2380"/>
      <c r="DN23" s="2380"/>
      <c r="DO23" s="2380"/>
      <c r="DP23" s="2380"/>
      <c r="DQ23" s="2380"/>
      <c r="DR23" s="2380" t="str">
        <f>IFERROR(IF('ARDT Cutter Entry'!$C$94&lt;&gt;"",IF(IFERROR(VALUE(RIGHT('ARDT Cutter Entry'!R102,2)),1)=1, LEFT(SUBSTITUTE('ARDT Cutter Entry'!R102,"*",""),LEN(SUBSTITUTE('ARDT Cutter Entry'!R102,"*",""))-1),LEFT(SUBSTITUTE('ARDT Cutter Entry'!R102,"*",""),LEN(SUBSTITUTE('ARDT Cutter Entry'!R102,"*",""))-2)),IF(IFERROR(VALUE(RIGHT('ARDT Cutter Entry'!R34,2)),1)=1, LEFT(SUBSTITUTE('ARDT Cutter Entry'!R34,"*",""),LEN(SUBSTITUTE('ARDT Cutter Entry'!R34,"*",""))-1),LEFT(SUBSTITUTE('ARDT Cutter Entry'!R34,"*",""),LEN(SUBSTITUTE('ARDT Cutter Entry'!R34,"*",""))-2) )),"")</f>
        <v/>
      </c>
      <c r="DS23" s="2380"/>
      <c r="DT23" s="2380"/>
      <c r="DU23" s="2380"/>
      <c r="DV23" s="2380"/>
      <c r="DW23" s="2380"/>
      <c r="DX23" s="2380"/>
      <c r="DY23" s="2380"/>
      <c r="DZ23" s="2380" t="str">
        <f>IFERROR(IF('ARDT Cutter Entry'!$C$94&lt;&gt;"",IF(IFERROR(VALUE(RIGHT('ARDT Cutter Entry'!S102,2)),1)=1, LEFT(SUBSTITUTE('ARDT Cutter Entry'!S102,"*",""),LEN(SUBSTITUTE('ARDT Cutter Entry'!S102,"*",""))-1),LEFT(SUBSTITUTE('ARDT Cutter Entry'!S102,"*",""),LEN(SUBSTITUTE('ARDT Cutter Entry'!S102,"*",""))-2)),IF(IFERROR(VALUE(RIGHT('ARDT Cutter Entry'!S34,2)),1)=1, LEFT(SUBSTITUTE('ARDT Cutter Entry'!S34,"*",""),LEN(SUBSTITUTE('ARDT Cutter Entry'!S34,"*",""))-1),LEFT(SUBSTITUTE('ARDT Cutter Entry'!S34,"*",""),LEN(SUBSTITUTE('ARDT Cutter Entry'!S34,"*",""))-2) )),"")</f>
        <v/>
      </c>
      <c r="EA23" s="2380"/>
      <c r="EB23" s="2380"/>
      <c r="EC23" s="2380"/>
      <c r="ED23" s="2380"/>
      <c r="EE23" s="2380"/>
      <c r="EF23" s="2380"/>
      <c r="EG23" s="2380"/>
      <c r="EH23" s="2380" t="str">
        <f>IFERROR(IF('ARDT Cutter Entry'!$C$94&lt;&gt;"",IF(IFERROR(VALUE(RIGHT('ARDT Cutter Entry'!T102,2)),1)=1, LEFT(SUBSTITUTE('ARDT Cutter Entry'!T102,"*",""),LEN(SUBSTITUTE('ARDT Cutter Entry'!T102,"*",""))-1),LEFT(SUBSTITUTE('ARDT Cutter Entry'!T102,"*",""),LEN(SUBSTITUTE('ARDT Cutter Entry'!T102,"*",""))-2)),IF(IFERROR(VALUE(RIGHT('ARDT Cutter Entry'!T34,2)),1)=1, LEFT(SUBSTITUTE('ARDT Cutter Entry'!T34,"*",""),LEN(SUBSTITUTE('ARDT Cutter Entry'!T34,"*",""))-1),LEFT(SUBSTITUTE('ARDT Cutter Entry'!T34,"*",""),LEN(SUBSTITUTE('ARDT Cutter Entry'!T34,"*",""))-2) )),"")</f>
        <v/>
      </c>
      <c r="EI23" s="2380"/>
      <c r="EJ23" s="2380"/>
      <c r="EK23" s="2380"/>
      <c r="EL23" s="2380"/>
      <c r="EM23" s="2380"/>
      <c r="EN23" s="2380"/>
      <c r="EO23" s="2380"/>
      <c r="EP23" s="2380" t="str">
        <f>IFERROR(IF('ARDT Cutter Entry'!$C$94&lt;&gt;"",IF(IFERROR(VALUE(RIGHT('ARDT Cutter Entry'!U102,2)),1)=1, LEFT(SUBSTITUTE('ARDT Cutter Entry'!U102,"*",""),LEN(SUBSTITUTE('ARDT Cutter Entry'!U102,"*",""))-1),LEFT(SUBSTITUTE('ARDT Cutter Entry'!U102,"*",""),LEN(SUBSTITUTE('ARDT Cutter Entry'!U102,"*",""))-2)),IF(IFERROR(VALUE(RIGHT('ARDT Cutter Entry'!U34,2)),1)=1, LEFT(SUBSTITUTE('ARDT Cutter Entry'!U34,"*",""),LEN(SUBSTITUTE('ARDT Cutter Entry'!U34,"*",""))-1),LEFT(SUBSTITUTE('ARDT Cutter Entry'!U34,"*",""),LEN(SUBSTITUTE('ARDT Cutter Entry'!U34,"*",""))-2) )),"")</f>
        <v/>
      </c>
      <c r="EQ23" s="2380"/>
      <c r="ER23" s="2380"/>
      <c r="ES23" s="2380"/>
      <c r="ET23" s="2380"/>
      <c r="EU23" s="2380"/>
      <c r="EV23" s="2380"/>
      <c r="EW23" s="2380"/>
      <c r="EX23" s="2380" t="str">
        <f>IFERROR(IF('ARDT Cutter Entry'!$C$94&lt;&gt;"",IF(IFERROR(VALUE(RIGHT('ARDT Cutter Entry'!V102,2)),1)=1, LEFT(SUBSTITUTE('ARDT Cutter Entry'!V102,"*",""),LEN(SUBSTITUTE('ARDT Cutter Entry'!V102,"*",""))-1),LEFT(SUBSTITUTE('ARDT Cutter Entry'!V102,"*",""),LEN(SUBSTITUTE('ARDT Cutter Entry'!V102,"*",""))-2)),IF(IFERROR(VALUE(RIGHT('ARDT Cutter Entry'!V34,2)),1)=1, LEFT(SUBSTITUTE('ARDT Cutter Entry'!V34,"*",""),LEN(SUBSTITUTE('ARDT Cutter Entry'!V34,"*",""))-1),LEFT(SUBSTITUTE('ARDT Cutter Entry'!V34,"*",""),LEN(SUBSTITUTE('ARDT Cutter Entry'!V34,"*",""))-2) )),"")</f>
        <v/>
      </c>
      <c r="EY23" s="2380"/>
      <c r="EZ23" s="2380"/>
      <c r="FA23" s="2380"/>
      <c r="FB23" s="2380"/>
      <c r="FC23" s="2380"/>
      <c r="FD23" s="2380"/>
      <c r="FE23" s="2380"/>
      <c r="FF23" s="2380" t="str">
        <f>IFERROR(IF('ARDT Cutter Entry'!$C$94&lt;&gt;"",IF(IFERROR(VALUE(RIGHT('ARDT Cutter Entry'!W102,2)),1)=1, LEFT(SUBSTITUTE('ARDT Cutter Entry'!W102,"*",""),LEN(SUBSTITUTE('ARDT Cutter Entry'!W102,"*",""))-1),LEFT(SUBSTITUTE('ARDT Cutter Entry'!W102,"*",""),LEN(SUBSTITUTE('ARDT Cutter Entry'!W102,"*",""))-2)),IF(IFERROR(VALUE(RIGHT('ARDT Cutter Entry'!W34,2)),1)=1, LEFT(SUBSTITUTE('ARDT Cutter Entry'!W34,"*",""),LEN(SUBSTITUTE('ARDT Cutter Entry'!W34,"*",""))-1),LEFT(SUBSTITUTE('ARDT Cutter Entry'!W34,"*",""),LEN(SUBSTITUTE('ARDT Cutter Entry'!W34,"*",""))-2) )),"")</f>
        <v/>
      </c>
      <c r="FG23" s="2380"/>
      <c r="FH23" s="2380"/>
      <c r="FI23" s="2380"/>
      <c r="FJ23" s="2380"/>
      <c r="FK23" s="2380"/>
      <c r="FL23" s="2380"/>
      <c r="FM23" s="2380"/>
      <c r="FN23" s="2380" t="str">
        <f>IFERROR(IF('ARDT Cutter Entry'!$C$94&lt;&gt;"",IF(IFERROR(VALUE(RIGHT('ARDT Cutter Entry'!X102,2)),1)=1, LEFT(SUBSTITUTE('ARDT Cutter Entry'!X102,"*",""),LEN(SUBSTITUTE('ARDT Cutter Entry'!X102,"*",""))-1),LEFT(SUBSTITUTE('ARDT Cutter Entry'!X102,"*",""),LEN(SUBSTITUTE('ARDT Cutter Entry'!X102,"*",""))-2)),IF(IFERROR(VALUE(RIGHT('ARDT Cutter Entry'!X34,2)),1)=1, LEFT(SUBSTITUTE('ARDT Cutter Entry'!X34,"*",""),LEN(SUBSTITUTE('ARDT Cutter Entry'!X34,"*",""))-1),LEFT(SUBSTITUTE('ARDT Cutter Entry'!X34,"*",""),LEN(SUBSTITUTE('ARDT Cutter Entry'!X34,"*",""))-2) )),"")</f>
        <v/>
      </c>
      <c r="FO23" s="2380"/>
      <c r="FP23" s="2380"/>
      <c r="FQ23" s="2380"/>
      <c r="FR23" s="2380"/>
      <c r="FS23" s="2380"/>
      <c r="FT23" s="2380"/>
      <c r="FU23" s="2380"/>
      <c r="FV23" s="2380" t="str">
        <f>IFERROR(IF('ARDT Cutter Entry'!$C$94&lt;&gt;"",IF(IFERROR(VALUE(RIGHT('ARDT Cutter Entry'!Y102,2)),1)=1, LEFT(SUBSTITUTE('ARDT Cutter Entry'!Y102,"*",""),LEN(SUBSTITUTE('ARDT Cutter Entry'!Y102,"*",""))-1),LEFT(SUBSTITUTE('ARDT Cutter Entry'!Y102,"*",""),LEN(SUBSTITUTE('ARDT Cutter Entry'!Y102,"*",""))-2)),IF(IFERROR(VALUE(RIGHT('ARDT Cutter Entry'!Y34,2)),1)=1, LEFT(SUBSTITUTE('ARDT Cutter Entry'!Y34,"*",""),LEN(SUBSTITUTE('ARDT Cutter Entry'!Y34,"*",""))-1),LEFT(SUBSTITUTE('ARDT Cutter Entry'!Y34,"*",""),LEN(SUBSTITUTE('ARDT Cutter Entry'!Y34,"*",""))-2) )),"")</f>
        <v/>
      </c>
      <c r="FW23" s="2380"/>
      <c r="FX23" s="2380"/>
      <c r="FY23" s="2380"/>
      <c r="FZ23" s="2380"/>
      <c r="GA23" s="2380"/>
      <c r="GB23" s="2380"/>
      <c r="GC23" s="2380"/>
      <c r="GD23" s="1132"/>
      <c r="GE23" s="1132"/>
      <c r="GF23" s="1132"/>
      <c r="GG23" s="1132"/>
    </row>
    <row r="24" spans="1:206" ht="44.25" customHeight="1" x14ac:dyDescent="0.35">
      <c r="A24" s="339"/>
      <c r="B24" s="2386" t="str">
        <f>IF(Data!$GI$2&lt;&gt;"","X1: "&amp; Data!$GI$2, " ")</f>
        <v>X1: 1613 CT138  0.018"</v>
      </c>
      <c r="C24" s="2386"/>
      <c r="D24" s="2386"/>
      <c r="E24" s="2386"/>
      <c r="F24" s="2386"/>
      <c r="G24" s="2386"/>
      <c r="H24" s="2386"/>
      <c r="I24" s="2386"/>
      <c r="J24" s="2386"/>
      <c r="K24" s="2386"/>
      <c r="L24" s="2386"/>
      <c r="M24" s="2386"/>
      <c r="N24" s="2386"/>
      <c r="O24" s="2386"/>
      <c r="P24" s="2386"/>
      <c r="Q24" s="2386"/>
      <c r="R24" s="2386"/>
      <c r="S24" s="2386"/>
      <c r="T24" s="2386"/>
      <c r="U24" s="2386"/>
      <c r="V24" s="2386"/>
      <c r="W24" s="2386"/>
      <c r="X24" s="2386"/>
      <c r="Y24" s="2386"/>
      <c r="Z24" s="2386"/>
      <c r="AA24" s="2386"/>
      <c r="AB24" s="2386"/>
      <c r="AC24" s="2386" t="str">
        <f>IF(Data!$GI$3&lt;&gt;"","X2: "&amp; Data!$GI$3, " ")</f>
        <v>X2: 1608 CT182 0.018"</v>
      </c>
      <c r="AD24" s="2386"/>
      <c r="AE24" s="2386"/>
      <c r="AF24" s="2386"/>
      <c r="AG24" s="2386"/>
      <c r="AH24" s="2386"/>
      <c r="AI24" s="2386"/>
      <c r="AJ24" s="2386"/>
      <c r="AK24" s="2386"/>
      <c r="AL24" s="2386"/>
      <c r="AM24" s="2386"/>
      <c r="AN24" s="2386"/>
      <c r="AO24" s="2386"/>
      <c r="AP24" s="2386"/>
      <c r="AQ24" s="2386"/>
      <c r="AR24" s="2386"/>
      <c r="AS24" s="2386"/>
      <c r="AT24" s="2386"/>
      <c r="AU24" s="2386"/>
      <c r="AV24" s="2386"/>
      <c r="AW24" s="2386"/>
      <c r="AX24" s="2386"/>
      <c r="AY24" s="2386"/>
      <c r="AZ24" s="2386"/>
      <c r="BA24" s="2386"/>
      <c r="BB24" s="2386"/>
      <c r="BC24" s="2386"/>
      <c r="BD24" s="2386" t="str">
        <f>IF(Data!$GI$4&lt;&gt;"","X3: "&amp; Data!$GI$4, " ")</f>
        <v xml:space="preserve">X3: 1308 CT31 Drop in </v>
      </c>
      <c r="BE24" s="2386"/>
      <c r="BF24" s="2386"/>
      <c r="BG24" s="2386"/>
      <c r="BH24" s="2386"/>
      <c r="BI24" s="2386"/>
      <c r="BJ24" s="2386"/>
      <c r="BK24" s="2386"/>
      <c r="BL24" s="2386"/>
      <c r="BM24" s="2386"/>
      <c r="BN24" s="2386"/>
      <c r="BO24" s="2386"/>
      <c r="BP24" s="2386"/>
      <c r="BQ24" s="2386"/>
      <c r="BR24" s="2386"/>
      <c r="BS24" s="2386"/>
      <c r="BT24" s="2386"/>
      <c r="BU24" s="2386"/>
      <c r="BV24" s="2386"/>
      <c r="BW24" s="2386"/>
      <c r="BX24" s="2386"/>
      <c r="BY24" s="2386"/>
      <c r="BZ24" s="2386"/>
      <c r="CA24" s="2386"/>
      <c r="CB24" s="2386"/>
      <c r="CC24" s="2386"/>
      <c r="CD24" s="2386"/>
      <c r="CE24" s="2386" t="str">
        <f>IF(Data!$GI$5&lt;&gt;"","X4: "&amp; Data!$GI$5, " ")</f>
        <v>X4: 1608 CT70 0.018"</v>
      </c>
      <c r="CF24" s="2386"/>
      <c r="CG24" s="2386"/>
      <c r="CH24" s="2386"/>
      <c r="CI24" s="2386"/>
      <c r="CJ24" s="2386"/>
      <c r="CK24" s="2386"/>
      <c r="CL24" s="2386"/>
      <c r="CM24" s="2386"/>
      <c r="CN24" s="2386"/>
      <c r="CO24" s="2386"/>
      <c r="CP24" s="2386"/>
      <c r="CQ24" s="2386"/>
      <c r="CR24" s="2386"/>
      <c r="CS24" s="2386"/>
      <c r="CT24" s="2386"/>
      <c r="CU24" s="2386"/>
      <c r="CV24" s="2386"/>
      <c r="CW24" s="2386"/>
      <c r="CX24" s="2386"/>
      <c r="CY24" s="2386"/>
      <c r="CZ24" s="2386"/>
      <c r="DA24" s="2386"/>
      <c r="DB24" s="2386"/>
      <c r="DC24" s="2386"/>
      <c r="DD24" s="2386"/>
      <c r="DE24" s="2386"/>
      <c r="DF24" s="2386" t="str">
        <f>IF(Data!$GI$6&lt;&gt;"","X5: "&amp; Data!$GI$6, " ")</f>
        <v>X5: 1613 CT421 18-60</v>
      </c>
      <c r="DG24" s="2386"/>
      <c r="DH24" s="2386"/>
      <c r="DI24" s="2386"/>
      <c r="DJ24" s="2386"/>
      <c r="DK24" s="2386"/>
      <c r="DL24" s="2386"/>
      <c r="DM24" s="2386"/>
      <c r="DN24" s="2386"/>
      <c r="DO24" s="2386"/>
      <c r="DP24" s="2386"/>
      <c r="DQ24" s="2386"/>
      <c r="DR24" s="2386"/>
      <c r="DS24" s="2386"/>
      <c r="DT24" s="2386"/>
      <c r="DU24" s="2386"/>
      <c r="DV24" s="2386"/>
      <c r="DW24" s="2386"/>
      <c r="DX24" s="2386"/>
      <c r="DY24" s="2386"/>
      <c r="DZ24" s="2386"/>
      <c r="EA24" s="2386"/>
      <c r="EB24" s="2386"/>
      <c r="EC24" s="2386"/>
      <c r="ED24" s="2386"/>
      <c r="EE24" s="2386"/>
      <c r="EF24" s="2386"/>
      <c r="EG24" s="2386" t="str">
        <f>IF(Data!$GI$7&lt;&gt;"","X6: "&amp; Data!$GI$7, " ")</f>
        <v xml:space="preserve"> </v>
      </c>
      <c r="EH24" s="2386"/>
      <c r="EI24" s="2386"/>
      <c r="EJ24" s="2386"/>
      <c r="EK24" s="2386"/>
      <c r="EL24" s="2386"/>
      <c r="EM24" s="2386"/>
      <c r="EN24" s="2386"/>
      <c r="EO24" s="2386"/>
      <c r="EP24" s="2386"/>
      <c r="EQ24" s="2386"/>
      <c r="ER24" s="2386"/>
      <c r="ES24" s="2386"/>
      <c r="ET24" s="2386"/>
      <c r="EU24" s="2386"/>
      <c r="EV24" s="2386"/>
      <c r="EW24" s="2386"/>
      <c r="EX24" s="2386"/>
      <c r="EY24" s="2386"/>
      <c r="EZ24" s="2386"/>
      <c r="FA24" s="2386"/>
      <c r="FB24" s="2386"/>
      <c r="FC24" s="2386"/>
      <c r="FD24" s="2386"/>
      <c r="FE24" s="2386"/>
      <c r="FF24" s="2386"/>
      <c r="FG24" s="2386"/>
      <c r="FH24" s="2386" t="str">
        <f>IF(Data!$GI$8&lt;&gt;"","X7: "&amp; Data!$GI$8, " ")</f>
        <v xml:space="preserve"> </v>
      </c>
      <c r="FI24" s="2386"/>
      <c r="FJ24" s="2386"/>
      <c r="FK24" s="2386"/>
      <c r="FL24" s="2386"/>
      <c r="FM24" s="2386"/>
      <c r="FN24" s="2386"/>
      <c r="FO24" s="2386"/>
      <c r="FP24" s="2386"/>
      <c r="FQ24" s="2386"/>
      <c r="FR24" s="2386"/>
      <c r="FS24" s="2386"/>
      <c r="FT24" s="2386"/>
      <c r="FU24" s="2386"/>
      <c r="FV24" s="2386"/>
      <c r="FW24" s="2386"/>
      <c r="FX24" s="2386"/>
      <c r="FY24" s="2386"/>
      <c r="FZ24" s="2386"/>
      <c r="GA24" s="2386"/>
      <c r="GB24" s="2386"/>
      <c r="GC24" s="2386"/>
      <c r="GD24" s="2386"/>
      <c r="GE24" s="2386"/>
      <c r="GF24" s="2386"/>
      <c r="GG24" s="2386"/>
      <c r="GH24" s="159"/>
    </row>
    <row r="25" spans="1:206" ht="47.25" customHeight="1" x14ac:dyDescent="0.35">
      <c r="B25" s="1132"/>
      <c r="C25" s="1132"/>
      <c r="D25" s="1132"/>
      <c r="E25" s="1132"/>
      <c r="F25" s="1132"/>
      <c r="G25" s="1132"/>
      <c r="H25" s="2383" t="str">
        <f>IF(Data!$B$1&lt;&gt;"", Data!$B$1, " ")</f>
        <v>2025-AR-105</v>
      </c>
      <c r="I25" s="2383"/>
      <c r="J25" s="2383"/>
      <c r="K25" s="2383"/>
      <c r="L25" s="2383"/>
      <c r="M25" s="2383"/>
      <c r="N25" s="2383"/>
      <c r="O25" s="2383"/>
      <c r="P25" s="2383"/>
      <c r="Q25" s="2383"/>
      <c r="R25" s="2383"/>
      <c r="S25" s="2383"/>
      <c r="T25" s="2383"/>
      <c r="U25" s="2383"/>
      <c r="V25" s="2383"/>
      <c r="W25" s="2383"/>
      <c r="X25" s="2383"/>
      <c r="Y25" s="2383"/>
      <c r="Z25" s="2383"/>
      <c r="AA25" s="2383"/>
      <c r="AB25" s="2383"/>
      <c r="AC25" s="2383"/>
      <c r="AD25" s="2383"/>
      <c r="AE25" s="2383"/>
      <c r="AF25" s="2383"/>
      <c r="AG25" s="2383"/>
      <c r="AH25" s="2383"/>
      <c r="AI25" s="2383"/>
      <c r="AJ25" s="2383"/>
      <c r="AK25" s="2383"/>
      <c r="AL25" s="2383"/>
      <c r="AM25" s="2383"/>
      <c r="AN25" s="2383"/>
      <c r="AO25" s="2383"/>
      <c r="AP25" s="2383"/>
      <c r="AQ25" s="2383"/>
      <c r="AR25" s="2383"/>
      <c r="AS25" s="2383"/>
      <c r="AT25" s="2383"/>
      <c r="AU25" s="2383"/>
      <c r="AV25" s="2383"/>
      <c r="AW25" s="2383"/>
      <c r="AX25" s="2383"/>
      <c r="AY25" s="2383">
        <f>IF(Data!$B$2&lt;&gt;"", Data!$B$2, " ")</f>
        <v>13753277</v>
      </c>
      <c r="AZ25" s="2383"/>
      <c r="BA25" s="2383"/>
      <c r="BB25" s="2383"/>
      <c r="BC25" s="2383"/>
      <c r="BD25" s="2383"/>
      <c r="BE25" s="2383"/>
      <c r="BF25" s="2383"/>
      <c r="BG25" s="2383"/>
      <c r="BH25" s="2383"/>
      <c r="BI25" s="2383"/>
      <c r="BJ25" s="2383"/>
      <c r="BK25" s="2383"/>
      <c r="BL25" s="2383"/>
      <c r="BM25" s="2383"/>
      <c r="BN25" s="2383"/>
      <c r="BO25" s="2383"/>
      <c r="BP25" s="2383"/>
      <c r="BQ25" s="2383"/>
      <c r="BR25" s="2383"/>
      <c r="BS25" s="2383"/>
      <c r="BT25" s="2383"/>
      <c r="BU25" s="2383"/>
      <c r="BV25" s="2383"/>
      <c r="BW25" s="2383"/>
      <c r="BX25" s="2383"/>
      <c r="BY25" s="2383"/>
      <c r="BZ25" s="2383"/>
      <c r="CA25" s="2383"/>
      <c r="CB25" s="2383"/>
      <c r="CC25" s="2383"/>
      <c r="CD25" s="2383"/>
      <c r="CE25" s="2383"/>
      <c r="CF25" s="2383"/>
      <c r="CG25" s="2383"/>
      <c r="CH25" s="2383"/>
      <c r="CI25" s="2383"/>
      <c r="CJ25" s="2383"/>
      <c r="CK25" s="2383"/>
      <c r="CL25" s="2383"/>
      <c r="CM25" s="2383"/>
      <c r="CN25" s="2383"/>
      <c r="CO25" s="2383"/>
      <c r="CP25" s="2383"/>
      <c r="CQ25" s="2383"/>
      <c r="CR25" s="2383"/>
      <c r="CS25" s="2383"/>
      <c r="CT25" s="2383"/>
      <c r="CU25" s="2383"/>
      <c r="CV25" s="2383"/>
      <c r="CW25" s="2383"/>
      <c r="CX25" s="2383"/>
      <c r="CY25" s="2383"/>
      <c r="CZ25" s="2383" t="str">
        <f>IF(Data!$B$4&lt;&gt;"",Data!$B$4," ")</f>
        <v>MM65DH</v>
      </c>
      <c r="DA25" s="2383"/>
      <c r="DB25" s="2383"/>
      <c r="DC25" s="2383"/>
      <c r="DD25" s="2383"/>
      <c r="DE25" s="2383"/>
      <c r="DF25" s="2383"/>
      <c r="DG25" s="2383"/>
      <c r="DH25" s="2383"/>
      <c r="DI25" s="2383"/>
      <c r="DJ25" s="2383"/>
      <c r="DK25" s="2383"/>
      <c r="DL25" s="2383"/>
      <c r="DM25" s="2383"/>
      <c r="DN25" s="2383"/>
      <c r="DO25" s="2383"/>
      <c r="DP25" s="2383"/>
      <c r="DQ25" s="2383"/>
      <c r="DR25" s="2383"/>
      <c r="DS25" s="2383"/>
      <c r="DT25" s="2383"/>
      <c r="DU25" s="2383"/>
      <c r="DV25" s="2383"/>
      <c r="DW25" s="2383"/>
      <c r="DX25" s="2383"/>
      <c r="DY25" s="2383"/>
      <c r="DZ25" s="2383"/>
      <c r="EA25" s="2383"/>
      <c r="EB25" s="2383"/>
      <c r="EC25" s="2383"/>
      <c r="ED25" s="2383"/>
      <c r="EE25" s="2383"/>
      <c r="EF25" s="2383" t="str">
        <f>IF(LEN(Data!B3)&gt;3,IF(AND(Data!B43&lt;&gt;"",Data!B43&lt;&gt;"0 0/1"""),Data!B43,""),IF(Data!B3&lt;&gt;"",Data!B3,""))</f>
        <v>8 3/8"</v>
      </c>
      <c r="EG25" s="2383"/>
      <c r="EH25" s="2383"/>
      <c r="EI25" s="2383"/>
      <c r="EJ25" s="2383"/>
      <c r="EK25" s="2383"/>
      <c r="EL25" s="2383"/>
      <c r="EM25" s="2383"/>
      <c r="EN25" s="2383"/>
      <c r="EO25" s="2383"/>
      <c r="EP25" s="2383"/>
      <c r="EQ25" s="2383"/>
      <c r="ER25" s="2383"/>
      <c r="ES25" s="2383"/>
      <c r="ET25" s="2383"/>
      <c r="EU25" s="2383"/>
      <c r="EV25" s="2383"/>
      <c r="EW25" s="2383"/>
      <c r="EX25" s="2383"/>
      <c r="EY25" s="2383"/>
      <c r="EZ25" s="2383"/>
      <c r="FA25" s="2383"/>
      <c r="FB25" s="2383"/>
      <c r="FC25" s="2383"/>
      <c r="FD25" s="2383"/>
      <c r="FE25" s="2383"/>
      <c r="FF25" s="2383"/>
      <c r="FG25" s="2383"/>
      <c r="FH25" s="2383"/>
      <c r="FI25" s="2383"/>
      <c r="FJ25" s="2383"/>
      <c r="FK25" s="2383"/>
      <c r="FL25" s="1132"/>
      <c r="FM25" s="1132"/>
      <c r="FN25" s="1132"/>
      <c r="FO25" s="1132"/>
      <c r="FP25" s="1132"/>
      <c r="FQ25" s="1132"/>
      <c r="FR25" s="1132"/>
      <c r="FS25" s="1132"/>
      <c r="FT25" s="1132"/>
      <c r="FU25" s="1132"/>
      <c r="FV25" s="1132"/>
      <c r="FW25" s="1132"/>
      <c r="FX25" s="1132"/>
      <c r="FY25" s="1132"/>
      <c r="FZ25" s="1132"/>
      <c r="GA25" s="1132"/>
      <c r="GB25" s="1132"/>
      <c r="GC25" s="1132"/>
      <c r="GD25" s="1132"/>
      <c r="GE25" s="1132"/>
      <c r="GF25" s="1132"/>
      <c r="GG25" s="1132"/>
    </row>
    <row r="26" spans="1:206" ht="46.5" customHeight="1" x14ac:dyDescent="0.35">
      <c r="B26" s="2387">
        <f>IF(Data!$BR$44&lt;&gt;"",Data!$BR$44, "")</f>
        <v>1</v>
      </c>
      <c r="C26" s="2387"/>
      <c r="D26" s="2387"/>
      <c r="E26" s="2387"/>
      <c r="F26" s="2387"/>
      <c r="G26" s="2387"/>
      <c r="H26" s="2387">
        <f>IF(Data!$BS$44&lt;&gt;"",Data!$BS$44, "")</f>
        <v>2</v>
      </c>
      <c r="I26" s="2387"/>
      <c r="J26" s="2387"/>
      <c r="K26" s="2387"/>
      <c r="L26" s="2387"/>
      <c r="M26" s="2387"/>
      <c r="N26" s="2387">
        <f>IF(Data!$BT$44&lt;&gt;"", Data!$BT$44, "")</f>
        <v>3</v>
      </c>
      <c r="O26" s="2387"/>
      <c r="P26" s="2387"/>
      <c r="Q26" s="2387"/>
      <c r="R26" s="2387"/>
      <c r="S26" s="2387"/>
      <c r="T26" s="2387">
        <f>IF(Data!$BU$44&lt;&gt;"", Data!$BU$44, "")</f>
        <v>4</v>
      </c>
      <c r="U26" s="2387"/>
      <c r="V26" s="2387"/>
      <c r="W26" s="2387"/>
      <c r="X26" s="2387"/>
      <c r="Y26" s="2387"/>
      <c r="Z26" s="2387">
        <f>IF(Data!$BV$44&lt;&gt;"",Data!$BV$44, "")</f>
        <v>5</v>
      </c>
      <c r="AA26" s="2387"/>
      <c r="AB26" s="2387"/>
      <c r="AC26" s="2387"/>
      <c r="AD26" s="2387"/>
      <c r="AE26" s="2387"/>
      <c r="AF26" s="2387">
        <f>IF(Data!$BW$44&lt;&gt;"",Data!$BW$44, "")</f>
        <v>6</v>
      </c>
      <c r="AG26" s="2387"/>
      <c r="AH26" s="2387"/>
      <c r="AI26" s="2387"/>
      <c r="AJ26" s="2387"/>
      <c r="AK26" s="2387"/>
      <c r="AL26" s="2387">
        <f>IF(Data!$BX$44&lt;&gt;"", Data!$BX$44, "")</f>
        <v>7</v>
      </c>
      <c r="AM26" s="2387"/>
      <c r="AN26" s="2387"/>
      <c r="AO26" s="2387"/>
      <c r="AP26" s="2387"/>
      <c r="AQ26" s="2387"/>
      <c r="AR26" s="2387">
        <f>IF(Data!$BY$44&lt;&gt;"", Data!$BY$44, "")</f>
        <v>8</v>
      </c>
      <c r="AS26" s="2387"/>
      <c r="AT26" s="2387"/>
      <c r="AU26" s="2387"/>
      <c r="AV26" s="2387"/>
      <c r="AW26" s="2387"/>
      <c r="AX26" s="2387">
        <f>IF(Data!$BZ$44&lt;&gt;"", Data!$BZ$44, "")</f>
        <v>0</v>
      </c>
      <c r="AY26" s="2387"/>
      <c r="AZ26" s="2387"/>
      <c r="BA26" s="2387"/>
      <c r="BB26" s="2387"/>
      <c r="BC26" s="2387"/>
      <c r="BD26" s="2387">
        <f>IF(Data!$CA$44&lt;&gt;"", Data!$CA$44, "")</f>
        <v>9</v>
      </c>
      <c r="BE26" s="2387"/>
      <c r="BF26" s="2387"/>
      <c r="BG26" s="2387"/>
      <c r="BH26" s="2387"/>
      <c r="BI26" s="2387"/>
      <c r="BJ26" s="2387">
        <f>IF(Data!$CB$44&lt;&gt;"", Data!$CB$44, "")</f>
        <v>10</v>
      </c>
      <c r="BK26" s="2387"/>
      <c r="BL26" s="2387"/>
      <c r="BM26" s="2387"/>
      <c r="BN26" s="2387"/>
      <c r="BO26" s="2387"/>
      <c r="BP26" s="2387">
        <f>IF(Data!$CC$44&lt;&gt;"", Data!$CC$44, "")</f>
        <v>11</v>
      </c>
      <c r="BQ26" s="2387"/>
      <c r="BR26" s="2387"/>
      <c r="BS26" s="2387"/>
      <c r="BT26" s="2387"/>
      <c r="BU26" s="2387"/>
      <c r="BV26" s="2387">
        <f>IF(Data!$CD$44&lt;&gt;"",Data!$CD$44, "")</f>
        <v>12</v>
      </c>
      <c r="BW26" s="2387"/>
      <c r="BX26" s="2387"/>
      <c r="BY26" s="2387"/>
      <c r="BZ26" s="2387"/>
      <c r="CA26" s="2387"/>
      <c r="CB26" s="2387">
        <f>IF(Data!$CE$44&lt;&gt;"",Data!$CE$44, "")</f>
        <v>0</v>
      </c>
      <c r="CC26" s="2387"/>
      <c r="CD26" s="2387"/>
      <c r="CE26" s="2387"/>
      <c r="CF26" s="2387"/>
      <c r="CG26" s="2387"/>
      <c r="CH26" s="2387">
        <f>IF(Data!$CF$44&lt;&gt;"",Data!$CF$44, "")</f>
        <v>0</v>
      </c>
      <c r="CI26" s="2387"/>
      <c r="CJ26" s="2387"/>
      <c r="CK26" s="2387"/>
      <c r="CL26" s="2387"/>
      <c r="CM26" s="2387"/>
      <c r="CN26" s="2387">
        <f>IF(Data!$CG$44&lt;&gt;"",Data!$CG$44, "")</f>
        <v>0</v>
      </c>
      <c r="CO26" s="2387"/>
      <c r="CP26" s="2387"/>
      <c r="CQ26" s="2387"/>
      <c r="CR26" s="2387"/>
      <c r="CS26" s="2387"/>
      <c r="CT26" s="2387">
        <f>IF(Data!$CH$44&lt;&gt;"",Data!$CH$44, "")</f>
        <v>0</v>
      </c>
      <c r="CU26" s="2387"/>
      <c r="CV26" s="2387"/>
      <c r="CW26" s="2387"/>
      <c r="CX26" s="2387"/>
      <c r="CY26" s="2387"/>
      <c r="CZ26" s="2387">
        <f>IF(Data!$CI$44&lt;&gt;"",Data!$CI$44, "")</f>
        <v>0</v>
      </c>
      <c r="DA26" s="2387"/>
      <c r="DB26" s="2387"/>
      <c r="DC26" s="2387"/>
      <c r="DD26" s="2387"/>
      <c r="DE26" s="2387"/>
      <c r="DF26" s="2387">
        <f>IF(Data!$CJ$44&lt;&gt;"",Data!$CJ$44, "")</f>
        <v>0</v>
      </c>
      <c r="DG26" s="2387"/>
      <c r="DH26" s="2387"/>
      <c r="DI26" s="2387"/>
      <c r="DJ26" s="2387"/>
      <c r="DK26" s="2387"/>
      <c r="DL26" s="2387">
        <f>IF(Data!$CK$44&lt;&gt;"",Data!$CK$44, "")</f>
        <v>0</v>
      </c>
      <c r="DM26" s="2387"/>
      <c r="DN26" s="2387"/>
      <c r="DO26" s="2387"/>
      <c r="DP26" s="2387"/>
      <c r="DQ26" s="2387"/>
      <c r="DR26" s="2387">
        <f>IF(Data!$CL$44&lt;&gt;"",Data!$CL$44, "")</f>
        <v>0</v>
      </c>
      <c r="DS26" s="2387"/>
      <c r="DT26" s="2387"/>
      <c r="DU26" s="2387"/>
      <c r="DV26" s="2387"/>
      <c r="DW26" s="2387"/>
      <c r="DX26" s="2387">
        <f>IF(Data!$CM$44&lt;&gt;"",Data!$CM$44, "")</f>
        <v>0</v>
      </c>
      <c r="DY26" s="2387"/>
      <c r="DZ26" s="2387"/>
      <c r="EA26" s="2387"/>
      <c r="EB26" s="2387"/>
      <c r="EC26" s="2387"/>
      <c r="ED26" s="2387">
        <f>IF(Data!$CN$44&lt;&gt;"",Data!$CN$44, "")</f>
        <v>0</v>
      </c>
      <c r="EE26" s="2387"/>
      <c r="EF26" s="2387"/>
      <c r="EG26" s="2387"/>
      <c r="EH26" s="2387"/>
      <c r="EI26" s="2387"/>
      <c r="EJ26" s="2387">
        <f>IF(Data!$CO$44&lt;&gt;"",Data!$CO$44, "")</f>
        <v>0</v>
      </c>
      <c r="EK26" s="2387"/>
      <c r="EL26" s="2387"/>
      <c r="EM26" s="2387"/>
      <c r="EN26" s="2387"/>
      <c r="EO26" s="2387"/>
      <c r="EP26" s="2387">
        <f>IF(Data!$CP$44&lt;&gt;"",Data!$CP$44, "")</f>
        <v>0</v>
      </c>
      <c r="EQ26" s="2387"/>
      <c r="ER26" s="2387"/>
      <c r="ES26" s="2387"/>
      <c r="ET26" s="2387"/>
      <c r="EU26" s="2387"/>
      <c r="EV26" s="2387">
        <f>IF(Data!$CQ$44&lt;&gt;"",Data!$CQ$44, "")</f>
        <v>0</v>
      </c>
      <c r="EW26" s="2387"/>
      <c r="EX26" s="2387"/>
      <c r="EY26" s="2387"/>
      <c r="EZ26" s="2387"/>
      <c r="FA26" s="2387"/>
      <c r="FB26" s="2387">
        <f>IF(Data!$CR$44&lt;&gt;"",Data!$CR$44, "")</f>
        <v>0</v>
      </c>
      <c r="FC26" s="2387"/>
      <c r="FD26" s="2387"/>
      <c r="FE26" s="2387"/>
      <c r="FF26" s="2387"/>
      <c r="FG26" s="2387"/>
      <c r="FH26" s="2387">
        <f>IF(Data!$CS$44&lt;&gt;"",Data!$CS$44, "")</f>
        <v>0</v>
      </c>
      <c r="FI26" s="2387"/>
      <c r="FJ26" s="2387"/>
      <c r="FK26" s="2387"/>
      <c r="FL26" s="2387"/>
      <c r="FM26" s="2387"/>
      <c r="FN26" s="2387">
        <f>IF(Data!$CT$44&lt;&gt;"",Data!$CT$44, "")</f>
        <v>0</v>
      </c>
      <c r="FO26" s="2387"/>
      <c r="FP26" s="2387"/>
      <c r="FQ26" s="2387"/>
      <c r="FR26" s="2387"/>
      <c r="FS26" s="2387"/>
      <c r="FT26" s="2387">
        <f>IF(Data!$CU$44&lt;&gt;"",Data!$CU$44, "")</f>
        <v>0</v>
      </c>
      <c r="FU26" s="2387"/>
      <c r="FV26" s="2387"/>
      <c r="FW26" s="2387"/>
      <c r="FX26" s="2387"/>
      <c r="FY26" s="2387"/>
      <c r="FZ26" s="2387">
        <f>IF(Data!$CV$44&lt;&gt;"",Data!$CV$44, "")</f>
        <v>0</v>
      </c>
      <c r="GA26" s="2387"/>
      <c r="GB26" s="2387"/>
      <c r="GC26" s="2387"/>
      <c r="GD26" s="2387"/>
      <c r="GE26" s="2387"/>
      <c r="GF26" s="1132"/>
      <c r="GG26" s="1132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</row>
    <row r="27" spans="1:206" ht="44.25" customHeight="1" x14ac:dyDescent="0.55000000000000004">
      <c r="A27" s="338">
        <v>1</v>
      </c>
      <c r="B27" s="2380" t="str">
        <f>IFERROR(IF('ARDT Cutter Entry'!$C$94&lt;&gt;"",IF(IFERROR(VALUE(RIGHT('ARDT Cutter Entry'!C94,2)),1)=1, LEFT(SUBSTITUTE('ARDT Cutter Entry'!C94,"*",""),LEN(SUBSTITUTE('ARDT Cutter Entry'!C94,"*",""))-1),LEFT(SUBSTITUTE('ARDT Cutter Entry'!C94,"*",""),LEN(SUBSTITUTE('ARDT Cutter Entry'!C94,"*",""))-2)),IF(IFERROR(VALUE(RIGHT('ARDT Cutter Entry'!C26,2)),1)=1, LEFT(SUBSTITUTE('ARDT Cutter Entry'!C26,"*",""),LEN(SUBSTITUTE('ARDT Cutter Entry'!C26,"*",""))-1),LEFT(SUBSTITUTE('ARDT Cutter Entry'!C26,"*",""),LEN(SUBSTITUTE('ARDT Cutter Entry'!C26,"*",""))-2) )),"")</f>
        <v>R</v>
      </c>
      <c r="C27" s="2380"/>
      <c r="D27" s="2380"/>
      <c r="E27" s="2380"/>
      <c r="F27" s="2380"/>
      <c r="G27" s="2380"/>
      <c r="H27" s="2380" t="str">
        <f>IFERROR(IF('ARDT Cutter Entry'!$C$94&lt;&gt;"",IF(IFERROR(VALUE(RIGHT('ARDT Cutter Entry'!D94,2)),1)=1, LEFT(SUBSTITUTE('ARDT Cutter Entry'!D94,"*",""),LEN(SUBSTITUTE('ARDT Cutter Entry'!D94,"*",""))-1),LEFT(SUBSTITUTE('ARDT Cutter Entry'!D94,"*",""),LEN(SUBSTITUTE('ARDT Cutter Entry'!D94,"*",""))-2)),IF(IFERROR(VALUE(RIGHT('ARDT Cutter Entry'!D26,2)),1)=1, LEFT(SUBSTITUTE('ARDT Cutter Entry'!D26,"*",""),LEN(SUBSTITUTE('ARDT Cutter Entry'!D26,"*",""))-1),LEFT(SUBSTITUTE('ARDT Cutter Entry'!D26,"*",""),LEN(SUBSTITUTE('ARDT Cutter Entry'!D26,"*",""))-2) )),"")</f>
        <v>R</v>
      </c>
      <c r="I27" s="2380"/>
      <c r="J27" s="2380"/>
      <c r="K27" s="2380"/>
      <c r="L27" s="2380"/>
      <c r="M27" s="2380"/>
      <c r="N27" s="2380" t="str">
        <f>IFERROR(IF('ARDT Cutter Entry'!$C$94&lt;&gt;"",IF(IFERROR(VALUE(RIGHT('ARDT Cutter Entry'!E94,2)),1)=1, LEFT(SUBSTITUTE('ARDT Cutter Entry'!E94,"*",""),LEN(SUBSTITUTE('ARDT Cutter Entry'!E94,"*",""))-1),LEFT(SUBSTITUTE('ARDT Cutter Entry'!E94,"*",""),LEN(SUBSTITUTE('ARDT Cutter Entry'!E94,"*",""))-2)),IF(IFERROR(VALUE(RIGHT('ARDT Cutter Entry'!E26,2)),1)=1, LEFT(SUBSTITUTE('ARDT Cutter Entry'!E26,"*",""),LEN(SUBSTITUTE('ARDT Cutter Entry'!E26,"*",""))-1),LEFT(SUBSTITUTE('ARDT Cutter Entry'!E26,"*",""),LEN(SUBSTITUTE('ARDT Cutter Entry'!E26,"*",""))-2) )),"")</f>
        <v>X</v>
      </c>
      <c r="O27" s="2380"/>
      <c r="P27" s="2380"/>
      <c r="Q27" s="2380"/>
      <c r="R27" s="2380"/>
      <c r="S27" s="2380"/>
      <c r="T27" s="2380" t="str">
        <f>IFERROR(IF('ARDT Cutter Entry'!$C$94&lt;&gt;"",IF(IFERROR(VALUE(RIGHT('ARDT Cutter Entry'!F94,2)),1)=1, LEFT(SUBSTITUTE('ARDT Cutter Entry'!F94,"*",""),LEN(SUBSTITUTE('ARDT Cutter Entry'!F94,"*",""))-1),LEFT(SUBSTITUTE('ARDT Cutter Entry'!F94,"*",""),LEN(SUBSTITUTE('ARDT Cutter Entry'!F94,"*",""))-2)),IF(IFERROR(VALUE(RIGHT('ARDT Cutter Entry'!F26,2)),1)=1, LEFT(SUBSTITUTE('ARDT Cutter Entry'!F26,"*",""),LEN(SUBSTITUTE('ARDT Cutter Entry'!F26,"*",""))-1),LEFT(SUBSTITUTE('ARDT Cutter Entry'!F26,"*",""),LEN(SUBSTITUTE('ARDT Cutter Entry'!F26,"*",""))-2) )),"")</f>
        <v>X</v>
      </c>
      <c r="U27" s="2380"/>
      <c r="V27" s="2380"/>
      <c r="W27" s="2380"/>
      <c r="X27" s="2380"/>
      <c r="Y27" s="2380"/>
      <c r="Z27" s="2380" t="str">
        <f>IFERROR(IF('ARDT Cutter Entry'!$C$94&lt;&gt;"",IF(IFERROR(VALUE(RIGHT('ARDT Cutter Entry'!G94,2)),1)=1, LEFT(SUBSTITUTE('ARDT Cutter Entry'!G94,"*",""),LEN(SUBSTITUTE('ARDT Cutter Entry'!G94,"*",""))-1),LEFT(SUBSTITUTE('ARDT Cutter Entry'!G94,"*",""),LEN(SUBSTITUTE('ARDT Cutter Entry'!G94,"*",""))-2)),IF(IFERROR(VALUE(RIGHT('ARDT Cutter Entry'!G26,2)),1)=1, LEFT(SUBSTITUTE('ARDT Cutter Entry'!G26,"*",""),LEN(SUBSTITUTE('ARDT Cutter Entry'!G26,"*",""))-1),LEFT(SUBSTITUTE('ARDT Cutter Entry'!G26,"*",""),LEN(SUBSTITUTE('ARDT Cutter Entry'!G26,"*",""))-2) )),"")</f>
        <v>X</v>
      </c>
      <c r="AA27" s="2380"/>
      <c r="AB27" s="2380"/>
      <c r="AC27" s="2380"/>
      <c r="AD27" s="2380"/>
      <c r="AE27" s="2380"/>
      <c r="AF27" s="2380" t="str">
        <f>IFERROR(IF('ARDT Cutter Entry'!$C$94&lt;&gt;"",IF(IFERROR(VALUE(RIGHT('ARDT Cutter Entry'!H94,2)),1)=1, LEFT(SUBSTITUTE('ARDT Cutter Entry'!H94,"*",""),LEN(SUBSTITUTE('ARDT Cutter Entry'!H94,"*",""))-1),LEFT(SUBSTITUTE('ARDT Cutter Entry'!H94,"*",""),LEN(SUBSTITUTE('ARDT Cutter Entry'!H94,"*",""))-2)),IF(IFERROR(VALUE(RIGHT('ARDT Cutter Entry'!H26,2)),1)=1, LEFT(SUBSTITUTE('ARDT Cutter Entry'!H26,"*",""),LEN(SUBSTITUTE('ARDT Cutter Entry'!H26,"*",""))-1),LEFT(SUBSTITUTE('ARDT Cutter Entry'!H26,"*",""),LEN(SUBSTITUTE('ARDT Cutter Entry'!H26,"*",""))-2) )),"")</f>
        <v>X</v>
      </c>
      <c r="AG27" s="2380"/>
      <c r="AH27" s="2380"/>
      <c r="AI27" s="2380"/>
      <c r="AJ27" s="2380"/>
      <c r="AK27" s="2380"/>
      <c r="AL27" s="2380" t="str">
        <f>IFERROR(IF('ARDT Cutter Entry'!$C$94&lt;&gt;"",IF(IFERROR(VALUE(RIGHT('ARDT Cutter Entry'!I94,2)),1)=1, LEFT(SUBSTITUTE('ARDT Cutter Entry'!I94,"*",""),LEN(SUBSTITUTE('ARDT Cutter Entry'!I94,"*",""))-1),LEFT(SUBSTITUTE('ARDT Cutter Entry'!I94,"*",""),LEN(SUBSTITUTE('ARDT Cutter Entry'!I94,"*",""))-2)),IF(IFERROR(VALUE(RIGHT('ARDT Cutter Entry'!I26,2)),1)=1, LEFT(SUBSTITUTE('ARDT Cutter Entry'!I26,"*",""),LEN(SUBSTITUTE('ARDT Cutter Entry'!I26,"*",""))-1),LEFT(SUBSTITUTE('ARDT Cutter Entry'!I26,"*",""),LEN(SUBSTITUTE('ARDT Cutter Entry'!I26,"*",""))-2) )),"")</f>
        <v>R</v>
      </c>
      <c r="AM27" s="2380"/>
      <c r="AN27" s="2380"/>
      <c r="AO27" s="2380"/>
      <c r="AP27" s="2380"/>
      <c r="AQ27" s="2380"/>
      <c r="AR27" s="2380" t="str">
        <f>IFERROR(IF('ARDT Cutter Entry'!$C$94&lt;&gt;"",IF(IFERROR(VALUE(RIGHT('ARDT Cutter Entry'!J94,2)),1)=1, LEFT(SUBSTITUTE('ARDT Cutter Entry'!J94,"*",""),LEN(SUBSTITUTE('ARDT Cutter Entry'!J94,"*",""))-1),LEFT(SUBSTITUTE('ARDT Cutter Entry'!J94,"*",""),LEN(SUBSTITUTE('ARDT Cutter Entry'!J94,"*",""))-2)),IF(IFERROR(VALUE(RIGHT('ARDT Cutter Entry'!J26,2)),1)=1, LEFT(SUBSTITUTE('ARDT Cutter Entry'!J26,"*",""),LEN(SUBSTITUTE('ARDT Cutter Entry'!J26,"*",""))-1),LEFT(SUBSTITUTE('ARDT Cutter Entry'!J26,"*",""),LEN(SUBSTITUTE('ARDT Cutter Entry'!J26,"*",""))-2) )),"")</f>
        <v>X</v>
      </c>
      <c r="AS27" s="2380"/>
      <c r="AT27" s="2380"/>
      <c r="AU27" s="2380"/>
      <c r="AV27" s="2380"/>
      <c r="AW27" s="2380"/>
      <c r="AX27" s="2380" t="str">
        <f>IFERROR(IF('ARDT Cutter Entry'!$C$94&lt;&gt;"",IF(IFERROR(VALUE(RIGHT('ARDT Cutter Entry'!K94,2)),1)=1, LEFT(SUBSTITUTE('ARDT Cutter Entry'!K94,"*",""),LEN(SUBSTITUTE('ARDT Cutter Entry'!K94,"*",""))-1),LEFT(SUBSTITUTE('ARDT Cutter Entry'!K94,"*",""),LEN(SUBSTITUTE('ARDT Cutter Entry'!K94,"*",""))-2)),IF(IFERROR(VALUE(RIGHT('ARDT Cutter Entry'!K26,2)),1)=1, LEFT(SUBSTITUTE('ARDT Cutter Entry'!K26,"*",""),LEN(SUBSTITUTE('ARDT Cutter Entry'!K26,"*",""))-1),LEFT(SUBSTITUTE('ARDT Cutter Entry'!K26,"*",""),LEN(SUBSTITUTE('ARDT Cutter Entry'!K26,"*",""))-2) )),"")</f>
        <v/>
      </c>
      <c r="AY27" s="2380"/>
      <c r="AZ27" s="2380"/>
      <c r="BA27" s="2380"/>
      <c r="BB27" s="2380"/>
      <c r="BC27" s="2380"/>
      <c r="BD27" s="2380" t="str">
        <f>IFERROR(IF('ARDT Cutter Entry'!$C$94&lt;&gt;"",IF(IFERROR(VALUE(RIGHT('ARDT Cutter Entry'!L94,2)),1)=1, LEFT(SUBSTITUTE('ARDT Cutter Entry'!L94,"*",""),LEN(SUBSTITUTE('ARDT Cutter Entry'!L94,"*",""))-1),LEFT(SUBSTITUTE('ARDT Cutter Entry'!L94,"*",""),LEN(SUBSTITUTE('ARDT Cutter Entry'!L94,"*",""))-2)),IF(IFERROR(VALUE(RIGHT('ARDT Cutter Entry'!L26,2)),1)=1, LEFT(SUBSTITUTE('ARDT Cutter Entry'!L26,"*",""),LEN(SUBSTITUTE('ARDT Cutter Entry'!L26,"*",""))-1),LEFT(SUBSTITUTE('ARDT Cutter Entry'!L26,"*",""),LEN(SUBSTITUTE('ARDT Cutter Entry'!L26,"*",""))-2) )),"")</f>
        <v>S</v>
      </c>
      <c r="BE27" s="2380"/>
      <c r="BF27" s="2380"/>
      <c r="BG27" s="2380"/>
      <c r="BH27" s="2380"/>
      <c r="BI27" s="2380"/>
      <c r="BJ27" s="2380" t="str">
        <f>IFERROR(IF('ARDT Cutter Entry'!$C$94&lt;&gt;"",IF(IFERROR(VALUE(RIGHT('ARDT Cutter Entry'!M94,2)),1)=1, LEFT(SUBSTITUTE('ARDT Cutter Entry'!M94,"*",""),LEN(SUBSTITUTE('ARDT Cutter Entry'!M94,"*",""))-1),LEFT(SUBSTITUTE('ARDT Cutter Entry'!M94,"*",""),LEN(SUBSTITUTE('ARDT Cutter Entry'!M94,"*",""))-2)),IF(IFERROR(VALUE(RIGHT('ARDT Cutter Entry'!M26,2)),1)=1, LEFT(SUBSTITUTE('ARDT Cutter Entry'!M26,"*",""),LEN(SUBSTITUTE('ARDT Cutter Entry'!M26,"*",""))-1),LEFT(SUBSTITUTE('ARDT Cutter Entry'!M26,"*",""),LEN(SUBSTITUTE('ARDT Cutter Entry'!M26,"*",""))-2) )),"")</f>
        <v>X</v>
      </c>
      <c r="BK27" s="2380"/>
      <c r="BL27" s="2380"/>
      <c r="BM27" s="2380"/>
      <c r="BN27" s="2380"/>
      <c r="BO27" s="2380"/>
      <c r="BP27" s="2380" t="str">
        <f>IFERROR(IF('ARDT Cutter Entry'!$C$94&lt;&gt;"",IF(IFERROR(VALUE(RIGHT('ARDT Cutter Entry'!N94,2)),1)=1, LEFT(SUBSTITUTE('ARDT Cutter Entry'!N94,"*",""),LEN(SUBSTITUTE('ARDT Cutter Entry'!N94,"*",""))-1),LEFT(SUBSTITUTE('ARDT Cutter Entry'!N94,"*",""),LEN(SUBSTITUTE('ARDT Cutter Entry'!N94,"*",""))-2)),IF(IFERROR(VALUE(RIGHT('ARDT Cutter Entry'!N26,2)),1)=1, LEFT(SUBSTITUTE('ARDT Cutter Entry'!N26,"*",""),LEN(SUBSTITUTE('ARDT Cutter Entry'!N26,"*",""))-1),LEFT(SUBSTITUTE('ARDT Cutter Entry'!N26,"*",""),LEN(SUBSTITUTE('ARDT Cutter Entry'!N26,"*",""))-2) )),"")</f>
        <v>X</v>
      </c>
      <c r="BQ27" s="2380"/>
      <c r="BR27" s="2380"/>
      <c r="BS27" s="2380"/>
      <c r="BT27" s="2380"/>
      <c r="BU27" s="2380"/>
      <c r="BV27" s="2380" t="str">
        <f>IFERROR(IF('ARDT Cutter Entry'!$C$94&lt;&gt;"",IF(IFERROR(VALUE(RIGHT('ARDT Cutter Entry'!O94,2)),1)=1, LEFT(SUBSTITUTE('ARDT Cutter Entry'!O94,"*",""),LEN(SUBSTITUTE('ARDT Cutter Entry'!O94,"*",""))-1),LEFT(SUBSTITUTE('ARDT Cutter Entry'!O94,"*",""),LEN(SUBSTITUTE('ARDT Cutter Entry'!O94,"*",""))-2)),IF(IFERROR(VALUE(RIGHT('ARDT Cutter Entry'!O26,2)),1)=1, LEFT(SUBSTITUTE('ARDT Cutter Entry'!O26,"*",""),LEN(SUBSTITUTE('ARDT Cutter Entry'!O26,"*",""))-1),LEFT(SUBSTITUTE('ARDT Cutter Entry'!O26,"*",""),LEN(SUBSTITUTE('ARDT Cutter Entry'!O26,"*",""))-2) )),"")</f>
        <v>R</v>
      </c>
      <c r="BW27" s="2380"/>
      <c r="BX27" s="2380"/>
      <c r="BY27" s="2380"/>
      <c r="BZ27" s="2380"/>
      <c r="CA27" s="2380"/>
      <c r="CB27" s="2380" t="str">
        <f>IFERROR(IF('ARDT Cutter Entry'!$C$94&lt;&gt;"",IF(IFERROR(VALUE(RIGHT('ARDT Cutter Entry'!P94,2)),1)=1, LEFT(SUBSTITUTE('ARDT Cutter Entry'!P94,"*",""),LEN(SUBSTITUTE('ARDT Cutter Entry'!P94,"*",""))-1),LEFT(SUBSTITUTE('ARDT Cutter Entry'!P94,"*",""),LEN(SUBSTITUTE('ARDT Cutter Entry'!P94,"*",""))-2)),IF(IFERROR(VALUE(RIGHT('ARDT Cutter Entry'!P26,2)),1)=1, LEFT(SUBSTITUTE('ARDT Cutter Entry'!P26,"*",""),LEN(SUBSTITUTE('ARDT Cutter Entry'!P26,"*",""))-1),LEFT(SUBSTITUTE('ARDT Cutter Entry'!P26,"*",""),LEN(SUBSTITUTE('ARDT Cutter Entry'!P26,"*",""))-2) )),"")</f>
        <v/>
      </c>
      <c r="CC27" s="2380"/>
      <c r="CD27" s="2380"/>
      <c r="CE27" s="2380"/>
      <c r="CF27" s="2380"/>
      <c r="CG27" s="2380"/>
      <c r="CH27" s="2380" t="str">
        <f>IFERROR(IF('ARDT Cutter Entry'!$C$94&lt;&gt;"",IF(IFERROR(VALUE(RIGHT('ARDT Cutter Entry'!Q94,2)),1)=1, LEFT(SUBSTITUTE('ARDT Cutter Entry'!Q94,"*",""),LEN(SUBSTITUTE('ARDT Cutter Entry'!Q94,"*",""))-1),LEFT(SUBSTITUTE('ARDT Cutter Entry'!Q94,"*",""),LEN(SUBSTITUTE('ARDT Cutter Entry'!Q94,"*",""))-2)),IF(IFERROR(VALUE(RIGHT('ARDT Cutter Entry'!Q26,2)),1)=1, LEFT(SUBSTITUTE('ARDT Cutter Entry'!Q26,"*",""),LEN(SUBSTITUTE('ARDT Cutter Entry'!Q26,"*",""))-1),LEFT(SUBSTITUTE('ARDT Cutter Entry'!Q26,"*",""),LEN(SUBSTITUTE('ARDT Cutter Entry'!Q26,"*",""))-2) )),"")</f>
        <v/>
      </c>
      <c r="CI27" s="2380"/>
      <c r="CJ27" s="2380"/>
      <c r="CK27" s="2380"/>
      <c r="CL27" s="2380"/>
      <c r="CM27" s="2380"/>
      <c r="CN27" s="2380" t="str">
        <f>IFERROR(IF('ARDT Cutter Entry'!$C$94&lt;&gt;"",IF(IFERROR(VALUE(RIGHT('ARDT Cutter Entry'!R94,2)),1)=1, LEFT(SUBSTITUTE('ARDT Cutter Entry'!R94,"*",""),LEN(SUBSTITUTE('ARDT Cutter Entry'!R94,"*",""))-1),LEFT(SUBSTITUTE('ARDT Cutter Entry'!R94,"*",""),LEN(SUBSTITUTE('ARDT Cutter Entry'!R94,"*",""))-2)),IF(IFERROR(VALUE(RIGHT('ARDT Cutter Entry'!R26,2)),1)=1, LEFT(SUBSTITUTE('ARDT Cutter Entry'!R26,"*",""),LEN(SUBSTITUTE('ARDT Cutter Entry'!R26,"*",""))-1),LEFT(SUBSTITUTE('ARDT Cutter Entry'!R26,"*",""),LEN(SUBSTITUTE('ARDT Cutter Entry'!R26,"*",""))-2) )),"")</f>
        <v/>
      </c>
      <c r="CO27" s="2380"/>
      <c r="CP27" s="2380"/>
      <c r="CQ27" s="2380"/>
      <c r="CR27" s="2380"/>
      <c r="CS27" s="2380"/>
      <c r="CT27" s="2380" t="str">
        <f>IFERROR(IF('ARDT Cutter Entry'!$C$94&lt;&gt;"",IF(IFERROR(VALUE(RIGHT('ARDT Cutter Entry'!S94,2)),1)=1, LEFT(SUBSTITUTE('ARDT Cutter Entry'!S94,"*",""),LEN(SUBSTITUTE('ARDT Cutter Entry'!S94,"*",""))-1),LEFT(SUBSTITUTE('ARDT Cutter Entry'!S94,"*",""),LEN(SUBSTITUTE('ARDT Cutter Entry'!S94,"*",""))-2)),IF(IFERROR(VALUE(RIGHT('ARDT Cutter Entry'!S26,2)),1)=1, LEFT(SUBSTITUTE('ARDT Cutter Entry'!S26,"*",""),LEN(SUBSTITUTE('ARDT Cutter Entry'!S26,"*",""))-1),LEFT(SUBSTITUTE('ARDT Cutter Entry'!S26,"*",""),LEN(SUBSTITUTE('ARDT Cutter Entry'!S26,"*",""))-2) )),"")</f>
        <v/>
      </c>
      <c r="CU27" s="2380"/>
      <c r="CV27" s="2380"/>
      <c r="CW27" s="2380"/>
      <c r="CX27" s="2380"/>
      <c r="CY27" s="2380"/>
      <c r="CZ27" s="2380" t="str">
        <f>IFERROR(IF('ARDT Cutter Entry'!$C$94&lt;&gt;"",IF(IFERROR(VALUE(RIGHT('ARDT Cutter Entry'!T94,2)),1)=1, LEFT(SUBSTITUTE('ARDT Cutter Entry'!T94,"*",""),LEN(SUBSTITUTE('ARDT Cutter Entry'!T94,"*",""))-1),LEFT(SUBSTITUTE('ARDT Cutter Entry'!T94,"*",""),LEN(SUBSTITUTE('ARDT Cutter Entry'!T94,"*",""))-2)),IF(IFERROR(VALUE(RIGHT('ARDT Cutter Entry'!T26,2)),1)=1, LEFT(SUBSTITUTE('ARDT Cutter Entry'!T26,"*",""),LEN(SUBSTITUTE('ARDT Cutter Entry'!T26,"*",""))-1),LEFT(SUBSTITUTE('ARDT Cutter Entry'!T26,"*",""),LEN(SUBSTITUTE('ARDT Cutter Entry'!T26,"*",""))-2) )),"")</f>
        <v/>
      </c>
      <c r="DA27" s="2380"/>
      <c r="DB27" s="2380"/>
      <c r="DC27" s="2380"/>
      <c r="DD27" s="2380"/>
      <c r="DE27" s="2380"/>
      <c r="DF27" s="2380" t="str">
        <f>IFERROR(IF('ARDT Cutter Entry'!$C$94&lt;&gt;"",IF(IFERROR(VALUE(RIGHT('ARDT Cutter Entry'!U94,2)),1)=1, LEFT(SUBSTITUTE('ARDT Cutter Entry'!U94,"*",""),LEN(SUBSTITUTE('ARDT Cutter Entry'!U94,"*",""))-1),LEFT(SUBSTITUTE('ARDT Cutter Entry'!U94,"*",""),LEN(SUBSTITUTE('ARDT Cutter Entry'!U94,"*",""))-2)),IF(IFERROR(VALUE(RIGHT('ARDT Cutter Entry'!U26,2)),1)=1, LEFT(SUBSTITUTE('ARDT Cutter Entry'!U26,"*",""),LEN(SUBSTITUTE('ARDT Cutter Entry'!U26,"*",""))-1),LEFT(SUBSTITUTE('ARDT Cutter Entry'!U26,"*",""),LEN(SUBSTITUTE('ARDT Cutter Entry'!U26,"*",""))-2) )),"")</f>
        <v/>
      </c>
      <c r="DG27" s="2380"/>
      <c r="DH27" s="2380"/>
      <c r="DI27" s="2380"/>
      <c r="DJ27" s="2380"/>
      <c r="DK27" s="2380"/>
      <c r="DL27" s="2380" t="str">
        <f>IFERROR(IF('ARDT Cutter Entry'!$C$94&lt;&gt;"",IF(IFERROR(VALUE(RIGHT('ARDT Cutter Entry'!V94,2)),1)=1, LEFT(SUBSTITUTE('ARDT Cutter Entry'!V94,"*",""),LEN(SUBSTITUTE('ARDT Cutter Entry'!V94,"*",""))-1),LEFT(SUBSTITUTE('ARDT Cutter Entry'!V94,"*",""),LEN(SUBSTITUTE('ARDT Cutter Entry'!V94,"*",""))-2)),IF(IFERROR(VALUE(RIGHT('ARDT Cutter Entry'!V26,2)),1)=1, LEFT(SUBSTITUTE('ARDT Cutter Entry'!V26,"*",""),LEN(SUBSTITUTE('ARDT Cutter Entry'!V26,"*",""))-1),LEFT(SUBSTITUTE('ARDT Cutter Entry'!V26,"*",""),LEN(SUBSTITUTE('ARDT Cutter Entry'!V26,"*",""))-2) )),"")</f>
        <v/>
      </c>
      <c r="DM27" s="2380"/>
      <c r="DN27" s="2380"/>
      <c r="DO27" s="2380"/>
      <c r="DP27" s="2380"/>
      <c r="DQ27" s="2380"/>
      <c r="DR27" s="2380" t="str">
        <f>IFERROR(IF('ARDT Cutter Entry'!$C$94&lt;&gt;"",IF(IFERROR(VALUE(RIGHT('ARDT Cutter Entry'!W94,2)),1)=1, LEFT(SUBSTITUTE('ARDT Cutter Entry'!W94,"*",""),LEN(SUBSTITUTE('ARDT Cutter Entry'!W94,"*",""))-1),LEFT(SUBSTITUTE('ARDT Cutter Entry'!W94,"*",""),LEN(SUBSTITUTE('ARDT Cutter Entry'!W94,"*",""))-2)),IF(IFERROR(VALUE(RIGHT('ARDT Cutter Entry'!W26,2)),1)=1, LEFT(SUBSTITUTE('ARDT Cutter Entry'!W26,"*",""),LEN(SUBSTITUTE('ARDT Cutter Entry'!W26,"*",""))-1),LEFT(SUBSTITUTE('ARDT Cutter Entry'!W26,"*",""),LEN(SUBSTITUTE('ARDT Cutter Entry'!W26,"*",""))-2) )),"")</f>
        <v/>
      </c>
      <c r="DS27" s="2380"/>
      <c r="DT27" s="2380"/>
      <c r="DU27" s="2380"/>
      <c r="DV27" s="2380"/>
      <c r="DW27" s="2380"/>
      <c r="DX27" s="2380" t="str">
        <f>IFERROR(IF('ARDT Cutter Entry'!$C$94&lt;&gt;"",IF(IFERROR(VALUE(RIGHT('ARDT Cutter Entry'!X94,2)),1)=1, LEFT(SUBSTITUTE('ARDT Cutter Entry'!X94,"*",""),LEN(SUBSTITUTE('ARDT Cutter Entry'!X94,"*",""))-1),LEFT(SUBSTITUTE('ARDT Cutter Entry'!X94,"*",""),LEN(SUBSTITUTE('ARDT Cutter Entry'!X94,"*",""))-2)),IF(IFERROR(VALUE(RIGHT('ARDT Cutter Entry'!X26,2)),1)=1, LEFT(SUBSTITUTE('ARDT Cutter Entry'!X26,"*",""),LEN(SUBSTITUTE('ARDT Cutter Entry'!X26,"*",""))-1),LEFT(SUBSTITUTE('ARDT Cutter Entry'!X26,"*",""),LEN(SUBSTITUTE('ARDT Cutter Entry'!X26,"*",""))-2) )),"")</f>
        <v/>
      </c>
      <c r="DY27" s="2380"/>
      <c r="DZ27" s="2380"/>
      <c r="EA27" s="2380"/>
      <c r="EB27" s="2380"/>
      <c r="EC27" s="2380"/>
      <c r="ED27" s="2380" t="str">
        <f>IFERROR(IF('ARDT Cutter Entry'!$C$94&lt;&gt;"",IF(IFERROR(VALUE(RIGHT('ARDT Cutter Entry'!Y94,2)),1)=1, LEFT(SUBSTITUTE('ARDT Cutter Entry'!Y94,"*",""),LEN(SUBSTITUTE('ARDT Cutter Entry'!Y94,"*",""))-1),LEFT(SUBSTITUTE('ARDT Cutter Entry'!Y94,"*",""),LEN(SUBSTITUTE('ARDT Cutter Entry'!Y94,"*",""))-2)),IF(IFERROR(VALUE(RIGHT('ARDT Cutter Entry'!Y26,2)),1)=1, LEFT(SUBSTITUTE('ARDT Cutter Entry'!Y26,"*",""),LEN(SUBSTITUTE('ARDT Cutter Entry'!Y26,"*",""))-1),LEFT(SUBSTITUTE('ARDT Cutter Entry'!Y26,"*",""),LEN(SUBSTITUTE('ARDT Cutter Entry'!Y26,"*",""))-2) )),"")</f>
        <v/>
      </c>
      <c r="EE27" s="2380"/>
      <c r="EF27" s="2380"/>
      <c r="EG27" s="2380"/>
      <c r="EH27" s="2380"/>
      <c r="EI27" s="2380"/>
      <c r="EJ27" s="2380" t="str">
        <f>IFERROR(IF('ARDT Cutter Entry'!$C$94&lt;&gt;"",IF(IFERROR(VALUE(RIGHT('ARDT Cutter Entry'!Z94,2)),1)=1, LEFT(SUBSTITUTE('ARDT Cutter Entry'!Z94,"*",""),LEN(SUBSTITUTE('ARDT Cutter Entry'!Z94,"*",""))-1),LEFT(SUBSTITUTE('ARDT Cutter Entry'!Z94,"*",""),LEN(SUBSTITUTE('ARDT Cutter Entry'!Z94,"*",""))-2)),IF(IFERROR(VALUE(RIGHT('ARDT Cutter Entry'!Z26,2)),1)=1, LEFT(SUBSTITUTE('ARDT Cutter Entry'!Z26,"*",""),LEN(SUBSTITUTE('ARDT Cutter Entry'!Z26,"*",""))-1),LEFT(SUBSTITUTE('ARDT Cutter Entry'!Z26,"*",""),LEN(SUBSTITUTE('ARDT Cutter Entry'!Z26,"*",""))-2) )),"")</f>
        <v/>
      </c>
      <c r="EK27" s="2380"/>
      <c r="EL27" s="2380"/>
      <c r="EM27" s="2380"/>
      <c r="EN27" s="2380"/>
      <c r="EO27" s="2380"/>
      <c r="EP27" s="2380" t="str">
        <f>IFERROR(IF('ARDT Cutter Entry'!$C$94&lt;&gt;"",IF(IFERROR(VALUE(RIGHT('ARDT Cutter Entry'!AA94,2)),1)=1, LEFT(SUBSTITUTE('ARDT Cutter Entry'!AA94,"*",""),LEN(SUBSTITUTE('ARDT Cutter Entry'!AA94,"*",""))-1),LEFT(SUBSTITUTE('ARDT Cutter Entry'!AA94,"*",""),LEN(SUBSTITUTE('ARDT Cutter Entry'!AA94,"*",""))-2)),IF(IFERROR(VALUE(RIGHT('ARDT Cutter Entry'!AA26,2)),1)=1, LEFT(SUBSTITUTE('ARDT Cutter Entry'!AA26,"*",""),LEN(SUBSTITUTE('ARDT Cutter Entry'!AA26,"*",""))-1),LEFT(SUBSTITUTE('ARDT Cutter Entry'!AA26,"*",""),LEN(SUBSTITUTE('ARDT Cutter Entry'!AA26,"*",""))-2) )),"")</f>
        <v/>
      </c>
      <c r="EQ27" s="2380"/>
      <c r="ER27" s="2380"/>
      <c r="ES27" s="2380"/>
      <c r="ET27" s="2380"/>
      <c r="EU27" s="2380"/>
      <c r="EV27" s="2380" t="str">
        <f>IFERROR(IF('ARDT Cutter Entry'!$C$94&lt;&gt;"",IF(IFERROR(VALUE(RIGHT('ARDT Cutter Entry'!AB94,2)),1)=1, LEFT(SUBSTITUTE('ARDT Cutter Entry'!AB94,"*",""),LEN(SUBSTITUTE('ARDT Cutter Entry'!AB94,"*",""))-1),LEFT(SUBSTITUTE('ARDT Cutter Entry'!AB94,"*",""),LEN(SUBSTITUTE('ARDT Cutter Entry'!AB94,"*",""))-2)),IF(IFERROR(VALUE(RIGHT('ARDT Cutter Entry'!AB26,2)),1)=1, LEFT(SUBSTITUTE('ARDT Cutter Entry'!AB26,"*",""),LEN(SUBSTITUTE('ARDT Cutter Entry'!AB26,"*",""))-1),LEFT(SUBSTITUTE('ARDT Cutter Entry'!AB26,"*",""),LEN(SUBSTITUTE('ARDT Cutter Entry'!AB26,"*",""))-2) )),"")</f>
        <v/>
      </c>
      <c r="EW27" s="2380"/>
      <c r="EX27" s="2380"/>
      <c r="EY27" s="2380"/>
      <c r="EZ27" s="2380"/>
      <c r="FA27" s="2380"/>
      <c r="FB27" s="2380" t="str">
        <f>IFERROR(IF('ARDT Cutter Entry'!$C$94&lt;&gt;"",IF(IFERROR(VALUE(RIGHT('ARDT Cutter Entry'!AC94,2)),1)=1, LEFT(SUBSTITUTE('ARDT Cutter Entry'!AC94,"*",""),LEN(SUBSTITUTE('ARDT Cutter Entry'!AC94,"*",""))-1),LEFT(SUBSTITUTE('ARDT Cutter Entry'!AC94,"*",""),LEN(SUBSTITUTE('ARDT Cutter Entry'!AC94,"*",""))-2)),IF(IFERROR(VALUE(RIGHT('ARDT Cutter Entry'!AC26,2)),1)=1, LEFT(SUBSTITUTE('ARDT Cutter Entry'!AC26,"*",""),LEN(SUBSTITUTE('ARDT Cutter Entry'!AC26,"*",""))-1),LEFT(SUBSTITUTE('ARDT Cutter Entry'!AC26,"*",""),LEN(SUBSTITUTE('ARDT Cutter Entry'!AC26,"*",""))-2) )),"")</f>
        <v/>
      </c>
      <c r="FC27" s="2380"/>
      <c r="FD27" s="2380"/>
      <c r="FE27" s="2380"/>
      <c r="FF27" s="2380"/>
      <c r="FG27" s="2380"/>
      <c r="FH27" s="2380" t="str">
        <f>IFERROR(IF('ARDT Cutter Entry'!$C$94&lt;&gt;"",IF(IFERROR(VALUE(RIGHT('ARDT Cutter Entry'!AD94,2)),1)=1, LEFT(SUBSTITUTE('ARDT Cutter Entry'!AD94,"*",""),LEN(SUBSTITUTE('ARDT Cutter Entry'!AD94,"*",""))-1),LEFT(SUBSTITUTE('ARDT Cutter Entry'!AD94,"*",""),LEN(SUBSTITUTE('ARDT Cutter Entry'!AD94,"*",""))-2)),IF(IFERROR(VALUE(RIGHT('ARDT Cutter Entry'!AD26,2)),1)=1, LEFT(SUBSTITUTE('ARDT Cutter Entry'!AD26,"*",""),LEN(SUBSTITUTE('ARDT Cutter Entry'!AD26,"*",""))-1),LEFT(SUBSTITUTE('ARDT Cutter Entry'!AD26,"*",""),LEN(SUBSTITUTE('ARDT Cutter Entry'!AD26,"*",""))-2) )),"")</f>
        <v/>
      </c>
      <c r="FI27" s="2380"/>
      <c r="FJ27" s="2380"/>
      <c r="FK27" s="2380"/>
      <c r="FL27" s="2380"/>
      <c r="FM27" s="2380"/>
      <c r="FN27" s="2380" t="str">
        <f>IFERROR(IF('ARDT Cutter Entry'!$C$94&lt;&gt;"",IF(IFERROR(VALUE(RIGHT('ARDT Cutter Entry'!AE94,2)),1)=1, LEFT(SUBSTITUTE('ARDT Cutter Entry'!AE94,"*",""),LEN(SUBSTITUTE('ARDT Cutter Entry'!AE94,"*",""))-1),LEFT(SUBSTITUTE('ARDT Cutter Entry'!AE94,"*",""),LEN(SUBSTITUTE('ARDT Cutter Entry'!AE94,"*",""))-2)),IF(IFERROR(VALUE(RIGHT('ARDT Cutter Entry'!AE26,2)),1)=1, LEFT(SUBSTITUTE('ARDT Cutter Entry'!AE26,"*",""),LEN(SUBSTITUTE('ARDT Cutter Entry'!AE26,"*",""))-1),LEFT(SUBSTITUTE('ARDT Cutter Entry'!AE26,"*",""),LEN(SUBSTITUTE('ARDT Cutter Entry'!AE26,"*",""))-2) )),"")</f>
        <v/>
      </c>
      <c r="FO27" s="2380"/>
      <c r="FP27" s="2380"/>
      <c r="FQ27" s="2380"/>
      <c r="FR27" s="2380"/>
      <c r="FS27" s="2380"/>
      <c r="FT27" s="2380" t="str">
        <f>IFERROR(IF('ARDT Cutter Entry'!$C$94&lt;&gt;"",IF(IFERROR(VALUE(RIGHT('ARDT Cutter Entry'!AG94,2)),1)=1, LEFT(SUBSTITUTE('ARDT Cutter Entry'!AG94,"*",""),LEN(SUBSTITUTE('ARDT Cutter Entry'!AG94,"*",""))-1),LEFT(SUBSTITUTE('ARDT Cutter Entry'!AG94,"*",""),LEN(SUBSTITUTE('ARDT Cutter Entry'!AG94,"*",""))-2)),IF(IFERROR(VALUE(RIGHT('ARDT Cutter Entry'!AG26,2)),1)=1, LEFT(SUBSTITUTE('ARDT Cutter Entry'!AG26,"*",""),LEN(SUBSTITUTE('ARDT Cutter Entry'!AG26,"*",""))-1),LEFT(SUBSTITUTE('ARDT Cutter Entry'!AG26,"*",""),LEN(SUBSTITUTE('ARDT Cutter Entry'!AG26,"*",""))-2) )),"")</f>
        <v/>
      </c>
      <c r="FU27" s="2380"/>
      <c r="FV27" s="2380"/>
      <c r="FW27" s="2380"/>
      <c r="FX27" s="2380"/>
      <c r="FY27" s="2380"/>
      <c r="FZ27" s="2380" t="str">
        <f>IFERROR(IF('ARDT Cutter Entry'!$C$94&lt;&gt;"",IF(IFERROR(VALUE(RIGHT('ARDT Cutter Entry'!AH94,2)),1)=1, LEFT(SUBSTITUTE('ARDT Cutter Entry'!AH94,"*",""),LEN(SUBSTITUTE('ARDT Cutter Entry'!AH94,"*",""))-1),LEFT(SUBSTITUTE('ARDT Cutter Entry'!AH94,"*",""),LEN(SUBSTITUTE('ARDT Cutter Entry'!AH94,"*",""))-2)),IF(IFERROR(VALUE(RIGHT('ARDT Cutter Entry'!AH26,2)),1)=1, LEFT(SUBSTITUTE('ARDT Cutter Entry'!AH26,"*",""),LEN(SUBSTITUTE('ARDT Cutter Entry'!AH26,"*",""))-1),LEFT(SUBSTITUTE('ARDT Cutter Entry'!AH26,"*",""),LEN(SUBSTITUTE('ARDT Cutter Entry'!AH26,"*",""))-2) )),"")</f>
        <v/>
      </c>
      <c r="GA27" s="2380"/>
      <c r="GB27" s="2380"/>
      <c r="GC27" s="2380"/>
      <c r="GD27" s="2380"/>
      <c r="GE27" s="2380"/>
      <c r="GF27" s="1132"/>
      <c r="GG27" s="1132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</row>
    <row r="28" spans="1:206" ht="44.25" customHeight="1" x14ac:dyDescent="0.55000000000000004">
      <c r="A28" s="338">
        <v>2</v>
      </c>
      <c r="B28" s="2380" t="str">
        <f>IFERROR(IF('ARDT Cutter Entry'!$C$94&lt;&gt;"",IF(IFERROR(VALUE(RIGHT('ARDT Cutter Entry'!C95,2)),1)=1, LEFT(SUBSTITUTE('ARDT Cutter Entry'!C95,"*",""),LEN(SUBSTITUTE('ARDT Cutter Entry'!C95,"*",""))-1),LEFT(SUBSTITUTE('ARDT Cutter Entry'!C95,"*",""),LEN(SUBSTITUTE('ARDT Cutter Entry'!C95,"*",""))-2)),IF(IFERROR(VALUE(RIGHT('ARDT Cutter Entry'!C27,2)),1)=1, LEFT(SUBSTITUTE('ARDT Cutter Entry'!C27,"*",""),LEN(SUBSTITUTE('ARDT Cutter Entry'!C27,"*",""))-1),LEFT(SUBSTITUTE('ARDT Cutter Entry'!C27,"*",""),LEN(SUBSTITUTE('ARDT Cutter Entry'!C27,"*",""))-2) )),"")</f>
        <v>X</v>
      </c>
      <c r="C28" s="2380"/>
      <c r="D28" s="2380"/>
      <c r="E28" s="2380"/>
      <c r="F28" s="2380"/>
      <c r="G28" s="2380"/>
      <c r="H28" s="2380" t="str">
        <f>IFERROR(IF('ARDT Cutter Entry'!$C$94&lt;&gt;"",IF(IFERROR(VALUE(RIGHT('ARDT Cutter Entry'!D95,2)),1)=1, LEFT(SUBSTITUTE('ARDT Cutter Entry'!D95,"*",""),LEN(SUBSTITUTE('ARDT Cutter Entry'!D95,"*",""))-1),LEFT(SUBSTITUTE('ARDT Cutter Entry'!D95,"*",""),LEN(SUBSTITUTE('ARDT Cutter Entry'!D95,"*",""))-2)),IF(IFERROR(VALUE(RIGHT('ARDT Cutter Entry'!D27,2)),1)=1, LEFT(SUBSTITUTE('ARDT Cutter Entry'!D27,"*",""),LEN(SUBSTITUTE('ARDT Cutter Entry'!D27,"*",""))-1),LEFT(SUBSTITUTE('ARDT Cutter Entry'!D27,"*",""),LEN(SUBSTITUTE('ARDT Cutter Entry'!D27,"*",""))-2) )),"")</f>
        <v>X</v>
      </c>
      <c r="I28" s="2380"/>
      <c r="J28" s="2380"/>
      <c r="K28" s="2380"/>
      <c r="L28" s="2380"/>
      <c r="M28" s="2380"/>
      <c r="N28" s="2380" t="str">
        <f>IFERROR(IF('ARDT Cutter Entry'!$C$94&lt;&gt;"",IF(IFERROR(VALUE(RIGHT('ARDT Cutter Entry'!E95,2)),1)=1, LEFT(SUBSTITUTE('ARDT Cutter Entry'!E95,"*",""),LEN(SUBSTITUTE('ARDT Cutter Entry'!E95,"*",""))-1),LEFT(SUBSTITUTE('ARDT Cutter Entry'!E95,"*",""),LEN(SUBSTITUTE('ARDT Cutter Entry'!E95,"*",""))-2)),IF(IFERROR(VALUE(RIGHT('ARDT Cutter Entry'!E27,2)),1)=1, LEFT(SUBSTITUTE('ARDT Cutter Entry'!E27,"*",""),LEN(SUBSTITUTE('ARDT Cutter Entry'!E27,"*",""))-1),LEFT(SUBSTITUTE('ARDT Cutter Entry'!E27,"*",""),LEN(SUBSTITUTE('ARDT Cutter Entry'!E27,"*",""))-2) )),"")</f>
        <v>X</v>
      </c>
      <c r="O28" s="2380"/>
      <c r="P28" s="2380"/>
      <c r="Q28" s="2380"/>
      <c r="R28" s="2380"/>
      <c r="S28" s="2380"/>
      <c r="T28" s="2380" t="str">
        <f>IFERROR(IF('ARDT Cutter Entry'!$C$94&lt;&gt;"",IF(IFERROR(VALUE(RIGHT('ARDT Cutter Entry'!F95,2)),1)=1, LEFT(SUBSTITUTE('ARDT Cutter Entry'!F95,"*",""),LEN(SUBSTITUTE('ARDT Cutter Entry'!F95,"*",""))-1),LEFT(SUBSTITUTE('ARDT Cutter Entry'!F95,"*",""),LEN(SUBSTITUTE('ARDT Cutter Entry'!F95,"*",""))-2)),IF(IFERROR(VALUE(RIGHT('ARDT Cutter Entry'!F27,2)),1)=1, LEFT(SUBSTITUTE('ARDT Cutter Entry'!F27,"*",""),LEN(SUBSTITUTE('ARDT Cutter Entry'!F27,"*",""))-1),LEFT(SUBSTITUTE('ARDT Cutter Entry'!F27,"*",""),LEN(SUBSTITUTE('ARDT Cutter Entry'!F27,"*",""))-2) )),"")</f>
        <v>R</v>
      </c>
      <c r="U28" s="2380"/>
      <c r="V28" s="2380"/>
      <c r="W28" s="2380"/>
      <c r="X28" s="2380"/>
      <c r="Y28" s="2380"/>
      <c r="Z28" s="2380" t="str">
        <f>IFERROR(IF('ARDT Cutter Entry'!$C$94&lt;&gt;"",IF(IFERROR(VALUE(RIGHT('ARDT Cutter Entry'!G95,2)),1)=1, LEFT(SUBSTITUTE('ARDT Cutter Entry'!G95,"*",""),LEN(SUBSTITUTE('ARDT Cutter Entry'!G95,"*",""))-1),LEFT(SUBSTITUTE('ARDT Cutter Entry'!G95,"*",""),LEN(SUBSTITUTE('ARDT Cutter Entry'!G95,"*",""))-2)),IF(IFERROR(VALUE(RIGHT('ARDT Cutter Entry'!G27,2)),1)=1, LEFT(SUBSTITUTE('ARDT Cutter Entry'!G27,"*",""),LEN(SUBSTITUTE('ARDT Cutter Entry'!G27,"*",""))-1),LEFT(SUBSTITUTE('ARDT Cutter Entry'!G27,"*",""),LEN(SUBSTITUTE('ARDT Cutter Entry'!G27,"*",""))-2) )),"")</f>
        <v>X</v>
      </c>
      <c r="AA28" s="2380"/>
      <c r="AB28" s="2380"/>
      <c r="AC28" s="2380"/>
      <c r="AD28" s="2380"/>
      <c r="AE28" s="2380"/>
      <c r="AF28" s="2380" t="str">
        <f>IFERROR(IF('ARDT Cutter Entry'!$C$94&lt;&gt;"",IF(IFERROR(VALUE(RIGHT('ARDT Cutter Entry'!H95,2)),1)=1, LEFT(SUBSTITUTE('ARDT Cutter Entry'!H95,"*",""),LEN(SUBSTITUTE('ARDT Cutter Entry'!H95,"*",""))-1),LEFT(SUBSTITUTE('ARDT Cutter Entry'!H95,"*",""),LEN(SUBSTITUTE('ARDT Cutter Entry'!H95,"*",""))-2)),IF(IFERROR(VALUE(RIGHT('ARDT Cutter Entry'!H27,2)),1)=1, LEFT(SUBSTITUTE('ARDT Cutter Entry'!H27,"*",""),LEN(SUBSTITUTE('ARDT Cutter Entry'!H27,"*",""))-1),LEFT(SUBSTITUTE('ARDT Cutter Entry'!H27,"*",""),LEN(SUBSTITUTE('ARDT Cutter Entry'!H27,"*",""))-2) )),"")</f>
        <v/>
      </c>
      <c r="AG28" s="2380"/>
      <c r="AH28" s="2380"/>
      <c r="AI28" s="2380"/>
      <c r="AJ28" s="2380"/>
      <c r="AK28" s="2380"/>
      <c r="AL28" s="2380" t="str">
        <f>IFERROR(IF('ARDT Cutter Entry'!$C$94&lt;&gt;"",IF(IFERROR(VALUE(RIGHT('ARDT Cutter Entry'!I95,2)),1)=1, LEFT(SUBSTITUTE('ARDT Cutter Entry'!I95,"*",""),LEN(SUBSTITUTE('ARDT Cutter Entry'!I95,"*",""))-1),LEFT(SUBSTITUTE('ARDT Cutter Entry'!I95,"*",""),LEN(SUBSTITUTE('ARDT Cutter Entry'!I95,"*",""))-2)),IF(IFERROR(VALUE(RIGHT('ARDT Cutter Entry'!I27,2)),1)=1, LEFT(SUBSTITUTE('ARDT Cutter Entry'!I27,"*",""),LEN(SUBSTITUTE('ARDT Cutter Entry'!I27,"*",""))-1),LEFT(SUBSTITUTE('ARDT Cutter Entry'!I27,"*",""),LEN(SUBSTITUTE('ARDT Cutter Entry'!I27,"*",""))-2) )),"")</f>
        <v/>
      </c>
      <c r="AM28" s="2380"/>
      <c r="AN28" s="2380"/>
      <c r="AO28" s="2380"/>
      <c r="AP28" s="2380"/>
      <c r="AQ28" s="2380"/>
      <c r="AR28" s="2380" t="str">
        <f>IFERROR(IF('ARDT Cutter Entry'!$C$94&lt;&gt;"",IF(IFERROR(VALUE(RIGHT('ARDT Cutter Entry'!J95,2)),1)=1, LEFT(SUBSTITUTE('ARDT Cutter Entry'!J95,"*",""),LEN(SUBSTITUTE('ARDT Cutter Entry'!J95,"*",""))-1),LEFT(SUBSTITUTE('ARDT Cutter Entry'!J95,"*",""),LEN(SUBSTITUTE('ARDT Cutter Entry'!J95,"*",""))-2)),IF(IFERROR(VALUE(RIGHT('ARDT Cutter Entry'!J27,2)),1)=1, LEFT(SUBSTITUTE('ARDT Cutter Entry'!J27,"*",""),LEN(SUBSTITUTE('ARDT Cutter Entry'!J27,"*",""))-1),LEFT(SUBSTITUTE('ARDT Cutter Entry'!J27,"*",""),LEN(SUBSTITUTE('ARDT Cutter Entry'!J27,"*",""))-2) )),"")</f>
        <v/>
      </c>
      <c r="AS28" s="2380"/>
      <c r="AT28" s="2380"/>
      <c r="AU28" s="2380"/>
      <c r="AV28" s="2380"/>
      <c r="AW28" s="2380"/>
      <c r="AX28" s="2380" t="str">
        <f>IFERROR(IF('ARDT Cutter Entry'!$C$94&lt;&gt;"",IF(IFERROR(VALUE(RIGHT('ARDT Cutter Entry'!K95,2)),1)=1, LEFT(SUBSTITUTE('ARDT Cutter Entry'!K95,"*",""),LEN(SUBSTITUTE('ARDT Cutter Entry'!K95,"*",""))-1),LEFT(SUBSTITUTE('ARDT Cutter Entry'!K95,"*",""),LEN(SUBSTITUTE('ARDT Cutter Entry'!K95,"*",""))-2)),IF(IFERROR(VALUE(RIGHT('ARDT Cutter Entry'!K27,2)),1)=1, LEFT(SUBSTITUTE('ARDT Cutter Entry'!K27,"*",""),LEN(SUBSTITUTE('ARDT Cutter Entry'!K27,"*",""))-1),LEFT(SUBSTITUTE('ARDT Cutter Entry'!K27,"*",""),LEN(SUBSTITUTE('ARDT Cutter Entry'!K27,"*",""))-2) )),"")</f>
        <v/>
      </c>
      <c r="AY28" s="2380"/>
      <c r="AZ28" s="2380"/>
      <c r="BA28" s="2380"/>
      <c r="BB28" s="2380"/>
      <c r="BC28" s="2380"/>
      <c r="BD28" s="2380" t="str">
        <f>IFERROR(IF('ARDT Cutter Entry'!$C$94&lt;&gt;"",IF(IFERROR(VALUE(RIGHT('ARDT Cutter Entry'!L95,2)),1)=1, LEFT(SUBSTITUTE('ARDT Cutter Entry'!L95,"*",""),LEN(SUBSTITUTE('ARDT Cutter Entry'!L95,"*",""))-1),LEFT(SUBSTITUTE('ARDT Cutter Entry'!L95,"*",""),LEN(SUBSTITUTE('ARDT Cutter Entry'!L95,"*",""))-2)),IF(IFERROR(VALUE(RIGHT('ARDT Cutter Entry'!L27,2)),1)=1, LEFT(SUBSTITUTE('ARDT Cutter Entry'!L27,"*",""),LEN(SUBSTITUTE('ARDT Cutter Entry'!L27,"*",""))-1),LEFT(SUBSTITUTE('ARDT Cutter Entry'!L27,"*",""),LEN(SUBSTITUTE('ARDT Cutter Entry'!L27,"*",""))-2) )),"")</f>
        <v>S</v>
      </c>
      <c r="BE28" s="2380"/>
      <c r="BF28" s="2380"/>
      <c r="BG28" s="2380"/>
      <c r="BH28" s="2380"/>
      <c r="BI28" s="2380"/>
      <c r="BJ28" s="2380" t="str">
        <f>IFERROR(IF('ARDT Cutter Entry'!$C$94&lt;&gt;"",IF(IFERROR(VALUE(RIGHT('ARDT Cutter Entry'!M95,2)),1)=1, LEFT(SUBSTITUTE('ARDT Cutter Entry'!M95,"*",""),LEN(SUBSTITUTE('ARDT Cutter Entry'!M95,"*",""))-1),LEFT(SUBSTITUTE('ARDT Cutter Entry'!M95,"*",""),LEN(SUBSTITUTE('ARDT Cutter Entry'!M95,"*",""))-2)),IF(IFERROR(VALUE(RIGHT('ARDT Cutter Entry'!M27,2)),1)=1, LEFT(SUBSTITUTE('ARDT Cutter Entry'!M27,"*",""),LEN(SUBSTITUTE('ARDT Cutter Entry'!M27,"*",""))-1),LEFT(SUBSTITUTE('ARDT Cutter Entry'!M27,"*",""),LEN(SUBSTITUTE('ARDT Cutter Entry'!M27,"*",""))-2) )),"")</f>
        <v>R</v>
      </c>
      <c r="BK28" s="2380"/>
      <c r="BL28" s="2380"/>
      <c r="BM28" s="2380"/>
      <c r="BN28" s="2380"/>
      <c r="BO28" s="2380"/>
      <c r="BP28" s="2380" t="str">
        <f>IFERROR(IF('ARDT Cutter Entry'!$C$94&lt;&gt;"",IF(IFERROR(VALUE(RIGHT('ARDT Cutter Entry'!N95,2)),1)=1, LEFT(SUBSTITUTE('ARDT Cutter Entry'!N95,"*",""),LEN(SUBSTITUTE('ARDT Cutter Entry'!N95,"*",""))-1),LEFT(SUBSTITUTE('ARDT Cutter Entry'!N95,"*",""),LEN(SUBSTITUTE('ARDT Cutter Entry'!N95,"*",""))-2)),IF(IFERROR(VALUE(RIGHT('ARDT Cutter Entry'!N27,2)),1)=1, LEFT(SUBSTITUTE('ARDT Cutter Entry'!N27,"*",""),LEN(SUBSTITUTE('ARDT Cutter Entry'!N27,"*",""))-1),LEFT(SUBSTITUTE('ARDT Cutter Entry'!N27,"*",""),LEN(SUBSTITUTE('ARDT Cutter Entry'!N27,"*",""))-2) )),"")</f>
        <v>X</v>
      </c>
      <c r="BQ28" s="2380"/>
      <c r="BR28" s="2380"/>
      <c r="BS28" s="2380"/>
      <c r="BT28" s="2380"/>
      <c r="BU28" s="2380"/>
      <c r="BV28" s="2380" t="str">
        <f>IFERROR(IF('ARDT Cutter Entry'!$C$94&lt;&gt;"",IF(IFERROR(VALUE(RIGHT('ARDT Cutter Entry'!O95,2)),1)=1, LEFT(SUBSTITUTE('ARDT Cutter Entry'!O95,"*",""),LEN(SUBSTITUTE('ARDT Cutter Entry'!O95,"*",""))-1),LEFT(SUBSTITUTE('ARDT Cutter Entry'!O95,"*",""),LEN(SUBSTITUTE('ARDT Cutter Entry'!O95,"*",""))-2)),IF(IFERROR(VALUE(RIGHT('ARDT Cutter Entry'!O27,2)),1)=1, LEFT(SUBSTITUTE('ARDT Cutter Entry'!O27,"*",""),LEN(SUBSTITUTE('ARDT Cutter Entry'!O27,"*",""))-1),LEFT(SUBSTITUTE('ARDT Cutter Entry'!O27,"*",""),LEN(SUBSTITUTE('ARDT Cutter Entry'!O27,"*",""))-2) )),"")</f>
        <v>R</v>
      </c>
      <c r="BW28" s="2380"/>
      <c r="BX28" s="2380"/>
      <c r="BY28" s="2380"/>
      <c r="BZ28" s="2380"/>
      <c r="CA28" s="2380"/>
      <c r="CB28" s="2380" t="str">
        <f>IFERROR(IF('ARDT Cutter Entry'!$C$94&lt;&gt;"",IF(IFERROR(VALUE(RIGHT('ARDT Cutter Entry'!P95,2)),1)=1, LEFT(SUBSTITUTE('ARDT Cutter Entry'!P95,"*",""),LEN(SUBSTITUTE('ARDT Cutter Entry'!P95,"*",""))-1),LEFT(SUBSTITUTE('ARDT Cutter Entry'!P95,"*",""),LEN(SUBSTITUTE('ARDT Cutter Entry'!P95,"*",""))-2)),IF(IFERROR(VALUE(RIGHT('ARDT Cutter Entry'!P27,2)),1)=1, LEFT(SUBSTITUTE('ARDT Cutter Entry'!P27,"*",""),LEN(SUBSTITUTE('ARDT Cutter Entry'!P27,"*",""))-1),LEFT(SUBSTITUTE('ARDT Cutter Entry'!P27,"*",""),LEN(SUBSTITUTE('ARDT Cutter Entry'!P27,"*",""))-2) )),"")</f>
        <v/>
      </c>
      <c r="CC28" s="2380"/>
      <c r="CD28" s="2380"/>
      <c r="CE28" s="2380"/>
      <c r="CF28" s="2380"/>
      <c r="CG28" s="2380"/>
      <c r="CH28" s="2380" t="str">
        <f>IFERROR(IF('ARDT Cutter Entry'!$C$94&lt;&gt;"",IF(IFERROR(VALUE(RIGHT('ARDT Cutter Entry'!Q95,2)),1)=1, LEFT(SUBSTITUTE('ARDT Cutter Entry'!Q95,"*",""),LEN(SUBSTITUTE('ARDT Cutter Entry'!Q95,"*",""))-1),LEFT(SUBSTITUTE('ARDT Cutter Entry'!Q95,"*",""),LEN(SUBSTITUTE('ARDT Cutter Entry'!Q95,"*",""))-2)),IF(IFERROR(VALUE(RIGHT('ARDT Cutter Entry'!Q27,2)),1)=1, LEFT(SUBSTITUTE('ARDT Cutter Entry'!Q27,"*",""),LEN(SUBSTITUTE('ARDT Cutter Entry'!Q27,"*",""))-1),LEFT(SUBSTITUTE('ARDT Cutter Entry'!Q27,"*",""),LEN(SUBSTITUTE('ARDT Cutter Entry'!Q27,"*",""))-2) )),"")</f>
        <v/>
      </c>
      <c r="CI28" s="2380"/>
      <c r="CJ28" s="2380"/>
      <c r="CK28" s="2380"/>
      <c r="CL28" s="2380"/>
      <c r="CM28" s="2380"/>
      <c r="CN28" s="2380" t="str">
        <f>IFERROR(IF('ARDT Cutter Entry'!$C$94&lt;&gt;"",IF(IFERROR(VALUE(RIGHT('ARDT Cutter Entry'!R95,2)),1)=1, LEFT(SUBSTITUTE('ARDT Cutter Entry'!R95,"*",""),LEN(SUBSTITUTE('ARDT Cutter Entry'!R95,"*",""))-1),LEFT(SUBSTITUTE('ARDT Cutter Entry'!R95,"*",""),LEN(SUBSTITUTE('ARDT Cutter Entry'!R95,"*",""))-2)),IF(IFERROR(VALUE(RIGHT('ARDT Cutter Entry'!R27,2)),1)=1, LEFT(SUBSTITUTE('ARDT Cutter Entry'!R27,"*",""),LEN(SUBSTITUTE('ARDT Cutter Entry'!R27,"*",""))-1),LEFT(SUBSTITUTE('ARDT Cutter Entry'!R27,"*",""),LEN(SUBSTITUTE('ARDT Cutter Entry'!R27,"*",""))-2) )),"")</f>
        <v/>
      </c>
      <c r="CO28" s="2380"/>
      <c r="CP28" s="2380"/>
      <c r="CQ28" s="2380"/>
      <c r="CR28" s="2380"/>
      <c r="CS28" s="2380"/>
      <c r="CT28" s="2380" t="str">
        <f>IFERROR(IF('ARDT Cutter Entry'!$C$94&lt;&gt;"",IF(IFERROR(VALUE(RIGHT('ARDT Cutter Entry'!S95,2)),1)=1, LEFT(SUBSTITUTE('ARDT Cutter Entry'!S95,"*",""),LEN(SUBSTITUTE('ARDT Cutter Entry'!S95,"*",""))-1),LEFT(SUBSTITUTE('ARDT Cutter Entry'!S95,"*",""),LEN(SUBSTITUTE('ARDT Cutter Entry'!S95,"*",""))-2)),IF(IFERROR(VALUE(RIGHT('ARDT Cutter Entry'!S27,2)),1)=1, LEFT(SUBSTITUTE('ARDT Cutter Entry'!S27,"*",""),LEN(SUBSTITUTE('ARDT Cutter Entry'!S27,"*",""))-1),LEFT(SUBSTITUTE('ARDT Cutter Entry'!S27,"*",""),LEN(SUBSTITUTE('ARDT Cutter Entry'!S27,"*",""))-2) )),"")</f>
        <v/>
      </c>
      <c r="CU28" s="2380"/>
      <c r="CV28" s="2380"/>
      <c r="CW28" s="2380"/>
      <c r="CX28" s="2380"/>
      <c r="CY28" s="2380"/>
      <c r="CZ28" s="2380" t="str">
        <f>IFERROR(IF('ARDT Cutter Entry'!$C$94&lt;&gt;"",IF(IFERROR(VALUE(RIGHT('ARDT Cutter Entry'!T95,2)),1)=1, LEFT(SUBSTITUTE('ARDT Cutter Entry'!T95,"*",""),LEN(SUBSTITUTE('ARDT Cutter Entry'!T95,"*",""))-1),LEFT(SUBSTITUTE('ARDT Cutter Entry'!T95,"*",""),LEN(SUBSTITUTE('ARDT Cutter Entry'!T95,"*",""))-2)),IF(IFERROR(VALUE(RIGHT('ARDT Cutter Entry'!T27,2)),1)=1, LEFT(SUBSTITUTE('ARDT Cutter Entry'!T27,"*",""),LEN(SUBSTITUTE('ARDT Cutter Entry'!T27,"*",""))-1),LEFT(SUBSTITUTE('ARDT Cutter Entry'!T27,"*",""),LEN(SUBSTITUTE('ARDT Cutter Entry'!T27,"*",""))-2) )),"")</f>
        <v/>
      </c>
      <c r="DA28" s="2380"/>
      <c r="DB28" s="2380"/>
      <c r="DC28" s="2380"/>
      <c r="DD28" s="2380"/>
      <c r="DE28" s="2380"/>
      <c r="DF28" s="2380" t="str">
        <f>IFERROR(IF('ARDT Cutter Entry'!$C$94&lt;&gt;"",IF(IFERROR(VALUE(RIGHT('ARDT Cutter Entry'!U95,2)),1)=1, LEFT(SUBSTITUTE('ARDT Cutter Entry'!U95,"*",""),LEN(SUBSTITUTE('ARDT Cutter Entry'!U95,"*",""))-1),LEFT(SUBSTITUTE('ARDT Cutter Entry'!U95,"*",""),LEN(SUBSTITUTE('ARDT Cutter Entry'!U95,"*",""))-2)),IF(IFERROR(VALUE(RIGHT('ARDT Cutter Entry'!U27,2)),1)=1, LEFT(SUBSTITUTE('ARDT Cutter Entry'!U27,"*",""),LEN(SUBSTITUTE('ARDT Cutter Entry'!U27,"*",""))-1),LEFT(SUBSTITUTE('ARDT Cutter Entry'!U27,"*",""),LEN(SUBSTITUTE('ARDT Cutter Entry'!U27,"*",""))-2) )),"")</f>
        <v/>
      </c>
      <c r="DG28" s="2380"/>
      <c r="DH28" s="2380"/>
      <c r="DI28" s="2380"/>
      <c r="DJ28" s="2380"/>
      <c r="DK28" s="2380"/>
      <c r="DL28" s="2380" t="str">
        <f>IFERROR(IF('ARDT Cutter Entry'!$C$94&lt;&gt;"",IF(IFERROR(VALUE(RIGHT('ARDT Cutter Entry'!V95,2)),1)=1, LEFT(SUBSTITUTE('ARDT Cutter Entry'!V95,"*",""),LEN(SUBSTITUTE('ARDT Cutter Entry'!V95,"*",""))-1),LEFT(SUBSTITUTE('ARDT Cutter Entry'!V95,"*",""),LEN(SUBSTITUTE('ARDT Cutter Entry'!V95,"*",""))-2)),IF(IFERROR(VALUE(RIGHT('ARDT Cutter Entry'!V27,2)),1)=1, LEFT(SUBSTITUTE('ARDT Cutter Entry'!V27,"*",""),LEN(SUBSTITUTE('ARDT Cutter Entry'!V27,"*",""))-1),LEFT(SUBSTITUTE('ARDT Cutter Entry'!V27,"*",""),LEN(SUBSTITUTE('ARDT Cutter Entry'!V27,"*",""))-2) )),"")</f>
        <v/>
      </c>
      <c r="DM28" s="2380"/>
      <c r="DN28" s="2380"/>
      <c r="DO28" s="2380"/>
      <c r="DP28" s="2380"/>
      <c r="DQ28" s="2380"/>
      <c r="DR28" s="2380" t="str">
        <f>IFERROR(IF('ARDT Cutter Entry'!$C$94&lt;&gt;"",IF(IFERROR(VALUE(RIGHT('ARDT Cutter Entry'!W95,2)),1)=1, LEFT(SUBSTITUTE('ARDT Cutter Entry'!W95,"*",""),LEN(SUBSTITUTE('ARDT Cutter Entry'!W95,"*",""))-1),LEFT(SUBSTITUTE('ARDT Cutter Entry'!W95,"*",""),LEN(SUBSTITUTE('ARDT Cutter Entry'!W95,"*",""))-2)),IF(IFERROR(VALUE(RIGHT('ARDT Cutter Entry'!W27,2)),1)=1, LEFT(SUBSTITUTE('ARDT Cutter Entry'!W27,"*",""),LEN(SUBSTITUTE('ARDT Cutter Entry'!W27,"*",""))-1),LEFT(SUBSTITUTE('ARDT Cutter Entry'!W27,"*",""),LEN(SUBSTITUTE('ARDT Cutter Entry'!W27,"*",""))-2) )),"")</f>
        <v/>
      </c>
      <c r="DS28" s="2380"/>
      <c r="DT28" s="2380"/>
      <c r="DU28" s="2380"/>
      <c r="DV28" s="2380"/>
      <c r="DW28" s="2380"/>
      <c r="DX28" s="2380" t="str">
        <f>IFERROR(IF('ARDT Cutter Entry'!$C$94&lt;&gt;"",IF(IFERROR(VALUE(RIGHT('ARDT Cutter Entry'!X95,2)),1)=1, LEFT(SUBSTITUTE('ARDT Cutter Entry'!X95,"*",""),LEN(SUBSTITUTE('ARDT Cutter Entry'!X95,"*",""))-1),LEFT(SUBSTITUTE('ARDT Cutter Entry'!X95,"*",""),LEN(SUBSTITUTE('ARDT Cutter Entry'!X95,"*",""))-2)),IF(IFERROR(VALUE(RIGHT('ARDT Cutter Entry'!X27,2)),1)=1, LEFT(SUBSTITUTE('ARDT Cutter Entry'!X27,"*",""),LEN(SUBSTITUTE('ARDT Cutter Entry'!X27,"*",""))-1),LEFT(SUBSTITUTE('ARDT Cutter Entry'!X27,"*",""),LEN(SUBSTITUTE('ARDT Cutter Entry'!X27,"*",""))-2) )),"")</f>
        <v/>
      </c>
      <c r="DY28" s="2380"/>
      <c r="DZ28" s="2380"/>
      <c r="EA28" s="2380"/>
      <c r="EB28" s="2380"/>
      <c r="EC28" s="2380"/>
      <c r="ED28" s="2380" t="str">
        <f>IFERROR(IF('ARDT Cutter Entry'!$C$94&lt;&gt;"",IF(IFERROR(VALUE(RIGHT('ARDT Cutter Entry'!Y95,2)),1)=1, LEFT(SUBSTITUTE('ARDT Cutter Entry'!Y95,"*",""),LEN(SUBSTITUTE('ARDT Cutter Entry'!Y95,"*",""))-1),LEFT(SUBSTITUTE('ARDT Cutter Entry'!Y95,"*",""),LEN(SUBSTITUTE('ARDT Cutter Entry'!Y95,"*",""))-2)),IF(IFERROR(VALUE(RIGHT('ARDT Cutter Entry'!Y27,2)),1)=1, LEFT(SUBSTITUTE('ARDT Cutter Entry'!Y27,"*",""),LEN(SUBSTITUTE('ARDT Cutter Entry'!Y27,"*",""))-1),LEFT(SUBSTITUTE('ARDT Cutter Entry'!Y27,"*",""),LEN(SUBSTITUTE('ARDT Cutter Entry'!Y27,"*",""))-2) )),"")</f>
        <v/>
      </c>
      <c r="EE28" s="2380"/>
      <c r="EF28" s="2380"/>
      <c r="EG28" s="2380"/>
      <c r="EH28" s="2380"/>
      <c r="EI28" s="2380"/>
      <c r="EJ28" s="2380" t="str">
        <f>IFERROR(IF('ARDT Cutter Entry'!$C$94&lt;&gt;"",IF(IFERROR(VALUE(RIGHT('ARDT Cutter Entry'!Z95,2)),1)=1, LEFT(SUBSTITUTE('ARDT Cutter Entry'!Z95,"*",""),LEN(SUBSTITUTE('ARDT Cutter Entry'!Z95,"*",""))-1),LEFT(SUBSTITUTE('ARDT Cutter Entry'!Z95,"*",""),LEN(SUBSTITUTE('ARDT Cutter Entry'!Z95,"*",""))-2)),IF(IFERROR(VALUE(RIGHT('ARDT Cutter Entry'!Z27,2)),1)=1, LEFT(SUBSTITUTE('ARDT Cutter Entry'!Z27,"*",""),LEN(SUBSTITUTE('ARDT Cutter Entry'!Z27,"*",""))-1),LEFT(SUBSTITUTE('ARDT Cutter Entry'!Z27,"*",""),LEN(SUBSTITUTE('ARDT Cutter Entry'!Z27,"*",""))-2) )),"")</f>
        <v/>
      </c>
      <c r="EK28" s="2380"/>
      <c r="EL28" s="2380"/>
      <c r="EM28" s="2380"/>
      <c r="EN28" s="2380"/>
      <c r="EO28" s="2380"/>
      <c r="EP28" s="2380" t="str">
        <f>IFERROR(IF('ARDT Cutter Entry'!$C$94&lt;&gt;"",IF(IFERROR(VALUE(RIGHT('ARDT Cutter Entry'!AA95,2)),1)=1, LEFT(SUBSTITUTE('ARDT Cutter Entry'!AA95,"*",""),LEN(SUBSTITUTE('ARDT Cutter Entry'!AA95,"*",""))-1),LEFT(SUBSTITUTE('ARDT Cutter Entry'!AA95,"*",""),LEN(SUBSTITUTE('ARDT Cutter Entry'!AA95,"*",""))-2)),IF(IFERROR(VALUE(RIGHT('ARDT Cutter Entry'!AA27,2)),1)=1, LEFT(SUBSTITUTE('ARDT Cutter Entry'!AA27,"*",""),LEN(SUBSTITUTE('ARDT Cutter Entry'!AA27,"*",""))-1),LEFT(SUBSTITUTE('ARDT Cutter Entry'!AA27,"*",""),LEN(SUBSTITUTE('ARDT Cutter Entry'!AA27,"*",""))-2) )),"")</f>
        <v/>
      </c>
      <c r="EQ28" s="2380"/>
      <c r="ER28" s="2380"/>
      <c r="ES28" s="2380"/>
      <c r="ET28" s="2380"/>
      <c r="EU28" s="2380"/>
      <c r="EV28" s="2380" t="str">
        <f>IFERROR(IF('ARDT Cutter Entry'!$C$94&lt;&gt;"",IF(IFERROR(VALUE(RIGHT('ARDT Cutter Entry'!AB95,2)),1)=1, LEFT(SUBSTITUTE('ARDT Cutter Entry'!AB95,"*",""),LEN(SUBSTITUTE('ARDT Cutter Entry'!AB95,"*",""))-1),LEFT(SUBSTITUTE('ARDT Cutter Entry'!AB95,"*",""),LEN(SUBSTITUTE('ARDT Cutter Entry'!AB95,"*",""))-2)),IF(IFERROR(VALUE(RIGHT('ARDT Cutter Entry'!AB27,2)),1)=1, LEFT(SUBSTITUTE('ARDT Cutter Entry'!AB27,"*",""),LEN(SUBSTITUTE('ARDT Cutter Entry'!AB27,"*",""))-1),LEFT(SUBSTITUTE('ARDT Cutter Entry'!AB27,"*",""),LEN(SUBSTITUTE('ARDT Cutter Entry'!AB27,"*",""))-2) )),"")</f>
        <v/>
      </c>
      <c r="EW28" s="2380"/>
      <c r="EX28" s="2380"/>
      <c r="EY28" s="2380"/>
      <c r="EZ28" s="2380"/>
      <c r="FA28" s="2380"/>
      <c r="FB28" s="2380" t="str">
        <f>IFERROR(IF('ARDT Cutter Entry'!$C$94&lt;&gt;"",IF(IFERROR(VALUE(RIGHT('ARDT Cutter Entry'!AC95,2)),1)=1, LEFT(SUBSTITUTE('ARDT Cutter Entry'!AC95,"*",""),LEN(SUBSTITUTE('ARDT Cutter Entry'!AC95,"*",""))-1),LEFT(SUBSTITUTE('ARDT Cutter Entry'!AC95,"*",""),LEN(SUBSTITUTE('ARDT Cutter Entry'!AC95,"*",""))-2)),IF(IFERROR(VALUE(RIGHT('ARDT Cutter Entry'!AC27,2)),1)=1, LEFT(SUBSTITUTE('ARDT Cutter Entry'!AC27,"*",""),LEN(SUBSTITUTE('ARDT Cutter Entry'!AC27,"*",""))-1),LEFT(SUBSTITUTE('ARDT Cutter Entry'!AC27,"*",""),LEN(SUBSTITUTE('ARDT Cutter Entry'!AC27,"*",""))-2) )),"")</f>
        <v/>
      </c>
      <c r="FC28" s="2380"/>
      <c r="FD28" s="2380"/>
      <c r="FE28" s="2380"/>
      <c r="FF28" s="2380"/>
      <c r="FG28" s="2380"/>
      <c r="FH28" s="2380" t="str">
        <f>IFERROR(IF('ARDT Cutter Entry'!$C$94&lt;&gt;"",IF(IFERROR(VALUE(RIGHT('ARDT Cutter Entry'!AD95,2)),1)=1, LEFT(SUBSTITUTE('ARDT Cutter Entry'!AD95,"*",""),LEN(SUBSTITUTE('ARDT Cutter Entry'!AD95,"*",""))-1),LEFT(SUBSTITUTE('ARDT Cutter Entry'!AD95,"*",""),LEN(SUBSTITUTE('ARDT Cutter Entry'!AD95,"*",""))-2)),IF(IFERROR(VALUE(RIGHT('ARDT Cutter Entry'!AD27,2)),1)=1, LEFT(SUBSTITUTE('ARDT Cutter Entry'!AD27,"*",""),LEN(SUBSTITUTE('ARDT Cutter Entry'!AD27,"*",""))-1),LEFT(SUBSTITUTE('ARDT Cutter Entry'!AD27,"*",""),LEN(SUBSTITUTE('ARDT Cutter Entry'!AD27,"*",""))-2) )),"")</f>
        <v/>
      </c>
      <c r="FI28" s="2380"/>
      <c r="FJ28" s="2380"/>
      <c r="FK28" s="2380"/>
      <c r="FL28" s="2380"/>
      <c r="FM28" s="2380"/>
      <c r="FN28" s="2380" t="str">
        <f>IFERROR(IF('ARDT Cutter Entry'!$C$94&lt;&gt;"",IF(IFERROR(VALUE(RIGHT('ARDT Cutter Entry'!AE95,2)),1)=1, LEFT(SUBSTITUTE('ARDT Cutter Entry'!AE95,"*",""),LEN(SUBSTITUTE('ARDT Cutter Entry'!AE95,"*",""))-1),LEFT(SUBSTITUTE('ARDT Cutter Entry'!AE95,"*",""),LEN(SUBSTITUTE('ARDT Cutter Entry'!AE95,"*",""))-2)),IF(IFERROR(VALUE(RIGHT('ARDT Cutter Entry'!AE27,2)),1)=1, LEFT(SUBSTITUTE('ARDT Cutter Entry'!AE27,"*",""),LEN(SUBSTITUTE('ARDT Cutter Entry'!AE27,"*",""))-1),LEFT(SUBSTITUTE('ARDT Cutter Entry'!AE27,"*",""),LEN(SUBSTITUTE('ARDT Cutter Entry'!AE27,"*",""))-2) )),"")</f>
        <v/>
      </c>
      <c r="FO28" s="2380"/>
      <c r="FP28" s="2380"/>
      <c r="FQ28" s="2380"/>
      <c r="FR28" s="2380"/>
      <c r="FS28" s="2380"/>
      <c r="FT28" s="2380" t="str">
        <f>IFERROR(IF('ARDT Cutter Entry'!$C$94&lt;&gt;"",IF(IFERROR(VALUE(RIGHT('ARDT Cutter Entry'!AG95,2)),1)=1, LEFT(SUBSTITUTE('ARDT Cutter Entry'!AG95,"*",""),LEN(SUBSTITUTE('ARDT Cutter Entry'!AG95,"*",""))-1),LEFT(SUBSTITUTE('ARDT Cutter Entry'!AG95,"*",""),LEN(SUBSTITUTE('ARDT Cutter Entry'!AG95,"*",""))-2)),IF(IFERROR(VALUE(RIGHT('ARDT Cutter Entry'!AG27,2)),1)=1, LEFT(SUBSTITUTE('ARDT Cutter Entry'!AG27,"*",""),LEN(SUBSTITUTE('ARDT Cutter Entry'!AG27,"*",""))-1),LEFT(SUBSTITUTE('ARDT Cutter Entry'!AG27,"*",""),LEN(SUBSTITUTE('ARDT Cutter Entry'!AG27,"*",""))-2) )),"")</f>
        <v/>
      </c>
      <c r="FU28" s="2380"/>
      <c r="FV28" s="2380"/>
      <c r="FW28" s="2380"/>
      <c r="FX28" s="2380"/>
      <c r="FY28" s="2380"/>
      <c r="FZ28" s="2380" t="str">
        <f>IFERROR(IF('ARDT Cutter Entry'!$C$94&lt;&gt;"",IF(IFERROR(VALUE(RIGHT('ARDT Cutter Entry'!AH95,2)),1)=1, LEFT(SUBSTITUTE('ARDT Cutter Entry'!AH95,"*",""),LEN(SUBSTITUTE('ARDT Cutter Entry'!AH95,"*",""))-1),LEFT(SUBSTITUTE('ARDT Cutter Entry'!AH95,"*",""),LEN(SUBSTITUTE('ARDT Cutter Entry'!AH95,"*",""))-2)),IF(IFERROR(VALUE(RIGHT('ARDT Cutter Entry'!AH27,2)),1)=1, LEFT(SUBSTITUTE('ARDT Cutter Entry'!AH27,"*",""),LEN(SUBSTITUTE('ARDT Cutter Entry'!AH27,"*",""))-1),LEFT(SUBSTITUTE('ARDT Cutter Entry'!AH27,"*",""),LEN(SUBSTITUTE('ARDT Cutter Entry'!AH27,"*",""))-2) )),"")</f>
        <v/>
      </c>
      <c r="GA28" s="2380"/>
      <c r="GB28" s="2380"/>
      <c r="GC28" s="2380"/>
      <c r="GD28" s="2380"/>
      <c r="GE28" s="2380"/>
      <c r="GF28" s="1132"/>
      <c r="GG28" s="1132"/>
    </row>
    <row r="29" spans="1:206" ht="44.25" customHeight="1" x14ac:dyDescent="0.55000000000000004">
      <c r="A29" s="338">
        <v>3</v>
      </c>
      <c r="B29" s="2380" t="str">
        <f>IFERROR(IF('ARDT Cutter Entry'!$C$94&lt;&gt;"",IF(IFERROR(VALUE(RIGHT('ARDT Cutter Entry'!C96,2)),1)=1, LEFT(SUBSTITUTE('ARDT Cutter Entry'!C96,"*",""),LEN(SUBSTITUTE('ARDT Cutter Entry'!C96,"*",""))-1),LEFT(SUBSTITUTE('ARDT Cutter Entry'!C96,"*",""),LEN(SUBSTITUTE('ARDT Cutter Entry'!C96,"*",""))-2)),IF(IFERROR(VALUE(RIGHT('ARDT Cutter Entry'!C28,2)),1)=1, LEFT(SUBSTITUTE('ARDT Cutter Entry'!C28,"*",""),LEN(SUBSTITUTE('ARDT Cutter Entry'!C28,"*",""))-1),LEFT(SUBSTITUTE('ARDT Cutter Entry'!C28,"*",""),LEN(SUBSTITUTE('ARDT Cutter Entry'!C28,"*",""))-2) )),"")</f>
        <v>R</v>
      </c>
      <c r="C29" s="2380"/>
      <c r="D29" s="2380"/>
      <c r="E29" s="2380"/>
      <c r="F29" s="2380"/>
      <c r="G29" s="2380"/>
      <c r="H29" s="2380" t="str">
        <f>IFERROR(IF('ARDT Cutter Entry'!$C$94&lt;&gt;"",IF(IFERROR(VALUE(RIGHT('ARDT Cutter Entry'!D96,2)),1)=1, LEFT(SUBSTITUTE('ARDT Cutter Entry'!D96,"*",""),LEN(SUBSTITUTE('ARDT Cutter Entry'!D96,"*",""))-1),LEFT(SUBSTITUTE('ARDT Cutter Entry'!D96,"*",""),LEN(SUBSTITUTE('ARDT Cutter Entry'!D96,"*",""))-2)),IF(IFERROR(VALUE(RIGHT('ARDT Cutter Entry'!D28,2)),1)=1, LEFT(SUBSTITUTE('ARDT Cutter Entry'!D28,"*",""),LEN(SUBSTITUTE('ARDT Cutter Entry'!D28,"*",""))-1),LEFT(SUBSTITUTE('ARDT Cutter Entry'!D28,"*",""),LEN(SUBSTITUTE('ARDT Cutter Entry'!D28,"*",""))-2) )),"")</f>
        <v>R</v>
      </c>
      <c r="I29" s="2380"/>
      <c r="J29" s="2380"/>
      <c r="K29" s="2380"/>
      <c r="L29" s="2380"/>
      <c r="M29" s="2380"/>
      <c r="N29" s="2380" t="str">
        <f>IFERROR(IF('ARDT Cutter Entry'!$C$94&lt;&gt;"",IF(IFERROR(VALUE(RIGHT('ARDT Cutter Entry'!E96,2)),1)=1, LEFT(SUBSTITUTE('ARDT Cutter Entry'!E96,"*",""),LEN(SUBSTITUTE('ARDT Cutter Entry'!E96,"*",""))-1),LEFT(SUBSTITUTE('ARDT Cutter Entry'!E96,"*",""),LEN(SUBSTITUTE('ARDT Cutter Entry'!E96,"*",""))-2)),IF(IFERROR(VALUE(RIGHT('ARDT Cutter Entry'!E28,2)),1)=1, LEFT(SUBSTITUTE('ARDT Cutter Entry'!E28,"*",""),LEN(SUBSTITUTE('ARDT Cutter Entry'!E28,"*",""))-1),LEFT(SUBSTITUTE('ARDT Cutter Entry'!E28,"*",""),LEN(SUBSTITUTE('ARDT Cutter Entry'!E28,"*",""))-2) )),"")</f>
        <v>R</v>
      </c>
      <c r="O29" s="2380"/>
      <c r="P29" s="2380"/>
      <c r="Q29" s="2380"/>
      <c r="R29" s="2380"/>
      <c r="S29" s="2380"/>
      <c r="T29" s="2380" t="str">
        <f>IFERROR(IF('ARDT Cutter Entry'!$C$94&lt;&gt;"",IF(IFERROR(VALUE(RIGHT('ARDT Cutter Entry'!F96,2)),1)=1, LEFT(SUBSTITUTE('ARDT Cutter Entry'!F96,"*",""),LEN(SUBSTITUTE('ARDT Cutter Entry'!F96,"*",""))-1),LEFT(SUBSTITUTE('ARDT Cutter Entry'!F96,"*",""),LEN(SUBSTITUTE('ARDT Cutter Entry'!F96,"*",""))-2)),IF(IFERROR(VALUE(RIGHT('ARDT Cutter Entry'!F28,2)),1)=1, LEFT(SUBSTITUTE('ARDT Cutter Entry'!F28,"*",""),LEN(SUBSTITUTE('ARDT Cutter Entry'!F28,"*",""))-1),LEFT(SUBSTITUTE('ARDT Cutter Entry'!F28,"*",""),LEN(SUBSTITUTE('ARDT Cutter Entry'!F28,"*",""))-2) )),"")</f>
        <v>X</v>
      </c>
      <c r="U29" s="2380"/>
      <c r="V29" s="2380"/>
      <c r="W29" s="2380"/>
      <c r="X29" s="2380"/>
      <c r="Y29" s="2380"/>
      <c r="Z29" s="2380" t="str">
        <f>IFERROR(IF('ARDT Cutter Entry'!$C$94&lt;&gt;"",IF(IFERROR(VALUE(RIGHT('ARDT Cutter Entry'!G96,2)),1)=1, LEFT(SUBSTITUTE('ARDT Cutter Entry'!G96,"*",""),LEN(SUBSTITUTE('ARDT Cutter Entry'!G96,"*",""))-1),LEFT(SUBSTITUTE('ARDT Cutter Entry'!G96,"*",""),LEN(SUBSTITUTE('ARDT Cutter Entry'!G96,"*",""))-2)),IF(IFERROR(VALUE(RIGHT('ARDT Cutter Entry'!G28,2)),1)=1, LEFT(SUBSTITUTE('ARDT Cutter Entry'!G28,"*",""),LEN(SUBSTITUTE('ARDT Cutter Entry'!G28,"*",""))-1),LEFT(SUBSTITUTE('ARDT Cutter Entry'!G28,"*",""),LEN(SUBSTITUTE('ARDT Cutter Entry'!G28,"*",""))-2) )),"")</f>
        <v>X</v>
      </c>
      <c r="AA29" s="2380"/>
      <c r="AB29" s="2380"/>
      <c r="AC29" s="2380"/>
      <c r="AD29" s="2380"/>
      <c r="AE29" s="2380"/>
      <c r="AF29" s="2380" t="str">
        <f>IFERROR(IF('ARDT Cutter Entry'!$C$94&lt;&gt;"",IF(IFERROR(VALUE(RIGHT('ARDT Cutter Entry'!H96,2)),1)=1, LEFT(SUBSTITUTE('ARDT Cutter Entry'!H96,"*",""),LEN(SUBSTITUTE('ARDT Cutter Entry'!H96,"*",""))-1),LEFT(SUBSTITUTE('ARDT Cutter Entry'!H96,"*",""),LEN(SUBSTITUTE('ARDT Cutter Entry'!H96,"*",""))-2)),IF(IFERROR(VALUE(RIGHT('ARDT Cutter Entry'!H28,2)),1)=1, LEFT(SUBSTITUTE('ARDT Cutter Entry'!H28,"*",""),LEN(SUBSTITUTE('ARDT Cutter Entry'!H28,"*",""))-1),LEFT(SUBSTITUTE('ARDT Cutter Entry'!H28,"*",""),LEN(SUBSTITUTE('ARDT Cutter Entry'!H28,"*",""))-2) )),"")</f>
        <v>X</v>
      </c>
      <c r="AG29" s="2380"/>
      <c r="AH29" s="2380"/>
      <c r="AI29" s="2380"/>
      <c r="AJ29" s="2380"/>
      <c r="AK29" s="2380"/>
      <c r="AL29" s="2380" t="str">
        <f>IFERROR(IF('ARDT Cutter Entry'!$C$94&lt;&gt;"",IF(IFERROR(VALUE(RIGHT('ARDT Cutter Entry'!I96,2)),1)=1, LEFT(SUBSTITUTE('ARDT Cutter Entry'!I96,"*",""),LEN(SUBSTITUTE('ARDT Cutter Entry'!I96,"*",""))-1),LEFT(SUBSTITUTE('ARDT Cutter Entry'!I96,"*",""),LEN(SUBSTITUTE('ARDT Cutter Entry'!I96,"*",""))-2)),IF(IFERROR(VALUE(RIGHT('ARDT Cutter Entry'!I28,2)),1)=1, LEFT(SUBSTITUTE('ARDT Cutter Entry'!I28,"*",""),LEN(SUBSTITUTE('ARDT Cutter Entry'!I28,"*",""))-1),LEFT(SUBSTITUTE('ARDT Cutter Entry'!I28,"*",""),LEN(SUBSTITUTE('ARDT Cutter Entry'!I28,"*",""))-2) )),"")</f>
        <v>X</v>
      </c>
      <c r="AM29" s="2380"/>
      <c r="AN29" s="2380"/>
      <c r="AO29" s="2380"/>
      <c r="AP29" s="2380"/>
      <c r="AQ29" s="2380"/>
      <c r="AR29" s="2380" t="str">
        <f>IFERROR(IF('ARDT Cutter Entry'!$C$94&lt;&gt;"",IF(IFERROR(VALUE(RIGHT('ARDT Cutter Entry'!J96,2)),1)=1, LEFT(SUBSTITUTE('ARDT Cutter Entry'!J96,"*",""),LEN(SUBSTITUTE('ARDT Cutter Entry'!J96,"*",""))-1),LEFT(SUBSTITUTE('ARDT Cutter Entry'!J96,"*",""),LEN(SUBSTITUTE('ARDT Cutter Entry'!J96,"*",""))-2)),IF(IFERROR(VALUE(RIGHT('ARDT Cutter Entry'!J28,2)),1)=1, LEFT(SUBSTITUTE('ARDT Cutter Entry'!J28,"*",""),LEN(SUBSTITUTE('ARDT Cutter Entry'!J28,"*",""))-1),LEFT(SUBSTITUTE('ARDT Cutter Entry'!J28,"*",""),LEN(SUBSTITUTE('ARDT Cutter Entry'!J28,"*",""))-2) )),"")</f>
        <v/>
      </c>
      <c r="AS29" s="2380"/>
      <c r="AT29" s="2380"/>
      <c r="AU29" s="2380"/>
      <c r="AV29" s="2380"/>
      <c r="AW29" s="2380"/>
      <c r="AX29" s="2380" t="str">
        <f>IFERROR(IF('ARDT Cutter Entry'!$C$94&lt;&gt;"",IF(IFERROR(VALUE(RIGHT('ARDT Cutter Entry'!K96,2)),1)=1, LEFT(SUBSTITUTE('ARDT Cutter Entry'!K96,"*",""),LEN(SUBSTITUTE('ARDT Cutter Entry'!K96,"*",""))-1),LEFT(SUBSTITUTE('ARDT Cutter Entry'!K96,"*",""),LEN(SUBSTITUTE('ARDT Cutter Entry'!K96,"*",""))-2)),IF(IFERROR(VALUE(RIGHT('ARDT Cutter Entry'!K28,2)),1)=1, LEFT(SUBSTITUTE('ARDT Cutter Entry'!K28,"*",""),LEN(SUBSTITUTE('ARDT Cutter Entry'!K28,"*",""))-1),LEFT(SUBSTITUTE('ARDT Cutter Entry'!K28,"*",""),LEN(SUBSTITUTE('ARDT Cutter Entry'!K28,"*",""))-2) )),"")</f>
        <v/>
      </c>
      <c r="AY29" s="2380"/>
      <c r="AZ29" s="2380"/>
      <c r="BA29" s="2380"/>
      <c r="BB29" s="2380"/>
      <c r="BC29" s="2380"/>
      <c r="BD29" s="2380" t="str">
        <f>IFERROR(IF('ARDT Cutter Entry'!$C$94&lt;&gt;"",IF(IFERROR(VALUE(RIGHT('ARDT Cutter Entry'!L96,2)),1)=1, LEFT(SUBSTITUTE('ARDT Cutter Entry'!L96,"*",""),LEN(SUBSTITUTE('ARDT Cutter Entry'!L96,"*",""))-1),LEFT(SUBSTITUTE('ARDT Cutter Entry'!L96,"*",""),LEN(SUBSTITUTE('ARDT Cutter Entry'!L96,"*",""))-2)),IF(IFERROR(VALUE(RIGHT('ARDT Cutter Entry'!L28,2)),1)=1, LEFT(SUBSTITUTE('ARDT Cutter Entry'!L28,"*",""),LEN(SUBSTITUTE('ARDT Cutter Entry'!L28,"*",""))-1),LEFT(SUBSTITUTE('ARDT Cutter Entry'!L28,"*",""),LEN(SUBSTITUTE('ARDT Cutter Entry'!L28,"*",""))-2) )),"")</f>
        <v>R</v>
      </c>
      <c r="BE29" s="2380"/>
      <c r="BF29" s="2380"/>
      <c r="BG29" s="2380"/>
      <c r="BH29" s="2380"/>
      <c r="BI29" s="2380"/>
      <c r="BJ29" s="2380" t="str">
        <f>IFERROR(IF('ARDT Cutter Entry'!$C$94&lt;&gt;"",IF(IFERROR(VALUE(RIGHT('ARDT Cutter Entry'!M96,2)),1)=1, LEFT(SUBSTITUTE('ARDT Cutter Entry'!M96,"*",""),LEN(SUBSTITUTE('ARDT Cutter Entry'!M96,"*",""))-1),LEFT(SUBSTITUTE('ARDT Cutter Entry'!M96,"*",""),LEN(SUBSTITUTE('ARDT Cutter Entry'!M96,"*",""))-2)),IF(IFERROR(VALUE(RIGHT('ARDT Cutter Entry'!M28,2)),1)=1, LEFT(SUBSTITUTE('ARDT Cutter Entry'!M28,"*",""),LEN(SUBSTITUTE('ARDT Cutter Entry'!M28,"*",""))-1),LEFT(SUBSTITUTE('ARDT Cutter Entry'!M28,"*",""),LEN(SUBSTITUTE('ARDT Cutter Entry'!M28,"*",""))-2) )),"")</f>
        <v>X</v>
      </c>
      <c r="BK29" s="2380"/>
      <c r="BL29" s="2380"/>
      <c r="BM29" s="2380"/>
      <c r="BN29" s="2380"/>
      <c r="BO29" s="2380"/>
      <c r="BP29" s="2380" t="str">
        <f>IFERROR(IF('ARDT Cutter Entry'!$C$94&lt;&gt;"",IF(IFERROR(VALUE(RIGHT('ARDT Cutter Entry'!N96,2)),1)=1, LEFT(SUBSTITUTE('ARDT Cutter Entry'!N96,"*",""),LEN(SUBSTITUTE('ARDT Cutter Entry'!N96,"*",""))-1),LEFT(SUBSTITUTE('ARDT Cutter Entry'!N96,"*",""),LEN(SUBSTITUTE('ARDT Cutter Entry'!N96,"*",""))-2)),IF(IFERROR(VALUE(RIGHT('ARDT Cutter Entry'!N28,2)),1)=1, LEFT(SUBSTITUTE('ARDT Cutter Entry'!N28,"*",""),LEN(SUBSTITUTE('ARDT Cutter Entry'!N28,"*",""))-1),LEFT(SUBSTITUTE('ARDT Cutter Entry'!N28,"*",""),LEN(SUBSTITUTE('ARDT Cutter Entry'!N28,"*",""))-2) )),"")</f>
        <v>X</v>
      </c>
      <c r="BQ29" s="2380"/>
      <c r="BR29" s="2380"/>
      <c r="BS29" s="2380"/>
      <c r="BT29" s="2380"/>
      <c r="BU29" s="2380"/>
      <c r="BV29" s="2380" t="str">
        <f>IFERROR(IF('ARDT Cutter Entry'!$C$94&lt;&gt;"",IF(IFERROR(VALUE(RIGHT('ARDT Cutter Entry'!O96,2)),1)=1, LEFT(SUBSTITUTE('ARDT Cutter Entry'!O96,"*",""),LEN(SUBSTITUTE('ARDT Cutter Entry'!O96,"*",""))-1),LEFT(SUBSTITUTE('ARDT Cutter Entry'!O96,"*",""),LEN(SUBSTITUTE('ARDT Cutter Entry'!O96,"*",""))-2)),IF(IFERROR(VALUE(RIGHT('ARDT Cutter Entry'!O28,2)),1)=1, LEFT(SUBSTITUTE('ARDT Cutter Entry'!O28,"*",""),LEN(SUBSTITUTE('ARDT Cutter Entry'!O28,"*",""))-1),LEFT(SUBSTITUTE('ARDT Cutter Entry'!O28,"*",""),LEN(SUBSTITUTE('ARDT Cutter Entry'!O28,"*",""))-2) )),"")</f>
        <v/>
      </c>
      <c r="BW29" s="2380"/>
      <c r="BX29" s="2380"/>
      <c r="BY29" s="2380"/>
      <c r="BZ29" s="2380"/>
      <c r="CA29" s="2380"/>
      <c r="CB29" s="2380" t="str">
        <f>IFERROR(IF('ARDT Cutter Entry'!$C$94&lt;&gt;"",IF(IFERROR(VALUE(RIGHT('ARDT Cutter Entry'!P96,2)),1)=1, LEFT(SUBSTITUTE('ARDT Cutter Entry'!P96,"*",""),LEN(SUBSTITUTE('ARDT Cutter Entry'!P96,"*",""))-1),LEFT(SUBSTITUTE('ARDT Cutter Entry'!P96,"*",""),LEN(SUBSTITUTE('ARDT Cutter Entry'!P96,"*",""))-2)),IF(IFERROR(VALUE(RIGHT('ARDT Cutter Entry'!P28,2)),1)=1, LEFT(SUBSTITUTE('ARDT Cutter Entry'!P28,"*",""),LEN(SUBSTITUTE('ARDT Cutter Entry'!P28,"*",""))-1),LEFT(SUBSTITUTE('ARDT Cutter Entry'!P28,"*",""),LEN(SUBSTITUTE('ARDT Cutter Entry'!P28,"*",""))-2) )),"")</f>
        <v/>
      </c>
      <c r="CC29" s="2380"/>
      <c r="CD29" s="2380"/>
      <c r="CE29" s="2380"/>
      <c r="CF29" s="2380"/>
      <c r="CG29" s="2380"/>
      <c r="CH29" s="2380" t="str">
        <f>IFERROR(IF('ARDT Cutter Entry'!$C$94&lt;&gt;"",IF(IFERROR(VALUE(RIGHT('ARDT Cutter Entry'!Q96,2)),1)=1, LEFT(SUBSTITUTE('ARDT Cutter Entry'!Q96,"*",""),LEN(SUBSTITUTE('ARDT Cutter Entry'!Q96,"*",""))-1),LEFT(SUBSTITUTE('ARDT Cutter Entry'!Q96,"*",""),LEN(SUBSTITUTE('ARDT Cutter Entry'!Q96,"*",""))-2)),IF(IFERROR(VALUE(RIGHT('ARDT Cutter Entry'!Q28,2)),1)=1, LEFT(SUBSTITUTE('ARDT Cutter Entry'!Q28,"*",""),LEN(SUBSTITUTE('ARDT Cutter Entry'!Q28,"*",""))-1),LEFT(SUBSTITUTE('ARDT Cutter Entry'!Q28,"*",""),LEN(SUBSTITUTE('ARDT Cutter Entry'!Q28,"*",""))-2) )),"")</f>
        <v/>
      </c>
      <c r="CI29" s="2380"/>
      <c r="CJ29" s="2380"/>
      <c r="CK29" s="2380"/>
      <c r="CL29" s="2380"/>
      <c r="CM29" s="2380"/>
      <c r="CN29" s="2380" t="str">
        <f>IFERROR(IF('ARDT Cutter Entry'!$C$94&lt;&gt;"",IF(IFERROR(VALUE(RIGHT('ARDT Cutter Entry'!R96,2)),1)=1, LEFT(SUBSTITUTE('ARDT Cutter Entry'!R96,"*",""),LEN(SUBSTITUTE('ARDT Cutter Entry'!R96,"*",""))-1),LEFT(SUBSTITUTE('ARDT Cutter Entry'!R96,"*",""),LEN(SUBSTITUTE('ARDT Cutter Entry'!R96,"*",""))-2)),IF(IFERROR(VALUE(RIGHT('ARDT Cutter Entry'!R28,2)),1)=1, LEFT(SUBSTITUTE('ARDT Cutter Entry'!R28,"*",""),LEN(SUBSTITUTE('ARDT Cutter Entry'!R28,"*",""))-1),LEFT(SUBSTITUTE('ARDT Cutter Entry'!R28,"*",""),LEN(SUBSTITUTE('ARDT Cutter Entry'!R28,"*",""))-2) )),"")</f>
        <v/>
      </c>
      <c r="CO29" s="2380"/>
      <c r="CP29" s="2380"/>
      <c r="CQ29" s="2380"/>
      <c r="CR29" s="2380"/>
      <c r="CS29" s="2380"/>
      <c r="CT29" s="2380" t="str">
        <f>IFERROR(IF('ARDT Cutter Entry'!$C$94&lt;&gt;"",IF(IFERROR(VALUE(RIGHT('ARDT Cutter Entry'!S96,2)),1)=1, LEFT(SUBSTITUTE('ARDT Cutter Entry'!S96,"*",""),LEN(SUBSTITUTE('ARDT Cutter Entry'!S96,"*",""))-1),LEFT(SUBSTITUTE('ARDT Cutter Entry'!S96,"*",""),LEN(SUBSTITUTE('ARDT Cutter Entry'!S96,"*",""))-2)),IF(IFERROR(VALUE(RIGHT('ARDT Cutter Entry'!S28,2)),1)=1, LEFT(SUBSTITUTE('ARDT Cutter Entry'!S28,"*",""),LEN(SUBSTITUTE('ARDT Cutter Entry'!S28,"*",""))-1),LEFT(SUBSTITUTE('ARDT Cutter Entry'!S28,"*",""),LEN(SUBSTITUTE('ARDT Cutter Entry'!S28,"*",""))-2) )),"")</f>
        <v/>
      </c>
      <c r="CU29" s="2380"/>
      <c r="CV29" s="2380"/>
      <c r="CW29" s="2380"/>
      <c r="CX29" s="2380"/>
      <c r="CY29" s="2380"/>
      <c r="CZ29" s="2380" t="str">
        <f>IFERROR(IF('ARDT Cutter Entry'!$C$94&lt;&gt;"",IF(IFERROR(VALUE(RIGHT('ARDT Cutter Entry'!T96,2)),1)=1, LEFT(SUBSTITUTE('ARDT Cutter Entry'!T96,"*",""),LEN(SUBSTITUTE('ARDT Cutter Entry'!T96,"*",""))-1),LEFT(SUBSTITUTE('ARDT Cutter Entry'!T96,"*",""),LEN(SUBSTITUTE('ARDT Cutter Entry'!T96,"*",""))-2)),IF(IFERROR(VALUE(RIGHT('ARDT Cutter Entry'!T28,2)),1)=1, LEFT(SUBSTITUTE('ARDT Cutter Entry'!T28,"*",""),LEN(SUBSTITUTE('ARDT Cutter Entry'!T28,"*",""))-1),LEFT(SUBSTITUTE('ARDT Cutter Entry'!T28,"*",""),LEN(SUBSTITUTE('ARDT Cutter Entry'!T28,"*",""))-2) )),"")</f>
        <v/>
      </c>
      <c r="DA29" s="2380"/>
      <c r="DB29" s="2380"/>
      <c r="DC29" s="2380"/>
      <c r="DD29" s="2380"/>
      <c r="DE29" s="2380"/>
      <c r="DF29" s="2380" t="str">
        <f>IFERROR(IF('ARDT Cutter Entry'!$C$94&lt;&gt;"",IF(IFERROR(VALUE(RIGHT('ARDT Cutter Entry'!U96,2)),1)=1, LEFT(SUBSTITUTE('ARDT Cutter Entry'!U96,"*",""),LEN(SUBSTITUTE('ARDT Cutter Entry'!U96,"*",""))-1),LEFT(SUBSTITUTE('ARDT Cutter Entry'!U96,"*",""),LEN(SUBSTITUTE('ARDT Cutter Entry'!U96,"*",""))-2)),IF(IFERROR(VALUE(RIGHT('ARDT Cutter Entry'!U28,2)),1)=1, LEFT(SUBSTITUTE('ARDT Cutter Entry'!U28,"*",""),LEN(SUBSTITUTE('ARDT Cutter Entry'!U28,"*",""))-1),LEFT(SUBSTITUTE('ARDT Cutter Entry'!U28,"*",""),LEN(SUBSTITUTE('ARDT Cutter Entry'!U28,"*",""))-2) )),"")</f>
        <v/>
      </c>
      <c r="DG29" s="2380"/>
      <c r="DH29" s="2380"/>
      <c r="DI29" s="2380"/>
      <c r="DJ29" s="2380"/>
      <c r="DK29" s="2380"/>
      <c r="DL29" s="2380" t="str">
        <f>IFERROR(IF('ARDT Cutter Entry'!$C$94&lt;&gt;"",IF(IFERROR(VALUE(RIGHT('ARDT Cutter Entry'!V96,2)),1)=1, LEFT(SUBSTITUTE('ARDT Cutter Entry'!V96,"*",""),LEN(SUBSTITUTE('ARDT Cutter Entry'!V96,"*",""))-1),LEFT(SUBSTITUTE('ARDT Cutter Entry'!V96,"*",""),LEN(SUBSTITUTE('ARDT Cutter Entry'!V96,"*",""))-2)),IF(IFERROR(VALUE(RIGHT('ARDT Cutter Entry'!V28,2)),1)=1, LEFT(SUBSTITUTE('ARDT Cutter Entry'!V28,"*",""),LEN(SUBSTITUTE('ARDT Cutter Entry'!V28,"*",""))-1),LEFT(SUBSTITUTE('ARDT Cutter Entry'!V28,"*",""),LEN(SUBSTITUTE('ARDT Cutter Entry'!V28,"*",""))-2) )),"")</f>
        <v/>
      </c>
      <c r="DM29" s="2380"/>
      <c r="DN29" s="2380"/>
      <c r="DO29" s="2380"/>
      <c r="DP29" s="2380"/>
      <c r="DQ29" s="2380"/>
      <c r="DR29" s="2380" t="str">
        <f>IFERROR(IF('ARDT Cutter Entry'!$C$94&lt;&gt;"",IF(IFERROR(VALUE(RIGHT('ARDT Cutter Entry'!W96,2)),1)=1, LEFT(SUBSTITUTE('ARDT Cutter Entry'!W96,"*",""),LEN(SUBSTITUTE('ARDT Cutter Entry'!W96,"*",""))-1),LEFT(SUBSTITUTE('ARDT Cutter Entry'!W96,"*",""),LEN(SUBSTITUTE('ARDT Cutter Entry'!W96,"*",""))-2)),IF(IFERROR(VALUE(RIGHT('ARDT Cutter Entry'!W28,2)),1)=1, LEFT(SUBSTITUTE('ARDT Cutter Entry'!W28,"*",""),LEN(SUBSTITUTE('ARDT Cutter Entry'!W28,"*",""))-1),LEFT(SUBSTITUTE('ARDT Cutter Entry'!W28,"*",""),LEN(SUBSTITUTE('ARDT Cutter Entry'!W28,"*",""))-2) )),"")</f>
        <v/>
      </c>
      <c r="DS29" s="2380"/>
      <c r="DT29" s="2380"/>
      <c r="DU29" s="2380"/>
      <c r="DV29" s="2380"/>
      <c r="DW29" s="2380"/>
      <c r="DX29" s="2380" t="str">
        <f>IFERROR(IF('ARDT Cutter Entry'!$C$94&lt;&gt;"",IF(IFERROR(VALUE(RIGHT('ARDT Cutter Entry'!X96,2)),1)=1, LEFT(SUBSTITUTE('ARDT Cutter Entry'!X96,"*",""),LEN(SUBSTITUTE('ARDT Cutter Entry'!X96,"*",""))-1),LEFT(SUBSTITUTE('ARDT Cutter Entry'!X96,"*",""),LEN(SUBSTITUTE('ARDT Cutter Entry'!X96,"*",""))-2)),IF(IFERROR(VALUE(RIGHT('ARDT Cutter Entry'!X28,2)),1)=1, LEFT(SUBSTITUTE('ARDT Cutter Entry'!X28,"*",""),LEN(SUBSTITUTE('ARDT Cutter Entry'!X28,"*",""))-1),LEFT(SUBSTITUTE('ARDT Cutter Entry'!X28,"*",""),LEN(SUBSTITUTE('ARDT Cutter Entry'!X28,"*",""))-2) )),"")</f>
        <v/>
      </c>
      <c r="DY29" s="2380"/>
      <c r="DZ29" s="2380"/>
      <c r="EA29" s="2380"/>
      <c r="EB29" s="2380"/>
      <c r="EC29" s="2380"/>
      <c r="ED29" s="2380" t="str">
        <f>IFERROR(IF('ARDT Cutter Entry'!$C$94&lt;&gt;"",IF(IFERROR(VALUE(RIGHT('ARDT Cutter Entry'!Y96,2)),1)=1, LEFT(SUBSTITUTE('ARDT Cutter Entry'!Y96,"*",""),LEN(SUBSTITUTE('ARDT Cutter Entry'!Y96,"*",""))-1),LEFT(SUBSTITUTE('ARDT Cutter Entry'!Y96,"*",""),LEN(SUBSTITUTE('ARDT Cutter Entry'!Y96,"*",""))-2)),IF(IFERROR(VALUE(RIGHT('ARDT Cutter Entry'!Y28,2)),1)=1, LEFT(SUBSTITUTE('ARDT Cutter Entry'!Y28,"*",""),LEN(SUBSTITUTE('ARDT Cutter Entry'!Y28,"*",""))-1),LEFT(SUBSTITUTE('ARDT Cutter Entry'!Y28,"*",""),LEN(SUBSTITUTE('ARDT Cutter Entry'!Y28,"*",""))-2) )),"")</f>
        <v/>
      </c>
      <c r="EE29" s="2380"/>
      <c r="EF29" s="2380"/>
      <c r="EG29" s="2380"/>
      <c r="EH29" s="2380"/>
      <c r="EI29" s="2380"/>
      <c r="EJ29" s="2380" t="str">
        <f>IFERROR(IF('ARDT Cutter Entry'!$C$94&lt;&gt;"",IF(IFERROR(VALUE(RIGHT('ARDT Cutter Entry'!Z96,2)),1)=1, LEFT(SUBSTITUTE('ARDT Cutter Entry'!Z96,"*",""),LEN(SUBSTITUTE('ARDT Cutter Entry'!Z96,"*",""))-1),LEFT(SUBSTITUTE('ARDT Cutter Entry'!Z96,"*",""),LEN(SUBSTITUTE('ARDT Cutter Entry'!Z96,"*",""))-2)),IF(IFERROR(VALUE(RIGHT('ARDT Cutter Entry'!Z28,2)),1)=1, LEFT(SUBSTITUTE('ARDT Cutter Entry'!Z28,"*",""),LEN(SUBSTITUTE('ARDT Cutter Entry'!Z28,"*",""))-1),LEFT(SUBSTITUTE('ARDT Cutter Entry'!Z28,"*",""),LEN(SUBSTITUTE('ARDT Cutter Entry'!Z28,"*",""))-2) )),"")</f>
        <v/>
      </c>
      <c r="EK29" s="2380"/>
      <c r="EL29" s="2380"/>
      <c r="EM29" s="2380"/>
      <c r="EN29" s="2380"/>
      <c r="EO29" s="2380"/>
      <c r="EP29" s="2380" t="str">
        <f>IFERROR(IF('ARDT Cutter Entry'!$C$94&lt;&gt;"",IF(IFERROR(VALUE(RIGHT('ARDT Cutter Entry'!AA96,2)),1)=1, LEFT(SUBSTITUTE('ARDT Cutter Entry'!AA96,"*",""),LEN(SUBSTITUTE('ARDT Cutter Entry'!AA96,"*",""))-1),LEFT(SUBSTITUTE('ARDT Cutter Entry'!AA96,"*",""),LEN(SUBSTITUTE('ARDT Cutter Entry'!AA96,"*",""))-2)),IF(IFERROR(VALUE(RIGHT('ARDT Cutter Entry'!AA28,2)),1)=1, LEFT(SUBSTITUTE('ARDT Cutter Entry'!AA28,"*",""),LEN(SUBSTITUTE('ARDT Cutter Entry'!AA28,"*",""))-1),LEFT(SUBSTITUTE('ARDT Cutter Entry'!AA28,"*",""),LEN(SUBSTITUTE('ARDT Cutter Entry'!AA28,"*",""))-2) )),"")</f>
        <v/>
      </c>
      <c r="EQ29" s="2380"/>
      <c r="ER29" s="2380"/>
      <c r="ES29" s="2380"/>
      <c r="ET29" s="2380"/>
      <c r="EU29" s="2380"/>
      <c r="EV29" s="2380" t="str">
        <f>IFERROR(IF('ARDT Cutter Entry'!$C$94&lt;&gt;"",IF(IFERROR(VALUE(RIGHT('ARDT Cutter Entry'!AB96,2)),1)=1, LEFT(SUBSTITUTE('ARDT Cutter Entry'!AB96,"*",""),LEN(SUBSTITUTE('ARDT Cutter Entry'!AB96,"*",""))-1),LEFT(SUBSTITUTE('ARDT Cutter Entry'!AB96,"*",""),LEN(SUBSTITUTE('ARDT Cutter Entry'!AB96,"*",""))-2)),IF(IFERROR(VALUE(RIGHT('ARDT Cutter Entry'!AB28,2)),1)=1, LEFT(SUBSTITUTE('ARDT Cutter Entry'!AB28,"*",""),LEN(SUBSTITUTE('ARDT Cutter Entry'!AB28,"*",""))-1),LEFT(SUBSTITUTE('ARDT Cutter Entry'!AB28,"*",""),LEN(SUBSTITUTE('ARDT Cutter Entry'!AB28,"*",""))-2) )),"")</f>
        <v/>
      </c>
      <c r="EW29" s="2380"/>
      <c r="EX29" s="2380"/>
      <c r="EY29" s="2380"/>
      <c r="EZ29" s="2380"/>
      <c r="FA29" s="2380"/>
      <c r="FB29" s="2380" t="str">
        <f>IFERROR(IF('ARDT Cutter Entry'!$C$94&lt;&gt;"",IF(IFERROR(VALUE(RIGHT('ARDT Cutter Entry'!AC96,2)),1)=1, LEFT(SUBSTITUTE('ARDT Cutter Entry'!AC96,"*",""),LEN(SUBSTITUTE('ARDT Cutter Entry'!AC96,"*",""))-1),LEFT(SUBSTITUTE('ARDT Cutter Entry'!AC96,"*",""),LEN(SUBSTITUTE('ARDT Cutter Entry'!AC96,"*",""))-2)),IF(IFERROR(VALUE(RIGHT('ARDT Cutter Entry'!AC28,2)),1)=1, LEFT(SUBSTITUTE('ARDT Cutter Entry'!AC28,"*",""),LEN(SUBSTITUTE('ARDT Cutter Entry'!AC28,"*",""))-1),LEFT(SUBSTITUTE('ARDT Cutter Entry'!AC28,"*",""),LEN(SUBSTITUTE('ARDT Cutter Entry'!AC28,"*",""))-2) )),"")</f>
        <v/>
      </c>
      <c r="FC29" s="2380"/>
      <c r="FD29" s="2380"/>
      <c r="FE29" s="2380"/>
      <c r="FF29" s="2380"/>
      <c r="FG29" s="2380"/>
      <c r="FH29" s="2380" t="str">
        <f>IFERROR(IF('ARDT Cutter Entry'!$C$94&lt;&gt;"",IF(IFERROR(VALUE(RIGHT('ARDT Cutter Entry'!AD96,2)),1)=1, LEFT(SUBSTITUTE('ARDT Cutter Entry'!AD96,"*",""),LEN(SUBSTITUTE('ARDT Cutter Entry'!AD96,"*",""))-1),LEFT(SUBSTITUTE('ARDT Cutter Entry'!AD96,"*",""),LEN(SUBSTITUTE('ARDT Cutter Entry'!AD96,"*",""))-2)),IF(IFERROR(VALUE(RIGHT('ARDT Cutter Entry'!AD28,2)),1)=1, LEFT(SUBSTITUTE('ARDT Cutter Entry'!AD28,"*",""),LEN(SUBSTITUTE('ARDT Cutter Entry'!AD28,"*",""))-1),LEFT(SUBSTITUTE('ARDT Cutter Entry'!AD28,"*",""),LEN(SUBSTITUTE('ARDT Cutter Entry'!AD28,"*",""))-2) )),"")</f>
        <v/>
      </c>
      <c r="FI29" s="2380"/>
      <c r="FJ29" s="2380"/>
      <c r="FK29" s="2380"/>
      <c r="FL29" s="2380"/>
      <c r="FM29" s="2380"/>
      <c r="FN29" s="2380" t="str">
        <f>IFERROR(IF('ARDT Cutter Entry'!$C$94&lt;&gt;"",IF(IFERROR(VALUE(RIGHT('ARDT Cutter Entry'!AE96,2)),1)=1, LEFT(SUBSTITUTE('ARDT Cutter Entry'!AE96,"*",""),LEN(SUBSTITUTE('ARDT Cutter Entry'!AE96,"*",""))-1),LEFT(SUBSTITUTE('ARDT Cutter Entry'!AE96,"*",""),LEN(SUBSTITUTE('ARDT Cutter Entry'!AE96,"*",""))-2)),IF(IFERROR(VALUE(RIGHT('ARDT Cutter Entry'!AE28,2)),1)=1, LEFT(SUBSTITUTE('ARDT Cutter Entry'!AE28,"*",""),LEN(SUBSTITUTE('ARDT Cutter Entry'!AE28,"*",""))-1),LEFT(SUBSTITUTE('ARDT Cutter Entry'!AE28,"*",""),LEN(SUBSTITUTE('ARDT Cutter Entry'!AE28,"*",""))-2) )),"")</f>
        <v/>
      </c>
      <c r="FO29" s="2380"/>
      <c r="FP29" s="2380"/>
      <c r="FQ29" s="2380"/>
      <c r="FR29" s="2380"/>
      <c r="FS29" s="2380"/>
      <c r="FT29" s="2380" t="str">
        <f>IFERROR(IF('ARDT Cutter Entry'!$C$94&lt;&gt;"",IF(IFERROR(VALUE(RIGHT('ARDT Cutter Entry'!AG96,2)),1)=1, LEFT(SUBSTITUTE('ARDT Cutter Entry'!AG96,"*",""),LEN(SUBSTITUTE('ARDT Cutter Entry'!AG96,"*",""))-1),LEFT(SUBSTITUTE('ARDT Cutter Entry'!AG96,"*",""),LEN(SUBSTITUTE('ARDT Cutter Entry'!AG96,"*",""))-2)),IF(IFERROR(VALUE(RIGHT('ARDT Cutter Entry'!AG28,2)),1)=1, LEFT(SUBSTITUTE('ARDT Cutter Entry'!AG28,"*",""),LEN(SUBSTITUTE('ARDT Cutter Entry'!AG28,"*",""))-1),LEFT(SUBSTITUTE('ARDT Cutter Entry'!AG28,"*",""),LEN(SUBSTITUTE('ARDT Cutter Entry'!AG28,"*",""))-2) )),"")</f>
        <v/>
      </c>
      <c r="FU29" s="2380"/>
      <c r="FV29" s="2380"/>
      <c r="FW29" s="2380"/>
      <c r="FX29" s="2380"/>
      <c r="FY29" s="2380"/>
      <c r="FZ29" s="2380" t="str">
        <f>IFERROR(IF('ARDT Cutter Entry'!$C$94&lt;&gt;"",IF(IFERROR(VALUE(RIGHT('ARDT Cutter Entry'!AH96,2)),1)=1, LEFT(SUBSTITUTE('ARDT Cutter Entry'!AH96,"*",""),LEN(SUBSTITUTE('ARDT Cutter Entry'!AH96,"*",""))-1),LEFT(SUBSTITUTE('ARDT Cutter Entry'!AH96,"*",""),LEN(SUBSTITUTE('ARDT Cutter Entry'!AH96,"*",""))-2)),IF(IFERROR(VALUE(RIGHT('ARDT Cutter Entry'!AH28,2)),1)=1, LEFT(SUBSTITUTE('ARDT Cutter Entry'!AH28,"*",""),LEN(SUBSTITUTE('ARDT Cutter Entry'!AH28,"*",""))-1),LEFT(SUBSTITUTE('ARDT Cutter Entry'!AH28,"*",""),LEN(SUBSTITUTE('ARDT Cutter Entry'!AH28,"*",""))-2) )),"")</f>
        <v/>
      </c>
      <c r="GA29" s="2380"/>
      <c r="GB29" s="2380"/>
      <c r="GC29" s="2380"/>
      <c r="GD29" s="2380"/>
      <c r="GE29" s="2380"/>
      <c r="GF29" s="1132"/>
      <c r="GG29" s="1132"/>
    </row>
    <row r="30" spans="1:206" ht="44.25" customHeight="1" x14ac:dyDescent="0.55000000000000004">
      <c r="A30" s="338">
        <v>4</v>
      </c>
      <c r="B30" s="2380" t="str">
        <f>IFERROR(IF('ARDT Cutter Entry'!$C$94&lt;&gt;"",IF(IFERROR(VALUE(RIGHT('ARDT Cutter Entry'!C97,2)),1)=1, LEFT(SUBSTITUTE('ARDT Cutter Entry'!C97,"*",""),LEN(SUBSTITUTE('ARDT Cutter Entry'!C97,"*",""))-1),LEFT(SUBSTITUTE('ARDT Cutter Entry'!C97,"*",""),LEN(SUBSTITUTE('ARDT Cutter Entry'!C97,"*",""))-2)),IF(IFERROR(VALUE(RIGHT('ARDT Cutter Entry'!C29,2)),1)=1, LEFT(SUBSTITUTE('ARDT Cutter Entry'!C29,"*",""),LEN(SUBSTITUTE('ARDT Cutter Entry'!C29,"*",""))-1),LEFT(SUBSTITUTE('ARDT Cutter Entry'!C29,"*",""),LEN(SUBSTITUTE('ARDT Cutter Entry'!C29,"*",""))-2) )),"")</f>
        <v>X</v>
      </c>
      <c r="C30" s="2380"/>
      <c r="D30" s="2380"/>
      <c r="E30" s="2380"/>
      <c r="F30" s="2380"/>
      <c r="G30" s="2380"/>
      <c r="H30" s="2380" t="str">
        <f>IFERROR(IF('ARDT Cutter Entry'!$C$94&lt;&gt;"",IF(IFERROR(VALUE(RIGHT('ARDT Cutter Entry'!D97,2)),1)=1, LEFT(SUBSTITUTE('ARDT Cutter Entry'!D97,"*",""),LEN(SUBSTITUTE('ARDT Cutter Entry'!D97,"*",""))-1),LEFT(SUBSTITUTE('ARDT Cutter Entry'!D97,"*",""),LEN(SUBSTITUTE('ARDT Cutter Entry'!D97,"*",""))-2)),IF(IFERROR(VALUE(RIGHT('ARDT Cutter Entry'!D29,2)),1)=1, LEFT(SUBSTITUTE('ARDT Cutter Entry'!D29,"*",""),LEN(SUBSTITUTE('ARDT Cutter Entry'!D29,"*",""))-1),LEFT(SUBSTITUTE('ARDT Cutter Entry'!D29,"*",""),LEN(SUBSTITUTE('ARDT Cutter Entry'!D29,"*",""))-2) )),"")</f>
        <v>X</v>
      </c>
      <c r="I30" s="2380"/>
      <c r="J30" s="2380"/>
      <c r="K30" s="2380"/>
      <c r="L30" s="2380"/>
      <c r="M30" s="2380"/>
      <c r="N30" s="2380" t="str">
        <f>IFERROR(IF('ARDT Cutter Entry'!$C$94&lt;&gt;"",IF(IFERROR(VALUE(RIGHT('ARDT Cutter Entry'!E97,2)),1)=1, LEFT(SUBSTITUTE('ARDT Cutter Entry'!E97,"*",""),LEN(SUBSTITUTE('ARDT Cutter Entry'!E97,"*",""))-1),LEFT(SUBSTITUTE('ARDT Cutter Entry'!E97,"*",""),LEN(SUBSTITUTE('ARDT Cutter Entry'!E97,"*",""))-2)),IF(IFERROR(VALUE(RIGHT('ARDT Cutter Entry'!E29,2)),1)=1, LEFT(SUBSTITUTE('ARDT Cutter Entry'!E29,"*",""),LEN(SUBSTITUTE('ARDT Cutter Entry'!E29,"*",""))-1),LEFT(SUBSTITUTE('ARDT Cutter Entry'!E29,"*",""),LEN(SUBSTITUTE('ARDT Cutter Entry'!E29,"*",""))-2) )),"")</f>
        <v>X</v>
      </c>
      <c r="O30" s="2380"/>
      <c r="P30" s="2380"/>
      <c r="Q30" s="2380"/>
      <c r="R30" s="2380"/>
      <c r="S30" s="2380"/>
      <c r="T30" s="2380" t="str">
        <f>IFERROR(IF('ARDT Cutter Entry'!$C$94&lt;&gt;"",IF(IFERROR(VALUE(RIGHT('ARDT Cutter Entry'!F97,2)),1)=1, LEFT(SUBSTITUTE('ARDT Cutter Entry'!F97,"*",""),LEN(SUBSTITUTE('ARDT Cutter Entry'!F97,"*",""))-1),LEFT(SUBSTITUTE('ARDT Cutter Entry'!F97,"*",""),LEN(SUBSTITUTE('ARDT Cutter Entry'!F97,"*",""))-2)),IF(IFERROR(VALUE(RIGHT('ARDT Cutter Entry'!F29,2)),1)=1, LEFT(SUBSTITUTE('ARDT Cutter Entry'!F29,"*",""),LEN(SUBSTITUTE('ARDT Cutter Entry'!F29,"*",""))-1),LEFT(SUBSTITUTE('ARDT Cutter Entry'!F29,"*",""),LEN(SUBSTITUTE('ARDT Cutter Entry'!F29,"*",""))-2) )),"")</f>
        <v>X</v>
      </c>
      <c r="U30" s="2380"/>
      <c r="V30" s="2380"/>
      <c r="W30" s="2380"/>
      <c r="X30" s="2380"/>
      <c r="Y30" s="2380"/>
      <c r="Z30" s="2380" t="str">
        <f>IFERROR(IF('ARDT Cutter Entry'!$C$94&lt;&gt;"",IF(IFERROR(VALUE(RIGHT('ARDT Cutter Entry'!G97,2)),1)=1, LEFT(SUBSTITUTE('ARDT Cutter Entry'!G97,"*",""),LEN(SUBSTITUTE('ARDT Cutter Entry'!G97,"*",""))-1),LEFT(SUBSTITUTE('ARDT Cutter Entry'!G97,"*",""),LEN(SUBSTITUTE('ARDT Cutter Entry'!G97,"*",""))-2)),IF(IFERROR(VALUE(RIGHT('ARDT Cutter Entry'!G29,2)),1)=1, LEFT(SUBSTITUTE('ARDT Cutter Entry'!G29,"*",""),LEN(SUBSTITUTE('ARDT Cutter Entry'!G29,"*",""))-1),LEFT(SUBSTITUTE('ARDT Cutter Entry'!G29,"*",""),LEN(SUBSTITUTE('ARDT Cutter Entry'!G29,"*",""))-2) )),"")</f>
        <v>R</v>
      </c>
      <c r="AA30" s="2380"/>
      <c r="AB30" s="2380"/>
      <c r="AC30" s="2380"/>
      <c r="AD30" s="2380"/>
      <c r="AE30" s="2380"/>
      <c r="AF30" s="2380" t="str">
        <f>IFERROR(IF('ARDT Cutter Entry'!$C$94&lt;&gt;"",IF(IFERROR(VALUE(RIGHT('ARDT Cutter Entry'!H97,2)),1)=1, LEFT(SUBSTITUTE('ARDT Cutter Entry'!H97,"*",""),LEN(SUBSTITUTE('ARDT Cutter Entry'!H97,"*",""))-1),LEFT(SUBSTITUTE('ARDT Cutter Entry'!H97,"*",""),LEN(SUBSTITUTE('ARDT Cutter Entry'!H97,"*",""))-2)),IF(IFERROR(VALUE(RIGHT('ARDT Cutter Entry'!H29,2)),1)=1, LEFT(SUBSTITUTE('ARDT Cutter Entry'!H29,"*",""),LEN(SUBSTITUTE('ARDT Cutter Entry'!H29,"*",""))-1),LEFT(SUBSTITUTE('ARDT Cutter Entry'!H29,"*",""),LEN(SUBSTITUTE('ARDT Cutter Entry'!H29,"*",""))-2) )),"")</f>
        <v>X</v>
      </c>
      <c r="AG30" s="2380"/>
      <c r="AH30" s="2380"/>
      <c r="AI30" s="2380"/>
      <c r="AJ30" s="2380"/>
      <c r="AK30" s="2380"/>
      <c r="AL30" s="2380" t="str">
        <f>IFERROR(IF('ARDT Cutter Entry'!$C$94&lt;&gt;"",IF(IFERROR(VALUE(RIGHT('ARDT Cutter Entry'!I97,2)),1)=1, LEFT(SUBSTITUTE('ARDT Cutter Entry'!I97,"*",""),LEN(SUBSTITUTE('ARDT Cutter Entry'!I97,"*",""))-1),LEFT(SUBSTITUTE('ARDT Cutter Entry'!I97,"*",""),LEN(SUBSTITUTE('ARDT Cutter Entry'!I97,"*",""))-2)),IF(IFERROR(VALUE(RIGHT('ARDT Cutter Entry'!I29,2)),1)=1, LEFT(SUBSTITUTE('ARDT Cutter Entry'!I29,"*",""),LEN(SUBSTITUTE('ARDT Cutter Entry'!I29,"*",""))-1),LEFT(SUBSTITUTE('ARDT Cutter Entry'!I29,"*",""),LEN(SUBSTITUTE('ARDT Cutter Entry'!I29,"*",""))-2) )),"")</f>
        <v/>
      </c>
      <c r="AM30" s="2380"/>
      <c r="AN30" s="2380"/>
      <c r="AO30" s="2380"/>
      <c r="AP30" s="2380"/>
      <c r="AQ30" s="2380"/>
      <c r="AR30" s="2380" t="str">
        <f>IFERROR(IF('ARDT Cutter Entry'!$C$94&lt;&gt;"",IF(IFERROR(VALUE(RIGHT('ARDT Cutter Entry'!J97,2)),1)=1, LEFT(SUBSTITUTE('ARDT Cutter Entry'!J97,"*",""),LEN(SUBSTITUTE('ARDT Cutter Entry'!J97,"*",""))-1),LEFT(SUBSTITUTE('ARDT Cutter Entry'!J97,"*",""),LEN(SUBSTITUTE('ARDT Cutter Entry'!J97,"*",""))-2)),IF(IFERROR(VALUE(RIGHT('ARDT Cutter Entry'!J29,2)),1)=1, LEFT(SUBSTITUTE('ARDT Cutter Entry'!J29,"*",""),LEN(SUBSTITUTE('ARDT Cutter Entry'!J29,"*",""))-1),LEFT(SUBSTITUTE('ARDT Cutter Entry'!J29,"*",""),LEN(SUBSTITUTE('ARDT Cutter Entry'!J29,"*",""))-2) )),"")</f>
        <v/>
      </c>
      <c r="AS30" s="2380"/>
      <c r="AT30" s="2380"/>
      <c r="AU30" s="2380"/>
      <c r="AV30" s="2380"/>
      <c r="AW30" s="2380"/>
      <c r="AX30" s="2380" t="str">
        <f>IFERROR(IF('ARDT Cutter Entry'!$C$94&lt;&gt;"",IF(IFERROR(VALUE(RIGHT('ARDT Cutter Entry'!K97,2)),1)=1, LEFT(SUBSTITUTE('ARDT Cutter Entry'!K97,"*",""),LEN(SUBSTITUTE('ARDT Cutter Entry'!K97,"*",""))-1),LEFT(SUBSTITUTE('ARDT Cutter Entry'!K97,"*",""),LEN(SUBSTITUTE('ARDT Cutter Entry'!K97,"*",""))-2)),IF(IFERROR(VALUE(RIGHT('ARDT Cutter Entry'!K29,2)),1)=1, LEFT(SUBSTITUTE('ARDT Cutter Entry'!K29,"*",""),LEN(SUBSTITUTE('ARDT Cutter Entry'!K29,"*",""))-1),LEFT(SUBSTITUTE('ARDT Cutter Entry'!K29,"*",""),LEN(SUBSTITUTE('ARDT Cutter Entry'!K29,"*",""))-2) )),"")</f>
        <v/>
      </c>
      <c r="AY30" s="2380"/>
      <c r="AZ30" s="2380"/>
      <c r="BA30" s="2380"/>
      <c r="BB30" s="2380"/>
      <c r="BC30" s="2380"/>
      <c r="BD30" s="2380" t="str">
        <f>IFERROR(IF('ARDT Cutter Entry'!$C$94&lt;&gt;"",IF(IFERROR(VALUE(RIGHT('ARDT Cutter Entry'!L97,2)),1)=1, LEFT(SUBSTITUTE('ARDT Cutter Entry'!L97,"*",""),LEN(SUBSTITUTE('ARDT Cutter Entry'!L97,"*",""))-1),LEFT(SUBSTITUTE('ARDT Cutter Entry'!L97,"*",""),LEN(SUBSTITUTE('ARDT Cutter Entry'!L97,"*",""))-2)),IF(IFERROR(VALUE(RIGHT('ARDT Cutter Entry'!L29,2)),1)=1, LEFT(SUBSTITUTE('ARDT Cutter Entry'!L29,"*",""),LEN(SUBSTITUTE('ARDT Cutter Entry'!L29,"*",""))-1),LEFT(SUBSTITUTE('ARDT Cutter Entry'!L29,"*",""),LEN(SUBSTITUTE('ARDT Cutter Entry'!L29,"*",""))-2) )),"")</f>
        <v>R</v>
      </c>
      <c r="BE30" s="2380"/>
      <c r="BF30" s="2380"/>
      <c r="BG30" s="2380"/>
      <c r="BH30" s="2380"/>
      <c r="BI30" s="2380"/>
      <c r="BJ30" s="2380" t="str">
        <f>IFERROR(IF('ARDT Cutter Entry'!$C$94&lt;&gt;"",IF(IFERROR(VALUE(RIGHT('ARDT Cutter Entry'!M97,2)),1)=1, LEFT(SUBSTITUTE('ARDT Cutter Entry'!M97,"*",""),LEN(SUBSTITUTE('ARDT Cutter Entry'!M97,"*",""))-1),LEFT(SUBSTITUTE('ARDT Cutter Entry'!M97,"*",""),LEN(SUBSTITUTE('ARDT Cutter Entry'!M97,"*",""))-2)),IF(IFERROR(VALUE(RIGHT('ARDT Cutter Entry'!M29,2)),1)=1, LEFT(SUBSTITUTE('ARDT Cutter Entry'!M29,"*",""),LEN(SUBSTITUTE('ARDT Cutter Entry'!M29,"*",""))-1),LEFT(SUBSTITUTE('ARDT Cutter Entry'!M29,"*",""),LEN(SUBSTITUTE('ARDT Cutter Entry'!M29,"*",""))-2) )),"")</f>
        <v>R</v>
      </c>
      <c r="BK30" s="2380"/>
      <c r="BL30" s="2380"/>
      <c r="BM30" s="2380"/>
      <c r="BN30" s="2380"/>
      <c r="BO30" s="2380"/>
      <c r="BP30" s="2380" t="str">
        <f>IFERROR(IF('ARDT Cutter Entry'!$C$94&lt;&gt;"",IF(IFERROR(VALUE(RIGHT('ARDT Cutter Entry'!N97,2)),1)=1, LEFT(SUBSTITUTE('ARDT Cutter Entry'!N97,"*",""),LEN(SUBSTITUTE('ARDT Cutter Entry'!N97,"*",""))-1),LEFT(SUBSTITUTE('ARDT Cutter Entry'!N97,"*",""),LEN(SUBSTITUTE('ARDT Cutter Entry'!N97,"*",""))-2)),IF(IFERROR(VALUE(RIGHT('ARDT Cutter Entry'!N29,2)),1)=1, LEFT(SUBSTITUTE('ARDT Cutter Entry'!N29,"*",""),LEN(SUBSTITUTE('ARDT Cutter Entry'!N29,"*",""))-1),LEFT(SUBSTITUTE('ARDT Cutter Entry'!N29,"*",""),LEN(SUBSTITUTE('ARDT Cutter Entry'!N29,"*",""))-2) )),"")</f>
        <v>R</v>
      </c>
      <c r="BQ30" s="2380"/>
      <c r="BR30" s="2380"/>
      <c r="BS30" s="2380"/>
      <c r="BT30" s="2380"/>
      <c r="BU30" s="2380"/>
      <c r="BV30" s="2380" t="str">
        <f>IFERROR(IF('ARDT Cutter Entry'!$C$94&lt;&gt;"",IF(IFERROR(VALUE(RIGHT('ARDT Cutter Entry'!O97,2)),1)=1, LEFT(SUBSTITUTE('ARDT Cutter Entry'!O97,"*",""),LEN(SUBSTITUTE('ARDT Cutter Entry'!O97,"*",""))-1),LEFT(SUBSTITUTE('ARDT Cutter Entry'!O97,"*",""),LEN(SUBSTITUTE('ARDT Cutter Entry'!O97,"*",""))-2)),IF(IFERROR(VALUE(RIGHT('ARDT Cutter Entry'!O29,2)),1)=1, LEFT(SUBSTITUTE('ARDT Cutter Entry'!O29,"*",""),LEN(SUBSTITUTE('ARDT Cutter Entry'!O29,"*",""))-1),LEFT(SUBSTITUTE('ARDT Cutter Entry'!O29,"*",""),LEN(SUBSTITUTE('ARDT Cutter Entry'!O29,"*",""))-2) )),"")</f>
        <v>S</v>
      </c>
      <c r="BW30" s="2380"/>
      <c r="BX30" s="2380"/>
      <c r="BY30" s="2380"/>
      <c r="BZ30" s="2380"/>
      <c r="CA30" s="2380"/>
      <c r="CB30" s="2380" t="str">
        <f>IFERROR(IF('ARDT Cutter Entry'!$C$94&lt;&gt;"",IF(IFERROR(VALUE(RIGHT('ARDT Cutter Entry'!P97,2)),1)=1, LEFT(SUBSTITUTE('ARDT Cutter Entry'!P97,"*",""),LEN(SUBSTITUTE('ARDT Cutter Entry'!P97,"*",""))-1),LEFT(SUBSTITUTE('ARDT Cutter Entry'!P97,"*",""),LEN(SUBSTITUTE('ARDT Cutter Entry'!P97,"*",""))-2)),IF(IFERROR(VALUE(RIGHT('ARDT Cutter Entry'!P29,2)),1)=1, LEFT(SUBSTITUTE('ARDT Cutter Entry'!P29,"*",""),LEN(SUBSTITUTE('ARDT Cutter Entry'!P29,"*",""))-1),LEFT(SUBSTITUTE('ARDT Cutter Entry'!P29,"*",""),LEN(SUBSTITUTE('ARDT Cutter Entry'!P29,"*",""))-2) )),"")</f>
        <v/>
      </c>
      <c r="CC30" s="2380"/>
      <c r="CD30" s="2380"/>
      <c r="CE30" s="2380"/>
      <c r="CF30" s="2380"/>
      <c r="CG30" s="2380"/>
      <c r="CH30" s="2380" t="str">
        <f>IFERROR(IF('ARDT Cutter Entry'!$C$94&lt;&gt;"",IF(IFERROR(VALUE(RIGHT('ARDT Cutter Entry'!Q97,2)),1)=1, LEFT(SUBSTITUTE('ARDT Cutter Entry'!Q97,"*",""),LEN(SUBSTITUTE('ARDT Cutter Entry'!Q97,"*",""))-1),LEFT(SUBSTITUTE('ARDT Cutter Entry'!Q97,"*",""),LEN(SUBSTITUTE('ARDT Cutter Entry'!Q97,"*",""))-2)),IF(IFERROR(VALUE(RIGHT('ARDT Cutter Entry'!Q29,2)),1)=1, LEFT(SUBSTITUTE('ARDT Cutter Entry'!Q29,"*",""),LEN(SUBSTITUTE('ARDT Cutter Entry'!Q29,"*",""))-1),LEFT(SUBSTITUTE('ARDT Cutter Entry'!Q29,"*",""),LEN(SUBSTITUTE('ARDT Cutter Entry'!Q29,"*",""))-2) )),"")</f>
        <v/>
      </c>
      <c r="CI30" s="2380"/>
      <c r="CJ30" s="2380"/>
      <c r="CK30" s="2380"/>
      <c r="CL30" s="2380"/>
      <c r="CM30" s="2380"/>
      <c r="CN30" s="2380" t="str">
        <f>IFERROR(IF('ARDT Cutter Entry'!$C$94&lt;&gt;"",IF(IFERROR(VALUE(RIGHT('ARDT Cutter Entry'!R97,2)),1)=1, LEFT(SUBSTITUTE('ARDT Cutter Entry'!R97,"*",""),LEN(SUBSTITUTE('ARDT Cutter Entry'!R97,"*",""))-1),LEFT(SUBSTITUTE('ARDT Cutter Entry'!R97,"*",""),LEN(SUBSTITUTE('ARDT Cutter Entry'!R97,"*",""))-2)),IF(IFERROR(VALUE(RIGHT('ARDT Cutter Entry'!R29,2)),1)=1, LEFT(SUBSTITUTE('ARDT Cutter Entry'!R29,"*",""),LEN(SUBSTITUTE('ARDT Cutter Entry'!R29,"*",""))-1),LEFT(SUBSTITUTE('ARDT Cutter Entry'!R29,"*",""),LEN(SUBSTITUTE('ARDT Cutter Entry'!R29,"*",""))-2) )),"")</f>
        <v/>
      </c>
      <c r="CO30" s="2380"/>
      <c r="CP30" s="2380"/>
      <c r="CQ30" s="2380"/>
      <c r="CR30" s="2380"/>
      <c r="CS30" s="2380"/>
      <c r="CT30" s="2380" t="str">
        <f>IFERROR(IF('ARDT Cutter Entry'!$C$94&lt;&gt;"",IF(IFERROR(VALUE(RIGHT('ARDT Cutter Entry'!S97,2)),1)=1, LEFT(SUBSTITUTE('ARDT Cutter Entry'!S97,"*",""),LEN(SUBSTITUTE('ARDT Cutter Entry'!S97,"*",""))-1),LEFT(SUBSTITUTE('ARDT Cutter Entry'!S97,"*",""),LEN(SUBSTITUTE('ARDT Cutter Entry'!S97,"*",""))-2)),IF(IFERROR(VALUE(RIGHT('ARDT Cutter Entry'!S29,2)),1)=1, LEFT(SUBSTITUTE('ARDT Cutter Entry'!S29,"*",""),LEN(SUBSTITUTE('ARDT Cutter Entry'!S29,"*",""))-1),LEFT(SUBSTITUTE('ARDT Cutter Entry'!S29,"*",""),LEN(SUBSTITUTE('ARDT Cutter Entry'!S29,"*",""))-2) )),"")</f>
        <v/>
      </c>
      <c r="CU30" s="2380"/>
      <c r="CV30" s="2380"/>
      <c r="CW30" s="2380"/>
      <c r="CX30" s="2380"/>
      <c r="CY30" s="2380"/>
      <c r="CZ30" s="2380" t="str">
        <f>IFERROR(IF('ARDT Cutter Entry'!$C$94&lt;&gt;"",IF(IFERROR(VALUE(RIGHT('ARDT Cutter Entry'!T97,2)),1)=1, LEFT(SUBSTITUTE('ARDT Cutter Entry'!T97,"*",""),LEN(SUBSTITUTE('ARDT Cutter Entry'!T97,"*",""))-1),LEFT(SUBSTITUTE('ARDT Cutter Entry'!T97,"*",""),LEN(SUBSTITUTE('ARDT Cutter Entry'!T97,"*",""))-2)),IF(IFERROR(VALUE(RIGHT('ARDT Cutter Entry'!T29,2)),1)=1, LEFT(SUBSTITUTE('ARDT Cutter Entry'!T29,"*",""),LEN(SUBSTITUTE('ARDT Cutter Entry'!T29,"*",""))-1),LEFT(SUBSTITUTE('ARDT Cutter Entry'!T29,"*",""),LEN(SUBSTITUTE('ARDT Cutter Entry'!T29,"*",""))-2) )),"")</f>
        <v/>
      </c>
      <c r="DA30" s="2380"/>
      <c r="DB30" s="2380"/>
      <c r="DC30" s="2380"/>
      <c r="DD30" s="2380"/>
      <c r="DE30" s="2380"/>
      <c r="DF30" s="2380" t="str">
        <f>IFERROR(IF('ARDT Cutter Entry'!$C$94&lt;&gt;"",IF(IFERROR(VALUE(RIGHT('ARDT Cutter Entry'!U97,2)),1)=1, LEFT(SUBSTITUTE('ARDT Cutter Entry'!U97,"*",""),LEN(SUBSTITUTE('ARDT Cutter Entry'!U97,"*",""))-1),LEFT(SUBSTITUTE('ARDT Cutter Entry'!U97,"*",""),LEN(SUBSTITUTE('ARDT Cutter Entry'!U97,"*",""))-2)),IF(IFERROR(VALUE(RIGHT('ARDT Cutter Entry'!U29,2)),1)=1, LEFT(SUBSTITUTE('ARDT Cutter Entry'!U29,"*",""),LEN(SUBSTITUTE('ARDT Cutter Entry'!U29,"*",""))-1),LEFT(SUBSTITUTE('ARDT Cutter Entry'!U29,"*",""),LEN(SUBSTITUTE('ARDT Cutter Entry'!U29,"*",""))-2) )),"")</f>
        <v/>
      </c>
      <c r="DG30" s="2380"/>
      <c r="DH30" s="2380"/>
      <c r="DI30" s="2380"/>
      <c r="DJ30" s="2380"/>
      <c r="DK30" s="2380"/>
      <c r="DL30" s="2380" t="str">
        <f>IFERROR(IF('ARDT Cutter Entry'!$C$94&lt;&gt;"",IF(IFERROR(VALUE(RIGHT('ARDT Cutter Entry'!V97,2)),1)=1, LEFT(SUBSTITUTE('ARDT Cutter Entry'!V97,"*",""),LEN(SUBSTITUTE('ARDT Cutter Entry'!V97,"*",""))-1),LEFT(SUBSTITUTE('ARDT Cutter Entry'!V97,"*",""),LEN(SUBSTITUTE('ARDT Cutter Entry'!V97,"*",""))-2)),IF(IFERROR(VALUE(RIGHT('ARDT Cutter Entry'!V29,2)),1)=1, LEFT(SUBSTITUTE('ARDT Cutter Entry'!V29,"*",""),LEN(SUBSTITUTE('ARDT Cutter Entry'!V29,"*",""))-1),LEFT(SUBSTITUTE('ARDT Cutter Entry'!V29,"*",""),LEN(SUBSTITUTE('ARDT Cutter Entry'!V29,"*",""))-2) )),"")</f>
        <v/>
      </c>
      <c r="DM30" s="2380"/>
      <c r="DN30" s="2380"/>
      <c r="DO30" s="2380"/>
      <c r="DP30" s="2380"/>
      <c r="DQ30" s="2380"/>
      <c r="DR30" s="2380" t="str">
        <f>IFERROR(IF('ARDT Cutter Entry'!$C$94&lt;&gt;"",IF(IFERROR(VALUE(RIGHT('ARDT Cutter Entry'!W97,2)),1)=1, LEFT(SUBSTITUTE('ARDT Cutter Entry'!W97,"*",""),LEN(SUBSTITUTE('ARDT Cutter Entry'!W97,"*",""))-1),LEFT(SUBSTITUTE('ARDT Cutter Entry'!W97,"*",""),LEN(SUBSTITUTE('ARDT Cutter Entry'!W97,"*",""))-2)),IF(IFERROR(VALUE(RIGHT('ARDT Cutter Entry'!W29,2)),1)=1, LEFT(SUBSTITUTE('ARDT Cutter Entry'!W29,"*",""),LEN(SUBSTITUTE('ARDT Cutter Entry'!W29,"*",""))-1),LEFT(SUBSTITUTE('ARDT Cutter Entry'!W29,"*",""),LEN(SUBSTITUTE('ARDT Cutter Entry'!W29,"*",""))-2) )),"")</f>
        <v/>
      </c>
      <c r="DS30" s="2380"/>
      <c r="DT30" s="2380"/>
      <c r="DU30" s="2380"/>
      <c r="DV30" s="2380"/>
      <c r="DW30" s="2380"/>
      <c r="DX30" s="2380" t="str">
        <f>IFERROR(IF('ARDT Cutter Entry'!$C$94&lt;&gt;"",IF(IFERROR(VALUE(RIGHT('ARDT Cutter Entry'!X97,2)),1)=1, LEFT(SUBSTITUTE('ARDT Cutter Entry'!X97,"*",""),LEN(SUBSTITUTE('ARDT Cutter Entry'!X97,"*",""))-1),LEFT(SUBSTITUTE('ARDT Cutter Entry'!X97,"*",""),LEN(SUBSTITUTE('ARDT Cutter Entry'!X97,"*",""))-2)),IF(IFERROR(VALUE(RIGHT('ARDT Cutter Entry'!X29,2)),1)=1, LEFT(SUBSTITUTE('ARDT Cutter Entry'!X29,"*",""),LEN(SUBSTITUTE('ARDT Cutter Entry'!X29,"*",""))-1),LEFT(SUBSTITUTE('ARDT Cutter Entry'!X29,"*",""),LEN(SUBSTITUTE('ARDT Cutter Entry'!X29,"*",""))-2) )),"")</f>
        <v/>
      </c>
      <c r="DY30" s="2380"/>
      <c r="DZ30" s="2380"/>
      <c r="EA30" s="2380"/>
      <c r="EB30" s="2380"/>
      <c r="EC30" s="2380"/>
      <c r="ED30" s="2380" t="str">
        <f>IFERROR(IF('ARDT Cutter Entry'!$C$94&lt;&gt;"",IF(IFERROR(VALUE(RIGHT('ARDT Cutter Entry'!Y97,2)),1)=1, LEFT(SUBSTITUTE('ARDT Cutter Entry'!Y97,"*",""),LEN(SUBSTITUTE('ARDT Cutter Entry'!Y97,"*",""))-1),LEFT(SUBSTITUTE('ARDT Cutter Entry'!Y97,"*",""),LEN(SUBSTITUTE('ARDT Cutter Entry'!Y97,"*",""))-2)),IF(IFERROR(VALUE(RIGHT('ARDT Cutter Entry'!Y29,2)),1)=1, LEFT(SUBSTITUTE('ARDT Cutter Entry'!Y29,"*",""),LEN(SUBSTITUTE('ARDT Cutter Entry'!Y29,"*",""))-1),LEFT(SUBSTITUTE('ARDT Cutter Entry'!Y29,"*",""),LEN(SUBSTITUTE('ARDT Cutter Entry'!Y29,"*",""))-2) )),"")</f>
        <v/>
      </c>
      <c r="EE30" s="2380"/>
      <c r="EF30" s="2380"/>
      <c r="EG30" s="2380"/>
      <c r="EH30" s="2380"/>
      <c r="EI30" s="2380"/>
      <c r="EJ30" s="2380" t="str">
        <f>IFERROR(IF('ARDT Cutter Entry'!$C$94&lt;&gt;"",IF(IFERROR(VALUE(RIGHT('ARDT Cutter Entry'!Z97,2)),1)=1, LEFT(SUBSTITUTE('ARDT Cutter Entry'!Z97,"*",""),LEN(SUBSTITUTE('ARDT Cutter Entry'!Z97,"*",""))-1),LEFT(SUBSTITUTE('ARDT Cutter Entry'!Z97,"*",""),LEN(SUBSTITUTE('ARDT Cutter Entry'!Z97,"*",""))-2)),IF(IFERROR(VALUE(RIGHT('ARDT Cutter Entry'!Z29,2)),1)=1, LEFT(SUBSTITUTE('ARDT Cutter Entry'!Z29,"*",""),LEN(SUBSTITUTE('ARDT Cutter Entry'!Z29,"*",""))-1),LEFT(SUBSTITUTE('ARDT Cutter Entry'!Z29,"*",""),LEN(SUBSTITUTE('ARDT Cutter Entry'!Z29,"*",""))-2) )),"")</f>
        <v/>
      </c>
      <c r="EK30" s="2380"/>
      <c r="EL30" s="2380"/>
      <c r="EM30" s="2380"/>
      <c r="EN30" s="2380"/>
      <c r="EO30" s="2380"/>
      <c r="EP30" s="2380" t="str">
        <f>IFERROR(IF('ARDT Cutter Entry'!$C$94&lt;&gt;"",IF(IFERROR(VALUE(RIGHT('ARDT Cutter Entry'!AA97,2)),1)=1, LEFT(SUBSTITUTE('ARDT Cutter Entry'!AA97,"*",""),LEN(SUBSTITUTE('ARDT Cutter Entry'!AA97,"*",""))-1),LEFT(SUBSTITUTE('ARDT Cutter Entry'!AA97,"*",""),LEN(SUBSTITUTE('ARDT Cutter Entry'!AA97,"*",""))-2)),IF(IFERROR(VALUE(RIGHT('ARDT Cutter Entry'!AA29,2)),1)=1, LEFT(SUBSTITUTE('ARDT Cutter Entry'!AA29,"*",""),LEN(SUBSTITUTE('ARDT Cutter Entry'!AA29,"*",""))-1),LEFT(SUBSTITUTE('ARDT Cutter Entry'!AA29,"*",""),LEN(SUBSTITUTE('ARDT Cutter Entry'!AA29,"*",""))-2) )),"")</f>
        <v/>
      </c>
      <c r="EQ30" s="2380"/>
      <c r="ER30" s="2380"/>
      <c r="ES30" s="2380"/>
      <c r="ET30" s="2380"/>
      <c r="EU30" s="2380"/>
      <c r="EV30" s="2380" t="str">
        <f>IFERROR(IF('ARDT Cutter Entry'!$C$94&lt;&gt;"",IF(IFERROR(VALUE(RIGHT('ARDT Cutter Entry'!AB97,2)),1)=1, LEFT(SUBSTITUTE('ARDT Cutter Entry'!AB97,"*",""),LEN(SUBSTITUTE('ARDT Cutter Entry'!AB97,"*",""))-1),LEFT(SUBSTITUTE('ARDT Cutter Entry'!AB97,"*",""),LEN(SUBSTITUTE('ARDT Cutter Entry'!AB97,"*",""))-2)),IF(IFERROR(VALUE(RIGHT('ARDT Cutter Entry'!AB29,2)),1)=1, LEFT(SUBSTITUTE('ARDT Cutter Entry'!AB29,"*",""),LEN(SUBSTITUTE('ARDT Cutter Entry'!AB29,"*",""))-1),LEFT(SUBSTITUTE('ARDT Cutter Entry'!AB29,"*",""),LEN(SUBSTITUTE('ARDT Cutter Entry'!AB29,"*",""))-2) )),"")</f>
        <v/>
      </c>
      <c r="EW30" s="2380"/>
      <c r="EX30" s="2380"/>
      <c r="EY30" s="2380"/>
      <c r="EZ30" s="2380"/>
      <c r="FA30" s="2380"/>
      <c r="FB30" s="2380" t="str">
        <f>IFERROR(IF('ARDT Cutter Entry'!$C$94&lt;&gt;"",IF(IFERROR(VALUE(RIGHT('ARDT Cutter Entry'!AC97,2)),1)=1, LEFT(SUBSTITUTE('ARDT Cutter Entry'!AC97,"*",""),LEN(SUBSTITUTE('ARDT Cutter Entry'!AC97,"*",""))-1),LEFT(SUBSTITUTE('ARDT Cutter Entry'!AC97,"*",""),LEN(SUBSTITUTE('ARDT Cutter Entry'!AC97,"*",""))-2)),IF(IFERROR(VALUE(RIGHT('ARDT Cutter Entry'!AC29,2)),1)=1, LEFT(SUBSTITUTE('ARDT Cutter Entry'!AC29,"*",""),LEN(SUBSTITUTE('ARDT Cutter Entry'!AC29,"*",""))-1),LEFT(SUBSTITUTE('ARDT Cutter Entry'!AC29,"*",""),LEN(SUBSTITUTE('ARDT Cutter Entry'!AC29,"*",""))-2) )),"")</f>
        <v/>
      </c>
      <c r="FC30" s="2380"/>
      <c r="FD30" s="2380"/>
      <c r="FE30" s="2380"/>
      <c r="FF30" s="2380"/>
      <c r="FG30" s="2380"/>
      <c r="FH30" s="2380" t="str">
        <f>IFERROR(IF('ARDT Cutter Entry'!$C$94&lt;&gt;"",IF(IFERROR(VALUE(RIGHT('ARDT Cutter Entry'!AD97,2)),1)=1, LEFT(SUBSTITUTE('ARDT Cutter Entry'!AD97,"*",""),LEN(SUBSTITUTE('ARDT Cutter Entry'!AD97,"*",""))-1),LEFT(SUBSTITUTE('ARDT Cutter Entry'!AD97,"*",""),LEN(SUBSTITUTE('ARDT Cutter Entry'!AD97,"*",""))-2)),IF(IFERROR(VALUE(RIGHT('ARDT Cutter Entry'!AD29,2)),1)=1, LEFT(SUBSTITUTE('ARDT Cutter Entry'!AD29,"*",""),LEN(SUBSTITUTE('ARDT Cutter Entry'!AD29,"*",""))-1),LEFT(SUBSTITUTE('ARDT Cutter Entry'!AD29,"*",""),LEN(SUBSTITUTE('ARDT Cutter Entry'!AD29,"*",""))-2) )),"")</f>
        <v/>
      </c>
      <c r="FI30" s="2380"/>
      <c r="FJ30" s="2380"/>
      <c r="FK30" s="2380"/>
      <c r="FL30" s="2380"/>
      <c r="FM30" s="2380"/>
      <c r="FN30" s="2380" t="str">
        <f>IFERROR(IF('ARDT Cutter Entry'!$C$94&lt;&gt;"",IF(IFERROR(VALUE(RIGHT('ARDT Cutter Entry'!AE97,2)),1)=1, LEFT(SUBSTITUTE('ARDT Cutter Entry'!AE97,"*",""),LEN(SUBSTITUTE('ARDT Cutter Entry'!AE97,"*",""))-1),LEFT(SUBSTITUTE('ARDT Cutter Entry'!AE97,"*",""),LEN(SUBSTITUTE('ARDT Cutter Entry'!AE97,"*",""))-2)),IF(IFERROR(VALUE(RIGHT('ARDT Cutter Entry'!AE29,2)),1)=1, LEFT(SUBSTITUTE('ARDT Cutter Entry'!AE29,"*",""),LEN(SUBSTITUTE('ARDT Cutter Entry'!AE29,"*",""))-1),LEFT(SUBSTITUTE('ARDT Cutter Entry'!AE29,"*",""),LEN(SUBSTITUTE('ARDT Cutter Entry'!AE29,"*",""))-2) )),"")</f>
        <v/>
      </c>
      <c r="FO30" s="2380"/>
      <c r="FP30" s="2380"/>
      <c r="FQ30" s="2380"/>
      <c r="FR30" s="2380"/>
      <c r="FS30" s="2380"/>
      <c r="FT30" s="2380" t="str">
        <f>IFERROR(IF('ARDT Cutter Entry'!$C$94&lt;&gt;"",IF(IFERROR(VALUE(RIGHT('ARDT Cutter Entry'!AG97,2)),1)=1, LEFT(SUBSTITUTE('ARDT Cutter Entry'!AG97,"*",""),LEN(SUBSTITUTE('ARDT Cutter Entry'!AG97,"*",""))-1),LEFT(SUBSTITUTE('ARDT Cutter Entry'!AG97,"*",""),LEN(SUBSTITUTE('ARDT Cutter Entry'!AG97,"*",""))-2)),IF(IFERROR(VALUE(RIGHT('ARDT Cutter Entry'!AG29,2)),1)=1, LEFT(SUBSTITUTE('ARDT Cutter Entry'!AG29,"*",""),LEN(SUBSTITUTE('ARDT Cutter Entry'!AG29,"*",""))-1),LEFT(SUBSTITUTE('ARDT Cutter Entry'!AG29,"*",""),LEN(SUBSTITUTE('ARDT Cutter Entry'!AG29,"*",""))-2) )),"")</f>
        <v/>
      </c>
      <c r="FU30" s="2380"/>
      <c r="FV30" s="2380"/>
      <c r="FW30" s="2380"/>
      <c r="FX30" s="2380"/>
      <c r="FY30" s="2380"/>
      <c r="FZ30" s="2380" t="str">
        <f>IFERROR(IF('ARDT Cutter Entry'!$C$94&lt;&gt;"",IF(IFERROR(VALUE(RIGHT('ARDT Cutter Entry'!AH97,2)),1)=1, LEFT(SUBSTITUTE('ARDT Cutter Entry'!AH97,"*",""),LEN(SUBSTITUTE('ARDT Cutter Entry'!AH97,"*",""))-1),LEFT(SUBSTITUTE('ARDT Cutter Entry'!AH97,"*",""),LEN(SUBSTITUTE('ARDT Cutter Entry'!AH97,"*",""))-2)),IF(IFERROR(VALUE(RIGHT('ARDT Cutter Entry'!AH29,2)),1)=1, LEFT(SUBSTITUTE('ARDT Cutter Entry'!AH29,"*",""),LEN(SUBSTITUTE('ARDT Cutter Entry'!AH29,"*",""))-1),LEFT(SUBSTITUTE('ARDT Cutter Entry'!AH29,"*",""),LEN(SUBSTITUTE('ARDT Cutter Entry'!AH29,"*",""))-2) )),"")</f>
        <v/>
      </c>
      <c r="GA30" s="2380"/>
      <c r="GB30" s="2380"/>
      <c r="GC30" s="2380"/>
      <c r="GD30" s="2380"/>
      <c r="GE30" s="2380"/>
      <c r="GF30" s="1132"/>
      <c r="GG30" s="1132"/>
    </row>
    <row r="31" spans="1:206" ht="44.25" customHeight="1" x14ac:dyDescent="0.55000000000000004">
      <c r="A31" s="338">
        <v>5</v>
      </c>
      <c r="B31" s="2380" t="str">
        <f>IFERROR(IF('ARDT Cutter Entry'!$C$94&lt;&gt;"",IF(IFERROR(VALUE(RIGHT('ARDT Cutter Entry'!C98,2)),1)=1, LEFT(SUBSTITUTE('ARDT Cutter Entry'!C98,"*",""),LEN(SUBSTITUTE('ARDT Cutter Entry'!C98,"*",""))-1),LEFT(SUBSTITUTE('ARDT Cutter Entry'!C98,"*",""),LEN(SUBSTITUTE('ARDT Cutter Entry'!C98,"*",""))-2)),IF(IFERROR(VALUE(RIGHT('ARDT Cutter Entry'!C30,2)),1)=1, LEFT(SUBSTITUTE('ARDT Cutter Entry'!C30,"*",""),LEN(SUBSTITUTE('ARDT Cutter Entry'!C30,"*",""))-1),LEFT(SUBSTITUTE('ARDT Cutter Entry'!C30,"*",""),LEN(SUBSTITUTE('ARDT Cutter Entry'!C30,"*",""))-2) )),"")</f>
        <v>R</v>
      </c>
      <c r="C31" s="2380"/>
      <c r="D31" s="2380"/>
      <c r="E31" s="2380"/>
      <c r="F31" s="2380"/>
      <c r="G31" s="2380"/>
      <c r="H31" s="2380" t="str">
        <f>IFERROR(IF('ARDT Cutter Entry'!$C$94&lt;&gt;"",IF(IFERROR(VALUE(RIGHT('ARDT Cutter Entry'!D98,2)),1)=1, LEFT(SUBSTITUTE('ARDT Cutter Entry'!D98,"*",""),LEN(SUBSTITUTE('ARDT Cutter Entry'!D98,"*",""))-1),LEFT(SUBSTITUTE('ARDT Cutter Entry'!D98,"*",""),LEN(SUBSTITUTE('ARDT Cutter Entry'!D98,"*",""))-2)),IF(IFERROR(VALUE(RIGHT('ARDT Cutter Entry'!D30,2)),1)=1, LEFT(SUBSTITUTE('ARDT Cutter Entry'!D30,"*",""),LEN(SUBSTITUTE('ARDT Cutter Entry'!D30,"*",""))-1),LEFT(SUBSTITUTE('ARDT Cutter Entry'!D30,"*",""),LEN(SUBSTITUTE('ARDT Cutter Entry'!D30,"*",""))-2) )),"")</f>
        <v>R</v>
      </c>
      <c r="I31" s="2380"/>
      <c r="J31" s="2380"/>
      <c r="K31" s="2380"/>
      <c r="L31" s="2380"/>
      <c r="M31" s="2380"/>
      <c r="N31" s="2380" t="str">
        <f>IFERROR(IF('ARDT Cutter Entry'!$C$94&lt;&gt;"",IF(IFERROR(VALUE(RIGHT('ARDT Cutter Entry'!E98,2)),1)=1, LEFT(SUBSTITUTE('ARDT Cutter Entry'!E98,"*",""),LEN(SUBSTITUTE('ARDT Cutter Entry'!E98,"*",""))-1),LEFT(SUBSTITUTE('ARDT Cutter Entry'!E98,"*",""),LEN(SUBSTITUTE('ARDT Cutter Entry'!E98,"*",""))-2)),IF(IFERROR(VALUE(RIGHT('ARDT Cutter Entry'!E30,2)),1)=1, LEFT(SUBSTITUTE('ARDT Cutter Entry'!E30,"*",""),LEN(SUBSTITUTE('ARDT Cutter Entry'!E30,"*",""))-1),LEFT(SUBSTITUTE('ARDT Cutter Entry'!E30,"*",""),LEN(SUBSTITUTE('ARDT Cutter Entry'!E30,"*",""))-2) )),"")</f>
        <v>X</v>
      </c>
      <c r="O31" s="2380"/>
      <c r="P31" s="2380"/>
      <c r="Q31" s="2380"/>
      <c r="R31" s="2380"/>
      <c r="S31" s="2380"/>
      <c r="T31" s="2380" t="str">
        <f>IFERROR(IF('ARDT Cutter Entry'!$C$94&lt;&gt;"",IF(IFERROR(VALUE(RIGHT('ARDT Cutter Entry'!F98,2)),1)=1, LEFT(SUBSTITUTE('ARDT Cutter Entry'!F98,"*",""),LEN(SUBSTITUTE('ARDT Cutter Entry'!F98,"*",""))-1),LEFT(SUBSTITUTE('ARDT Cutter Entry'!F98,"*",""),LEN(SUBSTITUTE('ARDT Cutter Entry'!F98,"*",""))-2)),IF(IFERROR(VALUE(RIGHT('ARDT Cutter Entry'!F30,2)),1)=1, LEFT(SUBSTITUTE('ARDT Cutter Entry'!F30,"*",""),LEN(SUBSTITUTE('ARDT Cutter Entry'!F30,"*",""))-1),LEFT(SUBSTITUTE('ARDT Cutter Entry'!F30,"*",""),LEN(SUBSTITUTE('ARDT Cutter Entry'!F30,"*",""))-2) )),"")</f>
        <v>X</v>
      </c>
      <c r="U31" s="2380"/>
      <c r="V31" s="2380"/>
      <c r="W31" s="2380"/>
      <c r="X31" s="2380"/>
      <c r="Y31" s="2380"/>
      <c r="Z31" s="2380" t="str">
        <f>IFERROR(IF('ARDT Cutter Entry'!$C$94&lt;&gt;"",IF(IFERROR(VALUE(RIGHT('ARDT Cutter Entry'!G98,2)),1)=1, LEFT(SUBSTITUTE('ARDT Cutter Entry'!G98,"*",""),LEN(SUBSTITUTE('ARDT Cutter Entry'!G98,"*",""))-1),LEFT(SUBSTITUTE('ARDT Cutter Entry'!G98,"*",""),LEN(SUBSTITUTE('ARDT Cutter Entry'!G98,"*",""))-2)),IF(IFERROR(VALUE(RIGHT('ARDT Cutter Entry'!G30,2)),1)=1, LEFT(SUBSTITUTE('ARDT Cutter Entry'!G30,"*",""),LEN(SUBSTITUTE('ARDT Cutter Entry'!G30,"*",""))-1),LEFT(SUBSTITUTE('ARDT Cutter Entry'!G30,"*",""),LEN(SUBSTITUTE('ARDT Cutter Entry'!G30,"*",""))-2) )),"")</f>
        <v>X</v>
      </c>
      <c r="AA31" s="2380"/>
      <c r="AB31" s="2380"/>
      <c r="AC31" s="2380"/>
      <c r="AD31" s="2380"/>
      <c r="AE31" s="2380"/>
      <c r="AF31" s="2380" t="str">
        <f>IFERROR(IF('ARDT Cutter Entry'!$C$94&lt;&gt;"",IF(IFERROR(VALUE(RIGHT('ARDT Cutter Entry'!H98,2)),1)=1, LEFT(SUBSTITUTE('ARDT Cutter Entry'!H98,"*",""),LEN(SUBSTITUTE('ARDT Cutter Entry'!H98,"*",""))-1),LEFT(SUBSTITUTE('ARDT Cutter Entry'!H98,"*",""),LEN(SUBSTITUTE('ARDT Cutter Entry'!H98,"*",""))-2)),IF(IFERROR(VALUE(RIGHT('ARDT Cutter Entry'!H30,2)),1)=1, LEFT(SUBSTITUTE('ARDT Cutter Entry'!H30,"*",""),LEN(SUBSTITUTE('ARDT Cutter Entry'!H30,"*",""))-1),LEFT(SUBSTITUTE('ARDT Cutter Entry'!H30,"*",""),LEN(SUBSTITUTE('ARDT Cutter Entry'!H30,"*",""))-2) )),"")</f>
        <v>X</v>
      </c>
      <c r="AG31" s="2380"/>
      <c r="AH31" s="2380"/>
      <c r="AI31" s="2380"/>
      <c r="AJ31" s="2380"/>
      <c r="AK31" s="2380"/>
      <c r="AL31" s="2380" t="str">
        <f>IFERROR(IF('ARDT Cutter Entry'!$C$94&lt;&gt;"",IF(IFERROR(VALUE(RIGHT('ARDT Cutter Entry'!I98,2)),1)=1, LEFT(SUBSTITUTE('ARDT Cutter Entry'!I98,"*",""),LEN(SUBSTITUTE('ARDT Cutter Entry'!I98,"*",""))-1),LEFT(SUBSTITUTE('ARDT Cutter Entry'!I98,"*",""),LEN(SUBSTITUTE('ARDT Cutter Entry'!I98,"*",""))-2)),IF(IFERROR(VALUE(RIGHT('ARDT Cutter Entry'!I30,2)),1)=1, LEFT(SUBSTITUTE('ARDT Cutter Entry'!I30,"*",""),LEN(SUBSTITUTE('ARDT Cutter Entry'!I30,"*",""))-1),LEFT(SUBSTITUTE('ARDT Cutter Entry'!I30,"*",""),LEN(SUBSTITUTE('ARDT Cutter Entry'!I30,"*",""))-2) )),"")</f>
        <v>R</v>
      </c>
      <c r="AM31" s="2380"/>
      <c r="AN31" s="2380"/>
      <c r="AO31" s="2380"/>
      <c r="AP31" s="2380"/>
      <c r="AQ31" s="2380"/>
      <c r="AR31" s="2380" t="str">
        <f>IFERROR(IF('ARDT Cutter Entry'!$C$94&lt;&gt;"",IF(IFERROR(VALUE(RIGHT('ARDT Cutter Entry'!J98,2)),1)=1, LEFT(SUBSTITUTE('ARDT Cutter Entry'!J98,"*",""),LEN(SUBSTITUTE('ARDT Cutter Entry'!J98,"*",""))-1),LEFT(SUBSTITUTE('ARDT Cutter Entry'!J98,"*",""),LEN(SUBSTITUTE('ARDT Cutter Entry'!J98,"*",""))-2)),IF(IFERROR(VALUE(RIGHT('ARDT Cutter Entry'!J30,2)),1)=1, LEFT(SUBSTITUTE('ARDT Cutter Entry'!J30,"*",""),LEN(SUBSTITUTE('ARDT Cutter Entry'!J30,"*",""))-1),LEFT(SUBSTITUTE('ARDT Cutter Entry'!J30,"*",""),LEN(SUBSTITUTE('ARDT Cutter Entry'!J30,"*",""))-2) )),"")</f>
        <v>X</v>
      </c>
      <c r="AS31" s="2380"/>
      <c r="AT31" s="2380"/>
      <c r="AU31" s="2380"/>
      <c r="AV31" s="2380"/>
      <c r="AW31" s="2380"/>
      <c r="AX31" s="2380" t="str">
        <f>IFERROR(IF('ARDT Cutter Entry'!$C$94&lt;&gt;"",IF(IFERROR(VALUE(RIGHT('ARDT Cutter Entry'!K98,2)),1)=1, LEFT(SUBSTITUTE('ARDT Cutter Entry'!K98,"*",""),LEN(SUBSTITUTE('ARDT Cutter Entry'!K98,"*",""))-1),LEFT(SUBSTITUTE('ARDT Cutter Entry'!K98,"*",""),LEN(SUBSTITUTE('ARDT Cutter Entry'!K98,"*",""))-2)),IF(IFERROR(VALUE(RIGHT('ARDT Cutter Entry'!K30,2)),1)=1, LEFT(SUBSTITUTE('ARDT Cutter Entry'!K30,"*",""),LEN(SUBSTITUTE('ARDT Cutter Entry'!K30,"*",""))-1),LEFT(SUBSTITUTE('ARDT Cutter Entry'!K30,"*",""),LEN(SUBSTITUTE('ARDT Cutter Entry'!K30,"*",""))-2) )),"")</f>
        <v/>
      </c>
      <c r="AY31" s="2380"/>
      <c r="AZ31" s="2380"/>
      <c r="BA31" s="2380"/>
      <c r="BB31" s="2380"/>
      <c r="BC31" s="2380"/>
      <c r="BD31" s="2380" t="str">
        <f>IFERROR(IF('ARDT Cutter Entry'!$C$94&lt;&gt;"",IF(IFERROR(VALUE(RIGHT('ARDT Cutter Entry'!L98,2)),1)=1, LEFT(SUBSTITUTE('ARDT Cutter Entry'!L98,"*",""),LEN(SUBSTITUTE('ARDT Cutter Entry'!L98,"*",""))-1),LEFT(SUBSTITUTE('ARDT Cutter Entry'!L98,"*",""),LEN(SUBSTITUTE('ARDT Cutter Entry'!L98,"*",""))-2)),IF(IFERROR(VALUE(RIGHT('ARDT Cutter Entry'!L30,2)),1)=1, LEFT(SUBSTITUTE('ARDT Cutter Entry'!L30,"*",""),LEN(SUBSTITUTE('ARDT Cutter Entry'!L30,"*",""))-1),LEFT(SUBSTITUTE('ARDT Cutter Entry'!L30,"*",""),LEN(SUBSTITUTE('ARDT Cutter Entry'!L30,"*",""))-2) )),"")</f>
        <v>R</v>
      </c>
      <c r="BE31" s="2380"/>
      <c r="BF31" s="2380"/>
      <c r="BG31" s="2380"/>
      <c r="BH31" s="2380"/>
      <c r="BI31" s="2380"/>
      <c r="BJ31" s="2380" t="str">
        <f>IFERROR(IF('ARDT Cutter Entry'!$C$94&lt;&gt;"",IF(IFERROR(VALUE(RIGHT('ARDT Cutter Entry'!M98,2)),1)=1, LEFT(SUBSTITUTE('ARDT Cutter Entry'!M98,"*",""),LEN(SUBSTITUTE('ARDT Cutter Entry'!M98,"*",""))-1),LEFT(SUBSTITUTE('ARDT Cutter Entry'!M98,"*",""),LEN(SUBSTITUTE('ARDT Cutter Entry'!M98,"*",""))-2)),IF(IFERROR(VALUE(RIGHT('ARDT Cutter Entry'!M30,2)),1)=1, LEFT(SUBSTITUTE('ARDT Cutter Entry'!M30,"*",""),LEN(SUBSTITUTE('ARDT Cutter Entry'!M30,"*",""))-1),LEFT(SUBSTITUTE('ARDT Cutter Entry'!M30,"*",""),LEN(SUBSTITUTE('ARDT Cutter Entry'!M30,"*",""))-2) )),"")</f>
        <v>X</v>
      </c>
      <c r="BK31" s="2380"/>
      <c r="BL31" s="2380"/>
      <c r="BM31" s="2380"/>
      <c r="BN31" s="2380"/>
      <c r="BO31" s="2380"/>
      <c r="BP31" s="2380" t="str">
        <f>IFERROR(IF('ARDT Cutter Entry'!$C$94&lt;&gt;"",IF(IFERROR(VALUE(RIGHT('ARDT Cutter Entry'!N98,2)),1)=1, LEFT(SUBSTITUTE('ARDT Cutter Entry'!N98,"*",""),LEN(SUBSTITUTE('ARDT Cutter Entry'!N98,"*",""))-1),LEFT(SUBSTITUTE('ARDT Cutter Entry'!N98,"*",""),LEN(SUBSTITUTE('ARDT Cutter Entry'!N98,"*",""))-2)),IF(IFERROR(VALUE(RIGHT('ARDT Cutter Entry'!N30,2)),1)=1, LEFT(SUBSTITUTE('ARDT Cutter Entry'!N30,"*",""),LEN(SUBSTITUTE('ARDT Cutter Entry'!N30,"*",""))-1),LEFT(SUBSTITUTE('ARDT Cutter Entry'!N30,"*",""),LEN(SUBSTITUTE('ARDT Cutter Entry'!N30,"*",""))-2) )),"")</f>
        <v>R</v>
      </c>
      <c r="BQ31" s="2380"/>
      <c r="BR31" s="2380"/>
      <c r="BS31" s="2380"/>
      <c r="BT31" s="2380"/>
      <c r="BU31" s="2380"/>
      <c r="BV31" s="2380" t="str">
        <f>IFERROR(IF('ARDT Cutter Entry'!$C$94&lt;&gt;"",IF(IFERROR(VALUE(RIGHT('ARDT Cutter Entry'!O98,2)),1)=1, LEFT(SUBSTITUTE('ARDT Cutter Entry'!O98,"*",""),LEN(SUBSTITUTE('ARDT Cutter Entry'!O98,"*",""))-1),LEFT(SUBSTITUTE('ARDT Cutter Entry'!O98,"*",""),LEN(SUBSTITUTE('ARDT Cutter Entry'!O98,"*",""))-2)),IF(IFERROR(VALUE(RIGHT('ARDT Cutter Entry'!O30,2)),1)=1, LEFT(SUBSTITUTE('ARDT Cutter Entry'!O30,"*",""),LEN(SUBSTITUTE('ARDT Cutter Entry'!O30,"*",""))-1),LEFT(SUBSTITUTE('ARDT Cutter Entry'!O30,"*",""),LEN(SUBSTITUTE('ARDT Cutter Entry'!O30,"*",""))-2) )),"")</f>
        <v>R</v>
      </c>
      <c r="BW31" s="2380"/>
      <c r="BX31" s="2380"/>
      <c r="BY31" s="2380"/>
      <c r="BZ31" s="2380"/>
      <c r="CA31" s="2380"/>
      <c r="CB31" s="2380" t="str">
        <f>IFERROR(IF('ARDT Cutter Entry'!$C$94&lt;&gt;"",IF(IFERROR(VALUE(RIGHT('ARDT Cutter Entry'!P98,2)),1)=1, LEFT(SUBSTITUTE('ARDT Cutter Entry'!P98,"*",""),LEN(SUBSTITUTE('ARDT Cutter Entry'!P98,"*",""))-1),LEFT(SUBSTITUTE('ARDT Cutter Entry'!P98,"*",""),LEN(SUBSTITUTE('ARDT Cutter Entry'!P98,"*",""))-2)),IF(IFERROR(VALUE(RIGHT('ARDT Cutter Entry'!P30,2)),1)=1, LEFT(SUBSTITUTE('ARDT Cutter Entry'!P30,"*",""),LEN(SUBSTITUTE('ARDT Cutter Entry'!P30,"*",""))-1),LEFT(SUBSTITUTE('ARDT Cutter Entry'!P30,"*",""),LEN(SUBSTITUTE('ARDT Cutter Entry'!P30,"*",""))-2) )),"")</f>
        <v/>
      </c>
      <c r="CC31" s="2380"/>
      <c r="CD31" s="2380"/>
      <c r="CE31" s="2380"/>
      <c r="CF31" s="2380"/>
      <c r="CG31" s="2380"/>
      <c r="CH31" s="2380" t="str">
        <f>IFERROR(IF('ARDT Cutter Entry'!$C$94&lt;&gt;"",IF(IFERROR(VALUE(RIGHT('ARDT Cutter Entry'!Q98,2)),1)=1, LEFT(SUBSTITUTE('ARDT Cutter Entry'!Q98,"*",""),LEN(SUBSTITUTE('ARDT Cutter Entry'!Q98,"*",""))-1),LEFT(SUBSTITUTE('ARDT Cutter Entry'!Q98,"*",""),LEN(SUBSTITUTE('ARDT Cutter Entry'!Q98,"*",""))-2)),IF(IFERROR(VALUE(RIGHT('ARDT Cutter Entry'!Q30,2)),1)=1, LEFT(SUBSTITUTE('ARDT Cutter Entry'!Q30,"*",""),LEN(SUBSTITUTE('ARDT Cutter Entry'!Q30,"*",""))-1),LEFT(SUBSTITUTE('ARDT Cutter Entry'!Q30,"*",""),LEN(SUBSTITUTE('ARDT Cutter Entry'!Q30,"*",""))-2) )),"")</f>
        <v/>
      </c>
      <c r="CI31" s="2380"/>
      <c r="CJ31" s="2380"/>
      <c r="CK31" s="2380"/>
      <c r="CL31" s="2380"/>
      <c r="CM31" s="2380"/>
      <c r="CN31" s="2380" t="str">
        <f>IFERROR(IF('ARDT Cutter Entry'!$C$94&lt;&gt;"",IF(IFERROR(VALUE(RIGHT('ARDT Cutter Entry'!R98,2)),1)=1, LEFT(SUBSTITUTE('ARDT Cutter Entry'!R98,"*",""),LEN(SUBSTITUTE('ARDT Cutter Entry'!R98,"*",""))-1),LEFT(SUBSTITUTE('ARDT Cutter Entry'!R98,"*",""),LEN(SUBSTITUTE('ARDT Cutter Entry'!R98,"*",""))-2)),IF(IFERROR(VALUE(RIGHT('ARDT Cutter Entry'!R30,2)),1)=1, LEFT(SUBSTITUTE('ARDT Cutter Entry'!R30,"*",""),LEN(SUBSTITUTE('ARDT Cutter Entry'!R30,"*",""))-1),LEFT(SUBSTITUTE('ARDT Cutter Entry'!R30,"*",""),LEN(SUBSTITUTE('ARDT Cutter Entry'!R30,"*",""))-2) )),"")</f>
        <v/>
      </c>
      <c r="CO31" s="2380"/>
      <c r="CP31" s="2380"/>
      <c r="CQ31" s="2380"/>
      <c r="CR31" s="2380"/>
      <c r="CS31" s="2380"/>
      <c r="CT31" s="2380" t="str">
        <f>IFERROR(IF('ARDT Cutter Entry'!$C$94&lt;&gt;"",IF(IFERROR(VALUE(RIGHT('ARDT Cutter Entry'!S98,2)),1)=1, LEFT(SUBSTITUTE('ARDT Cutter Entry'!S98,"*",""),LEN(SUBSTITUTE('ARDT Cutter Entry'!S98,"*",""))-1),LEFT(SUBSTITUTE('ARDT Cutter Entry'!S98,"*",""),LEN(SUBSTITUTE('ARDT Cutter Entry'!S98,"*",""))-2)),IF(IFERROR(VALUE(RIGHT('ARDT Cutter Entry'!S30,2)),1)=1, LEFT(SUBSTITUTE('ARDT Cutter Entry'!S30,"*",""),LEN(SUBSTITUTE('ARDT Cutter Entry'!S30,"*",""))-1),LEFT(SUBSTITUTE('ARDT Cutter Entry'!S30,"*",""),LEN(SUBSTITUTE('ARDT Cutter Entry'!S30,"*",""))-2) )),"")</f>
        <v/>
      </c>
      <c r="CU31" s="2380"/>
      <c r="CV31" s="2380"/>
      <c r="CW31" s="2380"/>
      <c r="CX31" s="2380"/>
      <c r="CY31" s="2380"/>
      <c r="CZ31" s="2380" t="str">
        <f>IFERROR(IF('ARDT Cutter Entry'!$C$94&lt;&gt;"",IF(IFERROR(VALUE(RIGHT('ARDT Cutter Entry'!T98,2)),1)=1, LEFT(SUBSTITUTE('ARDT Cutter Entry'!T98,"*",""),LEN(SUBSTITUTE('ARDT Cutter Entry'!T98,"*",""))-1),LEFT(SUBSTITUTE('ARDT Cutter Entry'!T98,"*",""),LEN(SUBSTITUTE('ARDT Cutter Entry'!T98,"*",""))-2)),IF(IFERROR(VALUE(RIGHT('ARDT Cutter Entry'!T30,2)),1)=1, LEFT(SUBSTITUTE('ARDT Cutter Entry'!T30,"*",""),LEN(SUBSTITUTE('ARDT Cutter Entry'!T30,"*",""))-1),LEFT(SUBSTITUTE('ARDT Cutter Entry'!T30,"*",""),LEN(SUBSTITUTE('ARDT Cutter Entry'!T30,"*",""))-2) )),"")</f>
        <v/>
      </c>
      <c r="DA31" s="2380"/>
      <c r="DB31" s="2380"/>
      <c r="DC31" s="2380"/>
      <c r="DD31" s="2380"/>
      <c r="DE31" s="2380"/>
      <c r="DF31" s="2380" t="str">
        <f>IFERROR(IF('ARDT Cutter Entry'!$C$94&lt;&gt;"",IF(IFERROR(VALUE(RIGHT('ARDT Cutter Entry'!U98,2)),1)=1, LEFT(SUBSTITUTE('ARDT Cutter Entry'!U98,"*",""),LEN(SUBSTITUTE('ARDT Cutter Entry'!U98,"*",""))-1),LEFT(SUBSTITUTE('ARDT Cutter Entry'!U98,"*",""),LEN(SUBSTITUTE('ARDT Cutter Entry'!U98,"*",""))-2)),IF(IFERROR(VALUE(RIGHT('ARDT Cutter Entry'!U30,2)),1)=1, LEFT(SUBSTITUTE('ARDT Cutter Entry'!U30,"*",""),LEN(SUBSTITUTE('ARDT Cutter Entry'!U30,"*",""))-1),LEFT(SUBSTITUTE('ARDT Cutter Entry'!U30,"*",""),LEN(SUBSTITUTE('ARDT Cutter Entry'!U30,"*",""))-2) )),"")</f>
        <v/>
      </c>
      <c r="DG31" s="2380"/>
      <c r="DH31" s="2380"/>
      <c r="DI31" s="2380"/>
      <c r="DJ31" s="2380"/>
      <c r="DK31" s="2380"/>
      <c r="DL31" s="2380" t="str">
        <f>IFERROR(IF('ARDT Cutter Entry'!$C$94&lt;&gt;"",IF(IFERROR(VALUE(RIGHT('ARDT Cutter Entry'!V98,2)),1)=1, LEFT(SUBSTITUTE('ARDT Cutter Entry'!V98,"*",""),LEN(SUBSTITUTE('ARDT Cutter Entry'!V98,"*",""))-1),LEFT(SUBSTITUTE('ARDT Cutter Entry'!V98,"*",""),LEN(SUBSTITUTE('ARDT Cutter Entry'!V98,"*",""))-2)),IF(IFERROR(VALUE(RIGHT('ARDT Cutter Entry'!V30,2)),1)=1, LEFT(SUBSTITUTE('ARDT Cutter Entry'!V30,"*",""),LEN(SUBSTITUTE('ARDT Cutter Entry'!V30,"*",""))-1),LEFT(SUBSTITUTE('ARDT Cutter Entry'!V30,"*",""),LEN(SUBSTITUTE('ARDT Cutter Entry'!V30,"*",""))-2) )),"")</f>
        <v/>
      </c>
      <c r="DM31" s="2380"/>
      <c r="DN31" s="2380"/>
      <c r="DO31" s="2380"/>
      <c r="DP31" s="2380"/>
      <c r="DQ31" s="2380"/>
      <c r="DR31" s="2380" t="str">
        <f>IFERROR(IF('ARDT Cutter Entry'!$C$94&lt;&gt;"",IF(IFERROR(VALUE(RIGHT('ARDT Cutter Entry'!W98,2)),1)=1, LEFT(SUBSTITUTE('ARDT Cutter Entry'!W98,"*",""),LEN(SUBSTITUTE('ARDT Cutter Entry'!W98,"*",""))-1),LEFT(SUBSTITUTE('ARDT Cutter Entry'!W98,"*",""),LEN(SUBSTITUTE('ARDT Cutter Entry'!W98,"*",""))-2)),IF(IFERROR(VALUE(RIGHT('ARDT Cutter Entry'!W30,2)),1)=1, LEFT(SUBSTITUTE('ARDT Cutter Entry'!W30,"*",""),LEN(SUBSTITUTE('ARDT Cutter Entry'!W30,"*",""))-1),LEFT(SUBSTITUTE('ARDT Cutter Entry'!W30,"*",""),LEN(SUBSTITUTE('ARDT Cutter Entry'!W30,"*",""))-2) )),"")</f>
        <v/>
      </c>
      <c r="DS31" s="2380"/>
      <c r="DT31" s="2380"/>
      <c r="DU31" s="2380"/>
      <c r="DV31" s="2380"/>
      <c r="DW31" s="2380"/>
      <c r="DX31" s="2380" t="str">
        <f>IFERROR(IF('ARDT Cutter Entry'!$C$94&lt;&gt;"",IF(IFERROR(VALUE(RIGHT('ARDT Cutter Entry'!X98,2)),1)=1, LEFT(SUBSTITUTE('ARDT Cutter Entry'!X98,"*",""),LEN(SUBSTITUTE('ARDT Cutter Entry'!X98,"*",""))-1),LEFT(SUBSTITUTE('ARDT Cutter Entry'!X98,"*",""),LEN(SUBSTITUTE('ARDT Cutter Entry'!X98,"*",""))-2)),IF(IFERROR(VALUE(RIGHT('ARDT Cutter Entry'!X30,2)),1)=1, LEFT(SUBSTITUTE('ARDT Cutter Entry'!X30,"*",""),LEN(SUBSTITUTE('ARDT Cutter Entry'!X30,"*",""))-1),LEFT(SUBSTITUTE('ARDT Cutter Entry'!X30,"*",""),LEN(SUBSTITUTE('ARDT Cutter Entry'!X30,"*",""))-2) )),"")</f>
        <v/>
      </c>
      <c r="DY31" s="2380"/>
      <c r="DZ31" s="2380"/>
      <c r="EA31" s="2380"/>
      <c r="EB31" s="2380"/>
      <c r="EC31" s="2380"/>
      <c r="ED31" s="2380" t="str">
        <f>IFERROR(IF('ARDT Cutter Entry'!$C$94&lt;&gt;"",IF(IFERROR(VALUE(RIGHT('ARDT Cutter Entry'!Y98,2)),1)=1, LEFT(SUBSTITUTE('ARDT Cutter Entry'!Y98,"*",""),LEN(SUBSTITUTE('ARDT Cutter Entry'!Y98,"*",""))-1),LEFT(SUBSTITUTE('ARDT Cutter Entry'!Y98,"*",""),LEN(SUBSTITUTE('ARDT Cutter Entry'!Y98,"*",""))-2)),IF(IFERROR(VALUE(RIGHT('ARDT Cutter Entry'!Y30,2)),1)=1, LEFT(SUBSTITUTE('ARDT Cutter Entry'!Y30,"*",""),LEN(SUBSTITUTE('ARDT Cutter Entry'!Y30,"*",""))-1),LEFT(SUBSTITUTE('ARDT Cutter Entry'!Y30,"*",""),LEN(SUBSTITUTE('ARDT Cutter Entry'!Y30,"*",""))-2) )),"")</f>
        <v/>
      </c>
      <c r="EE31" s="2380"/>
      <c r="EF31" s="2380"/>
      <c r="EG31" s="2380"/>
      <c r="EH31" s="2380"/>
      <c r="EI31" s="2380"/>
      <c r="EJ31" s="2380" t="str">
        <f>IFERROR(IF('ARDT Cutter Entry'!$C$94&lt;&gt;"",IF(IFERROR(VALUE(RIGHT('ARDT Cutter Entry'!Z98,2)),1)=1, LEFT(SUBSTITUTE('ARDT Cutter Entry'!Z98,"*",""),LEN(SUBSTITUTE('ARDT Cutter Entry'!Z98,"*",""))-1),LEFT(SUBSTITUTE('ARDT Cutter Entry'!Z98,"*",""),LEN(SUBSTITUTE('ARDT Cutter Entry'!Z98,"*",""))-2)),IF(IFERROR(VALUE(RIGHT('ARDT Cutter Entry'!Z30,2)),1)=1, LEFT(SUBSTITUTE('ARDT Cutter Entry'!Z30,"*",""),LEN(SUBSTITUTE('ARDT Cutter Entry'!Z30,"*",""))-1),LEFT(SUBSTITUTE('ARDT Cutter Entry'!Z30,"*",""),LEN(SUBSTITUTE('ARDT Cutter Entry'!Z30,"*",""))-2) )),"")</f>
        <v/>
      </c>
      <c r="EK31" s="2380"/>
      <c r="EL31" s="2380"/>
      <c r="EM31" s="2380"/>
      <c r="EN31" s="2380"/>
      <c r="EO31" s="2380"/>
      <c r="EP31" s="2380" t="str">
        <f>IFERROR(IF('ARDT Cutter Entry'!$C$94&lt;&gt;"",IF(IFERROR(VALUE(RIGHT('ARDT Cutter Entry'!AA98,2)),1)=1, LEFT(SUBSTITUTE('ARDT Cutter Entry'!AA98,"*",""),LEN(SUBSTITUTE('ARDT Cutter Entry'!AA98,"*",""))-1),LEFT(SUBSTITUTE('ARDT Cutter Entry'!AA98,"*",""),LEN(SUBSTITUTE('ARDT Cutter Entry'!AA98,"*",""))-2)),IF(IFERROR(VALUE(RIGHT('ARDT Cutter Entry'!AA30,2)),1)=1, LEFT(SUBSTITUTE('ARDT Cutter Entry'!AA30,"*",""),LEN(SUBSTITUTE('ARDT Cutter Entry'!AA30,"*",""))-1),LEFT(SUBSTITUTE('ARDT Cutter Entry'!AA30,"*",""),LEN(SUBSTITUTE('ARDT Cutter Entry'!AA30,"*",""))-2) )),"")</f>
        <v/>
      </c>
      <c r="EQ31" s="2380"/>
      <c r="ER31" s="2380"/>
      <c r="ES31" s="2380"/>
      <c r="ET31" s="2380"/>
      <c r="EU31" s="2380"/>
      <c r="EV31" s="2380" t="str">
        <f>IFERROR(IF('ARDT Cutter Entry'!$C$94&lt;&gt;"",IF(IFERROR(VALUE(RIGHT('ARDT Cutter Entry'!AB98,2)),1)=1, LEFT(SUBSTITUTE('ARDT Cutter Entry'!AB98,"*",""),LEN(SUBSTITUTE('ARDT Cutter Entry'!AB98,"*",""))-1),LEFT(SUBSTITUTE('ARDT Cutter Entry'!AB98,"*",""),LEN(SUBSTITUTE('ARDT Cutter Entry'!AB98,"*",""))-2)),IF(IFERROR(VALUE(RIGHT('ARDT Cutter Entry'!AB30,2)),1)=1, LEFT(SUBSTITUTE('ARDT Cutter Entry'!AB30,"*",""),LEN(SUBSTITUTE('ARDT Cutter Entry'!AB30,"*",""))-1),LEFT(SUBSTITUTE('ARDT Cutter Entry'!AB30,"*",""),LEN(SUBSTITUTE('ARDT Cutter Entry'!AB30,"*",""))-2) )),"")</f>
        <v/>
      </c>
      <c r="EW31" s="2380"/>
      <c r="EX31" s="2380"/>
      <c r="EY31" s="2380"/>
      <c r="EZ31" s="2380"/>
      <c r="FA31" s="2380"/>
      <c r="FB31" s="2380" t="str">
        <f>IFERROR(IF('ARDT Cutter Entry'!$C$94&lt;&gt;"",IF(IFERROR(VALUE(RIGHT('ARDT Cutter Entry'!AC98,2)),1)=1, LEFT(SUBSTITUTE('ARDT Cutter Entry'!AC98,"*",""),LEN(SUBSTITUTE('ARDT Cutter Entry'!AC98,"*",""))-1),LEFT(SUBSTITUTE('ARDT Cutter Entry'!AC98,"*",""),LEN(SUBSTITUTE('ARDT Cutter Entry'!AC98,"*",""))-2)),IF(IFERROR(VALUE(RIGHT('ARDT Cutter Entry'!AC30,2)),1)=1, LEFT(SUBSTITUTE('ARDT Cutter Entry'!AC30,"*",""),LEN(SUBSTITUTE('ARDT Cutter Entry'!AC30,"*",""))-1),LEFT(SUBSTITUTE('ARDT Cutter Entry'!AC30,"*",""),LEN(SUBSTITUTE('ARDT Cutter Entry'!AC30,"*",""))-2) )),"")</f>
        <v/>
      </c>
      <c r="FC31" s="2380"/>
      <c r="FD31" s="2380"/>
      <c r="FE31" s="2380"/>
      <c r="FF31" s="2380"/>
      <c r="FG31" s="2380"/>
      <c r="FH31" s="2380" t="str">
        <f>IFERROR(IF('ARDT Cutter Entry'!$C$94&lt;&gt;"",IF(IFERROR(VALUE(RIGHT('ARDT Cutter Entry'!AD98,2)),1)=1, LEFT(SUBSTITUTE('ARDT Cutter Entry'!AD98,"*",""),LEN(SUBSTITUTE('ARDT Cutter Entry'!AD98,"*",""))-1),LEFT(SUBSTITUTE('ARDT Cutter Entry'!AD98,"*",""),LEN(SUBSTITUTE('ARDT Cutter Entry'!AD98,"*",""))-2)),IF(IFERROR(VALUE(RIGHT('ARDT Cutter Entry'!AD30,2)),1)=1, LEFT(SUBSTITUTE('ARDT Cutter Entry'!AD30,"*",""),LEN(SUBSTITUTE('ARDT Cutter Entry'!AD30,"*",""))-1),LEFT(SUBSTITUTE('ARDT Cutter Entry'!AD30,"*",""),LEN(SUBSTITUTE('ARDT Cutter Entry'!AD30,"*",""))-2) )),"")</f>
        <v/>
      </c>
      <c r="FI31" s="2380"/>
      <c r="FJ31" s="2380"/>
      <c r="FK31" s="2380"/>
      <c r="FL31" s="2380"/>
      <c r="FM31" s="2380"/>
      <c r="FN31" s="2380" t="str">
        <f>IFERROR(IF('ARDT Cutter Entry'!$C$94&lt;&gt;"",IF(IFERROR(VALUE(RIGHT('ARDT Cutter Entry'!AE98,2)),1)=1, LEFT(SUBSTITUTE('ARDT Cutter Entry'!AE98,"*",""),LEN(SUBSTITUTE('ARDT Cutter Entry'!AE98,"*",""))-1),LEFT(SUBSTITUTE('ARDT Cutter Entry'!AE98,"*",""),LEN(SUBSTITUTE('ARDT Cutter Entry'!AE98,"*",""))-2)),IF(IFERROR(VALUE(RIGHT('ARDT Cutter Entry'!AE30,2)),1)=1, LEFT(SUBSTITUTE('ARDT Cutter Entry'!AE30,"*",""),LEN(SUBSTITUTE('ARDT Cutter Entry'!AE30,"*",""))-1),LEFT(SUBSTITUTE('ARDT Cutter Entry'!AE30,"*",""),LEN(SUBSTITUTE('ARDT Cutter Entry'!AE30,"*",""))-2) )),"")</f>
        <v/>
      </c>
      <c r="FO31" s="2380"/>
      <c r="FP31" s="2380"/>
      <c r="FQ31" s="2380"/>
      <c r="FR31" s="2380"/>
      <c r="FS31" s="2380"/>
      <c r="FT31" s="2380" t="str">
        <f>IFERROR(IF('ARDT Cutter Entry'!$C$94&lt;&gt;"",IF(IFERROR(VALUE(RIGHT('ARDT Cutter Entry'!AG98,2)),1)=1, LEFT(SUBSTITUTE('ARDT Cutter Entry'!AG98,"*",""),LEN(SUBSTITUTE('ARDT Cutter Entry'!AG98,"*",""))-1),LEFT(SUBSTITUTE('ARDT Cutter Entry'!AG98,"*",""),LEN(SUBSTITUTE('ARDT Cutter Entry'!AG98,"*",""))-2)),IF(IFERROR(VALUE(RIGHT('ARDT Cutter Entry'!AG30,2)),1)=1, LEFT(SUBSTITUTE('ARDT Cutter Entry'!AG30,"*",""),LEN(SUBSTITUTE('ARDT Cutter Entry'!AG30,"*",""))-1),LEFT(SUBSTITUTE('ARDT Cutter Entry'!AG30,"*",""),LEN(SUBSTITUTE('ARDT Cutter Entry'!AG30,"*",""))-2) )),"")</f>
        <v/>
      </c>
      <c r="FU31" s="2380"/>
      <c r="FV31" s="2380"/>
      <c r="FW31" s="2380"/>
      <c r="FX31" s="2380"/>
      <c r="FY31" s="2380"/>
      <c r="FZ31" s="2380" t="str">
        <f>IFERROR(IF('ARDT Cutter Entry'!$C$94&lt;&gt;"",IF(IFERROR(VALUE(RIGHT('ARDT Cutter Entry'!AH98,2)),1)=1, LEFT(SUBSTITUTE('ARDT Cutter Entry'!AH98,"*",""),LEN(SUBSTITUTE('ARDT Cutter Entry'!AH98,"*",""))-1),LEFT(SUBSTITUTE('ARDT Cutter Entry'!AH98,"*",""),LEN(SUBSTITUTE('ARDT Cutter Entry'!AH98,"*",""))-2)),IF(IFERROR(VALUE(RIGHT('ARDT Cutter Entry'!AH30,2)),1)=1, LEFT(SUBSTITUTE('ARDT Cutter Entry'!AH30,"*",""),LEN(SUBSTITUTE('ARDT Cutter Entry'!AH30,"*",""))-1),LEFT(SUBSTITUTE('ARDT Cutter Entry'!AH30,"*",""),LEN(SUBSTITUTE('ARDT Cutter Entry'!AH30,"*",""))-2) )),"")</f>
        <v/>
      </c>
      <c r="GA31" s="2380"/>
      <c r="GB31" s="2380"/>
      <c r="GC31" s="2380"/>
      <c r="GD31" s="2380"/>
      <c r="GE31" s="2380"/>
      <c r="GF31" s="1132"/>
      <c r="GG31" s="1132"/>
    </row>
    <row r="32" spans="1:206" ht="44.25" customHeight="1" x14ac:dyDescent="0.55000000000000004">
      <c r="A32" s="338">
        <v>6</v>
      </c>
      <c r="B32" s="2380" t="str">
        <f>IFERROR(IF('ARDT Cutter Entry'!$C$94&lt;&gt;"",IF(IFERROR(VALUE(RIGHT('ARDT Cutter Entry'!C99,2)),1)=1, LEFT(SUBSTITUTE('ARDT Cutter Entry'!C99,"*",""),LEN(SUBSTITUTE('ARDT Cutter Entry'!C99,"*",""))-1),LEFT(SUBSTITUTE('ARDT Cutter Entry'!C99,"*",""),LEN(SUBSTITUTE('ARDT Cutter Entry'!C99,"*",""))-2)),IF(IFERROR(VALUE(RIGHT('ARDT Cutter Entry'!C31,2)),1)=1, LEFT(SUBSTITUTE('ARDT Cutter Entry'!C31,"*",""),LEN(SUBSTITUTE('ARDT Cutter Entry'!C31,"*",""))-1),LEFT(SUBSTITUTE('ARDT Cutter Entry'!C31,"*",""),LEN(SUBSTITUTE('ARDT Cutter Entry'!C31,"*",""))-2) )),"")</f>
        <v>X</v>
      </c>
      <c r="C32" s="2380"/>
      <c r="D32" s="2380"/>
      <c r="E32" s="2380"/>
      <c r="F32" s="2380"/>
      <c r="G32" s="2380"/>
      <c r="H32" s="2380" t="str">
        <f>IFERROR(IF('ARDT Cutter Entry'!$C$94&lt;&gt;"",IF(IFERROR(VALUE(RIGHT('ARDT Cutter Entry'!D99,2)),1)=1, LEFT(SUBSTITUTE('ARDT Cutter Entry'!D99,"*",""),LEN(SUBSTITUTE('ARDT Cutter Entry'!D99,"*",""))-1),LEFT(SUBSTITUTE('ARDT Cutter Entry'!D99,"*",""),LEN(SUBSTITUTE('ARDT Cutter Entry'!D99,"*",""))-2)),IF(IFERROR(VALUE(RIGHT('ARDT Cutter Entry'!D31,2)),1)=1, LEFT(SUBSTITUTE('ARDT Cutter Entry'!D31,"*",""),LEN(SUBSTITUTE('ARDT Cutter Entry'!D31,"*",""))-1),LEFT(SUBSTITUTE('ARDT Cutter Entry'!D31,"*",""),LEN(SUBSTITUTE('ARDT Cutter Entry'!D31,"*",""))-2) )),"")</f>
        <v>X</v>
      </c>
      <c r="I32" s="2380"/>
      <c r="J32" s="2380"/>
      <c r="K32" s="2380"/>
      <c r="L32" s="2380"/>
      <c r="M32" s="2380"/>
      <c r="N32" s="2380" t="str">
        <f>IFERROR(IF('ARDT Cutter Entry'!$C$94&lt;&gt;"",IF(IFERROR(VALUE(RIGHT('ARDT Cutter Entry'!E99,2)),1)=1, LEFT(SUBSTITUTE('ARDT Cutter Entry'!E99,"*",""),LEN(SUBSTITUTE('ARDT Cutter Entry'!E99,"*",""))-1),LEFT(SUBSTITUTE('ARDT Cutter Entry'!E99,"*",""),LEN(SUBSTITUTE('ARDT Cutter Entry'!E99,"*",""))-2)),IF(IFERROR(VALUE(RIGHT('ARDT Cutter Entry'!E31,2)),1)=1, LEFT(SUBSTITUTE('ARDT Cutter Entry'!E31,"*",""),LEN(SUBSTITUTE('ARDT Cutter Entry'!E31,"*",""))-1),LEFT(SUBSTITUTE('ARDT Cutter Entry'!E31,"*",""),LEN(SUBSTITUTE('ARDT Cutter Entry'!E31,"*",""))-2) )),"")</f>
        <v>X</v>
      </c>
      <c r="O32" s="2380"/>
      <c r="P32" s="2380"/>
      <c r="Q32" s="2380"/>
      <c r="R32" s="2380"/>
      <c r="S32" s="2380"/>
      <c r="T32" s="2380" t="str">
        <f>IFERROR(IF('ARDT Cutter Entry'!$C$94&lt;&gt;"",IF(IFERROR(VALUE(RIGHT('ARDT Cutter Entry'!F99,2)),1)=1, LEFT(SUBSTITUTE('ARDT Cutter Entry'!F99,"*",""),LEN(SUBSTITUTE('ARDT Cutter Entry'!F99,"*",""))-1),LEFT(SUBSTITUTE('ARDT Cutter Entry'!F99,"*",""),LEN(SUBSTITUTE('ARDT Cutter Entry'!F99,"*",""))-2)),IF(IFERROR(VALUE(RIGHT('ARDT Cutter Entry'!F31,2)),1)=1, LEFT(SUBSTITUTE('ARDT Cutter Entry'!F31,"*",""),LEN(SUBSTITUTE('ARDT Cutter Entry'!F31,"*",""))-1),LEFT(SUBSTITUTE('ARDT Cutter Entry'!F31,"*",""),LEN(SUBSTITUTE('ARDT Cutter Entry'!F31,"*",""))-2) )),"")</f>
        <v>R</v>
      </c>
      <c r="U32" s="2380"/>
      <c r="V32" s="2380"/>
      <c r="W32" s="2380"/>
      <c r="X32" s="2380"/>
      <c r="Y32" s="2380"/>
      <c r="Z32" s="2380" t="str">
        <f>IFERROR(IF('ARDT Cutter Entry'!$C$94&lt;&gt;"",IF(IFERROR(VALUE(RIGHT('ARDT Cutter Entry'!G99,2)),1)=1, LEFT(SUBSTITUTE('ARDT Cutter Entry'!G99,"*",""),LEN(SUBSTITUTE('ARDT Cutter Entry'!G99,"*",""))-1),LEFT(SUBSTITUTE('ARDT Cutter Entry'!G99,"*",""),LEN(SUBSTITUTE('ARDT Cutter Entry'!G99,"*",""))-2)),IF(IFERROR(VALUE(RIGHT('ARDT Cutter Entry'!G31,2)),1)=1, LEFT(SUBSTITUTE('ARDT Cutter Entry'!G31,"*",""),LEN(SUBSTITUTE('ARDT Cutter Entry'!G31,"*",""))-1),LEFT(SUBSTITUTE('ARDT Cutter Entry'!G31,"*",""),LEN(SUBSTITUTE('ARDT Cutter Entry'!G31,"*",""))-2) )),"")</f>
        <v>X</v>
      </c>
      <c r="AA32" s="2380"/>
      <c r="AB32" s="2380"/>
      <c r="AC32" s="2380"/>
      <c r="AD32" s="2380"/>
      <c r="AE32" s="2380"/>
      <c r="AF32" s="2380" t="str">
        <f>IFERROR(IF('ARDT Cutter Entry'!$C$94&lt;&gt;"",IF(IFERROR(VALUE(RIGHT('ARDT Cutter Entry'!H99,2)),1)=1, LEFT(SUBSTITUTE('ARDT Cutter Entry'!H99,"*",""),LEN(SUBSTITUTE('ARDT Cutter Entry'!H99,"*",""))-1),LEFT(SUBSTITUTE('ARDT Cutter Entry'!H99,"*",""),LEN(SUBSTITUTE('ARDT Cutter Entry'!H99,"*",""))-2)),IF(IFERROR(VALUE(RIGHT('ARDT Cutter Entry'!H31,2)),1)=1, LEFT(SUBSTITUTE('ARDT Cutter Entry'!H31,"*",""),LEN(SUBSTITUTE('ARDT Cutter Entry'!H31,"*",""))-1),LEFT(SUBSTITUTE('ARDT Cutter Entry'!H31,"*",""),LEN(SUBSTITUTE('ARDT Cutter Entry'!H31,"*",""))-2) )),"")</f>
        <v/>
      </c>
      <c r="AG32" s="2380"/>
      <c r="AH32" s="2380"/>
      <c r="AI32" s="2380"/>
      <c r="AJ32" s="2380"/>
      <c r="AK32" s="2380"/>
      <c r="AL32" s="2380" t="str">
        <f>IFERROR(IF('ARDT Cutter Entry'!$C$94&lt;&gt;"",IF(IFERROR(VALUE(RIGHT('ARDT Cutter Entry'!I99,2)),1)=1, LEFT(SUBSTITUTE('ARDT Cutter Entry'!I99,"*",""),LEN(SUBSTITUTE('ARDT Cutter Entry'!I99,"*",""))-1),LEFT(SUBSTITUTE('ARDT Cutter Entry'!I99,"*",""),LEN(SUBSTITUTE('ARDT Cutter Entry'!I99,"*",""))-2)),IF(IFERROR(VALUE(RIGHT('ARDT Cutter Entry'!I31,2)),1)=1, LEFT(SUBSTITUTE('ARDT Cutter Entry'!I31,"*",""),LEN(SUBSTITUTE('ARDT Cutter Entry'!I31,"*",""))-1),LEFT(SUBSTITUTE('ARDT Cutter Entry'!I31,"*",""),LEN(SUBSTITUTE('ARDT Cutter Entry'!I31,"*",""))-2) )),"")</f>
        <v/>
      </c>
      <c r="AM32" s="2380"/>
      <c r="AN32" s="2380"/>
      <c r="AO32" s="2380"/>
      <c r="AP32" s="2380"/>
      <c r="AQ32" s="2380"/>
      <c r="AR32" s="2380" t="str">
        <f>IFERROR(IF('ARDT Cutter Entry'!$C$94&lt;&gt;"",IF(IFERROR(VALUE(RIGHT('ARDT Cutter Entry'!J99,2)),1)=1, LEFT(SUBSTITUTE('ARDT Cutter Entry'!J99,"*",""),LEN(SUBSTITUTE('ARDT Cutter Entry'!J99,"*",""))-1),LEFT(SUBSTITUTE('ARDT Cutter Entry'!J99,"*",""),LEN(SUBSTITUTE('ARDT Cutter Entry'!J99,"*",""))-2)),IF(IFERROR(VALUE(RIGHT('ARDT Cutter Entry'!J31,2)),1)=1, LEFT(SUBSTITUTE('ARDT Cutter Entry'!J31,"*",""),LEN(SUBSTITUTE('ARDT Cutter Entry'!J31,"*",""))-1),LEFT(SUBSTITUTE('ARDT Cutter Entry'!J31,"*",""),LEN(SUBSTITUTE('ARDT Cutter Entry'!J31,"*",""))-2) )),"")</f>
        <v/>
      </c>
      <c r="AS32" s="2380"/>
      <c r="AT32" s="2380"/>
      <c r="AU32" s="2380"/>
      <c r="AV32" s="2380"/>
      <c r="AW32" s="2380"/>
      <c r="AX32" s="2380" t="str">
        <f>IFERROR(IF('ARDT Cutter Entry'!$C$94&lt;&gt;"",IF(IFERROR(VALUE(RIGHT('ARDT Cutter Entry'!K99,2)),1)=1, LEFT(SUBSTITUTE('ARDT Cutter Entry'!K99,"*",""),LEN(SUBSTITUTE('ARDT Cutter Entry'!K99,"*",""))-1),LEFT(SUBSTITUTE('ARDT Cutter Entry'!K99,"*",""),LEN(SUBSTITUTE('ARDT Cutter Entry'!K99,"*",""))-2)),IF(IFERROR(VALUE(RIGHT('ARDT Cutter Entry'!K31,2)),1)=1, LEFT(SUBSTITUTE('ARDT Cutter Entry'!K31,"*",""),LEN(SUBSTITUTE('ARDT Cutter Entry'!K31,"*",""))-1),LEFT(SUBSTITUTE('ARDT Cutter Entry'!K31,"*",""),LEN(SUBSTITUTE('ARDT Cutter Entry'!K31,"*",""))-2) )),"")</f>
        <v/>
      </c>
      <c r="AY32" s="2380"/>
      <c r="AZ32" s="2380"/>
      <c r="BA32" s="2380"/>
      <c r="BB32" s="2380"/>
      <c r="BC32" s="2380"/>
      <c r="BD32" s="2380" t="str">
        <f>IFERROR(IF('ARDT Cutter Entry'!$C$94&lt;&gt;"",IF(IFERROR(VALUE(RIGHT('ARDT Cutter Entry'!L99,2)),1)=1, LEFT(SUBSTITUTE('ARDT Cutter Entry'!L99,"*",""),LEN(SUBSTITUTE('ARDT Cutter Entry'!L99,"*",""))-1),LEFT(SUBSTITUTE('ARDT Cutter Entry'!L99,"*",""),LEN(SUBSTITUTE('ARDT Cutter Entry'!L99,"*",""))-2)),IF(IFERROR(VALUE(RIGHT('ARDT Cutter Entry'!L31,2)),1)=1, LEFT(SUBSTITUTE('ARDT Cutter Entry'!L31,"*",""),LEN(SUBSTITUTE('ARDT Cutter Entry'!L31,"*",""))-1),LEFT(SUBSTITUTE('ARDT Cutter Entry'!L31,"*",""),LEN(SUBSTITUTE('ARDT Cutter Entry'!L31,"*",""))-2) )),"")</f>
        <v>S</v>
      </c>
      <c r="BE32" s="2380"/>
      <c r="BF32" s="2380"/>
      <c r="BG32" s="2380"/>
      <c r="BH32" s="2380"/>
      <c r="BI32" s="2380"/>
      <c r="BJ32" s="2380" t="str">
        <f>IFERROR(IF('ARDT Cutter Entry'!$C$94&lt;&gt;"",IF(IFERROR(VALUE(RIGHT('ARDT Cutter Entry'!M99,2)),1)=1, LEFT(SUBSTITUTE('ARDT Cutter Entry'!M99,"*",""),LEN(SUBSTITUTE('ARDT Cutter Entry'!M99,"*",""))-1),LEFT(SUBSTITUTE('ARDT Cutter Entry'!M99,"*",""),LEN(SUBSTITUTE('ARDT Cutter Entry'!M99,"*",""))-2)),IF(IFERROR(VALUE(RIGHT('ARDT Cutter Entry'!M31,2)),1)=1, LEFT(SUBSTITUTE('ARDT Cutter Entry'!M31,"*",""),LEN(SUBSTITUTE('ARDT Cutter Entry'!M31,"*",""))-1),LEFT(SUBSTITUTE('ARDT Cutter Entry'!M31,"*",""),LEN(SUBSTITUTE('ARDT Cutter Entry'!M31,"*",""))-2) )),"")</f>
        <v>R</v>
      </c>
      <c r="BK32" s="2380"/>
      <c r="BL32" s="2380"/>
      <c r="BM32" s="2380"/>
      <c r="BN32" s="2380"/>
      <c r="BO32" s="2380"/>
      <c r="BP32" s="2380" t="str">
        <f>IFERROR(IF('ARDT Cutter Entry'!$C$94&lt;&gt;"",IF(IFERROR(VALUE(RIGHT('ARDT Cutter Entry'!N99,2)),1)=1, LEFT(SUBSTITUTE('ARDT Cutter Entry'!N99,"*",""),LEN(SUBSTITUTE('ARDT Cutter Entry'!N99,"*",""))-1),LEFT(SUBSTITUTE('ARDT Cutter Entry'!N99,"*",""),LEN(SUBSTITUTE('ARDT Cutter Entry'!N99,"*",""))-2)),IF(IFERROR(VALUE(RIGHT('ARDT Cutter Entry'!N31,2)),1)=1, LEFT(SUBSTITUTE('ARDT Cutter Entry'!N31,"*",""),LEN(SUBSTITUTE('ARDT Cutter Entry'!N31,"*",""))-1),LEFT(SUBSTITUTE('ARDT Cutter Entry'!N31,"*",""),LEN(SUBSTITUTE('ARDT Cutter Entry'!N31,"*",""))-2) )),"")</f>
        <v>R</v>
      </c>
      <c r="BQ32" s="2380"/>
      <c r="BR32" s="2380"/>
      <c r="BS32" s="2380"/>
      <c r="BT32" s="2380"/>
      <c r="BU32" s="2380"/>
      <c r="BV32" s="2380" t="str">
        <f>IFERROR(IF('ARDT Cutter Entry'!$C$94&lt;&gt;"",IF(IFERROR(VALUE(RIGHT('ARDT Cutter Entry'!O99,2)),1)=1, LEFT(SUBSTITUTE('ARDT Cutter Entry'!O99,"*",""),LEN(SUBSTITUTE('ARDT Cutter Entry'!O99,"*",""))-1),LEFT(SUBSTITUTE('ARDT Cutter Entry'!O99,"*",""),LEN(SUBSTITUTE('ARDT Cutter Entry'!O99,"*",""))-2)),IF(IFERROR(VALUE(RIGHT('ARDT Cutter Entry'!O31,2)),1)=1, LEFT(SUBSTITUTE('ARDT Cutter Entry'!O31,"*",""),LEN(SUBSTITUTE('ARDT Cutter Entry'!O31,"*",""))-1),LEFT(SUBSTITUTE('ARDT Cutter Entry'!O31,"*",""),LEN(SUBSTITUTE('ARDT Cutter Entry'!O31,"*",""))-2) )),"")</f>
        <v>R</v>
      </c>
      <c r="BW32" s="2380"/>
      <c r="BX32" s="2380"/>
      <c r="BY32" s="2380"/>
      <c r="BZ32" s="2380"/>
      <c r="CA32" s="2380"/>
      <c r="CB32" s="2380" t="str">
        <f>IFERROR(IF('ARDT Cutter Entry'!$C$94&lt;&gt;"",IF(IFERROR(VALUE(RIGHT('ARDT Cutter Entry'!P99,2)),1)=1, LEFT(SUBSTITUTE('ARDT Cutter Entry'!P99,"*",""),LEN(SUBSTITUTE('ARDT Cutter Entry'!P99,"*",""))-1),LEFT(SUBSTITUTE('ARDT Cutter Entry'!P99,"*",""),LEN(SUBSTITUTE('ARDT Cutter Entry'!P99,"*",""))-2)),IF(IFERROR(VALUE(RIGHT('ARDT Cutter Entry'!P31,2)),1)=1, LEFT(SUBSTITUTE('ARDT Cutter Entry'!P31,"*",""),LEN(SUBSTITUTE('ARDT Cutter Entry'!P31,"*",""))-1),LEFT(SUBSTITUTE('ARDT Cutter Entry'!P31,"*",""),LEN(SUBSTITUTE('ARDT Cutter Entry'!P31,"*",""))-2) )),"")</f>
        <v/>
      </c>
      <c r="CC32" s="2380"/>
      <c r="CD32" s="2380"/>
      <c r="CE32" s="2380"/>
      <c r="CF32" s="2380"/>
      <c r="CG32" s="2380"/>
      <c r="CH32" s="2380" t="str">
        <f>IFERROR(IF('ARDT Cutter Entry'!$C$94&lt;&gt;"",IF(IFERROR(VALUE(RIGHT('ARDT Cutter Entry'!Q99,2)),1)=1, LEFT(SUBSTITUTE('ARDT Cutter Entry'!Q99,"*",""),LEN(SUBSTITUTE('ARDT Cutter Entry'!Q99,"*",""))-1),LEFT(SUBSTITUTE('ARDT Cutter Entry'!Q99,"*",""),LEN(SUBSTITUTE('ARDT Cutter Entry'!Q99,"*",""))-2)),IF(IFERROR(VALUE(RIGHT('ARDT Cutter Entry'!Q31,2)),1)=1, LEFT(SUBSTITUTE('ARDT Cutter Entry'!Q31,"*",""),LEN(SUBSTITUTE('ARDT Cutter Entry'!Q31,"*",""))-1),LEFT(SUBSTITUTE('ARDT Cutter Entry'!Q31,"*",""),LEN(SUBSTITUTE('ARDT Cutter Entry'!Q31,"*",""))-2) )),"")</f>
        <v/>
      </c>
      <c r="CI32" s="2380"/>
      <c r="CJ32" s="2380"/>
      <c r="CK32" s="2380"/>
      <c r="CL32" s="2380"/>
      <c r="CM32" s="2380"/>
      <c r="CN32" s="2380" t="str">
        <f>IFERROR(IF('ARDT Cutter Entry'!$C$94&lt;&gt;"",IF(IFERROR(VALUE(RIGHT('ARDT Cutter Entry'!R99,2)),1)=1, LEFT(SUBSTITUTE('ARDT Cutter Entry'!R99,"*",""),LEN(SUBSTITUTE('ARDT Cutter Entry'!R99,"*",""))-1),LEFT(SUBSTITUTE('ARDT Cutter Entry'!R99,"*",""),LEN(SUBSTITUTE('ARDT Cutter Entry'!R99,"*",""))-2)),IF(IFERROR(VALUE(RIGHT('ARDT Cutter Entry'!R31,2)),1)=1, LEFT(SUBSTITUTE('ARDT Cutter Entry'!R31,"*",""),LEN(SUBSTITUTE('ARDT Cutter Entry'!R31,"*",""))-1),LEFT(SUBSTITUTE('ARDT Cutter Entry'!R31,"*",""),LEN(SUBSTITUTE('ARDT Cutter Entry'!R31,"*",""))-2) )),"")</f>
        <v/>
      </c>
      <c r="CO32" s="2380"/>
      <c r="CP32" s="2380"/>
      <c r="CQ32" s="2380"/>
      <c r="CR32" s="2380"/>
      <c r="CS32" s="2380"/>
      <c r="CT32" s="2380" t="str">
        <f>IFERROR(IF('ARDT Cutter Entry'!$C$94&lt;&gt;"",IF(IFERROR(VALUE(RIGHT('ARDT Cutter Entry'!S99,2)),1)=1, LEFT(SUBSTITUTE('ARDT Cutter Entry'!S99,"*",""),LEN(SUBSTITUTE('ARDT Cutter Entry'!S99,"*",""))-1),LEFT(SUBSTITUTE('ARDT Cutter Entry'!S99,"*",""),LEN(SUBSTITUTE('ARDT Cutter Entry'!S99,"*",""))-2)),IF(IFERROR(VALUE(RIGHT('ARDT Cutter Entry'!S31,2)),1)=1, LEFT(SUBSTITUTE('ARDT Cutter Entry'!S31,"*",""),LEN(SUBSTITUTE('ARDT Cutter Entry'!S31,"*",""))-1),LEFT(SUBSTITUTE('ARDT Cutter Entry'!S31,"*",""),LEN(SUBSTITUTE('ARDT Cutter Entry'!S31,"*",""))-2) )),"")</f>
        <v/>
      </c>
      <c r="CU32" s="2380"/>
      <c r="CV32" s="2380"/>
      <c r="CW32" s="2380"/>
      <c r="CX32" s="2380"/>
      <c r="CY32" s="2380"/>
      <c r="CZ32" s="2380" t="str">
        <f>IFERROR(IF('ARDT Cutter Entry'!$C$94&lt;&gt;"",IF(IFERROR(VALUE(RIGHT('ARDT Cutter Entry'!T99,2)),1)=1, LEFT(SUBSTITUTE('ARDT Cutter Entry'!T99,"*",""),LEN(SUBSTITUTE('ARDT Cutter Entry'!T99,"*",""))-1),LEFT(SUBSTITUTE('ARDT Cutter Entry'!T99,"*",""),LEN(SUBSTITUTE('ARDT Cutter Entry'!T99,"*",""))-2)),IF(IFERROR(VALUE(RIGHT('ARDT Cutter Entry'!T31,2)),1)=1, LEFT(SUBSTITUTE('ARDT Cutter Entry'!T31,"*",""),LEN(SUBSTITUTE('ARDT Cutter Entry'!T31,"*",""))-1),LEFT(SUBSTITUTE('ARDT Cutter Entry'!T31,"*",""),LEN(SUBSTITUTE('ARDT Cutter Entry'!T31,"*",""))-2) )),"")</f>
        <v/>
      </c>
      <c r="DA32" s="2380"/>
      <c r="DB32" s="2380"/>
      <c r="DC32" s="2380"/>
      <c r="DD32" s="2380"/>
      <c r="DE32" s="2380"/>
      <c r="DF32" s="2380" t="str">
        <f>IFERROR(IF('ARDT Cutter Entry'!$C$94&lt;&gt;"",IF(IFERROR(VALUE(RIGHT('ARDT Cutter Entry'!U99,2)),1)=1, LEFT(SUBSTITUTE('ARDT Cutter Entry'!U99,"*",""),LEN(SUBSTITUTE('ARDT Cutter Entry'!U99,"*",""))-1),LEFT(SUBSTITUTE('ARDT Cutter Entry'!U99,"*",""),LEN(SUBSTITUTE('ARDT Cutter Entry'!U99,"*",""))-2)),IF(IFERROR(VALUE(RIGHT('ARDT Cutter Entry'!U31,2)),1)=1, LEFT(SUBSTITUTE('ARDT Cutter Entry'!U31,"*",""),LEN(SUBSTITUTE('ARDT Cutter Entry'!U31,"*",""))-1),LEFT(SUBSTITUTE('ARDT Cutter Entry'!U31,"*",""),LEN(SUBSTITUTE('ARDT Cutter Entry'!U31,"*",""))-2) )),"")</f>
        <v/>
      </c>
      <c r="DG32" s="2380"/>
      <c r="DH32" s="2380"/>
      <c r="DI32" s="2380"/>
      <c r="DJ32" s="2380"/>
      <c r="DK32" s="2380"/>
      <c r="DL32" s="2380" t="str">
        <f>IFERROR(IF('ARDT Cutter Entry'!$C$94&lt;&gt;"",IF(IFERROR(VALUE(RIGHT('ARDT Cutter Entry'!V99,2)),1)=1, LEFT(SUBSTITUTE('ARDT Cutter Entry'!V99,"*",""),LEN(SUBSTITUTE('ARDT Cutter Entry'!V99,"*",""))-1),LEFT(SUBSTITUTE('ARDT Cutter Entry'!V99,"*",""),LEN(SUBSTITUTE('ARDT Cutter Entry'!V99,"*",""))-2)),IF(IFERROR(VALUE(RIGHT('ARDT Cutter Entry'!V31,2)),1)=1, LEFT(SUBSTITUTE('ARDT Cutter Entry'!V31,"*",""),LEN(SUBSTITUTE('ARDT Cutter Entry'!V31,"*",""))-1),LEFT(SUBSTITUTE('ARDT Cutter Entry'!V31,"*",""),LEN(SUBSTITUTE('ARDT Cutter Entry'!V31,"*",""))-2) )),"")</f>
        <v/>
      </c>
      <c r="DM32" s="2380"/>
      <c r="DN32" s="2380"/>
      <c r="DO32" s="2380"/>
      <c r="DP32" s="2380"/>
      <c r="DQ32" s="2380"/>
      <c r="DR32" s="2380" t="str">
        <f>IFERROR(IF('ARDT Cutter Entry'!$C$94&lt;&gt;"",IF(IFERROR(VALUE(RIGHT('ARDT Cutter Entry'!W99,2)),1)=1, LEFT(SUBSTITUTE('ARDT Cutter Entry'!W99,"*",""),LEN(SUBSTITUTE('ARDT Cutter Entry'!W99,"*",""))-1),LEFT(SUBSTITUTE('ARDT Cutter Entry'!W99,"*",""),LEN(SUBSTITUTE('ARDT Cutter Entry'!W99,"*",""))-2)),IF(IFERROR(VALUE(RIGHT('ARDT Cutter Entry'!W31,2)),1)=1, LEFT(SUBSTITUTE('ARDT Cutter Entry'!W31,"*",""),LEN(SUBSTITUTE('ARDT Cutter Entry'!W31,"*",""))-1),LEFT(SUBSTITUTE('ARDT Cutter Entry'!W31,"*",""),LEN(SUBSTITUTE('ARDT Cutter Entry'!W31,"*",""))-2) )),"")</f>
        <v/>
      </c>
      <c r="DS32" s="2380"/>
      <c r="DT32" s="2380"/>
      <c r="DU32" s="2380"/>
      <c r="DV32" s="2380"/>
      <c r="DW32" s="2380"/>
      <c r="DX32" s="2380" t="str">
        <f>IFERROR(IF('ARDT Cutter Entry'!$C$94&lt;&gt;"",IF(IFERROR(VALUE(RIGHT('ARDT Cutter Entry'!X99,2)),1)=1, LEFT(SUBSTITUTE('ARDT Cutter Entry'!X99,"*",""),LEN(SUBSTITUTE('ARDT Cutter Entry'!X99,"*",""))-1),LEFT(SUBSTITUTE('ARDT Cutter Entry'!X99,"*",""),LEN(SUBSTITUTE('ARDT Cutter Entry'!X99,"*",""))-2)),IF(IFERROR(VALUE(RIGHT('ARDT Cutter Entry'!X31,2)),1)=1, LEFT(SUBSTITUTE('ARDT Cutter Entry'!X31,"*",""),LEN(SUBSTITUTE('ARDT Cutter Entry'!X31,"*",""))-1),LEFT(SUBSTITUTE('ARDT Cutter Entry'!X31,"*",""),LEN(SUBSTITUTE('ARDT Cutter Entry'!X31,"*",""))-2) )),"")</f>
        <v/>
      </c>
      <c r="DY32" s="2380"/>
      <c r="DZ32" s="2380"/>
      <c r="EA32" s="2380"/>
      <c r="EB32" s="2380"/>
      <c r="EC32" s="2380"/>
      <c r="ED32" s="2380" t="str">
        <f>IFERROR(IF('ARDT Cutter Entry'!$C$94&lt;&gt;"",IF(IFERROR(VALUE(RIGHT('ARDT Cutter Entry'!Y99,2)),1)=1, LEFT(SUBSTITUTE('ARDT Cutter Entry'!Y99,"*",""),LEN(SUBSTITUTE('ARDT Cutter Entry'!Y99,"*",""))-1),LEFT(SUBSTITUTE('ARDT Cutter Entry'!Y99,"*",""),LEN(SUBSTITUTE('ARDT Cutter Entry'!Y99,"*",""))-2)),IF(IFERROR(VALUE(RIGHT('ARDT Cutter Entry'!Y31,2)),1)=1, LEFT(SUBSTITUTE('ARDT Cutter Entry'!Y31,"*",""),LEN(SUBSTITUTE('ARDT Cutter Entry'!Y31,"*",""))-1),LEFT(SUBSTITUTE('ARDT Cutter Entry'!Y31,"*",""),LEN(SUBSTITUTE('ARDT Cutter Entry'!Y31,"*",""))-2) )),"")</f>
        <v/>
      </c>
      <c r="EE32" s="2380"/>
      <c r="EF32" s="2380"/>
      <c r="EG32" s="2380"/>
      <c r="EH32" s="2380"/>
      <c r="EI32" s="2380"/>
      <c r="EJ32" s="2380" t="str">
        <f>IFERROR(IF('ARDT Cutter Entry'!$C$94&lt;&gt;"",IF(IFERROR(VALUE(RIGHT('ARDT Cutter Entry'!Z99,2)),1)=1, LEFT(SUBSTITUTE('ARDT Cutter Entry'!Z99,"*",""),LEN(SUBSTITUTE('ARDT Cutter Entry'!Z99,"*",""))-1),LEFT(SUBSTITUTE('ARDT Cutter Entry'!Z99,"*",""),LEN(SUBSTITUTE('ARDT Cutter Entry'!Z99,"*",""))-2)),IF(IFERROR(VALUE(RIGHT('ARDT Cutter Entry'!Z31,2)),1)=1, LEFT(SUBSTITUTE('ARDT Cutter Entry'!Z31,"*",""),LEN(SUBSTITUTE('ARDT Cutter Entry'!Z31,"*",""))-1),LEFT(SUBSTITUTE('ARDT Cutter Entry'!Z31,"*",""),LEN(SUBSTITUTE('ARDT Cutter Entry'!Z31,"*",""))-2) )),"")</f>
        <v/>
      </c>
      <c r="EK32" s="2380"/>
      <c r="EL32" s="2380"/>
      <c r="EM32" s="2380"/>
      <c r="EN32" s="2380"/>
      <c r="EO32" s="2380"/>
      <c r="EP32" s="2380" t="str">
        <f>IFERROR(IF('ARDT Cutter Entry'!$C$94&lt;&gt;"",IF(IFERROR(VALUE(RIGHT('ARDT Cutter Entry'!AA99,2)),1)=1, LEFT(SUBSTITUTE('ARDT Cutter Entry'!AA99,"*",""),LEN(SUBSTITUTE('ARDT Cutter Entry'!AA99,"*",""))-1),LEFT(SUBSTITUTE('ARDT Cutter Entry'!AA99,"*",""),LEN(SUBSTITUTE('ARDT Cutter Entry'!AA99,"*",""))-2)),IF(IFERROR(VALUE(RIGHT('ARDT Cutter Entry'!AA31,2)),1)=1, LEFT(SUBSTITUTE('ARDT Cutter Entry'!AA31,"*",""),LEN(SUBSTITUTE('ARDT Cutter Entry'!AA31,"*",""))-1),LEFT(SUBSTITUTE('ARDT Cutter Entry'!AA31,"*",""),LEN(SUBSTITUTE('ARDT Cutter Entry'!AA31,"*",""))-2) )),"")</f>
        <v/>
      </c>
      <c r="EQ32" s="2380"/>
      <c r="ER32" s="2380"/>
      <c r="ES32" s="2380"/>
      <c r="ET32" s="2380"/>
      <c r="EU32" s="2380"/>
      <c r="EV32" s="2380" t="str">
        <f>IFERROR(IF('ARDT Cutter Entry'!$C$94&lt;&gt;"",IF(IFERROR(VALUE(RIGHT('ARDT Cutter Entry'!AB99,2)),1)=1, LEFT(SUBSTITUTE('ARDT Cutter Entry'!AB99,"*",""),LEN(SUBSTITUTE('ARDT Cutter Entry'!AB99,"*",""))-1),LEFT(SUBSTITUTE('ARDT Cutter Entry'!AB99,"*",""),LEN(SUBSTITUTE('ARDT Cutter Entry'!AB99,"*",""))-2)),IF(IFERROR(VALUE(RIGHT('ARDT Cutter Entry'!AB31,2)),1)=1, LEFT(SUBSTITUTE('ARDT Cutter Entry'!AB31,"*",""),LEN(SUBSTITUTE('ARDT Cutter Entry'!AB31,"*",""))-1),LEFT(SUBSTITUTE('ARDT Cutter Entry'!AB31,"*",""),LEN(SUBSTITUTE('ARDT Cutter Entry'!AB31,"*",""))-2) )),"")</f>
        <v/>
      </c>
      <c r="EW32" s="2380"/>
      <c r="EX32" s="2380"/>
      <c r="EY32" s="2380"/>
      <c r="EZ32" s="2380"/>
      <c r="FA32" s="2380"/>
      <c r="FB32" s="2380" t="str">
        <f>IFERROR(IF('ARDT Cutter Entry'!$C$94&lt;&gt;"",IF(IFERROR(VALUE(RIGHT('ARDT Cutter Entry'!AC99,2)),1)=1, LEFT(SUBSTITUTE('ARDT Cutter Entry'!AC99,"*",""),LEN(SUBSTITUTE('ARDT Cutter Entry'!AC99,"*",""))-1),LEFT(SUBSTITUTE('ARDT Cutter Entry'!AC99,"*",""),LEN(SUBSTITUTE('ARDT Cutter Entry'!AC99,"*",""))-2)),IF(IFERROR(VALUE(RIGHT('ARDT Cutter Entry'!AC31,2)),1)=1, LEFT(SUBSTITUTE('ARDT Cutter Entry'!AC31,"*",""),LEN(SUBSTITUTE('ARDT Cutter Entry'!AC31,"*",""))-1),LEFT(SUBSTITUTE('ARDT Cutter Entry'!AC31,"*",""),LEN(SUBSTITUTE('ARDT Cutter Entry'!AC31,"*",""))-2) )),"")</f>
        <v/>
      </c>
      <c r="FC32" s="2380"/>
      <c r="FD32" s="2380"/>
      <c r="FE32" s="2380"/>
      <c r="FF32" s="2380"/>
      <c r="FG32" s="2380"/>
      <c r="FH32" s="2380" t="str">
        <f>IFERROR(IF('ARDT Cutter Entry'!$C$94&lt;&gt;"",IF(IFERROR(VALUE(RIGHT('ARDT Cutter Entry'!AD99,2)),1)=1, LEFT(SUBSTITUTE('ARDT Cutter Entry'!AD99,"*",""),LEN(SUBSTITUTE('ARDT Cutter Entry'!AD99,"*",""))-1),LEFT(SUBSTITUTE('ARDT Cutter Entry'!AD99,"*",""),LEN(SUBSTITUTE('ARDT Cutter Entry'!AD99,"*",""))-2)),IF(IFERROR(VALUE(RIGHT('ARDT Cutter Entry'!AD31,2)),1)=1, LEFT(SUBSTITUTE('ARDT Cutter Entry'!AD31,"*",""),LEN(SUBSTITUTE('ARDT Cutter Entry'!AD31,"*",""))-1),LEFT(SUBSTITUTE('ARDT Cutter Entry'!AD31,"*",""),LEN(SUBSTITUTE('ARDT Cutter Entry'!AD31,"*",""))-2) )),"")</f>
        <v/>
      </c>
      <c r="FI32" s="2380"/>
      <c r="FJ32" s="2380"/>
      <c r="FK32" s="2380"/>
      <c r="FL32" s="2380"/>
      <c r="FM32" s="2380"/>
      <c r="FN32" s="2380" t="str">
        <f>IFERROR(IF('ARDT Cutter Entry'!$C$94&lt;&gt;"",IF(IFERROR(VALUE(RIGHT('ARDT Cutter Entry'!AE99,2)),1)=1, LEFT(SUBSTITUTE('ARDT Cutter Entry'!AE99,"*",""),LEN(SUBSTITUTE('ARDT Cutter Entry'!AE99,"*",""))-1),LEFT(SUBSTITUTE('ARDT Cutter Entry'!AE99,"*",""),LEN(SUBSTITUTE('ARDT Cutter Entry'!AE99,"*",""))-2)),IF(IFERROR(VALUE(RIGHT('ARDT Cutter Entry'!AE31,2)),1)=1, LEFT(SUBSTITUTE('ARDT Cutter Entry'!AE31,"*",""),LEN(SUBSTITUTE('ARDT Cutter Entry'!AE31,"*",""))-1),LEFT(SUBSTITUTE('ARDT Cutter Entry'!AE31,"*",""),LEN(SUBSTITUTE('ARDT Cutter Entry'!AE31,"*",""))-2) )),"")</f>
        <v/>
      </c>
      <c r="FO32" s="2380"/>
      <c r="FP32" s="2380"/>
      <c r="FQ32" s="2380"/>
      <c r="FR32" s="2380"/>
      <c r="FS32" s="2380"/>
      <c r="FT32" s="2380" t="str">
        <f>IFERROR(IF('ARDT Cutter Entry'!$C$94&lt;&gt;"",IF(IFERROR(VALUE(RIGHT('ARDT Cutter Entry'!AG99,2)),1)=1, LEFT(SUBSTITUTE('ARDT Cutter Entry'!AG99,"*",""),LEN(SUBSTITUTE('ARDT Cutter Entry'!AG99,"*",""))-1),LEFT(SUBSTITUTE('ARDT Cutter Entry'!AG99,"*",""),LEN(SUBSTITUTE('ARDT Cutter Entry'!AG99,"*",""))-2)),IF(IFERROR(VALUE(RIGHT('ARDT Cutter Entry'!AG31,2)),1)=1, LEFT(SUBSTITUTE('ARDT Cutter Entry'!AG31,"*",""),LEN(SUBSTITUTE('ARDT Cutter Entry'!AG31,"*",""))-1),LEFT(SUBSTITUTE('ARDT Cutter Entry'!AG31,"*",""),LEN(SUBSTITUTE('ARDT Cutter Entry'!AG31,"*",""))-2) )),"")</f>
        <v/>
      </c>
      <c r="FU32" s="2380"/>
      <c r="FV32" s="2380"/>
      <c r="FW32" s="2380"/>
      <c r="FX32" s="2380"/>
      <c r="FY32" s="2380"/>
      <c r="FZ32" s="2380" t="str">
        <f>IFERROR(IF('ARDT Cutter Entry'!$C$94&lt;&gt;"",IF(IFERROR(VALUE(RIGHT('ARDT Cutter Entry'!AH99,2)),1)=1, LEFT(SUBSTITUTE('ARDT Cutter Entry'!AH99,"*",""),LEN(SUBSTITUTE('ARDT Cutter Entry'!AH99,"*",""))-1),LEFT(SUBSTITUTE('ARDT Cutter Entry'!AH99,"*",""),LEN(SUBSTITUTE('ARDT Cutter Entry'!AH99,"*",""))-2)),IF(IFERROR(VALUE(RIGHT('ARDT Cutter Entry'!AH31,2)),1)=1, LEFT(SUBSTITUTE('ARDT Cutter Entry'!AH31,"*",""),LEN(SUBSTITUTE('ARDT Cutter Entry'!AH31,"*",""))-1),LEFT(SUBSTITUTE('ARDT Cutter Entry'!AH31,"*",""),LEN(SUBSTITUTE('ARDT Cutter Entry'!AH31,"*",""))-2) )),"")</f>
        <v/>
      </c>
      <c r="GA32" s="2380"/>
      <c r="GB32" s="2380"/>
      <c r="GC32" s="2380"/>
      <c r="GD32" s="2380"/>
      <c r="GE32" s="2380"/>
      <c r="GF32" s="1132"/>
      <c r="GG32" s="1132"/>
    </row>
    <row r="33" spans="1:190" ht="44.25" customHeight="1" x14ac:dyDescent="0.55000000000000004">
      <c r="A33" s="338">
        <v>7</v>
      </c>
      <c r="B33" s="2380" t="str">
        <f>IFERROR(IF('ARDT Cutter Entry'!$C$94&lt;&gt;"",IF(IFERROR(VALUE(RIGHT('ARDT Cutter Entry'!C100,2)),1)=1, LEFT(SUBSTITUTE('ARDT Cutter Entry'!C100,"*",""),LEN(SUBSTITUTE('ARDT Cutter Entry'!C100,"*",""))-1),LEFT(SUBSTITUTE('ARDT Cutter Entry'!C100,"*",""),LEN(SUBSTITUTE('ARDT Cutter Entry'!C100,"*",""))-2)),IF(IFERROR(VALUE(RIGHT('ARDT Cutter Entry'!C32,2)),1)=1, LEFT(SUBSTITUTE('ARDT Cutter Entry'!C32,"*",""),LEN(SUBSTITUTE('ARDT Cutter Entry'!C32,"*",""))-1),LEFT(SUBSTITUTE('ARDT Cutter Entry'!C32,"*",""),LEN(SUBSTITUTE('ARDT Cutter Entry'!C32,"*",""))-2) )),"")</f>
        <v/>
      </c>
      <c r="C33" s="2380"/>
      <c r="D33" s="2380"/>
      <c r="E33" s="2380"/>
      <c r="F33" s="2380"/>
      <c r="G33" s="2380"/>
      <c r="H33" s="2380" t="str">
        <f>IFERROR(IF('ARDT Cutter Entry'!$C$94&lt;&gt;"",IF(IFERROR(VALUE(RIGHT('ARDT Cutter Entry'!D100,2)),1)=1, LEFT(SUBSTITUTE('ARDT Cutter Entry'!D100,"*",""),LEN(SUBSTITUTE('ARDT Cutter Entry'!D100,"*",""))-1),LEFT(SUBSTITUTE('ARDT Cutter Entry'!D100,"*",""),LEN(SUBSTITUTE('ARDT Cutter Entry'!D100,"*",""))-2)),IF(IFERROR(VALUE(RIGHT('ARDT Cutter Entry'!D32,2)),1)=1, LEFT(SUBSTITUTE('ARDT Cutter Entry'!D32,"*",""),LEN(SUBSTITUTE('ARDT Cutter Entry'!D32,"*",""))-1),LEFT(SUBSTITUTE('ARDT Cutter Entry'!D32,"*",""),LEN(SUBSTITUTE('ARDT Cutter Entry'!D32,"*",""))-2) )),"")</f>
        <v/>
      </c>
      <c r="I33" s="2380"/>
      <c r="J33" s="2380"/>
      <c r="K33" s="2380"/>
      <c r="L33" s="2380"/>
      <c r="M33" s="2380"/>
      <c r="N33" s="2380" t="str">
        <f>IFERROR(IF('ARDT Cutter Entry'!$C$94&lt;&gt;"",IF(IFERROR(VALUE(RIGHT('ARDT Cutter Entry'!E100,2)),1)=1, LEFT(SUBSTITUTE('ARDT Cutter Entry'!E100,"*",""),LEN(SUBSTITUTE('ARDT Cutter Entry'!E100,"*",""))-1),LEFT(SUBSTITUTE('ARDT Cutter Entry'!E100,"*",""),LEN(SUBSTITUTE('ARDT Cutter Entry'!E100,"*",""))-2)),IF(IFERROR(VALUE(RIGHT('ARDT Cutter Entry'!E32,2)),1)=1, LEFT(SUBSTITUTE('ARDT Cutter Entry'!E32,"*",""),LEN(SUBSTITUTE('ARDT Cutter Entry'!E32,"*",""))-1),LEFT(SUBSTITUTE('ARDT Cutter Entry'!E32,"*",""),LEN(SUBSTITUTE('ARDT Cutter Entry'!E32,"*",""))-2) )),"")</f>
        <v/>
      </c>
      <c r="O33" s="2380"/>
      <c r="P33" s="2380"/>
      <c r="Q33" s="2380"/>
      <c r="R33" s="2380"/>
      <c r="S33" s="2380"/>
      <c r="T33" s="2380" t="str">
        <f>IFERROR(IF('ARDT Cutter Entry'!$C$94&lt;&gt;"",IF(IFERROR(VALUE(RIGHT('ARDT Cutter Entry'!F100,2)),1)=1, LEFT(SUBSTITUTE('ARDT Cutter Entry'!F100,"*",""),LEN(SUBSTITUTE('ARDT Cutter Entry'!F100,"*",""))-1),LEFT(SUBSTITUTE('ARDT Cutter Entry'!F100,"*",""),LEN(SUBSTITUTE('ARDT Cutter Entry'!F100,"*",""))-2)),IF(IFERROR(VALUE(RIGHT('ARDT Cutter Entry'!F32,2)),1)=1, LEFT(SUBSTITUTE('ARDT Cutter Entry'!F32,"*",""),LEN(SUBSTITUTE('ARDT Cutter Entry'!F32,"*",""))-1),LEFT(SUBSTITUTE('ARDT Cutter Entry'!F32,"*",""),LEN(SUBSTITUTE('ARDT Cutter Entry'!F32,"*",""))-2) )),"")</f>
        <v/>
      </c>
      <c r="U33" s="2380"/>
      <c r="V33" s="2380"/>
      <c r="W33" s="2380"/>
      <c r="X33" s="2380"/>
      <c r="Y33" s="2380"/>
      <c r="Z33" s="2380" t="str">
        <f>IFERROR(IF('ARDT Cutter Entry'!$C$94&lt;&gt;"",IF(IFERROR(VALUE(RIGHT('ARDT Cutter Entry'!G100,2)),1)=1, LEFT(SUBSTITUTE('ARDT Cutter Entry'!G100,"*",""),LEN(SUBSTITUTE('ARDT Cutter Entry'!G100,"*",""))-1),LEFT(SUBSTITUTE('ARDT Cutter Entry'!G100,"*",""),LEN(SUBSTITUTE('ARDT Cutter Entry'!G100,"*",""))-2)),IF(IFERROR(VALUE(RIGHT('ARDT Cutter Entry'!G32,2)),1)=1, LEFT(SUBSTITUTE('ARDT Cutter Entry'!G32,"*",""),LEN(SUBSTITUTE('ARDT Cutter Entry'!G32,"*",""))-1),LEFT(SUBSTITUTE('ARDT Cutter Entry'!G32,"*",""),LEN(SUBSTITUTE('ARDT Cutter Entry'!G32,"*",""))-2) )),"")</f>
        <v/>
      </c>
      <c r="AA33" s="2380"/>
      <c r="AB33" s="2380"/>
      <c r="AC33" s="2380"/>
      <c r="AD33" s="2380"/>
      <c r="AE33" s="2380"/>
      <c r="AF33" s="2380" t="str">
        <f>IFERROR(IF('ARDT Cutter Entry'!$C$94&lt;&gt;"",IF(IFERROR(VALUE(RIGHT('ARDT Cutter Entry'!H100,2)),1)=1, LEFT(SUBSTITUTE('ARDT Cutter Entry'!H100,"*",""),LEN(SUBSTITUTE('ARDT Cutter Entry'!H100,"*",""))-1),LEFT(SUBSTITUTE('ARDT Cutter Entry'!H100,"*",""),LEN(SUBSTITUTE('ARDT Cutter Entry'!H100,"*",""))-2)),IF(IFERROR(VALUE(RIGHT('ARDT Cutter Entry'!H32,2)),1)=1, LEFT(SUBSTITUTE('ARDT Cutter Entry'!H32,"*",""),LEN(SUBSTITUTE('ARDT Cutter Entry'!H32,"*",""))-1),LEFT(SUBSTITUTE('ARDT Cutter Entry'!H32,"*",""),LEN(SUBSTITUTE('ARDT Cutter Entry'!H32,"*",""))-2) )),"")</f>
        <v/>
      </c>
      <c r="AG33" s="2380"/>
      <c r="AH33" s="2380"/>
      <c r="AI33" s="2380"/>
      <c r="AJ33" s="2380"/>
      <c r="AK33" s="2380"/>
      <c r="AL33" s="2380" t="str">
        <f>IFERROR(IF('ARDT Cutter Entry'!$C$94&lt;&gt;"",IF(IFERROR(VALUE(RIGHT('ARDT Cutter Entry'!I100,2)),1)=1, LEFT(SUBSTITUTE('ARDT Cutter Entry'!I100,"*",""),LEN(SUBSTITUTE('ARDT Cutter Entry'!I100,"*",""))-1),LEFT(SUBSTITUTE('ARDT Cutter Entry'!I100,"*",""),LEN(SUBSTITUTE('ARDT Cutter Entry'!I100,"*",""))-2)),IF(IFERROR(VALUE(RIGHT('ARDT Cutter Entry'!I32,2)),1)=1, LEFT(SUBSTITUTE('ARDT Cutter Entry'!I32,"*",""),LEN(SUBSTITUTE('ARDT Cutter Entry'!I32,"*",""))-1),LEFT(SUBSTITUTE('ARDT Cutter Entry'!I32,"*",""),LEN(SUBSTITUTE('ARDT Cutter Entry'!I32,"*",""))-2) )),"")</f>
        <v/>
      </c>
      <c r="AM33" s="2380"/>
      <c r="AN33" s="2380"/>
      <c r="AO33" s="2380"/>
      <c r="AP33" s="2380"/>
      <c r="AQ33" s="2380"/>
      <c r="AR33" s="2380" t="str">
        <f>IFERROR(IF('ARDT Cutter Entry'!$C$94&lt;&gt;"",IF(IFERROR(VALUE(RIGHT('ARDT Cutter Entry'!J100,2)),1)=1, LEFT(SUBSTITUTE('ARDT Cutter Entry'!J100,"*",""),LEN(SUBSTITUTE('ARDT Cutter Entry'!J100,"*",""))-1),LEFT(SUBSTITUTE('ARDT Cutter Entry'!J100,"*",""),LEN(SUBSTITUTE('ARDT Cutter Entry'!J100,"*",""))-2)),IF(IFERROR(VALUE(RIGHT('ARDT Cutter Entry'!J32,2)),1)=1, LEFT(SUBSTITUTE('ARDT Cutter Entry'!J32,"*",""),LEN(SUBSTITUTE('ARDT Cutter Entry'!J32,"*",""))-1),LEFT(SUBSTITUTE('ARDT Cutter Entry'!J32,"*",""),LEN(SUBSTITUTE('ARDT Cutter Entry'!J32,"*",""))-2) )),"")</f>
        <v/>
      </c>
      <c r="AS33" s="2380"/>
      <c r="AT33" s="2380"/>
      <c r="AU33" s="2380"/>
      <c r="AV33" s="2380"/>
      <c r="AW33" s="2380"/>
      <c r="AX33" s="2380" t="str">
        <f>IFERROR(IF('ARDT Cutter Entry'!$C$94&lt;&gt;"",IF(IFERROR(VALUE(RIGHT('ARDT Cutter Entry'!K100,2)),1)=1, LEFT(SUBSTITUTE('ARDT Cutter Entry'!K100,"*",""),LEN(SUBSTITUTE('ARDT Cutter Entry'!K100,"*",""))-1),LEFT(SUBSTITUTE('ARDT Cutter Entry'!K100,"*",""),LEN(SUBSTITUTE('ARDT Cutter Entry'!K100,"*",""))-2)),IF(IFERROR(VALUE(RIGHT('ARDT Cutter Entry'!K32,2)),1)=1, LEFT(SUBSTITUTE('ARDT Cutter Entry'!K32,"*",""),LEN(SUBSTITUTE('ARDT Cutter Entry'!K32,"*",""))-1),LEFT(SUBSTITUTE('ARDT Cutter Entry'!K32,"*",""),LEN(SUBSTITUTE('ARDT Cutter Entry'!K32,"*",""))-2) )),"")</f>
        <v/>
      </c>
      <c r="AY33" s="2380"/>
      <c r="AZ33" s="2380"/>
      <c r="BA33" s="2380"/>
      <c r="BB33" s="2380"/>
      <c r="BC33" s="2380"/>
      <c r="BD33" s="2380" t="str">
        <f>IFERROR(IF('ARDT Cutter Entry'!$C$94&lt;&gt;"",IF(IFERROR(VALUE(RIGHT('ARDT Cutter Entry'!L100,2)),1)=1, LEFT(SUBSTITUTE('ARDT Cutter Entry'!L100,"*",""),LEN(SUBSTITUTE('ARDT Cutter Entry'!L100,"*",""))-1),LEFT(SUBSTITUTE('ARDT Cutter Entry'!L100,"*",""),LEN(SUBSTITUTE('ARDT Cutter Entry'!L100,"*",""))-2)),IF(IFERROR(VALUE(RIGHT('ARDT Cutter Entry'!L32,2)),1)=1, LEFT(SUBSTITUTE('ARDT Cutter Entry'!L32,"*",""),LEN(SUBSTITUTE('ARDT Cutter Entry'!L32,"*",""))-1),LEFT(SUBSTITUTE('ARDT Cutter Entry'!L32,"*",""),LEN(SUBSTITUTE('ARDT Cutter Entry'!L32,"*",""))-2) )),"")</f>
        <v/>
      </c>
      <c r="BE33" s="2380"/>
      <c r="BF33" s="2380"/>
      <c r="BG33" s="2380"/>
      <c r="BH33" s="2380"/>
      <c r="BI33" s="2380"/>
      <c r="BJ33" s="2380" t="str">
        <f>IFERROR(IF('ARDT Cutter Entry'!$C$94&lt;&gt;"",IF(IFERROR(VALUE(RIGHT('ARDT Cutter Entry'!M100,2)),1)=1, LEFT(SUBSTITUTE('ARDT Cutter Entry'!M100,"*",""),LEN(SUBSTITUTE('ARDT Cutter Entry'!M100,"*",""))-1),LEFT(SUBSTITUTE('ARDT Cutter Entry'!M100,"*",""),LEN(SUBSTITUTE('ARDT Cutter Entry'!M100,"*",""))-2)),IF(IFERROR(VALUE(RIGHT('ARDT Cutter Entry'!M32,2)),1)=1, LEFT(SUBSTITUTE('ARDT Cutter Entry'!M32,"*",""),LEN(SUBSTITUTE('ARDT Cutter Entry'!M32,"*",""))-1),LEFT(SUBSTITUTE('ARDT Cutter Entry'!M32,"*",""),LEN(SUBSTITUTE('ARDT Cutter Entry'!M32,"*",""))-2) )),"")</f>
        <v/>
      </c>
      <c r="BK33" s="2380"/>
      <c r="BL33" s="2380"/>
      <c r="BM33" s="2380"/>
      <c r="BN33" s="2380"/>
      <c r="BO33" s="2380"/>
      <c r="BP33" s="2380" t="str">
        <f>IFERROR(IF('ARDT Cutter Entry'!$C$94&lt;&gt;"",IF(IFERROR(VALUE(RIGHT('ARDT Cutter Entry'!N100,2)),1)=1, LEFT(SUBSTITUTE('ARDT Cutter Entry'!N100,"*",""),LEN(SUBSTITUTE('ARDT Cutter Entry'!N100,"*",""))-1),LEFT(SUBSTITUTE('ARDT Cutter Entry'!N100,"*",""),LEN(SUBSTITUTE('ARDT Cutter Entry'!N100,"*",""))-2)),IF(IFERROR(VALUE(RIGHT('ARDT Cutter Entry'!N32,2)),1)=1, LEFT(SUBSTITUTE('ARDT Cutter Entry'!N32,"*",""),LEN(SUBSTITUTE('ARDT Cutter Entry'!N32,"*",""))-1),LEFT(SUBSTITUTE('ARDT Cutter Entry'!N32,"*",""),LEN(SUBSTITUTE('ARDT Cutter Entry'!N32,"*",""))-2) )),"")</f>
        <v/>
      </c>
      <c r="BQ33" s="2380"/>
      <c r="BR33" s="2380"/>
      <c r="BS33" s="2380"/>
      <c r="BT33" s="2380"/>
      <c r="BU33" s="2380"/>
      <c r="BV33" s="2380" t="str">
        <f>IFERROR(IF('ARDT Cutter Entry'!$C$94&lt;&gt;"",IF(IFERROR(VALUE(RIGHT('ARDT Cutter Entry'!O100,2)),1)=1, LEFT(SUBSTITUTE('ARDT Cutter Entry'!O100,"*",""),LEN(SUBSTITUTE('ARDT Cutter Entry'!O100,"*",""))-1),LEFT(SUBSTITUTE('ARDT Cutter Entry'!O100,"*",""),LEN(SUBSTITUTE('ARDT Cutter Entry'!O100,"*",""))-2)),IF(IFERROR(VALUE(RIGHT('ARDT Cutter Entry'!O32,2)),1)=1, LEFT(SUBSTITUTE('ARDT Cutter Entry'!O32,"*",""),LEN(SUBSTITUTE('ARDT Cutter Entry'!O32,"*",""))-1),LEFT(SUBSTITUTE('ARDT Cutter Entry'!O32,"*",""),LEN(SUBSTITUTE('ARDT Cutter Entry'!O32,"*",""))-2) )),"")</f>
        <v/>
      </c>
      <c r="BW33" s="2380"/>
      <c r="BX33" s="2380"/>
      <c r="BY33" s="2380"/>
      <c r="BZ33" s="2380"/>
      <c r="CA33" s="2380"/>
      <c r="CB33" s="2380" t="str">
        <f>IFERROR(IF('ARDT Cutter Entry'!$C$94&lt;&gt;"",IF(IFERROR(VALUE(RIGHT('ARDT Cutter Entry'!P100,2)),1)=1, LEFT(SUBSTITUTE('ARDT Cutter Entry'!P100,"*",""),LEN(SUBSTITUTE('ARDT Cutter Entry'!P100,"*",""))-1),LEFT(SUBSTITUTE('ARDT Cutter Entry'!P100,"*",""),LEN(SUBSTITUTE('ARDT Cutter Entry'!P100,"*",""))-2)),IF(IFERROR(VALUE(RIGHT('ARDT Cutter Entry'!P32,2)),1)=1, LEFT(SUBSTITUTE('ARDT Cutter Entry'!P32,"*",""),LEN(SUBSTITUTE('ARDT Cutter Entry'!P32,"*",""))-1),LEFT(SUBSTITUTE('ARDT Cutter Entry'!P32,"*",""),LEN(SUBSTITUTE('ARDT Cutter Entry'!P32,"*",""))-2) )),"")</f>
        <v/>
      </c>
      <c r="CC33" s="2380"/>
      <c r="CD33" s="2380"/>
      <c r="CE33" s="2380"/>
      <c r="CF33" s="2380"/>
      <c r="CG33" s="2380"/>
      <c r="CH33" s="2380" t="str">
        <f>IFERROR(IF('ARDT Cutter Entry'!$C$94&lt;&gt;"",IF(IFERROR(VALUE(RIGHT('ARDT Cutter Entry'!Q100,2)),1)=1, LEFT(SUBSTITUTE('ARDT Cutter Entry'!Q100,"*",""),LEN(SUBSTITUTE('ARDT Cutter Entry'!Q100,"*",""))-1),LEFT(SUBSTITUTE('ARDT Cutter Entry'!Q100,"*",""),LEN(SUBSTITUTE('ARDT Cutter Entry'!Q100,"*",""))-2)),IF(IFERROR(VALUE(RIGHT('ARDT Cutter Entry'!Q32,2)),1)=1, LEFT(SUBSTITUTE('ARDT Cutter Entry'!Q32,"*",""),LEN(SUBSTITUTE('ARDT Cutter Entry'!Q32,"*",""))-1),LEFT(SUBSTITUTE('ARDT Cutter Entry'!Q32,"*",""),LEN(SUBSTITUTE('ARDT Cutter Entry'!Q32,"*",""))-2) )),"")</f>
        <v/>
      </c>
      <c r="CI33" s="2380"/>
      <c r="CJ33" s="2380"/>
      <c r="CK33" s="2380"/>
      <c r="CL33" s="2380"/>
      <c r="CM33" s="2380"/>
      <c r="CN33" s="2380" t="str">
        <f>IFERROR(IF('ARDT Cutter Entry'!$C$94&lt;&gt;"",IF(IFERROR(VALUE(RIGHT('ARDT Cutter Entry'!R100,2)),1)=1, LEFT(SUBSTITUTE('ARDT Cutter Entry'!R100,"*",""),LEN(SUBSTITUTE('ARDT Cutter Entry'!R100,"*",""))-1),LEFT(SUBSTITUTE('ARDT Cutter Entry'!R100,"*",""),LEN(SUBSTITUTE('ARDT Cutter Entry'!R100,"*",""))-2)),IF(IFERROR(VALUE(RIGHT('ARDT Cutter Entry'!R32,2)),1)=1, LEFT(SUBSTITUTE('ARDT Cutter Entry'!R32,"*",""),LEN(SUBSTITUTE('ARDT Cutter Entry'!R32,"*",""))-1),LEFT(SUBSTITUTE('ARDT Cutter Entry'!R32,"*",""),LEN(SUBSTITUTE('ARDT Cutter Entry'!R32,"*",""))-2) )),"")</f>
        <v/>
      </c>
      <c r="CO33" s="2380"/>
      <c r="CP33" s="2380"/>
      <c r="CQ33" s="2380"/>
      <c r="CR33" s="2380"/>
      <c r="CS33" s="2380"/>
      <c r="CT33" s="2380" t="str">
        <f>IFERROR(IF('ARDT Cutter Entry'!$C$94&lt;&gt;"",IF(IFERROR(VALUE(RIGHT('ARDT Cutter Entry'!S100,2)),1)=1, LEFT(SUBSTITUTE('ARDT Cutter Entry'!S100,"*",""),LEN(SUBSTITUTE('ARDT Cutter Entry'!S100,"*",""))-1),LEFT(SUBSTITUTE('ARDT Cutter Entry'!S100,"*",""),LEN(SUBSTITUTE('ARDT Cutter Entry'!S100,"*",""))-2)),IF(IFERROR(VALUE(RIGHT('ARDT Cutter Entry'!S32,2)),1)=1, LEFT(SUBSTITUTE('ARDT Cutter Entry'!S32,"*",""),LEN(SUBSTITUTE('ARDT Cutter Entry'!S32,"*",""))-1),LEFT(SUBSTITUTE('ARDT Cutter Entry'!S32,"*",""),LEN(SUBSTITUTE('ARDT Cutter Entry'!S32,"*",""))-2) )),"")</f>
        <v/>
      </c>
      <c r="CU33" s="2380"/>
      <c r="CV33" s="2380"/>
      <c r="CW33" s="2380"/>
      <c r="CX33" s="2380"/>
      <c r="CY33" s="2380"/>
      <c r="CZ33" s="2380" t="str">
        <f>IFERROR(IF('ARDT Cutter Entry'!$C$94&lt;&gt;"",IF(IFERROR(VALUE(RIGHT('ARDT Cutter Entry'!T100,2)),1)=1, LEFT(SUBSTITUTE('ARDT Cutter Entry'!T100,"*",""),LEN(SUBSTITUTE('ARDT Cutter Entry'!T100,"*",""))-1),LEFT(SUBSTITUTE('ARDT Cutter Entry'!T100,"*",""),LEN(SUBSTITUTE('ARDT Cutter Entry'!T100,"*",""))-2)),IF(IFERROR(VALUE(RIGHT('ARDT Cutter Entry'!T32,2)),1)=1, LEFT(SUBSTITUTE('ARDT Cutter Entry'!T32,"*",""),LEN(SUBSTITUTE('ARDT Cutter Entry'!T32,"*",""))-1),LEFT(SUBSTITUTE('ARDT Cutter Entry'!T32,"*",""),LEN(SUBSTITUTE('ARDT Cutter Entry'!T32,"*",""))-2) )),"")</f>
        <v/>
      </c>
      <c r="DA33" s="2380"/>
      <c r="DB33" s="2380"/>
      <c r="DC33" s="2380"/>
      <c r="DD33" s="2380"/>
      <c r="DE33" s="2380"/>
      <c r="DF33" s="2380" t="str">
        <f>IFERROR(IF('ARDT Cutter Entry'!$C$94&lt;&gt;"",IF(IFERROR(VALUE(RIGHT('ARDT Cutter Entry'!U100,2)),1)=1, LEFT(SUBSTITUTE('ARDT Cutter Entry'!U100,"*",""),LEN(SUBSTITUTE('ARDT Cutter Entry'!U100,"*",""))-1),LEFT(SUBSTITUTE('ARDT Cutter Entry'!U100,"*",""),LEN(SUBSTITUTE('ARDT Cutter Entry'!U100,"*",""))-2)),IF(IFERROR(VALUE(RIGHT('ARDT Cutter Entry'!U32,2)),1)=1, LEFT(SUBSTITUTE('ARDT Cutter Entry'!U32,"*",""),LEN(SUBSTITUTE('ARDT Cutter Entry'!U32,"*",""))-1),LEFT(SUBSTITUTE('ARDT Cutter Entry'!U32,"*",""),LEN(SUBSTITUTE('ARDT Cutter Entry'!U32,"*",""))-2) )),"")</f>
        <v/>
      </c>
      <c r="DG33" s="2380"/>
      <c r="DH33" s="2380"/>
      <c r="DI33" s="2380"/>
      <c r="DJ33" s="2380"/>
      <c r="DK33" s="2380"/>
      <c r="DL33" s="2380" t="str">
        <f>IFERROR(IF('ARDT Cutter Entry'!$C$94&lt;&gt;"",IF(IFERROR(VALUE(RIGHT('ARDT Cutter Entry'!V100,2)),1)=1, LEFT(SUBSTITUTE('ARDT Cutter Entry'!V100,"*",""),LEN(SUBSTITUTE('ARDT Cutter Entry'!V100,"*",""))-1),LEFT(SUBSTITUTE('ARDT Cutter Entry'!V100,"*",""),LEN(SUBSTITUTE('ARDT Cutter Entry'!V100,"*",""))-2)),IF(IFERROR(VALUE(RIGHT('ARDT Cutter Entry'!V32,2)),1)=1, LEFT(SUBSTITUTE('ARDT Cutter Entry'!V32,"*",""),LEN(SUBSTITUTE('ARDT Cutter Entry'!V32,"*",""))-1),LEFT(SUBSTITUTE('ARDT Cutter Entry'!V32,"*",""),LEN(SUBSTITUTE('ARDT Cutter Entry'!V32,"*",""))-2) )),"")</f>
        <v/>
      </c>
      <c r="DM33" s="2380"/>
      <c r="DN33" s="2380"/>
      <c r="DO33" s="2380"/>
      <c r="DP33" s="2380"/>
      <c r="DQ33" s="2380"/>
      <c r="DR33" s="2380" t="str">
        <f>IFERROR(IF('ARDT Cutter Entry'!$C$94&lt;&gt;"",IF(IFERROR(VALUE(RIGHT('ARDT Cutter Entry'!W100,2)),1)=1, LEFT(SUBSTITUTE('ARDT Cutter Entry'!W100,"*",""),LEN(SUBSTITUTE('ARDT Cutter Entry'!W100,"*",""))-1),LEFT(SUBSTITUTE('ARDT Cutter Entry'!W100,"*",""),LEN(SUBSTITUTE('ARDT Cutter Entry'!W100,"*",""))-2)),IF(IFERROR(VALUE(RIGHT('ARDT Cutter Entry'!W32,2)),1)=1, LEFT(SUBSTITUTE('ARDT Cutter Entry'!W32,"*",""),LEN(SUBSTITUTE('ARDT Cutter Entry'!W32,"*",""))-1),LEFT(SUBSTITUTE('ARDT Cutter Entry'!W32,"*",""),LEN(SUBSTITUTE('ARDT Cutter Entry'!W32,"*",""))-2) )),"")</f>
        <v/>
      </c>
      <c r="DS33" s="2380"/>
      <c r="DT33" s="2380"/>
      <c r="DU33" s="2380"/>
      <c r="DV33" s="2380"/>
      <c r="DW33" s="2380"/>
      <c r="DX33" s="2380" t="str">
        <f>IFERROR(IF('ARDT Cutter Entry'!$C$94&lt;&gt;"",IF(IFERROR(VALUE(RIGHT('ARDT Cutter Entry'!X100,2)),1)=1, LEFT(SUBSTITUTE('ARDT Cutter Entry'!X100,"*",""),LEN(SUBSTITUTE('ARDT Cutter Entry'!X100,"*",""))-1),LEFT(SUBSTITUTE('ARDT Cutter Entry'!X100,"*",""),LEN(SUBSTITUTE('ARDT Cutter Entry'!X100,"*",""))-2)),IF(IFERROR(VALUE(RIGHT('ARDT Cutter Entry'!X32,2)),1)=1, LEFT(SUBSTITUTE('ARDT Cutter Entry'!X32,"*",""),LEN(SUBSTITUTE('ARDT Cutter Entry'!X32,"*",""))-1),LEFT(SUBSTITUTE('ARDT Cutter Entry'!X32,"*",""),LEN(SUBSTITUTE('ARDT Cutter Entry'!X32,"*",""))-2) )),"")</f>
        <v/>
      </c>
      <c r="DY33" s="2380"/>
      <c r="DZ33" s="2380"/>
      <c r="EA33" s="2380"/>
      <c r="EB33" s="2380"/>
      <c r="EC33" s="2380"/>
      <c r="ED33" s="2380" t="str">
        <f>IFERROR(IF('ARDT Cutter Entry'!$C$94&lt;&gt;"",IF(IFERROR(VALUE(RIGHT('ARDT Cutter Entry'!Y100,2)),1)=1, LEFT(SUBSTITUTE('ARDT Cutter Entry'!Y100,"*",""),LEN(SUBSTITUTE('ARDT Cutter Entry'!Y100,"*",""))-1),LEFT(SUBSTITUTE('ARDT Cutter Entry'!Y100,"*",""),LEN(SUBSTITUTE('ARDT Cutter Entry'!Y100,"*",""))-2)),IF(IFERROR(VALUE(RIGHT('ARDT Cutter Entry'!Y32,2)),1)=1, LEFT(SUBSTITUTE('ARDT Cutter Entry'!Y32,"*",""),LEN(SUBSTITUTE('ARDT Cutter Entry'!Y32,"*",""))-1),LEFT(SUBSTITUTE('ARDT Cutter Entry'!Y32,"*",""),LEN(SUBSTITUTE('ARDT Cutter Entry'!Y32,"*",""))-2) )),"")</f>
        <v/>
      </c>
      <c r="EE33" s="2380"/>
      <c r="EF33" s="2380"/>
      <c r="EG33" s="2380"/>
      <c r="EH33" s="2380"/>
      <c r="EI33" s="2380"/>
      <c r="EJ33" s="2380" t="str">
        <f>IFERROR(IF('ARDT Cutter Entry'!$C$94&lt;&gt;"",IF(IFERROR(VALUE(RIGHT('ARDT Cutter Entry'!Z100,2)),1)=1, LEFT(SUBSTITUTE('ARDT Cutter Entry'!Z100,"*",""),LEN(SUBSTITUTE('ARDT Cutter Entry'!Z100,"*",""))-1),LEFT(SUBSTITUTE('ARDT Cutter Entry'!Z100,"*",""),LEN(SUBSTITUTE('ARDT Cutter Entry'!Z100,"*",""))-2)),IF(IFERROR(VALUE(RIGHT('ARDT Cutter Entry'!Z32,2)),1)=1, LEFT(SUBSTITUTE('ARDT Cutter Entry'!Z32,"*",""),LEN(SUBSTITUTE('ARDT Cutter Entry'!Z32,"*",""))-1),LEFT(SUBSTITUTE('ARDT Cutter Entry'!Z32,"*",""),LEN(SUBSTITUTE('ARDT Cutter Entry'!Z32,"*",""))-2) )),"")</f>
        <v/>
      </c>
      <c r="EK33" s="2380"/>
      <c r="EL33" s="2380"/>
      <c r="EM33" s="2380"/>
      <c r="EN33" s="2380"/>
      <c r="EO33" s="2380"/>
      <c r="EP33" s="2380" t="str">
        <f>IFERROR(IF('ARDT Cutter Entry'!$C$94&lt;&gt;"",IF(IFERROR(VALUE(RIGHT('ARDT Cutter Entry'!AA100,2)),1)=1, LEFT(SUBSTITUTE('ARDT Cutter Entry'!AA100,"*",""),LEN(SUBSTITUTE('ARDT Cutter Entry'!AA100,"*",""))-1),LEFT(SUBSTITUTE('ARDT Cutter Entry'!AA100,"*",""),LEN(SUBSTITUTE('ARDT Cutter Entry'!AA100,"*",""))-2)),IF(IFERROR(VALUE(RIGHT('ARDT Cutter Entry'!AA32,2)),1)=1, LEFT(SUBSTITUTE('ARDT Cutter Entry'!AA32,"*",""),LEN(SUBSTITUTE('ARDT Cutter Entry'!AA32,"*",""))-1),LEFT(SUBSTITUTE('ARDT Cutter Entry'!AA32,"*",""),LEN(SUBSTITUTE('ARDT Cutter Entry'!AA32,"*",""))-2) )),"")</f>
        <v/>
      </c>
      <c r="EQ33" s="2380"/>
      <c r="ER33" s="2380"/>
      <c r="ES33" s="2380"/>
      <c r="ET33" s="2380"/>
      <c r="EU33" s="2380"/>
      <c r="EV33" s="2380" t="str">
        <f>IFERROR(IF('ARDT Cutter Entry'!$C$94&lt;&gt;"",IF(IFERROR(VALUE(RIGHT('ARDT Cutter Entry'!AB100,2)),1)=1, LEFT(SUBSTITUTE('ARDT Cutter Entry'!AB100,"*",""),LEN(SUBSTITUTE('ARDT Cutter Entry'!AB100,"*",""))-1),LEFT(SUBSTITUTE('ARDT Cutter Entry'!AB100,"*",""),LEN(SUBSTITUTE('ARDT Cutter Entry'!AB100,"*",""))-2)),IF(IFERROR(VALUE(RIGHT('ARDT Cutter Entry'!AB32,2)),1)=1, LEFT(SUBSTITUTE('ARDT Cutter Entry'!AB32,"*",""),LEN(SUBSTITUTE('ARDT Cutter Entry'!AB32,"*",""))-1),LEFT(SUBSTITUTE('ARDT Cutter Entry'!AB32,"*",""),LEN(SUBSTITUTE('ARDT Cutter Entry'!AB32,"*",""))-2) )),"")</f>
        <v/>
      </c>
      <c r="EW33" s="2380"/>
      <c r="EX33" s="2380"/>
      <c r="EY33" s="2380"/>
      <c r="EZ33" s="2380"/>
      <c r="FA33" s="2380"/>
      <c r="FB33" s="2380" t="str">
        <f>IFERROR(IF('ARDT Cutter Entry'!$C$94&lt;&gt;"",IF(IFERROR(VALUE(RIGHT('ARDT Cutter Entry'!AC100,2)),1)=1, LEFT(SUBSTITUTE('ARDT Cutter Entry'!AC100,"*",""),LEN(SUBSTITUTE('ARDT Cutter Entry'!AC100,"*",""))-1),LEFT(SUBSTITUTE('ARDT Cutter Entry'!AC100,"*",""),LEN(SUBSTITUTE('ARDT Cutter Entry'!AC100,"*",""))-2)),IF(IFERROR(VALUE(RIGHT('ARDT Cutter Entry'!AC32,2)),1)=1, LEFT(SUBSTITUTE('ARDT Cutter Entry'!AC32,"*",""),LEN(SUBSTITUTE('ARDT Cutter Entry'!AC32,"*",""))-1),LEFT(SUBSTITUTE('ARDT Cutter Entry'!AC32,"*",""),LEN(SUBSTITUTE('ARDT Cutter Entry'!AC32,"*",""))-2) )),"")</f>
        <v/>
      </c>
      <c r="FC33" s="2380"/>
      <c r="FD33" s="2380"/>
      <c r="FE33" s="2380"/>
      <c r="FF33" s="2380"/>
      <c r="FG33" s="2380"/>
      <c r="FH33" s="2380" t="str">
        <f>IFERROR(IF('ARDT Cutter Entry'!$C$94&lt;&gt;"",IF(IFERROR(VALUE(RIGHT('ARDT Cutter Entry'!AD100,2)),1)=1, LEFT(SUBSTITUTE('ARDT Cutter Entry'!AD100,"*",""),LEN(SUBSTITUTE('ARDT Cutter Entry'!AD100,"*",""))-1),LEFT(SUBSTITUTE('ARDT Cutter Entry'!AD100,"*",""),LEN(SUBSTITUTE('ARDT Cutter Entry'!AD100,"*",""))-2)),IF(IFERROR(VALUE(RIGHT('ARDT Cutter Entry'!AD32,2)),1)=1, LEFT(SUBSTITUTE('ARDT Cutter Entry'!AD32,"*",""),LEN(SUBSTITUTE('ARDT Cutter Entry'!AD32,"*",""))-1),LEFT(SUBSTITUTE('ARDT Cutter Entry'!AD32,"*",""),LEN(SUBSTITUTE('ARDT Cutter Entry'!AD32,"*",""))-2) )),"")</f>
        <v/>
      </c>
      <c r="FI33" s="2380"/>
      <c r="FJ33" s="2380"/>
      <c r="FK33" s="2380"/>
      <c r="FL33" s="2380"/>
      <c r="FM33" s="2380"/>
      <c r="FN33" s="2380" t="str">
        <f>IFERROR(IF('ARDT Cutter Entry'!$C$94&lt;&gt;"",IF(IFERROR(VALUE(RIGHT('ARDT Cutter Entry'!AE100,2)),1)=1, LEFT(SUBSTITUTE('ARDT Cutter Entry'!AE100,"*",""),LEN(SUBSTITUTE('ARDT Cutter Entry'!AE100,"*",""))-1),LEFT(SUBSTITUTE('ARDT Cutter Entry'!AE100,"*",""),LEN(SUBSTITUTE('ARDT Cutter Entry'!AE100,"*",""))-2)),IF(IFERROR(VALUE(RIGHT('ARDT Cutter Entry'!AE32,2)),1)=1, LEFT(SUBSTITUTE('ARDT Cutter Entry'!AE32,"*",""),LEN(SUBSTITUTE('ARDT Cutter Entry'!AE32,"*",""))-1),LEFT(SUBSTITUTE('ARDT Cutter Entry'!AE32,"*",""),LEN(SUBSTITUTE('ARDT Cutter Entry'!AE32,"*",""))-2) )),"")</f>
        <v/>
      </c>
      <c r="FO33" s="2380"/>
      <c r="FP33" s="2380"/>
      <c r="FQ33" s="2380"/>
      <c r="FR33" s="2380"/>
      <c r="FS33" s="2380"/>
      <c r="FT33" s="2380" t="str">
        <f>IFERROR(IF('ARDT Cutter Entry'!$C$94&lt;&gt;"",IF(IFERROR(VALUE(RIGHT('ARDT Cutter Entry'!AG100,2)),1)=1, LEFT(SUBSTITUTE('ARDT Cutter Entry'!AG100,"*",""),LEN(SUBSTITUTE('ARDT Cutter Entry'!AG100,"*",""))-1),LEFT(SUBSTITUTE('ARDT Cutter Entry'!AG100,"*",""),LEN(SUBSTITUTE('ARDT Cutter Entry'!AG100,"*",""))-2)),IF(IFERROR(VALUE(RIGHT('ARDT Cutter Entry'!AG32,2)),1)=1, LEFT(SUBSTITUTE('ARDT Cutter Entry'!AG32,"*",""),LEN(SUBSTITUTE('ARDT Cutter Entry'!AG32,"*",""))-1),LEFT(SUBSTITUTE('ARDT Cutter Entry'!AG32,"*",""),LEN(SUBSTITUTE('ARDT Cutter Entry'!AG32,"*",""))-2) )),"")</f>
        <v/>
      </c>
      <c r="FU33" s="2380"/>
      <c r="FV33" s="2380"/>
      <c r="FW33" s="2380"/>
      <c r="FX33" s="2380"/>
      <c r="FY33" s="2380"/>
      <c r="FZ33" s="2380" t="str">
        <f>IFERROR(IF('ARDT Cutter Entry'!$C$94&lt;&gt;"",IF(IFERROR(VALUE(RIGHT('ARDT Cutter Entry'!AH100,2)),1)=1, LEFT(SUBSTITUTE('ARDT Cutter Entry'!AH100,"*",""),LEN(SUBSTITUTE('ARDT Cutter Entry'!AH100,"*",""))-1),LEFT(SUBSTITUTE('ARDT Cutter Entry'!AH100,"*",""),LEN(SUBSTITUTE('ARDT Cutter Entry'!AH100,"*",""))-2)),IF(IFERROR(VALUE(RIGHT('ARDT Cutter Entry'!AH32,2)),1)=1, LEFT(SUBSTITUTE('ARDT Cutter Entry'!AH32,"*",""),LEN(SUBSTITUTE('ARDT Cutter Entry'!AH32,"*",""))-1),LEFT(SUBSTITUTE('ARDT Cutter Entry'!AH32,"*",""),LEN(SUBSTITUTE('ARDT Cutter Entry'!AH32,"*",""))-2) )),"")</f>
        <v/>
      </c>
      <c r="GA33" s="2380"/>
      <c r="GB33" s="2380"/>
      <c r="GC33" s="2380"/>
      <c r="GD33" s="2380"/>
      <c r="GE33" s="2380"/>
      <c r="GF33" s="1132"/>
      <c r="GG33" s="1132"/>
    </row>
    <row r="34" spans="1:190" ht="44.25" customHeight="1" x14ac:dyDescent="0.55000000000000004">
      <c r="A34" s="338">
        <v>8</v>
      </c>
      <c r="B34" s="2380" t="str">
        <f>IFERROR(IF('ARDT Cutter Entry'!$C$94&lt;&gt;"",IF(IFERROR(VALUE(RIGHT('ARDT Cutter Entry'!C101,2)),1)=1, LEFT(SUBSTITUTE('ARDT Cutter Entry'!C101,"*",""),LEN(SUBSTITUTE('ARDT Cutter Entry'!C101,"*",""))-1),LEFT(SUBSTITUTE('ARDT Cutter Entry'!C101,"*",""),LEN(SUBSTITUTE('ARDT Cutter Entry'!C101,"*",""))-2)),IF(IFERROR(VALUE(RIGHT('ARDT Cutter Entry'!C33,2)),1)=1, LEFT(SUBSTITUTE('ARDT Cutter Entry'!C33,"*",""),LEN(SUBSTITUTE('ARDT Cutter Entry'!C33,"*",""))-1),LEFT(SUBSTITUTE('ARDT Cutter Entry'!C33,"*",""),LEN(SUBSTITUTE('ARDT Cutter Entry'!C33,"*",""))-2) )),"")</f>
        <v/>
      </c>
      <c r="C34" s="2380"/>
      <c r="D34" s="2380"/>
      <c r="E34" s="2380"/>
      <c r="F34" s="2380"/>
      <c r="G34" s="2380"/>
      <c r="H34" s="2380" t="str">
        <f>IFERROR(IF('ARDT Cutter Entry'!$C$94&lt;&gt;"",IF(IFERROR(VALUE(RIGHT('ARDT Cutter Entry'!D101,2)),1)=1, LEFT(SUBSTITUTE('ARDT Cutter Entry'!D101,"*",""),LEN(SUBSTITUTE('ARDT Cutter Entry'!D101,"*",""))-1),LEFT(SUBSTITUTE('ARDT Cutter Entry'!D101,"*",""),LEN(SUBSTITUTE('ARDT Cutter Entry'!D101,"*",""))-2)),IF(IFERROR(VALUE(RIGHT('ARDT Cutter Entry'!D33,2)),1)=1, LEFT(SUBSTITUTE('ARDT Cutter Entry'!D33,"*",""),LEN(SUBSTITUTE('ARDT Cutter Entry'!D33,"*",""))-1),LEFT(SUBSTITUTE('ARDT Cutter Entry'!D33,"*",""),LEN(SUBSTITUTE('ARDT Cutter Entry'!D33,"*",""))-2) )),"")</f>
        <v/>
      </c>
      <c r="I34" s="2380"/>
      <c r="J34" s="2380"/>
      <c r="K34" s="2380"/>
      <c r="L34" s="2380"/>
      <c r="M34" s="2380"/>
      <c r="N34" s="2380" t="str">
        <f>IFERROR(IF('ARDT Cutter Entry'!$C$94&lt;&gt;"",IF(IFERROR(VALUE(RIGHT('ARDT Cutter Entry'!E101,2)),1)=1, LEFT(SUBSTITUTE('ARDT Cutter Entry'!E101,"*",""),LEN(SUBSTITUTE('ARDT Cutter Entry'!E101,"*",""))-1),LEFT(SUBSTITUTE('ARDT Cutter Entry'!E101,"*",""),LEN(SUBSTITUTE('ARDT Cutter Entry'!E101,"*",""))-2)),IF(IFERROR(VALUE(RIGHT('ARDT Cutter Entry'!E33,2)),1)=1, LEFT(SUBSTITUTE('ARDT Cutter Entry'!E33,"*",""),LEN(SUBSTITUTE('ARDT Cutter Entry'!E33,"*",""))-1),LEFT(SUBSTITUTE('ARDT Cutter Entry'!E33,"*",""),LEN(SUBSTITUTE('ARDT Cutter Entry'!E33,"*",""))-2) )),"")</f>
        <v/>
      </c>
      <c r="O34" s="2380"/>
      <c r="P34" s="2380"/>
      <c r="Q34" s="2380"/>
      <c r="R34" s="2380"/>
      <c r="S34" s="2380"/>
      <c r="T34" s="2380" t="str">
        <f>IFERROR(IF('ARDT Cutter Entry'!$C$94&lt;&gt;"",IF(IFERROR(VALUE(RIGHT('ARDT Cutter Entry'!F101,2)),1)=1, LEFT(SUBSTITUTE('ARDT Cutter Entry'!F101,"*",""),LEN(SUBSTITUTE('ARDT Cutter Entry'!F101,"*",""))-1),LEFT(SUBSTITUTE('ARDT Cutter Entry'!F101,"*",""),LEN(SUBSTITUTE('ARDT Cutter Entry'!F101,"*",""))-2)),IF(IFERROR(VALUE(RIGHT('ARDT Cutter Entry'!F33,2)),1)=1, LEFT(SUBSTITUTE('ARDT Cutter Entry'!F33,"*",""),LEN(SUBSTITUTE('ARDT Cutter Entry'!F33,"*",""))-1),LEFT(SUBSTITUTE('ARDT Cutter Entry'!F33,"*",""),LEN(SUBSTITUTE('ARDT Cutter Entry'!F33,"*",""))-2) )),"")</f>
        <v/>
      </c>
      <c r="U34" s="2380"/>
      <c r="V34" s="2380"/>
      <c r="W34" s="2380"/>
      <c r="X34" s="2380"/>
      <c r="Y34" s="2380"/>
      <c r="Z34" s="2380" t="str">
        <f>IFERROR(IF('ARDT Cutter Entry'!$C$94&lt;&gt;"",IF(IFERROR(VALUE(RIGHT('ARDT Cutter Entry'!G101,2)),1)=1, LEFT(SUBSTITUTE('ARDT Cutter Entry'!G101,"*",""),LEN(SUBSTITUTE('ARDT Cutter Entry'!G101,"*",""))-1),LEFT(SUBSTITUTE('ARDT Cutter Entry'!G101,"*",""),LEN(SUBSTITUTE('ARDT Cutter Entry'!G101,"*",""))-2)),IF(IFERROR(VALUE(RIGHT('ARDT Cutter Entry'!G33,2)),1)=1, LEFT(SUBSTITUTE('ARDT Cutter Entry'!G33,"*",""),LEN(SUBSTITUTE('ARDT Cutter Entry'!G33,"*",""))-1),LEFT(SUBSTITUTE('ARDT Cutter Entry'!G33,"*",""),LEN(SUBSTITUTE('ARDT Cutter Entry'!G33,"*",""))-2) )),"")</f>
        <v/>
      </c>
      <c r="AA34" s="2380"/>
      <c r="AB34" s="2380"/>
      <c r="AC34" s="2380"/>
      <c r="AD34" s="2380"/>
      <c r="AE34" s="2380"/>
      <c r="AF34" s="2380" t="str">
        <f>IFERROR(IF('ARDT Cutter Entry'!$C$94&lt;&gt;"",IF(IFERROR(VALUE(RIGHT('ARDT Cutter Entry'!H101,2)),1)=1, LEFT(SUBSTITUTE('ARDT Cutter Entry'!H101,"*",""),LEN(SUBSTITUTE('ARDT Cutter Entry'!H101,"*",""))-1),LEFT(SUBSTITUTE('ARDT Cutter Entry'!H101,"*",""),LEN(SUBSTITUTE('ARDT Cutter Entry'!H101,"*",""))-2)),IF(IFERROR(VALUE(RIGHT('ARDT Cutter Entry'!H33,2)),1)=1, LEFT(SUBSTITUTE('ARDT Cutter Entry'!H33,"*",""),LEN(SUBSTITUTE('ARDT Cutter Entry'!H33,"*",""))-1),LEFT(SUBSTITUTE('ARDT Cutter Entry'!H33,"*",""),LEN(SUBSTITUTE('ARDT Cutter Entry'!H33,"*",""))-2) )),"")</f>
        <v/>
      </c>
      <c r="AG34" s="2380"/>
      <c r="AH34" s="2380"/>
      <c r="AI34" s="2380"/>
      <c r="AJ34" s="2380"/>
      <c r="AK34" s="2380"/>
      <c r="AL34" s="2380" t="str">
        <f>IFERROR(IF('ARDT Cutter Entry'!$C$94&lt;&gt;"",IF(IFERROR(VALUE(RIGHT('ARDT Cutter Entry'!I101,2)),1)=1, LEFT(SUBSTITUTE('ARDT Cutter Entry'!I101,"*",""),LEN(SUBSTITUTE('ARDT Cutter Entry'!I101,"*",""))-1),LEFT(SUBSTITUTE('ARDT Cutter Entry'!I101,"*",""),LEN(SUBSTITUTE('ARDT Cutter Entry'!I101,"*",""))-2)),IF(IFERROR(VALUE(RIGHT('ARDT Cutter Entry'!I33,2)),1)=1, LEFT(SUBSTITUTE('ARDT Cutter Entry'!I33,"*",""),LEN(SUBSTITUTE('ARDT Cutter Entry'!I33,"*",""))-1),LEFT(SUBSTITUTE('ARDT Cutter Entry'!I33,"*",""),LEN(SUBSTITUTE('ARDT Cutter Entry'!I33,"*",""))-2) )),"")</f>
        <v/>
      </c>
      <c r="AM34" s="2380"/>
      <c r="AN34" s="2380"/>
      <c r="AO34" s="2380"/>
      <c r="AP34" s="2380"/>
      <c r="AQ34" s="2380"/>
      <c r="AR34" s="2380" t="str">
        <f>IFERROR(IF('ARDT Cutter Entry'!$C$94&lt;&gt;"",IF(IFERROR(VALUE(RIGHT('ARDT Cutter Entry'!J101,2)),1)=1, LEFT(SUBSTITUTE('ARDT Cutter Entry'!J101,"*",""),LEN(SUBSTITUTE('ARDT Cutter Entry'!J101,"*",""))-1),LEFT(SUBSTITUTE('ARDT Cutter Entry'!J101,"*",""),LEN(SUBSTITUTE('ARDT Cutter Entry'!J101,"*",""))-2)),IF(IFERROR(VALUE(RIGHT('ARDT Cutter Entry'!J33,2)),1)=1, LEFT(SUBSTITUTE('ARDT Cutter Entry'!J33,"*",""),LEN(SUBSTITUTE('ARDT Cutter Entry'!J33,"*",""))-1),LEFT(SUBSTITUTE('ARDT Cutter Entry'!J33,"*",""),LEN(SUBSTITUTE('ARDT Cutter Entry'!J33,"*",""))-2) )),"")</f>
        <v/>
      </c>
      <c r="AS34" s="2380"/>
      <c r="AT34" s="2380"/>
      <c r="AU34" s="2380"/>
      <c r="AV34" s="2380"/>
      <c r="AW34" s="2380"/>
      <c r="AX34" s="2380" t="str">
        <f>IFERROR(IF('ARDT Cutter Entry'!$C$94&lt;&gt;"",IF(IFERROR(VALUE(RIGHT('ARDT Cutter Entry'!K101,2)),1)=1, LEFT(SUBSTITUTE('ARDT Cutter Entry'!K101,"*",""),LEN(SUBSTITUTE('ARDT Cutter Entry'!K101,"*",""))-1),LEFT(SUBSTITUTE('ARDT Cutter Entry'!K101,"*",""),LEN(SUBSTITUTE('ARDT Cutter Entry'!K101,"*",""))-2)),IF(IFERROR(VALUE(RIGHT('ARDT Cutter Entry'!K33,2)),1)=1, LEFT(SUBSTITUTE('ARDT Cutter Entry'!K33,"*",""),LEN(SUBSTITUTE('ARDT Cutter Entry'!K33,"*",""))-1),LEFT(SUBSTITUTE('ARDT Cutter Entry'!K33,"*",""),LEN(SUBSTITUTE('ARDT Cutter Entry'!K33,"*",""))-2) )),"")</f>
        <v/>
      </c>
      <c r="AY34" s="2380"/>
      <c r="AZ34" s="2380"/>
      <c r="BA34" s="2380"/>
      <c r="BB34" s="2380"/>
      <c r="BC34" s="2380"/>
      <c r="BD34" s="2380" t="str">
        <f>IFERROR(IF('ARDT Cutter Entry'!$C$94&lt;&gt;"",IF(IFERROR(VALUE(RIGHT('ARDT Cutter Entry'!L101,2)),1)=1, LEFT(SUBSTITUTE('ARDT Cutter Entry'!L101,"*",""),LEN(SUBSTITUTE('ARDT Cutter Entry'!L101,"*",""))-1),LEFT(SUBSTITUTE('ARDT Cutter Entry'!L101,"*",""),LEN(SUBSTITUTE('ARDT Cutter Entry'!L101,"*",""))-2)),IF(IFERROR(VALUE(RIGHT('ARDT Cutter Entry'!L33,2)),1)=1, LEFT(SUBSTITUTE('ARDT Cutter Entry'!L33,"*",""),LEN(SUBSTITUTE('ARDT Cutter Entry'!L33,"*",""))-1),LEFT(SUBSTITUTE('ARDT Cutter Entry'!L33,"*",""),LEN(SUBSTITUTE('ARDT Cutter Entry'!L33,"*",""))-2) )),"")</f>
        <v/>
      </c>
      <c r="BE34" s="2380"/>
      <c r="BF34" s="2380"/>
      <c r="BG34" s="2380"/>
      <c r="BH34" s="2380"/>
      <c r="BI34" s="2380"/>
      <c r="BJ34" s="2380" t="str">
        <f>IFERROR(IF('ARDT Cutter Entry'!$C$94&lt;&gt;"",IF(IFERROR(VALUE(RIGHT('ARDT Cutter Entry'!M101,2)),1)=1, LEFT(SUBSTITUTE('ARDT Cutter Entry'!M101,"*",""),LEN(SUBSTITUTE('ARDT Cutter Entry'!M101,"*",""))-1),LEFT(SUBSTITUTE('ARDT Cutter Entry'!M101,"*",""),LEN(SUBSTITUTE('ARDT Cutter Entry'!M101,"*",""))-2)),IF(IFERROR(VALUE(RIGHT('ARDT Cutter Entry'!M33,2)),1)=1, LEFT(SUBSTITUTE('ARDT Cutter Entry'!M33,"*",""),LEN(SUBSTITUTE('ARDT Cutter Entry'!M33,"*",""))-1),LEFT(SUBSTITUTE('ARDT Cutter Entry'!M33,"*",""),LEN(SUBSTITUTE('ARDT Cutter Entry'!M33,"*",""))-2) )),"")</f>
        <v/>
      </c>
      <c r="BK34" s="2380"/>
      <c r="BL34" s="2380"/>
      <c r="BM34" s="2380"/>
      <c r="BN34" s="2380"/>
      <c r="BO34" s="2380"/>
      <c r="BP34" s="2380" t="str">
        <f>IFERROR(IF('ARDT Cutter Entry'!$C$94&lt;&gt;"",IF(IFERROR(VALUE(RIGHT('ARDT Cutter Entry'!N101,2)),1)=1, LEFT(SUBSTITUTE('ARDT Cutter Entry'!N101,"*",""),LEN(SUBSTITUTE('ARDT Cutter Entry'!N101,"*",""))-1),LEFT(SUBSTITUTE('ARDT Cutter Entry'!N101,"*",""),LEN(SUBSTITUTE('ARDT Cutter Entry'!N101,"*",""))-2)),IF(IFERROR(VALUE(RIGHT('ARDT Cutter Entry'!N33,2)),1)=1, LEFT(SUBSTITUTE('ARDT Cutter Entry'!N33,"*",""),LEN(SUBSTITUTE('ARDT Cutter Entry'!N33,"*",""))-1),LEFT(SUBSTITUTE('ARDT Cutter Entry'!N33,"*",""),LEN(SUBSTITUTE('ARDT Cutter Entry'!N33,"*",""))-2) )),"")</f>
        <v/>
      </c>
      <c r="BQ34" s="2380"/>
      <c r="BR34" s="2380"/>
      <c r="BS34" s="2380"/>
      <c r="BT34" s="2380"/>
      <c r="BU34" s="2380"/>
      <c r="BV34" s="2380" t="str">
        <f>IFERROR(IF('ARDT Cutter Entry'!$C$94&lt;&gt;"",IF(IFERROR(VALUE(RIGHT('ARDT Cutter Entry'!O101,2)),1)=1, LEFT(SUBSTITUTE('ARDT Cutter Entry'!O101,"*",""),LEN(SUBSTITUTE('ARDT Cutter Entry'!O101,"*",""))-1),LEFT(SUBSTITUTE('ARDT Cutter Entry'!O101,"*",""),LEN(SUBSTITUTE('ARDT Cutter Entry'!O101,"*",""))-2)),IF(IFERROR(VALUE(RIGHT('ARDT Cutter Entry'!O33,2)),1)=1, LEFT(SUBSTITUTE('ARDT Cutter Entry'!O33,"*",""),LEN(SUBSTITUTE('ARDT Cutter Entry'!O33,"*",""))-1),LEFT(SUBSTITUTE('ARDT Cutter Entry'!O33,"*",""),LEN(SUBSTITUTE('ARDT Cutter Entry'!O33,"*",""))-2) )),"")</f>
        <v/>
      </c>
      <c r="BW34" s="2380"/>
      <c r="BX34" s="2380"/>
      <c r="BY34" s="2380"/>
      <c r="BZ34" s="2380"/>
      <c r="CA34" s="2380"/>
      <c r="CB34" s="2380" t="str">
        <f>IFERROR(IF('ARDT Cutter Entry'!$C$94&lt;&gt;"",IF(IFERROR(VALUE(RIGHT('ARDT Cutter Entry'!P101,2)),1)=1, LEFT(SUBSTITUTE('ARDT Cutter Entry'!P101,"*",""),LEN(SUBSTITUTE('ARDT Cutter Entry'!P101,"*",""))-1),LEFT(SUBSTITUTE('ARDT Cutter Entry'!P101,"*",""),LEN(SUBSTITUTE('ARDT Cutter Entry'!P101,"*",""))-2)),IF(IFERROR(VALUE(RIGHT('ARDT Cutter Entry'!P33,2)),1)=1, LEFT(SUBSTITUTE('ARDT Cutter Entry'!P33,"*",""),LEN(SUBSTITUTE('ARDT Cutter Entry'!P33,"*",""))-1),LEFT(SUBSTITUTE('ARDT Cutter Entry'!P33,"*",""),LEN(SUBSTITUTE('ARDT Cutter Entry'!P33,"*",""))-2) )),"")</f>
        <v/>
      </c>
      <c r="CC34" s="2380"/>
      <c r="CD34" s="2380"/>
      <c r="CE34" s="2380"/>
      <c r="CF34" s="2380"/>
      <c r="CG34" s="2380"/>
      <c r="CH34" s="2380" t="str">
        <f>IFERROR(IF('ARDT Cutter Entry'!$C$94&lt;&gt;"",IF(IFERROR(VALUE(RIGHT('ARDT Cutter Entry'!Q101,2)),1)=1, LEFT(SUBSTITUTE('ARDT Cutter Entry'!Q101,"*",""),LEN(SUBSTITUTE('ARDT Cutter Entry'!Q101,"*",""))-1),LEFT(SUBSTITUTE('ARDT Cutter Entry'!Q101,"*",""),LEN(SUBSTITUTE('ARDT Cutter Entry'!Q101,"*",""))-2)),IF(IFERROR(VALUE(RIGHT('ARDT Cutter Entry'!Q33,2)),1)=1, LEFT(SUBSTITUTE('ARDT Cutter Entry'!Q33,"*",""),LEN(SUBSTITUTE('ARDT Cutter Entry'!Q33,"*",""))-1),LEFT(SUBSTITUTE('ARDT Cutter Entry'!Q33,"*",""),LEN(SUBSTITUTE('ARDT Cutter Entry'!Q33,"*",""))-2) )),"")</f>
        <v/>
      </c>
      <c r="CI34" s="2380"/>
      <c r="CJ34" s="2380"/>
      <c r="CK34" s="2380"/>
      <c r="CL34" s="2380"/>
      <c r="CM34" s="2380"/>
      <c r="CN34" s="2380" t="str">
        <f>IFERROR(IF('ARDT Cutter Entry'!$C$94&lt;&gt;"",IF(IFERROR(VALUE(RIGHT('ARDT Cutter Entry'!R101,2)),1)=1, LEFT(SUBSTITUTE('ARDT Cutter Entry'!R101,"*",""),LEN(SUBSTITUTE('ARDT Cutter Entry'!R101,"*",""))-1),LEFT(SUBSTITUTE('ARDT Cutter Entry'!R101,"*",""),LEN(SUBSTITUTE('ARDT Cutter Entry'!R101,"*",""))-2)),IF(IFERROR(VALUE(RIGHT('ARDT Cutter Entry'!R33,2)),1)=1, LEFT(SUBSTITUTE('ARDT Cutter Entry'!R33,"*",""),LEN(SUBSTITUTE('ARDT Cutter Entry'!R33,"*",""))-1),LEFT(SUBSTITUTE('ARDT Cutter Entry'!R33,"*",""),LEN(SUBSTITUTE('ARDT Cutter Entry'!R33,"*",""))-2) )),"")</f>
        <v/>
      </c>
      <c r="CO34" s="2380"/>
      <c r="CP34" s="2380"/>
      <c r="CQ34" s="2380"/>
      <c r="CR34" s="2380"/>
      <c r="CS34" s="2380"/>
      <c r="CT34" s="2380" t="str">
        <f>IFERROR(IF('ARDT Cutter Entry'!$C$94&lt;&gt;"",IF(IFERROR(VALUE(RIGHT('ARDT Cutter Entry'!S101,2)),1)=1, LEFT(SUBSTITUTE('ARDT Cutter Entry'!S101,"*",""),LEN(SUBSTITUTE('ARDT Cutter Entry'!S101,"*",""))-1),LEFT(SUBSTITUTE('ARDT Cutter Entry'!S101,"*",""),LEN(SUBSTITUTE('ARDT Cutter Entry'!S101,"*",""))-2)),IF(IFERROR(VALUE(RIGHT('ARDT Cutter Entry'!S33,2)),1)=1, LEFT(SUBSTITUTE('ARDT Cutter Entry'!S33,"*",""),LEN(SUBSTITUTE('ARDT Cutter Entry'!S33,"*",""))-1),LEFT(SUBSTITUTE('ARDT Cutter Entry'!S33,"*",""),LEN(SUBSTITUTE('ARDT Cutter Entry'!S33,"*",""))-2) )),"")</f>
        <v/>
      </c>
      <c r="CU34" s="2380"/>
      <c r="CV34" s="2380"/>
      <c r="CW34" s="2380"/>
      <c r="CX34" s="2380"/>
      <c r="CY34" s="2380"/>
      <c r="CZ34" s="2380" t="str">
        <f>IFERROR(IF('ARDT Cutter Entry'!$C$94&lt;&gt;"",IF(IFERROR(VALUE(RIGHT('ARDT Cutter Entry'!T101,2)),1)=1, LEFT(SUBSTITUTE('ARDT Cutter Entry'!T101,"*",""),LEN(SUBSTITUTE('ARDT Cutter Entry'!T101,"*",""))-1),LEFT(SUBSTITUTE('ARDT Cutter Entry'!T101,"*",""),LEN(SUBSTITUTE('ARDT Cutter Entry'!T101,"*",""))-2)),IF(IFERROR(VALUE(RIGHT('ARDT Cutter Entry'!T33,2)),1)=1, LEFT(SUBSTITUTE('ARDT Cutter Entry'!T33,"*",""),LEN(SUBSTITUTE('ARDT Cutter Entry'!T33,"*",""))-1),LEFT(SUBSTITUTE('ARDT Cutter Entry'!T33,"*",""),LEN(SUBSTITUTE('ARDT Cutter Entry'!T33,"*",""))-2) )),"")</f>
        <v/>
      </c>
      <c r="DA34" s="2380"/>
      <c r="DB34" s="2380"/>
      <c r="DC34" s="2380"/>
      <c r="DD34" s="2380"/>
      <c r="DE34" s="2380"/>
      <c r="DF34" s="2380" t="str">
        <f>IFERROR(IF('ARDT Cutter Entry'!$C$94&lt;&gt;"",IF(IFERROR(VALUE(RIGHT('ARDT Cutter Entry'!U101,2)),1)=1, LEFT(SUBSTITUTE('ARDT Cutter Entry'!U101,"*",""),LEN(SUBSTITUTE('ARDT Cutter Entry'!U101,"*",""))-1),LEFT(SUBSTITUTE('ARDT Cutter Entry'!U101,"*",""),LEN(SUBSTITUTE('ARDT Cutter Entry'!U101,"*",""))-2)),IF(IFERROR(VALUE(RIGHT('ARDT Cutter Entry'!U33,2)),1)=1, LEFT(SUBSTITUTE('ARDT Cutter Entry'!U33,"*",""),LEN(SUBSTITUTE('ARDT Cutter Entry'!U33,"*",""))-1),LEFT(SUBSTITUTE('ARDT Cutter Entry'!U33,"*",""),LEN(SUBSTITUTE('ARDT Cutter Entry'!U33,"*",""))-2) )),"")</f>
        <v/>
      </c>
      <c r="DG34" s="2380"/>
      <c r="DH34" s="2380"/>
      <c r="DI34" s="2380"/>
      <c r="DJ34" s="2380"/>
      <c r="DK34" s="2380"/>
      <c r="DL34" s="2380" t="str">
        <f>IFERROR(IF('ARDT Cutter Entry'!$C$94&lt;&gt;"",IF(IFERROR(VALUE(RIGHT('ARDT Cutter Entry'!V101,2)),1)=1, LEFT(SUBSTITUTE('ARDT Cutter Entry'!V101,"*",""),LEN(SUBSTITUTE('ARDT Cutter Entry'!V101,"*",""))-1),LEFT(SUBSTITUTE('ARDT Cutter Entry'!V101,"*",""),LEN(SUBSTITUTE('ARDT Cutter Entry'!V101,"*",""))-2)),IF(IFERROR(VALUE(RIGHT('ARDT Cutter Entry'!V33,2)),1)=1, LEFT(SUBSTITUTE('ARDT Cutter Entry'!V33,"*",""),LEN(SUBSTITUTE('ARDT Cutter Entry'!V33,"*",""))-1),LEFT(SUBSTITUTE('ARDT Cutter Entry'!V33,"*",""),LEN(SUBSTITUTE('ARDT Cutter Entry'!V33,"*",""))-2) )),"")</f>
        <v/>
      </c>
      <c r="DM34" s="2380"/>
      <c r="DN34" s="2380"/>
      <c r="DO34" s="2380"/>
      <c r="DP34" s="2380"/>
      <c r="DQ34" s="2380"/>
      <c r="DR34" s="2380" t="str">
        <f>IFERROR(IF('ARDT Cutter Entry'!$C$94&lt;&gt;"",IF(IFERROR(VALUE(RIGHT('ARDT Cutter Entry'!W101,2)),1)=1, LEFT(SUBSTITUTE('ARDT Cutter Entry'!W101,"*",""),LEN(SUBSTITUTE('ARDT Cutter Entry'!W101,"*",""))-1),LEFT(SUBSTITUTE('ARDT Cutter Entry'!W101,"*",""),LEN(SUBSTITUTE('ARDT Cutter Entry'!W101,"*",""))-2)),IF(IFERROR(VALUE(RIGHT('ARDT Cutter Entry'!W33,2)),1)=1, LEFT(SUBSTITUTE('ARDT Cutter Entry'!W33,"*",""),LEN(SUBSTITUTE('ARDT Cutter Entry'!W33,"*",""))-1),LEFT(SUBSTITUTE('ARDT Cutter Entry'!W33,"*",""),LEN(SUBSTITUTE('ARDT Cutter Entry'!W33,"*",""))-2) )),"")</f>
        <v/>
      </c>
      <c r="DS34" s="2380"/>
      <c r="DT34" s="2380"/>
      <c r="DU34" s="2380"/>
      <c r="DV34" s="2380"/>
      <c r="DW34" s="2380"/>
      <c r="DX34" s="2380" t="str">
        <f>IFERROR(IF('ARDT Cutter Entry'!$C$94&lt;&gt;"",IF(IFERROR(VALUE(RIGHT('ARDT Cutter Entry'!X101,2)),1)=1, LEFT(SUBSTITUTE('ARDT Cutter Entry'!X101,"*",""),LEN(SUBSTITUTE('ARDT Cutter Entry'!X101,"*",""))-1),LEFT(SUBSTITUTE('ARDT Cutter Entry'!X101,"*",""),LEN(SUBSTITUTE('ARDT Cutter Entry'!X101,"*",""))-2)),IF(IFERROR(VALUE(RIGHT('ARDT Cutter Entry'!X33,2)),1)=1, LEFT(SUBSTITUTE('ARDT Cutter Entry'!X33,"*",""),LEN(SUBSTITUTE('ARDT Cutter Entry'!X33,"*",""))-1),LEFT(SUBSTITUTE('ARDT Cutter Entry'!X33,"*",""),LEN(SUBSTITUTE('ARDT Cutter Entry'!X33,"*",""))-2) )),"")</f>
        <v/>
      </c>
      <c r="DY34" s="2380"/>
      <c r="DZ34" s="2380"/>
      <c r="EA34" s="2380"/>
      <c r="EB34" s="2380"/>
      <c r="EC34" s="2380"/>
      <c r="ED34" s="2380" t="str">
        <f>IFERROR(IF('ARDT Cutter Entry'!$C$94&lt;&gt;"",IF(IFERROR(VALUE(RIGHT('ARDT Cutter Entry'!Y101,2)),1)=1, LEFT(SUBSTITUTE('ARDT Cutter Entry'!Y101,"*",""),LEN(SUBSTITUTE('ARDT Cutter Entry'!Y101,"*",""))-1),LEFT(SUBSTITUTE('ARDT Cutter Entry'!Y101,"*",""),LEN(SUBSTITUTE('ARDT Cutter Entry'!Y101,"*",""))-2)),IF(IFERROR(VALUE(RIGHT('ARDT Cutter Entry'!Y33,2)),1)=1, LEFT(SUBSTITUTE('ARDT Cutter Entry'!Y33,"*",""),LEN(SUBSTITUTE('ARDT Cutter Entry'!Y33,"*",""))-1),LEFT(SUBSTITUTE('ARDT Cutter Entry'!Y33,"*",""),LEN(SUBSTITUTE('ARDT Cutter Entry'!Y33,"*",""))-2) )),"")</f>
        <v/>
      </c>
      <c r="EE34" s="2380"/>
      <c r="EF34" s="2380"/>
      <c r="EG34" s="2380"/>
      <c r="EH34" s="2380"/>
      <c r="EI34" s="2380"/>
      <c r="EJ34" s="2380" t="str">
        <f>IFERROR(IF('ARDT Cutter Entry'!$C$94&lt;&gt;"",IF(IFERROR(VALUE(RIGHT('ARDT Cutter Entry'!Z101,2)),1)=1, LEFT(SUBSTITUTE('ARDT Cutter Entry'!Z101,"*",""),LEN(SUBSTITUTE('ARDT Cutter Entry'!Z101,"*",""))-1),LEFT(SUBSTITUTE('ARDT Cutter Entry'!Z101,"*",""),LEN(SUBSTITUTE('ARDT Cutter Entry'!Z101,"*",""))-2)),IF(IFERROR(VALUE(RIGHT('ARDT Cutter Entry'!Z33,2)),1)=1, LEFT(SUBSTITUTE('ARDT Cutter Entry'!Z33,"*",""),LEN(SUBSTITUTE('ARDT Cutter Entry'!Z33,"*",""))-1),LEFT(SUBSTITUTE('ARDT Cutter Entry'!Z33,"*",""),LEN(SUBSTITUTE('ARDT Cutter Entry'!Z33,"*",""))-2) )),"")</f>
        <v/>
      </c>
      <c r="EK34" s="2380"/>
      <c r="EL34" s="2380"/>
      <c r="EM34" s="2380"/>
      <c r="EN34" s="2380"/>
      <c r="EO34" s="2380"/>
      <c r="EP34" s="2380" t="str">
        <f>IFERROR(IF('ARDT Cutter Entry'!$C$94&lt;&gt;"",IF(IFERROR(VALUE(RIGHT('ARDT Cutter Entry'!AA101,2)),1)=1, LEFT(SUBSTITUTE('ARDT Cutter Entry'!AA101,"*",""),LEN(SUBSTITUTE('ARDT Cutter Entry'!AA101,"*",""))-1),LEFT(SUBSTITUTE('ARDT Cutter Entry'!AA101,"*",""),LEN(SUBSTITUTE('ARDT Cutter Entry'!AA101,"*",""))-2)),IF(IFERROR(VALUE(RIGHT('ARDT Cutter Entry'!AA33,2)),1)=1, LEFT(SUBSTITUTE('ARDT Cutter Entry'!AA33,"*",""),LEN(SUBSTITUTE('ARDT Cutter Entry'!AA33,"*",""))-1),LEFT(SUBSTITUTE('ARDT Cutter Entry'!AA33,"*",""),LEN(SUBSTITUTE('ARDT Cutter Entry'!AA33,"*",""))-2) )),"")</f>
        <v/>
      </c>
      <c r="EQ34" s="2380"/>
      <c r="ER34" s="2380"/>
      <c r="ES34" s="2380"/>
      <c r="ET34" s="2380"/>
      <c r="EU34" s="2380"/>
      <c r="EV34" s="2380" t="str">
        <f>IFERROR(IF('ARDT Cutter Entry'!$C$94&lt;&gt;"",IF(IFERROR(VALUE(RIGHT('ARDT Cutter Entry'!AB101,2)),1)=1, LEFT(SUBSTITUTE('ARDT Cutter Entry'!AB101,"*",""),LEN(SUBSTITUTE('ARDT Cutter Entry'!AB101,"*",""))-1),LEFT(SUBSTITUTE('ARDT Cutter Entry'!AB101,"*",""),LEN(SUBSTITUTE('ARDT Cutter Entry'!AB101,"*",""))-2)),IF(IFERROR(VALUE(RIGHT('ARDT Cutter Entry'!AB33,2)),1)=1, LEFT(SUBSTITUTE('ARDT Cutter Entry'!AB33,"*",""),LEN(SUBSTITUTE('ARDT Cutter Entry'!AB33,"*",""))-1),LEFT(SUBSTITUTE('ARDT Cutter Entry'!AB33,"*",""),LEN(SUBSTITUTE('ARDT Cutter Entry'!AB33,"*",""))-2) )),"")</f>
        <v/>
      </c>
      <c r="EW34" s="2380"/>
      <c r="EX34" s="2380"/>
      <c r="EY34" s="2380"/>
      <c r="EZ34" s="2380"/>
      <c r="FA34" s="2380"/>
      <c r="FB34" s="2380" t="str">
        <f>IFERROR(IF('ARDT Cutter Entry'!$C$94&lt;&gt;"",IF(IFERROR(VALUE(RIGHT('ARDT Cutter Entry'!AC101,2)),1)=1, LEFT(SUBSTITUTE('ARDT Cutter Entry'!AC101,"*",""),LEN(SUBSTITUTE('ARDT Cutter Entry'!AC101,"*",""))-1),LEFT(SUBSTITUTE('ARDT Cutter Entry'!AC101,"*",""),LEN(SUBSTITUTE('ARDT Cutter Entry'!AC101,"*",""))-2)),IF(IFERROR(VALUE(RIGHT('ARDT Cutter Entry'!AC33,2)),1)=1, LEFT(SUBSTITUTE('ARDT Cutter Entry'!AC33,"*",""),LEN(SUBSTITUTE('ARDT Cutter Entry'!AC33,"*",""))-1),LEFT(SUBSTITUTE('ARDT Cutter Entry'!AC33,"*",""),LEN(SUBSTITUTE('ARDT Cutter Entry'!AC33,"*",""))-2) )),"")</f>
        <v/>
      </c>
      <c r="FC34" s="2380"/>
      <c r="FD34" s="2380"/>
      <c r="FE34" s="2380"/>
      <c r="FF34" s="2380"/>
      <c r="FG34" s="2380"/>
      <c r="FH34" s="2380" t="str">
        <f>IFERROR(IF('ARDT Cutter Entry'!$C$94&lt;&gt;"",IF(IFERROR(VALUE(RIGHT('ARDT Cutter Entry'!AD101,2)),1)=1, LEFT(SUBSTITUTE('ARDT Cutter Entry'!AD101,"*",""),LEN(SUBSTITUTE('ARDT Cutter Entry'!AD101,"*",""))-1),LEFT(SUBSTITUTE('ARDT Cutter Entry'!AD101,"*",""),LEN(SUBSTITUTE('ARDT Cutter Entry'!AD101,"*",""))-2)),IF(IFERROR(VALUE(RIGHT('ARDT Cutter Entry'!AD33,2)),1)=1, LEFT(SUBSTITUTE('ARDT Cutter Entry'!AD33,"*",""),LEN(SUBSTITUTE('ARDT Cutter Entry'!AD33,"*",""))-1),LEFT(SUBSTITUTE('ARDT Cutter Entry'!AD33,"*",""),LEN(SUBSTITUTE('ARDT Cutter Entry'!AD33,"*",""))-2) )),"")</f>
        <v/>
      </c>
      <c r="FI34" s="2380"/>
      <c r="FJ34" s="2380"/>
      <c r="FK34" s="2380"/>
      <c r="FL34" s="2380"/>
      <c r="FM34" s="2380"/>
      <c r="FN34" s="2380" t="str">
        <f>IFERROR(IF('ARDT Cutter Entry'!$C$94&lt;&gt;"",IF(IFERROR(VALUE(RIGHT('ARDT Cutter Entry'!AE101,2)),1)=1, LEFT(SUBSTITUTE('ARDT Cutter Entry'!AE101,"*",""),LEN(SUBSTITUTE('ARDT Cutter Entry'!AE101,"*",""))-1),LEFT(SUBSTITUTE('ARDT Cutter Entry'!AE101,"*",""),LEN(SUBSTITUTE('ARDT Cutter Entry'!AE101,"*",""))-2)),IF(IFERROR(VALUE(RIGHT('ARDT Cutter Entry'!AE33,2)),1)=1, LEFT(SUBSTITUTE('ARDT Cutter Entry'!AE33,"*",""),LEN(SUBSTITUTE('ARDT Cutter Entry'!AE33,"*",""))-1),LEFT(SUBSTITUTE('ARDT Cutter Entry'!AE33,"*",""),LEN(SUBSTITUTE('ARDT Cutter Entry'!AE33,"*",""))-2) )),"")</f>
        <v/>
      </c>
      <c r="FO34" s="2380"/>
      <c r="FP34" s="2380"/>
      <c r="FQ34" s="2380"/>
      <c r="FR34" s="2380"/>
      <c r="FS34" s="2380"/>
      <c r="FT34" s="2380" t="str">
        <f>IFERROR(IF('ARDT Cutter Entry'!$C$94&lt;&gt;"",IF(IFERROR(VALUE(RIGHT('ARDT Cutter Entry'!AG101,2)),1)=1, LEFT(SUBSTITUTE('ARDT Cutter Entry'!AG101,"*",""),LEN(SUBSTITUTE('ARDT Cutter Entry'!AG101,"*",""))-1),LEFT(SUBSTITUTE('ARDT Cutter Entry'!AG101,"*",""),LEN(SUBSTITUTE('ARDT Cutter Entry'!AG101,"*",""))-2)),IF(IFERROR(VALUE(RIGHT('ARDT Cutter Entry'!AG33,2)),1)=1, LEFT(SUBSTITUTE('ARDT Cutter Entry'!AG33,"*",""),LEN(SUBSTITUTE('ARDT Cutter Entry'!AG33,"*",""))-1),LEFT(SUBSTITUTE('ARDT Cutter Entry'!AG33,"*",""),LEN(SUBSTITUTE('ARDT Cutter Entry'!AG33,"*",""))-2) )),"")</f>
        <v/>
      </c>
      <c r="FU34" s="2380"/>
      <c r="FV34" s="2380"/>
      <c r="FW34" s="2380"/>
      <c r="FX34" s="2380"/>
      <c r="FY34" s="2380"/>
      <c r="FZ34" s="2380" t="str">
        <f>IFERROR(IF('ARDT Cutter Entry'!$C$94&lt;&gt;"",IF(IFERROR(VALUE(RIGHT('ARDT Cutter Entry'!AH101,2)),1)=1, LEFT(SUBSTITUTE('ARDT Cutter Entry'!AH101,"*",""),LEN(SUBSTITUTE('ARDT Cutter Entry'!AH101,"*",""))-1),LEFT(SUBSTITUTE('ARDT Cutter Entry'!AH101,"*",""),LEN(SUBSTITUTE('ARDT Cutter Entry'!AH101,"*",""))-2)),IF(IFERROR(VALUE(RIGHT('ARDT Cutter Entry'!AH33,2)),1)=1, LEFT(SUBSTITUTE('ARDT Cutter Entry'!AH33,"*",""),LEN(SUBSTITUTE('ARDT Cutter Entry'!AH33,"*",""))-1),LEFT(SUBSTITUTE('ARDT Cutter Entry'!AH33,"*",""),LEN(SUBSTITUTE('ARDT Cutter Entry'!AH33,"*",""))-2) )),"")</f>
        <v/>
      </c>
      <c r="GA34" s="2380"/>
      <c r="GB34" s="2380"/>
      <c r="GC34" s="2380"/>
      <c r="GD34" s="2380"/>
      <c r="GE34" s="2380"/>
      <c r="GF34" s="1132"/>
      <c r="GG34" s="1132"/>
    </row>
    <row r="35" spans="1:190" ht="44.25" customHeight="1" x14ac:dyDescent="0.55000000000000004">
      <c r="A35" s="338">
        <v>9</v>
      </c>
      <c r="B35" s="2380" t="str">
        <f>IFERROR(IF('ARDT Cutter Entry'!$C$94&lt;&gt;"",IF(IFERROR(VALUE(RIGHT('ARDT Cutter Entry'!C102,2)),1)=1, LEFT(SUBSTITUTE('ARDT Cutter Entry'!C102,"*",""),LEN(SUBSTITUTE('ARDT Cutter Entry'!C102,"*",""))-1),LEFT(SUBSTITUTE('ARDT Cutter Entry'!C102,"*",""),LEN(SUBSTITUTE('ARDT Cutter Entry'!C102,"*",""))-2)),IF(IFERROR(VALUE(RIGHT('ARDT Cutter Entry'!C34,2)),1)=1, LEFT(SUBSTITUTE('ARDT Cutter Entry'!C34,"*",""),LEN(SUBSTITUTE('ARDT Cutter Entry'!C34,"*",""))-1),LEFT(SUBSTITUTE('ARDT Cutter Entry'!C34,"*",""),LEN(SUBSTITUTE('ARDT Cutter Entry'!C34,"*",""))-2) )),"")</f>
        <v/>
      </c>
      <c r="C35" s="2380"/>
      <c r="D35" s="2380"/>
      <c r="E35" s="2380"/>
      <c r="F35" s="2380"/>
      <c r="G35" s="2380"/>
      <c r="H35" s="2380" t="str">
        <f>IFERROR(IF('ARDT Cutter Entry'!$C$94&lt;&gt;"",IF(IFERROR(VALUE(RIGHT('ARDT Cutter Entry'!D102,2)),1)=1, LEFT(SUBSTITUTE('ARDT Cutter Entry'!D102,"*",""),LEN(SUBSTITUTE('ARDT Cutter Entry'!D102,"*",""))-1),LEFT(SUBSTITUTE('ARDT Cutter Entry'!D102,"*",""),LEN(SUBSTITUTE('ARDT Cutter Entry'!D102,"*",""))-2)),IF(IFERROR(VALUE(RIGHT('ARDT Cutter Entry'!D34,2)),1)=1, LEFT(SUBSTITUTE('ARDT Cutter Entry'!D34,"*",""),LEN(SUBSTITUTE('ARDT Cutter Entry'!D34,"*",""))-1),LEFT(SUBSTITUTE('ARDT Cutter Entry'!D34,"*",""),LEN(SUBSTITUTE('ARDT Cutter Entry'!D34,"*",""))-2) )),"")</f>
        <v/>
      </c>
      <c r="I35" s="2380"/>
      <c r="J35" s="2380"/>
      <c r="K35" s="2380"/>
      <c r="L35" s="2380"/>
      <c r="M35" s="2380"/>
      <c r="N35" s="2380" t="str">
        <f>IFERROR(IF('ARDT Cutter Entry'!$C$94&lt;&gt;"",IF(IFERROR(VALUE(RIGHT('ARDT Cutter Entry'!E102,2)),1)=1, LEFT(SUBSTITUTE('ARDT Cutter Entry'!E102,"*",""),LEN(SUBSTITUTE('ARDT Cutter Entry'!E102,"*",""))-1),LEFT(SUBSTITUTE('ARDT Cutter Entry'!E102,"*",""),LEN(SUBSTITUTE('ARDT Cutter Entry'!E102,"*",""))-2)),IF(IFERROR(VALUE(RIGHT('ARDT Cutter Entry'!E34,2)),1)=1, LEFT(SUBSTITUTE('ARDT Cutter Entry'!E34,"*",""),LEN(SUBSTITUTE('ARDT Cutter Entry'!E34,"*",""))-1),LEFT(SUBSTITUTE('ARDT Cutter Entry'!E34,"*",""),LEN(SUBSTITUTE('ARDT Cutter Entry'!E34,"*",""))-2) )),"")</f>
        <v/>
      </c>
      <c r="O35" s="2380"/>
      <c r="P35" s="2380"/>
      <c r="Q35" s="2380"/>
      <c r="R35" s="2380"/>
      <c r="S35" s="2380"/>
      <c r="T35" s="2380" t="str">
        <f>IFERROR(IF('ARDT Cutter Entry'!$C$94&lt;&gt;"",IF(IFERROR(VALUE(RIGHT('ARDT Cutter Entry'!F102,2)),1)=1, LEFT(SUBSTITUTE('ARDT Cutter Entry'!F102,"*",""),LEN(SUBSTITUTE('ARDT Cutter Entry'!F102,"*",""))-1),LEFT(SUBSTITUTE('ARDT Cutter Entry'!F102,"*",""),LEN(SUBSTITUTE('ARDT Cutter Entry'!F102,"*",""))-2)),IF(IFERROR(VALUE(RIGHT('ARDT Cutter Entry'!F34,2)),1)=1, LEFT(SUBSTITUTE('ARDT Cutter Entry'!F34,"*",""),LEN(SUBSTITUTE('ARDT Cutter Entry'!F34,"*",""))-1),LEFT(SUBSTITUTE('ARDT Cutter Entry'!F34,"*",""),LEN(SUBSTITUTE('ARDT Cutter Entry'!F34,"*",""))-2) )),"")</f>
        <v/>
      </c>
      <c r="U35" s="2380"/>
      <c r="V35" s="2380"/>
      <c r="W35" s="2380"/>
      <c r="X35" s="2380"/>
      <c r="Y35" s="2380"/>
      <c r="Z35" s="2380" t="str">
        <f>IFERROR(IF('ARDT Cutter Entry'!$C$94&lt;&gt;"",IF(IFERROR(VALUE(RIGHT('ARDT Cutter Entry'!G102,2)),1)=1, LEFT(SUBSTITUTE('ARDT Cutter Entry'!G102,"*",""),LEN(SUBSTITUTE('ARDT Cutter Entry'!G102,"*",""))-1),LEFT(SUBSTITUTE('ARDT Cutter Entry'!G102,"*",""),LEN(SUBSTITUTE('ARDT Cutter Entry'!G102,"*",""))-2)),IF(IFERROR(VALUE(RIGHT('ARDT Cutter Entry'!G34,2)),1)=1, LEFT(SUBSTITUTE('ARDT Cutter Entry'!G34,"*",""),LEN(SUBSTITUTE('ARDT Cutter Entry'!G34,"*",""))-1),LEFT(SUBSTITUTE('ARDT Cutter Entry'!G34,"*",""),LEN(SUBSTITUTE('ARDT Cutter Entry'!G34,"*",""))-2) )),"")</f>
        <v/>
      </c>
      <c r="AA35" s="2380"/>
      <c r="AB35" s="2380"/>
      <c r="AC35" s="2380"/>
      <c r="AD35" s="2380"/>
      <c r="AE35" s="2380"/>
      <c r="AF35" s="2380" t="str">
        <f>IFERROR(IF('ARDT Cutter Entry'!$C$94&lt;&gt;"",IF(IFERROR(VALUE(RIGHT('ARDT Cutter Entry'!H102,2)),1)=1, LEFT(SUBSTITUTE('ARDT Cutter Entry'!H102,"*",""),LEN(SUBSTITUTE('ARDT Cutter Entry'!H102,"*",""))-1),LEFT(SUBSTITUTE('ARDT Cutter Entry'!H102,"*",""),LEN(SUBSTITUTE('ARDT Cutter Entry'!H102,"*",""))-2)),IF(IFERROR(VALUE(RIGHT('ARDT Cutter Entry'!H34,2)),1)=1, LEFT(SUBSTITUTE('ARDT Cutter Entry'!H34,"*",""),LEN(SUBSTITUTE('ARDT Cutter Entry'!H34,"*",""))-1),LEFT(SUBSTITUTE('ARDT Cutter Entry'!H34,"*",""),LEN(SUBSTITUTE('ARDT Cutter Entry'!H34,"*",""))-2) )),"")</f>
        <v/>
      </c>
      <c r="AG35" s="2380"/>
      <c r="AH35" s="2380"/>
      <c r="AI35" s="2380"/>
      <c r="AJ35" s="2380"/>
      <c r="AK35" s="2380"/>
      <c r="AL35" s="2380" t="str">
        <f>IFERROR(IF('ARDT Cutter Entry'!$C$94&lt;&gt;"",IF(IFERROR(VALUE(RIGHT('ARDT Cutter Entry'!I102,2)),1)=1, LEFT(SUBSTITUTE('ARDT Cutter Entry'!I102,"*",""),LEN(SUBSTITUTE('ARDT Cutter Entry'!I102,"*",""))-1),LEFT(SUBSTITUTE('ARDT Cutter Entry'!I102,"*",""),LEN(SUBSTITUTE('ARDT Cutter Entry'!I102,"*",""))-2)),IF(IFERROR(VALUE(RIGHT('ARDT Cutter Entry'!I34,2)),1)=1, LEFT(SUBSTITUTE('ARDT Cutter Entry'!I34,"*",""),LEN(SUBSTITUTE('ARDT Cutter Entry'!I34,"*",""))-1),LEFT(SUBSTITUTE('ARDT Cutter Entry'!I34,"*",""),LEN(SUBSTITUTE('ARDT Cutter Entry'!I34,"*",""))-2) )),"")</f>
        <v/>
      </c>
      <c r="AM35" s="2380"/>
      <c r="AN35" s="2380"/>
      <c r="AO35" s="2380"/>
      <c r="AP35" s="2380"/>
      <c r="AQ35" s="2380"/>
      <c r="AR35" s="2380" t="str">
        <f>IFERROR(IF('ARDT Cutter Entry'!$C$94&lt;&gt;"",IF(IFERROR(VALUE(RIGHT('ARDT Cutter Entry'!J102,2)),1)=1, LEFT(SUBSTITUTE('ARDT Cutter Entry'!J102,"*",""),LEN(SUBSTITUTE('ARDT Cutter Entry'!J102,"*",""))-1),LEFT(SUBSTITUTE('ARDT Cutter Entry'!J102,"*",""),LEN(SUBSTITUTE('ARDT Cutter Entry'!J102,"*",""))-2)),IF(IFERROR(VALUE(RIGHT('ARDT Cutter Entry'!J34,2)),1)=1, LEFT(SUBSTITUTE('ARDT Cutter Entry'!J34,"*",""),LEN(SUBSTITUTE('ARDT Cutter Entry'!J34,"*",""))-1),LEFT(SUBSTITUTE('ARDT Cutter Entry'!J34,"*",""),LEN(SUBSTITUTE('ARDT Cutter Entry'!J34,"*",""))-2) )),"")</f>
        <v/>
      </c>
      <c r="AS35" s="2380"/>
      <c r="AT35" s="2380"/>
      <c r="AU35" s="2380"/>
      <c r="AV35" s="2380"/>
      <c r="AW35" s="2380"/>
      <c r="AX35" s="2380" t="str">
        <f>IFERROR(IF('ARDT Cutter Entry'!$C$94&lt;&gt;"",IF(IFERROR(VALUE(RIGHT('ARDT Cutter Entry'!K102,2)),1)=1, LEFT(SUBSTITUTE('ARDT Cutter Entry'!K102,"*",""),LEN(SUBSTITUTE('ARDT Cutter Entry'!K102,"*",""))-1),LEFT(SUBSTITUTE('ARDT Cutter Entry'!K102,"*",""),LEN(SUBSTITUTE('ARDT Cutter Entry'!K102,"*",""))-2)),IF(IFERROR(VALUE(RIGHT('ARDT Cutter Entry'!K34,2)),1)=1, LEFT(SUBSTITUTE('ARDT Cutter Entry'!K34,"*",""),LEN(SUBSTITUTE('ARDT Cutter Entry'!K34,"*",""))-1),LEFT(SUBSTITUTE('ARDT Cutter Entry'!K34,"*",""),LEN(SUBSTITUTE('ARDT Cutter Entry'!K34,"*",""))-2) )),"")</f>
        <v/>
      </c>
      <c r="AY35" s="2380"/>
      <c r="AZ35" s="2380"/>
      <c r="BA35" s="2380"/>
      <c r="BB35" s="2380"/>
      <c r="BC35" s="2380"/>
      <c r="BD35" s="2380" t="str">
        <f>IFERROR(IF('ARDT Cutter Entry'!$C$94&lt;&gt;"",IF(IFERROR(VALUE(RIGHT('ARDT Cutter Entry'!L102,2)),1)=1, LEFT(SUBSTITUTE('ARDT Cutter Entry'!L102,"*",""),LEN(SUBSTITUTE('ARDT Cutter Entry'!L102,"*",""))-1),LEFT(SUBSTITUTE('ARDT Cutter Entry'!L102,"*",""),LEN(SUBSTITUTE('ARDT Cutter Entry'!L102,"*",""))-2)),IF(IFERROR(VALUE(RIGHT('ARDT Cutter Entry'!L34,2)),1)=1, LEFT(SUBSTITUTE('ARDT Cutter Entry'!L34,"*",""),LEN(SUBSTITUTE('ARDT Cutter Entry'!L34,"*",""))-1),LEFT(SUBSTITUTE('ARDT Cutter Entry'!L34,"*",""),LEN(SUBSTITUTE('ARDT Cutter Entry'!L34,"*",""))-2) )),"")</f>
        <v/>
      </c>
      <c r="BE35" s="2380"/>
      <c r="BF35" s="2380"/>
      <c r="BG35" s="2380"/>
      <c r="BH35" s="2380"/>
      <c r="BI35" s="2380"/>
      <c r="BJ35" s="2380" t="str">
        <f>IFERROR(IF('ARDT Cutter Entry'!$C$94&lt;&gt;"",IF(IFERROR(VALUE(RIGHT('ARDT Cutter Entry'!M102,2)),1)=1, LEFT(SUBSTITUTE('ARDT Cutter Entry'!M102,"*",""),LEN(SUBSTITUTE('ARDT Cutter Entry'!M102,"*",""))-1),LEFT(SUBSTITUTE('ARDT Cutter Entry'!M102,"*",""),LEN(SUBSTITUTE('ARDT Cutter Entry'!M102,"*",""))-2)),IF(IFERROR(VALUE(RIGHT('ARDT Cutter Entry'!M34,2)),1)=1, LEFT(SUBSTITUTE('ARDT Cutter Entry'!M34,"*",""),LEN(SUBSTITUTE('ARDT Cutter Entry'!M34,"*",""))-1),LEFT(SUBSTITUTE('ARDT Cutter Entry'!M34,"*",""),LEN(SUBSTITUTE('ARDT Cutter Entry'!M34,"*",""))-2) )),"")</f>
        <v/>
      </c>
      <c r="BK35" s="2380"/>
      <c r="BL35" s="2380"/>
      <c r="BM35" s="2380"/>
      <c r="BN35" s="2380"/>
      <c r="BO35" s="2380"/>
      <c r="BP35" s="2380" t="str">
        <f>IFERROR(IF('ARDT Cutter Entry'!$C$94&lt;&gt;"",IF(IFERROR(VALUE(RIGHT('ARDT Cutter Entry'!N102,2)),1)=1, LEFT(SUBSTITUTE('ARDT Cutter Entry'!N102,"*",""),LEN(SUBSTITUTE('ARDT Cutter Entry'!N102,"*",""))-1),LEFT(SUBSTITUTE('ARDT Cutter Entry'!N102,"*",""),LEN(SUBSTITUTE('ARDT Cutter Entry'!N102,"*",""))-2)),IF(IFERROR(VALUE(RIGHT('ARDT Cutter Entry'!N34,2)),1)=1, LEFT(SUBSTITUTE('ARDT Cutter Entry'!N34,"*",""),LEN(SUBSTITUTE('ARDT Cutter Entry'!N34,"*",""))-1),LEFT(SUBSTITUTE('ARDT Cutter Entry'!N34,"*",""),LEN(SUBSTITUTE('ARDT Cutter Entry'!N34,"*",""))-2) )),"")</f>
        <v/>
      </c>
      <c r="BQ35" s="2380"/>
      <c r="BR35" s="2380"/>
      <c r="BS35" s="2380"/>
      <c r="BT35" s="2380"/>
      <c r="BU35" s="2380"/>
      <c r="BV35" s="2380" t="str">
        <f>IFERROR(IF('ARDT Cutter Entry'!$C$94&lt;&gt;"",IF(IFERROR(VALUE(RIGHT('ARDT Cutter Entry'!O102,2)),1)=1, LEFT(SUBSTITUTE('ARDT Cutter Entry'!O102,"*",""),LEN(SUBSTITUTE('ARDT Cutter Entry'!O102,"*",""))-1),LEFT(SUBSTITUTE('ARDT Cutter Entry'!O102,"*",""),LEN(SUBSTITUTE('ARDT Cutter Entry'!O102,"*",""))-2)),IF(IFERROR(VALUE(RIGHT('ARDT Cutter Entry'!O34,2)),1)=1, LEFT(SUBSTITUTE('ARDT Cutter Entry'!O34,"*",""),LEN(SUBSTITUTE('ARDT Cutter Entry'!O34,"*",""))-1),LEFT(SUBSTITUTE('ARDT Cutter Entry'!O34,"*",""),LEN(SUBSTITUTE('ARDT Cutter Entry'!O34,"*",""))-2) )),"")</f>
        <v/>
      </c>
      <c r="BW35" s="2380"/>
      <c r="BX35" s="2380"/>
      <c r="BY35" s="2380"/>
      <c r="BZ35" s="2380"/>
      <c r="CA35" s="2380"/>
      <c r="CB35" s="2380" t="str">
        <f>IFERROR(IF('ARDT Cutter Entry'!$C$94&lt;&gt;"",IF(IFERROR(VALUE(RIGHT('ARDT Cutter Entry'!P102,2)),1)=1, LEFT(SUBSTITUTE('ARDT Cutter Entry'!P102,"*",""),LEN(SUBSTITUTE('ARDT Cutter Entry'!P102,"*",""))-1),LEFT(SUBSTITUTE('ARDT Cutter Entry'!P102,"*",""),LEN(SUBSTITUTE('ARDT Cutter Entry'!P102,"*",""))-2)),IF(IFERROR(VALUE(RIGHT('ARDT Cutter Entry'!P34,2)),1)=1, LEFT(SUBSTITUTE('ARDT Cutter Entry'!P34,"*",""),LEN(SUBSTITUTE('ARDT Cutter Entry'!P34,"*",""))-1),LEFT(SUBSTITUTE('ARDT Cutter Entry'!P34,"*",""),LEN(SUBSTITUTE('ARDT Cutter Entry'!P34,"*",""))-2) )),"")</f>
        <v/>
      </c>
      <c r="CC35" s="2380"/>
      <c r="CD35" s="2380"/>
      <c r="CE35" s="2380"/>
      <c r="CF35" s="2380"/>
      <c r="CG35" s="2380"/>
      <c r="CH35" s="2380" t="str">
        <f>IFERROR(IF('ARDT Cutter Entry'!$C$94&lt;&gt;"",IF(IFERROR(VALUE(RIGHT('ARDT Cutter Entry'!Q102,2)),1)=1, LEFT(SUBSTITUTE('ARDT Cutter Entry'!Q102,"*",""),LEN(SUBSTITUTE('ARDT Cutter Entry'!Q102,"*",""))-1),LEFT(SUBSTITUTE('ARDT Cutter Entry'!Q102,"*",""),LEN(SUBSTITUTE('ARDT Cutter Entry'!Q102,"*",""))-2)),IF(IFERROR(VALUE(RIGHT('ARDT Cutter Entry'!Q34,2)),1)=1, LEFT(SUBSTITUTE('ARDT Cutter Entry'!Q34,"*",""),LEN(SUBSTITUTE('ARDT Cutter Entry'!Q34,"*",""))-1),LEFT(SUBSTITUTE('ARDT Cutter Entry'!Q34,"*",""),LEN(SUBSTITUTE('ARDT Cutter Entry'!Q34,"*",""))-2) )),"")</f>
        <v/>
      </c>
      <c r="CI35" s="2380"/>
      <c r="CJ35" s="2380"/>
      <c r="CK35" s="2380"/>
      <c r="CL35" s="2380"/>
      <c r="CM35" s="2380"/>
      <c r="CN35" s="2380" t="str">
        <f>IFERROR(IF('ARDT Cutter Entry'!$C$94&lt;&gt;"",IF(IFERROR(VALUE(RIGHT('ARDT Cutter Entry'!R102,2)),1)=1, LEFT(SUBSTITUTE('ARDT Cutter Entry'!R102,"*",""),LEN(SUBSTITUTE('ARDT Cutter Entry'!R102,"*",""))-1),LEFT(SUBSTITUTE('ARDT Cutter Entry'!R102,"*",""),LEN(SUBSTITUTE('ARDT Cutter Entry'!R102,"*",""))-2)),IF(IFERROR(VALUE(RIGHT('ARDT Cutter Entry'!R34,2)),1)=1, LEFT(SUBSTITUTE('ARDT Cutter Entry'!R34,"*",""),LEN(SUBSTITUTE('ARDT Cutter Entry'!R34,"*",""))-1),LEFT(SUBSTITUTE('ARDT Cutter Entry'!R34,"*",""),LEN(SUBSTITUTE('ARDT Cutter Entry'!R34,"*",""))-2) )),"")</f>
        <v/>
      </c>
      <c r="CO35" s="2380"/>
      <c r="CP35" s="2380"/>
      <c r="CQ35" s="2380"/>
      <c r="CR35" s="2380"/>
      <c r="CS35" s="2380"/>
      <c r="CT35" s="2380" t="str">
        <f>IFERROR(IF('ARDT Cutter Entry'!$C$94&lt;&gt;"",IF(IFERROR(VALUE(RIGHT('ARDT Cutter Entry'!S102,2)),1)=1, LEFT(SUBSTITUTE('ARDT Cutter Entry'!S102,"*",""),LEN(SUBSTITUTE('ARDT Cutter Entry'!S102,"*",""))-1),LEFT(SUBSTITUTE('ARDT Cutter Entry'!S102,"*",""),LEN(SUBSTITUTE('ARDT Cutter Entry'!S102,"*",""))-2)),IF(IFERROR(VALUE(RIGHT('ARDT Cutter Entry'!S34,2)),1)=1, LEFT(SUBSTITUTE('ARDT Cutter Entry'!S34,"*",""),LEN(SUBSTITUTE('ARDT Cutter Entry'!S34,"*",""))-1),LEFT(SUBSTITUTE('ARDT Cutter Entry'!S34,"*",""),LEN(SUBSTITUTE('ARDT Cutter Entry'!S34,"*",""))-2) )),"")</f>
        <v/>
      </c>
      <c r="CU35" s="2380"/>
      <c r="CV35" s="2380"/>
      <c r="CW35" s="2380"/>
      <c r="CX35" s="2380"/>
      <c r="CY35" s="2380"/>
      <c r="CZ35" s="2380" t="str">
        <f>IFERROR(IF('ARDT Cutter Entry'!$C$94&lt;&gt;"",IF(IFERROR(VALUE(RIGHT('ARDT Cutter Entry'!T102,2)),1)=1, LEFT(SUBSTITUTE('ARDT Cutter Entry'!T102,"*",""),LEN(SUBSTITUTE('ARDT Cutter Entry'!T102,"*",""))-1),LEFT(SUBSTITUTE('ARDT Cutter Entry'!T102,"*",""),LEN(SUBSTITUTE('ARDT Cutter Entry'!T102,"*",""))-2)),IF(IFERROR(VALUE(RIGHT('ARDT Cutter Entry'!T34,2)),1)=1, LEFT(SUBSTITUTE('ARDT Cutter Entry'!T34,"*",""),LEN(SUBSTITUTE('ARDT Cutter Entry'!T34,"*",""))-1),LEFT(SUBSTITUTE('ARDT Cutter Entry'!T34,"*",""),LEN(SUBSTITUTE('ARDT Cutter Entry'!T34,"*",""))-2) )),"")</f>
        <v/>
      </c>
      <c r="DA35" s="2380"/>
      <c r="DB35" s="2380"/>
      <c r="DC35" s="2380"/>
      <c r="DD35" s="2380"/>
      <c r="DE35" s="2380"/>
      <c r="DF35" s="2380" t="str">
        <f>IFERROR(IF('ARDT Cutter Entry'!$C$94&lt;&gt;"",IF(IFERROR(VALUE(RIGHT('ARDT Cutter Entry'!U102,2)),1)=1, LEFT(SUBSTITUTE('ARDT Cutter Entry'!U102,"*",""),LEN(SUBSTITUTE('ARDT Cutter Entry'!U102,"*",""))-1),LEFT(SUBSTITUTE('ARDT Cutter Entry'!U102,"*",""),LEN(SUBSTITUTE('ARDT Cutter Entry'!U102,"*",""))-2)),IF(IFERROR(VALUE(RIGHT('ARDT Cutter Entry'!U34,2)),1)=1, LEFT(SUBSTITUTE('ARDT Cutter Entry'!U34,"*",""),LEN(SUBSTITUTE('ARDT Cutter Entry'!U34,"*",""))-1),LEFT(SUBSTITUTE('ARDT Cutter Entry'!U34,"*",""),LEN(SUBSTITUTE('ARDT Cutter Entry'!U34,"*",""))-2) )),"")</f>
        <v/>
      </c>
      <c r="DG35" s="2380"/>
      <c r="DH35" s="2380"/>
      <c r="DI35" s="2380"/>
      <c r="DJ35" s="2380"/>
      <c r="DK35" s="2380"/>
      <c r="DL35" s="2380" t="str">
        <f>IFERROR(IF('ARDT Cutter Entry'!$C$94&lt;&gt;"",IF(IFERROR(VALUE(RIGHT('ARDT Cutter Entry'!V102,2)),1)=1, LEFT(SUBSTITUTE('ARDT Cutter Entry'!V102,"*",""),LEN(SUBSTITUTE('ARDT Cutter Entry'!V102,"*",""))-1),LEFT(SUBSTITUTE('ARDT Cutter Entry'!V102,"*",""),LEN(SUBSTITUTE('ARDT Cutter Entry'!V102,"*",""))-2)),IF(IFERROR(VALUE(RIGHT('ARDT Cutter Entry'!V34,2)),1)=1, LEFT(SUBSTITUTE('ARDT Cutter Entry'!V34,"*",""),LEN(SUBSTITUTE('ARDT Cutter Entry'!V34,"*",""))-1),LEFT(SUBSTITUTE('ARDT Cutter Entry'!V34,"*",""),LEN(SUBSTITUTE('ARDT Cutter Entry'!V34,"*",""))-2) )),"")</f>
        <v/>
      </c>
      <c r="DM35" s="2380"/>
      <c r="DN35" s="2380"/>
      <c r="DO35" s="2380"/>
      <c r="DP35" s="2380"/>
      <c r="DQ35" s="2380"/>
      <c r="DR35" s="2380" t="str">
        <f>IFERROR(IF('ARDT Cutter Entry'!$C$94&lt;&gt;"",IF(IFERROR(VALUE(RIGHT('ARDT Cutter Entry'!W102,2)),1)=1, LEFT(SUBSTITUTE('ARDT Cutter Entry'!W102,"*",""),LEN(SUBSTITUTE('ARDT Cutter Entry'!W102,"*",""))-1),LEFT(SUBSTITUTE('ARDT Cutter Entry'!W102,"*",""),LEN(SUBSTITUTE('ARDT Cutter Entry'!W102,"*",""))-2)),IF(IFERROR(VALUE(RIGHT('ARDT Cutter Entry'!W34,2)),1)=1, LEFT(SUBSTITUTE('ARDT Cutter Entry'!W34,"*",""),LEN(SUBSTITUTE('ARDT Cutter Entry'!W34,"*",""))-1),LEFT(SUBSTITUTE('ARDT Cutter Entry'!W34,"*",""),LEN(SUBSTITUTE('ARDT Cutter Entry'!W34,"*",""))-2) )),"")</f>
        <v/>
      </c>
      <c r="DS35" s="2380"/>
      <c r="DT35" s="2380"/>
      <c r="DU35" s="2380"/>
      <c r="DV35" s="2380"/>
      <c r="DW35" s="2380"/>
      <c r="DX35" s="2380" t="str">
        <f>IFERROR(IF('ARDT Cutter Entry'!$C$94&lt;&gt;"",IF(IFERROR(VALUE(RIGHT('ARDT Cutter Entry'!X102,2)),1)=1, LEFT(SUBSTITUTE('ARDT Cutter Entry'!X102,"*",""),LEN(SUBSTITUTE('ARDT Cutter Entry'!X102,"*",""))-1),LEFT(SUBSTITUTE('ARDT Cutter Entry'!X102,"*",""),LEN(SUBSTITUTE('ARDT Cutter Entry'!X102,"*",""))-2)),IF(IFERROR(VALUE(RIGHT('ARDT Cutter Entry'!X34,2)),1)=1, LEFT(SUBSTITUTE('ARDT Cutter Entry'!X34,"*",""),LEN(SUBSTITUTE('ARDT Cutter Entry'!X34,"*",""))-1),LEFT(SUBSTITUTE('ARDT Cutter Entry'!X34,"*",""),LEN(SUBSTITUTE('ARDT Cutter Entry'!X34,"*",""))-2) )),"")</f>
        <v/>
      </c>
      <c r="DY35" s="2380"/>
      <c r="DZ35" s="2380"/>
      <c r="EA35" s="2380"/>
      <c r="EB35" s="2380"/>
      <c r="EC35" s="2380"/>
      <c r="ED35" s="2380" t="str">
        <f>IFERROR(IF('ARDT Cutter Entry'!$C$94&lt;&gt;"",IF(IFERROR(VALUE(RIGHT('ARDT Cutter Entry'!Y102,2)),1)=1, LEFT(SUBSTITUTE('ARDT Cutter Entry'!Y102,"*",""),LEN(SUBSTITUTE('ARDT Cutter Entry'!Y102,"*",""))-1),LEFT(SUBSTITUTE('ARDT Cutter Entry'!Y102,"*",""),LEN(SUBSTITUTE('ARDT Cutter Entry'!Y102,"*",""))-2)),IF(IFERROR(VALUE(RIGHT('ARDT Cutter Entry'!Y34,2)),1)=1, LEFT(SUBSTITUTE('ARDT Cutter Entry'!Y34,"*",""),LEN(SUBSTITUTE('ARDT Cutter Entry'!Y34,"*",""))-1),LEFT(SUBSTITUTE('ARDT Cutter Entry'!Y34,"*",""),LEN(SUBSTITUTE('ARDT Cutter Entry'!Y34,"*",""))-2) )),"")</f>
        <v/>
      </c>
      <c r="EE35" s="2380"/>
      <c r="EF35" s="2380"/>
      <c r="EG35" s="2380"/>
      <c r="EH35" s="2380"/>
      <c r="EI35" s="2380"/>
      <c r="EJ35" s="2380" t="str">
        <f>IFERROR(IF('ARDT Cutter Entry'!$C$94&lt;&gt;"",IF(IFERROR(VALUE(RIGHT('ARDT Cutter Entry'!Z102,2)),1)=1, LEFT(SUBSTITUTE('ARDT Cutter Entry'!Z102,"*",""),LEN(SUBSTITUTE('ARDT Cutter Entry'!Z102,"*",""))-1),LEFT(SUBSTITUTE('ARDT Cutter Entry'!Z102,"*",""),LEN(SUBSTITUTE('ARDT Cutter Entry'!Z102,"*",""))-2)),IF(IFERROR(VALUE(RIGHT('ARDT Cutter Entry'!Z34,2)),1)=1, LEFT(SUBSTITUTE('ARDT Cutter Entry'!Z34,"*",""),LEN(SUBSTITUTE('ARDT Cutter Entry'!Z34,"*",""))-1),LEFT(SUBSTITUTE('ARDT Cutter Entry'!Z34,"*",""),LEN(SUBSTITUTE('ARDT Cutter Entry'!Z34,"*",""))-2) )),"")</f>
        <v/>
      </c>
      <c r="EK35" s="2380"/>
      <c r="EL35" s="2380"/>
      <c r="EM35" s="2380"/>
      <c r="EN35" s="2380"/>
      <c r="EO35" s="2380"/>
      <c r="EP35" s="2380" t="str">
        <f>IFERROR(IF('ARDT Cutter Entry'!$C$94&lt;&gt;"",IF(IFERROR(VALUE(RIGHT('ARDT Cutter Entry'!AA102,2)),1)=1, LEFT(SUBSTITUTE('ARDT Cutter Entry'!AA102,"*",""),LEN(SUBSTITUTE('ARDT Cutter Entry'!AA102,"*",""))-1),LEFT(SUBSTITUTE('ARDT Cutter Entry'!AA102,"*",""),LEN(SUBSTITUTE('ARDT Cutter Entry'!AA102,"*",""))-2)),IF(IFERROR(VALUE(RIGHT('ARDT Cutter Entry'!AA34,2)),1)=1, LEFT(SUBSTITUTE('ARDT Cutter Entry'!AA34,"*",""),LEN(SUBSTITUTE('ARDT Cutter Entry'!AA34,"*",""))-1),LEFT(SUBSTITUTE('ARDT Cutter Entry'!AA34,"*",""),LEN(SUBSTITUTE('ARDT Cutter Entry'!AA34,"*",""))-2) )),"")</f>
        <v/>
      </c>
      <c r="EQ35" s="2380"/>
      <c r="ER35" s="2380"/>
      <c r="ES35" s="2380"/>
      <c r="ET35" s="2380"/>
      <c r="EU35" s="2380"/>
      <c r="EV35" s="2380" t="str">
        <f>IFERROR(IF('ARDT Cutter Entry'!$C$94&lt;&gt;"",IF(IFERROR(VALUE(RIGHT('ARDT Cutter Entry'!AB102,2)),1)=1, LEFT(SUBSTITUTE('ARDT Cutter Entry'!AB102,"*",""),LEN(SUBSTITUTE('ARDT Cutter Entry'!AB102,"*",""))-1),LEFT(SUBSTITUTE('ARDT Cutter Entry'!AB102,"*",""),LEN(SUBSTITUTE('ARDT Cutter Entry'!AB102,"*",""))-2)),IF(IFERROR(VALUE(RIGHT('ARDT Cutter Entry'!AB34,2)),1)=1, LEFT(SUBSTITUTE('ARDT Cutter Entry'!AB34,"*",""),LEN(SUBSTITUTE('ARDT Cutter Entry'!AB34,"*",""))-1),LEFT(SUBSTITUTE('ARDT Cutter Entry'!AB34,"*",""),LEN(SUBSTITUTE('ARDT Cutter Entry'!AB34,"*",""))-2) )),"")</f>
        <v/>
      </c>
      <c r="EW35" s="2380"/>
      <c r="EX35" s="2380"/>
      <c r="EY35" s="2380"/>
      <c r="EZ35" s="2380"/>
      <c r="FA35" s="2380"/>
      <c r="FB35" s="2380" t="str">
        <f>IFERROR(IF('ARDT Cutter Entry'!$C$94&lt;&gt;"",IF(IFERROR(VALUE(RIGHT('ARDT Cutter Entry'!AC102,2)),1)=1, LEFT(SUBSTITUTE('ARDT Cutter Entry'!AC102,"*",""),LEN(SUBSTITUTE('ARDT Cutter Entry'!AC102,"*",""))-1),LEFT(SUBSTITUTE('ARDT Cutter Entry'!AC102,"*",""),LEN(SUBSTITUTE('ARDT Cutter Entry'!AC102,"*",""))-2)),IF(IFERROR(VALUE(RIGHT('ARDT Cutter Entry'!AC34,2)),1)=1, LEFT(SUBSTITUTE('ARDT Cutter Entry'!AC34,"*",""),LEN(SUBSTITUTE('ARDT Cutter Entry'!AC34,"*",""))-1),LEFT(SUBSTITUTE('ARDT Cutter Entry'!AC34,"*",""),LEN(SUBSTITUTE('ARDT Cutter Entry'!AC34,"*",""))-2) )),"")</f>
        <v/>
      </c>
      <c r="FC35" s="2380"/>
      <c r="FD35" s="2380"/>
      <c r="FE35" s="2380"/>
      <c r="FF35" s="2380"/>
      <c r="FG35" s="2380"/>
      <c r="FH35" s="2380" t="str">
        <f>IFERROR(IF('ARDT Cutter Entry'!$C$94&lt;&gt;"",IF(IFERROR(VALUE(RIGHT('ARDT Cutter Entry'!AD102,2)),1)=1, LEFT(SUBSTITUTE('ARDT Cutter Entry'!AD102,"*",""),LEN(SUBSTITUTE('ARDT Cutter Entry'!AD102,"*",""))-1),LEFT(SUBSTITUTE('ARDT Cutter Entry'!AD102,"*",""),LEN(SUBSTITUTE('ARDT Cutter Entry'!AD102,"*",""))-2)),IF(IFERROR(VALUE(RIGHT('ARDT Cutter Entry'!AD34,2)),1)=1, LEFT(SUBSTITUTE('ARDT Cutter Entry'!AD34,"*",""),LEN(SUBSTITUTE('ARDT Cutter Entry'!AD34,"*",""))-1),LEFT(SUBSTITUTE('ARDT Cutter Entry'!AD34,"*",""),LEN(SUBSTITUTE('ARDT Cutter Entry'!AD34,"*",""))-2) )),"")</f>
        <v/>
      </c>
      <c r="FI35" s="2380"/>
      <c r="FJ35" s="2380"/>
      <c r="FK35" s="2380"/>
      <c r="FL35" s="2380"/>
      <c r="FM35" s="2380"/>
      <c r="FN35" s="2380" t="str">
        <f>IFERROR(IF('ARDT Cutter Entry'!$C$94&lt;&gt;"",IF(IFERROR(VALUE(RIGHT('ARDT Cutter Entry'!AE102,2)),1)=1, LEFT(SUBSTITUTE('ARDT Cutter Entry'!AE102,"*",""),LEN(SUBSTITUTE('ARDT Cutter Entry'!AE102,"*",""))-1),LEFT(SUBSTITUTE('ARDT Cutter Entry'!AE102,"*",""),LEN(SUBSTITUTE('ARDT Cutter Entry'!AE102,"*",""))-2)),IF(IFERROR(VALUE(RIGHT('ARDT Cutter Entry'!AE34,2)),1)=1, LEFT(SUBSTITUTE('ARDT Cutter Entry'!AE34,"*",""),LEN(SUBSTITUTE('ARDT Cutter Entry'!AE34,"*",""))-1),LEFT(SUBSTITUTE('ARDT Cutter Entry'!AE34,"*",""),LEN(SUBSTITUTE('ARDT Cutter Entry'!AE34,"*",""))-2) )),"")</f>
        <v/>
      </c>
      <c r="FO35" s="2380"/>
      <c r="FP35" s="2380"/>
      <c r="FQ35" s="2380"/>
      <c r="FR35" s="2380"/>
      <c r="FS35" s="2380"/>
      <c r="FT35" s="2380" t="str">
        <f>IFERROR(IF('ARDT Cutter Entry'!$C$94&lt;&gt;"",IF(IFERROR(VALUE(RIGHT('ARDT Cutter Entry'!AG102,2)),1)=1, LEFT(SUBSTITUTE('ARDT Cutter Entry'!AG102,"*",""),LEN(SUBSTITUTE('ARDT Cutter Entry'!AG102,"*",""))-1),LEFT(SUBSTITUTE('ARDT Cutter Entry'!AG102,"*",""),LEN(SUBSTITUTE('ARDT Cutter Entry'!AG102,"*",""))-2)),IF(IFERROR(VALUE(RIGHT('ARDT Cutter Entry'!AG34,2)),1)=1, LEFT(SUBSTITUTE('ARDT Cutter Entry'!AG34,"*",""),LEN(SUBSTITUTE('ARDT Cutter Entry'!AG34,"*",""))-1),LEFT(SUBSTITUTE('ARDT Cutter Entry'!AG34,"*",""),LEN(SUBSTITUTE('ARDT Cutter Entry'!AG34,"*",""))-2) )),"")</f>
        <v/>
      </c>
      <c r="FU35" s="2380"/>
      <c r="FV35" s="2380"/>
      <c r="FW35" s="2380"/>
      <c r="FX35" s="2380"/>
      <c r="FY35" s="2380"/>
      <c r="FZ35" s="2380" t="str">
        <f>IFERROR(IF('ARDT Cutter Entry'!$C$94&lt;&gt;"",IF(IFERROR(VALUE(RIGHT('ARDT Cutter Entry'!AH102,2)),1)=1, LEFT(SUBSTITUTE('ARDT Cutter Entry'!AH102,"*",""),LEN(SUBSTITUTE('ARDT Cutter Entry'!AH102,"*",""))-1),LEFT(SUBSTITUTE('ARDT Cutter Entry'!AH102,"*",""),LEN(SUBSTITUTE('ARDT Cutter Entry'!AH102,"*",""))-2)),IF(IFERROR(VALUE(RIGHT('ARDT Cutter Entry'!AH34,2)),1)=1, LEFT(SUBSTITUTE('ARDT Cutter Entry'!AH34,"*",""),LEN(SUBSTITUTE('ARDT Cutter Entry'!AH34,"*",""))-1),LEFT(SUBSTITUTE('ARDT Cutter Entry'!AH34,"*",""),LEN(SUBSTITUTE('ARDT Cutter Entry'!AH34,"*",""))-2) )),"")</f>
        <v/>
      </c>
      <c r="GA35" s="2380"/>
      <c r="GB35" s="2380"/>
      <c r="GC35" s="2380"/>
      <c r="GD35" s="2380"/>
      <c r="GE35" s="2380"/>
      <c r="GF35" s="1132"/>
      <c r="GG35" s="1132"/>
    </row>
    <row r="36" spans="1:190" ht="44.25" customHeight="1" x14ac:dyDescent="0.35">
      <c r="A36" s="339"/>
      <c r="B36" s="2386" t="str">
        <f>IF(Data!$GI$2&lt;&gt;"","X1: "&amp; Data!$GI$2, " ")</f>
        <v>X1: 1613 CT138  0.018"</v>
      </c>
      <c r="C36" s="2386"/>
      <c r="D36" s="2386"/>
      <c r="E36" s="2386"/>
      <c r="F36" s="2386"/>
      <c r="G36" s="2386"/>
      <c r="H36" s="2386"/>
      <c r="I36" s="2386"/>
      <c r="J36" s="2386"/>
      <c r="K36" s="2386"/>
      <c r="L36" s="2386"/>
      <c r="M36" s="2386"/>
      <c r="N36" s="2386"/>
      <c r="O36" s="2386"/>
      <c r="P36" s="2386"/>
      <c r="Q36" s="2386"/>
      <c r="R36" s="2386"/>
      <c r="S36" s="2386"/>
      <c r="T36" s="2386"/>
      <c r="U36" s="2386"/>
      <c r="V36" s="2386"/>
      <c r="W36" s="2386"/>
      <c r="X36" s="2386"/>
      <c r="Y36" s="2386"/>
      <c r="Z36" s="2386"/>
      <c r="AA36" s="2386"/>
      <c r="AB36" s="2386"/>
      <c r="AC36" s="2386" t="str">
        <f>IF(Data!$GI$3&lt;&gt;"","X2: "&amp; Data!$GI$3, " ")</f>
        <v>X2: 1608 CT182 0.018"</v>
      </c>
      <c r="AD36" s="2386"/>
      <c r="AE36" s="2386"/>
      <c r="AF36" s="2386"/>
      <c r="AG36" s="2386"/>
      <c r="AH36" s="2386"/>
      <c r="AI36" s="2386"/>
      <c r="AJ36" s="2386"/>
      <c r="AK36" s="2386"/>
      <c r="AL36" s="2386"/>
      <c r="AM36" s="2386"/>
      <c r="AN36" s="2386"/>
      <c r="AO36" s="2386"/>
      <c r="AP36" s="2386"/>
      <c r="AQ36" s="2386"/>
      <c r="AR36" s="2386"/>
      <c r="AS36" s="2386"/>
      <c r="AT36" s="2386"/>
      <c r="AU36" s="2386"/>
      <c r="AV36" s="2386"/>
      <c r="AW36" s="2386"/>
      <c r="AX36" s="2386"/>
      <c r="AY36" s="2386"/>
      <c r="AZ36" s="2386"/>
      <c r="BA36" s="2386"/>
      <c r="BB36" s="2386"/>
      <c r="BC36" s="2386"/>
      <c r="BD36" s="2386" t="str">
        <f>IF(Data!$GI$4&lt;&gt;"","X3: "&amp; Data!$GI$4, " ")</f>
        <v xml:space="preserve">X3: 1308 CT31 Drop in </v>
      </c>
      <c r="BE36" s="2386"/>
      <c r="BF36" s="2386"/>
      <c r="BG36" s="2386"/>
      <c r="BH36" s="2386"/>
      <c r="BI36" s="2386"/>
      <c r="BJ36" s="2386"/>
      <c r="BK36" s="2386"/>
      <c r="BL36" s="2386"/>
      <c r="BM36" s="2386"/>
      <c r="BN36" s="2386"/>
      <c r="BO36" s="2386"/>
      <c r="BP36" s="2386"/>
      <c r="BQ36" s="2386"/>
      <c r="BR36" s="2386"/>
      <c r="BS36" s="2386"/>
      <c r="BT36" s="2386"/>
      <c r="BU36" s="2386"/>
      <c r="BV36" s="2386"/>
      <c r="BW36" s="2386"/>
      <c r="BX36" s="2386"/>
      <c r="BY36" s="2386"/>
      <c r="BZ36" s="2386"/>
      <c r="CA36" s="2386"/>
      <c r="CB36" s="2386"/>
      <c r="CC36" s="2386"/>
      <c r="CD36" s="2386"/>
      <c r="CE36" s="2386" t="str">
        <f>IF(Data!$GI$5&lt;&gt;"","X4: "&amp; Data!$GI$5, " ")</f>
        <v>X4: 1608 CT70 0.018"</v>
      </c>
      <c r="CF36" s="2386"/>
      <c r="CG36" s="2386"/>
      <c r="CH36" s="2386"/>
      <c r="CI36" s="2386"/>
      <c r="CJ36" s="2386"/>
      <c r="CK36" s="2386"/>
      <c r="CL36" s="2386"/>
      <c r="CM36" s="2386"/>
      <c r="CN36" s="2386"/>
      <c r="CO36" s="2386"/>
      <c r="CP36" s="2386"/>
      <c r="CQ36" s="2386"/>
      <c r="CR36" s="2386"/>
      <c r="CS36" s="2386"/>
      <c r="CT36" s="2386"/>
      <c r="CU36" s="2386"/>
      <c r="CV36" s="2386"/>
      <c r="CW36" s="2386"/>
      <c r="CX36" s="2386"/>
      <c r="CY36" s="2386"/>
      <c r="CZ36" s="2386"/>
      <c r="DA36" s="2386"/>
      <c r="DB36" s="2386"/>
      <c r="DC36" s="2386"/>
      <c r="DD36" s="2386"/>
      <c r="DE36" s="2386"/>
      <c r="DF36" s="2386" t="str">
        <f>IF(Data!$GI$6&lt;&gt;"","X5: "&amp; Data!$GI$6, " ")</f>
        <v>X5: 1613 CT421 18-60</v>
      </c>
      <c r="DG36" s="2386"/>
      <c r="DH36" s="2386"/>
      <c r="DI36" s="2386"/>
      <c r="DJ36" s="2386"/>
      <c r="DK36" s="2386"/>
      <c r="DL36" s="2386"/>
      <c r="DM36" s="2386"/>
      <c r="DN36" s="2386"/>
      <c r="DO36" s="2386"/>
      <c r="DP36" s="2386"/>
      <c r="DQ36" s="2386"/>
      <c r="DR36" s="2386"/>
      <c r="DS36" s="2386"/>
      <c r="DT36" s="2386"/>
      <c r="DU36" s="2386"/>
      <c r="DV36" s="2386"/>
      <c r="DW36" s="2386"/>
      <c r="DX36" s="2386"/>
      <c r="DY36" s="2386"/>
      <c r="DZ36" s="2386"/>
      <c r="EA36" s="2386"/>
      <c r="EB36" s="2386"/>
      <c r="EC36" s="2386"/>
      <c r="ED36" s="2386"/>
      <c r="EE36" s="2386"/>
      <c r="EF36" s="2386"/>
      <c r="EG36" s="2386" t="str">
        <f>IF(Data!$GI$7&lt;&gt;"","X6: "&amp; Data!$GI$7, " ")</f>
        <v xml:space="preserve"> </v>
      </c>
      <c r="EH36" s="2386"/>
      <c r="EI36" s="2386"/>
      <c r="EJ36" s="2386"/>
      <c r="EK36" s="2386"/>
      <c r="EL36" s="2386"/>
      <c r="EM36" s="2386"/>
      <c r="EN36" s="2386"/>
      <c r="EO36" s="2386"/>
      <c r="EP36" s="2386"/>
      <c r="EQ36" s="2386"/>
      <c r="ER36" s="2386"/>
      <c r="ES36" s="2386"/>
      <c r="ET36" s="2386"/>
      <c r="EU36" s="2386"/>
      <c r="EV36" s="2386"/>
      <c r="EW36" s="2386"/>
      <c r="EX36" s="2386"/>
      <c r="EY36" s="2386"/>
      <c r="EZ36" s="2386"/>
      <c r="FA36" s="2386"/>
      <c r="FB36" s="2386"/>
      <c r="FC36" s="2386"/>
      <c r="FD36" s="2386"/>
      <c r="FE36" s="2386"/>
      <c r="FF36" s="2386"/>
      <c r="FG36" s="2386"/>
      <c r="FH36" s="2386" t="str">
        <f>IF(Data!$GI$8&lt;&gt;"","X7: "&amp; Data!$GI$8, " ")</f>
        <v xml:space="preserve"> </v>
      </c>
      <c r="FI36" s="2386"/>
      <c r="FJ36" s="2386"/>
      <c r="FK36" s="2386"/>
      <c r="FL36" s="2386"/>
      <c r="FM36" s="2386"/>
      <c r="FN36" s="2386"/>
      <c r="FO36" s="2386"/>
      <c r="FP36" s="2386"/>
      <c r="FQ36" s="2386"/>
      <c r="FR36" s="2386"/>
      <c r="FS36" s="2386"/>
      <c r="FT36" s="2386"/>
      <c r="FU36" s="2386"/>
      <c r="FV36" s="2386"/>
      <c r="FW36" s="2386"/>
      <c r="FX36" s="2386"/>
      <c r="FY36" s="2386"/>
      <c r="FZ36" s="2386"/>
      <c r="GA36" s="2386"/>
      <c r="GB36" s="2386"/>
      <c r="GC36" s="2386"/>
      <c r="GD36" s="2386"/>
      <c r="GE36" s="2386"/>
      <c r="GF36" s="2386"/>
      <c r="GG36" s="2386"/>
      <c r="GH36" s="159"/>
    </row>
  </sheetData>
  <sheetProtection formatCells="0" formatColumns="0" formatRows="0" insertColumns="0" insertRows="0" insertHyperlinks="0" deleteColumns="0" deleteRows="0" sort="0" autoFilter="0" pivotTables="0"/>
  <mergeCells count="721">
    <mergeCell ref="FH36:GG36"/>
    <mergeCell ref="B36:AB36"/>
    <mergeCell ref="AC36:BC36"/>
    <mergeCell ref="BD36:CD36"/>
    <mergeCell ref="CE36:DE36"/>
    <mergeCell ref="DF36:EF36"/>
    <mergeCell ref="EG36:FG36"/>
    <mergeCell ref="FB35:FG35"/>
    <mergeCell ref="FH35:FM35"/>
    <mergeCell ref="FN35:FS35"/>
    <mergeCell ref="FT35:FY35"/>
    <mergeCell ref="FZ35:GE35"/>
    <mergeCell ref="GF35:GG35"/>
    <mergeCell ref="DR35:DW35"/>
    <mergeCell ref="DX35:EC35"/>
    <mergeCell ref="ED35:EI35"/>
    <mergeCell ref="EJ35:EO35"/>
    <mergeCell ref="EP35:EU35"/>
    <mergeCell ref="EV35:FA35"/>
    <mergeCell ref="CH35:CM35"/>
    <mergeCell ref="CN35:CS35"/>
    <mergeCell ref="CT35:CY35"/>
    <mergeCell ref="CZ35:DE35"/>
    <mergeCell ref="DF35:DK35"/>
    <mergeCell ref="DL35:DQ35"/>
    <mergeCell ref="AX35:BC35"/>
    <mergeCell ref="BD35:BI35"/>
    <mergeCell ref="BJ35:BO35"/>
    <mergeCell ref="BP35:BU35"/>
    <mergeCell ref="BV35:CA35"/>
    <mergeCell ref="CB35:CG35"/>
    <mergeCell ref="FZ34:GE34"/>
    <mergeCell ref="GF34:GG34"/>
    <mergeCell ref="EV34:FA34"/>
    <mergeCell ref="FB34:FG34"/>
    <mergeCell ref="FH34:FM34"/>
    <mergeCell ref="FN34:FS34"/>
    <mergeCell ref="FT34:FY34"/>
    <mergeCell ref="BD34:BI34"/>
    <mergeCell ref="BJ34:BO34"/>
    <mergeCell ref="BP34:BU34"/>
    <mergeCell ref="B35:G35"/>
    <mergeCell ref="H35:M35"/>
    <mergeCell ref="N35:S35"/>
    <mergeCell ref="T35:Y35"/>
    <mergeCell ref="Z35:AE35"/>
    <mergeCell ref="AF35:AK35"/>
    <mergeCell ref="AL35:AQ35"/>
    <mergeCell ref="AR35:AW35"/>
    <mergeCell ref="EP34:EU34"/>
    <mergeCell ref="DF34:DK34"/>
    <mergeCell ref="DL34:DQ34"/>
    <mergeCell ref="DR34:DW34"/>
    <mergeCell ref="DX34:EC34"/>
    <mergeCell ref="ED34:EI34"/>
    <mergeCell ref="EJ34:EO34"/>
    <mergeCell ref="BV34:CA34"/>
    <mergeCell ref="CB34:CG34"/>
    <mergeCell ref="CH34:CM34"/>
    <mergeCell ref="CN34:CS34"/>
    <mergeCell ref="CT34:CY34"/>
    <mergeCell ref="CZ34:DE34"/>
    <mergeCell ref="AL34:AQ34"/>
    <mergeCell ref="AR34:AW34"/>
    <mergeCell ref="AX34:BC34"/>
    <mergeCell ref="B34:G34"/>
    <mergeCell ref="H34:M34"/>
    <mergeCell ref="N34:S34"/>
    <mergeCell ref="T34:Y34"/>
    <mergeCell ref="Z34:AE34"/>
    <mergeCell ref="AF34:AK34"/>
    <mergeCell ref="FB33:FG33"/>
    <mergeCell ref="FH33:FM33"/>
    <mergeCell ref="FN33:FS33"/>
    <mergeCell ref="CH33:CM33"/>
    <mergeCell ref="CN33:CS33"/>
    <mergeCell ref="CT33:CY33"/>
    <mergeCell ref="CZ33:DE33"/>
    <mergeCell ref="DF33:DK33"/>
    <mergeCell ref="DL33:DQ33"/>
    <mergeCell ref="AX33:BC33"/>
    <mergeCell ref="BD33:BI33"/>
    <mergeCell ref="BJ33:BO33"/>
    <mergeCell ref="BP33:BU33"/>
    <mergeCell ref="BV33:CA33"/>
    <mergeCell ref="CB33:CG33"/>
    <mergeCell ref="B33:G33"/>
    <mergeCell ref="H33:M33"/>
    <mergeCell ref="N33:S33"/>
    <mergeCell ref="FT33:FY33"/>
    <mergeCell ref="FZ33:GE33"/>
    <mergeCell ref="GF33:GG33"/>
    <mergeCell ref="DR33:DW33"/>
    <mergeCell ref="DX33:EC33"/>
    <mergeCell ref="ED33:EI33"/>
    <mergeCell ref="EJ33:EO33"/>
    <mergeCell ref="EP33:EU33"/>
    <mergeCell ref="EV33:FA33"/>
    <mergeCell ref="T33:Y33"/>
    <mergeCell ref="Z33:AE33"/>
    <mergeCell ref="AF33:AK33"/>
    <mergeCell ref="AL33:AQ33"/>
    <mergeCell ref="AR33:AW33"/>
    <mergeCell ref="EP32:EU32"/>
    <mergeCell ref="DF32:DK32"/>
    <mergeCell ref="DL32:DQ32"/>
    <mergeCell ref="DR32:DW32"/>
    <mergeCell ref="DX32:EC32"/>
    <mergeCell ref="ED32:EI32"/>
    <mergeCell ref="EJ32:EO32"/>
    <mergeCell ref="BV32:CA32"/>
    <mergeCell ref="CB32:CG32"/>
    <mergeCell ref="CZ32:DE32"/>
    <mergeCell ref="AL32:AQ32"/>
    <mergeCell ref="AR32:AW32"/>
    <mergeCell ref="AX32:BC32"/>
    <mergeCell ref="BD32:BI32"/>
    <mergeCell ref="BJ32:BO32"/>
    <mergeCell ref="BP32:BU32"/>
    <mergeCell ref="B32:G32"/>
    <mergeCell ref="H32:M32"/>
    <mergeCell ref="N32:S32"/>
    <mergeCell ref="T32:Y32"/>
    <mergeCell ref="Z32:AE32"/>
    <mergeCell ref="AF32:AK32"/>
    <mergeCell ref="CH32:CM32"/>
    <mergeCell ref="CN32:CS32"/>
    <mergeCell ref="CT32:CY32"/>
    <mergeCell ref="CH31:CM31"/>
    <mergeCell ref="CN31:CS31"/>
    <mergeCell ref="CT31:CY31"/>
    <mergeCell ref="CZ31:DE31"/>
    <mergeCell ref="DF31:DK31"/>
    <mergeCell ref="DL31:DQ31"/>
    <mergeCell ref="FZ32:GE32"/>
    <mergeCell ref="GF32:GG32"/>
    <mergeCell ref="EV32:FA32"/>
    <mergeCell ref="FB32:FG32"/>
    <mergeCell ref="FH32:FM32"/>
    <mergeCell ref="FN32:FS32"/>
    <mergeCell ref="FT32:FY32"/>
    <mergeCell ref="FT31:FY31"/>
    <mergeCell ref="FZ31:GE31"/>
    <mergeCell ref="GF31:GG31"/>
    <mergeCell ref="DR31:DW31"/>
    <mergeCell ref="DX31:EC31"/>
    <mergeCell ref="ED31:EI31"/>
    <mergeCell ref="EJ31:EO31"/>
    <mergeCell ref="EP31:EU31"/>
    <mergeCell ref="EV31:FA31"/>
    <mergeCell ref="FB31:FG31"/>
    <mergeCell ref="FH31:FM31"/>
    <mergeCell ref="FN31:FS31"/>
    <mergeCell ref="AL31:AQ31"/>
    <mergeCell ref="AR31:AW31"/>
    <mergeCell ref="EP30:EU30"/>
    <mergeCell ref="DF30:DK30"/>
    <mergeCell ref="DL30:DQ30"/>
    <mergeCell ref="DR30:DW30"/>
    <mergeCell ref="DX30:EC30"/>
    <mergeCell ref="ED30:EI30"/>
    <mergeCell ref="EJ30:EO30"/>
    <mergeCell ref="BV30:CA30"/>
    <mergeCell ref="CB30:CG30"/>
    <mergeCell ref="CZ30:DE30"/>
    <mergeCell ref="AL30:AQ30"/>
    <mergeCell ref="AR30:AW30"/>
    <mergeCell ref="AX30:BC30"/>
    <mergeCell ref="BD30:BI30"/>
    <mergeCell ref="BJ30:BO30"/>
    <mergeCell ref="BP30:BU30"/>
    <mergeCell ref="AX31:BC31"/>
    <mergeCell ref="BD31:BI31"/>
    <mergeCell ref="BJ31:BO31"/>
    <mergeCell ref="BP31:BU31"/>
    <mergeCell ref="BV31:CA31"/>
    <mergeCell ref="CB31:CG31"/>
    <mergeCell ref="B30:G30"/>
    <mergeCell ref="H30:M30"/>
    <mergeCell ref="N30:S30"/>
    <mergeCell ref="T30:Y30"/>
    <mergeCell ref="Z30:AE30"/>
    <mergeCell ref="AF30:AK30"/>
    <mergeCell ref="B31:G31"/>
    <mergeCell ref="H31:M31"/>
    <mergeCell ref="N31:S31"/>
    <mergeCell ref="T31:Y31"/>
    <mergeCell ref="Z31:AE31"/>
    <mergeCell ref="AF31:AK31"/>
    <mergeCell ref="CZ29:DE29"/>
    <mergeCell ref="DF29:DK29"/>
    <mergeCell ref="DL29:DQ29"/>
    <mergeCell ref="FZ30:GE30"/>
    <mergeCell ref="GF30:GG30"/>
    <mergeCell ref="EV30:FA30"/>
    <mergeCell ref="FB30:FG30"/>
    <mergeCell ref="FH30:FM30"/>
    <mergeCell ref="FN30:FS30"/>
    <mergeCell ref="FT30:FY30"/>
    <mergeCell ref="FT29:FY29"/>
    <mergeCell ref="FZ29:GE29"/>
    <mergeCell ref="GF29:GG29"/>
    <mergeCell ref="DR29:DW29"/>
    <mergeCell ref="DX29:EC29"/>
    <mergeCell ref="ED29:EI29"/>
    <mergeCell ref="EJ29:EO29"/>
    <mergeCell ref="EP29:EU29"/>
    <mergeCell ref="EV29:FA29"/>
    <mergeCell ref="FB29:FG29"/>
    <mergeCell ref="FH29:FM29"/>
    <mergeCell ref="FN29:FS29"/>
    <mergeCell ref="AX29:BC29"/>
    <mergeCell ref="BD29:BI29"/>
    <mergeCell ref="BJ29:BO29"/>
    <mergeCell ref="BP29:BU29"/>
    <mergeCell ref="BV29:CA29"/>
    <mergeCell ref="CB29:CG29"/>
    <mergeCell ref="CH30:CM30"/>
    <mergeCell ref="CN30:CS30"/>
    <mergeCell ref="CT30:CY30"/>
    <mergeCell ref="CH29:CM29"/>
    <mergeCell ref="CN29:CS29"/>
    <mergeCell ref="CT29:CY29"/>
    <mergeCell ref="B29:G29"/>
    <mergeCell ref="H29:M29"/>
    <mergeCell ref="N29:S29"/>
    <mergeCell ref="T29:Y29"/>
    <mergeCell ref="Z29:AE29"/>
    <mergeCell ref="AF29:AK29"/>
    <mergeCell ref="AL29:AQ29"/>
    <mergeCell ref="AR29:AW29"/>
    <mergeCell ref="EP28:EU28"/>
    <mergeCell ref="DF28:DK28"/>
    <mergeCell ref="DL28:DQ28"/>
    <mergeCell ref="DR28:DW28"/>
    <mergeCell ref="DX28:EC28"/>
    <mergeCell ref="ED28:EI28"/>
    <mergeCell ref="EJ28:EO28"/>
    <mergeCell ref="BV28:CA28"/>
    <mergeCell ref="CB28:CG28"/>
    <mergeCell ref="CZ28:DE28"/>
    <mergeCell ref="AL28:AQ28"/>
    <mergeCell ref="AR28:AW28"/>
    <mergeCell ref="AX28:BC28"/>
    <mergeCell ref="BD28:BI28"/>
    <mergeCell ref="BJ28:BO28"/>
    <mergeCell ref="BP28:BU28"/>
    <mergeCell ref="FZ28:GE28"/>
    <mergeCell ref="GF28:GG28"/>
    <mergeCell ref="EV28:FA28"/>
    <mergeCell ref="FB28:FG28"/>
    <mergeCell ref="FH28:FM28"/>
    <mergeCell ref="FN28:FS28"/>
    <mergeCell ref="FT28:FY28"/>
    <mergeCell ref="B28:G28"/>
    <mergeCell ref="H28:M28"/>
    <mergeCell ref="N28:S28"/>
    <mergeCell ref="T28:Y28"/>
    <mergeCell ref="Z28:AE28"/>
    <mergeCell ref="AF28:AK28"/>
    <mergeCell ref="AX27:BC27"/>
    <mergeCell ref="BD27:BI27"/>
    <mergeCell ref="BJ27:BO27"/>
    <mergeCell ref="BP27:BU27"/>
    <mergeCell ref="BV27:CA27"/>
    <mergeCell ref="CB27:CG27"/>
    <mergeCell ref="CH28:CM28"/>
    <mergeCell ref="CN28:CS28"/>
    <mergeCell ref="CT28:CY28"/>
    <mergeCell ref="CH27:CM27"/>
    <mergeCell ref="CN27:CS27"/>
    <mergeCell ref="CT27:CY27"/>
    <mergeCell ref="DX26:EC26"/>
    <mergeCell ref="ED26:EI26"/>
    <mergeCell ref="EJ26:EO26"/>
    <mergeCell ref="BV26:CA26"/>
    <mergeCell ref="CB26:CG26"/>
    <mergeCell ref="FT27:FY27"/>
    <mergeCell ref="FZ27:GE27"/>
    <mergeCell ref="GF27:GG27"/>
    <mergeCell ref="DR27:DW27"/>
    <mergeCell ref="DX27:EC27"/>
    <mergeCell ref="ED27:EI27"/>
    <mergeCell ref="EJ27:EO27"/>
    <mergeCell ref="EP27:EU27"/>
    <mergeCell ref="EV27:FA27"/>
    <mergeCell ref="FB27:FG27"/>
    <mergeCell ref="FH27:FM27"/>
    <mergeCell ref="FN27:FS27"/>
    <mergeCell ref="CZ27:DE27"/>
    <mergeCell ref="DF27:DK27"/>
    <mergeCell ref="DL27:DQ27"/>
    <mergeCell ref="AR26:AW26"/>
    <mergeCell ref="AX26:BC26"/>
    <mergeCell ref="BD26:BI26"/>
    <mergeCell ref="BJ26:BO26"/>
    <mergeCell ref="BP26:BU26"/>
    <mergeCell ref="FZ26:GE26"/>
    <mergeCell ref="GF26:GG26"/>
    <mergeCell ref="B27:G27"/>
    <mergeCell ref="H27:M27"/>
    <mergeCell ref="N27:S27"/>
    <mergeCell ref="T27:Y27"/>
    <mergeCell ref="Z27:AE27"/>
    <mergeCell ref="AF27:AK27"/>
    <mergeCell ref="AL27:AQ27"/>
    <mergeCell ref="AR27:AW27"/>
    <mergeCell ref="EP26:EU26"/>
    <mergeCell ref="EV26:FA26"/>
    <mergeCell ref="FB26:FG26"/>
    <mergeCell ref="FH26:FM26"/>
    <mergeCell ref="FN26:FS26"/>
    <mergeCell ref="FT26:FY26"/>
    <mergeCell ref="DF26:DK26"/>
    <mergeCell ref="DL26:DQ26"/>
    <mergeCell ref="DR26:DW26"/>
    <mergeCell ref="B26:G26"/>
    <mergeCell ref="H26:M26"/>
    <mergeCell ref="N26:S26"/>
    <mergeCell ref="T26:Y26"/>
    <mergeCell ref="Z26:AE26"/>
    <mergeCell ref="AF26:AK26"/>
    <mergeCell ref="FH24:GG24"/>
    <mergeCell ref="B25:G25"/>
    <mergeCell ref="H25:AX25"/>
    <mergeCell ref="AY25:CY25"/>
    <mergeCell ref="CZ25:EE25"/>
    <mergeCell ref="EF25:FK25"/>
    <mergeCell ref="FL25:GG25"/>
    <mergeCell ref="B24:AB24"/>
    <mergeCell ref="AC24:BC24"/>
    <mergeCell ref="BD24:CD24"/>
    <mergeCell ref="CE24:DE24"/>
    <mergeCell ref="DF24:EF24"/>
    <mergeCell ref="EG24:FG24"/>
    <mergeCell ref="CH26:CM26"/>
    <mergeCell ref="CN26:CS26"/>
    <mergeCell ref="CT26:CY26"/>
    <mergeCell ref="CZ26:DE26"/>
    <mergeCell ref="AL26:AQ26"/>
    <mergeCell ref="EP23:EW23"/>
    <mergeCell ref="EX23:FE23"/>
    <mergeCell ref="FF23:FM23"/>
    <mergeCell ref="FN23:FU23"/>
    <mergeCell ref="FV23:GC23"/>
    <mergeCell ref="GD23:GG23"/>
    <mergeCell ref="CT23:DA23"/>
    <mergeCell ref="DB23:DI23"/>
    <mergeCell ref="DJ23:DQ23"/>
    <mergeCell ref="DR23:DY23"/>
    <mergeCell ref="DZ23:EG23"/>
    <mergeCell ref="EH23:EO23"/>
    <mergeCell ref="AX23:BE23"/>
    <mergeCell ref="BF23:BM23"/>
    <mergeCell ref="BN23:BU23"/>
    <mergeCell ref="BV23:CC23"/>
    <mergeCell ref="CD23:CK23"/>
    <mergeCell ref="CL23:CS23"/>
    <mergeCell ref="B23:I23"/>
    <mergeCell ref="J23:Q23"/>
    <mergeCell ref="R23:Y23"/>
    <mergeCell ref="Z23:AG23"/>
    <mergeCell ref="AH23:AO23"/>
    <mergeCell ref="AP23:AW23"/>
    <mergeCell ref="EP22:EW22"/>
    <mergeCell ref="EX22:FE22"/>
    <mergeCell ref="FF22:FM22"/>
    <mergeCell ref="FN22:FU22"/>
    <mergeCell ref="FV22:GC22"/>
    <mergeCell ref="GD22:GG22"/>
    <mergeCell ref="CT22:DA22"/>
    <mergeCell ref="DB22:DI22"/>
    <mergeCell ref="DJ22:DQ22"/>
    <mergeCell ref="DR22:DY22"/>
    <mergeCell ref="DZ22:EG22"/>
    <mergeCell ref="EH22:EO22"/>
    <mergeCell ref="AX22:BE22"/>
    <mergeCell ref="BF22:BM22"/>
    <mergeCell ref="BN22:BU22"/>
    <mergeCell ref="BV22:CC22"/>
    <mergeCell ref="CD22:CK22"/>
    <mergeCell ref="CL22:CS22"/>
    <mergeCell ref="B22:I22"/>
    <mergeCell ref="J22:Q22"/>
    <mergeCell ref="R22:Y22"/>
    <mergeCell ref="Z22:AG22"/>
    <mergeCell ref="AH22:AO22"/>
    <mergeCell ref="AP22:AW22"/>
    <mergeCell ref="EP21:EW21"/>
    <mergeCell ref="EX21:FE21"/>
    <mergeCell ref="FF21:FM21"/>
    <mergeCell ref="FN21:FU21"/>
    <mergeCell ref="FV21:GC21"/>
    <mergeCell ref="GD21:GG21"/>
    <mergeCell ref="CT21:DA21"/>
    <mergeCell ref="DB21:DI21"/>
    <mergeCell ref="DJ21:DQ21"/>
    <mergeCell ref="DR21:DY21"/>
    <mergeCell ref="DZ21:EG21"/>
    <mergeCell ref="EH21:EO21"/>
    <mergeCell ref="AX21:BE21"/>
    <mergeCell ref="BF21:BM21"/>
    <mergeCell ref="BN21:BU21"/>
    <mergeCell ref="BV21:CC21"/>
    <mergeCell ref="CD21:CK21"/>
    <mergeCell ref="CL21:CS21"/>
    <mergeCell ref="B21:I21"/>
    <mergeCell ref="J21:Q21"/>
    <mergeCell ref="R21:Y21"/>
    <mergeCell ref="Z21:AG21"/>
    <mergeCell ref="AH21:AO21"/>
    <mergeCell ref="AP21:AW21"/>
    <mergeCell ref="EP20:EW20"/>
    <mergeCell ref="EX20:FE20"/>
    <mergeCell ref="FF20:FM20"/>
    <mergeCell ref="FN20:FU20"/>
    <mergeCell ref="FV20:GC20"/>
    <mergeCell ref="GD20:GG20"/>
    <mergeCell ref="CT20:DA20"/>
    <mergeCell ref="DB20:DI20"/>
    <mergeCell ref="DJ20:DQ20"/>
    <mergeCell ref="DR20:DY20"/>
    <mergeCell ref="DZ20:EG20"/>
    <mergeCell ref="EH20:EO20"/>
    <mergeCell ref="AX20:BE20"/>
    <mergeCell ref="BF20:BM20"/>
    <mergeCell ref="BN20:BU20"/>
    <mergeCell ref="BV20:CC20"/>
    <mergeCell ref="CD20:CK20"/>
    <mergeCell ref="CL20:CS20"/>
    <mergeCell ref="B20:I20"/>
    <mergeCell ref="J20:Q20"/>
    <mergeCell ref="R20:Y20"/>
    <mergeCell ref="Z20:AG20"/>
    <mergeCell ref="AH20:AO20"/>
    <mergeCell ref="AP20:AW20"/>
    <mergeCell ref="EP19:EW19"/>
    <mergeCell ref="EX19:FE19"/>
    <mergeCell ref="FF19:FM19"/>
    <mergeCell ref="FN19:FU19"/>
    <mergeCell ref="FV19:GC19"/>
    <mergeCell ref="GD19:GG19"/>
    <mergeCell ref="CT19:DA19"/>
    <mergeCell ref="DB19:DI19"/>
    <mergeCell ref="DJ19:DQ19"/>
    <mergeCell ref="DR19:DY19"/>
    <mergeCell ref="DZ19:EG19"/>
    <mergeCell ref="EH19:EO19"/>
    <mergeCell ref="AX19:BE19"/>
    <mergeCell ref="BF19:BM19"/>
    <mergeCell ref="BN19:BU19"/>
    <mergeCell ref="BV19:CC19"/>
    <mergeCell ref="CD19:CK19"/>
    <mergeCell ref="CL19:CS19"/>
    <mergeCell ref="B19:I19"/>
    <mergeCell ref="J19:Q19"/>
    <mergeCell ref="R19:Y19"/>
    <mergeCell ref="Z19:AG19"/>
    <mergeCell ref="AH19:AO19"/>
    <mergeCell ref="AP19:AW19"/>
    <mergeCell ref="EP18:EW18"/>
    <mergeCell ref="EX18:FE18"/>
    <mergeCell ref="FF18:FM18"/>
    <mergeCell ref="FN18:FU18"/>
    <mergeCell ref="FV18:GC18"/>
    <mergeCell ref="GD18:GG18"/>
    <mergeCell ref="CT18:DA18"/>
    <mergeCell ref="DB18:DI18"/>
    <mergeCell ref="DJ18:DQ18"/>
    <mergeCell ref="DR18:DY18"/>
    <mergeCell ref="DZ18:EG18"/>
    <mergeCell ref="EH18:EO18"/>
    <mergeCell ref="AX18:BE18"/>
    <mergeCell ref="BF18:BM18"/>
    <mergeCell ref="BN18:BU18"/>
    <mergeCell ref="BV18:CC18"/>
    <mergeCell ref="CD18:CK18"/>
    <mergeCell ref="CL18:CS18"/>
    <mergeCell ref="B18:I18"/>
    <mergeCell ref="J18:Q18"/>
    <mergeCell ref="R18:Y18"/>
    <mergeCell ref="Z18:AG18"/>
    <mergeCell ref="AH18:AO18"/>
    <mergeCell ref="AP18:AW18"/>
    <mergeCell ref="EP17:EW17"/>
    <mergeCell ref="EX17:FE17"/>
    <mergeCell ref="FF17:FM17"/>
    <mergeCell ref="FN17:FU17"/>
    <mergeCell ref="FV17:GC17"/>
    <mergeCell ref="GD17:GG17"/>
    <mergeCell ref="CT17:DA17"/>
    <mergeCell ref="DB17:DI17"/>
    <mergeCell ref="DJ17:DQ17"/>
    <mergeCell ref="DR17:DY17"/>
    <mergeCell ref="DZ17:EG17"/>
    <mergeCell ref="EH17:EO17"/>
    <mergeCell ref="AX17:BE17"/>
    <mergeCell ref="BF17:BM17"/>
    <mergeCell ref="BN17:BU17"/>
    <mergeCell ref="BV17:CC17"/>
    <mergeCell ref="CD17:CK17"/>
    <mergeCell ref="CL17:CS17"/>
    <mergeCell ref="B17:I17"/>
    <mergeCell ref="J17:Q17"/>
    <mergeCell ref="R17:Y17"/>
    <mergeCell ref="Z17:AG17"/>
    <mergeCell ref="AH17:AO17"/>
    <mergeCell ref="AP17:AW17"/>
    <mergeCell ref="EP16:EW16"/>
    <mergeCell ref="EX16:FE16"/>
    <mergeCell ref="FF16:FM16"/>
    <mergeCell ref="FN16:FU16"/>
    <mergeCell ref="FV16:GC16"/>
    <mergeCell ref="GD16:GG16"/>
    <mergeCell ref="CT16:DA16"/>
    <mergeCell ref="DB16:DI16"/>
    <mergeCell ref="DJ16:DQ16"/>
    <mergeCell ref="DR16:DY16"/>
    <mergeCell ref="DZ16:EG16"/>
    <mergeCell ref="EH16:EO16"/>
    <mergeCell ref="AX16:BE16"/>
    <mergeCell ref="BF16:BM16"/>
    <mergeCell ref="BN16:BU16"/>
    <mergeCell ref="BV16:CC16"/>
    <mergeCell ref="CD16:CK16"/>
    <mergeCell ref="CL16:CS16"/>
    <mergeCell ref="B16:I16"/>
    <mergeCell ref="J16:Q16"/>
    <mergeCell ref="R16:Y16"/>
    <mergeCell ref="Z16:AG16"/>
    <mergeCell ref="AH16:AO16"/>
    <mergeCell ref="AP16:AW16"/>
    <mergeCell ref="EP15:EW15"/>
    <mergeCell ref="EX15:FE15"/>
    <mergeCell ref="FF15:FM15"/>
    <mergeCell ref="FN15:FU15"/>
    <mergeCell ref="FV15:GC15"/>
    <mergeCell ref="GD15:GG15"/>
    <mergeCell ref="CT15:DA15"/>
    <mergeCell ref="DB15:DI15"/>
    <mergeCell ref="DJ15:DQ15"/>
    <mergeCell ref="DR15:DY15"/>
    <mergeCell ref="DZ15:EG15"/>
    <mergeCell ref="EH15:EO15"/>
    <mergeCell ref="AX15:BE15"/>
    <mergeCell ref="BF15:BM15"/>
    <mergeCell ref="BN15:BU15"/>
    <mergeCell ref="BV15:CC15"/>
    <mergeCell ref="CD15:CK15"/>
    <mergeCell ref="CL15:CS15"/>
    <mergeCell ref="B15:I15"/>
    <mergeCell ref="J15:Q15"/>
    <mergeCell ref="R15:Y15"/>
    <mergeCell ref="Z15:AG15"/>
    <mergeCell ref="AH15:AO15"/>
    <mergeCell ref="AP15:AW15"/>
    <mergeCell ref="EP14:EW14"/>
    <mergeCell ref="EX14:FE14"/>
    <mergeCell ref="FF14:FM14"/>
    <mergeCell ref="FN14:FU14"/>
    <mergeCell ref="FV14:GC14"/>
    <mergeCell ref="GD14:GG14"/>
    <mergeCell ref="CT14:DA14"/>
    <mergeCell ref="DB14:DI14"/>
    <mergeCell ref="DJ14:DQ14"/>
    <mergeCell ref="DR14:DY14"/>
    <mergeCell ref="DZ14:EG14"/>
    <mergeCell ref="EH14:EO14"/>
    <mergeCell ref="AX14:BE14"/>
    <mergeCell ref="BF14:BM14"/>
    <mergeCell ref="BN14:BU14"/>
    <mergeCell ref="BV14:CC14"/>
    <mergeCell ref="CD14:CK14"/>
    <mergeCell ref="CL14:CS14"/>
    <mergeCell ref="B14:I14"/>
    <mergeCell ref="J14:Q14"/>
    <mergeCell ref="R14:Y14"/>
    <mergeCell ref="Z14:AG14"/>
    <mergeCell ref="AH14:AO14"/>
    <mergeCell ref="AP14:AW14"/>
    <mergeCell ref="FH12:GG12"/>
    <mergeCell ref="B13:I13"/>
    <mergeCell ref="J13:Q13"/>
    <mergeCell ref="R13:BH13"/>
    <mergeCell ref="BI13:DI13"/>
    <mergeCell ref="DJ13:EO13"/>
    <mergeCell ref="EP13:FU13"/>
    <mergeCell ref="FV13:GC13"/>
    <mergeCell ref="GD13:GG13"/>
    <mergeCell ref="B12:AB12"/>
    <mergeCell ref="AC12:BC12"/>
    <mergeCell ref="BD12:CD12"/>
    <mergeCell ref="CE12:DE12"/>
    <mergeCell ref="DF12:EF12"/>
    <mergeCell ref="EG12:FG12"/>
    <mergeCell ref="CT11:DI11"/>
    <mergeCell ref="DJ11:DY11"/>
    <mergeCell ref="DZ11:EO11"/>
    <mergeCell ref="EP11:FE11"/>
    <mergeCell ref="FF11:FU11"/>
    <mergeCell ref="FV11:GG11"/>
    <mergeCell ref="B11:Q11"/>
    <mergeCell ref="R11:AG11"/>
    <mergeCell ref="AH11:AW11"/>
    <mergeCell ref="AX11:BM11"/>
    <mergeCell ref="BN11:CC11"/>
    <mergeCell ref="CD11:CS11"/>
    <mergeCell ref="CT10:DI10"/>
    <mergeCell ref="DJ10:DY10"/>
    <mergeCell ref="DZ10:EO10"/>
    <mergeCell ref="EP10:FE10"/>
    <mergeCell ref="FF10:FU10"/>
    <mergeCell ref="FV10:GG10"/>
    <mergeCell ref="B10:Q10"/>
    <mergeCell ref="R10:AG10"/>
    <mergeCell ref="AH10:AW10"/>
    <mergeCell ref="AX10:BM10"/>
    <mergeCell ref="BN10:CC10"/>
    <mergeCell ref="CD10:CS10"/>
    <mergeCell ref="CT9:DI9"/>
    <mergeCell ref="DJ9:DY9"/>
    <mergeCell ref="DZ9:EO9"/>
    <mergeCell ref="EP9:FE9"/>
    <mergeCell ref="FF9:FU9"/>
    <mergeCell ref="FV9:GG9"/>
    <mergeCell ref="B9:Q9"/>
    <mergeCell ref="R9:AG9"/>
    <mergeCell ref="AH9:AW9"/>
    <mergeCell ref="AX9:BM9"/>
    <mergeCell ref="BN9:CC9"/>
    <mergeCell ref="CD9:CS9"/>
    <mergeCell ref="CT8:DI8"/>
    <mergeCell ref="DJ8:DY8"/>
    <mergeCell ref="DZ8:EO8"/>
    <mergeCell ref="EP8:FE8"/>
    <mergeCell ref="FF8:FU8"/>
    <mergeCell ref="FV8:GG8"/>
    <mergeCell ref="B8:Q8"/>
    <mergeCell ref="R8:AG8"/>
    <mergeCell ref="AH8:AW8"/>
    <mergeCell ref="AX8:BM8"/>
    <mergeCell ref="BN8:CC8"/>
    <mergeCell ref="CD8:CS8"/>
    <mergeCell ref="CT7:DI7"/>
    <mergeCell ref="DJ7:DY7"/>
    <mergeCell ref="DZ7:EO7"/>
    <mergeCell ref="EP7:FE7"/>
    <mergeCell ref="FF7:FU7"/>
    <mergeCell ref="FV7:GG7"/>
    <mergeCell ref="B7:Q7"/>
    <mergeCell ref="R7:AG7"/>
    <mergeCell ref="AH7:AW7"/>
    <mergeCell ref="AX7:BM7"/>
    <mergeCell ref="BN7:CC7"/>
    <mergeCell ref="CD7:CS7"/>
    <mergeCell ref="CT6:DI6"/>
    <mergeCell ref="DJ6:DY6"/>
    <mergeCell ref="DZ6:EO6"/>
    <mergeCell ref="EP6:FE6"/>
    <mergeCell ref="FF6:FU6"/>
    <mergeCell ref="FV6:GG6"/>
    <mergeCell ref="B6:Q6"/>
    <mergeCell ref="R6:AG6"/>
    <mergeCell ref="AH6:AW6"/>
    <mergeCell ref="AX6:BM6"/>
    <mergeCell ref="BN6:CC6"/>
    <mergeCell ref="CD6:CS6"/>
    <mergeCell ref="CT5:DI5"/>
    <mergeCell ref="DJ5:DY5"/>
    <mergeCell ref="DZ5:EO5"/>
    <mergeCell ref="EP5:FE5"/>
    <mergeCell ref="FF5:FU5"/>
    <mergeCell ref="FV5:GG5"/>
    <mergeCell ref="B5:Q5"/>
    <mergeCell ref="R5:AG5"/>
    <mergeCell ref="AH5:AW5"/>
    <mergeCell ref="AX5:BM5"/>
    <mergeCell ref="BN5:CC5"/>
    <mergeCell ref="CD5:CS5"/>
    <mergeCell ref="CT4:DI4"/>
    <mergeCell ref="DJ4:DY4"/>
    <mergeCell ref="DZ4:EO4"/>
    <mergeCell ref="EP4:FE4"/>
    <mergeCell ref="FF4:FU4"/>
    <mergeCell ref="FV4:GG4"/>
    <mergeCell ref="B4:Q4"/>
    <mergeCell ref="R4:AG4"/>
    <mergeCell ref="AH4:AW4"/>
    <mergeCell ref="AX4:BM4"/>
    <mergeCell ref="BN4:CC4"/>
    <mergeCell ref="CD4:CS4"/>
    <mergeCell ref="CT3:DI3"/>
    <mergeCell ref="DJ3:DY3"/>
    <mergeCell ref="DZ3:EO3"/>
    <mergeCell ref="EP3:FE3"/>
    <mergeCell ref="FF3:FU3"/>
    <mergeCell ref="FV3:GG3"/>
    <mergeCell ref="B3:Q3"/>
    <mergeCell ref="R3:AG3"/>
    <mergeCell ref="AH3:AW3"/>
    <mergeCell ref="AX3:BM3"/>
    <mergeCell ref="BN3:CC3"/>
    <mergeCell ref="CD3:CS3"/>
    <mergeCell ref="B1:Q1"/>
    <mergeCell ref="R1:BH1"/>
    <mergeCell ref="BI1:DI1"/>
    <mergeCell ref="DJ1:EO1"/>
    <mergeCell ref="EP1:FU1"/>
    <mergeCell ref="FV1:GG1"/>
    <mergeCell ref="CT2:DI2"/>
    <mergeCell ref="DJ2:DY2"/>
    <mergeCell ref="DZ2:EO2"/>
    <mergeCell ref="EP2:FE2"/>
    <mergeCell ref="FF2:FU2"/>
    <mergeCell ref="FV2:GG2"/>
    <mergeCell ref="B2:Q2"/>
    <mergeCell ref="R2:AG2"/>
    <mergeCell ref="AH2:AW2"/>
    <mergeCell ref="AX2:BM2"/>
    <mergeCell ref="BN2:CC2"/>
    <mergeCell ref="CD2:CS2"/>
  </mergeCells>
  <conditionalFormatting sqref="B14:I14">
    <cfRule type="cellIs" dxfId="8" priority="2417" operator="notEqual">
      <formula>0</formula>
    </cfRule>
    <cfRule type="cellIs" dxfId="7" priority="3053" operator="equal">
      <formula>0</formula>
    </cfRule>
  </conditionalFormatting>
  <pageMargins left="0.25" right="0.25" top="0.75" bottom="0.75" header="0.3" footer="0.3"/>
  <pageSetup paperSize="9" scale="94" orientation="landscape" r:id="rId1"/>
  <rowBreaks count="1" manualBreakCount="1">
    <brk id="12" max="188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932" id="{54A96D31-F9B1-4F10-AD50-EFD640465D4D}">
            <xm:f>SUM(Data!$BR46:$CV46)=0</xm:f>
            <x14:dxf>
              <font>
                <color theme="0"/>
              </font>
            </x14:dxf>
          </x14:cfRule>
          <xm:sqref>A3:A11</xm:sqref>
        </x14:conditionalFormatting>
        <x14:conditionalFormatting xmlns:xm="http://schemas.microsoft.com/office/excel/2006/main">
          <x14:cfRule type="expression" priority="3054" id="{788034D3-CB68-4BA6-8CDF-BCBACCA9728A}">
            <xm:f>SUM(Data!$BR46:$CV46)=0</xm:f>
            <x14:dxf>
              <font>
                <color theme="0"/>
              </font>
            </x14:dxf>
          </x14:cfRule>
          <xm:sqref>A15:A23</xm:sqref>
        </x14:conditionalFormatting>
        <x14:conditionalFormatting xmlns:xm="http://schemas.microsoft.com/office/excel/2006/main">
          <x14:cfRule type="expression" priority="2931" id="{BE7A328D-A283-4E35-B74C-2ABBBA3757BD}">
            <xm:f>SUM(Data!$BR46:$CV46)=0</xm:f>
            <x14:dxf>
              <font>
                <color theme="0"/>
              </font>
            </x14:dxf>
          </x14:cfRule>
          <xm:sqref>A27:A35</xm:sqref>
        </x14:conditionalFormatting>
        <x14:conditionalFormatting xmlns:xm="http://schemas.microsoft.com/office/excel/2006/main">
          <x14:cfRule type="expression" priority="24" id="{04951F57-CE3E-4CE5-86DE-A0AFD6F4CC91}">
            <xm:f>Data!$BQ$44&gt;11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A1:GG12</xm:sqref>
        </x14:conditionalFormatting>
        <x14:conditionalFormatting xmlns:xm="http://schemas.microsoft.com/office/excel/2006/main">
          <x14:cfRule type="expression" priority="22" id="{07A0B353-FFFE-4CB9-9156-CB93478EDED4}">
            <xm:f>OR(Data!$BQ$44&gt;22,Data!$BQ$44&lt;=11)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A13:GG24</xm:sqref>
        </x14:conditionalFormatting>
        <x14:conditionalFormatting xmlns:xm="http://schemas.microsoft.com/office/excel/2006/main">
          <x14:cfRule type="expression" priority="23" id="{288860D8-C057-4474-96B5-EC9E8E7FAFB2}">
            <xm:f>OR(Data!$BQ$44&gt;30,Data!$BQ$44&lt;=22)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A25:GG36</xm:sqref>
        </x14:conditionalFormatting>
        <x14:conditionalFormatting xmlns:xm="http://schemas.microsoft.com/office/excel/2006/main">
          <x14:cfRule type="expression" priority="24151" id="{95B6D3CF-3674-4939-A29B-F68923F67FE7}">
            <xm:f>Data!$E$12=0</xm:f>
            <x14:dxf>
              <font>
                <color theme="0"/>
              </font>
            </x14:dxf>
          </x14:cfRule>
          <xm:sqref>B12:AB12 B24:AB24 B36:AB36</xm:sqref>
        </x14:conditionalFormatting>
        <x14:conditionalFormatting xmlns:xm="http://schemas.microsoft.com/office/excel/2006/main">
          <x14:cfRule type="expression" priority="24154" id="{3498222B-208C-443F-8B25-81891FA66851}">
            <xm:f>Data!$E$13=0</xm:f>
            <x14:dxf>
              <font>
                <color theme="0"/>
              </font>
            </x14:dxf>
          </x14:cfRule>
          <xm:sqref>AC12:BC12 AC24:BC24 AC36:BC36</xm:sqref>
        </x14:conditionalFormatting>
        <x14:conditionalFormatting xmlns:xm="http://schemas.microsoft.com/office/excel/2006/main">
          <x14:cfRule type="expression" priority="24157" id="{B763A58D-2B42-464C-842D-757D22D78DDE}">
            <xm:f>Data!$E$14=0</xm:f>
            <x14:dxf>
              <font>
                <color theme="0"/>
              </font>
            </x14:dxf>
          </x14:cfRule>
          <xm:sqref>BD12:CD12 BD24:CD24 BD36:CD36</xm:sqref>
        </x14:conditionalFormatting>
        <x14:conditionalFormatting xmlns:xm="http://schemas.microsoft.com/office/excel/2006/main">
          <x14:cfRule type="expression" priority="24160" id="{227F1338-AFDD-4F01-91C7-F722179A9853}">
            <xm:f>Data!$E$15=0</xm:f>
            <x14:dxf>
              <font>
                <color theme="0"/>
              </font>
            </x14:dxf>
          </x14:cfRule>
          <xm:sqref>CE12:DE12 CE24:DE24 CE36:DE36</xm:sqref>
        </x14:conditionalFormatting>
        <x14:conditionalFormatting xmlns:xm="http://schemas.microsoft.com/office/excel/2006/main">
          <x14:cfRule type="expression" priority="24163" id="{DE9203D5-F403-4EF4-A512-AD84C6D29AC4}">
            <xm:f>Data!$E$16=0</xm:f>
            <x14:dxf>
              <font>
                <color theme="0"/>
              </font>
            </x14:dxf>
          </x14:cfRule>
          <xm:sqref>DF12:EF12 DF24:EF24 DF36:EF36</xm:sqref>
        </x14:conditionalFormatting>
        <x14:conditionalFormatting xmlns:xm="http://schemas.microsoft.com/office/excel/2006/main">
          <x14:cfRule type="expression" priority="24166" id="{3910E9F7-2992-4F0D-ADD4-46D5DAF856C7}">
            <xm:f>Data!$E$17=0</xm:f>
            <x14:dxf>
              <font>
                <color theme="0"/>
              </font>
            </x14:dxf>
          </x14:cfRule>
          <xm:sqref>EG12:FG12 EF25:FK25 EG36:FG36</xm:sqref>
        </x14:conditionalFormatting>
        <x14:conditionalFormatting xmlns:xm="http://schemas.microsoft.com/office/excel/2006/main">
          <x14:cfRule type="expression" priority="24169" id="{4C3A3E57-035A-46A1-94D9-D7BCF554BDA5}">
            <xm:f>Data!$E$18=0</xm:f>
            <x14:dxf>
              <font>
                <color theme="0"/>
              </font>
            </x14:dxf>
          </x14:cfRule>
          <xm:sqref>FH12:GG12 FH24:GG24 FH36:GG36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3">
    <tabColor rgb="FF92D050"/>
    <pageSetUpPr fitToPage="1"/>
  </sheetPr>
  <dimension ref="A1:I41"/>
  <sheetViews>
    <sheetView view="pageBreakPreview" zoomScaleNormal="100" zoomScaleSheetLayoutView="100" workbookViewId="0">
      <selection activeCell="F10" sqref="F10"/>
    </sheetView>
  </sheetViews>
  <sheetFormatPr defaultColWidth="9.1796875" defaultRowHeight="18.5" x14ac:dyDescent="0.45"/>
  <cols>
    <col min="1" max="1" width="15.7265625" style="442" customWidth="1"/>
    <col min="2" max="2" width="16.7265625" style="442" customWidth="1"/>
    <col min="3" max="3" width="10.7265625" style="442" customWidth="1"/>
    <col min="4" max="4" width="14.7265625" style="442" customWidth="1"/>
    <col min="5" max="5" width="10.7265625" style="442" customWidth="1"/>
    <col min="6" max="6" width="14.7265625" style="442" customWidth="1"/>
    <col min="7" max="7" width="8.7265625" style="442" customWidth="1"/>
    <col min="8" max="8" width="16.7265625" style="442" customWidth="1"/>
    <col min="9" max="9" width="11.453125" style="442" customWidth="1"/>
    <col min="10" max="16384" width="9.1796875" style="442"/>
  </cols>
  <sheetData>
    <row r="1" spans="1:9" s="440" customFormat="1" ht="25" customHeight="1" x14ac:dyDescent="0.35">
      <c r="A1" s="443"/>
      <c r="B1" s="1614" t="s">
        <v>50</v>
      </c>
      <c r="C1" s="1614"/>
      <c r="D1" s="1614"/>
      <c r="E1" s="1615"/>
      <c r="F1" s="1584" t="s">
        <v>1471</v>
      </c>
      <c r="G1" s="1575"/>
      <c r="H1" s="1576"/>
    </row>
    <row r="2" spans="1:9" s="440" customFormat="1" ht="25" customHeight="1" x14ac:dyDescent="0.35">
      <c r="A2" s="444"/>
      <c r="B2" s="1616"/>
      <c r="C2" s="1616"/>
      <c r="D2" s="1616"/>
      <c r="E2" s="1617"/>
      <c r="F2" s="1585" t="s">
        <v>1472</v>
      </c>
      <c r="G2" s="1515"/>
      <c r="H2" s="1516"/>
    </row>
    <row r="3" spans="1:9" s="440" customFormat="1" ht="25" customHeight="1" x14ac:dyDescent="0.35">
      <c r="A3" s="1586" t="s">
        <v>1473</v>
      </c>
      <c r="B3" s="1587"/>
      <c r="C3" s="1587"/>
      <c r="D3" s="1587"/>
      <c r="E3" s="1587"/>
      <c r="F3" s="1515" t="s">
        <v>975</v>
      </c>
      <c r="G3" s="1515"/>
      <c r="H3" s="1516"/>
    </row>
    <row r="4" spans="1:9" s="440" customFormat="1" ht="25" customHeight="1" thickBot="1" x14ac:dyDescent="0.4">
      <c r="A4" s="1588"/>
      <c r="B4" s="1589"/>
      <c r="C4" s="1589"/>
      <c r="D4" s="1589"/>
      <c r="E4" s="1589"/>
      <c r="F4" s="1517" t="s">
        <v>1028</v>
      </c>
      <c r="G4" s="1517"/>
      <c r="H4" s="1518"/>
    </row>
    <row r="5" spans="1:9" s="440" customFormat="1" ht="25" customHeight="1" x14ac:dyDescent="0.35">
      <c r="A5" s="630"/>
      <c r="B5" s="630"/>
      <c r="C5" s="630"/>
      <c r="D5" s="630"/>
      <c r="E5" s="630"/>
      <c r="F5" s="631"/>
      <c r="G5" s="631"/>
      <c r="H5" s="631"/>
    </row>
    <row r="6" spans="1:9" s="440" customFormat="1" ht="25" customHeight="1" x14ac:dyDescent="0.35">
      <c r="A6" s="2399" t="s">
        <v>1474</v>
      </c>
      <c r="B6" s="2399"/>
      <c r="C6" s="2399"/>
      <c r="D6" s="2399"/>
      <c r="E6" s="2399"/>
      <c r="F6" s="2399"/>
      <c r="G6" s="2399"/>
      <c r="H6" s="2399"/>
    </row>
    <row r="7" spans="1:9" s="440" customFormat="1" ht="25" customHeight="1" thickBot="1" x14ac:dyDescent="0.4">
      <c r="A7" s="2400" t="s">
        <v>1475</v>
      </c>
      <c r="B7" s="2401"/>
      <c r="C7" s="2401"/>
      <c r="D7" s="2401"/>
      <c r="E7" s="2401"/>
      <c r="F7" s="2401"/>
      <c r="G7" s="2401"/>
      <c r="H7" s="2402"/>
      <c r="I7" s="440" t="s">
        <v>304</v>
      </c>
    </row>
    <row r="8" spans="1:9" s="440" customFormat="1" ht="20.149999999999999" customHeight="1" thickBot="1" x14ac:dyDescent="0.4">
      <c r="A8" s="1618"/>
      <c r="B8" s="1618"/>
      <c r="C8" s="1618"/>
      <c r="D8" s="1618"/>
      <c r="E8" s="1618"/>
      <c r="F8" s="1618"/>
      <c r="G8" s="1618"/>
      <c r="H8" s="1618"/>
    </row>
    <row r="9" spans="1:9" s="441" customFormat="1" ht="25" customHeight="1" thickBot="1" x14ac:dyDescent="0.4">
      <c r="A9" s="629" t="s">
        <v>1026</v>
      </c>
      <c r="B9" s="635" t="str">
        <f>IF(Data!B1&lt;&gt;"",Data!B1 &amp;" "&amp; IF(COUNTBLANK('Rework Cutter Entry'!C47:AG58)&lt;372,'Rework Cutter Entry'!AA44,IF(COUNTBLANK('Rework Cutter Entry'!C26:AG37)&lt;372,'Rework Cutter Entry'!AA23,IF(COUNTBLANK('Rework Cutter Entry'!C5:AG16)&lt;372,'Rework Cutter Entry'!AA2,""))),"")</f>
        <v xml:space="preserve">2025-AR-105 </v>
      </c>
      <c r="C9" s="629" t="s">
        <v>1032</v>
      </c>
      <c r="D9" s="636">
        <f>IF(Data!B2&lt;&gt;"",Data!B2," ")</f>
        <v>13753277</v>
      </c>
      <c r="E9" s="629" t="s">
        <v>29</v>
      </c>
      <c r="F9" s="636" t="str">
        <f>IF(LEN(Data!B3)&gt;3,IF(AND(Data!B43&lt;&gt;"",Data!B43&lt;&gt;"0 0/1"""),Data!B43,""),IF(Data!B3&lt;&gt;"",Data!B3&amp;"""",""))</f>
        <v>8 3/8"</v>
      </c>
      <c r="G9" s="629" t="s">
        <v>31</v>
      </c>
      <c r="H9" s="636" t="str">
        <f>IF(Data!B4&lt;&gt;"",Data!B4," ")</f>
        <v>MM65DH</v>
      </c>
    </row>
    <row r="10" spans="1:9" s="441" customFormat="1" ht="25" customHeight="1" x14ac:dyDescent="0.35">
      <c r="B10" s="637"/>
      <c r="C10" s="638"/>
      <c r="D10" s="639"/>
      <c r="E10" s="638"/>
      <c r="F10" s="639"/>
      <c r="G10" s="638"/>
      <c r="H10" s="640"/>
    </row>
    <row r="11" spans="1:9" s="441" customFormat="1" ht="51.75" customHeight="1" x14ac:dyDescent="0.35">
      <c r="A11" s="648" t="s">
        <v>1477</v>
      </c>
      <c r="B11" s="648"/>
      <c r="C11" s="649" t="s">
        <v>1478</v>
      </c>
      <c r="E11" s="649" t="s">
        <v>1479</v>
      </c>
      <c r="G11" s="629" t="s">
        <v>1480</v>
      </c>
    </row>
    <row r="12" spans="1:9" s="441" customFormat="1" ht="25" customHeight="1" x14ac:dyDescent="0.35">
      <c r="B12" s="634"/>
      <c r="C12" s="629"/>
      <c r="D12" s="411"/>
      <c r="E12" s="629"/>
      <c r="F12" s="411"/>
      <c r="G12" s="629"/>
      <c r="H12" s="647"/>
    </row>
    <row r="13" spans="1:9" s="441" customFormat="1" ht="25" customHeight="1" x14ac:dyDescent="0.35">
      <c r="B13" s="634"/>
      <c r="C13" s="629"/>
      <c r="D13" s="411"/>
      <c r="E13" s="629"/>
      <c r="F13" s="411"/>
      <c r="G13" s="629"/>
      <c r="H13" s="647"/>
    </row>
    <row r="14" spans="1:9" s="441" customFormat="1" ht="25" customHeight="1" x14ac:dyDescent="0.35">
      <c r="A14" s="646"/>
      <c r="B14" s="634"/>
      <c r="C14" s="629"/>
      <c r="D14" s="411"/>
      <c r="E14" s="629"/>
      <c r="F14" s="411"/>
      <c r="G14" s="629"/>
      <c r="H14" s="647"/>
    </row>
    <row r="15" spans="1:9" s="441" customFormat="1" ht="25" customHeight="1" x14ac:dyDescent="0.35">
      <c r="A15" s="646"/>
      <c r="B15" s="634"/>
      <c r="C15" s="629"/>
      <c r="D15" s="411"/>
      <c r="E15" s="629"/>
      <c r="F15" s="411"/>
      <c r="G15" s="629"/>
      <c r="H15" s="647"/>
    </row>
    <row r="16" spans="1:9" s="441" customFormat="1" ht="25" customHeight="1" x14ac:dyDescent="0.35">
      <c r="A16" s="646"/>
      <c r="B16" s="634"/>
      <c r="C16" s="629"/>
      <c r="D16" s="411"/>
      <c r="E16" s="629"/>
      <c r="F16" s="411"/>
      <c r="G16" s="629"/>
      <c r="H16" s="647"/>
    </row>
    <row r="17" spans="1:8" s="441" customFormat="1" ht="25" customHeight="1" thickBot="1" x14ac:dyDescent="0.4">
      <c r="A17" s="641"/>
      <c r="B17" s="642"/>
      <c r="C17" s="643"/>
      <c r="D17" s="644"/>
      <c r="E17" s="643"/>
      <c r="F17" s="644"/>
      <c r="G17" s="643"/>
      <c r="H17" s="645"/>
    </row>
    <row r="18" spans="1:8" s="441" customFormat="1" ht="25" customHeight="1" x14ac:dyDescent="0.35">
      <c r="A18" s="646" t="s">
        <v>1476</v>
      </c>
      <c r="B18" s="2408"/>
      <c r="C18" s="2408"/>
      <c r="D18" s="2408"/>
      <c r="E18" s="2408"/>
      <c r="F18" s="2408"/>
      <c r="G18" s="2408"/>
      <c r="H18" s="2409"/>
    </row>
    <row r="19" spans="1:8" s="441" customFormat="1" ht="35.25" customHeight="1" thickBot="1" x14ac:dyDescent="0.4">
      <c r="A19" s="2405"/>
      <c r="B19" s="2406"/>
      <c r="C19" s="2406"/>
      <c r="D19" s="2406"/>
      <c r="E19" s="2406"/>
      <c r="F19" s="2406"/>
      <c r="G19" s="2406"/>
      <c r="H19" s="2407"/>
    </row>
    <row r="20" spans="1:8" s="441" customFormat="1" ht="20.149999999999999" customHeight="1" thickBot="1" x14ac:dyDescent="0.4">
      <c r="A20" s="1619"/>
      <c r="B20" s="1619"/>
      <c r="C20" s="1619"/>
      <c r="D20" s="1619"/>
      <c r="E20" s="1619"/>
      <c r="F20" s="1619"/>
      <c r="G20" s="1619"/>
      <c r="H20" s="1619"/>
    </row>
    <row r="21" spans="1:8" s="440" customFormat="1" ht="27" customHeight="1" x14ac:dyDescent="0.35">
      <c r="A21" s="2403" t="s">
        <v>59</v>
      </c>
      <c r="B21" s="2404"/>
      <c r="C21" s="1575"/>
      <c r="D21" s="1575"/>
      <c r="E21" s="2404" t="s">
        <v>61</v>
      </c>
      <c r="F21" s="2404"/>
      <c r="G21" s="1575"/>
      <c r="H21" s="1576"/>
    </row>
    <row r="22" spans="1:8" s="440" customFormat="1" ht="27" customHeight="1" thickBot="1" x14ac:dyDescent="0.4">
      <c r="A22" s="2389" t="s">
        <v>60</v>
      </c>
      <c r="B22" s="1601"/>
      <c r="C22" s="1517"/>
      <c r="D22" s="1517"/>
      <c r="E22" s="1601" t="s">
        <v>62</v>
      </c>
      <c r="F22" s="1601"/>
      <c r="G22" s="1517"/>
      <c r="H22" s="1518"/>
    </row>
    <row r="23" spans="1:8" s="440" customFormat="1" ht="20.149999999999999" customHeight="1" thickBot="1" x14ac:dyDescent="0.4">
      <c r="A23" s="1606"/>
      <c r="B23" s="1606"/>
      <c r="C23" s="1606"/>
      <c r="D23" s="1606"/>
      <c r="E23" s="1606"/>
      <c r="F23" s="1606"/>
      <c r="G23" s="1606"/>
      <c r="H23" s="1606"/>
    </row>
    <row r="24" spans="1:8" s="440" customFormat="1" ht="27" customHeight="1" thickBot="1" x14ac:dyDescent="0.4">
      <c r="A24" s="2390" t="s">
        <v>1036</v>
      </c>
      <c r="B24" s="2391"/>
      <c r="C24" s="1560" t="s">
        <v>54</v>
      </c>
      <c r="D24" s="1510"/>
      <c r="E24" s="1560" t="s">
        <v>55</v>
      </c>
      <c r="F24" s="1510"/>
      <c r="G24" s="1560" t="s">
        <v>56</v>
      </c>
      <c r="H24" s="1510"/>
    </row>
    <row r="25" spans="1:8" s="440" customFormat="1" ht="27" customHeight="1" thickBot="1" x14ac:dyDescent="0.4">
      <c r="A25" s="2390" t="s">
        <v>1037</v>
      </c>
      <c r="B25" s="2391"/>
      <c r="C25" s="2392" t="s">
        <v>57</v>
      </c>
      <c r="D25" s="1563"/>
      <c r="E25" s="2393" t="s">
        <v>58</v>
      </c>
      <c r="F25" s="2393"/>
      <c r="G25" s="2393" t="s">
        <v>58</v>
      </c>
      <c r="H25" s="2394"/>
    </row>
    <row r="26" spans="1:8" s="440" customFormat="1" ht="27" customHeight="1" thickBot="1" x14ac:dyDescent="0.4">
      <c r="A26" s="2390" t="s">
        <v>1038</v>
      </c>
      <c r="B26" s="2391"/>
      <c r="C26" s="2395"/>
      <c r="D26" s="1549"/>
      <c r="E26" s="1549"/>
      <c r="F26" s="1549"/>
      <c r="G26" s="1549"/>
      <c r="H26" s="1550"/>
    </row>
    <row r="27" spans="1:8" s="440" customFormat="1" ht="27" customHeight="1" thickBot="1" x14ac:dyDescent="0.4">
      <c r="A27" s="2390" t="s">
        <v>1039</v>
      </c>
      <c r="B27" s="2391"/>
      <c r="C27" s="2396"/>
      <c r="D27" s="1552"/>
      <c r="E27" s="1552"/>
      <c r="F27" s="1552"/>
      <c r="G27" s="1552"/>
      <c r="H27" s="1553"/>
    </row>
    <row r="28" spans="1:8" s="440" customFormat="1" ht="16.5" customHeight="1" thickBot="1" x14ac:dyDescent="0.4">
      <c r="A28" s="629"/>
      <c r="B28" s="629"/>
      <c r="C28" s="411"/>
      <c r="D28" s="411"/>
      <c r="E28" s="411"/>
      <c r="F28" s="411"/>
      <c r="G28" s="411"/>
      <c r="H28" s="411"/>
    </row>
    <row r="29" spans="1:8" s="440" customFormat="1" ht="27" customHeight="1" x14ac:dyDescent="0.35">
      <c r="A29" s="632" t="s">
        <v>63</v>
      </c>
      <c r="B29" s="633" t="s">
        <v>64</v>
      </c>
      <c r="C29" s="1546"/>
      <c r="D29" s="1546"/>
      <c r="E29" s="633" t="s">
        <v>65</v>
      </c>
      <c r="F29" s="627"/>
      <c r="G29" s="633" t="s">
        <v>36</v>
      </c>
      <c r="H29" s="628"/>
    </row>
    <row r="30" spans="1:8" s="440" customFormat="1" ht="27" customHeight="1" x14ac:dyDescent="0.35">
      <c r="A30" s="1593" t="s">
        <v>952</v>
      </c>
      <c r="B30" s="445" t="s">
        <v>66</v>
      </c>
      <c r="C30" s="2397" t="s">
        <v>67</v>
      </c>
      <c r="D30" s="2397"/>
      <c r="E30" s="2397"/>
      <c r="F30" s="2397"/>
      <c r="G30" s="2397"/>
      <c r="H30" s="2398"/>
    </row>
    <row r="31" spans="1:8" s="440" customFormat="1" ht="27" customHeight="1" x14ac:dyDescent="0.35">
      <c r="A31" s="1593"/>
      <c r="B31" s="445" t="s">
        <v>68</v>
      </c>
      <c r="C31" s="2397"/>
      <c r="D31" s="2397"/>
      <c r="E31" s="2397"/>
      <c r="F31" s="2397"/>
      <c r="G31" s="2397"/>
      <c r="H31" s="2398"/>
    </row>
    <row r="32" spans="1:8" s="440" customFormat="1" ht="27" customHeight="1" thickBot="1" x14ac:dyDescent="0.4">
      <c r="A32" s="1594"/>
      <c r="B32" s="1601" t="s">
        <v>69</v>
      </c>
      <c r="C32" s="1601"/>
      <c r="D32" s="1552"/>
      <c r="E32" s="1552"/>
      <c r="F32" s="1552"/>
      <c r="G32" s="1552"/>
      <c r="H32" s="1553"/>
    </row>
    <row r="33" spans="1:8" s="440" customFormat="1" ht="20.149999999999999" customHeight="1" x14ac:dyDescent="0.35">
      <c r="A33" s="1606"/>
      <c r="B33" s="1606"/>
      <c r="C33" s="1606"/>
      <c r="D33" s="1606"/>
      <c r="E33" s="1606"/>
      <c r="F33" s="1606"/>
      <c r="G33" s="1606"/>
      <c r="H33" s="1606"/>
    </row>
    <row r="34" spans="1:8" s="440" customFormat="1" ht="18" customHeight="1" x14ac:dyDescent="0.35"/>
    <row r="35" spans="1:8" s="440" customFormat="1" ht="18" customHeight="1" x14ac:dyDescent="0.35"/>
    <row r="36" spans="1:8" s="440" customFormat="1" ht="18" customHeight="1" x14ac:dyDescent="0.35"/>
    <row r="37" spans="1:8" s="440" customFormat="1" ht="18" customHeight="1" x14ac:dyDescent="0.35"/>
    <row r="38" spans="1:8" s="440" customFormat="1" ht="18" customHeight="1" x14ac:dyDescent="0.35"/>
    <row r="39" spans="1:8" s="440" customFormat="1" ht="18" customHeight="1" x14ac:dyDescent="0.35"/>
    <row r="40" spans="1:8" s="440" customFormat="1" ht="18" customHeight="1" x14ac:dyDescent="0.35"/>
    <row r="41" spans="1:8" s="440" customFormat="1" ht="18" customHeight="1" x14ac:dyDescent="0.35"/>
  </sheetData>
  <sheetProtection formatCells="0" formatColumns="0" formatRows="0" insertColumns="0" insertRows="0" insertHyperlinks="0" deleteColumns="0" deleteRows="0" sort="0" autoFilter="0" pivotTables="0"/>
  <mergeCells count="43">
    <mergeCell ref="A6:H6"/>
    <mergeCell ref="A7:H7"/>
    <mergeCell ref="A21:B21"/>
    <mergeCell ref="C21:D21"/>
    <mergeCell ref="E21:F21"/>
    <mergeCell ref="G21:H21"/>
    <mergeCell ref="A19:H19"/>
    <mergeCell ref="B18:H18"/>
    <mergeCell ref="A8:H8"/>
    <mergeCell ref="A20:H20"/>
    <mergeCell ref="A33:H33"/>
    <mergeCell ref="A26:B26"/>
    <mergeCell ref="C26:D26"/>
    <mergeCell ref="E26:F26"/>
    <mergeCell ref="G26:H26"/>
    <mergeCell ref="A27:B27"/>
    <mergeCell ref="C27:D27"/>
    <mergeCell ref="E27:F27"/>
    <mergeCell ref="G27:H27"/>
    <mergeCell ref="C29:D29"/>
    <mergeCell ref="A30:A32"/>
    <mergeCell ref="C30:H31"/>
    <mergeCell ref="B32:C32"/>
    <mergeCell ref="D32:H32"/>
    <mergeCell ref="A24:B24"/>
    <mergeCell ref="C24:D24"/>
    <mergeCell ref="E24:F24"/>
    <mergeCell ref="G24:H24"/>
    <mergeCell ref="A25:B25"/>
    <mergeCell ref="C25:D25"/>
    <mergeCell ref="E25:F25"/>
    <mergeCell ref="G25:H25"/>
    <mergeCell ref="A23:H23"/>
    <mergeCell ref="A22:B22"/>
    <mergeCell ref="C22:D22"/>
    <mergeCell ref="E22:F22"/>
    <mergeCell ref="G22:H22"/>
    <mergeCell ref="B1:E2"/>
    <mergeCell ref="F1:H1"/>
    <mergeCell ref="F2:H2"/>
    <mergeCell ref="A3:E4"/>
    <mergeCell ref="F3:H3"/>
    <mergeCell ref="F4:H4"/>
  </mergeCells>
  <pageMargins left="0.5" right="0.5" top="0.5" bottom="0.5" header="0.3" footer="0.3"/>
  <pageSetup paperSize="9" scale="85" orientation="portrait" r:id="rId1"/>
  <colBreaks count="1" manualBreakCount="1">
    <brk id="8" max="31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4"/>
  <dimension ref="A1:D28"/>
  <sheetViews>
    <sheetView view="pageBreakPreview" zoomScaleNormal="100" zoomScaleSheetLayoutView="100" workbookViewId="0">
      <selection activeCell="I19" sqref="I19"/>
    </sheetView>
  </sheetViews>
  <sheetFormatPr defaultRowHeight="14.5" x14ac:dyDescent="0.35"/>
  <cols>
    <col min="1" max="1" width="28.453125" bestFit="1" customWidth="1"/>
    <col min="2" max="2" width="11" customWidth="1"/>
    <col min="3" max="3" width="17.1796875" customWidth="1"/>
    <col min="4" max="4" width="27.26953125" customWidth="1"/>
  </cols>
  <sheetData>
    <row r="1" spans="1:4" ht="18" customHeight="1" thickBot="1" x14ac:dyDescent="0.4">
      <c r="A1" s="2410" t="s">
        <v>1326</v>
      </c>
      <c r="B1" s="2411"/>
      <c r="C1" s="2411"/>
      <c r="D1" s="2412"/>
    </row>
    <row r="2" spans="1:4" ht="15" customHeight="1" x14ac:dyDescent="0.35">
      <c r="A2" s="586" t="s">
        <v>0</v>
      </c>
      <c r="B2" s="2413" t="s">
        <v>1</v>
      </c>
      <c r="C2" s="2414"/>
      <c r="D2" s="586" t="s">
        <v>8</v>
      </c>
    </row>
    <row r="3" spans="1:4" ht="20.25" customHeight="1" thickBot="1" x14ac:dyDescent="0.4">
      <c r="A3" s="602" t="str">
        <f>IF(Data!B1&lt;&gt;"", Data!B1, " ")</f>
        <v>2025-AR-105</v>
      </c>
      <c r="B3" s="2415">
        <f>IF(Data!B2&lt;&gt;"", Data!B2, " ")</f>
        <v>13753277</v>
      </c>
      <c r="C3" s="2416"/>
      <c r="D3" s="602" t="str">
        <f>IF(Data!B5&lt;&gt;"",Data!B5," ")</f>
        <v>1061407M</v>
      </c>
    </row>
    <row r="4" spans="1:4" ht="15" customHeight="1" x14ac:dyDescent="0.35">
      <c r="A4" s="586" t="s">
        <v>7</v>
      </c>
      <c r="B4" s="2417" t="s">
        <v>6</v>
      </c>
      <c r="C4" s="2418"/>
      <c r="D4" s="2419"/>
    </row>
    <row r="5" spans="1:4" ht="20.25" customHeight="1" thickBot="1" x14ac:dyDescent="0.4">
      <c r="A5" s="602" t="str">
        <f>IF(Data!B4&lt;&gt;"",Data!B4," ")</f>
        <v>MM65DH</v>
      </c>
      <c r="B5" s="2421" t="str">
        <f>IF(LEN(Data!B3)&gt;3,IF(AND(Data!B43&lt;&gt;"",Data!B43&lt;&gt;"0 0/1"""),Data!B43,""),IF(Data!B3&lt;&gt;"",Data!B3&amp;"""",""))</f>
        <v>8 3/8"</v>
      </c>
      <c r="C5" s="2422"/>
      <c r="D5" s="2420"/>
    </row>
    <row r="6" spans="1:4" ht="26.25" customHeight="1" thickBot="1" x14ac:dyDescent="0.4">
      <c r="A6" s="587" t="s">
        <v>2</v>
      </c>
      <c r="B6" s="588" t="s">
        <v>71</v>
      </c>
      <c r="C6" s="588" t="s">
        <v>40</v>
      </c>
      <c r="D6" s="589" t="s">
        <v>44</v>
      </c>
    </row>
    <row r="7" spans="1:4" ht="27" customHeight="1" x14ac:dyDescent="0.35">
      <c r="A7" s="590" t="s">
        <v>1327</v>
      </c>
      <c r="B7" s="299" t="s">
        <v>1328</v>
      </c>
      <c r="C7" s="591"/>
      <c r="D7" s="592"/>
    </row>
    <row r="8" spans="1:4" ht="27" customHeight="1" x14ac:dyDescent="0.35">
      <c r="A8" s="593" t="s">
        <v>1329</v>
      </c>
      <c r="B8" s="37" t="s">
        <v>1330</v>
      </c>
      <c r="C8" s="594"/>
      <c r="D8" s="595"/>
    </row>
    <row r="9" spans="1:4" ht="27" customHeight="1" x14ac:dyDescent="0.35">
      <c r="A9" s="593" t="s">
        <v>1331</v>
      </c>
      <c r="B9" s="37"/>
      <c r="C9" s="594"/>
      <c r="D9" s="595"/>
    </row>
    <row r="10" spans="1:4" ht="27" customHeight="1" x14ac:dyDescent="0.35">
      <c r="A10" s="593" t="s">
        <v>1332</v>
      </c>
      <c r="B10" s="37" t="s">
        <v>1333</v>
      </c>
      <c r="C10" s="594"/>
      <c r="D10" s="595"/>
    </row>
    <row r="11" spans="1:4" ht="27" customHeight="1" x14ac:dyDescent="0.35">
      <c r="A11" s="593" t="s">
        <v>1334</v>
      </c>
      <c r="B11" s="37"/>
      <c r="C11" s="37"/>
      <c r="D11" s="596"/>
    </row>
    <row r="12" spans="1:4" ht="27" customHeight="1" x14ac:dyDescent="0.35">
      <c r="A12" s="593" t="s">
        <v>1335</v>
      </c>
      <c r="B12" s="37" t="s">
        <v>1336</v>
      </c>
      <c r="C12" s="594"/>
      <c r="D12" s="595"/>
    </row>
    <row r="13" spans="1:4" ht="27" customHeight="1" x14ac:dyDescent="0.35">
      <c r="A13" s="593" t="s">
        <v>1337</v>
      </c>
      <c r="B13" s="37" t="s">
        <v>1338</v>
      </c>
      <c r="C13" s="594"/>
      <c r="D13" s="595"/>
    </row>
    <row r="14" spans="1:4" ht="27" customHeight="1" x14ac:dyDescent="0.35">
      <c r="A14" s="593" t="s">
        <v>1339</v>
      </c>
      <c r="B14" s="37" t="s">
        <v>1338</v>
      </c>
      <c r="C14" s="594"/>
      <c r="D14" s="595"/>
    </row>
    <row r="15" spans="1:4" ht="27" customHeight="1" x14ac:dyDescent="0.35">
      <c r="A15" s="593" t="s">
        <v>1340</v>
      </c>
      <c r="B15" s="37" t="s">
        <v>1341</v>
      </c>
      <c r="C15" s="594"/>
      <c r="D15" s="595"/>
    </row>
    <row r="16" spans="1:4" ht="27" customHeight="1" x14ac:dyDescent="0.35">
      <c r="A16" s="593" t="s">
        <v>1342</v>
      </c>
      <c r="B16" s="37" t="s">
        <v>1343</v>
      </c>
      <c r="C16" s="594"/>
      <c r="D16" s="595"/>
    </row>
    <row r="17" spans="1:4" ht="27" customHeight="1" x14ac:dyDescent="0.35">
      <c r="A17" s="593" t="s">
        <v>1344</v>
      </c>
      <c r="B17" s="37" t="s">
        <v>1345</v>
      </c>
      <c r="C17" s="594"/>
      <c r="D17" s="595"/>
    </row>
    <row r="18" spans="1:4" ht="27" customHeight="1" x14ac:dyDescent="0.35">
      <c r="A18" s="593" t="s">
        <v>1346</v>
      </c>
      <c r="B18" s="37" t="s">
        <v>1328</v>
      </c>
      <c r="C18" s="594"/>
      <c r="D18" s="595"/>
    </row>
    <row r="19" spans="1:4" ht="27" customHeight="1" x14ac:dyDescent="0.35">
      <c r="A19" s="593" t="s">
        <v>1347</v>
      </c>
      <c r="B19" s="37" t="s">
        <v>1348</v>
      </c>
      <c r="C19" s="597"/>
      <c r="D19" s="598"/>
    </row>
    <row r="20" spans="1:4" ht="27" customHeight="1" x14ac:dyDescent="0.35">
      <c r="A20" s="593" t="s">
        <v>1329</v>
      </c>
      <c r="B20" s="37" t="s">
        <v>1330</v>
      </c>
      <c r="C20" s="594"/>
      <c r="D20" s="595"/>
    </row>
    <row r="21" spans="1:4" ht="27" customHeight="1" x14ac:dyDescent="0.35">
      <c r="A21" s="593" t="s">
        <v>1349</v>
      </c>
      <c r="B21" s="37" t="s">
        <v>1350</v>
      </c>
      <c r="C21" s="594"/>
      <c r="D21" s="595"/>
    </row>
    <row r="22" spans="1:4" ht="27" customHeight="1" x14ac:dyDescent="0.35">
      <c r="A22" s="593" t="s">
        <v>1351</v>
      </c>
      <c r="B22" s="37" t="s">
        <v>1352</v>
      </c>
      <c r="C22" s="594"/>
      <c r="D22" s="595"/>
    </row>
    <row r="23" spans="1:4" ht="27" customHeight="1" x14ac:dyDescent="0.35">
      <c r="A23" s="593" t="s">
        <v>1329</v>
      </c>
      <c r="B23" s="37" t="s">
        <v>1330</v>
      </c>
      <c r="C23" s="594"/>
      <c r="D23" s="595"/>
    </row>
    <row r="24" spans="1:4" ht="27" customHeight="1" x14ac:dyDescent="0.35">
      <c r="A24" s="593" t="s">
        <v>1353</v>
      </c>
      <c r="B24" s="37"/>
      <c r="C24" s="37"/>
      <c r="D24" s="596"/>
    </row>
    <row r="25" spans="1:4" ht="27" customHeight="1" x14ac:dyDescent="0.35">
      <c r="A25" s="593" t="s">
        <v>1354</v>
      </c>
      <c r="B25" s="37"/>
      <c r="C25" s="37"/>
      <c r="D25" s="596"/>
    </row>
    <row r="26" spans="1:4" ht="27" customHeight="1" x14ac:dyDescent="0.35">
      <c r="A26" s="593" t="s">
        <v>1355</v>
      </c>
      <c r="B26" s="37" t="s">
        <v>1356</v>
      </c>
      <c r="C26" s="594"/>
      <c r="D26" s="595"/>
    </row>
    <row r="27" spans="1:4" ht="27" customHeight="1" x14ac:dyDescent="0.35">
      <c r="A27" s="593" t="s">
        <v>1357</v>
      </c>
      <c r="B27" s="37" t="s">
        <v>1358</v>
      </c>
      <c r="C27" s="594"/>
      <c r="D27" s="595"/>
    </row>
    <row r="28" spans="1:4" ht="27" customHeight="1" thickBot="1" x14ac:dyDescent="0.4">
      <c r="A28" s="599" t="s">
        <v>1359</v>
      </c>
      <c r="B28" s="294" t="s">
        <v>1358</v>
      </c>
      <c r="C28" s="600"/>
      <c r="D28" s="601"/>
    </row>
  </sheetData>
  <mergeCells count="6">
    <mergeCell ref="A1:D1"/>
    <mergeCell ref="B2:C2"/>
    <mergeCell ref="B3:C3"/>
    <mergeCell ref="B4:C4"/>
    <mergeCell ref="D4:D5"/>
    <mergeCell ref="B5:C5"/>
  </mergeCells>
  <pageMargins left="0.5" right="0.25" top="0.5" bottom="0.5" header="0.05" footer="0.05"/>
  <pageSetup paperSize="9" scale="10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3C5B-5567-4EC2-9679-CECA6F60582E}">
  <sheetPr codeName="Sheet25"/>
  <dimension ref="C4:S8"/>
  <sheetViews>
    <sheetView workbookViewId="0">
      <selection activeCell="N5" sqref="N5:S7"/>
    </sheetView>
  </sheetViews>
  <sheetFormatPr defaultRowHeight="14.5" x14ac:dyDescent="0.35"/>
  <sheetData>
    <row r="4" spans="3:19" x14ac:dyDescent="0.35">
      <c r="C4">
        <v>1</v>
      </c>
      <c r="D4">
        <v>1313</v>
      </c>
      <c r="E4" t="s">
        <v>2066</v>
      </c>
      <c r="F4" t="s">
        <v>2067</v>
      </c>
      <c r="G4">
        <v>13</v>
      </c>
      <c r="H4">
        <v>1217988</v>
      </c>
    </row>
    <row r="5" spans="3:19" x14ac:dyDescent="0.35">
      <c r="C5">
        <v>2</v>
      </c>
      <c r="D5">
        <v>1313</v>
      </c>
      <c r="E5" t="s">
        <v>2066</v>
      </c>
      <c r="F5" t="s">
        <v>1466</v>
      </c>
      <c r="G5">
        <v>12</v>
      </c>
      <c r="H5">
        <v>1145493</v>
      </c>
      <c r="N5">
        <v>1</v>
      </c>
      <c r="O5">
        <v>1010</v>
      </c>
      <c r="P5" t="s">
        <v>2072</v>
      </c>
      <c r="Q5" t="s">
        <v>101</v>
      </c>
      <c r="R5">
        <v>23</v>
      </c>
      <c r="S5">
        <v>717748</v>
      </c>
    </row>
    <row r="6" spans="3:19" x14ac:dyDescent="0.35">
      <c r="C6">
        <v>3</v>
      </c>
      <c r="D6">
        <v>1308</v>
      </c>
      <c r="E6" t="s">
        <v>1314</v>
      </c>
      <c r="F6" t="s">
        <v>86</v>
      </c>
      <c r="G6">
        <v>6</v>
      </c>
      <c r="H6">
        <v>418525</v>
      </c>
      <c r="N6">
        <v>2</v>
      </c>
      <c r="O6">
        <v>1005</v>
      </c>
      <c r="P6" t="s">
        <v>2072</v>
      </c>
      <c r="Q6" t="s">
        <v>101</v>
      </c>
      <c r="R6">
        <v>10</v>
      </c>
      <c r="S6">
        <v>773384</v>
      </c>
    </row>
    <row r="7" spans="3:19" x14ac:dyDescent="0.35">
      <c r="C7">
        <v>4</v>
      </c>
      <c r="D7" t="s">
        <v>2042</v>
      </c>
      <c r="E7" t="s">
        <v>2061</v>
      </c>
      <c r="F7" t="s">
        <v>2068</v>
      </c>
      <c r="G7">
        <v>5</v>
      </c>
      <c r="H7">
        <v>1101509</v>
      </c>
      <c r="N7">
        <v>3</v>
      </c>
      <c r="O7">
        <v>808</v>
      </c>
      <c r="P7" t="s">
        <v>2072</v>
      </c>
      <c r="Q7" t="s">
        <v>262</v>
      </c>
      <c r="R7">
        <v>10</v>
      </c>
      <c r="S7">
        <v>882800</v>
      </c>
    </row>
    <row r="8" spans="3:19" x14ac:dyDescent="0.35">
      <c r="C8">
        <v>5</v>
      </c>
      <c r="D8">
        <v>1313</v>
      </c>
      <c r="E8" t="s">
        <v>2066</v>
      </c>
      <c r="F8" t="s">
        <v>1951</v>
      </c>
      <c r="G8">
        <v>1</v>
      </c>
      <c r="H8">
        <v>1104083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6"/>
  <dimension ref="A2:I112"/>
  <sheetViews>
    <sheetView workbookViewId="0">
      <selection sqref="A1:XFD113"/>
    </sheetView>
  </sheetViews>
  <sheetFormatPr defaultRowHeight="14.5" x14ac:dyDescent="0.35"/>
  <cols>
    <col min="1" max="1" width="14" style="10" customWidth="1"/>
    <col min="2" max="2" width="18.54296875" style="10" customWidth="1"/>
    <col min="3" max="3" width="98.54296875" style="804" customWidth="1"/>
    <col min="4" max="4" width="7.26953125" style="10" bestFit="1" customWidth="1"/>
    <col min="5" max="5" width="16.81640625" style="10" bestFit="1" customWidth="1"/>
    <col min="6" max="6" width="13.453125" style="10" bestFit="1" customWidth="1"/>
  </cols>
  <sheetData>
    <row r="2" spans="1:6" hidden="1" x14ac:dyDescent="0.35">
      <c r="C2" s="856" t="s">
        <v>1651</v>
      </c>
    </row>
    <row r="3" spans="1:6" hidden="1" x14ac:dyDescent="0.35">
      <c r="A3" s="5"/>
      <c r="B3" s="5"/>
      <c r="C3" s="856" t="s">
        <v>1652</v>
      </c>
    </row>
    <row r="4" spans="1:6" hidden="1" x14ac:dyDescent="0.35">
      <c r="A4" s="5"/>
      <c r="B4" s="5"/>
      <c r="C4" s="856" t="s">
        <v>1655</v>
      </c>
    </row>
    <row r="5" spans="1:6" hidden="1" x14ac:dyDescent="0.35">
      <c r="A5" s="5"/>
      <c r="B5" s="5"/>
      <c r="C5" s="856" t="s">
        <v>1581</v>
      </c>
    </row>
    <row r="6" spans="1:6" hidden="1" x14ac:dyDescent="0.35">
      <c r="A6" s="5"/>
      <c r="B6" s="5"/>
      <c r="C6" s="856" t="s">
        <v>1653</v>
      </c>
    </row>
    <row r="7" spans="1:6" ht="15" hidden="1" thickBot="1" x14ac:dyDescent="0.4">
      <c r="C7" s="856" t="s">
        <v>1654</v>
      </c>
    </row>
    <row r="8" spans="1:6" s="412" customFormat="1" ht="16" hidden="1" thickBot="1" x14ac:dyDescent="0.4">
      <c r="A8" s="857" t="s">
        <v>1583</v>
      </c>
      <c r="B8" s="803" t="s">
        <v>1584</v>
      </c>
      <c r="C8" s="858" t="s">
        <v>273</v>
      </c>
      <c r="D8" s="803" t="s">
        <v>71</v>
      </c>
      <c r="E8" s="803" t="s">
        <v>1586</v>
      </c>
      <c r="F8" s="859" t="s">
        <v>1582</v>
      </c>
    </row>
    <row r="9" spans="1:6" hidden="1" x14ac:dyDescent="0.35">
      <c r="A9" s="75">
        <v>10</v>
      </c>
      <c r="B9" s="860">
        <v>1</v>
      </c>
      <c r="C9" s="861" t="s">
        <v>1585</v>
      </c>
      <c r="D9" s="299" t="s">
        <v>1513</v>
      </c>
      <c r="E9" s="591">
        <v>800</v>
      </c>
      <c r="F9" s="862">
        <v>1</v>
      </c>
    </row>
    <row r="10" spans="1:6" hidden="1" x14ac:dyDescent="0.35">
      <c r="A10" s="75">
        <v>10</v>
      </c>
      <c r="B10" s="860">
        <v>2</v>
      </c>
      <c r="C10" s="863" t="s">
        <v>1656</v>
      </c>
      <c r="D10" s="37" t="s">
        <v>1513</v>
      </c>
      <c r="E10" s="594">
        <v>6075</v>
      </c>
      <c r="F10" s="596">
        <v>1</v>
      </c>
    </row>
    <row r="11" spans="1:6" hidden="1" x14ac:dyDescent="0.35">
      <c r="A11" s="75">
        <v>20</v>
      </c>
      <c r="B11" s="860">
        <v>2</v>
      </c>
      <c r="C11" s="863" t="s">
        <v>1657</v>
      </c>
      <c r="D11" s="37" t="s">
        <v>1513</v>
      </c>
      <c r="E11" s="594">
        <v>8350</v>
      </c>
      <c r="F11" s="596">
        <v>1</v>
      </c>
    </row>
    <row r="12" spans="1:6" hidden="1" x14ac:dyDescent="0.35">
      <c r="A12" s="75">
        <v>30</v>
      </c>
      <c r="B12" s="860">
        <v>2</v>
      </c>
      <c r="C12" s="863" t="s">
        <v>1658</v>
      </c>
      <c r="D12" s="37" t="s">
        <v>1513</v>
      </c>
      <c r="E12" s="594">
        <v>9900</v>
      </c>
      <c r="F12" s="596">
        <v>1</v>
      </c>
    </row>
    <row r="13" spans="1:6" hidden="1" x14ac:dyDescent="0.35">
      <c r="A13" s="75">
        <v>40</v>
      </c>
      <c r="B13" s="860">
        <v>2</v>
      </c>
      <c r="C13" s="863" t="s">
        <v>1659</v>
      </c>
      <c r="D13" s="37" t="s">
        <v>1513</v>
      </c>
      <c r="E13" s="594">
        <v>12950</v>
      </c>
      <c r="F13" s="596">
        <v>1</v>
      </c>
    </row>
    <row r="14" spans="1:6" hidden="1" x14ac:dyDescent="0.35">
      <c r="A14" s="75">
        <v>10</v>
      </c>
      <c r="B14" s="860">
        <v>3</v>
      </c>
      <c r="C14" s="863" t="s">
        <v>1660</v>
      </c>
      <c r="D14" s="37" t="s">
        <v>1513</v>
      </c>
      <c r="E14" s="864">
        <v>5875</v>
      </c>
      <c r="F14" s="596">
        <v>1</v>
      </c>
    </row>
    <row r="15" spans="1:6" hidden="1" x14ac:dyDescent="0.35">
      <c r="A15" s="75">
        <v>20</v>
      </c>
      <c r="B15" s="860">
        <v>3</v>
      </c>
      <c r="C15" s="863" t="s">
        <v>1661</v>
      </c>
      <c r="D15" s="37" t="s">
        <v>1513</v>
      </c>
      <c r="E15" s="864">
        <v>8150</v>
      </c>
      <c r="F15" s="596">
        <v>1</v>
      </c>
    </row>
    <row r="16" spans="1:6" hidden="1" x14ac:dyDescent="0.35">
      <c r="A16" s="75">
        <v>30</v>
      </c>
      <c r="B16" s="860">
        <v>3</v>
      </c>
      <c r="C16" s="863" t="s">
        <v>1662</v>
      </c>
      <c r="D16" s="37" t="s">
        <v>1513</v>
      </c>
      <c r="E16" s="594">
        <v>9450</v>
      </c>
      <c r="F16" s="596">
        <v>1</v>
      </c>
    </row>
    <row r="17" spans="1:6" hidden="1" x14ac:dyDescent="0.35">
      <c r="A17" s="75">
        <v>40</v>
      </c>
      <c r="B17" s="860">
        <v>3</v>
      </c>
      <c r="C17" s="863" t="s">
        <v>1663</v>
      </c>
      <c r="D17" s="37" t="s">
        <v>1513</v>
      </c>
      <c r="E17" s="594">
        <v>12500</v>
      </c>
      <c r="F17" s="596">
        <v>1</v>
      </c>
    </row>
    <row r="18" spans="1:6" hidden="1" x14ac:dyDescent="0.35">
      <c r="A18" s="75">
        <v>10</v>
      </c>
      <c r="B18" s="865">
        <v>4.0999999999999996</v>
      </c>
      <c r="C18" s="863" t="s">
        <v>1664</v>
      </c>
      <c r="D18" s="37" t="s">
        <v>1513</v>
      </c>
      <c r="E18" s="864">
        <v>6650</v>
      </c>
      <c r="F18" s="596">
        <v>1</v>
      </c>
    </row>
    <row r="19" spans="1:6" ht="29" hidden="1" x14ac:dyDescent="0.35">
      <c r="A19" s="75">
        <v>20</v>
      </c>
      <c r="B19" s="865">
        <v>4.0999999999999996</v>
      </c>
      <c r="C19" s="863" t="s">
        <v>1665</v>
      </c>
      <c r="D19" s="37" t="s">
        <v>1513</v>
      </c>
      <c r="E19" s="864">
        <v>8100</v>
      </c>
      <c r="F19" s="596">
        <v>1</v>
      </c>
    </row>
    <row r="20" spans="1:6" ht="29" hidden="1" x14ac:dyDescent="0.35">
      <c r="A20" s="75">
        <v>10</v>
      </c>
      <c r="B20" s="865">
        <v>4.2</v>
      </c>
      <c r="C20" s="863" t="s">
        <v>1666</v>
      </c>
      <c r="D20" s="37" t="s">
        <v>1513</v>
      </c>
      <c r="E20" s="864">
        <v>8250</v>
      </c>
      <c r="F20" s="596">
        <v>1</v>
      </c>
    </row>
    <row r="21" spans="1:6" hidden="1" x14ac:dyDescent="0.35">
      <c r="A21" s="75">
        <v>20</v>
      </c>
      <c r="B21" s="865">
        <v>4.2</v>
      </c>
      <c r="C21" s="863" t="s">
        <v>1667</v>
      </c>
      <c r="D21" s="37" t="s">
        <v>1513</v>
      </c>
      <c r="E21" s="864">
        <v>11050</v>
      </c>
      <c r="F21" s="596">
        <v>1</v>
      </c>
    </row>
    <row r="22" spans="1:6" hidden="1" x14ac:dyDescent="0.35">
      <c r="A22" s="75">
        <v>10</v>
      </c>
      <c r="B22" s="865" t="s">
        <v>1587</v>
      </c>
      <c r="C22" s="863" t="s">
        <v>1593</v>
      </c>
      <c r="D22" s="37" t="s">
        <v>1513</v>
      </c>
      <c r="E22" s="37">
        <v>196</v>
      </c>
      <c r="F22" s="596">
        <v>1</v>
      </c>
    </row>
    <row r="23" spans="1:6" hidden="1" x14ac:dyDescent="0.35">
      <c r="A23" s="75">
        <v>20</v>
      </c>
      <c r="B23" s="865" t="s">
        <v>1587</v>
      </c>
      <c r="C23" s="863" t="s">
        <v>1594</v>
      </c>
      <c r="D23" s="37" t="s">
        <v>1513</v>
      </c>
      <c r="E23" s="37">
        <v>302</v>
      </c>
      <c r="F23" s="596">
        <v>1</v>
      </c>
    </row>
    <row r="24" spans="1:6" hidden="1" x14ac:dyDescent="0.35">
      <c r="A24" s="75">
        <v>30</v>
      </c>
      <c r="B24" s="865" t="s">
        <v>1587</v>
      </c>
      <c r="C24" s="863" t="s">
        <v>1595</v>
      </c>
      <c r="D24" s="37" t="s">
        <v>1513</v>
      </c>
      <c r="E24" s="37">
        <v>376</v>
      </c>
      <c r="F24" s="596">
        <v>1</v>
      </c>
    </row>
    <row r="25" spans="1:6" hidden="1" x14ac:dyDescent="0.35">
      <c r="A25" s="75">
        <v>40</v>
      </c>
      <c r="B25" s="865" t="s">
        <v>1587</v>
      </c>
      <c r="C25" s="863" t="s">
        <v>1596</v>
      </c>
      <c r="D25" s="37" t="s">
        <v>1513</v>
      </c>
      <c r="E25" s="37">
        <v>290</v>
      </c>
      <c r="F25" s="596">
        <v>1</v>
      </c>
    </row>
    <row r="26" spans="1:6" hidden="1" x14ac:dyDescent="0.35">
      <c r="A26" s="75">
        <v>50</v>
      </c>
      <c r="B26" s="865" t="s">
        <v>1587</v>
      </c>
      <c r="C26" s="863" t="s">
        <v>1641</v>
      </c>
      <c r="D26" s="37" t="s">
        <v>1513</v>
      </c>
      <c r="E26" s="37">
        <v>202</v>
      </c>
      <c r="F26" s="596">
        <v>1</v>
      </c>
    </row>
    <row r="27" spans="1:6" hidden="1" x14ac:dyDescent="0.35">
      <c r="A27" s="75">
        <v>60</v>
      </c>
      <c r="B27" s="865" t="s">
        <v>1587</v>
      </c>
      <c r="C27" s="863" t="s">
        <v>1642</v>
      </c>
      <c r="D27" s="37" t="s">
        <v>1513</v>
      </c>
      <c r="E27" s="37">
        <v>135</v>
      </c>
      <c r="F27" s="596">
        <v>1</v>
      </c>
    </row>
    <row r="28" spans="1:6" hidden="1" x14ac:dyDescent="0.35">
      <c r="A28" s="75">
        <v>10</v>
      </c>
      <c r="B28" s="865" t="s">
        <v>1588</v>
      </c>
      <c r="C28" s="863" t="s">
        <v>1608</v>
      </c>
      <c r="D28" s="37" t="s">
        <v>1513</v>
      </c>
      <c r="E28" s="37">
        <v>215</v>
      </c>
      <c r="F28" s="596">
        <v>1</v>
      </c>
    </row>
    <row r="29" spans="1:6" hidden="1" x14ac:dyDescent="0.35">
      <c r="A29" s="75">
        <v>20</v>
      </c>
      <c r="B29" s="865" t="s">
        <v>1588</v>
      </c>
      <c r="C29" s="863" t="s">
        <v>1611</v>
      </c>
      <c r="D29" s="37" t="s">
        <v>1513</v>
      </c>
      <c r="E29" s="37">
        <v>328</v>
      </c>
      <c r="F29" s="596">
        <v>1</v>
      </c>
    </row>
    <row r="30" spans="1:6" hidden="1" x14ac:dyDescent="0.35">
      <c r="A30" s="75">
        <v>30</v>
      </c>
      <c r="B30" s="865" t="s">
        <v>1588</v>
      </c>
      <c r="C30" s="863" t="s">
        <v>1610</v>
      </c>
      <c r="D30" s="37" t="s">
        <v>1513</v>
      </c>
      <c r="E30" s="37">
        <v>419</v>
      </c>
      <c r="F30" s="596">
        <v>1</v>
      </c>
    </row>
    <row r="31" spans="1:6" hidden="1" x14ac:dyDescent="0.35">
      <c r="A31" s="75">
        <v>40</v>
      </c>
      <c r="B31" s="37" t="s">
        <v>1588</v>
      </c>
      <c r="C31" s="863" t="s">
        <v>1609</v>
      </c>
      <c r="D31" s="37" t="s">
        <v>1513</v>
      </c>
      <c r="E31" s="37">
        <v>333</v>
      </c>
      <c r="F31" s="596">
        <v>1</v>
      </c>
    </row>
    <row r="32" spans="1:6" hidden="1" x14ac:dyDescent="0.35">
      <c r="A32" s="75">
        <v>50</v>
      </c>
      <c r="B32" s="865" t="s">
        <v>1588</v>
      </c>
      <c r="C32" s="863" t="s">
        <v>1643</v>
      </c>
      <c r="D32" s="37" t="s">
        <v>1513</v>
      </c>
      <c r="E32" s="37">
        <v>202</v>
      </c>
      <c r="F32" s="596">
        <v>1</v>
      </c>
    </row>
    <row r="33" spans="1:6" hidden="1" x14ac:dyDescent="0.35">
      <c r="A33" s="75">
        <v>60</v>
      </c>
      <c r="B33" s="37" t="s">
        <v>1588</v>
      </c>
      <c r="C33" s="863" t="s">
        <v>1644</v>
      </c>
      <c r="D33" s="37" t="s">
        <v>1513</v>
      </c>
      <c r="E33" s="37">
        <v>135</v>
      </c>
      <c r="F33" s="596">
        <v>1</v>
      </c>
    </row>
    <row r="34" spans="1:6" hidden="1" x14ac:dyDescent="0.35">
      <c r="A34" s="75">
        <v>10</v>
      </c>
      <c r="B34" s="37" t="s">
        <v>1589</v>
      </c>
      <c r="C34" s="863" t="s">
        <v>1608</v>
      </c>
      <c r="D34" s="37" t="s">
        <v>1513</v>
      </c>
      <c r="E34" s="37">
        <v>345</v>
      </c>
      <c r="F34" s="596">
        <v>1</v>
      </c>
    </row>
    <row r="35" spans="1:6" hidden="1" x14ac:dyDescent="0.35">
      <c r="A35" s="75">
        <v>20</v>
      </c>
      <c r="B35" s="37" t="s">
        <v>1589</v>
      </c>
      <c r="C35" s="863" t="s">
        <v>1597</v>
      </c>
      <c r="D35" s="37" t="s">
        <v>1513</v>
      </c>
      <c r="E35" s="37">
        <v>413</v>
      </c>
      <c r="F35" s="596">
        <v>1</v>
      </c>
    </row>
    <row r="36" spans="1:6" hidden="1" x14ac:dyDescent="0.35">
      <c r="A36" s="75">
        <v>30</v>
      </c>
      <c r="B36" s="37" t="s">
        <v>1589</v>
      </c>
      <c r="C36" s="863" t="s">
        <v>1598</v>
      </c>
      <c r="D36" s="37" t="s">
        <v>1513</v>
      </c>
      <c r="E36" s="37">
        <v>480</v>
      </c>
      <c r="F36" s="596">
        <v>1</v>
      </c>
    </row>
    <row r="37" spans="1:6" hidden="1" x14ac:dyDescent="0.35">
      <c r="A37" s="75">
        <v>40</v>
      </c>
      <c r="B37" s="37" t="s">
        <v>1589</v>
      </c>
      <c r="C37" s="863" t="s">
        <v>1599</v>
      </c>
      <c r="D37" s="37" t="s">
        <v>1513</v>
      </c>
      <c r="E37" s="37">
        <v>333</v>
      </c>
      <c r="F37" s="596">
        <v>1</v>
      </c>
    </row>
    <row r="38" spans="1:6" hidden="1" x14ac:dyDescent="0.35">
      <c r="A38" s="75">
        <v>50</v>
      </c>
      <c r="B38" s="37" t="s">
        <v>1589</v>
      </c>
      <c r="C38" s="863" t="s">
        <v>1645</v>
      </c>
      <c r="D38" s="37" t="s">
        <v>1513</v>
      </c>
      <c r="E38" s="37">
        <v>202</v>
      </c>
      <c r="F38" s="596">
        <v>1</v>
      </c>
    </row>
    <row r="39" spans="1:6" hidden="1" x14ac:dyDescent="0.35">
      <c r="A39" s="75">
        <v>60</v>
      </c>
      <c r="B39" s="37" t="s">
        <v>1589</v>
      </c>
      <c r="C39" s="863" t="s">
        <v>1646</v>
      </c>
      <c r="D39" s="37" t="s">
        <v>1513</v>
      </c>
      <c r="E39" s="37">
        <v>135</v>
      </c>
      <c r="F39" s="596">
        <v>1</v>
      </c>
    </row>
    <row r="40" spans="1:6" hidden="1" x14ac:dyDescent="0.35">
      <c r="A40" s="75">
        <v>10</v>
      </c>
      <c r="B40" s="37" t="s">
        <v>1590</v>
      </c>
      <c r="C40" s="863" t="s">
        <v>1600</v>
      </c>
      <c r="D40" s="37" t="s">
        <v>1513</v>
      </c>
      <c r="E40" s="37">
        <v>490</v>
      </c>
      <c r="F40" s="596">
        <v>1</v>
      </c>
    </row>
    <row r="41" spans="1:6" hidden="1" x14ac:dyDescent="0.35">
      <c r="A41" s="75">
        <v>20</v>
      </c>
      <c r="B41" s="37" t="s">
        <v>1590</v>
      </c>
      <c r="C41" s="863" t="s">
        <v>1601</v>
      </c>
      <c r="D41" s="37" t="s">
        <v>1513</v>
      </c>
      <c r="E41" s="37">
        <v>545</v>
      </c>
      <c r="F41" s="596">
        <v>1</v>
      </c>
    </row>
    <row r="42" spans="1:6" hidden="1" x14ac:dyDescent="0.35">
      <c r="A42" s="75">
        <v>30</v>
      </c>
      <c r="B42" s="37" t="s">
        <v>1590</v>
      </c>
      <c r="C42" s="863" t="s">
        <v>1602</v>
      </c>
      <c r="D42" s="37" t="s">
        <v>1513</v>
      </c>
      <c r="E42" s="37">
        <v>662</v>
      </c>
      <c r="F42" s="596">
        <v>1</v>
      </c>
    </row>
    <row r="43" spans="1:6" hidden="1" x14ac:dyDescent="0.35">
      <c r="A43" s="75">
        <v>40</v>
      </c>
      <c r="B43" s="37" t="s">
        <v>1590</v>
      </c>
      <c r="C43" s="863" t="s">
        <v>1603</v>
      </c>
      <c r="D43" s="37" t="s">
        <v>1513</v>
      </c>
      <c r="E43" s="37">
        <v>333</v>
      </c>
      <c r="F43" s="596">
        <v>1</v>
      </c>
    </row>
    <row r="44" spans="1:6" hidden="1" x14ac:dyDescent="0.35">
      <c r="A44" s="75">
        <v>50</v>
      </c>
      <c r="B44" s="37" t="s">
        <v>1590</v>
      </c>
      <c r="C44" s="863" t="s">
        <v>1647</v>
      </c>
      <c r="D44" s="37" t="s">
        <v>1513</v>
      </c>
      <c r="E44" s="37">
        <v>202</v>
      </c>
      <c r="F44" s="596">
        <v>1</v>
      </c>
    </row>
    <row r="45" spans="1:6" hidden="1" x14ac:dyDescent="0.35">
      <c r="A45" s="75">
        <v>60</v>
      </c>
      <c r="B45" s="37" t="s">
        <v>1590</v>
      </c>
      <c r="C45" s="863" t="s">
        <v>1648</v>
      </c>
      <c r="D45" s="37" t="s">
        <v>1513</v>
      </c>
      <c r="E45" s="37">
        <v>135</v>
      </c>
      <c r="F45" s="596">
        <v>1</v>
      </c>
    </row>
    <row r="46" spans="1:6" hidden="1" x14ac:dyDescent="0.35">
      <c r="A46" s="75">
        <v>10</v>
      </c>
      <c r="B46" s="37" t="s">
        <v>1591</v>
      </c>
      <c r="C46" s="863" t="s">
        <v>1604</v>
      </c>
      <c r="D46" s="37" t="s">
        <v>1513</v>
      </c>
      <c r="E46" s="37">
        <v>615</v>
      </c>
      <c r="F46" s="596">
        <v>1</v>
      </c>
    </row>
    <row r="47" spans="1:6" hidden="1" x14ac:dyDescent="0.35">
      <c r="A47" s="75">
        <v>20</v>
      </c>
      <c r="B47" s="37" t="s">
        <v>1591</v>
      </c>
      <c r="C47" s="863" t="s">
        <v>1605</v>
      </c>
      <c r="D47" s="37" t="s">
        <v>1513</v>
      </c>
      <c r="E47" s="37">
        <v>712</v>
      </c>
      <c r="F47" s="596">
        <v>1</v>
      </c>
    </row>
    <row r="48" spans="1:6" hidden="1" x14ac:dyDescent="0.35">
      <c r="A48" s="75">
        <v>30</v>
      </c>
      <c r="B48" s="37" t="s">
        <v>1591</v>
      </c>
      <c r="C48" s="863" t="s">
        <v>1606</v>
      </c>
      <c r="D48" s="37" t="s">
        <v>1513</v>
      </c>
      <c r="E48" s="37">
        <v>836</v>
      </c>
      <c r="F48" s="596">
        <v>1</v>
      </c>
    </row>
    <row r="49" spans="1:6" hidden="1" x14ac:dyDescent="0.35">
      <c r="A49" s="75">
        <v>40</v>
      </c>
      <c r="B49" s="37" t="s">
        <v>1591</v>
      </c>
      <c r="C49" s="863" t="s">
        <v>1607</v>
      </c>
      <c r="D49" s="37" t="s">
        <v>1513</v>
      </c>
      <c r="E49" s="37">
        <v>333</v>
      </c>
      <c r="F49" s="596">
        <v>1</v>
      </c>
    </row>
    <row r="50" spans="1:6" hidden="1" x14ac:dyDescent="0.35">
      <c r="A50" s="75">
        <v>50</v>
      </c>
      <c r="B50" s="37" t="s">
        <v>1591</v>
      </c>
      <c r="C50" s="863" t="s">
        <v>1649</v>
      </c>
      <c r="D50" s="37" t="s">
        <v>1513</v>
      </c>
      <c r="E50" s="37">
        <v>202</v>
      </c>
      <c r="F50" s="596">
        <v>1</v>
      </c>
    </row>
    <row r="51" spans="1:6" hidden="1" x14ac:dyDescent="0.35">
      <c r="A51" s="75">
        <v>60</v>
      </c>
      <c r="B51" s="37" t="s">
        <v>1591</v>
      </c>
      <c r="C51" s="863" t="s">
        <v>1650</v>
      </c>
      <c r="D51" s="37" t="s">
        <v>1513</v>
      </c>
      <c r="E51" s="37">
        <v>135</v>
      </c>
      <c r="F51" s="596">
        <v>1</v>
      </c>
    </row>
    <row r="52" spans="1:6" hidden="1" x14ac:dyDescent="0.35">
      <c r="A52" s="75">
        <v>10</v>
      </c>
      <c r="B52" s="37">
        <v>7.1</v>
      </c>
      <c r="C52" s="863" t="s">
        <v>1634</v>
      </c>
      <c r="D52" s="37" t="s">
        <v>1513</v>
      </c>
      <c r="E52" s="37">
        <v>3680</v>
      </c>
      <c r="F52" s="596">
        <v>1</v>
      </c>
    </row>
    <row r="53" spans="1:6" hidden="1" x14ac:dyDescent="0.35">
      <c r="A53" s="75">
        <v>10</v>
      </c>
      <c r="B53" s="37">
        <v>7.2</v>
      </c>
      <c r="C53" s="863" t="s">
        <v>1635</v>
      </c>
      <c r="D53" s="37" t="s">
        <v>1513</v>
      </c>
      <c r="E53" s="37">
        <v>4600</v>
      </c>
      <c r="F53" s="596">
        <v>1</v>
      </c>
    </row>
    <row r="54" spans="1:6" hidden="1" x14ac:dyDescent="0.35">
      <c r="A54" s="75">
        <v>10</v>
      </c>
      <c r="B54" s="37">
        <v>7.3</v>
      </c>
      <c r="C54" s="863" t="s">
        <v>1636</v>
      </c>
      <c r="D54" s="37" t="s">
        <v>1513</v>
      </c>
      <c r="E54" s="37">
        <v>5520</v>
      </c>
      <c r="F54" s="596">
        <v>1</v>
      </c>
    </row>
    <row r="55" spans="1:6" hidden="1" x14ac:dyDescent="0.35">
      <c r="A55" s="75">
        <v>10</v>
      </c>
      <c r="B55" s="37">
        <v>7.4</v>
      </c>
      <c r="C55" s="863" t="s">
        <v>1637</v>
      </c>
      <c r="D55" s="37" t="s">
        <v>1513</v>
      </c>
      <c r="E55" s="37">
        <v>6440</v>
      </c>
      <c r="F55" s="596">
        <v>1</v>
      </c>
    </row>
    <row r="56" spans="1:6" hidden="1" x14ac:dyDescent="0.35">
      <c r="A56" s="75">
        <v>10</v>
      </c>
      <c r="B56" s="37">
        <v>7.5</v>
      </c>
      <c r="C56" s="863" t="s">
        <v>1638</v>
      </c>
      <c r="D56" s="37" t="s">
        <v>1513</v>
      </c>
      <c r="E56" s="37">
        <v>7360</v>
      </c>
      <c r="F56" s="596">
        <v>1</v>
      </c>
    </row>
    <row r="57" spans="1:6" hidden="1" x14ac:dyDescent="0.35">
      <c r="A57" s="75">
        <v>10</v>
      </c>
      <c r="B57" s="37">
        <v>7.6</v>
      </c>
      <c r="C57" s="863" t="s">
        <v>1639</v>
      </c>
      <c r="D57" s="37" t="s">
        <v>1513</v>
      </c>
      <c r="E57" s="37">
        <v>8280</v>
      </c>
      <c r="F57" s="596">
        <v>1</v>
      </c>
    </row>
    <row r="58" spans="1:6" hidden="1" x14ac:dyDescent="0.35">
      <c r="A58" s="75">
        <v>10</v>
      </c>
      <c r="B58" s="37">
        <v>7.7</v>
      </c>
      <c r="C58" s="863" t="s">
        <v>1640</v>
      </c>
      <c r="D58" s="37" t="s">
        <v>1513</v>
      </c>
      <c r="E58" s="37">
        <v>9200</v>
      </c>
      <c r="F58" s="596">
        <v>1</v>
      </c>
    </row>
    <row r="59" spans="1:6" hidden="1" x14ac:dyDescent="0.35">
      <c r="A59" s="75">
        <v>10</v>
      </c>
      <c r="B59" s="860">
        <v>8</v>
      </c>
      <c r="C59" s="863" t="s">
        <v>1613</v>
      </c>
      <c r="D59" s="37" t="s">
        <v>1513</v>
      </c>
      <c r="E59" s="37">
        <v>60</v>
      </c>
      <c r="F59" s="596">
        <v>1</v>
      </c>
    </row>
    <row r="60" spans="1:6" hidden="1" x14ac:dyDescent="0.35">
      <c r="A60" s="75">
        <v>20</v>
      </c>
      <c r="B60" s="860">
        <v>8</v>
      </c>
      <c r="C60" s="863" t="s">
        <v>1614</v>
      </c>
      <c r="D60" s="37" t="s">
        <v>1513</v>
      </c>
      <c r="E60" s="37">
        <v>72</v>
      </c>
      <c r="F60" s="596">
        <v>1</v>
      </c>
    </row>
    <row r="61" spans="1:6" hidden="1" x14ac:dyDescent="0.35">
      <c r="A61" s="75">
        <v>30</v>
      </c>
      <c r="B61" s="860">
        <v>8</v>
      </c>
      <c r="C61" s="863" t="s">
        <v>1615</v>
      </c>
      <c r="D61" s="37" t="s">
        <v>1513</v>
      </c>
      <c r="E61" s="37">
        <v>58</v>
      </c>
      <c r="F61" s="596">
        <v>1</v>
      </c>
    </row>
    <row r="62" spans="1:6" hidden="1" x14ac:dyDescent="0.35">
      <c r="A62" s="75">
        <v>40</v>
      </c>
      <c r="B62" s="860">
        <v>8</v>
      </c>
      <c r="C62" s="863" t="s">
        <v>1616</v>
      </c>
      <c r="D62" s="37" t="s">
        <v>1513</v>
      </c>
      <c r="E62" s="37">
        <v>72</v>
      </c>
      <c r="F62" s="596">
        <v>1</v>
      </c>
    </row>
    <row r="63" spans="1:6" hidden="1" x14ac:dyDescent="0.35">
      <c r="A63" s="75">
        <v>10</v>
      </c>
      <c r="B63" s="860">
        <v>9</v>
      </c>
      <c r="C63" s="863" t="s">
        <v>1617</v>
      </c>
      <c r="D63" s="37" t="s">
        <v>1612</v>
      </c>
      <c r="E63" s="37">
        <v>1</v>
      </c>
      <c r="F63" s="596">
        <v>1</v>
      </c>
    </row>
    <row r="64" spans="1:6" hidden="1" x14ac:dyDescent="0.35">
      <c r="A64" s="75">
        <v>10</v>
      </c>
      <c r="B64" s="860">
        <v>10</v>
      </c>
      <c r="C64" s="863" t="s">
        <v>1618</v>
      </c>
      <c r="D64" s="37" t="s">
        <v>1513</v>
      </c>
      <c r="E64" s="37">
        <v>800</v>
      </c>
      <c r="F64" s="596">
        <v>1</v>
      </c>
    </row>
    <row r="65" spans="1:8" hidden="1" x14ac:dyDescent="0.35">
      <c r="A65" s="75">
        <v>20</v>
      </c>
      <c r="B65" s="860">
        <v>10</v>
      </c>
      <c r="C65" s="863" t="s">
        <v>1619</v>
      </c>
      <c r="D65" s="37" t="s">
        <v>1513</v>
      </c>
      <c r="E65" s="37">
        <v>5000</v>
      </c>
      <c r="F65" s="596">
        <v>1</v>
      </c>
    </row>
    <row r="66" spans="1:8" hidden="1" x14ac:dyDescent="0.35">
      <c r="A66" s="75">
        <v>30</v>
      </c>
      <c r="B66" s="860">
        <v>10</v>
      </c>
      <c r="C66" s="863" t="s">
        <v>1620</v>
      </c>
      <c r="D66" s="37" t="s">
        <v>1513</v>
      </c>
      <c r="E66" s="37">
        <v>5000</v>
      </c>
      <c r="F66" s="596">
        <v>1</v>
      </c>
    </row>
    <row r="67" spans="1:8" hidden="1" x14ac:dyDescent="0.35">
      <c r="A67" s="75">
        <v>40</v>
      </c>
      <c r="B67" s="860">
        <v>10</v>
      </c>
      <c r="C67" s="863" t="s">
        <v>1621</v>
      </c>
      <c r="D67" s="37" t="s">
        <v>1513</v>
      </c>
      <c r="E67" s="37">
        <v>5000</v>
      </c>
      <c r="F67" s="596">
        <v>1</v>
      </c>
    </row>
    <row r="68" spans="1:8" hidden="1" x14ac:dyDescent="0.35">
      <c r="A68" s="75">
        <v>10</v>
      </c>
      <c r="B68" s="860">
        <v>11</v>
      </c>
      <c r="C68" s="863" t="s">
        <v>1622</v>
      </c>
      <c r="D68" s="37" t="s">
        <v>1592</v>
      </c>
      <c r="E68" s="37">
        <v>1</v>
      </c>
      <c r="F68" s="596">
        <v>1</v>
      </c>
    </row>
    <row r="69" spans="1:8" hidden="1" x14ac:dyDescent="0.35">
      <c r="A69" s="75">
        <v>10</v>
      </c>
      <c r="B69" s="860">
        <v>12</v>
      </c>
      <c r="C69" s="863" t="s">
        <v>1623</v>
      </c>
      <c r="D69" s="37" t="s">
        <v>1592</v>
      </c>
      <c r="E69" s="37">
        <v>1</v>
      </c>
      <c r="F69" s="596">
        <v>1</v>
      </c>
    </row>
    <row r="70" spans="1:8" hidden="1" x14ac:dyDescent="0.35">
      <c r="A70" s="75">
        <v>10</v>
      </c>
      <c r="B70" s="860">
        <v>13</v>
      </c>
      <c r="C70" s="863" t="s">
        <v>1624</v>
      </c>
      <c r="D70" s="37" t="s">
        <v>1592</v>
      </c>
      <c r="E70" s="37">
        <v>1</v>
      </c>
      <c r="F70" s="596">
        <v>1</v>
      </c>
    </row>
    <row r="71" spans="1:8" hidden="1" x14ac:dyDescent="0.35">
      <c r="A71" s="75">
        <v>20</v>
      </c>
      <c r="B71" s="860">
        <v>13</v>
      </c>
      <c r="C71" s="863" t="s">
        <v>1625</v>
      </c>
      <c r="D71" s="37" t="s">
        <v>1592</v>
      </c>
      <c r="E71" s="37">
        <v>1</v>
      </c>
      <c r="F71" s="596">
        <v>1</v>
      </c>
    </row>
    <row r="72" spans="1:8" ht="15" hidden="1" thickBot="1" x14ac:dyDescent="0.4">
      <c r="A72" s="302">
        <v>30</v>
      </c>
      <c r="B72" s="866">
        <v>13</v>
      </c>
      <c r="C72" s="867" t="s">
        <v>1626</v>
      </c>
      <c r="D72" s="294" t="s">
        <v>1592</v>
      </c>
      <c r="E72" s="294">
        <v>1</v>
      </c>
      <c r="F72" s="868">
        <v>1</v>
      </c>
    </row>
    <row r="73" spans="1:8" hidden="1" x14ac:dyDescent="0.35"/>
    <row r="74" spans="1:8" hidden="1" x14ac:dyDescent="0.35">
      <c r="D74" s="804"/>
      <c r="G74" s="10"/>
      <c r="H74" s="10"/>
    </row>
    <row r="75" spans="1:8" hidden="1" x14ac:dyDescent="0.35">
      <c r="C75" s="856" t="s">
        <v>1651</v>
      </c>
      <c r="D75" s="856"/>
      <c r="G75" s="10"/>
      <c r="H75" s="10"/>
    </row>
    <row r="76" spans="1:8" hidden="1" x14ac:dyDescent="0.35">
      <c r="A76" s="5"/>
      <c r="B76" s="5"/>
      <c r="C76" s="856" t="s">
        <v>1652</v>
      </c>
      <c r="D76" s="856"/>
      <c r="G76" s="10"/>
      <c r="H76" s="10"/>
    </row>
    <row r="77" spans="1:8" hidden="1" x14ac:dyDescent="0.35">
      <c r="A77" s="5"/>
      <c r="B77" s="5"/>
      <c r="C77" s="856" t="s">
        <v>1655</v>
      </c>
      <c r="D77" s="856"/>
      <c r="G77" s="10"/>
      <c r="H77" s="10"/>
    </row>
    <row r="78" spans="1:8" hidden="1" x14ac:dyDescent="0.35">
      <c r="A78" s="5"/>
      <c r="B78" s="5"/>
      <c r="C78" s="856" t="s">
        <v>1581</v>
      </c>
      <c r="D78" s="856"/>
      <c r="G78" s="10"/>
      <c r="H78" s="10"/>
    </row>
    <row r="79" spans="1:8" hidden="1" x14ac:dyDescent="0.35">
      <c r="A79" s="5"/>
      <c r="B79" s="5"/>
      <c r="C79" s="856" t="s">
        <v>1653</v>
      </c>
      <c r="D79" s="856"/>
      <c r="G79" s="10"/>
      <c r="H79" s="10"/>
    </row>
    <row r="80" spans="1:8" ht="15" hidden="1" thickBot="1" x14ac:dyDescent="0.4">
      <c r="C80" s="856" t="s">
        <v>1654</v>
      </c>
      <c r="D80" s="856"/>
      <c r="G80" s="10"/>
      <c r="H80" s="10"/>
    </row>
    <row r="81" spans="1:9" ht="16" hidden="1" thickBot="1" x14ac:dyDescent="0.4">
      <c r="A81" s="803" t="s">
        <v>1584</v>
      </c>
      <c r="B81" s="857" t="s">
        <v>1583</v>
      </c>
      <c r="C81" s="858" t="s">
        <v>273</v>
      </c>
      <c r="D81" s="858" t="s">
        <v>6</v>
      </c>
      <c r="E81" s="859" t="s">
        <v>1582</v>
      </c>
      <c r="F81" s="803" t="s">
        <v>71</v>
      </c>
      <c r="G81" s="803" t="s">
        <v>1586</v>
      </c>
      <c r="H81" s="803" t="s">
        <v>1796</v>
      </c>
      <c r="I81" s="803" t="s">
        <v>1835</v>
      </c>
    </row>
    <row r="82" spans="1:9" hidden="1" x14ac:dyDescent="0.35">
      <c r="A82" s="865" t="s">
        <v>1587</v>
      </c>
      <c r="B82" s="75">
        <v>10</v>
      </c>
      <c r="C82" s="863" t="s">
        <v>1685</v>
      </c>
      <c r="D82" s="863" t="s">
        <v>1672</v>
      </c>
      <c r="E82" s="596">
        <v>1</v>
      </c>
      <c r="F82" s="37" t="s">
        <v>1513</v>
      </c>
      <c r="G82" s="37">
        <v>196</v>
      </c>
      <c r="H82" s="37" t="s">
        <v>1748</v>
      </c>
      <c r="I82" s="37" t="s">
        <v>146</v>
      </c>
    </row>
    <row r="83" spans="1:9" hidden="1" x14ac:dyDescent="0.35">
      <c r="A83" s="865" t="s">
        <v>1587</v>
      </c>
      <c r="B83" s="75">
        <v>20</v>
      </c>
      <c r="C83" s="863" t="s">
        <v>1702</v>
      </c>
      <c r="D83" s="863" t="s">
        <v>1672</v>
      </c>
      <c r="E83" s="596">
        <v>1</v>
      </c>
      <c r="F83" s="37" t="s">
        <v>1513</v>
      </c>
      <c r="G83" s="37">
        <v>302</v>
      </c>
      <c r="H83" s="37" t="s">
        <v>1811</v>
      </c>
      <c r="I83" s="37" t="s">
        <v>732</v>
      </c>
    </row>
    <row r="84" spans="1:9" hidden="1" x14ac:dyDescent="0.35">
      <c r="A84" s="865" t="s">
        <v>1587</v>
      </c>
      <c r="B84" s="75">
        <v>30</v>
      </c>
      <c r="C84" s="863" t="s">
        <v>1686</v>
      </c>
      <c r="D84" s="863" t="s">
        <v>1672</v>
      </c>
      <c r="E84" s="596">
        <v>1</v>
      </c>
      <c r="F84" s="37" t="s">
        <v>1513</v>
      </c>
      <c r="G84" s="37">
        <v>376</v>
      </c>
      <c r="H84" s="37" t="s">
        <v>1749</v>
      </c>
      <c r="I84" s="37" t="s">
        <v>49</v>
      </c>
    </row>
    <row r="85" spans="1:9" hidden="1" x14ac:dyDescent="0.35">
      <c r="A85" s="865" t="s">
        <v>1587</v>
      </c>
      <c r="B85" s="75">
        <v>40</v>
      </c>
      <c r="C85" s="863" t="s">
        <v>1703</v>
      </c>
      <c r="D85" s="863" t="s">
        <v>1672</v>
      </c>
      <c r="E85" s="596">
        <v>1</v>
      </c>
      <c r="F85" s="37" t="s">
        <v>1513</v>
      </c>
      <c r="G85" s="37">
        <v>290</v>
      </c>
      <c r="H85" s="37" t="s">
        <v>1812</v>
      </c>
      <c r="I85" s="37" t="s">
        <v>1754</v>
      </c>
    </row>
    <row r="86" spans="1:9" hidden="1" x14ac:dyDescent="0.35">
      <c r="A86" s="865" t="s">
        <v>1587</v>
      </c>
      <c r="B86" s="75">
        <v>50</v>
      </c>
      <c r="C86" s="863" t="s">
        <v>1813</v>
      </c>
      <c r="D86" s="863" t="s">
        <v>1672</v>
      </c>
      <c r="E86" s="596">
        <v>1</v>
      </c>
      <c r="F86" s="37" t="s">
        <v>1513</v>
      </c>
      <c r="G86" s="37">
        <v>202</v>
      </c>
      <c r="H86" s="37" t="s">
        <v>1814</v>
      </c>
      <c r="I86" s="37" t="s">
        <v>1752</v>
      </c>
    </row>
    <row r="87" spans="1:9" hidden="1" x14ac:dyDescent="0.35">
      <c r="A87" s="865" t="s">
        <v>1587</v>
      </c>
      <c r="B87" s="75">
        <v>60</v>
      </c>
      <c r="C87" s="863" t="s">
        <v>1803</v>
      </c>
      <c r="D87" s="863" t="s">
        <v>1672</v>
      </c>
      <c r="E87" s="596">
        <v>1</v>
      </c>
      <c r="F87" s="37" t="s">
        <v>1513</v>
      </c>
      <c r="G87" s="37">
        <v>135</v>
      </c>
      <c r="H87" s="37" t="s">
        <v>1804</v>
      </c>
      <c r="I87" s="37" t="s">
        <v>1753</v>
      </c>
    </row>
    <row r="88" spans="1:9" ht="29" hidden="1" x14ac:dyDescent="0.35">
      <c r="A88" s="865" t="s">
        <v>1588</v>
      </c>
      <c r="B88" s="75">
        <v>10</v>
      </c>
      <c r="C88" s="863" t="s">
        <v>1678</v>
      </c>
      <c r="D88" s="863" t="s">
        <v>1671</v>
      </c>
      <c r="E88" s="596">
        <v>1</v>
      </c>
      <c r="F88" s="37" t="s">
        <v>1513</v>
      </c>
      <c r="G88" s="37">
        <v>215</v>
      </c>
      <c r="H88" s="37" t="s">
        <v>1741</v>
      </c>
      <c r="I88" s="37" t="s">
        <v>146</v>
      </c>
    </row>
    <row r="89" spans="1:9" ht="29" hidden="1" x14ac:dyDescent="0.35">
      <c r="A89" s="865" t="s">
        <v>1588</v>
      </c>
      <c r="B89" s="75">
        <v>20</v>
      </c>
      <c r="C89" s="863" t="s">
        <v>1684</v>
      </c>
      <c r="D89" s="863" t="s">
        <v>1671</v>
      </c>
      <c r="E89" s="596">
        <v>1</v>
      </c>
      <c r="F89" s="37" t="s">
        <v>1513</v>
      </c>
      <c r="G89" s="37">
        <v>328</v>
      </c>
      <c r="H89" s="37" t="s">
        <v>1747</v>
      </c>
      <c r="I89" s="37" t="s">
        <v>732</v>
      </c>
    </row>
    <row r="90" spans="1:9" ht="29" hidden="1" x14ac:dyDescent="0.35">
      <c r="A90" s="865" t="s">
        <v>1588</v>
      </c>
      <c r="B90" s="75">
        <v>30</v>
      </c>
      <c r="C90" s="863" t="s">
        <v>1683</v>
      </c>
      <c r="D90" s="863" t="s">
        <v>1671</v>
      </c>
      <c r="E90" s="596">
        <v>1</v>
      </c>
      <c r="F90" s="37" t="s">
        <v>1513</v>
      </c>
      <c r="G90" s="37">
        <v>419</v>
      </c>
      <c r="H90" s="37" t="s">
        <v>1746</v>
      </c>
      <c r="I90" s="37" t="s">
        <v>49</v>
      </c>
    </row>
    <row r="91" spans="1:9" ht="29" hidden="1" x14ac:dyDescent="0.35">
      <c r="A91" s="37" t="s">
        <v>1588</v>
      </c>
      <c r="B91" s="75">
        <v>40</v>
      </c>
      <c r="C91" s="863" t="s">
        <v>1706</v>
      </c>
      <c r="D91" s="863" t="s">
        <v>1671</v>
      </c>
      <c r="E91" s="596">
        <v>1</v>
      </c>
      <c r="F91" s="37" t="s">
        <v>1513</v>
      </c>
      <c r="G91" s="37">
        <v>333</v>
      </c>
      <c r="H91" s="37" t="s">
        <v>1815</v>
      </c>
      <c r="I91" s="37" t="s">
        <v>1754</v>
      </c>
    </row>
    <row r="92" spans="1:9" ht="29" hidden="1" x14ac:dyDescent="0.35">
      <c r="A92" s="865" t="s">
        <v>1588</v>
      </c>
      <c r="B92" s="75">
        <v>50</v>
      </c>
      <c r="C92" s="863" t="s">
        <v>1816</v>
      </c>
      <c r="D92" s="863" t="s">
        <v>1671</v>
      </c>
      <c r="E92" s="596">
        <v>1</v>
      </c>
      <c r="F92" s="37" t="s">
        <v>1513</v>
      </c>
      <c r="G92" s="37">
        <v>202</v>
      </c>
      <c r="H92" s="37" t="s">
        <v>1817</v>
      </c>
      <c r="I92" s="37" t="s">
        <v>1752</v>
      </c>
    </row>
    <row r="93" spans="1:9" ht="29" hidden="1" x14ac:dyDescent="0.35">
      <c r="A93" s="37" t="s">
        <v>1588</v>
      </c>
      <c r="B93" s="75">
        <v>60</v>
      </c>
      <c r="C93" s="863" t="s">
        <v>1818</v>
      </c>
      <c r="D93" s="863" t="s">
        <v>1671</v>
      </c>
      <c r="E93" s="596">
        <v>1</v>
      </c>
      <c r="F93" s="37" t="s">
        <v>1513</v>
      </c>
      <c r="G93" s="37">
        <v>135</v>
      </c>
      <c r="H93" s="37" t="s">
        <v>1819</v>
      </c>
      <c r="I93" s="37" t="s">
        <v>1753</v>
      </c>
    </row>
    <row r="94" spans="1:9" hidden="1" x14ac:dyDescent="0.35">
      <c r="A94" s="37" t="s">
        <v>1589</v>
      </c>
      <c r="B94" s="75">
        <v>10</v>
      </c>
      <c r="C94" s="863" t="s">
        <v>1806</v>
      </c>
      <c r="D94" s="863" t="s">
        <v>1670</v>
      </c>
      <c r="E94" s="596">
        <v>1</v>
      </c>
      <c r="F94" s="37" t="s">
        <v>1513</v>
      </c>
      <c r="G94" s="37">
        <v>345</v>
      </c>
      <c r="H94" s="37" t="s">
        <v>1738</v>
      </c>
      <c r="I94" s="37" t="s">
        <v>146</v>
      </c>
    </row>
    <row r="95" spans="1:9" hidden="1" x14ac:dyDescent="0.35">
      <c r="A95" s="37" t="s">
        <v>1589</v>
      </c>
      <c r="B95" s="75">
        <v>20</v>
      </c>
      <c r="C95" s="863" t="s">
        <v>1820</v>
      </c>
      <c r="D95" s="863" t="s">
        <v>1670</v>
      </c>
      <c r="E95" s="596">
        <v>1</v>
      </c>
      <c r="F95" s="37" t="s">
        <v>1513</v>
      </c>
      <c r="G95" s="37">
        <v>413</v>
      </c>
      <c r="H95" s="37" t="s">
        <v>1742</v>
      </c>
      <c r="I95" s="37" t="s">
        <v>732</v>
      </c>
    </row>
    <row r="96" spans="1:9" hidden="1" x14ac:dyDescent="0.35">
      <c r="A96" s="37" t="s">
        <v>1589</v>
      </c>
      <c r="B96" s="75">
        <v>30</v>
      </c>
      <c r="C96" s="863" t="s">
        <v>1799</v>
      </c>
      <c r="D96" s="863" t="s">
        <v>1670</v>
      </c>
      <c r="E96" s="596">
        <v>1</v>
      </c>
      <c r="F96" s="37" t="s">
        <v>1513</v>
      </c>
      <c r="G96" s="37">
        <v>480</v>
      </c>
      <c r="H96" s="37" t="s">
        <v>1740</v>
      </c>
      <c r="I96" s="37" t="s">
        <v>49</v>
      </c>
    </row>
    <row r="97" spans="1:9" hidden="1" x14ac:dyDescent="0.35">
      <c r="A97" s="37" t="s">
        <v>1589</v>
      </c>
      <c r="B97" s="75">
        <v>40</v>
      </c>
      <c r="C97" s="863" t="s">
        <v>1801</v>
      </c>
      <c r="D97" s="863" t="s">
        <v>1670</v>
      </c>
      <c r="E97" s="596">
        <v>1</v>
      </c>
      <c r="F97" s="37" t="s">
        <v>1513</v>
      </c>
      <c r="G97" s="37">
        <v>333</v>
      </c>
      <c r="H97" s="37" t="s">
        <v>1802</v>
      </c>
      <c r="I97" s="37" t="s">
        <v>1754</v>
      </c>
    </row>
    <row r="98" spans="1:9" hidden="1" x14ac:dyDescent="0.35">
      <c r="A98" s="37" t="s">
        <v>1589</v>
      </c>
      <c r="B98" s="75">
        <v>50</v>
      </c>
      <c r="C98" s="863" t="s">
        <v>1797</v>
      </c>
      <c r="D98" s="863" t="s">
        <v>1670</v>
      </c>
      <c r="E98" s="596">
        <v>1</v>
      </c>
      <c r="F98" s="37" t="s">
        <v>1513</v>
      </c>
      <c r="G98" s="37">
        <v>202</v>
      </c>
      <c r="H98" s="37" t="s">
        <v>1798</v>
      </c>
      <c r="I98" s="37" t="s">
        <v>1752</v>
      </c>
    </row>
    <row r="99" spans="1:9" hidden="1" x14ac:dyDescent="0.35">
      <c r="A99" s="37" t="s">
        <v>1589</v>
      </c>
      <c r="B99" s="75">
        <v>60</v>
      </c>
      <c r="C99" s="863" t="s">
        <v>1807</v>
      </c>
      <c r="D99" s="863" t="s">
        <v>1670</v>
      </c>
      <c r="E99" s="596">
        <v>1</v>
      </c>
      <c r="F99" s="37" t="s">
        <v>1513</v>
      </c>
      <c r="G99" s="37">
        <v>135</v>
      </c>
      <c r="H99" s="37" t="s">
        <v>1808</v>
      </c>
      <c r="I99" s="37" t="s">
        <v>1753</v>
      </c>
    </row>
    <row r="100" spans="1:9" hidden="1" x14ac:dyDescent="0.35">
      <c r="A100" s="37" t="s">
        <v>1590</v>
      </c>
      <c r="B100" s="75">
        <v>10</v>
      </c>
      <c r="C100" s="863" t="s">
        <v>1805</v>
      </c>
      <c r="D100" s="863" t="s">
        <v>1668</v>
      </c>
      <c r="E100" s="596">
        <v>1</v>
      </c>
      <c r="F100" s="37" t="s">
        <v>1513</v>
      </c>
      <c r="G100" s="37">
        <v>490</v>
      </c>
      <c r="H100" s="37" t="s">
        <v>1744</v>
      </c>
      <c r="I100" s="37" t="s">
        <v>146</v>
      </c>
    </row>
    <row r="101" spans="1:9" hidden="1" x14ac:dyDescent="0.35">
      <c r="A101" s="37" t="s">
        <v>1590</v>
      </c>
      <c r="B101" s="75">
        <v>20</v>
      </c>
      <c r="C101" s="863" t="s">
        <v>1821</v>
      </c>
      <c r="D101" s="863" t="s">
        <v>1668</v>
      </c>
      <c r="E101" s="596">
        <v>1</v>
      </c>
      <c r="F101" s="37" t="s">
        <v>1513</v>
      </c>
      <c r="G101" s="37">
        <v>545</v>
      </c>
      <c r="H101" s="37" t="s">
        <v>1743</v>
      </c>
      <c r="I101" s="37" t="s">
        <v>732</v>
      </c>
    </row>
    <row r="102" spans="1:9" hidden="1" x14ac:dyDescent="0.35">
      <c r="A102" s="37" t="s">
        <v>1590</v>
      </c>
      <c r="B102" s="75">
        <v>30</v>
      </c>
      <c r="C102" s="863" t="s">
        <v>1800</v>
      </c>
      <c r="D102" s="863" t="s">
        <v>1668</v>
      </c>
      <c r="E102" s="596">
        <v>1</v>
      </c>
      <c r="F102" s="37" t="s">
        <v>1513</v>
      </c>
      <c r="G102" s="37">
        <v>662</v>
      </c>
      <c r="H102" s="37" t="s">
        <v>1736</v>
      </c>
      <c r="I102" s="37" t="s">
        <v>49</v>
      </c>
    </row>
    <row r="103" spans="1:9" hidden="1" x14ac:dyDescent="0.35">
      <c r="A103" s="37" t="s">
        <v>1590</v>
      </c>
      <c r="B103" s="75">
        <v>40</v>
      </c>
      <c r="C103" s="863" t="s">
        <v>1809</v>
      </c>
      <c r="D103" s="863" t="s">
        <v>1668</v>
      </c>
      <c r="E103" s="596">
        <v>1</v>
      </c>
      <c r="F103" s="37" t="s">
        <v>1513</v>
      </c>
      <c r="G103" s="37">
        <v>333</v>
      </c>
      <c r="H103" s="37" t="s">
        <v>1810</v>
      </c>
      <c r="I103" s="37" t="s">
        <v>1754</v>
      </c>
    </row>
    <row r="104" spans="1:9" hidden="1" x14ac:dyDescent="0.35">
      <c r="A104" s="37" t="s">
        <v>1590</v>
      </c>
      <c r="B104" s="75">
        <v>50</v>
      </c>
      <c r="C104" s="863" t="s">
        <v>1822</v>
      </c>
      <c r="D104" s="863" t="s">
        <v>1668</v>
      </c>
      <c r="E104" s="596">
        <v>1</v>
      </c>
      <c r="F104" s="37" t="s">
        <v>1513</v>
      </c>
      <c r="G104" s="37">
        <v>202</v>
      </c>
      <c r="H104" s="37" t="s">
        <v>1823</v>
      </c>
      <c r="I104" s="37" t="s">
        <v>1752</v>
      </c>
    </row>
    <row r="105" spans="1:9" hidden="1" x14ac:dyDescent="0.35">
      <c r="A105" s="37" t="s">
        <v>1590</v>
      </c>
      <c r="B105" s="75">
        <v>60</v>
      </c>
      <c r="C105" s="863" t="s">
        <v>1824</v>
      </c>
      <c r="D105" s="863" t="s">
        <v>1668</v>
      </c>
      <c r="E105" s="596">
        <v>1</v>
      </c>
      <c r="F105" s="37" t="s">
        <v>1513</v>
      </c>
      <c r="G105" s="37">
        <v>135</v>
      </c>
      <c r="H105" s="37" t="s">
        <v>1825</v>
      </c>
      <c r="I105" s="37" t="s">
        <v>1753</v>
      </c>
    </row>
    <row r="106" spans="1:9" hidden="1" x14ac:dyDescent="0.35">
      <c r="A106" s="37" t="s">
        <v>1591</v>
      </c>
      <c r="B106" s="75">
        <v>10</v>
      </c>
      <c r="C106" s="863" t="s">
        <v>1826</v>
      </c>
      <c r="D106" s="863" t="s">
        <v>1669</v>
      </c>
      <c r="E106" s="596">
        <v>1</v>
      </c>
      <c r="F106" s="37" t="s">
        <v>1513</v>
      </c>
      <c r="G106" s="37">
        <v>615</v>
      </c>
      <c r="H106" s="37" t="s">
        <v>1745</v>
      </c>
      <c r="I106" s="37" t="s">
        <v>146</v>
      </c>
    </row>
    <row r="107" spans="1:9" hidden="1" x14ac:dyDescent="0.35">
      <c r="A107" s="37" t="s">
        <v>1591</v>
      </c>
      <c r="B107" s="75">
        <v>20</v>
      </c>
      <c r="C107" s="863" t="s">
        <v>1827</v>
      </c>
      <c r="D107" s="863" t="s">
        <v>1669</v>
      </c>
      <c r="E107" s="596">
        <v>1</v>
      </c>
      <c r="F107" s="37" t="s">
        <v>1513</v>
      </c>
      <c r="G107" s="37">
        <v>712</v>
      </c>
      <c r="H107" s="37" t="s">
        <v>1739</v>
      </c>
      <c r="I107" s="37" t="s">
        <v>732</v>
      </c>
    </row>
    <row r="108" spans="1:9" hidden="1" x14ac:dyDescent="0.35">
      <c r="A108" s="37" t="s">
        <v>1591</v>
      </c>
      <c r="B108" s="75">
        <v>30</v>
      </c>
      <c r="C108" s="863" t="s">
        <v>1828</v>
      </c>
      <c r="D108" s="863" t="s">
        <v>1669</v>
      </c>
      <c r="E108" s="596">
        <v>1</v>
      </c>
      <c r="F108" s="37" t="s">
        <v>1513</v>
      </c>
      <c r="G108" s="37">
        <v>836</v>
      </c>
      <c r="H108" s="37" t="s">
        <v>1737</v>
      </c>
      <c r="I108" s="37" t="s">
        <v>49</v>
      </c>
    </row>
    <row r="109" spans="1:9" hidden="1" x14ac:dyDescent="0.35">
      <c r="A109" s="37" t="s">
        <v>1591</v>
      </c>
      <c r="B109" s="75">
        <v>40</v>
      </c>
      <c r="C109" s="863" t="s">
        <v>1829</v>
      </c>
      <c r="D109" s="863" t="s">
        <v>1669</v>
      </c>
      <c r="E109" s="596">
        <v>1</v>
      </c>
      <c r="F109" s="37" t="s">
        <v>1513</v>
      </c>
      <c r="G109" s="37">
        <v>333</v>
      </c>
      <c r="H109" s="37" t="s">
        <v>1830</v>
      </c>
      <c r="I109" s="37" t="s">
        <v>1754</v>
      </c>
    </row>
    <row r="110" spans="1:9" hidden="1" x14ac:dyDescent="0.35">
      <c r="A110" s="37" t="s">
        <v>1591</v>
      </c>
      <c r="B110" s="75">
        <v>50</v>
      </c>
      <c r="C110" s="863" t="s">
        <v>1831</v>
      </c>
      <c r="D110" s="863" t="s">
        <v>1669</v>
      </c>
      <c r="E110" s="596">
        <v>1</v>
      </c>
      <c r="F110" s="37" t="s">
        <v>1513</v>
      </c>
      <c r="G110" s="37">
        <v>202</v>
      </c>
      <c r="H110" s="37" t="s">
        <v>1832</v>
      </c>
      <c r="I110" s="37" t="s">
        <v>1752</v>
      </c>
    </row>
    <row r="111" spans="1:9" hidden="1" x14ac:dyDescent="0.35">
      <c r="A111" s="37" t="s">
        <v>1591</v>
      </c>
      <c r="B111" s="75">
        <v>60</v>
      </c>
      <c r="C111" s="863" t="s">
        <v>1833</v>
      </c>
      <c r="D111" s="863" t="s">
        <v>1669</v>
      </c>
      <c r="E111" s="596">
        <v>1</v>
      </c>
      <c r="F111" s="37" t="s">
        <v>1513</v>
      </c>
      <c r="G111" s="37">
        <v>135</v>
      </c>
      <c r="H111" s="37" t="s">
        <v>1834</v>
      </c>
      <c r="I111" s="37" t="s">
        <v>1753</v>
      </c>
    </row>
    <row r="112" spans="1:9" hidden="1" x14ac:dyDescent="0.35"/>
  </sheetData>
  <sheetProtection password="E0CB" sheet="1" objects="1" scenarios="1"/>
  <phoneticPr fontId="8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54</vt:i4>
      </vt:variant>
    </vt:vector>
  </HeadingPairs>
  <TitlesOfParts>
    <vt:vector size="83" baseType="lpstr">
      <vt:lpstr>Data</vt:lpstr>
      <vt:lpstr>TRANSPOSE</vt:lpstr>
      <vt:lpstr>ARDT Cutter Entry</vt:lpstr>
      <vt:lpstr>Eng. Cutter Entry</vt:lpstr>
      <vt:lpstr>Eval &amp; Quot-AR</vt:lpstr>
      <vt:lpstr>Evaluation</vt:lpstr>
      <vt:lpstr>E checklist</vt:lpstr>
      <vt:lpstr>Router Sheet</vt:lpstr>
      <vt:lpstr>LPT Report</vt:lpstr>
      <vt:lpstr>API Thread Inspection</vt:lpstr>
      <vt:lpstr>Evaluation (2)</vt:lpstr>
      <vt:lpstr>Instructions</vt:lpstr>
      <vt:lpstr>Debrazed cutters</vt:lpstr>
      <vt:lpstr>Eval-LSTK</vt:lpstr>
      <vt:lpstr>Eval-LSTK (2)</vt:lpstr>
      <vt:lpstr>Quotation</vt:lpstr>
      <vt:lpstr>Qut. HALL.</vt:lpstr>
      <vt:lpstr>LSTK-RC</vt:lpstr>
      <vt:lpstr>Rework Cutter Entry</vt:lpstr>
      <vt:lpstr>Rework</vt:lpstr>
      <vt:lpstr>Rework (2)</vt:lpstr>
      <vt:lpstr>Die Check Entry</vt:lpstr>
      <vt:lpstr>Delivery Tkt</vt:lpstr>
      <vt:lpstr>Brazing</vt:lpstr>
      <vt:lpstr>Hardfacing &amp; Build up</vt:lpstr>
      <vt:lpstr>Cutters LPT Report-not complete</vt:lpstr>
      <vt:lpstr>L3 bit material consume</vt:lpstr>
      <vt:lpstr>Sheet1</vt:lpstr>
      <vt:lpstr>ARAMCO-CONTRACT-6600048646</vt:lpstr>
      <vt:lpstr>BLADE1</vt:lpstr>
      <vt:lpstr>BLADE10</vt:lpstr>
      <vt:lpstr>BLADE11</vt:lpstr>
      <vt:lpstr>BLADE12</vt:lpstr>
      <vt:lpstr>BLADE2</vt:lpstr>
      <vt:lpstr>BLADE3</vt:lpstr>
      <vt:lpstr>BLADE4</vt:lpstr>
      <vt:lpstr>BLADE5</vt:lpstr>
      <vt:lpstr>BLADE6</vt:lpstr>
      <vt:lpstr>BLADE7</vt:lpstr>
      <vt:lpstr>BLADE8</vt:lpstr>
      <vt:lpstr>BLADE9</vt:lpstr>
      <vt:lpstr>'API Thread Inspection'!Print_Area</vt:lpstr>
      <vt:lpstr>Brazing!Print_Area</vt:lpstr>
      <vt:lpstr>'Cutters LPT Report-not complete'!Print_Area</vt:lpstr>
      <vt:lpstr>'Debrazed cutters'!Print_Area</vt:lpstr>
      <vt:lpstr>'E checklist'!Print_Area</vt:lpstr>
      <vt:lpstr>'Eval &amp; Quot-AR'!Print_Area</vt:lpstr>
      <vt:lpstr>'Eval-LSTK'!Print_Area</vt:lpstr>
      <vt:lpstr>'Eval-LSTK (2)'!Print_Area</vt:lpstr>
      <vt:lpstr>Evaluation!Print_Area</vt:lpstr>
      <vt:lpstr>'Evaluation (2)'!Print_Area</vt:lpstr>
      <vt:lpstr>'Hardfacing &amp; Build up'!Print_Area</vt:lpstr>
      <vt:lpstr>'L3 bit material consume'!Print_Area</vt:lpstr>
      <vt:lpstr>'LPT Report'!Print_Area</vt:lpstr>
      <vt:lpstr>Quotation!Print_Area</vt:lpstr>
      <vt:lpstr>'Qut. HALL.'!Print_Area</vt:lpstr>
      <vt:lpstr>Rework!Print_Area</vt:lpstr>
      <vt:lpstr>'Rework (2)'!Print_Area</vt:lpstr>
      <vt:lpstr>'Router Sheet'!Print_Area</vt:lpstr>
      <vt:lpstr>TRANS2B1</vt:lpstr>
      <vt:lpstr>TRANS2B10</vt:lpstr>
      <vt:lpstr>TRANS2B11</vt:lpstr>
      <vt:lpstr>TRANS2B12</vt:lpstr>
      <vt:lpstr>TRANS2B2</vt:lpstr>
      <vt:lpstr>TRANS2B3</vt:lpstr>
      <vt:lpstr>TRANS2B4</vt:lpstr>
      <vt:lpstr>TRANS2B5</vt:lpstr>
      <vt:lpstr>TRANS2B6</vt:lpstr>
      <vt:lpstr>TRANS2B7</vt:lpstr>
      <vt:lpstr>TRANS2B8</vt:lpstr>
      <vt:lpstr>TRANS2B9</vt:lpstr>
      <vt:lpstr>TRAS1B1</vt:lpstr>
      <vt:lpstr>TRAS1B10</vt:lpstr>
      <vt:lpstr>TRAS1B11</vt:lpstr>
      <vt:lpstr>TRAS1B12</vt:lpstr>
      <vt:lpstr>TRAS1B2</vt:lpstr>
      <vt:lpstr>TRAS1B3</vt:lpstr>
      <vt:lpstr>TRAS1B4</vt:lpstr>
      <vt:lpstr>TRAS1B5</vt:lpstr>
      <vt:lpstr>TRAS1B6</vt:lpstr>
      <vt:lpstr>TRAS1B7</vt:lpstr>
      <vt:lpstr>TRAS1B8</vt:lpstr>
      <vt:lpstr>TRAS1B9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2026-02-15T21:31:32Z</dcterms:modified>
</cp:coreProperties>
</file>